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RAW" sheetId="1" r:id="rId4"/>
    <sheet state="visible" name="borrador vista pantalla laborat" sheetId="2" r:id="rId5"/>
    <sheet state="visible" name="borrador vista cliente" sheetId="3" r:id="rId6"/>
    <sheet state="visible" name="script de consulta" sheetId="4" r:id="rId7"/>
  </sheets>
  <definedNames>
    <definedName hidden="1" localSheetId="0" name="_xlnm._FilterDatabase">'DATA RAW'!$A$1:$K$12582</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C2">
      <text>
        <t xml:space="preserve">Aca el cliente consultaria su id de orden
	-Francisco Moyano Daza</t>
      </text>
    </comment>
  </commentList>
</comments>
</file>

<file path=xl/sharedStrings.xml><?xml version="1.0" encoding="utf-8"?>
<sst xmlns="http://schemas.openxmlformats.org/spreadsheetml/2006/main" count="68" uniqueCount="60">
  <si>
    <t>SUCURSAL (se obtiene mediante formula (chequear celda para ver formula)</t>
  </si>
  <si>
    <t>Asistente  (se obtiene mediante formula (chequear celda para ver formula)</t>
  </si>
  <si>
    <t>Casillas Progreso (se usa formula para mostrar progreso, ver celda para comprender formula)</t>
  </si>
  <si>
    <t>Mensaje para Mostrar a Cliente: (Se usa funcion buscarv chequear celda para ver formula)</t>
  </si>
  <si>
    <t>Estado de Lentes</t>
  </si>
  <si>
    <t>Casillas</t>
  </si>
  <si>
    <t>Mensaje A mostrar para cliente</t>
  </si>
  <si>
    <t>Enviado a Laboratorio</t>
  </si>
  <si>
    <t>Tus lentes estan en camino a nuestro laboratorio para ponerlos en marcha.</t>
  </si>
  <si>
    <t>Recibido en Laboratorio</t>
  </si>
  <si>
    <t>Nuestro Laboratorio esta trabajando en tus lentes, los entregaremos en la fecha acordada.</t>
  </si>
  <si>
    <t>CristalesRecibidos</t>
  </si>
  <si>
    <t>Recibimos Tus Lentes, te esperamos cuanto antes por nuestra sucursal para que entregues tu armazon y procedamos con el armado final.</t>
  </si>
  <si>
    <t>En Armado Hoy</t>
  </si>
  <si>
    <t>Estamos terminando los ultimos detalles de tus lentes, los terminaremos el dia de hoy.</t>
  </si>
  <si>
    <t>Enviado a Sucursal</t>
  </si>
  <si>
    <t>Tus lentes estan viajando a la sucursal para su entrega.</t>
  </si>
  <si>
    <t>Completado en SUCURSAL</t>
  </si>
  <si>
    <t>Tus Lentes estan LISTAS PARA ENTREGAR, te esperamos.</t>
  </si>
  <si>
    <t>RETIRADO OK POR CLIENTE</t>
  </si>
  <si>
    <t>Entregamos tus lentes, que los disfrutes!</t>
  </si>
  <si>
    <t>DEMORADO</t>
  </si>
  <si>
    <t>Tuvimos una demora con tus lentes y no podremos entregarlo en las fecha acordada, estamos trabajando para terminarlos cuanto antes, te mantendremos al tanto, si es necesario contactanos via whatsapp.</t>
  </si>
  <si>
    <t xml:space="preserve">ANULADO </t>
  </si>
  <si>
    <t>La orden de trabajo se encuentra ANULADA.Si es necesario contactanos via whatsapp</t>
  </si>
  <si>
    <t>GRAFICO / PANTALLA QUE MUESTRE</t>
  </si>
  <si>
    <t>CANTIDAD DE ORDENES PARA ENTREGAR EN EL DIA</t>
  </si>
  <si>
    <t>LO MISMO PERO LOS DIAS SIGUIENTES</t>
  </si>
  <si>
    <t>CANTIDAD DE ORDENES EN EL MES</t>
  </si>
  <si>
    <t>XXXX</t>
  </si>
  <si>
    <t xml:space="preserve">COMPLETADAS EN EL DIA </t>
  </si>
  <si>
    <t>CANTIDAD DE ORDENES ENTREGADAS EN EL MES</t>
  </si>
  <si>
    <t>PENDIENTES</t>
  </si>
  <si>
    <t>XXX</t>
  </si>
  <si>
    <t>Consulta el estado de tus lentes:</t>
  </si>
  <si>
    <t>NOTAS PARA LUIS:</t>
  </si>
  <si>
    <t>Ingrese su numero de orden:</t>
  </si>
  <si>
    <t>CELDA C2 Es el ID De orden que cada cliente tiene para identificar el trabajo, desde aca se desencadena la busqueda</t>
  </si>
  <si>
    <t>Detalles de su orden</t>
  </si>
  <si>
    <t>Cliente</t>
  </si>
  <si>
    <t>Celda C4 devuelve el nombre del cliente buscando en la data segun id</t>
  </si>
  <si>
    <t>Fecha de entrega</t>
  </si>
  <si>
    <t>Celda C5 devuelve fecha de entrega prometida buscando en la data segun ID</t>
  </si>
  <si>
    <t>Sucursal</t>
  </si>
  <si>
    <t xml:space="preserve">Celda C6 devuelve Sucursal en la que inicio el trabajo el cliente, buscando en la DATA SEGUN ID, aca en la hoja de data se obtiene la sucursal mediante una formula luego de la funcion importrange.(Resultado final de Sucursal en columna F) </t>
  </si>
  <si>
    <t>Asistente</t>
  </si>
  <si>
    <t xml:space="preserve">Celda C7 devuelve Asistente de ventas , buscando en la DATA SEGUN ID, aca en la hoja de data se obtiene el nombre del asistente, mediante una formula luego de la funcion importrange.(Resultado final de Sucursal en columna G) </t>
  </si>
  <si>
    <t>Estado</t>
  </si>
  <si>
    <t>Celda C8 devuelve MENSAJE para mostrar a cliente, buscando en la DATA SEGUN ID, aca en la hoja de data se obtiene el mensaje para mostrar mediante una formula que personalizamos mediante una formula luego de buscar con la funcion "importrange" ya que el resultado obtenido por esta funcion es muy "concreto" por ej dice "demorado" y al cliente quisieramos mostrar un mensaje mas amigable, este resultado final esta en la columna  K</t>
  </si>
  <si>
    <t>Detalle de Progreso</t>
  </si>
  <si>
    <t>Inicio</t>
  </si>
  <si>
    <t>Enviados a nuestro Laboratorio</t>
  </si>
  <si>
    <t>Trabajando en Tus Lentes</t>
  </si>
  <si>
    <t>En Proceso de Armado</t>
  </si>
  <si>
    <t>En viaje a Sucursal</t>
  </si>
  <si>
    <t>Listos Para Retirar</t>
  </si>
  <si>
    <t>Entregados</t>
  </si>
  <si>
    <t>Aca mediante formula marcamos las distintas fases del proceso como completadas, el resultado se obtiene de la hoja de datos, columna "J", en este caso escribi "OK" Cuando se completa la fase, pero si se puede poner un tilde seria bueno tambien, o lo que sea para mejor compresion del cliente.</t>
  </si>
  <si>
    <t>ENLACE DE CONSULTA</t>
  </si>
  <si>
    <t>https://www.opticamoyano.com.ar/seguimiento</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</si>
</sst>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d/yyyy h:mm:ss"/>
    <numFmt numFmtId="165" formatCode="d/m/yyyy"/>
    <numFmt numFmtId="166" formatCode="dd/mm"/>
    <numFmt numFmtId="167" formatCode="d/m/yyyy, h:mm:ss"/>
    <numFmt numFmtId="168" formatCode="ddd&quot;/&quot;m&quot;/&quot;yyyy&quot; &quot;h&quot;:&quot;m"/>
    <numFmt numFmtId="169" formatCode="d/M/yyyy"/>
  </numFmts>
  <fonts count="14">
    <font>
      <sz val="10.0"/>
      <color rgb="FF000000"/>
      <name val="Arial"/>
      <scheme val="minor"/>
    </font>
    <font>
      <color theme="1"/>
      <name val="Arial"/>
      <scheme val="minor"/>
    </font>
    <font>
      <b/>
      <sz val="20.0"/>
      <color rgb="FFFFFFFF"/>
      <name val="Nunito"/>
    </font>
    <font/>
    <font>
      <sz val="15.0"/>
      <color theme="1"/>
      <name val="Nunito"/>
    </font>
    <font>
      <b/>
      <sz val="15.0"/>
      <color theme="1"/>
      <name val="Nunito"/>
    </font>
    <font>
      <b/>
      <sz val="20.0"/>
      <color theme="1"/>
      <name val="Nunito"/>
    </font>
    <font>
      <sz val="9.0"/>
      <color theme="1"/>
      <name val="Arial"/>
      <scheme val="minor"/>
    </font>
    <font>
      <color theme="1"/>
      <name val="Nunito"/>
    </font>
    <font>
      <sz val="40.0"/>
      <color theme="1"/>
      <name val="Nunito"/>
    </font>
    <font>
      <b/>
      <sz val="12.0"/>
      <color theme="1"/>
      <name val="Nunito"/>
    </font>
    <font>
      <b/>
      <sz val="12.0"/>
      <color rgb="FF000000"/>
      <name val="Nunito"/>
    </font>
    <font>
      <color theme="1"/>
      <name val="Arial"/>
    </font>
    <font>
      <u/>
      <color rgb="FF0000FF"/>
    </font>
  </fonts>
  <fills count="8">
    <fill>
      <patternFill patternType="none"/>
    </fill>
    <fill>
      <patternFill patternType="lightGray"/>
    </fill>
    <fill>
      <patternFill patternType="solid">
        <fgColor rgb="FFFFFF00"/>
        <bgColor rgb="FFFFFF00"/>
      </patternFill>
    </fill>
    <fill>
      <patternFill patternType="solid">
        <fgColor rgb="FF000000"/>
        <bgColor rgb="FF000000"/>
      </patternFill>
    </fill>
    <fill>
      <patternFill patternType="solid">
        <fgColor rgb="FFFF9900"/>
        <bgColor rgb="FFFF9900"/>
      </patternFill>
    </fill>
    <fill>
      <patternFill patternType="solid">
        <fgColor rgb="FF93C47D"/>
        <bgColor rgb="FF93C47D"/>
      </patternFill>
    </fill>
    <fill>
      <patternFill patternType="solid">
        <fgColor rgb="FF6D9EEB"/>
        <bgColor rgb="FF6D9EEB"/>
      </patternFill>
    </fill>
    <fill>
      <patternFill patternType="solid">
        <fgColor rgb="FFFFFFFF"/>
        <bgColor rgb="FFFFFFFF"/>
      </patternFill>
    </fill>
  </fills>
  <borders count="13">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right style="thick">
        <color rgb="FF000000"/>
      </right>
      <top style="thick">
        <color rgb="FF000000"/>
      </top>
    </border>
    <border>
      <right style="thick">
        <color rgb="FF000000"/>
      </right>
    </border>
    <border>
      <left style="thick">
        <color rgb="FF000000"/>
      </left>
    </border>
    <border>
      <left style="thick">
        <color rgb="FF000000"/>
      </left>
      <top style="thick">
        <color rgb="FF000000"/>
      </top>
    </border>
    <border>
      <top style="thick">
        <color rgb="FF000000"/>
      </top>
    </border>
    <border>
      <left style="thick">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2" fontId="1" numFmtId="0" xfId="0" applyAlignment="1" applyFill="1" applyFont="1">
      <alignment readingOrder="0" shrinkToFit="0" wrapText="1"/>
    </xf>
    <xf borderId="0" fillId="2" fontId="1" numFmtId="0" xfId="0" applyAlignment="1" applyFont="1">
      <alignment readingOrder="0"/>
    </xf>
    <xf borderId="0" fillId="0" fontId="1" numFmtId="164" xfId="0" applyFont="1" applyNumberFormat="1"/>
    <xf borderId="0" fillId="0" fontId="1" numFmtId="165" xfId="0" applyFont="1" applyNumberFormat="1"/>
    <xf borderId="0" fillId="0" fontId="1" numFmtId="11" xfId="0" applyFont="1" applyNumberFormat="1"/>
    <xf borderId="0" fillId="0" fontId="1" numFmtId="166" xfId="0" applyFont="1" applyNumberFormat="1"/>
    <xf borderId="0" fillId="0" fontId="1" numFmtId="167" xfId="0" applyFont="1" applyNumberFormat="1"/>
    <xf borderId="1" fillId="3" fontId="2" numFmtId="0" xfId="0" applyAlignment="1" applyBorder="1" applyFill="1" applyFont="1">
      <alignment horizontal="center" readingOrder="0" shrinkToFit="0" vertical="bottom" wrapText="0"/>
    </xf>
    <xf borderId="2" fillId="0" fontId="3" numFmtId="0" xfId="0" applyBorder="1" applyFont="1"/>
    <xf borderId="3" fillId="0" fontId="3" numFmtId="0" xfId="0" applyBorder="1" applyFont="1"/>
    <xf borderId="4" fillId="0" fontId="4" numFmtId="0" xfId="0" applyAlignment="1" applyBorder="1" applyFont="1">
      <alignment horizontal="center" shrinkToFit="0" wrapText="0"/>
    </xf>
    <xf borderId="0" fillId="2" fontId="4" numFmtId="0" xfId="0" applyAlignment="1" applyFont="1">
      <alignment horizontal="left" readingOrder="0" shrinkToFit="0" wrapText="0"/>
    </xf>
    <xf borderId="1" fillId="0" fontId="5" numFmtId="0" xfId="0" applyAlignment="1" applyBorder="1" applyFont="1">
      <alignment readingOrder="0" shrinkToFit="0" vertical="bottom" wrapText="0"/>
    </xf>
    <xf borderId="1" fillId="4" fontId="6" numFmtId="0" xfId="0" applyAlignment="1" applyBorder="1" applyFill="1" applyFont="1">
      <alignment horizontal="center" readingOrder="0" shrinkToFit="0" vertical="bottom" wrapText="0"/>
    </xf>
    <xf borderId="5" fillId="0" fontId="3" numFmtId="0" xfId="0" applyBorder="1" applyFont="1"/>
    <xf borderId="0" fillId="2" fontId="7" numFmtId="0" xfId="0" applyAlignment="1" applyFont="1">
      <alignment horizontal="left" readingOrder="0"/>
    </xf>
    <xf borderId="1" fillId="5" fontId="6" numFmtId="0" xfId="0" applyAlignment="1" applyBorder="1" applyFill="1" applyFont="1">
      <alignment horizontal="center" readingOrder="0" shrinkToFit="0" vertical="bottom" wrapText="0"/>
    </xf>
    <xf borderId="6" fillId="0" fontId="6" numFmtId="0" xfId="0" applyAlignment="1" applyBorder="1" applyFont="1">
      <alignment shrinkToFit="0" vertical="bottom" wrapText="0"/>
    </xf>
    <xf borderId="0" fillId="0" fontId="6" numFmtId="0" xfId="0" applyAlignment="1" applyFont="1">
      <alignment horizontal="center" shrinkToFit="0" vertical="bottom" wrapText="0"/>
    </xf>
    <xf borderId="0" fillId="2" fontId="7" numFmtId="0" xfId="0" applyAlignment="1" applyFont="1">
      <alignment horizontal="left" readingOrder="0" shrinkToFit="0" wrapText="1"/>
    </xf>
    <xf borderId="7" fillId="0" fontId="6" numFmtId="0" xfId="0" applyAlignment="1" applyBorder="1" applyFont="1">
      <alignment shrinkToFit="0" vertical="bottom" wrapText="0"/>
    </xf>
    <xf borderId="8" fillId="0" fontId="3" numFmtId="0" xfId="0" applyBorder="1" applyFont="1"/>
    <xf borderId="8" fillId="0" fontId="6" numFmtId="168" xfId="0" applyAlignment="1" applyBorder="1" applyFont="1" applyNumberFormat="1">
      <alignment horizontal="center" shrinkToFit="0" vertical="bottom" wrapText="0"/>
    </xf>
    <xf borderId="4" fillId="0" fontId="3" numFmtId="0" xfId="0" applyBorder="1" applyFont="1"/>
    <xf borderId="6" fillId="0" fontId="6" numFmtId="0" xfId="0" applyAlignment="1" applyBorder="1" applyFont="1">
      <alignment readingOrder="0" shrinkToFit="0" vertical="bottom" wrapText="0"/>
    </xf>
    <xf borderId="9" fillId="0" fontId="6" numFmtId="0" xfId="0" applyAlignment="1" applyBorder="1" applyFont="1">
      <alignment shrinkToFit="0" vertical="bottom" wrapText="0"/>
    </xf>
    <xf borderId="10" fillId="0" fontId="3" numFmtId="0" xfId="0" applyBorder="1" applyFont="1"/>
    <xf borderId="10" fillId="0" fontId="6" numFmtId="0" xfId="0" applyAlignment="1" applyBorder="1" applyFont="1">
      <alignment horizontal="center" shrinkToFit="0" vertical="bottom" wrapText="1"/>
    </xf>
    <xf borderId="11" fillId="0" fontId="3" numFmtId="0" xfId="0" applyBorder="1" applyFont="1"/>
    <xf borderId="0" fillId="0" fontId="8" numFmtId="0" xfId="0" applyAlignment="1" applyFont="1">
      <alignment vertical="bottom"/>
    </xf>
    <xf borderId="1" fillId="6" fontId="9" numFmtId="0" xfId="0" applyAlignment="1" applyBorder="1" applyFill="1" applyFont="1">
      <alignment horizontal="center" readingOrder="0" vertical="bottom"/>
    </xf>
    <xf borderId="12" fillId="0" fontId="10" numFmtId="0" xfId="0" applyAlignment="1" applyBorder="1" applyFont="1">
      <alignment horizontal="center" readingOrder="0" shrinkToFit="0" wrapText="1"/>
    </xf>
    <xf borderId="12" fillId="7" fontId="11" numFmtId="0" xfId="0" applyAlignment="1" applyBorder="1" applyFill="1" applyFont="1">
      <alignment horizontal="center" readingOrder="0" shrinkToFit="0" vertical="top" wrapText="1"/>
    </xf>
    <xf borderId="12" fillId="0" fontId="10" numFmtId="0" xfId="0" applyAlignment="1" applyBorder="1" applyFont="1">
      <alignment horizontal="center" readingOrder="0" shrinkToFit="0" vertical="top" wrapText="1"/>
    </xf>
    <xf borderId="12" fillId="7" fontId="11" numFmtId="0" xfId="0" applyAlignment="1" applyBorder="1" applyFont="1">
      <alignment horizontal="center" readingOrder="0"/>
    </xf>
    <xf borderId="12" fillId="7" fontId="11" numFmtId="169" xfId="0" applyAlignment="1" applyBorder="1" applyFont="1" applyNumberFormat="1">
      <alignment horizontal="center"/>
    </xf>
    <xf borderId="12" fillId="0" fontId="10" numFmtId="0" xfId="0" applyAlignment="1" applyBorder="1" applyFont="1">
      <alignment horizontal="center"/>
    </xf>
    <xf borderId="0" fillId="0" fontId="1" numFmtId="0" xfId="0" applyAlignment="1" applyFont="1">
      <alignment horizontal="left"/>
    </xf>
    <xf borderId="0" fillId="0" fontId="12" numFmtId="0" xfId="0" applyFont="1"/>
    <xf borderId="0" fillId="0" fontId="13" numFmtId="0" xfId="0" applyAlignment="1" applyFont="1">
      <alignment readingOrder="0"/>
    </xf>
  </cellXfs>
  <cellStyles count="1">
    <cellStyle xfId="0" name="Normal" builtinId="0"/>
  </cellStyles>
  <dxfs count="4">
    <dxf>
      <font/>
      <fill>
        <patternFill patternType="solid">
          <fgColor rgb="FFB7E1CD"/>
          <bgColor rgb="FFB7E1CD"/>
        </patternFill>
      </fill>
      <border/>
    </dxf>
    <dxf>
      <font/>
      <fill>
        <patternFill patternType="solid">
          <fgColor rgb="FF00FF00"/>
          <bgColor rgb="FF00FF00"/>
        </patternFill>
      </fill>
      <border/>
    </dxf>
    <dxf>
      <font/>
      <fill>
        <patternFill patternType="solid">
          <fgColor rgb="FFFF9900"/>
          <bgColor rgb="FFFF9900"/>
        </patternFill>
      </fill>
      <border/>
    </dxf>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0</xdr:colOff>
      <xdr:row>0</xdr:row>
      <xdr:rowOff>0</xdr:rowOff>
    </xdr:from>
    <xdr:ext cx="390525" cy="3905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hyperlink" Target="https://www.opticamoyano.com.ar/seguimiento"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2.13"/>
    <col customWidth="1" min="5" max="8" width="21.38"/>
    <col customWidth="1" min="10" max="10" width="14.0"/>
    <col customWidth="1" min="11" max="11" width="64.13"/>
  </cols>
  <sheetData>
    <row r="1">
      <c r="A1" s="1" t="str">
        <f>IFERROR(__xludf.DUMMYFUNCTION("IMPORTRANGE(""https://docs.google.com/spreadsheets/d/1WVxCppWZgmNBhUN3HdjjTlLPVxyzIXM-F11jICSLi30/edit#gid=0"",""Pedidos!C:C"")"),"ID")</f>
        <v>ID</v>
      </c>
      <c r="B1" s="2" t="str">
        <f>IFERROR(__xludf.DUMMYFUNCTION("IMPORTRANGE(""https://docs.google.com/spreadsheets/d/1WVxCppWZgmNBhUN3HdjjTlLPVxyzIXM-F11jICSLi30/edit#gid=0"",""Pedidos!a:a"")"),"Fecha")</f>
        <v>Fecha</v>
      </c>
      <c r="C1" s="1" t="str">
        <f>IFERROR(__xludf.DUMMYFUNCTION("IMPORTRANGE(""https://docs.google.com/spreadsheets/d/1WVxCppWZgmNBhUN3HdjjTlLPVxyzIXM-F11jICSLi30/edit#gid=0"",""Pedidos!E:E"")"),"NOMBRE y APELLIDO")</f>
        <v>NOMBRE y APELLIDO</v>
      </c>
      <c r="D1" s="1" t="str">
        <f>IFERROR(__xludf.DUMMYFUNCTION("IMPORTRANGE(""https://docs.google.com/spreadsheets/d/1WVxCppWZgmNBhUN3HdjjTlLPVxyzIXM-F11jICSLi30/edit#gid=0"",""Pedidos!I:I"")"),"Tipo de Trabajo")</f>
        <v>Tipo de Trabajo</v>
      </c>
      <c r="E1" s="1" t="str">
        <f>IFERROR(__xludf.DUMMYFUNCTION("IMPORTRANGE(""https://docs.google.com/spreadsheets/d/1WVxCppWZgmNBhUN3HdjjTlLPVxyzIXM-F11jICSLi30/edit#gid=0"",""Pedidos!h:h"")"),"Asistente Ventas")</f>
        <v>Asistente Ventas</v>
      </c>
      <c r="F1" s="3" t="s">
        <v>0</v>
      </c>
      <c r="G1" s="3" t="s">
        <v>1</v>
      </c>
      <c r="H1" s="1" t="str">
        <f>IFERROR(__xludf.DUMMYFUNCTION("IMPORTRANGE(""https://docs.google.com/spreadsheets/d/1WVxCppWZgmNBhUN3HdjjTlLPVxyzIXM-F11jICSLi30/edit#gid=0"",""Pedidos!BH:BH"")"),"Fecha de Entrega Trabajo")</f>
        <v>Fecha de Entrega Trabajo</v>
      </c>
      <c r="I1" s="2" t="str">
        <f>IFERROR(__xludf.DUMMYFUNCTION("IMPORTRANGE(""https://docs.google.com/spreadsheets/d/1WVxCppWZgmNBhUN3HdjjTlLPVxyzIXM-F11jICSLi30/edit#gid=0"",""Pedidos!BP:BP"")"),"Estado")</f>
        <v>Estado</v>
      </c>
      <c r="J1" s="3" t="s">
        <v>2</v>
      </c>
      <c r="K1" s="3" t="s">
        <v>3</v>
      </c>
      <c r="N1" s="4" t="s">
        <v>4</v>
      </c>
      <c r="O1" s="4" t="s">
        <v>5</v>
      </c>
      <c r="P1" s="4" t="s">
        <v>6</v>
      </c>
    </row>
    <row r="2">
      <c r="A2" s="1">
        <f>IFERROR(__xludf.DUMMYFUNCTION("""COMPUTED_VALUE"""),84553.0)</f>
        <v>84553</v>
      </c>
      <c r="B2" s="5">
        <f>IFERROR(__xludf.DUMMYFUNCTION("""COMPUTED_VALUE"""),44930.48590733796)</f>
        <v>44930.48591</v>
      </c>
      <c r="C2" s="1" t="str">
        <f>IFERROR(__xludf.DUMMYFUNCTION("""COMPUTED_VALUE"""),"TOBARES LUCIANA")</f>
        <v>TOBARES LUCIANA</v>
      </c>
      <c r="D2" s="1" t="str">
        <f>IFERROR(__xludf.DUMMYFUNCTION("""COMPUTED_VALUE"""),"Lentes de STOCK")</f>
        <v>Lentes de STOCK</v>
      </c>
      <c r="E2" s="1" t="str">
        <f>IFERROR(__xludf.DUMMYFUNCTION("""COMPUTED_VALUE"""),"RIVADAVIA Santiago LOPEZ")</f>
        <v>RIVADAVIA Santiago LOPEZ</v>
      </c>
      <c r="F2" s="1" t="str">
        <f t="shared" ref="F2:F18893" si="1">IF(A2&lt;&gt;"", LEFT(E2,(FIND(" ",E2,1))),  )</f>
        <v>RIVADAVIA </v>
      </c>
      <c r="G2" s="1" t="str">
        <f t="shared" ref="G2:G18893" si="2">IF(A2&lt;&gt;"", RIGHT(E2,(LEN(E2)-(FIND(" ",E2,1)))), )</f>
        <v>Santiago LOPEZ</v>
      </c>
      <c r="H2" s="1" t="str">
        <f>IFERROR(__xludf.DUMMYFUNCTION("""COMPUTED_VALUE"""),"10/1/2023, 17:00:00")</f>
        <v>10/1/2023, 17:00:00</v>
      </c>
      <c r="I2" s="1" t="str">
        <f>IFERROR(__xludf.DUMMYFUNCTION("""COMPUTED_VALUE"""),"RETIRADO OK POR CLIENTE")</f>
        <v>RETIRADO OK POR CLIENTE</v>
      </c>
      <c r="J2" s="1">
        <f t="shared" ref="J2:J18893" si="3">IF(A2&lt;&gt;"", IFERROR(VLOOKUP(I2,$N$1:$O$9,2,FALSE),0), )</f>
        <v>6</v>
      </c>
      <c r="K2" s="1" t="str">
        <f t="shared" ref="K2:K18893" si="4">IF(A2&lt;&gt;"", IFERROR(VLOOKUP(I2,$N$1:$P$10,3,FALSE)) , )</f>
        <v>Entregamos tus lentes, que los disfrutes!</v>
      </c>
      <c r="N2" s="1" t="s">
        <v>7</v>
      </c>
      <c r="O2" s="2">
        <v>1.0</v>
      </c>
      <c r="P2" s="2" t="s">
        <v>8</v>
      </c>
    </row>
    <row r="3">
      <c r="A3" s="1">
        <f>IFERROR(__xludf.DUMMYFUNCTION("""COMPUTED_VALUE"""),84554.0)</f>
        <v>84554</v>
      </c>
      <c r="B3" s="5">
        <f>IFERROR(__xludf.DUMMYFUNCTION("""COMPUTED_VALUE"""),44930.490169641205)</f>
        <v>44930.49017</v>
      </c>
      <c r="C3" s="1" t="str">
        <f>IFERROR(__xludf.DUMMYFUNCTION("""COMPUTED_VALUE"""),"ESCUDERO RITA ")</f>
        <v>ESCUDERO RITA </v>
      </c>
      <c r="D3" s="1" t="str">
        <f>IFERROR(__xludf.DUMMYFUNCTION("""COMPUTED_VALUE"""),"Lentes de STOCK")</f>
        <v>Lentes de STOCK</v>
      </c>
      <c r="E3" s="1" t="str">
        <f>IFERROR(__xludf.DUMMYFUNCTION("""COMPUTED_VALUE"""),"ARTIGAS Cristian C.")</f>
        <v>ARTIGAS Cristian C.</v>
      </c>
      <c r="F3" s="1" t="str">
        <f t="shared" si="1"/>
        <v>ARTIGAS </v>
      </c>
      <c r="G3" s="1" t="str">
        <f t="shared" si="2"/>
        <v>Cristian C.</v>
      </c>
      <c r="H3" s="1" t="str">
        <f>IFERROR(__xludf.DUMMYFUNCTION("""COMPUTED_VALUE"""),"10/1/2023, 17:00:00")</f>
        <v>10/1/2023, 17:00:00</v>
      </c>
      <c r="I3" s="1" t="str">
        <f>IFERROR(__xludf.DUMMYFUNCTION("""COMPUTED_VALUE"""),"G")</f>
        <v>G</v>
      </c>
      <c r="J3" s="1">
        <f t="shared" si="3"/>
        <v>0</v>
      </c>
      <c r="K3" s="1" t="str">
        <f t="shared" si="4"/>
        <v/>
      </c>
      <c r="N3" s="1" t="s">
        <v>9</v>
      </c>
      <c r="O3" s="2">
        <v>2.0</v>
      </c>
      <c r="P3" s="2" t="s">
        <v>10</v>
      </c>
    </row>
    <row r="4">
      <c r="A4" s="1">
        <f>IFERROR(__xludf.DUMMYFUNCTION("""COMPUTED_VALUE"""),84555.0)</f>
        <v>84555</v>
      </c>
      <c r="B4" s="5">
        <f>IFERROR(__xludf.DUMMYFUNCTION("""COMPUTED_VALUE"""),44930.490260266204)</f>
        <v>44930.49026</v>
      </c>
      <c r="C4" s="1" t="str">
        <f>IFERROR(__xludf.DUMMYFUNCTION("""COMPUTED_VALUE"""),"ARIAS JUAN CARLOS")</f>
        <v>ARIAS JUAN CARLOS</v>
      </c>
      <c r="D4" s="1" t="str">
        <f>IFERROR(__xludf.DUMMYFUNCTION("""COMPUTED_VALUE"""),"Lentes de STOCK")</f>
        <v>Lentes de STOCK</v>
      </c>
      <c r="E4" s="1" t="str">
        <f>IFERROR(__xludf.DUMMYFUNCTION("""COMPUTED_VALUE"""),"ARTIGAS Cristian C.")</f>
        <v>ARTIGAS Cristian C.</v>
      </c>
      <c r="F4" s="1" t="str">
        <f t="shared" si="1"/>
        <v>ARTIGAS </v>
      </c>
      <c r="G4" s="1" t="str">
        <f t="shared" si="2"/>
        <v>Cristian C.</v>
      </c>
      <c r="H4" s="1" t="str">
        <f>IFERROR(__xludf.DUMMYFUNCTION("""COMPUTED_VALUE"""),"10/1/2023, 17:00:00")</f>
        <v>10/1/2023, 17:00:00</v>
      </c>
      <c r="I4" s="1" t="str">
        <f>IFERROR(__xludf.DUMMYFUNCTION("""COMPUTED_VALUE"""),"RETIRADO OK POR CLIENTE")</f>
        <v>RETIRADO OK POR CLIENTE</v>
      </c>
      <c r="J4" s="1">
        <f t="shared" si="3"/>
        <v>6</v>
      </c>
      <c r="K4" s="1" t="str">
        <f t="shared" si="4"/>
        <v>Entregamos tus lentes, que los disfrutes!</v>
      </c>
      <c r="N4" s="1" t="s">
        <v>11</v>
      </c>
      <c r="O4" s="2">
        <v>3.0</v>
      </c>
      <c r="P4" s="2" t="s">
        <v>12</v>
      </c>
    </row>
    <row r="5">
      <c r="A5" s="1">
        <f>IFERROR(__xludf.DUMMYFUNCTION("""COMPUTED_VALUE"""),84556.0)</f>
        <v>84556</v>
      </c>
      <c r="B5" s="5">
        <f>IFERROR(__xludf.DUMMYFUNCTION("""COMPUTED_VALUE"""),44930.49390083333)</f>
        <v>44930.4939</v>
      </c>
      <c r="C5" s="1" t="str">
        <f>IFERROR(__xludf.DUMMYFUNCTION("""COMPUTED_VALUE"""),"MUÑOZ JORGE ")</f>
        <v>MUÑOZ JORGE </v>
      </c>
      <c r="D5" s="1" t="str">
        <f>IFERROR(__xludf.DUMMYFUNCTION("""COMPUTED_VALUE"""),"Lentes de STOCK")</f>
        <v>Lentes de STOCK</v>
      </c>
      <c r="E5" s="1" t="str">
        <f>IFERROR(__xludf.DUMMYFUNCTION("""COMPUTED_VALUE"""),"RIVADAVIA Luciana")</f>
        <v>RIVADAVIA Luciana</v>
      </c>
      <c r="F5" s="1" t="str">
        <f t="shared" si="1"/>
        <v>RIVADAVIA </v>
      </c>
      <c r="G5" s="1" t="str">
        <f t="shared" si="2"/>
        <v>Luciana</v>
      </c>
      <c r="H5" s="1" t="str">
        <f>IFERROR(__xludf.DUMMYFUNCTION("""COMPUTED_VALUE"""),"10/1/2023, 17:00:00")</f>
        <v>10/1/2023, 17:00:00</v>
      </c>
      <c r="I5" s="1" t="str">
        <f>IFERROR(__xludf.DUMMYFUNCTION("""COMPUTED_VALUE"""),"RETIRADO OK POR CLIENTE")</f>
        <v>RETIRADO OK POR CLIENTE</v>
      </c>
      <c r="J5" s="1">
        <f t="shared" si="3"/>
        <v>6</v>
      </c>
      <c r="K5" s="1" t="str">
        <f t="shared" si="4"/>
        <v>Entregamos tus lentes, que los disfrutes!</v>
      </c>
      <c r="N5" s="2" t="s">
        <v>13</v>
      </c>
      <c r="O5" s="2">
        <v>3.0</v>
      </c>
      <c r="P5" s="2" t="s">
        <v>14</v>
      </c>
    </row>
    <row r="6">
      <c r="A6" s="1">
        <f>IFERROR(__xludf.DUMMYFUNCTION("""COMPUTED_VALUE"""),84557.0)</f>
        <v>84557</v>
      </c>
      <c r="B6" s="5">
        <f>IFERROR(__xludf.DUMMYFUNCTION("""COMPUTED_VALUE"""),44930.50096276621)</f>
        <v>44930.50096</v>
      </c>
      <c r="C6" s="1" t="str">
        <f>IFERROR(__xludf.DUMMYFUNCTION("""COMPUTED_VALUE"""),"GIMENEZ ELBA JOSEFINA")</f>
        <v>GIMENEZ ELBA JOSEFINA</v>
      </c>
      <c r="D6" s="1" t="str">
        <f>IFERROR(__xludf.DUMMYFUNCTION("""COMPUTED_VALUE"""),"Lentes de STOCK")</f>
        <v>Lentes de STOCK</v>
      </c>
      <c r="E6" s="1" t="str">
        <f>IFERROR(__xludf.DUMMYFUNCTION("""COMPUTED_VALUE"""),"ARTIGAS Ivana P.")</f>
        <v>ARTIGAS Ivana P.</v>
      </c>
      <c r="F6" s="1" t="str">
        <f t="shared" si="1"/>
        <v>ARTIGAS </v>
      </c>
      <c r="G6" s="1" t="str">
        <f t="shared" si="2"/>
        <v>Ivana P.</v>
      </c>
      <c r="H6" s="1" t="str">
        <f>IFERROR(__xludf.DUMMYFUNCTION("""COMPUTED_VALUE"""),"9/1/2023, 17:00:00")</f>
        <v>9/1/2023, 17:00:00</v>
      </c>
      <c r="I6" s="1" t="str">
        <f>IFERROR(__xludf.DUMMYFUNCTION("""COMPUTED_VALUE"""),"Completado en SUCURSAL")</f>
        <v>Completado en SUCURSAL</v>
      </c>
      <c r="J6" s="1">
        <f t="shared" si="3"/>
        <v>5</v>
      </c>
      <c r="K6" s="1" t="str">
        <f t="shared" si="4"/>
        <v>Tus Lentes estan LISTAS PARA ENTREGAR, te esperamos.</v>
      </c>
      <c r="N6" s="1" t="s">
        <v>15</v>
      </c>
      <c r="O6" s="2">
        <v>4.0</v>
      </c>
      <c r="P6" s="2" t="s">
        <v>16</v>
      </c>
    </row>
    <row r="7">
      <c r="A7" s="1">
        <f>IFERROR(__xludf.DUMMYFUNCTION("""COMPUTED_VALUE"""),84558.0)</f>
        <v>84558</v>
      </c>
      <c r="B7" s="5">
        <f>IFERROR(__xludf.DUMMYFUNCTION("""COMPUTED_VALUE"""),44930.50251740741)</f>
        <v>44930.50252</v>
      </c>
      <c r="C7" s="1" t="str">
        <f>IFERROR(__xludf.DUMMYFUNCTION("""COMPUTED_VALUE"""),"Contreras Exequiel")</f>
        <v>Contreras Exequiel</v>
      </c>
      <c r="D7" s="1" t="str">
        <f>IFERROR(__xludf.DUMMYFUNCTION("""COMPUTED_VALUE"""),"Lentes de STOCK")</f>
        <v>Lentes de STOCK</v>
      </c>
      <c r="E7" s="1" t="str">
        <f>IFERROR(__xludf.DUMMYFUNCTION("""COMPUTED_VALUE"""),"RIVADAVIA Rocio B")</f>
        <v>RIVADAVIA Rocio B</v>
      </c>
      <c r="F7" s="1" t="str">
        <f t="shared" si="1"/>
        <v>RIVADAVIA </v>
      </c>
      <c r="G7" s="1" t="str">
        <f t="shared" si="2"/>
        <v>Rocio B</v>
      </c>
      <c r="H7" s="1" t="str">
        <f>IFERROR(__xludf.DUMMYFUNCTION("""COMPUTED_VALUE"""),"12/1/2023, 17:00:00")</f>
        <v>12/1/2023, 17:00:00</v>
      </c>
      <c r="I7" s="1" t="str">
        <f>IFERROR(__xludf.DUMMYFUNCTION("""COMPUTED_VALUE"""),"RETIRADO OK POR CLIENTE")</f>
        <v>RETIRADO OK POR CLIENTE</v>
      </c>
      <c r="J7" s="1">
        <f t="shared" si="3"/>
        <v>6</v>
      </c>
      <c r="K7" s="1" t="str">
        <f t="shared" si="4"/>
        <v>Entregamos tus lentes, que los disfrutes!</v>
      </c>
      <c r="N7" s="1" t="s">
        <v>17</v>
      </c>
      <c r="O7" s="2">
        <v>5.0</v>
      </c>
      <c r="P7" s="2" t="s">
        <v>18</v>
      </c>
    </row>
    <row r="8">
      <c r="A8" s="1">
        <f>IFERROR(__xludf.DUMMYFUNCTION("""COMPUTED_VALUE"""),84559.0)</f>
        <v>84559</v>
      </c>
      <c r="B8" s="5">
        <f>IFERROR(__xludf.DUMMYFUNCTION("""COMPUTED_VALUE"""),44930.50380435185)</f>
        <v>44930.5038</v>
      </c>
      <c r="C8" s="1" t="str">
        <f>IFERROR(__xludf.DUMMYFUNCTION("""COMPUTED_VALUE"""),"ROSALES BEATRIZ ROSA")</f>
        <v>ROSALES BEATRIZ ROSA</v>
      </c>
      <c r="D8" s="1" t="str">
        <f>IFERROR(__xludf.DUMMYFUNCTION("""COMPUTED_VALUE"""),"Lentes de STOCK")</f>
        <v>Lentes de STOCK</v>
      </c>
      <c r="E8" s="1" t="str">
        <f>IFERROR(__xludf.DUMMYFUNCTION("""COMPUTED_VALUE"""),"RIVADAVIA Marcela L")</f>
        <v>RIVADAVIA Marcela L</v>
      </c>
      <c r="F8" s="1" t="str">
        <f t="shared" si="1"/>
        <v>RIVADAVIA </v>
      </c>
      <c r="G8" s="1" t="str">
        <f t="shared" si="2"/>
        <v>Marcela L</v>
      </c>
      <c r="H8" s="1" t="str">
        <f>IFERROR(__xludf.DUMMYFUNCTION("""COMPUTED_VALUE"""),"6/1/2023, 17:00:00")</f>
        <v>6/1/2023, 17:00:00</v>
      </c>
      <c r="I8" s="1" t="str">
        <f>IFERROR(__xludf.DUMMYFUNCTION("""COMPUTED_VALUE"""),"RETIRADO OK POR CLIENTE")</f>
        <v>RETIRADO OK POR CLIENTE</v>
      </c>
      <c r="J8" s="1">
        <f t="shared" si="3"/>
        <v>6</v>
      </c>
      <c r="K8" s="1" t="str">
        <f t="shared" si="4"/>
        <v>Entregamos tus lentes, que los disfrutes!</v>
      </c>
      <c r="N8" s="1" t="s">
        <v>19</v>
      </c>
      <c r="O8" s="2">
        <v>6.0</v>
      </c>
      <c r="P8" s="2" t="s">
        <v>20</v>
      </c>
    </row>
    <row r="9">
      <c r="A9" s="1">
        <f>IFERROR(__xludf.DUMMYFUNCTION("""COMPUTED_VALUE"""),84560.0)</f>
        <v>84560</v>
      </c>
      <c r="B9" s="5">
        <f>IFERROR(__xludf.DUMMYFUNCTION("""COMPUTED_VALUE"""),44930.506432939816)</f>
        <v>44930.50643</v>
      </c>
      <c r="C9" s="1" t="str">
        <f>IFERROR(__xludf.DUMMYFUNCTION("""COMPUTED_VALUE"""),"Saa Petrino Orlando")</f>
        <v>Saa Petrino Orlando</v>
      </c>
      <c r="D9" s="1" t="str">
        <f>IFERROR(__xludf.DUMMYFUNCTION("""COMPUTED_VALUE"""),"Lentes de STOCK")</f>
        <v>Lentes de STOCK</v>
      </c>
      <c r="E9" s="1" t="str">
        <f>IFERROR(__xludf.DUMMYFUNCTION("""COMPUTED_VALUE"""),"RIVADAVIA Rocio B")</f>
        <v>RIVADAVIA Rocio B</v>
      </c>
      <c r="F9" s="1" t="str">
        <f t="shared" si="1"/>
        <v>RIVADAVIA </v>
      </c>
      <c r="G9" s="1" t="str">
        <f t="shared" si="2"/>
        <v>Rocio B</v>
      </c>
      <c r="H9" s="1" t="str">
        <f>IFERROR(__xludf.DUMMYFUNCTION("""COMPUTED_VALUE"""),"6/1/2023, 17:00:00")</f>
        <v>6/1/2023, 17:00:00</v>
      </c>
      <c r="I9" s="1" t="str">
        <f>IFERROR(__xludf.DUMMYFUNCTION("""COMPUTED_VALUE"""),"Completado en SUCURSAL")</f>
        <v>Completado en SUCURSAL</v>
      </c>
      <c r="J9" s="1">
        <f t="shared" si="3"/>
        <v>5</v>
      </c>
      <c r="K9" s="1" t="str">
        <f t="shared" si="4"/>
        <v>Tus Lentes estan LISTAS PARA ENTREGAR, te esperamos.</v>
      </c>
      <c r="N9" s="1" t="s">
        <v>21</v>
      </c>
      <c r="P9" s="2" t="s">
        <v>22</v>
      </c>
    </row>
    <row r="10">
      <c r="A10" s="1">
        <f>IFERROR(__xludf.DUMMYFUNCTION("""COMPUTED_VALUE"""),84561.0)</f>
        <v>84561</v>
      </c>
      <c r="B10" s="5">
        <f>IFERROR(__xludf.DUMMYFUNCTION("""COMPUTED_VALUE"""),44930.508232002314)</f>
        <v>44930.50823</v>
      </c>
      <c r="C10" s="1" t="str">
        <f>IFERROR(__xludf.DUMMYFUNCTION("""COMPUTED_VALUE"""),"ORMEÑO AGUSTIN")</f>
        <v>ORMEÑO AGUSTIN</v>
      </c>
      <c r="D10" s="1" t="str">
        <f>IFERROR(__xludf.DUMMYFUNCTION("""COMPUTED_VALUE"""),"Lentes de STOCK")</f>
        <v>Lentes de STOCK</v>
      </c>
      <c r="E10" s="1" t="str">
        <f>IFERROR(__xludf.DUMMYFUNCTION("""COMPUTED_VALUE"""),"RIVADAVIA Santiago LOPEZ")</f>
        <v>RIVADAVIA Santiago LOPEZ</v>
      </c>
      <c r="F10" s="1" t="str">
        <f t="shared" si="1"/>
        <v>RIVADAVIA </v>
      </c>
      <c r="G10" s="1" t="str">
        <f t="shared" si="2"/>
        <v>Santiago LOPEZ</v>
      </c>
      <c r="H10" s="1" t="str">
        <f>IFERROR(__xludf.DUMMYFUNCTION("""COMPUTED_VALUE"""),"7/1/2023, 17:00:00")</f>
        <v>7/1/2023, 17:00:00</v>
      </c>
      <c r="I10" s="1" t="str">
        <f>IFERROR(__xludf.DUMMYFUNCTION("""COMPUTED_VALUE"""),"RETIRADO OK POR CLIENTE")</f>
        <v>RETIRADO OK POR CLIENTE</v>
      </c>
      <c r="J10" s="1">
        <f t="shared" si="3"/>
        <v>6</v>
      </c>
      <c r="K10" s="1" t="str">
        <f t="shared" si="4"/>
        <v>Entregamos tus lentes, que los disfrutes!</v>
      </c>
      <c r="N10" s="1" t="s">
        <v>23</v>
      </c>
      <c r="P10" s="2" t="s">
        <v>24</v>
      </c>
    </row>
    <row r="11">
      <c r="A11" s="1">
        <f>IFERROR(__xludf.DUMMYFUNCTION("""COMPUTED_VALUE"""),84562.0)</f>
        <v>84562</v>
      </c>
      <c r="B11" s="5">
        <f>IFERROR(__xludf.DUMMYFUNCTION("""COMPUTED_VALUE"""),44930.51225983797)</f>
        <v>44930.51226</v>
      </c>
      <c r="C11" s="1" t="str">
        <f>IFERROR(__xludf.DUMMYFUNCTION("""COMPUTED_VALUE"""),"ORMEÑO ANTONELLA")</f>
        <v>ORMEÑO ANTONELLA</v>
      </c>
      <c r="D11" s="1" t="str">
        <f>IFERROR(__xludf.DUMMYFUNCTION("""COMPUTED_VALUE"""),"Lentes de STOCK")</f>
        <v>Lentes de STOCK</v>
      </c>
      <c r="E11" s="1" t="str">
        <f>IFERROR(__xludf.DUMMYFUNCTION("""COMPUTED_VALUE"""),"RIVADAVIA Santiago LOPEZ")</f>
        <v>RIVADAVIA Santiago LOPEZ</v>
      </c>
      <c r="F11" s="1" t="str">
        <f t="shared" si="1"/>
        <v>RIVADAVIA </v>
      </c>
      <c r="G11" s="1" t="str">
        <f t="shared" si="2"/>
        <v>Santiago LOPEZ</v>
      </c>
      <c r="H11" s="1" t="str">
        <f>IFERROR(__xludf.DUMMYFUNCTION("""COMPUTED_VALUE"""),"7/1/2023, 17:00:00")</f>
        <v>7/1/2023, 17:00:00</v>
      </c>
      <c r="I11" s="1" t="str">
        <f>IFERROR(__xludf.DUMMYFUNCTION("""COMPUTED_VALUE"""),"RETIRADO OK POR CLIENTE")</f>
        <v>RETIRADO OK POR CLIENTE</v>
      </c>
      <c r="J11" s="1">
        <f t="shared" si="3"/>
        <v>6</v>
      </c>
      <c r="K11" s="1" t="str">
        <f t="shared" si="4"/>
        <v>Entregamos tus lentes, que los disfrutes!</v>
      </c>
    </row>
    <row r="12">
      <c r="A12" s="1">
        <f>IFERROR(__xludf.DUMMYFUNCTION("""COMPUTED_VALUE"""),84563.0)</f>
        <v>84563</v>
      </c>
      <c r="B12" s="5">
        <f>IFERROR(__xludf.DUMMYFUNCTION("""COMPUTED_VALUE"""),44930.51906597222)</f>
        <v>44930.51907</v>
      </c>
      <c r="C12" s="1" t="str">
        <f>IFERROR(__xludf.DUMMYFUNCTION("""COMPUTED_VALUE"""),"Bastias Marino Jose Luis")</f>
        <v>Bastias Marino Jose Luis</v>
      </c>
      <c r="D12" s="1" t="str">
        <f>IFERROR(__xludf.DUMMYFUNCTION("""COMPUTED_VALUE"""),"Lentes de STOCK")</f>
        <v>Lentes de STOCK</v>
      </c>
      <c r="E12" s="1" t="str">
        <f>IFERROR(__xludf.DUMMYFUNCTION("""COMPUTED_VALUE"""),"RIVADAVIA Rocio B")</f>
        <v>RIVADAVIA Rocio B</v>
      </c>
      <c r="F12" s="1" t="str">
        <f t="shared" si="1"/>
        <v>RIVADAVIA </v>
      </c>
      <c r="G12" s="1" t="str">
        <f t="shared" si="2"/>
        <v>Rocio B</v>
      </c>
      <c r="H12" s="1" t="str">
        <f>IFERROR(__xludf.DUMMYFUNCTION("""COMPUTED_VALUE"""),"11/1/2023, 17:00:00")</f>
        <v>11/1/2023, 17:00:00</v>
      </c>
      <c r="I12" s="1" t="str">
        <f>IFERROR(__xludf.DUMMYFUNCTION("""COMPUTED_VALUE"""),"Completado en SUCURSAL")</f>
        <v>Completado en SUCURSAL</v>
      </c>
      <c r="J12" s="1">
        <f t="shared" si="3"/>
        <v>5</v>
      </c>
      <c r="K12" s="1" t="str">
        <f t="shared" si="4"/>
        <v>Tus Lentes estan LISTAS PARA ENTREGAR, te esperamos.</v>
      </c>
    </row>
    <row r="13">
      <c r="A13" s="1">
        <f>IFERROR(__xludf.DUMMYFUNCTION("""COMPUTED_VALUE"""),84564.0)</f>
        <v>84564</v>
      </c>
      <c r="B13" s="5">
        <f>IFERROR(__xludf.DUMMYFUNCTION("""COMPUTED_VALUE"""),44930.5220754051)</f>
        <v>44930.52208</v>
      </c>
      <c r="C13" s="1" t="str">
        <f>IFERROR(__xludf.DUMMYFUNCTION("""COMPUTED_VALUE"""),"mama anto")</f>
        <v>mama anto</v>
      </c>
      <c r="D13" s="1" t="str">
        <f>IFERROR(__xludf.DUMMYFUNCTION("""COMPUTED_VALUE"""),"Reparaciones/Otros")</f>
        <v>Reparaciones/Otros</v>
      </c>
      <c r="E13" s="1" t="str">
        <f>IFERROR(__xludf.DUMMYFUNCTION("""COMPUTED_VALUE"""),"ARTIGAS Sandra G")</f>
        <v>ARTIGAS Sandra G</v>
      </c>
      <c r="F13" s="1" t="str">
        <f t="shared" si="1"/>
        <v>ARTIGAS </v>
      </c>
      <c r="G13" s="1" t="str">
        <f t="shared" si="2"/>
        <v>Sandra G</v>
      </c>
      <c r="H13" s="1" t="str">
        <f>IFERROR(__xludf.DUMMYFUNCTION("""COMPUTED_VALUE"""),"5/1/2023, 17:00:00")</f>
        <v>5/1/2023, 17:00:00</v>
      </c>
      <c r="I13" s="1"/>
      <c r="J13" s="1">
        <f t="shared" si="3"/>
        <v>0</v>
      </c>
      <c r="K13" s="1" t="str">
        <f t="shared" si="4"/>
        <v/>
      </c>
    </row>
    <row r="14">
      <c r="A14" s="1">
        <f>IFERROR(__xludf.DUMMYFUNCTION("""COMPUTED_VALUE"""),84565.0)</f>
        <v>84565</v>
      </c>
      <c r="B14" s="5">
        <f>IFERROR(__xludf.DUMMYFUNCTION("""COMPUTED_VALUE"""),44930.52361827546)</f>
        <v>44930.52362</v>
      </c>
      <c r="C14" s="6">
        <f>IFERROR(__xludf.DUMMYFUNCTION("""COMPUTED_VALUE"""),44930.0)</f>
        <v>44930</v>
      </c>
      <c r="D14" s="1" t="str">
        <f>IFERROR(__xludf.DUMMYFUNCTION("""COMPUTED_VALUE"""),"Lentes de STOCK")</f>
        <v>Lentes de STOCK</v>
      </c>
      <c r="E14" s="1" t="str">
        <f>IFERROR(__xludf.DUMMYFUNCTION("""COMPUTED_VALUE"""),"ARTIGAS Cristian C.")</f>
        <v>ARTIGAS Cristian C.</v>
      </c>
      <c r="F14" s="1" t="str">
        <f t="shared" si="1"/>
        <v>ARTIGAS </v>
      </c>
      <c r="G14" s="1" t="str">
        <f t="shared" si="2"/>
        <v>Cristian C.</v>
      </c>
      <c r="H14" s="1" t="str">
        <f>IFERROR(__xludf.DUMMYFUNCTION("""COMPUTED_VALUE"""),"11/1/2023, 17:00:00")</f>
        <v>11/1/2023, 17:00:00</v>
      </c>
      <c r="I14" s="1" t="str">
        <f>IFERROR(__xludf.DUMMYFUNCTION("""COMPUTED_VALUE"""),"RETIRADO OK POR CLIENTE")</f>
        <v>RETIRADO OK POR CLIENTE</v>
      </c>
      <c r="J14" s="1">
        <f t="shared" si="3"/>
        <v>6</v>
      </c>
      <c r="K14" s="1" t="str">
        <f t="shared" si="4"/>
        <v>Entregamos tus lentes, que los disfrutes!</v>
      </c>
    </row>
    <row r="15">
      <c r="A15" s="1">
        <f>IFERROR(__xludf.DUMMYFUNCTION("""COMPUTED_VALUE"""),84566.0)</f>
        <v>84566</v>
      </c>
      <c r="B15" s="5">
        <f>IFERROR(__xludf.DUMMYFUNCTION("""COMPUTED_VALUE"""),44930.52679451389)</f>
        <v>44930.52679</v>
      </c>
      <c r="C15" s="1" t="str">
        <f>IFERROR(__xludf.DUMMYFUNCTION("""COMPUTED_VALUE"""),"corvalan facundo")</f>
        <v>corvalan facundo</v>
      </c>
      <c r="D15" s="1" t="str">
        <f>IFERROR(__xludf.DUMMYFUNCTION("""COMPUTED_VALUE"""),"Lentes de STOCK")</f>
        <v>Lentes de STOCK</v>
      </c>
      <c r="E15" s="1" t="str">
        <f>IFERROR(__xludf.DUMMYFUNCTION("""COMPUTED_VALUE"""),"RIVADAVIA Santiago LOPEZ")</f>
        <v>RIVADAVIA Santiago LOPEZ</v>
      </c>
      <c r="F15" s="1" t="str">
        <f t="shared" si="1"/>
        <v>RIVADAVIA </v>
      </c>
      <c r="G15" s="1" t="str">
        <f t="shared" si="2"/>
        <v>Santiago LOPEZ</v>
      </c>
      <c r="H15" s="1" t="str">
        <f>IFERROR(__xludf.DUMMYFUNCTION("""COMPUTED_VALUE"""),"9/1/2023, 17:00:00")</f>
        <v>9/1/2023, 17:00:00</v>
      </c>
      <c r="I15" s="1" t="str">
        <f>IFERROR(__xludf.DUMMYFUNCTION("""COMPUTED_VALUE"""),"RETIRADO OK POR CLIENTE")</f>
        <v>RETIRADO OK POR CLIENTE</v>
      </c>
      <c r="J15" s="1">
        <f t="shared" si="3"/>
        <v>6</v>
      </c>
      <c r="K15" s="1" t="str">
        <f t="shared" si="4"/>
        <v>Entregamos tus lentes, que los disfrutes!</v>
      </c>
    </row>
    <row r="16">
      <c r="A16" s="1">
        <f>IFERROR(__xludf.DUMMYFUNCTION("""COMPUTED_VALUE"""),84567.0)</f>
        <v>84567</v>
      </c>
      <c r="B16" s="5">
        <f>IFERROR(__xludf.DUMMYFUNCTION("""COMPUTED_VALUE"""),44930.52763538194)</f>
        <v>44930.52764</v>
      </c>
      <c r="C16" s="1" t="str">
        <f>IFERROR(__xludf.DUMMYFUNCTION("""COMPUTED_VALUE"""),"ACEVEDO CECILIA")</f>
        <v>ACEVEDO CECILIA</v>
      </c>
      <c r="D16" s="1" t="str">
        <f>IFERROR(__xludf.DUMMYFUNCTION("""COMPUTED_VALUE"""),"Reparaciones/Otros")</f>
        <v>Reparaciones/Otros</v>
      </c>
      <c r="E16" s="1" t="str">
        <f>IFERROR(__xludf.DUMMYFUNCTION("""COMPUTED_VALUE"""),"RIVADAVIA Marcela L")</f>
        <v>RIVADAVIA Marcela L</v>
      </c>
      <c r="F16" s="1" t="str">
        <f t="shared" si="1"/>
        <v>RIVADAVIA </v>
      </c>
      <c r="G16" s="1" t="str">
        <f t="shared" si="2"/>
        <v>Marcela L</v>
      </c>
      <c r="H16" s="1" t="str">
        <f>IFERROR(__xludf.DUMMYFUNCTION("""COMPUTED_VALUE"""),"5/1/2023, 17:00:00")</f>
        <v>5/1/2023, 17:00:00</v>
      </c>
      <c r="I16" s="1" t="str">
        <f>IFERROR(__xludf.DUMMYFUNCTION("""COMPUTED_VALUE"""),"Completado en SUCURSAL")</f>
        <v>Completado en SUCURSAL</v>
      </c>
      <c r="J16" s="1">
        <f t="shared" si="3"/>
        <v>5</v>
      </c>
      <c r="K16" s="1" t="str">
        <f t="shared" si="4"/>
        <v>Tus Lentes estan LISTAS PARA ENTREGAR, te esperamos.</v>
      </c>
    </row>
    <row r="17">
      <c r="A17" s="1">
        <f>IFERROR(__xludf.DUMMYFUNCTION("""COMPUTED_VALUE"""),84568.0)</f>
        <v>84568</v>
      </c>
      <c r="B17" s="5">
        <f>IFERROR(__xludf.DUMMYFUNCTION("""COMPUTED_VALUE"""),44930.53814158565)</f>
        <v>44930.53814</v>
      </c>
      <c r="C17" s="1" t="str">
        <f>IFERROR(__xludf.DUMMYFUNCTION("""COMPUTED_VALUE"""),"VILLEGAS OSCAR VALENTIN")</f>
        <v>VILLEGAS OSCAR VALENTIN</v>
      </c>
      <c r="D17" s="1" t="str">
        <f>IFERROR(__xludf.DUMMYFUNCTION("""COMPUTED_VALUE"""),"Lentes de STOCK")</f>
        <v>Lentes de STOCK</v>
      </c>
      <c r="E17" s="1" t="str">
        <f>IFERROR(__xludf.DUMMYFUNCTION("""COMPUTED_VALUE"""),"ARTIGAS Cristian C.")</f>
        <v>ARTIGAS Cristian C.</v>
      </c>
      <c r="F17" s="1" t="str">
        <f t="shared" si="1"/>
        <v>ARTIGAS </v>
      </c>
      <c r="G17" s="1" t="str">
        <f t="shared" si="2"/>
        <v>Cristian C.</v>
      </c>
      <c r="H17" s="1" t="str">
        <f>IFERROR(__xludf.DUMMYFUNCTION("""COMPUTED_VALUE"""),"11/1/2023, 17:00:00")</f>
        <v>11/1/2023, 17:00:00</v>
      </c>
      <c r="I17" s="1" t="str">
        <f>IFERROR(__xludf.DUMMYFUNCTION("""COMPUTED_VALUE"""),"Completado en SUCURSAL")</f>
        <v>Completado en SUCURSAL</v>
      </c>
      <c r="J17" s="1">
        <f t="shared" si="3"/>
        <v>5</v>
      </c>
      <c r="K17" s="1" t="str">
        <f t="shared" si="4"/>
        <v>Tus Lentes estan LISTAS PARA ENTREGAR, te esperamos.</v>
      </c>
    </row>
    <row r="18">
      <c r="A18" s="1">
        <f>IFERROR(__xludf.DUMMYFUNCTION("""COMPUTED_VALUE"""),84569.0)</f>
        <v>84569</v>
      </c>
      <c r="B18" s="5">
        <f>IFERROR(__xludf.DUMMYFUNCTION("""COMPUTED_VALUE"""),44930.54176166667)</f>
        <v>44930.54176</v>
      </c>
      <c r="C18" s="1" t="str">
        <f>IFERROR(__xludf.DUMMYFUNCTION("""COMPUTED_VALUE"""),"Bertin Jorge Luis")</f>
        <v>Bertin Jorge Luis</v>
      </c>
      <c r="D18" s="1" t="str">
        <f>IFERROR(__xludf.DUMMYFUNCTION("""COMPUTED_VALUE"""),"Lentes de STOCK")</f>
        <v>Lentes de STOCK</v>
      </c>
      <c r="E18" s="1" t="str">
        <f>IFERROR(__xludf.DUMMYFUNCTION("""COMPUTED_VALUE"""),"RIVADAVIA Rocio B")</f>
        <v>RIVADAVIA Rocio B</v>
      </c>
      <c r="F18" s="1" t="str">
        <f t="shared" si="1"/>
        <v>RIVADAVIA </v>
      </c>
      <c r="G18" s="1" t="str">
        <f t="shared" si="2"/>
        <v>Rocio B</v>
      </c>
      <c r="H18" s="1" t="str">
        <f>IFERROR(__xludf.DUMMYFUNCTION("""COMPUTED_VALUE"""),"6/1/2023, 17:00:00")</f>
        <v>6/1/2023, 17:00:00</v>
      </c>
      <c r="I18" s="1" t="str">
        <f>IFERROR(__xludf.DUMMYFUNCTION("""COMPUTED_VALUE"""),"Completado en SUCURSAL")</f>
        <v>Completado en SUCURSAL</v>
      </c>
      <c r="J18" s="1">
        <f t="shared" si="3"/>
        <v>5</v>
      </c>
      <c r="K18" s="1" t="str">
        <f t="shared" si="4"/>
        <v>Tus Lentes estan LISTAS PARA ENTREGAR, te esperamos.</v>
      </c>
    </row>
    <row r="19">
      <c r="A19" s="1">
        <f>IFERROR(__xludf.DUMMYFUNCTION("""COMPUTED_VALUE"""),84570.0)</f>
        <v>84570</v>
      </c>
      <c r="B19" s="5">
        <f>IFERROR(__xludf.DUMMYFUNCTION("""COMPUTED_VALUE"""),44930.5471731713)</f>
        <v>44930.54717</v>
      </c>
      <c r="C19" s="1" t="str">
        <f>IFERROR(__xludf.DUMMYFUNCTION("""COMPUTED_VALUE"""),"FERREIRA ROCIO")</f>
        <v>FERREIRA ROCIO</v>
      </c>
      <c r="D19" s="1" t="str">
        <f>IFERROR(__xludf.DUMMYFUNCTION("""COMPUTED_VALUE"""),"Reparaciones/Otros")</f>
        <v>Reparaciones/Otros</v>
      </c>
      <c r="E19" s="1" t="str">
        <f>IFERROR(__xludf.DUMMYFUNCTION("""COMPUTED_VALUE"""),"RIVADAVIA Luciana")</f>
        <v>RIVADAVIA Luciana</v>
      </c>
      <c r="F19" s="1" t="str">
        <f t="shared" si="1"/>
        <v>RIVADAVIA </v>
      </c>
      <c r="G19" s="1" t="str">
        <f t="shared" si="2"/>
        <v>Luciana</v>
      </c>
      <c r="H19" s="1" t="str">
        <f>IFERROR(__xludf.DUMMYFUNCTION("""COMPUTED_VALUE"""),"5/1/2023, 17:00:00")</f>
        <v>5/1/2023, 17:00:00</v>
      </c>
      <c r="I19" s="1"/>
      <c r="J19" s="1">
        <f t="shared" si="3"/>
        <v>0</v>
      </c>
      <c r="K19" s="1" t="str">
        <f t="shared" si="4"/>
        <v/>
      </c>
    </row>
    <row r="20">
      <c r="A20" s="1">
        <f>IFERROR(__xludf.DUMMYFUNCTION("""COMPUTED_VALUE"""),84571.0)</f>
        <v>84571</v>
      </c>
      <c r="B20" s="5">
        <f>IFERROR(__xludf.DUMMYFUNCTION("""COMPUTED_VALUE"""),44930.602654745366)</f>
        <v>44930.60265</v>
      </c>
      <c r="C20" s="1" t="str">
        <f>IFERROR(__xludf.DUMMYFUNCTION("""COMPUTED_VALUE"""),"MEDERO LIDIA BEATRIZ")</f>
        <v>MEDERO LIDIA BEATRIZ</v>
      </c>
      <c r="D20" s="1" t="str">
        <f>IFERROR(__xludf.DUMMYFUNCTION("""COMPUTED_VALUE"""),"Lentes MULTIFOCALES")</f>
        <v>Lentes MULTIFOCALES</v>
      </c>
      <c r="E20" s="1" t="str">
        <f>IFERROR(__xludf.DUMMYFUNCTION("""COMPUTED_VALUE"""),"RIVADAVIA Marcela L")</f>
        <v>RIVADAVIA Marcela L</v>
      </c>
      <c r="F20" s="1" t="str">
        <f t="shared" si="1"/>
        <v>RIVADAVIA </v>
      </c>
      <c r="G20" s="1" t="str">
        <f t="shared" si="2"/>
        <v>Marcela L</v>
      </c>
      <c r="H20" s="1" t="str">
        <f>IFERROR(__xludf.DUMMYFUNCTION("""COMPUTED_VALUE"""),"20/1/2023, 17:00:00")</f>
        <v>20/1/2023, 17:00:00</v>
      </c>
      <c r="I20" s="1" t="str">
        <f>IFERROR(__xludf.DUMMYFUNCTION("""COMPUTED_VALUE"""),"En Armado Hoy")</f>
        <v>En Armado Hoy</v>
      </c>
      <c r="J20" s="1">
        <f t="shared" si="3"/>
        <v>3</v>
      </c>
      <c r="K20" s="1" t="str">
        <f t="shared" si="4"/>
        <v>Estamos terminando los ultimos detalles de tus lentes, los terminaremos el dia de hoy.</v>
      </c>
    </row>
    <row r="21">
      <c r="A21" s="1">
        <f>IFERROR(__xludf.DUMMYFUNCTION("""COMPUTED_VALUE"""),84572.0)</f>
        <v>84572</v>
      </c>
      <c r="B21" s="5">
        <f>IFERROR(__xludf.DUMMYFUNCTION("""COMPUTED_VALUE"""),44930.694892175925)</f>
        <v>44930.69489</v>
      </c>
      <c r="C21" s="1" t="str">
        <f>IFERROR(__xludf.DUMMYFUNCTION("""COMPUTED_VALUE"""),"MARIA DEL CARMEN ")</f>
        <v>MARIA DEL CARMEN </v>
      </c>
      <c r="D21" s="1" t="str">
        <f>IFERROR(__xludf.DUMMYFUNCTION("""COMPUTED_VALUE"""),"Reparaciones/Otros")</f>
        <v>Reparaciones/Otros</v>
      </c>
      <c r="E21" s="1" t="str">
        <f>IFERROR(__xludf.DUMMYFUNCTION("""COMPUTED_VALUE"""),"ARTIGAS Celina")</f>
        <v>ARTIGAS Celina</v>
      </c>
      <c r="F21" s="1" t="str">
        <f t="shared" si="1"/>
        <v>ARTIGAS </v>
      </c>
      <c r="G21" s="1" t="str">
        <f t="shared" si="2"/>
        <v>Celina</v>
      </c>
      <c r="H21" s="1" t="str">
        <f>IFERROR(__xludf.DUMMYFUNCTION("""COMPUTED_VALUE"""),"5/1/2023, 17:00:00")</f>
        <v>5/1/2023, 17:00:00</v>
      </c>
      <c r="I21" s="1" t="str">
        <f>IFERROR(__xludf.DUMMYFUNCTION("""COMPUTED_VALUE"""),"Completado en SUCURSAL")</f>
        <v>Completado en SUCURSAL</v>
      </c>
      <c r="J21" s="1">
        <f t="shared" si="3"/>
        <v>5</v>
      </c>
      <c r="K21" s="1" t="str">
        <f t="shared" si="4"/>
        <v>Tus Lentes estan LISTAS PARA ENTREGAR, te esperamos.</v>
      </c>
    </row>
    <row r="22">
      <c r="A22" s="1">
        <f>IFERROR(__xludf.DUMMYFUNCTION("""COMPUTED_VALUE"""),84573.0)</f>
        <v>84573</v>
      </c>
      <c r="B22" s="5">
        <f>IFERROR(__xludf.DUMMYFUNCTION("""COMPUTED_VALUE"""),44930.70955208333)</f>
        <v>44930.70955</v>
      </c>
      <c r="C22" s="1" t="str">
        <f>IFERROR(__xludf.DUMMYFUNCTION("""COMPUTED_VALUE"""),"LOYOLA SILVINA")</f>
        <v>LOYOLA SILVINA</v>
      </c>
      <c r="D22" s="1" t="str">
        <f>IFERROR(__xludf.DUMMYFUNCTION("""COMPUTED_VALUE"""),"Lentes de STOCK")</f>
        <v>Lentes de STOCK</v>
      </c>
      <c r="E22" s="1" t="str">
        <f>IFERROR(__xludf.DUMMYFUNCTION("""COMPUTED_VALUE"""),"ARTIGAS Ivana P.")</f>
        <v>ARTIGAS Ivana P.</v>
      </c>
      <c r="F22" s="1" t="str">
        <f t="shared" si="1"/>
        <v>ARTIGAS </v>
      </c>
      <c r="G22" s="1" t="str">
        <f t="shared" si="2"/>
        <v>Ivana P.</v>
      </c>
      <c r="H22" s="1" t="str">
        <f>IFERROR(__xludf.DUMMYFUNCTION("""COMPUTED_VALUE"""),"13/1/2023, 17:00:00")</f>
        <v>13/1/2023, 17:00:00</v>
      </c>
      <c r="I22" s="1" t="str">
        <f>IFERROR(__xludf.DUMMYFUNCTION("""COMPUTED_VALUE"""),"RETIRADO OK POR CLIENTE")</f>
        <v>RETIRADO OK POR CLIENTE</v>
      </c>
      <c r="J22" s="1">
        <f t="shared" si="3"/>
        <v>6</v>
      </c>
      <c r="K22" s="1" t="str">
        <f t="shared" si="4"/>
        <v>Entregamos tus lentes, que los disfrutes!</v>
      </c>
    </row>
    <row r="23">
      <c r="A23" s="1">
        <f>IFERROR(__xludf.DUMMYFUNCTION("""COMPUTED_VALUE"""),84574.0)</f>
        <v>84574</v>
      </c>
      <c r="B23" s="5">
        <f>IFERROR(__xludf.DUMMYFUNCTION("""COMPUTED_VALUE"""),44930.718279872686)</f>
        <v>44930.71828</v>
      </c>
      <c r="C23" s="1" t="str">
        <f>IFERROR(__xludf.DUMMYFUNCTION("""COMPUTED_VALUE"""),"SALDIVIA JULIA")</f>
        <v>SALDIVIA JULIA</v>
      </c>
      <c r="D23" s="1" t="str">
        <f>IFERROR(__xludf.DUMMYFUNCTION("""COMPUTED_VALUE"""),"Lentes MULTIFOCALES")</f>
        <v>Lentes MULTIFOCALES</v>
      </c>
      <c r="E23" s="1" t="str">
        <f>IFERROR(__xludf.DUMMYFUNCTION("""COMPUTED_VALUE"""),"ARTIGAS Ivana P.")</f>
        <v>ARTIGAS Ivana P.</v>
      </c>
      <c r="F23" s="1" t="str">
        <f t="shared" si="1"/>
        <v>ARTIGAS </v>
      </c>
      <c r="G23" s="1" t="str">
        <f t="shared" si="2"/>
        <v>Ivana P.</v>
      </c>
      <c r="H23" s="1" t="str">
        <f>IFERROR(__xludf.DUMMYFUNCTION("""COMPUTED_VALUE"""),"17/1/2023, 17:00:00")</f>
        <v>17/1/2023, 17:00:00</v>
      </c>
      <c r="I23" s="1" t="str">
        <f>IFERROR(__xludf.DUMMYFUNCTION("""COMPUTED_VALUE"""),"Completado en SUCURSAL")</f>
        <v>Completado en SUCURSAL</v>
      </c>
      <c r="J23" s="1">
        <f t="shared" si="3"/>
        <v>5</v>
      </c>
      <c r="K23" s="1" t="str">
        <f t="shared" si="4"/>
        <v>Tus Lentes estan LISTAS PARA ENTREGAR, te esperamos.</v>
      </c>
    </row>
    <row r="24">
      <c r="A24" s="1">
        <f>IFERROR(__xludf.DUMMYFUNCTION("""COMPUTED_VALUE"""),84575.0)</f>
        <v>84575</v>
      </c>
      <c r="B24" s="5">
        <f>IFERROR(__xludf.DUMMYFUNCTION("""COMPUTED_VALUE"""),44930.72012247685)</f>
        <v>44930.72012</v>
      </c>
      <c r="C24" s="1" t="str">
        <f>IFERROR(__xludf.DUMMYFUNCTION("""COMPUTED_VALUE"""),"SOSA CHAVEZ LILIANA")</f>
        <v>SOSA CHAVEZ LILIANA</v>
      </c>
      <c r="D24" s="1" t="str">
        <f>IFERROR(__xludf.DUMMYFUNCTION("""COMPUTED_VALUE"""),"Reparaciones/Otros")</f>
        <v>Reparaciones/Otros</v>
      </c>
      <c r="E24" s="1" t="str">
        <f>IFERROR(__xludf.DUMMYFUNCTION("""COMPUTED_VALUE"""),"RIVADAVIA Luciana")</f>
        <v>RIVADAVIA Luciana</v>
      </c>
      <c r="F24" s="1" t="str">
        <f t="shared" si="1"/>
        <v>RIVADAVIA </v>
      </c>
      <c r="G24" s="1" t="str">
        <f t="shared" si="2"/>
        <v>Luciana</v>
      </c>
      <c r="H24" s="1" t="str">
        <f>IFERROR(__xludf.DUMMYFUNCTION("""COMPUTED_VALUE"""),"5/1/2023, 17:00:00")</f>
        <v>5/1/2023, 17:00:00</v>
      </c>
      <c r="I24" s="1" t="str">
        <f>IFERROR(__xludf.DUMMYFUNCTION("""COMPUTED_VALUE"""),"Completado en SUCURSAL")</f>
        <v>Completado en SUCURSAL</v>
      </c>
      <c r="J24" s="1">
        <f t="shared" si="3"/>
        <v>5</v>
      </c>
      <c r="K24" s="1" t="str">
        <f t="shared" si="4"/>
        <v>Tus Lentes estan LISTAS PARA ENTREGAR, te esperamos.</v>
      </c>
    </row>
    <row r="25">
      <c r="A25" s="1">
        <f>IFERROR(__xludf.DUMMYFUNCTION("""COMPUTED_VALUE"""),84576.0)</f>
        <v>84576</v>
      </c>
      <c r="B25" s="5">
        <f>IFERROR(__xludf.DUMMYFUNCTION("""COMPUTED_VALUE"""),44930.72441653935)</f>
        <v>44930.72442</v>
      </c>
      <c r="C25" s="1" t="str">
        <f>IFERROR(__xludf.DUMMYFUNCTION("""COMPUTED_VALUE""")," FARIAS SILVIA")</f>
        <v> FARIAS SILVIA</v>
      </c>
      <c r="D25" s="1" t="str">
        <f>IFERROR(__xludf.DUMMYFUNCTION("""COMPUTED_VALUE"""),"Reparaciones/Otros")</f>
        <v>Reparaciones/Otros</v>
      </c>
      <c r="E25" s="1" t="str">
        <f>IFERROR(__xludf.DUMMYFUNCTION("""COMPUTED_VALUE"""),"RIVADAVIA Santiago LOPEZ")</f>
        <v>RIVADAVIA Santiago LOPEZ</v>
      </c>
      <c r="F25" s="1" t="str">
        <f t="shared" si="1"/>
        <v>RIVADAVIA </v>
      </c>
      <c r="G25" s="1" t="str">
        <f t="shared" si="2"/>
        <v>Santiago LOPEZ</v>
      </c>
      <c r="H25" s="1" t="str">
        <f>IFERROR(__xludf.DUMMYFUNCTION("""COMPUTED_VALUE"""),"5/1/2023, 17:00:00")</f>
        <v>5/1/2023, 17:00:00</v>
      </c>
      <c r="I25" s="1"/>
      <c r="J25" s="1">
        <f t="shared" si="3"/>
        <v>0</v>
      </c>
      <c r="K25" s="1" t="str">
        <f t="shared" si="4"/>
        <v/>
      </c>
    </row>
    <row r="26">
      <c r="A26" s="1">
        <f>IFERROR(__xludf.DUMMYFUNCTION("""COMPUTED_VALUE"""),84577.0)</f>
        <v>84577</v>
      </c>
      <c r="B26" s="5">
        <f>IFERROR(__xludf.DUMMYFUNCTION("""COMPUTED_VALUE"""),44930.72595853009)</f>
        <v>44930.72596</v>
      </c>
      <c r="C26" s="1" t="str">
        <f>IFERROR(__xludf.DUMMYFUNCTION("""COMPUTED_VALUE"""),"FARIAS SILVIA")</f>
        <v>FARIAS SILVIA</v>
      </c>
      <c r="D26" s="1" t="str">
        <f>IFERROR(__xludf.DUMMYFUNCTION("""COMPUTED_VALUE"""),"Reparaciones/Otros")</f>
        <v>Reparaciones/Otros</v>
      </c>
      <c r="E26" s="1" t="str">
        <f>IFERROR(__xludf.DUMMYFUNCTION("""COMPUTED_VALUE"""),"RIVADAVIA Santiago LOPEZ")</f>
        <v>RIVADAVIA Santiago LOPEZ</v>
      </c>
      <c r="F26" s="1" t="str">
        <f t="shared" si="1"/>
        <v>RIVADAVIA </v>
      </c>
      <c r="G26" s="1" t="str">
        <f t="shared" si="2"/>
        <v>Santiago LOPEZ</v>
      </c>
      <c r="H26" s="1" t="str">
        <f>IFERROR(__xludf.DUMMYFUNCTION("""COMPUTED_VALUE"""),"5/1/2023, 17:00:00")</f>
        <v>5/1/2023, 17:00:00</v>
      </c>
      <c r="I26" s="1"/>
      <c r="J26" s="1">
        <f t="shared" si="3"/>
        <v>0</v>
      </c>
      <c r="K26" s="1" t="str">
        <f t="shared" si="4"/>
        <v/>
      </c>
    </row>
    <row r="27">
      <c r="A27" s="1">
        <f>IFERROR(__xludf.DUMMYFUNCTION("""COMPUTED_VALUE"""),84578.0)</f>
        <v>84578</v>
      </c>
      <c r="B27" s="5">
        <f>IFERROR(__xludf.DUMMYFUNCTION("""COMPUTED_VALUE"""),44930.73016648148)</f>
        <v>44930.73017</v>
      </c>
      <c r="C27" s="1" t="str">
        <f>IFERROR(__xludf.DUMMYFUNCTION("""COMPUTED_VALUE"""),"Fagotti Karen")</f>
        <v>Fagotti Karen</v>
      </c>
      <c r="D27" s="1" t="str">
        <f>IFERROR(__xludf.DUMMYFUNCTION("""COMPUTED_VALUE"""),"Lentes de STOCK")</f>
        <v>Lentes de STOCK</v>
      </c>
      <c r="E27" s="1" t="str">
        <f>IFERROR(__xludf.DUMMYFUNCTION("""COMPUTED_VALUE"""),"RIVADAVIA Rocio B")</f>
        <v>RIVADAVIA Rocio B</v>
      </c>
      <c r="F27" s="1" t="str">
        <f t="shared" si="1"/>
        <v>RIVADAVIA </v>
      </c>
      <c r="G27" s="1" t="str">
        <f t="shared" si="2"/>
        <v>Rocio B</v>
      </c>
      <c r="H27" s="1" t="str">
        <f>IFERROR(__xludf.DUMMYFUNCTION("""COMPUTED_VALUE"""),"11/1/2023, 17:00:00")</f>
        <v>11/1/2023, 17:00:00</v>
      </c>
      <c r="I27" s="1" t="str">
        <f>IFERROR(__xludf.DUMMYFUNCTION("""COMPUTED_VALUE"""),"RETIRADO OK POR CLIENTE")</f>
        <v>RETIRADO OK POR CLIENTE</v>
      </c>
      <c r="J27" s="1">
        <f t="shared" si="3"/>
        <v>6</v>
      </c>
      <c r="K27" s="1" t="str">
        <f t="shared" si="4"/>
        <v>Entregamos tus lentes, que los disfrutes!</v>
      </c>
    </row>
    <row r="28">
      <c r="A28" s="1">
        <f>IFERROR(__xludf.DUMMYFUNCTION("""COMPUTED_VALUE"""),84579.0)</f>
        <v>84579</v>
      </c>
      <c r="B28" s="5">
        <f>IFERROR(__xludf.DUMMYFUNCTION("""COMPUTED_VALUE"""),44930.74037474537)</f>
        <v>44930.74037</v>
      </c>
      <c r="C28" s="1" t="str">
        <f>IFERROR(__xludf.DUMMYFUNCTION("""COMPUTED_VALUE"""),"OLIVERA SILVIA")</f>
        <v>OLIVERA SILVIA</v>
      </c>
      <c r="D28" s="1" t="str">
        <f>IFERROR(__xludf.DUMMYFUNCTION("""COMPUTED_VALUE"""),"Lentes de STOCK")</f>
        <v>Lentes de STOCK</v>
      </c>
      <c r="E28" s="1" t="str">
        <f>IFERROR(__xludf.DUMMYFUNCTION("""COMPUTED_VALUE"""),"RIVADAVIA Javier")</f>
        <v>RIVADAVIA Javier</v>
      </c>
      <c r="F28" s="1" t="str">
        <f t="shared" si="1"/>
        <v>RIVADAVIA </v>
      </c>
      <c r="G28" s="1" t="str">
        <f t="shared" si="2"/>
        <v>Javier</v>
      </c>
      <c r="H28" s="1" t="str">
        <f>IFERROR(__xludf.DUMMYFUNCTION("""COMPUTED_VALUE"""),"9/1/2023, 17:00:00")</f>
        <v>9/1/2023, 17:00:00</v>
      </c>
      <c r="I28" s="1" t="str">
        <f>IFERROR(__xludf.DUMMYFUNCTION("""COMPUTED_VALUE"""),"RETIRADO OK POR CLIENTE")</f>
        <v>RETIRADO OK POR CLIENTE</v>
      </c>
      <c r="J28" s="1">
        <f t="shared" si="3"/>
        <v>6</v>
      </c>
      <c r="K28" s="1" t="str">
        <f t="shared" si="4"/>
        <v>Entregamos tus lentes, que los disfrutes!</v>
      </c>
    </row>
    <row r="29">
      <c r="A29" s="1">
        <f>IFERROR(__xludf.DUMMYFUNCTION("""COMPUTED_VALUE"""),84580.0)</f>
        <v>84580</v>
      </c>
      <c r="B29" s="5">
        <f>IFERROR(__xludf.DUMMYFUNCTION("""COMPUTED_VALUE"""),44930.74454451389)</f>
        <v>44930.74454</v>
      </c>
      <c r="C29" s="1" t="str">
        <f>IFERROR(__xludf.DUMMYFUNCTION("""COMPUTED_VALUE"""),"GARCIA SOFIA")</f>
        <v>GARCIA SOFIA</v>
      </c>
      <c r="D29" s="1" t="str">
        <f>IFERROR(__xludf.DUMMYFUNCTION("""COMPUTED_VALUE"""),"Reparaciones/Otros")</f>
        <v>Reparaciones/Otros</v>
      </c>
      <c r="E29" s="1" t="str">
        <f>IFERROR(__xludf.DUMMYFUNCTION("""COMPUTED_VALUE"""),"RIVADAVIA Santiago LOPEZ")</f>
        <v>RIVADAVIA Santiago LOPEZ</v>
      </c>
      <c r="F29" s="1" t="str">
        <f t="shared" si="1"/>
        <v>RIVADAVIA </v>
      </c>
      <c r="G29" s="1" t="str">
        <f t="shared" si="2"/>
        <v>Santiago LOPEZ</v>
      </c>
      <c r="H29" s="1" t="str">
        <f>IFERROR(__xludf.DUMMYFUNCTION("""COMPUTED_VALUE"""),"5/1/2023, 17:00:00")</f>
        <v>5/1/2023, 17:00:00</v>
      </c>
      <c r="I29" s="1" t="str">
        <f>IFERROR(__xludf.DUMMYFUNCTION("""COMPUTED_VALUE"""),"Completado en SUCURSAL")</f>
        <v>Completado en SUCURSAL</v>
      </c>
      <c r="J29" s="1">
        <f t="shared" si="3"/>
        <v>5</v>
      </c>
      <c r="K29" s="1" t="str">
        <f t="shared" si="4"/>
        <v>Tus Lentes estan LISTAS PARA ENTREGAR, te esperamos.</v>
      </c>
    </row>
    <row r="30">
      <c r="A30" s="1">
        <f>IFERROR(__xludf.DUMMYFUNCTION("""COMPUTED_VALUE"""),84581.0)</f>
        <v>84581</v>
      </c>
      <c r="B30" s="5">
        <f>IFERROR(__xludf.DUMMYFUNCTION("""COMPUTED_VALUE"""),44930.753322766206)</f>
        <v>44930.75332</v>
      </c>
      <c r="C30" s="1" t="str">
        <f>IFERROR(__xludf.DUMMYFUNCTION("""COMPUTED_VALUE"""),"FLORES HUGO")</f>
        <v>FLORES HUGO</v>
      </c>
      <c r="D30" s="1" t="str">
        <f>IFERROR(__xludf.DUMMYFUNCTION("""COMPUTED_VALUE"""),"Reparaciones/Otros")</f>
        <v>Reparaciones/Otros</v>
      </c>
      <c r="E30" s="1" t="str">
        <f>IFERROR(__xludf.DUMMYFUNCTION("""COMPUTED_VALUE"""),"ARTIGAS Cristian C.")</f>
        <v>ARTIGAS Cristian C.</v>
      </c>
      <c r="F30" s="1" t="str">
        <f t="shared" si="1"/>
        <v>ARTIGAS </v>
      </c>
      <c r="G30" s="1" t="str">
        <f t="shared" si="2"/>
        <v>Cristian C.</v>
      </c>
      <c r="H30" s="1" t="str">
        <f>IFERROR(__xludf.DUMMYFUNCTION("""COMPUTED_VALUE"""),"6/1/2023, 17:00:00")</f>
        <v>6/1/2023, 17:00:00</v>
      </c>
      <c r="I30" s="1" t="str">
        <f>IFERROR(__xludf.DUMMYFUNCTION("""COMPUTED_VALUE"""),"Completado en SUCURSAL")</f>
        <v>Completado en SUCURSAL</v>
      </c>
      <c r="J30" s="1">
        <f t="shared" si="3"/>
        <v>5</v>
      </c>
      <c r="K30" s="1" t="str">
        <f t="shared" si="4"/>
        <v>Tus Lentes estan LISTAS PARA ENTREGAR, te esperamos.</v>
      </c>
    </row>
    <row r="31">
      <c r="A31" s="1">
        <f>IFERROR(__xludf.DUMMYFUNCTION("""COMPUTED_VALUE"""),84582.0)</f>
        <v>84582</v>
      </c>
      <c r="B31" s="5">
        <f>IFERROR(__xludf.DUMMYFUNCTION("""COMPUTED_VALUE"""),44930.76331699074)</f>
        <v>44930.76332</v>
      </c>
      <c r="C31" s="1" t="str">
        <f>IFERROR(__xludf.DUMMYFUNCTION("""COMPUTED_VALUE"""),"DEL RIO PEDRO")</f>
        <v>DEL RIO PEDRO</v>
      </c>
      <c r="D31" s="1" t="str">
        <f>IFERROR(__xludf.DUMMYFUNCTION("""COMPUTED_VALUE"""),"Lentes de STOCK")</f>
        <v>Lentes de STOCK</v>
      </c>
      <c r="E31" s="1" t="str">
        <f>IFERROR(__xludf.DUMMYFUNCTION("""COMPUTED_VALUE"""),"ARTIGAS Ivana P.")</f>
        <v>ARTIGAS Ivana P.</v>
      </c>
      <c r="F31" s="1" t="str">
        <f t="shared" si="1"/>
        <v>ARTIGAS </v>
      </c>
      <c r="G31" s="1" t="str">
        <f t="shared" si="2"/>
        <v>Ivana P.</v>
      </c>
      <c r="H31" s="1" t="str">
        <f>IFERROR(__xludf.DUMMYFUNCTION("""COMPUTED_VALUE"""),"9/1/2023, 17:00:00")</f>
        <v>9/1/2023, 17:00:00</v>
      </c>
      <c r="I31" s="1" t="str">
        <f>IFERROR(__xludf.DUMMYFUNCTION("""COMPUTED_VALUE"""),"RETIRADO OK POR CLIENTE")</f>
        <v>RETIRADO OK POR CLIENTE</v>
      </c>
      <c r="J31" s="1">
        <f t="shared" si="3"/>
        <v>6</v>
      </c>
      <c r="K31" s="1" t="str">
        <f t="shared" si="4"/>
        <v>Entregamos tus lentes, que los disfrutes!</v>
      </c>
    </row>
    <row r="32">
      <c r="A32" s="1">
        <f>IFERROR(__xludf.DUMMYFUNCTION("""COMPUTED_VALUE"""),84583.0)</f>
        <v>84583</v>
      </c>
      <c r="B32" s="5">
        <f>IFERROR(__xludf.DUMMYFUNCTION("""COMPUTED_VALUE"""),44930.7680578125)</f>
        <v>44930.76806</v>
      </c>
      <c r="C32" s="1" t="str">
        <f>IFERROR(__xludf.DUMMYFUNCTION("""COMPUTED_VALUE"""),"SANCHEZ CINTIA")</f>
        <v>SANCHEZ CINTIA</v>
      </c>
      <c r="D32" s="1" t="str">
        <f>IFERROR(__xludf.DUMMYFUNCTION("""COMPUTED_VALUE"""),"Lentes de STOCK")</f>
        <v>Lentes de STOCK</v>
      </c>
      <c r="E32" s="1" t="str">
        <f>IFERROR(__xludf.DUMMYFUNCTION("""COMPUTED_VALUE"""),"ARTIGAS Cristian C.")</f>
        <v>ARTIGAS Cristian C.</v>
      </c>
      <c r="F32" s="1" t="str">
        <f t="shared" si="1"/>
        <v>ARTIGAS </v>
      </c>
      <c r="G32" s="1" t="str">
        <f t="shared" si="2"/>
        <v>Cristian C.</v>
      </c>
      <c r="H32" s="1" t="str">
        <f>IFERROR(__xludf.DUMMYFUNCTION("""COMPUTED_VALUE"""),"6/1/2023, 17:00:00")</f>
        <v>6/1/2023, 17:00:00</v>
      </c>
      <c r="I32" s="1" t="str">
        <f>IFERROR(__xludf.DUMMYFUNCTION("""COMPUTED_VALUE"""),"RETIRADO OK POR CLIENTE")</f>
        <v>RETIRADO OK POR CLIENTE</v>
      </c>
      <c r="J32" s="1">
        <f t="shared" si="3"/>
        <v>6</v>
      </c>
      <c r="K32" s="1" t="str">
        <f t="shared" si="4"/>
        <v>Entregamos tus lentes, que los disfrutes!</v>
      </c>
    </row>
    <row r="33">
      <c r="A33" s="1">
        <f>IFERROR(__xludf.DUMMYFUNCTION("""COMPUTED_VALUE"""),84584.0)</f>
        <v>84584</v>
      </c>
      <c r="B33" s="5">
        <f>IFERROR(__xludf.DUMMYFUNCTION("""COMPUTED_VALUE"""),44930.7743552662)</f>
        <v>44930.77436</v>
      </c>
      <c r="C33" s="1" t="str">
        <f>IFERROR(__xludf.DUMMYFUNCTION("""COMPUTED_VALUE"""),"SOSA RAMONA CATALINA")</f>
        <v>SOSA RAMONA CATALINA</v>
      </c>
      <c r="D33" s="1" t="str">
        <f>IFERROR(__xludf.DUMMYFUNCTION("""COMPUTED_VALUE"""),"Lentes de STOCK")</f>
        <v>Lentes de STOCK</v>
      </c>
      <c r="E33" s="1" t="str">
        <f>IFERROR(__xludf.DUMMYFUNCTION("""COMPUTED_VALUE"""),"RIVADAVIA Santiago LOPEZ")</f>
        <v>RIVADAVIA Santiago LOPEZ</v>
      </c>
      <c r="F33" s="1" t="str">
        <f t="shared" si="1"/>
        <v>RIVADAVIA </v>
      </c>
      <c r="G33" s="1" t="str">
        <f t="shared" si="2"/>
        <v>Santiago LOPEZ</v>
      </c>
      <c r="H33" s="1" t="str">
        <f>IFERROR(__xludf.DUMMYFUNCTION("""COMPUTED_VALUE"""),"6/1/2023, 17:00:00")</f>
        <v>6/1/2023, 17:00:00</v>
      </c>
      <c r="I33" s="1" t="str">
        <f>IFERROR(__xludf.DUMMYFUNCTION("""COMPUTED_VALUE"""),"Completado en SUCURSAL")</f>
        <v>Completado en SUCURSAL</v>
      </c>
      <c r="J33" s="1">
        <f t="shared" si="3"/>
        <v>5</v>
      </c>
      <c r="K33" s="1" t="str">
        <f t="shared" si="4"/>
        <v>Tus Lentes estan LISTAS PARA ENTREGAR, te esperamos.</v>
      </c>
    </row>
    <row r="34">
      <c r="A34" s="1">
        <f>IFERROR(__xludf.DUMMYFUNCTION("""COMPUTED_VALUE"""),84585.0)</f>
        <v>84585</v>
      </c>
      <c r="B34" s="5">
        <f>IFERROR(__xludf.DUMMYFUNCTION("""COMPUTED_VALUE"""),44930.7808319676)</f>
        <v>44930.78083</v>
      </c>
      <c r="C34" s="1" t="str">
        <f>IFERROR(__xludf.DUMMYFUNCTION("""COMPUTED_VALUE"""),"SIRACUSA LIDIA")</f>
        <v>SIRACUSA LIDIA</v>
      </c>
      <c r="D34" s="1" t="str">
        <f>IFERROR(__xludf.DUMMYFUNCTION("""COMPUTED_VALUE"""),"Lentes de STOCK")</f>
        <v>Lentes de STOCK</v>
      </c>
      <c r="E34" s="1" t="str">
        <f>IFERROR(__xludf.DUMMYFUNCTION("""COMPUTED_VALUE"""),"RIVADAVIA Santiago LOPEZ")</f>
        <v>RIVADAVIA Santiago LOPEZ</v>
      </c>
      <c r="F34" s="1" t="str">
        <f t="shared" si="1"/>
        <v>RIVADAVIA </v>
      </c>
      <c r="G34" s="1" t="str">
        <f t="shared" si="2"/>
        <v>Santiago LOPEZ</v>
      </c>
      <c r="H34" s="1" t="str">
        <f>IFERROR(__xludf.DUMMYFUNCTION("""COMPUTED_VALUE"""),"6/1/2023, 17:00:00")</f>
        <v>6/1/2023, 17:00:00</v>
      </c>
      <c r="I34" s="1" t="str">
        <f>IFERROR(__xludf.DUMMYFUNCTION("""COMPUTED_VALUE"""),"RETIRADO OK POR CLIENTE")</f>
        <v>RETIRADO OK POR CLIENTE</v>
      </c>
      <c r="J34" s="1">
        <f t="shared" si="3"/>
        <v>6</v>
      </c>
      <c r="K34" s="1" t="str">
        <f t="shared" si="4"/>
        <v>Entregamos tus lentes, que los disfrutes!</v>
      </c>
    </row>
    <row r="35">
      <c r="A35" s="1">
        <f>IFERROR(__xludf.DUMMYFUNCTION("""COMPUTED_VALUE"""),84586.0)</f>
        <v>84586</v>
      </c>
      <c r="B35" s="5">
        <f>IFERROR(__xludf.DUMMYFUNCTION("""COMPUTED_VALUE"""),44930.786284664355)</f>
        <v>44930.78628</v>
      </c>
      <c r="C35" s="1" t="str">
        <f>IFERROR(__xludf.DUMMYFUNCTION("""COMPUTED_VALUE"""),"CASIMO FRANCISMO JOSE ")</f>
        <v>CASIMO FRANCISMO JOSE </v>
      </c>
      <c r="D35" s="1" t="str">
        <f>IFERROR(__xludf.DUMMYFUNCTION("""COMPUTED_VALUE"""),"Lentes de STOCK")</f>
        <v>Lentes de STOCK</v>
      </c>
      <c r="E35" s="1" t="str">
        <f>IFERROR(__xludf.DUMMYFUNCTION("""COMPUTED_VALUE"""),"ARTIGAS Cristian C.")</f>
        <v>ARTIGAS Cristian C.</v>
      </c>
      <c r="F35" s="1" t="str">
        <f t="shared" si="1"/>
        <v>ARTIGAS </v>
      </c>
      <c r="G35" s="1" t="str">
        <f t="shared" si="2"/>
        <v>Cristian C.</v>
      </c>
      <c r="H35" s="1" t="str">
        <f>IFERROR(__xludf.DUMMYFUNCTION("""COMPUTED_VALUE"""),"12/1/2023, 17:00:00")</f>
        <v>12/1/2023, 17:00:00</v>
      </c>
      <c r="I35" s="1" t="str">
        <f>IFERROR(__xludf.DUMMYFUNCTION("""COMPUTED_VALUE"""),"RETIRADO OK POR CLIENTE")</f>
        <v>RETIRADO OK POR CLIENTE</v>
      </c>
      <c r="J35" s="1">
        <f t="shared" si="3"/>
        <v>6</v>
      </c>
      <c r="K35" s="1" t="str">
        <f t="shared" si="4"/>
        <v>Entregamos tus lentes, que los disfrutes!</v>
      </c>
    </row>
    <row r="36">
      <c r="A36" s="1">
        <f>IFERROR(__xludf.DUMMYFUNCTION("""COMPUTED_VALUE"""),84587.0)</f>
        <v>84587</v>
      </c>
      <c r="B36" s="5">
        <f>IFERROR(__xludf.DUMMYFUNCTION("""COMPUTED_VALUE"""),44930.79599712963)</f>
        <v>44930.796</v>
      </c>
      <c r="C36" s="1" t="str">
        <f>IFERROR(__xludf.DUMMYFUNCTION("""COMPUTED_VALUE"""),"LUCERO SERGIO")</f>
        <v>LUCERO SERGIO</v>
      </c>
      <c r="D36" s="1" t="str">
        <f>IFERROR(__xludf.DUMMYFUNCTION("""COMPUTED_VALUE"""),"Lentes MULTIFOCALES")</f>
        <v>Lentes MULTIFOCALES</v>
      </c>
      <c r="E36" s="1" t="str">
        <f>IFERROR(__xludf.DUMMYFUNCTION("""COMPUTED_VALUE"""),"ARTIGAS Ivana P.")</f>
        <v>ARTIGAS Ivana P.</v>
      </c>
      <c r="F36" s="1" t="str">
        <f t="shared" si="1"/>
        <v>ARTIGAS </v>
      </c>
      <c r="G36" s="1" t="str">
        <f t="shared" si="2"/>
        <v>Ivana P.</v>
      </c>
      <c r="H36" s="1" t="str">
        <f>IFERROR(__xludf.DUMMYFUNCTION("""COMPUTED_VALUE"""),"17/1/2023, 17:00:00")</f>
        <v>17/1/2023, 17:00:00</v>
      </c>
      <c r="I36" s="1" t="str">
        <f>IFERROR(__xludf.DUMMYFUNCTION("""COMPUTED_VALUE"""),"RETIRADO OK POR CLIENTE")</f>
        <v>RETIRADO OK POR CLIENTE</v>
      </c>
      <c r="J36" s="1">
        <f t="shared" si="3"/>
        <v>6</v>
      </c>
      <c r="K36" s="1" t="str">
        <f t="shared" si="4"/>
        <v>Entregamos tus lentes, que los disfrutes!</v>
      </c>
    </row>
    <row r="37">
      <c r="A37" s="1">
        <f>IFERROR(__xludf.DUMMYFUNCTION("""COMPUTED_VALUE"""),84588.0)</f>
        <v>84588</v>
      </c>
      <c r="B37" s="5">
        <f>IFERROR(__xludf.DUMMYFUNCTION("""COMPUTED_VALUE"""),44930.79703916667)</f>
        <v>44930.79704</v>
      </c>
      <c r="C37" s="1" t="str">
        <f>IFERROR(__xludf.DUMMYFUNCTION("""COMPUTED_VALUE"""),"LUCERO CRISTOBAL LUJAN")</f>
        <v>LUCERO CRISTOBAL LUJAN</v>
      </c>
      <c r="D37" s="1" t="str">
        <f>IFERROR(__xludf.DUMMYFUNCTION("""COMPUTED_VALUE"""),"Lentes de STOCK")</f>
        <v>Lentes de STOCK</v>
      </c>
      <c r="E37" s="1" t="str">
        <f>IFERROR(__xludf.DUMMYFUNCTION("""COMPUTED_VALUE"""),"RIVADAVIA Javier")</f>
        <v>RIVADAVIA Javier</v>
      </c>
      <c r="F37" s="1" t="str">
        <f t="shared" si="1"/>
        <v>RIVADAVIA </v>
      </c>
      <c r="G37" s="1" t="str">
        <f t="shared" si="2"/>
        <v>Javier</v>
      </c>
      <c r="H37" s="1" t="str">
        <f>IFERROR(__xludf.DUMMYFUNCTION("""COMPUTED_VALUE"""),"6/1/2023, 17:00:00")</f>
        <v>6/1/2023, 17:00:00</v>
      </c>
      <c r="I37" s="1" t="str">
        <f>IFERROR(__xludf.DUMMYFUNCTION("""COMPUTED_VALUE"""),"RETIRADO OK POR CLIENTE")</f>
        <v>RETIRADO OK POR CLIENTE</v>
      </c>
      <c r="J37" s="1">
        <f t="shared" si="3"/>
        <v>6</v>
      </c>
      <c r="K37" s="1" t="str">
        <f t="shared" si="4"/>
        <v>Entregamos tus lentes, que los disfrutes!</v>
      </c>
    </row>
    <row r="38">
      <c r="A38" s="1">
        <f>IFERROR(__xludf.DUMMYFUNCTION("""COMPUTED_VALUE"""),84589.0)</f>
        <v>84589</v>
      </c>
      <c r="B38" s="5">
        <f>IFERROR(__xludf.DUMMYFUNCTION("""COMPUTED_VALUE"""),44930.79938416667)</f>
        <v>44930.79938</v>
      </c>
      <c r="C38" s="1" t="str">
        <f>IFERROR(__xludf.DUMMYFUNCTION("""COMPUTED_VALUE"""),"QUINZIO  BERNARDO ")</f>
        <v>QUINZIO  BERNARDO </v>
      </c>
      <c r="D38" s="1" t="str">
        <f>IFERROR(__xludf.DUMMYFUNCTION("""COMPUTED_VALUE"""),"Lentes de STOCK")</f>
        <v>Lentes de STOCK</v>
      </c>
      <c r="E38" s="1" t="str">
        <f>IFERROR(__xludf.DUMMYFUNCTION("""COMPUTED_VALUE"""),"RIVADAVIA Luciana")</f>
        <v>RIVADAVIA Luciana</v>
      </c>
      <c r="F38" s="1" t="str">
        <f t="shared" si="1"/>
        <v>RIVADAVIA </v>
      </c>
      <c r="G38" s="1" t="str">
        <f t="shared" si="2"/>
        <v>Luciana</v>
      </c>
      <c r="H38" s="1" t="str">
        <f>IFERROR(__xludf.DUMMYFUNCTION("""COMPUTED_VALUE"""),"9/1/2023, 17:00:00")</f>
        <v>9/1/2023, 17:00:00</v>
      </c>
      <c r="I38" s="1" t="str">
        <f>IFERROR(__xludf.DUMMYFUNCTION("""COMPUTED_VALUE"""),"RETIRADO OK POR CLIENTE")</f>
        <v>RETIRADO OK POR CLIENTE</v>
      </c>
      <c r="J38" s="1">
        <f t="shared" si="3"/>
        <v>6</v>
      </c>
      <c r="K38" s="1" t="str">
        <f t="shared" si="4"/>
        <v>Entregamos tus lentes, que los disfrutes!</v>
      </c>
    </row>
    <row r="39">
      <c r="A39" s="1">
        <f>IFERROR(__xludf.DUMMYFUNCTION("""COMPUTED_VALUE"""),84590.0)</f>
        <v>84590</v>
      </c>
      <c r="B39" s="5">
        <f>IFERROR(__xludf.DUMMYFUNCTION("""COMPUTED_VALUE"""),44930.80219729166)</f>
        <v>44930.8022</v>
      </c>
      <c r="C39" s="1" t="str">
        <f>IFERROR(__xludf.DUMMYFUNCTION("""COMPUTED_VALUE"""),"NARVAEZ LUCAS")</f>
        <v>NARVAEZ LUCAS</v>
      </c>
      <c r="D39" s="1" t="str">
        <f>IFERROR(__xludf.DUMMYFUNCTION("""COMPUTED_VALUE"""),"Reparaciones/Otros")</f>
        <v>Reparaciones/Otros</v>
      </c>
      <c r="E39" s="1" t="str">
        <f>IFERROR(__xludf.DUMMYFUNCTION("""COMPUTED_VALUE"""),"RIVADAVIA Santiago LOPEZ")</f>
        <v>RIVADAVIA Santiago LOPEZ</v>
      </c>
      <c r="F39" s="1" t="str">
        <f t="shared" si="1"/>
        <v>RIVADAVIA </v>
      </c>
      <c r="G39" s="1" t="str">
        <f t="shared" si="2"/>
        <v>Santiago LOPEZ</v>
      </c>
      <c r="H39" s="1" t="str">
        <f>IFERROR(__xludf.DUMMYFUNCTION("""COMPUTED_VALUE"""),"5/1/2023, 17:00:00")</f>
        <v>5/1/2023, 17:00:00</v>
      </c>
      <c r="I39" s="1"/>
      <c r="J39" s="1">
        <f t="shared" si="3"/>
        <v>0</v>
      </c>
      <c r="K39" s="1" t="str">
        <f t="shared" si="4"/>
        <v/>
      </c>
    </row>
    <row r="40">
      <c r="A40" s="1">
        <f>IFERROR(__xludf.DUMMYFUNCTION("""COMPUTED_VALUE"""),84591.0)</f>
        <v>84591</v>
      </c>
      <c r="B40" s="5">
        <f>IFERROR(__xludf.DUMMYFUNCTION("""COMPUTED_VALUE"""),44930.80443591435)</f>
        <v>44930.80444</v>
      </c>
      <c r="C40" s="1" t="str">
        <f>IFERROR(__xludf.DUMMYFUNCTION("""COMPUTED_VALUE"""),"GARRO EDUARDO")</f>
        <v>GARRO EDUARDO</v>
      </c>
      <c r="D40" s="1" t="str">
        <f>IFERROR(__xludf.DUMMYFUNCTION("""COMPUTED_VALUE"""),"Lentes MULTIFOCALES")</f>
        <v>Lentes MULTIFOCALES</v>
      </c>
      <c r="E40" s="1" t="str">
        <f>IFERROR(__xludf.DUMMYFUNCTION("""COMPUTED_VALUE"""),"ARTIGAS Ivana P.")</f>
        <v>ARTIGAS Ivana P.</v>
      </c>
      <c r="F40" s="1" t="str">
        <f t="shared" si="1"/>
        <v>ARTIGAS </v>
      </c>
      <c r="G40" s="1" t="str">
        <f t="shared" si="2"/>
        <v>Ivana P.</v>
      </c>
      <c r="H40" s="1" t="str">
        <f>IFERROR(__xludf.DUMMYFUNCTION("""COMPUTED_VALUE"""),"17/1/2023, 17:00:00")</f>
        <v>17/1/2023, 17:00:00</v>
      </c>
      <c r="I40" s="1" t="str">
        <f>IFERROR(__xludf.DUMMYFUNCTION("""COMPUTED_VALUE"""),"RETIRADO OK POR CLIENTE")</f>
        <v>RETIRADO OK POR CLIENTE</v>
      </c>
      <c r="J40" s="1">
        <f t="shared" si="3"/>
        <v>6</v>
      </c>
      <c r="K40" s="1" t="str">
        <f t="shared" si="4"/>
        <v>Entregamos tus lentes, que los disfrutes!</v>
      </c>
    </row>
    <row r="41">
      <c r="A41" s="1">
        <f>IFERROR(__xludf.DUMMYFUNCTION("""COMPUTED_VALUE"""),84592.0)</f>
        <v>84592</v>
      </c>
      <c r="B41" s="5">
        <f>IFERROR(__xludf.DUMMYFUNCTION("""COMPUTED_VALUE"""),44930.80899185185)</f>
        <v>44930.80899</v>
      </c>
      <c r="C41" s="1" t="str">
        <f>IFERROR(__xludf.DUMMYFUNCTION("""COMPUTED_VALUE"""),"ABARCA BRIAN")</f>
        <v>ABARCA BRIAN</v>
      </c>
      <c r="D41" s="1" t="str">
        <f>IFERROR(__xludf.DUMMYFUNCTION("""COMPUTED_VALUE"""),"Lentes de STOCK")</f>
        <v>Lentes de STOCK</v>
      </c>
      <c r="E41" s="1" t="str">
        <f>IFERROR(__xludf.DUMMYFUNCTION("""COMPUTED_VALUE"""),"RIVADAVIA Luciana")</f>
        <v>RIVADAVIA Luciana</v>
      </c>
      <c r="F41" s="1" t="str">
        <f t="shared" si="1"/>
        <v>RIVADAVIA </v>
      </c>
      <c r="G41" s="1" t="str">
        <f t="shared" si="2"/>
        <v>Luciana</v>
      </c>
      <c r="H41" s="1" t="str">
        <f>IFERROR(__xludf.DUMMYFUNCTION("""COMPUTED_VALUE"""),"10/1/2023, 17:00:00")</f>
        <v>10/1/2023, 17:00:00</v>
      </c>
      <c r="I41" s="1" t="str">
        <f>IFERROR(__xludf.DUMMYFUNCTION("""COMPUTED_VALUE"""),"RETIRADO OK POR CLIENTE")</f>
        <v>RETIRADO OK POR CLIENTE</v>
      </c>
      <c r="J41" s="1">
        <f t="shared" si="3"/>
        <v>6</v>
      </c>
      <c r="K41" s="1" t="str">
        <f t="shared" si="4"/>
        <v>Entregamos tus lentes, que los disfrutes!</v>
      </c>
    </row>
    <row r="42">
      <c r="A42" s="1">
        <f>IFERROR(__xludf.DUMMYFUNCTION("""COMPUTED_VALUE"""),84593.0)</f>
        <v>84593</v>
      </c>
      <c r="B42" s="5">
        <f>IFERROR(__xludf.DUMMYFUNCTION("""COMPUTED_VALUE"""),44930.812842824074)</f>
        <v>44930.81284</v>
      </c>
      <c r="C42" s="1" t="str">
        <f>IFERROR(__xludf.DUMMYFUNCTION("""COMPUTED_VALUE"""),"GOMEZ, SILVANA VERONICA")</f>
        <v>GOMEZ, SILVANA VERONICA</v>
      </c>
      <c r="D42" s="1" t="str">
        <f>IFERROR(__xludf.DUMMYFUNCTION("""COMPUTED_VALUE"""),"Lentes de STOCK")</f>
        <v>Lentes de STOCK</v>
      </c>
      <c r="E42" s="1" t="str">
        <f>IFERROR(__xludf.DUMMYFUNCTION("""COMPUTED_VALUE"""),"RIVADAVIA Javier")</f>
        <v>RIVADAVIA Javier</v>
      </c>
      <c r="F42" s="1" t="str">
        <f t="shared" si="1"/>
        <v>RIVADAVIA </v>
      </c>
      <c r="G42" s="1" t="str">
        <f t="shared" si="2"/>
        <v>Javier</v>
      </c>
      <c r="H42" s="1" t="str">
        <f>IFERROR(__xludf.DUMMYFUNCTION("""COMPUTED_VALUE"""),"9/1/2023, 17:00:00")</f>
        <v>9/1/2023, 17:00:00</v>
      </c>
      <c r="I42" s="1" t="str">
        <f>IFERROR(__xludf.DUMMYFUNCTION("""COMPUTED_VALUE"""),"RETIRADO OK POR CLIENTE")</f>
        <v>RETIRADO OK POR CLIENTE</v>
      </c>
      <c r="J42" s="1">
        <f t="shared" si="3"/>
        <v>6</v>
      </c>
      <c r="K42" s="1" t="str">
        <f t="shared" si="4"/>
        <v>Entregamos tus lentes, que los disfrutes!</v>
      </c>
    </row>
    <row r="43">
      <c r="A43" s="1">
        <f>IFERROR(__xludf.DUMMYFUNCTION("""COMPUTED_VALUE"""),84594.0)</f>
        <v>84594</v>
      </c>
      <c r="B43" s="5">
        <f>IFERROR(__xludf.DUMMYFUNCTION("""COMPUTED_VALUE"""),44930.81556300926)</f>
        <v>44930.81556</v>
      </c>
      <c r="C43" s="1" t="str">
        <f>IFERROR(__xludf.DUMMYFUNCTION("""COMPUTED_VALUE"""),"DOMINGUEZ DIAZ TIZIANO")</f>
        <v>DOMINGUEZ DIAZ TIZIANO</v>
      </c>
      <c r="D43" s="1" t="str">
        <f>IFERROR(__xludf.DUMMYFUNCTION("""COMPUTED_VALUE"""),"Lentes de STOCK")</f>
        <v>Lentes de STOCK</v>
      </c>
      <c r="E43" s="1" t="str">
        <f>IFERROR(__xludf.DUMMYFUNCTION("""COMPUTED_VALUE"""),"RIVADAVIA Santiago LOPEZ")</f>
        <v>RIVADAVIA Santiago LOPEZ</v>
      </c>
      <c r="F43" s="1" t="str">
        <f t="shared" si="1"/>
        <v>RIVADAVIA </v>
      </c>
      <c r="G43" s="1" t="str">
        <f t="shared" si="2"/>
        <v>Santiago LOPEZ</v>
      </c>
      <c r="H43" s="1" t="str">
        <f>IFERROR(__xludf.DUMMYFUNCTION("""COMPUTED_VALUE"""),"7/1/2023, 17:00:00")</f>
        <v>7/1/2023, 17:00:00</v>
      </c>
      <c r="I43" s="1" t="str">
        <f>IFERROR(__xludf.DUMMYFUNCTION("""COMPUTED_VALUE"""),"RETIRADO OK POR CLIENTE")</f>
        <v>RETIRADO OK POR CLIENTE</v>
      </c>
      <c r="J43" s="1">
        <f t="shared" si="3"/>
        <v>6</v>
      </c>
      <c r="K43" s="1" t="str">
        <f t="shared" si="4"/>
        <v>Entregamos tus lentes, que los disfrutes!</v>
      </c>
    </row>
    <row r="44">
      <c r="A44" s="1">
        <f>IFERROR(__xludf.DUMMYFUNCTION("""COMPUTED_VALUE"""),84595.0)</f>
        <v>84595</v>
      </c>
      <c r="B44" s="5">
        <f>IFERROR(__xludf.DUMMYFUNCTION("""COMPUTED_VALUE"""),44930.81893623843)</f>
        <v>44930.81894</v>
      </c>
      <c r="C44" s="1" t="str">
        <f>IFERROR(__xludf.DUMMYFUNCTION("""COMPUTED_VALUE"""),"MOYANO ELVIRA")</f>
        <v>MOYANO ELVIRA</v>
      </c>
      <c r="D44" s="1" t="str">
        <f>IFERROR(__xludf.DUMMYFUNCTION("""COMPUTED_VALUE"""),"Lentes de STOCK")</f>
        <v>Lentes de STOCK</v>
      </c>
      <c r="E44" s="1" t="str">
        <f>IFERROR(__xludf.DUMMYFUNCTION("""COMPUTED_VALUE"""),"ARTIGAS Ivana P.")</f>
        <v>ARTIGAS Ivana P.</v>
      </c>
      <c r="F44" s="1" t="str">
        <f t="shared" si="1"/>
        <v>ARTIGAS </v>
      </c>
      <c r="G44" s="1" t="str">
        <f t="shared" si="2"/>
        <v>Ivana P.</v>
      </c>
      <c r="H44" s="1" t="str">
        <f>IFERROR(__xludf.DUMMYFUNCTION("""COMPUTED_VALUE"""),"9/1/2023, 17:00:00")</f>
        <v>9/1/2023, 17:00:00</v>
      </c>
      <c r="I44" s="1" t="str">
        <f>IFERROR(__xludf.DUMMYFUNCTION("""COMPUTED_VALUE"""),"RETIRADO OK POR CLIENTE")</f>
        <v>RETIRADO OK POR CLIENTE</v>
      </c>
      <c r="J44" s="1">
        <f t="shared" si="3"/>
        <v>6</v>
      </c>
      <c r="K44" s="1" t="str">
        <f t="shared" si="4"/>
        <v>Entregamos tus lentes, que los disfrutes!</v>
      </c>
    </row>
    <row r="45">
      <c r="A45" s="1">
        <f>IFERROR(__xludf.DUMMYFUNCTION("""COMPUTED_VALUE"""),84596.0)</f>
        <v>84596</v>
      </c>
      <c r="B45" s="5">
        <f>IFERROR(__xludf.DUMMYFUNCTION("""COMPUTED_VALUE"""),44930.82140945602)</f>
        <v>44930.82141</v>
      </c>
      <c r="C45" s="1" t="str">
        <f>IFERROR(__xludf.DUMMYFUNCTION("""COMPUTED_VALUE"""),"LUCERO OLGUITA ISALINA")</f>
        <v>LUCERO OLGUITA ISALINA</v>
      </c>
      <c r="D45" s="1" t="str">
        <f>IFERROR(__xludf.DUMMYFUNCTION("""COMPUTED_VALUE"""),"Lentes BIFOCALES")</f>
        <v>Lentes BIFOCALES</v>
      </c>
      <c r="E45" s="1" t="str">
        <f>IFERROR(__xludf.DUMMYFUNCTION("""COMPUTED_VALUE"""),"RIVADAVIA Rocio B")</f>
        <v>RIVADAVIA Rocio B</v>
      </c>
      <c r="F45" s="1" t="str">
        <f t="shared" si="1"/>
        <v>RIVADAVIA </v>
      </c>
      <c r="G45" s="1" t="str">
        <f t="shared" si="2"/>
        <v>Rocio B</v>
      </c>
      <c r="H45" s="1" t="str">
        <f>IFERROR(__xludf.DUMMYFUNCTION("""COMPUTED_VALUE"""),"12/1/2023, 17:00:00")</f>
        <v>12/1/2023, 17:00:00</v>
      </c>
      <c r="I45" s="1" t="str">
        <f>IFERROR(__xludf.DUMMYFUNCTION("""COMPUTED_VALUE"""),"RETIRADO OK POR CLIENTE")</f>
        <v>RETIRADO OK POR CLIENTE</v>
      </c>
      <c r="J45" s="1">
        <f t="shared" si="3"/>
        <v>6</v>
      </c>
      <c r="K45" s="1" t="str">
        <f t="shared" si="4"/>
        <v>Entregamos tus lentes, que los disfrutes!</v>
      </c>
    </row>
    <row r="46">
      <c r="A46" s="1">
        <f>IFERROR(__xludf.DUMMYFUNCTION("""COMPUTED_VALUE"""),84597.0)</f>
        <v>84597</v>
      </c>
      <c r="B46" s="5">
        <f>IFERROR(__xludf.DUMMYFUNCTION("""COMPUTED_VALUE"""),44930.82961956019)</f>
        <v>44930.82962</v>
      </c>
      <c r="C46" s="1" t="str">
        <f>IFERROR(__xludf.DUMMYFUNCTION("""COMPUTED_VALUE"""),"pereyra claudia")</f>
        <v>pereyra claudia</v>
      </c>
      <c r="D46" s="1" t="str">
        <f>IFERROR(__xludf.DUMMYFUNCTION("""COMPUTED_VALUE"""),"Lentes de STOCK")</f>
        <v>Lentes de STOCK</v>
      </c>
      <c r="E46" s="1" t="str">
        <f>IFERROR(__xludf.DUMMYFUNCTION("""COMPUTED_VALUE"""),"RIVADAVIA Santiago LOPEZ")</f>
        <v>RIVADAVIA Santiago LOPEZ</v>
      </c>
      <c r="F46" s="1" t="str">
        <f t="shared" si="1"/>
        <v>RIVADAVIA </v>
      </c>
      <c r="G46" s="1" t="str">
        <f t="shared" si="2"/>
        <v>Santiago LOPEZ</v>
      </c>
      <c r="H46" s="1" t="str">
        <f>IFERROR(__xludf.DUMMYFUNCTION("""COMPUTED_VALUE"""),"9/1/2023, 17:00:00")</f>
        <v>9/1/2023, 17:00:00</v>
      </c>
      <c r="I46" s="1" t="str">
        <f>IFERROR(__xludf.DUMMYFUNCTION("""COMPUTED_VALUE"""),"Completado en SUCURSAL")</f>
        <v>Completado en SUCURSAL</v>
      </c>
      <c r="J46" s="1">
        <f t="shared" si="3"/>
        <v>5</v>
      </c>
      <c r="K46" s="1" t="str">
        <f t="shared" si="4"/>
        <v>Tus Lentes estan LISTAS PARA ENTREGAR, te esperamos.</v>
      </c>
    </row>
    <row r="47">
      <c r="A47" s="1">
        <f>IFERROR(__xludf.DUMMYFUNCTION("""COMPUTED_VALUE"""),84598.0)</f>
        <v>84598</v>
      </c>
      <c r="B47" s="5">
        <f>IFERROR(__xludf.DUMMYFUNCTION("""COMPUTED_VALUE"""),44930.830124189815)</f>
        <v>44930.83012</v>
      </c>
      <c r="C47" s="1" t="str">
        <f>IFERROR(__xludf.DUMMYFUNCTION("""COMPUTED_VALUE"""),"FELICIANI SERGIO")</f>
        <v>FELICIANI SERGIO</v>
      </c>
      <c r="D47" s="1" t="str">
        <f>IFERROR(__xludf.DUMMYFUNCTION("""COMPUTED_VALUE"""),"Reparaciones/Otros")</f>
        <v>Reparaciones/Otros</v>
      </c>
      <c r="E47" s="1" t="str">
        <f>IFERROR(__xludf.DUMMYFUNCTION("""COMPUTED_VALUE"""),"ARTIGAS Celina")</f>
        <v>ARTIGAS Celina</v>
      </c>
      <c r="F47" s="1" t="str">
        <f t="shared" si="1"/>
        <v>ARTIGAS </v>
      </c>
      <c r="G47" s="1" t="str">
        <f t="shared" si="2"/>
        <v>Celina</v>
      </c>
      <c r="H47" s="1" t="str">
        <f>IFERROR(__xludf.DUMMYFUNCTION("""COMPUTED_VALUE"""),"5/1/2023, 17:00:00")</f>
        <v>5/1/2023, 17:00:00</v>
      </c>
      <c r="I47" s="1" t="str">
        <f>IFERROR(__xludf.DUMMYFUNCTION("""COMPUTED_VALUE"""),"Completado en SUCURSAL")</f>
        <v>Completado en SUCURSAL</v>
      </c>
      <c r="J47" s="1">
        <f t="shared" si="3"/>
        <v>5</v>
      </c>
      <c r="K47" s="1" t="str">
        <f t="shared" si="4"/>
        <v>Tus Lentes estan LISTAS PARA ENTREGAR, te esperamos.</v>
      </c>
    </row>
    <row r="48">
      <c r="A48" s="1">
        <f>IFERROR(__xludf.DUMMYFUNCTION("""COMPUTED_VALUE"""),84599.0)</f>
        <v>84599</v>
      </c>
      <c r="B48" s="5">
        <f>IFERROR(__xludf.DUMMYFUNCTION("""COMPUTED_VALUE"""),44930.832487314816)</f>
        <v>44930.83249</v>
      </c>
      <c r="C48" s="1" t="str">
        <f>IFERROR(__xludf.DUMMYFUNCTION("""COMPUTED_VALUE"""),"BECERRA CAMILA VALENTINA")</f>
        <v>BECERRA CAMILA VALENTINA</v>
      </c>
      <c r="D48" s="1" t="str">
        <f>IFERROR(__xludf.DUMMYFUNCTION("""COMPUTED_VALUE"""),"Lentes de STOCK")</f>
        <v>Lentes de STOCK</v>
      </c>
      <c r="E48" s="1" t="str">
        <f>IFERROR(__xludf.DUMMYFUNCTION("""COMPUTED_VALUE"""),"ARTIGAS Cristian C.")</f>
        <v>ARTIGAS Cristian C.</v>
      </c>
      <c r="F48" s="1" t="str">
        <f t="shared" si="1"/>
        <v>ARTIGAS </v>
      </c>
      <c r="G48" s="1" t="str">
        <f t="shared" si="2"/>
        <v>Cristian C.</v>
      </c>
      <c r="H48" s="1" t="str">
        <f>IFERROR(__xludf.DUMMYFUNCTION("""COMPUTED_VALUE"""),"12/1/2023, 17:00:00")</f>
        <v>12/1/2023, 17:00:00</v>
      </c>
      <c r="I48" s="1" t="str">
        <f>IFERROR(__xludf.DUMMYFUNCTION("""COMPUTED_VALUE"""),"RETIRADO OK POR CLIENTE")</f>
        <v>RETIRADO OK POR CLIENTE</v>
      </c>
      <c r="J48" s="1">
        <f t="shared" si="3"/>
        <v>6</v>
      </c>
      <c r="K48" s="1" t="str">
        <f t="shared" si="4"/>
        <v>Entregamos tus lentes, que los disfrutes!</v>
      </c>
    </row>
    <row r="49">
      <c r="A49" s="1">
        <f>IFERROR(__xludf.DUMMYFUNCTION("""COMPUTED_VALUE"""),84600.0)</f>
        <v>84600</v>
      </c>
      <c r="B49" s="5">
        <f>IFERROR(__xludf.DUMMYFUNCTION("""COMPUTED_VALUE"""),44930.83379160879)</f>
        <v>44930.83379</v>
      </c>
      <c r="C49" s="1" t="str">
        <f>IFERROR(__xludf.DUMMYFUNCTION("""COMPUTED_VALUE"""),"LUCERO MARINO THIAGO")</f>
        <v>LUCERO MARINO THIAGO</v>
      </c>
      <c r="D49" s="1" t="str">
        <f>IFERROR(__xludf.DUMMYFUNCTION("""COMPUTED_VALUE"""),"Lentes de STOCK")</f>
        <v>Lentes de STOCK</v>
      </c>
      <c r="E49" s="1" t="str">
        <f>IFERROR(__xludf.DUMMYFUNCTION("""COMPUTED_VALUE"""),"RIVADAVIA Daniel CM")</f>
        <v>RIVADAVIA Daniel CM</v>
      </c>
      <c r="F49" s="1" t="str">
        <f t="shared" si="1"/>
        <v>RIVADAVIA </v>
      </c>
      <c r="G49" s="1" t="str">
        <f t="shared" si="2"/>
        <v>Daniel CM</v>
      </c>
      <c r="H49" s="1" t="str">
        <f>IFERROR(__xludf.DUMMYFUNCTION("""COMPUTED_VALUE"""),"9/1/2023, 17:00:00")</f>
        <v>9/1/2023, 17:00:00</v>
      </c>
      <c r="I49" s="1" t="str">
        <f>IFERROR(__xludf.DUMMYFUNCTION("""COMPUTED_VALUE"""),"RETIRADO OK POR CLIENTE")</f>
        <v>RETIRADO OK POR CLIENTE</v>
      </c>
      <c r="J49" s="1">
        <f t="shared" si="3"/>
        <v>6</v>
      </c>
      <c r="K49" s="1" t="str">
        <f t="shared" si="4"/>
        <v>Entregamos tus lentes, que los disfrutes!</v>
      </c>
    </row>
    <row r="50">
      <c r="A50" s="1">
        <f>IFERROR(__xludf.DUMMYFUNCTION("""COMPUTED_VALUE"""),84601.0)</f>
        <v>84601</v>
      </c>
      <c r="B50" s="5">
        <f>IFERROR(__xludf.DUMMYFUNCTION("""COMPUTED_VALUE"""),44930.83563136574)</f>
        <v>44930.83563</v>
      </c>
      <c r="C50" s="1">
        <f>IFERROR(__xludf.DUMMYFUNCTION("""COMPUTED_VALUE"""),2.5587252E7)</f>
        <v>25587252</v>
      </c>
      <c r="D50" s="1" t="str">
        <f>IFERROR(__xludf.DUMMYFUNCTION("""COMPUTED_VALUE"""),"Lentes de STOCK")</f>
        <v>Lentes de STOCK</v>
      </c>
      <c r="E50" s="1" t="str">
        <f>IFERROR(__xludf.DUMMYFUNCTION("""COMPUTED_VALUE"""),"RIVADAVIA Javier")</f>
        <v>RIVADAVIA Javier</v>
      </c>
      <c r="F50" s="1" t="str">
        <f t="shared" si="1"/>
        <v>RIVADAVIA </v>
      </c>
      <c r="G50" s="1" t="str">
        <f t="shared" si="2"/>
        <v>Javier</v>
      </c>
      <c r="H50" s="1" t="str">
        <f>IFERROR(__xludf.DUMMYFUNCTION("""COMPUTED_VALUE"""),"10/1/2023, 17:00:00")</f>
        <v>10/1/2023, 17:00:00</v>
      </c>
      <c r="I50" s="1" t="str">
        <f>IFERROR(__xludf.DUMMYFUNCTION("""COMPUTED_VALUE"""),"RETIRADO OK POR CLIENTE")</f>
        <v>RETIRADO OK POR CLIENTE</v>
      </c>
      <c r="J50" s="1">
        <f t="shared" si="3"/>
        <v>6</v>
      </c>
      <c r="K50" s="1" t="str">
        <f t="shared" si="4"/>
        <v>Entregamos tus lentes, que los disfrutes!</v>
      </c>
    </row>
    <row r="51">
      <c r="A51" s="1">
        <f>IFERROR(__xludf.DUMMYFUNCTION("""COMPUTED_VALUE"""),84602.0)</f>
        <v>84602</v>
      </c>
      <c r="B51" s="5">
        <f>IFERROR(__xludf.DUMMYFUNCTION("""COMPUTED_VALUE"""),44930.83582199074)</f>
        <v>44930.83582</v>
      </c>
      <c r="C51" s="1" t="str">
        <f>IFERROR(__xludf.DUMMYFUNCTION("""COMPUTED_VALUE"""),"MARINO FATIMA")</f>
        <v>MARINO FATIMA</v>
      </c>
      <c r="D51" s="1" t="str">
        <f>IFERROR(__xludf.DUMMYFUNCTION("""COMPUTED_VALUE"""),"Lentes BIFOCALES")</f>
        <v>Lentes BIFOCALES</v>
      </c>
      <c r="E51" s="1" t="str">
        <f>IFERROR(__xludf.DUMMYFUNCTION("""COMPUTED_VALUE"""),"RIVADAVIA Daniel CM")</f>
        <v>RIVADAVIA Daniel CM</v>
      </c>
      <c r="F51" s="1" t="str">
        <f t="shared" si="1"/>
        <v>RIVADAVIA </v>
      </c>
      <c r="G51" s="1" t="str">
        <f t="shared" si="2"/>
        <v>Daniel CM</v>
      </c>
      <c r="H51" s="1" t="str">
        <f>IFERROR(__xludf.DUMMYFUNCTION("""COMPUTED_VALUE"""),"10/1/2023, 17:00:00")</f>
        <v>10/1/2023, 17:00:00</v>
      </c>
      <c r="I51" s="1" t="str">
        <f>IFERROR(__xludf.DUMMYFUNCTION("""COMPUTED_VALUE"""),"RETIRADO OK POR CLIENTE")</f>
        <v>RETIRADO OK POR CLIENTE</v>
      </c>
      <c r="J51" s="1">
        <f t="shared" si="3"/>
        <v>6</v>
      </c>
      <c r="K51" s="1" t="str">
        <f t="shared" si="4"/>
        <v>Entregamos tus lentes, que los disfrutes!</v>
      </c>
    </row>
    <row r="52">
      <c r="A52" s="1">
        <f>IFERROR(__xludf.DUMMYFUNCTION("""COMPUTED_VALUE"""),84603.0)</f>
        <v>84603</v>
      </c>
      <c r="B52" s="5">
        <f>IFERROR(__xludf.DUMMYFUNCTION("""COMPUTED_VALUE"""),44930.83646686343)</f>
        <v>44930.83647</v>
      </c>
      <c r="C52" s="1" t="str">
        <f>IFERROR(__xludf.DUMMYFUNCTION("""COMPUTED_VALUE"""),"BECERRA JAVIER AGUSTIN")</f>
        <v>BECERRA JAVIER AGUSTIN</v>
      </c>
      <c r="D52" s="1" t="str">
        <f>IFERROR(__xludf.DUMMYFUNCTION("""COMPUTED_VALUE"""),"Lentes de STOCK")</f>
        <v>Lentes de STOCK</v>
      </c>
      <c r="E52" s="1" t="str">
        <f>IFERROR(__xludf.DUMMYFUNCTION("""COMPUTED_VALUE"""),"ARTIGAS Cristian C.")</f>
        <v>ARTIGAS Cristian C.</v>
      </c>
      <c r="F52" s="1" t="str">
        <f t="shared" si="1"/>
        <v>ARTIGAS </v>
      </c>
      <c r="G52" s="1" t="str">
        <f t="shared" si="2"/>
        <v>Cristian C.</v>
      </c>
      <c r="H52" s="1" t="str">
        <f>IFERROR(__xludf.DUMMYFUNCTION("""COMPUTED_VALUE"""),"12/1/2023, 17:00:00")</f>
        <v>12/1/2023, 17:00:00</v>
      </c>
      <c r="I52" s="1" t="str">
        <f>IFERROR(__xludf.DUMMYFUNCTION("""COMPUTED_VALUE"""),"RETIRADO OK POR CLIENTE")</f>
        <v>RETIRADO OK POR CLIENTE</v>
      </c>
      <c r="J52" s="1">
        <f t="shared" si="3"/>
        <v>6</v>
      </c>
      <c r="K52" s="1" t="str">
        <f t="shared" si="4"/>
        <v>Entregamos tus lentes, que los disfrutes!</v>
      </c>
    </row>
    <row r="53">
      <c r="A53" s="1">
        <f>IFERROR(__xludf.DUMMYFUNCTION("""COMPUTED_VALUE"""),84604.0)</f>
        <v>84604</v>
      </c>
      <c r="B53" s="5">
        <f>IFERROR(__xludf.DUMMYFUNCTION("""COMPUTED_VALUE"""),44930.840272534726)</f>
        <v>44930.84027</v>
      </c>
      <c r="C53" s="1" t="str">
        <f>IFERROR(__xludf.DUMMYFUNCTION("""COMPUTED_VALUE"""),"GARRO VALENTINA")</f>
        <v>GARRO VALENTINA</v>
      </c>
      <c r="D53" s="1" t="str">
        <f>IFERROR(__xludf.DUMMYFUNCTION("""COMPUTED_VALUE"""),"Lentes de STOCK")</f>
        <v>Lentes de STOCK</v>
      </c>
      <c r="E53" s="1" t="str">
        <f>IFERROR(__xludf.DUMMYFUNCTION("""COMPUTED_VALUE"""),"ARTIGAS Ivana P.")</f>
        <v>ARTIGAS Ivana P.</v>
      </c>
      <c r="F53" s="1" t="str">
        <f t="shared" si="1"/>
        <v>ARTIGAS </v>
      </c>
      <c r="G53" s="1" t="str">
        <f t="shared" si="2"/>
        <v>Ivana P.</v>
      </c>
      <c r="H53" s="1" t="str">
        <f>IFERROR(__xludf.DUMMYFUNCTION("""COMPUTED_VALUE"""),"7/1/2023, 17:00:00")</f>
        <v>7/1/2023, 17:00:00</v>
      </c>
      <c r="I53" s="1" t="str">
        <f>IFERROR(__xludf.DUMMYFUNCTION("""COMPUTED_VALUE"""),"RETIRADO OK POR CLIENTE")</f>
        <v>RETIRADO OK POR CLIENTE</v>
      </c>
      <c r="J53" s="1">
        <f t="shared" si="3"/>
        <v>6</v>
      </c>
      <c r="K53" s="1" t="str">
        <f t="shared" si="4"/>
        <v>Entregamos tus lentes, que los disfrutes!</v>
      </c>
    </row>
    <row r="54">
      <c r="A54" s="1">
        <f>IFERROR(__xludf.DUMMYFUNCTION("""COMPUTED_VALUE"""),84605.0)</f>
        <v>84605</v>
      </c>
      <c r="B54" s="5">
        <f>IFERROR(__xludf.DUMMYFUNCTION("""COMPUTED_VALUE"""),44930.84275511574)</f>
        <v>44930.84276</v>
      </c>
      <c r="C54" s="1" t="str">
        <f>IFERROR(__xludf.DUMMYFUNCTION("""COMPUTED_VALUE"""),"ALANIZ JESSICA")</f>
        <v>ALANIZ JESSICA</v>
      </c>
      <c r="D54" s="1" t="str">
        <f>IFERROR(__xludf.DUMMYFUNCTION("""COMPUTED_VALUE"""),"Reparaciones/Otros")</f>
        <v>Reparaciones/Otros</v>
      </c>
      <c r="E54" s="1" t="str">
        <f>IFERROR(__xludf.DUMMYFUNCTION("""COMPUTED_VALUE"""),"RIVADAVIA Luciana")</f>
        <v>RIVADAVIA Luciana</v>
      </c>
      <c r="F54" s="1" t="str">
        <f t="shared" si="1"/>
        <v>RIVADAVIA </v>
      </c>
      <c r="G54" s="1" t="str">
        <f t="shared" si="2"/>
        <v>Luciana</v>
      </c>
      <c r="H54" s="1" t="str">
        <f>IFERROR(__xludf.DUMMYFUNCTION("""COMPUTED_VALUE"""),"5/1/2023, 17:00:00")</f>
        <v>5/1/2023, 17:00:00</v>
      </c>
      <c r="I54" s="1"/>
      <c r="J54" s="1">
        <f t="shared" si="3"/>
        <v>0</v>
      </c>
      <c r="K54" s="1" t="str">
        <f t="shared" si="4"/>
        <v/>
      </c>
    </row>
    <row r="55">
      <c r="A55" s="1">
        <f>IFERROR(__xludf.DUMMYFUNCTION("""COMPUTED_VALUE"""),84606.0)</f>
        <v>84606</v>
      </c>
      <c r="B55" s="5">
        <f>IFERROR(__xludf.DUMMYFUNCTION("""COMPUTED_VALUE"""),44930.848244340275)</f>
        <v>44930.84824</v>
      </c>
      <c r="C55" s="1" t="str">
        <f>IFERROR(__xludf.DUMMYFUNCTION("""COMPUTED_VALUE"""),"MIRANDA JUAN TOMAS")</f>
        <v>MIRANDA JUAN TOMAS</v>
      </c>
      <c r="D55" s="1" t="str">
        <f>IFERROR(__xludf.DUMMYFUNCTION("""COMPUTED_VALUE"""),"Lentes de STOCK")</f>
        <v>Lentes de STOCK</v>
      </c>
      <c r="E55" s="1" t="str">
        <f>IFERROR(__xludf.DUMMYFUNCTION("""COMPUTED_VALUE"""),"ARTIGAS Cristian C.")</f>
        <v>ARTIGAS Cristian C.</v>
      </c>
      <c r="F55" s="1" t="str">
        <f t="shared" si="1"/>
        <v>ARTIGAS </v>
      </c>
      <c r="G55" s="1" t="str">
        <f t="shared" si="2"/>
        <v>Cristian C.</v>
      </c>
      <c r="H55" s="1" t="str">
        <f>IFERROR(__xludf.DUMMYFUNCTION("""COMPUTED_VALUE"""),"11/1/2023, 17:00:00")</f>
        <v>11/1/2023, 17:00:00</v>
      </c>
      <c r="I55" s="1" t="str">
        <f>IFERROR(__xludf.DUMMYFUNCTION("""COMPUTED_VALUE"""),"En Armado Hoy")</f>
        <v>En Armado Hoy</v>
      </c>
      <c r="J55" s="1">
        <f t="shared" si="3"/>
        <v>3</v>
      </c>
      <c r="K55" s="1" t="str">
        <f t="shared" si="4"/>
        <v>Estamos terminando los ultimos detalles de tus lentes, los terminaremos el dia de hoy.</v>
      </c>
    </row>
    <row r="56">
      <c r="A56" s="1">
        <f>IFERROR(__xludf.DUMMYFUNCTION("""COMPUTED_VALUE"""),84607.0)</f>
        <v>84607</v>
      </c>
      <c r="B56" s="5">
        <f>IFERROR(__xludf.DUMMYFUNCTION("""COMPUTED_VALUE"""),44931.38038930556)</f>
        <v>44931.38039</v>
      </c>
      <c r="C56" s="1" t="str">
        <f>IFERROR(__xludf.DUMMYFUNCTION("""COMPUTED_VALUE"""),"CRUSEÑO MARTA")</f>
        <v>CRUSEÑO MARTA</v>
      </c>
      <c r="D56" s="1" t="str">
        <f>IFERROR(__xludf.DUMMYFUNCTION("""COMPUTED_VALUE"""),"Lentes BIFOCALES")</f>
        <v>Lentes BIFOCALES</v>
      </c>
      <c r="E56" s="1" t="str">
        <f>IFERROR(__xludf.DUMMYFUNCTION("""COMPUTED_VALUE"""),"ARTIGAS Ivana P.")</f>
        <v>ARTIGAS Ivana P.</v>
      </c>
      <c r="F56" s="1" t="str">
        <f t="shared" si="1"/>
        <v>ARTIGAS </v>
      </c>
      <c r="G56" s="1" t="str">
        <f t="shared" si="2"/>
        <v>Ivana P.</v>
      </c>
      <c r="H56" s="1" t="str">
        <f>IFERROR(__xludf.DUMMYFUNCTION("""COMPUTED_VALUE"""),"11/1/2023, 17:00:00")</f>
        <v>11/1/2023, 17:00:00</v>
      </c>
      <c r="I56" s="1" t="str">
        <f>IFERROR(__xludf.DUMMYFUNCTION("""COMPUTED_VALUE"""),"RETIRADO OK POR CLIENTE")</f>
        <v>RETIRADO OK POR CLIENTE</v>
      </c>
      <c r="J56" s="1">
        <f t="shared" si="3"/>
        <v>6</v>
      </c>
      <c r="K56" s="1" t="str">
        <f t="shared" si="4"/>
        <v>Entregamos tus lentes, que los disfrutes!</v>
      </c>
    </row>
    <row r="57">
      <c r="A57" s="1">
        <f>IFERROR(__xludf.DUMMYFUNCTION("""COMPUTED_VALUE"""),84608.0)</f>
        <v>84608</v>
      </c>
      <c r="B57" s="5">
        <f>IFERROR(__xludf.DUMMYFUNCTION("""COMPUTED_VALUE"""),44931.38070337963)</f>
        <v>44931.3807</v>
      </c>
      <c r="C57" s="1" t="str">
        <f>IFERROR(__xludf.DUMMYFUNCTION("""COMPUTED_VALUE"""),"MEDERO DIONICIA")</f>
        <v>MEDERO DIONICIA</v>
      </c>
      <c r="D57" s="1" t="str">
        <f>IFERROR(__xludf.DUMMYFUNCTION("""COMPUTED_VALUE"""),"Reparaciones/Otros")</f>
        <v>Reparaciones/Otros</v>
      </c>
      <c r="E57" s="1" t="str">
        <f>IFERROR(__xludf.DUMMYFUNCTION("""COMPUTED_VALUE"""),"ARTIGAS Cristian C.")</f>
        <v>ARTIGAS Cristian C.</v>
      </c>
      <c r="F57" s="1" t="str">
        <f t="shared" si="1"/>
        <v>ARTIGAS </v>
      </c>
      <c r="G57" s="1" t="str">
        <f t="shared" si="2"/>
        <v>Cristian C.</v>
      </c>
      <c r="H57" s="1" t="str">
        <f>IFERROR(__xludf.DUMMYFUNCTION("""COMPUTED_VALUE"""),"9/1/2023, 17:00:00")</f>
        <v>9/1/2023, 17:00:00</v>
      </c>
      <c r="I57" s="1" t="str">
        <f>IFERROR(__xludf.DUMMYFUNCTION("""COMPUTED_VALUE"""),"Completado en SUCURSAL")</f>
        <v>Completado en SUCURSAL</v>
      </c>
      <c r="J57" s="1">
        <f t="shared" si="3"/>
        <v>5</v>
      </c>
      <c r="K57" s="1" t="str">
        <f t="shared" si="4"/>
        <v>Tus Lentes estan LISTAS PARA ENTREGAR, te esperamos.</v>
      </c>
    </row>
    <row r="58">
      <c r="A58" s="1">
        <f>IFERROR(__xludf.DUMMYFUNCTION("""COMPUTED_VALUE"""),84609.0)</f>
        <v>84609</v>
      </c>
      <c r="B58" s="5">
        <f>IFERROR(__xludf.DUMMYFUNCTION("""COMPUTED_VALUE"""),44931.39173841436)</f>
        <v>44931.39174</v>
      </c>
      <c r="C58" s="1" t="str">
        <f>IFERROR(__xludf.DUMMYFUNCTION("""COMPUTED_VALUE"""),"ZEBALLOS PABLO ARIEL")</f>
        <v>ZEBALLOS PABLO ARIEL</v>
      </c>
      <c r="D58" s="1" t="str">
        <f>IFERROR(__xludf.DUMMYFUNCTION("""COMPUTED_VALUE"""),"Lentes de STOCK")</f>
        <v>Lentes de STOCK</v>
      </c>
      <c r="E58" s="1" t="str">
        <f>IFERROR(__xludf.DUMMYFUNCTION("""COMPUTED_VALUE"""),"ARTIGAS Ivana P.")</f>
        <v>ARTIGAS Ivana P.</v>
      </c>
      <c r="F58" s="1" t="str">
        <f t="shared" si="1"/>
        <v>ARTIGAS </v>
      </c>
      <c r="G58" s="1" t="str">
        <f t="shared" si="2"/>
        <v>Ivana P.</v>
      </c>
      <c r="H58" s="1" t="str">
        <f>IFERROR(__xludf.DUMMYFUNCTION("""COMPUTED_VALUE"""),"10/1/2023, 17:00:00")</f>
        <v>10/1/2023, 17:00:00</v>
      </c>
      <c r="I58" s="1" t="str">
        <f>IFERROR(__xludf.DUMMYFUNCTION("""COMPUTED_VALUE"""),"RETIRADO OK POR CLIENTE")</f>
        <v>RETIRADO OK POR CLIENTE</v>
      </c>
      <c r="J58" s="1">
        <f t="shared" si="3"/>
        <v>6</v>
      </c>
      <c r="K58" s="1" t="str">
        <f t="shared" si="4"/>
        <v>Entregamos tus lentes, que los disfrutes!</v>
      </c>
    </row>
    <row r="59">
      <c r="A59" s="1">
        <f>IFERROR(__xludf.DUMMYFUNCTION("""COMPUTED_VALUE"""),84610.0)</f>
        <v>84610</v>
      </c>
      <c r="B59" s="5">
        <f>IFERROR(__xludf.DUMMYFUNCTION("""COMPUTED_VALUE"""),44931.39429732639)</f>
        <v>44931.3943</v>
      </c>
      <c r="C59" s="1" t="str">
        <f>IFERROR(__xludf.DUMMYFUNCTION("""COMPUTED_VALUE"""),"ALVAREZ ROMAN")</f>
        <v>ALVAREZ ROMAN</v>
      </c>
      <c r="D59" s="1" t="str">
        <f>IFERROR(__xludf.DUMMYFUNCTION("""COMPUTED_VALUE"""),"Lentes de STOCK")</f>
        <v>Lentes de STOCK</v>
      </c>
      <c r="E59" s="1" t="str">
        <f>IFERROR(__xludf.DUMMYFUNCTION("""COMPUTED_VALUE"""),"RIVADAVIA Marcela L")</f>
        <v>RIVADAVIA Marcela L</v>
      </c>
      <c r="F59" s="1" t="str">
        <f t="shared" si="1"/>
        <v>RIVADAVIA </v>
      </c>
      <c r="G59" s="1" t="str">
        <f t="shared" si="2"/>
        <v>Marcela L</v>
      </c>
      <c r="H59" s="1" t="str">
        <f>IFERROR(__xludf.DUMMYFUNCTION("""COMPUTED_VALUE"""),"9/1/2023, 17:00:00")</f>
        <v>9/1/2023, 17:00:00</v>
      </c>
      <c r="I59" s="1" t="str">
        <f>IFERROR(__xludf.DUMMYFUNCTION("""COMPUTED_VALUE"""),"RETIRADO OK POR CLIENTE")</f>
        <v>RETIRADO OK POR CLIENTE</v>
      </c>
      <c r="J59" s="1">
        <f t="shared" si="3"/>
        <v>6</v>
      </c>
      <c r="K59" s="1" t="str">
        <f t="shared" si="4"/>
        <v>Entregamos tus lentes, que los disfrutes!</v>
      </c>
    </row>
    <row r="60">
      <c r="A60" s="1">
        <f>IFERROR(__xludf.DUMMYFUNCTION("""COMPUTED_VALUE"""),84611.0)</f>
        <v>84611</v>
      </c>
      <c r="B60" s="5">
        <f>IFERROR(__xludf.DUMMYFUNCTION("""COMPUTED_VALUE"""),44931.397577905096)</f>
        <v>44931.39758</v>
      </c>
      <c r="C60" s="1" t="str">
        <f>IFERROR(__xludf.DUMMYFUNCTION("""COMPUTED_VALUE"""),"Alcaraz Gladys Esther")</f>
        <v>Alcaraz Gladys Esther</v>
      </c>
      <c r="D60" s="1" t="str">
        <f>IFERROR(__xludf.DUMMYFUNCTION("""COMPUTED_VALUE"""),"Reparaciones/Otros")</f>
        <v>Reparaciones/Otros</v>
      </c>
      <c r="E60" s="1" t="str">
        <f>IFERROR(__xludf.DUMMYFUNCTION("""COMPUTED_VALUE"""),"RIVADAVIA Rocio B")</f>
        <v>RIVADAVIA Rocio B</v>
      </c>
      <c r="F60" s="1" t="str">
        <f t="shared" si="1"/>
        <v>RIVADAVIA </v>
      </c>
      <c r="G60" s="1" t="str">
        <f t="shared" si="2"/>
        <v>Rocio B</v>
      </c>
      <c r="H60" s="1" t="str">
        <f>IFERROR(__xludf.DUMMYFUNCTION("""COMPUTED_VALUE"""),"6/1/2023, 17:00:00")</f>
        <v>6/1/2023, 17:00:00</v>
      </c>
      <c r="I60" s="1" t="str">
        <f>IFERROR(__xludf.DUMMYFUNCTION("""COMPUTED_VALUE"""),"Completado en SUCURSAL")</f>
        <v>Completado en SUCURSAL</v>
      </c>
      <c r="J60" s="1">
        <f t="shared" si="3"/>
        <v>5</v>
      </c>
      <c r="K60" s="1" t="str">
        <f t="shared" si="4"/>
        <v>Tus Lentes estan LISTAS PARA ENTREGAR, te esperamos.</v>
      </c>
    </row>
    <row r="61">
      <c r="A61" s="1">
        <f>IFERROR(__xludf.DUMMYFUNCTION("""COMPUTED_VALUE"""),84612.0)</f>
        <v>84612</v>
      </c>
      <c r="B61" s="5">
        <f>IFERROR(__xludf.DUMMYFUNCTION("""COMPUTED_VALUE"""),44931.39872866898)</f>
        <v>44931.39873</v>
      </c>
      <c r="C61" s="1" t="str">
        <f>IFERROR(__xludf.DUMMYFUNCTION("""COMPUTED_VALUE"""),"FERREYRA ANITA MAGDALENA")</f>
        <v>FERREYRA ANITA MAGDALENA</v>
      </c>
      <c r="D61" s="1" t="str">
        <f>IFERROR(__xludf.DUMMYFUNCTION("""COMPUTED_VALUE"""),"Lentes de STOCK")</f>
        <v>Lentes de STOCK</v>
      </c>
      <c r="E61" s="1" t="str">
        <f>IFERROR(__xludf.DUMMYFUNCTION("""COMPUTED_VALUE"""),"ARTIGAS Cristian C.")</f>
        <v>ARTIGAS Cristian C.</v>
      </c>
      <c r="F61" s="1" t="str">
        <f t="shared" si="1"/>
        <v>ARTIGAS </v>
      </c>
      <c r="G61" s="1" t="str">
        <f t="shared" si="2"/>
        <v>Cristian C.</v>
      </c>
      <c r="H61" s="1" t="str">
        <f>IFERROR(__xludf.DUMMYFUNCTION("""COMPUTED_VALUE"""),"11/1/2023, 17:00:00")</f>
        <v>11/1/2023, 17:00:00</v>
      </c>
      <c r="I61" s="1" t="str">
        <f>IFERROR(__xludf.DUMMYFUNCTION("""COMPUTED_VALUE"""),"RETIRADO OK POR CLIENTE")</f>
        <v>RETIRADO OK POR CLIENTE</v>
      </c>
      <c r="J61" s="1">
        <f t="shared" si="3"/>
        <v>6</v>
      </c>
      <c r="K61" s="1" t="str">
        <f t="shared" si="4"/>
        <v>Entregamos tus lentes, que los disfrutes!</v>
      </c>
    </row>
    <row r="62">
      <c r="A62" s="1">
        <f>IFERROR(__xludf.DUMMYFUNCTION("""COMPUTED_VALUE"""),84613.0)</f>
        <v>84613</v>
      </c>
      <c r="B62" s="5">
        <f>IFERROR(__xludf.DUMMYFUNCTION("""COMPUTED_VALUE"""),44931.40291951389)</f>
        <v>44931.40292</v>
      </c>
      <c r="C62" s="1" t="str">
        <f>IFERROR(__xludf.DUMMYFUNCTION("""COMPUTED_VALUE"""),"PEREZ JORGE")</f>
        <v>PEREZ JORGE</v>
      </c>
      <c r="D62" s="1" t="str">
        <f>IFERROR(__xludf.DUMMYFUNCTION("""COMPUTED_VALUE"""),"Lentes de STOCK")</f>
        <v>Lentes de STOCK</v>
      </c>
      <c r="E62" s="1" t="str">
        <f>IFERROR(__xludf.DUMMYFUNCTION("""COMPUTED_VALUE"""),"ARTIGAS Ivana P.")</f>
        <v>ARTIGAS Ivana P.</v>
      </c>
      <c r="F62" s="1" t="str">
        <f t="shared" si="1"/>
        <v>ARTIGAS </v>
      </c>
      <c r="G62" s="1" t="str">
        <f t="shared" si="2"/>
        <v>Ivana P.</v>
      </c>
      <c r="H62" s="1" t="str">
        <f>IFERROR(__xludf.DUMMYFUNCTION("""COMPUTED_VALUE"""),"11/1/2023, 17:00:00")</f>
        <v>11/1/2023, 17:00:00</v>
      </c>
      <c r="I62" s="1" t="str">
        <f>IFERROR(__xludf.DUMMYFUNCTION("""COMPUTED_VALUE"""),"Completado en SUCURSAL")</f>
        <v>Completado en SUCURSAL</v>
      </c>
      <c r="J62" s="1">
        <f t="shared" si="3"/>
        <v>5</v>
      </c>
      <c r="K62" s="1" t="str">
        <f t="shared" si="4"/>
        <v>Tus Lentes estan LISTAS PARA ENTREGAR, te esperamos.</v>
      </c>
    </row>
    <row r="63">
      <c r="A63" s="1">
        <f>IFERROR(__xludf.DUMMYFUNCTION("""COMPUTED_VALUE"""),84614.0)</f>
        <v>84614</v>
      </c>
      <c r="B63" s="5">
        <f>IFERROR(__xludf.DUMMYFUNCTION("""COMPUTED_VALUE"""),44931.40372581019)</f>
        <v>44931.40373</v>
      </c>
      <c r="C63" s="1" t="str">
        <f>IFERROR(__xludf.DUMMYFUNCTION("""COMPUTED_VALUE"""),"lucero ")</f>
        <v>lucero </v>
      </c>
      <c r="D63" s="1" t="str">
        <f>IFERROR(__xludf.DUMMYFUNCTION("""COMPUTED_VALUE"""),"Reparaciones/Otros")</f>
        <v>Reparaciones/Otros</v>
      </c>
      <c r="E63" s="1" t="str">
        <f>IFERROR(__xludf.DUMMYFUNCTION("""COMPUTED_VALUE"""),"ARTIGAS Sandra G")</f>
        <v>ARTIGAS Sandra G</v>
      </c>
      <c r="F63" s="1" t="str">
        <f t="shared" si="1"/>
        <v>ARTIGAS </v>
      </c>
      <c r="G63" s="1" t="str">
        <f t="shared" si="2"/>
        <v>Sandra G</v>
      </c>
      <c r="H63" s="1" t="str">
        <f>IFERROR(__xludf.DUMMYFUNCTION("""COMPUTED_VALUE"""),"6/1/2023, 17:00:00")</f>
        <v>6/1/2023, 17:00:00</v>
      </c>
      <c r="I63" s="1" t="str">
        <f>IFERROR(__xludf.DUMMYFUNCTION("""COMPUTED_VALUE"""),"Enviado a Laboratorio")</f>
        <v>Enviado a Laboratorio</v>
      </c>
      <c r="J63" s="1">
        <f t="shared" si="3"/>
        <v>1</v>
      </c>
      <c r="K63" s="1" t="str">
        <f t="shared" si="4"/>
        <v>Tus lentes estan en camino a nuestro laboratorio para ponerlos en marcha.</v>
      </c>
    </row>
    <row r="64">
      <c r="A64" s="1">
        <f>IFERROR(__xludf.DUMMYFUNCTION("""COMPUTED_VALUE"""),84615.0)</f>
        <v>84615</v>
      </c>
      <c r="B64" s="5">
        <f>IFERROR(__xludf.DUMMYFUNCTION("""COMPUTED_VALUE"""),44931.4103977662)</f>
        <v>44931.4104</v>
      </c>
      <c r="C64" s="1" t="str">
        <f>IFERROR(__xludf.DUMMYFUNCTION("""COMPUTED_VALUE"""),"BRISA LUJAN MILLONE AGUIRRE")</f>
        <v>BRISA LUJAN MILLONE AGUIRRE</v>
      </c>
      <c r="D64" s="1" t="str">
        <f>IFERROR(__xludf.DUMMYFUNCTION("""COMPUTED_VALUE"""),"Lentes de STOCK")</f>
        <v>Lentes de STOCK</v>
      </c>
      <c r="E64" s="1" t="str">
        <f>IFERROR(__xludf.DUMMYFUNCTION("""COMPUTED_VALUE"""),"RIVADAVIA Santiago LOPEZ")</f>
        <v>RIVADAVIA Santiago LOPEZ</v>
      </c>
      <c r="F64" s="1" t="str">
        <f t="shared" si="1"/>
        <v>RIVADAVIA </v>
      </c>
      <c r="G64" s="1" t="str">
        <f t="shared" si="2"/>
        <v>Santiago LOPEZ</v>
      </c>
      <c r="H64" s="1" t="str">
        <f>IFERROR(__xludf.DUMMYFUNCTION("""COMPUTED_VALUE"""),"9/1/2023, 17:00:00")</f>
        <v>9/1/2023, 17:00:00</v>
      </c>
      <c r="I64" s="1" t="str">
        <f>IFERROR(__xludf.DUMMYFUNCTION("""COMPUTED_VALUE"""),"RETIRADO OK POR CLIENTE")</f>
        <v>RETIRADO OK POR CLIENTE</v>
      </c>
      <c r="J64" s="1">
        <f t="shared" si="3"/>
        <v>6</v>
      </c>
      <c r="K64" s="1" t="str">
        <f t="shared" si="4"/>
        <v>Entregamos tus lentes, que los disfrutes!</v>
      </c>
    </row>
    <row r="65">
      <c r="A65" s="1">
        <f>IFERROR(__xludf.DUMMYFUNCTION("""COMPUTED_VALUE"""),84616.0)</f>
        <v>84616</v>
      </c>
      <c r="B65" s="5">
        <f>IFERROR(__xludf.DUMMYFUNCTION("""COMPUTED_VALUE"""),44931.41373428241)</f>
        <v>44931.41373</v>
      </c>
      <c r="C65" s="1" t="str">
        <f>IFERROR(__xludf.DUMMYFUNCTION("""COMPUTED_VALUE"""),"QUIROGA IDELFONSO")</f>
        <v>QUIROGA IDELFONSO</v>
      </c>
      <c r="D65" s="1" t="str">
        <f>IFERROR(__xludf.DUMMYFUNCTION("""COMPUTED_VALUE"""),"Lentes de STOCK")</f>
        <v>Lentes de STOCK</v>
      </c>
      <c r="E65" s="1" t="str">
        <f>IFERROR(__xludf.DUMMYFUNCTION("""COMPUTED_VALUE"""),"RIVADAVIA Marcela L")</f>
        <v>RIVADAVIA Marcela L</v>
      </c>
      <c r="F65" s="1" t="str">
        <f t="shared" si="1"/>
        <v>RIVADAVIA </v>
      </c>
      <c r="G65" s="1" t="str">
        <f t="shared" si="2"/>
        <v>Marcela L</v>
      </c>
      <c r="H65" s="1" t="str">
        <f>IFERROR(__xludf.DUMMYFUNCTION("""COMPUTED_VALUE"""),"9/1/2023, 17:00:00")</f>
        <v>9/1/2023, 17:00:00</v>
      </c>
      <c r="I65" s="1" t="str">
        <f>IFERROR(__xludf.DUMMYFUNCTION("""COMPUTED_VALUE"""),"RETIRADO OK POR CLIENTE")</f>
        <v>RETIRADO OK POR CLIENTE</v>
      </c>
      <c r="J65" s="1">
        <f t="shared" si="3"/>
        <v>6</v>
      </c>
      <c r="K65" s="1" t="str">
        <f t="shared" si="4"/>
        <v>Entregamos tus lentes, que los disfrutes!</v>
      </c>
    </row>
    <row r="66">
      <c r="A66" s="1">
        <f>IFERROR(__xludf.DUMMYFUNCTION("""COMPUTED_VALUE"""),84617.0)</f>
        <v>84617</v>
      </c>
      <c r="B66" s="5">
        <f>IFERROR(__xludf.DUMMYFUNCTION("""COMPUTED_VALUE"""),44931.41977623843)</f>
        <v>44931.41978</v>
      </c>
      <c r="C66" s="1" t="str">
        <f>IFERROR(__xludf.DUMMYFUNCTION("""COMPUTED_VALUE"""),"PEREYRA BETINA ")</f>
        <v>PEREYRA BETINA </v>
      </c>
      <c r="D66" s="1" t="str">
        <f>IFERROR(__xludf.DUMMYFUNCTION("""COMPUTED_VALUE"""),"Reparaciones/Otros")</f>
        <v>Reparaciones/Otros</v>
      </c>
      <c r="E66" s="1" t="str">
        <f>IFERROR(__xludf.DUMMYFUNCTION("""COMPUTED_VALUE"""),"RIVADAVIA Luciana")</f>
        <v>RIVADAVIA Luciana</v>
      </c>
      <c r="F66" s="1" t="str">
        <f t="shared" si="1"/>
        <v>RIVADAVIA </v>
      </c>
      <c r="G66" s="1" t="str">
        <f t="shared" si="2"/>
        <v>Luciana</v>
      </c>
      <c r="H66" s="1" t="str">
        <f>IFERROR(__xludf.DUMMYFUNCTION("""COMPUTED_VALUE"""),"6/1/2023, 17:00:00")</f>
        <v>6/1/2023, 17:00:00</v>
      </c>
      <c r="I66" s="1" t="str">
        <f>IFERROR(__xludf.DUMMYFUNCTION("""COMPUTED_VALUE"""),"Completado en SUCURSAL")</f>
        <v>Completado en SUCURSAL</v>
      </c>
      <c r="J66" s="1">
        <f t="shared" si="3"/>
        <v>5</v>
      </c>
      <c r="K66" s="1" t="str">
        <f t="shared" si="4"/>
        <v>Tus Lentes estan LISTAS PARA ENTREGAR, te esperamos.</v>
      </c>
    </row>
    <row r="67">
      <c r="A67" s="1">
        <f>IFERROR(__xludf.DUMMYFUNCTION("""COMPUTED_VALUE"""),84618.0)</f>
        <v>84618</v>
      </c>
      <c r="B67" s="5">
        <f>IFERROR(__xludf.DUMMYFUNCTION("""COMPUTED_VALUE"""),44931.42057565972)</f>
        <v>44931.42058</v>
      </c>
      <c r="C67" s="1" t="str">
        <f>IFERROR(__xludf.DUMMYFUNCTION("""COMPUTED_VALUE"""),"quiroga eduardo")</f>
        <v>quiroga eduardo</v>
      </c>
      <c r="D67" s="1" t="str">
        <f>IFERROR(__xludf.DUMMYFUNCTION("""COMPUTED_VALUE"""),"Reparaciones/Otros")</f>
        <v>Reparaciones/Otros</v>
      </c>
      <c r="E67" s="1" t="str">
        <f>IFERROR(__xludf.DUMMYFUNCTION("""COMPUTED_VALUE"""),"RIVADAVIA Daniel CM")</f>
        <v>RIVADAVIA Daniel CM</v>
      </c>
      <c r="F67" s="1" t="str">
        <f t="shared" si="1"/>
        <v>RIVADAVIA </v>
      </c>
      <c r="G67" s="1" t="str">
        <f t="shared" si="2"/>
        <v>Daniel CM</v>
      </c>
      <c r="H67" s="1" t="str">
        <f>IFERROR(__xludf.DUMMYFUNCTION("""COMPUTED_VALUE"""),"6/1/2023, 17:00:00")</f>
        <v>6/1/2023, 17:00:00</v>
      </c>
      <c r="I67" s="1" t="str">
        <f>IFERROR(__xludf.DUMMYFUNCTION("""COMPUTED_VALUE"""),"Completado en SUCURSAL")</f>
        <v>Completado en SUCURSAL</v>
      </c>
      <c r="J67" s="1">
        <f t="shared" si="3"/>
        <v>5</v>
      </c>
      <c r="K67" s="1" t="str">
        <f t="shared" si="4"/>
        <v>Tus Lentes estan LISTAS PARA ENTREGAR, te esperamos.</v>
      </c>
    </row>
    <row r="68">
      <c r="A68" s="1">
        <f>IFERROR(__xludf.DUMMYFUNCTION("""COMPUTED_VALUE"""),84619.0)</f>
        <v>84619</v>
      </c>
      <c r="B68" s="5">
        <f>IFERROR(__xludf.DUMMYFUNCTION("""COMPUTED_VALUE"""),44931.42410369213)</f>
        <v>44931.4241</v>
      </c>
      <c r="C68" s="1" t="str">
        <f>IFERROR(__xludf.DUMMYFUNCTION("""COMPUTED_VALUE"""),"SOSA JUANA")</f>
        <v>SOSA JUANA</v>
      </c>
      <c r="D68" s="1" t="str">
        <f>IFERROR(__xludf.DUMMYFUNCTION("""COMPUTED_VALUE"""),"Lentes de STOCK")</f>
        <v>Lentes de STOCK</v>
      </c>
      <c r="E68" s="1" t="str">
        <f>IFERROR(__xludf.DUMMYFUNCTION("""COMPUTED_VALUE"""),"ARTIGAS Ivana P.")</f>
        <v>ARTIGAS Ivana P.</v>
      </c>
      <c r="F68" s="1" t="str">
        <f t="shared" si="1"/>
        <v>ARTIGAS </v>
      </c>
      <c r="G68" s="1" t="str">
        <f t="shared" si="2"/>
        <v>Ivana P.</v>
      </c>
      <c r="H68" s="1" t="str">
        <f>IFERROR(__xludf.DUMMYFUNCTION("""COMPUTED_VALUE"""),"10/1/2023, 17:00:00")</f>
        <v>10/1/2023, 17:00:00</v>
      </c>
      <c r="I68" s="1" t="str">
        <f>IFERROR(__xludf.DUMMYFUNCTION("""COMPUTED_VALUE"""),"RETIRADO OK POR CLIENTE")</f>
        <v>RETIRADO OK POR CLIENTE</v>
      </c>
      <c r="J68" s="1">
        <f t="shared" si="3"/>
        <v>6</v>
      </c>
      <c r="K68" s="1" t="str">
        <f t="shared" si="4"/>
        <v>Entregamos tus lentes, que los disfrutes!</v>
      </c>
    </row>
    <row r="69">
      <c r="A69" s="1">
        <f>IFERROR(__xludf.DUMMYFUNCTION("""COMPUTED_VALUE"""),84620.0)</f>
        <v>84620</v>
      </c>
      <c r="B69" s="5">
        <f>IFERROR(__xludf.DUMMYFUNCTION("""COMPUTED_VALUE"""),44931.42699423611)</f>
        <v>44931.42699</v>
      </c>
      <c r="C69" s="1" t="str">
        <f>IFERROR(__xludf.DUMMYFUNCTION("""COMPUTED_VALUE"""),"Gatto Carlos ")</f>
        <v>Gatto Carlos </v>
      </c>
      <c r="D69" s="1" t="str">
        <f>IFERROR(__xludf.DUMMYFUNCTION("""COMPUTED_VALUE"""),"Lentes BIFOCALES")</f>
        <v>Lentes BIFOCALES</v>
      </c>
      <c r="E69" s="1" t="str">
        <f>IFERROR(__xludf.DUMMYFUNCTION("""COMPUTED_VALUE"""),"RIVADAVIA Rocio B")</f>
        <v>RIVADAVIA Rocio B</v>
      </c>
      <c r="F69" s="1" t="str">
        <f t="shared" si="1"/>
        <v>RIVADAVIA </v>
      </c>
      <c r="G69" s="1" t="str">
        <f t="shared" si="2"/>
        <v>Rocio B</v>
      </c>
      <c r="H69" s="1" t="str">
        <f>IFERROR(__xludf.DUMMYFUNCTION("""COMPUTED_VALUE"""),"9/1/2023, 17:00:00")</f>
        <v>9/1/2023, 17:00:00</v>
      </c>
      <c r="I69" s="1" t="str">
        <f>IFERROR(__xludf.DUMMYFUNCTION("""COMPUTED_VALUE"""),"RETIRADO OK POR CLIENTE")</f>
        <v>RETIRADO OK POR CLIENTE</v>
      </c>
      <c r="J69" s="1">
        <f t="shared" si="3"/>
        <v>6</v>
      </c>
      <c r="K69" s="1" t="str">
        <f t="shared" si="4"/>
        <v>Entregamos tus lentes, que los disfrutes!</v>
      </c>
    </row>
    <row r="70">
      <c r="A70" s="1">
        <f>IFERROR(__xludf.DUMMYFUNCTION("""COMPUTED_VALUE"""),84621.0)</f>
        <v>84621</v>
      </c>
      <c r="B70" s="5">
        <f>IFERROR(__xludf.DUMMYFUNCTION("""COMPUTED_VALUE"""),44931.43179486111)</f>
        <v>44931.43179</v>
      </c>
      <c r="C70" s="1" t="str">
        <f>IFERROR(__xludf.DUMMYFUNCTION("""COMPUTED_VALUE"""),"RIZZOTTO SANTINA")</f>
        <v>RIZZOTTO SANTINA</v>
      </c>
      <c r="D70" s="1" t="str">
        <f>IFERROR(__xludf.DUMMYFUNCTION("""COMPUTED_VALUE"""),"Lentes BIFOCALES")</f>
        <v>Lentes BIFOCALES</v>
      </c>
      <c r="E70" s="1" t="str">
        <f>IFERROR(__xludf.DUMMYFUNCTION("""COMPUTED_VALUE"""),"RIVADAVIA Santiago LOPEZ")</f>
        <v>RIVADAVIA Santiago LOPEZ</v>
      </c>
      <c r="F70" s="1" t="str">
        <f t="shared" si="1"/>
        <v>RIVADAVIA </v>
      </c>
      <c r="G70" s="1" t="str">
        <f t="shared" si="2"/>
        <v>Santiago LOPEZ</v>
      </c>
      <c r="H70" s="1" t="str">
        <f>IFERROR(__xludf.DUMMYFUNCTION("""COMPUTED_VALUE"""),"9/1/2023, 17:00:00")</f>
        <v>9/1/2023, 17:00:00</v>
      </c>
      <c r="I70" s="1" t="str">
        <f>IFERROR(__xludf.DUMMYFUNCTION("""COMPUTED_VALUE"""),"Completado en SUCURSAL")</f>
        <v>Completado en SUCURSAL</v>
      </c>
      <c r="J70" s="1">
        <f t="shared" si="3"/>
        <v>5</v>
      </c>
      <c r="K70" s="1" t="str">
        <f t="shared" si="4"/>
        <v>Tus Lentes estan LISTAS PARA ENTREGAR, te esperamos.</v>
      </c>
    </row>
    <row r="71">
      <c r="A71" s="1">
        <f>IFERROR(__xludf.DUMMYFUNCTION("""COMPUTED_VALUE"""),84622.0)</f>
        <v>84622</v>
      </c>
      <c r="B71" s="5">
        <f>IFERROR(__xludf.DUMMYFUNCTION("""COMPUTED_VALUE"""),44931.43783597222)</f>
        <v>44931.43784</v>
      </c>
      <c r="C71" s="1" t="str">
        <f>IFERROR(__xludf.DUMMYFUNCTION("""COMPUTED_VALUE"""),"BARZOLA ALICIA ")</f>
        <v>BARZOLA ALICIA </v>
      </c>
      <c r="D71" s="1" t="str">
        <f>IFERROR(__xludf.DUMMYFUNCTION("""COMPUTED_VALUE"""),"Lentes de LABORATORIO")</f>
        <v>Lentes de LABORATORIO</v>
      </c>
      <c r="E71" s="1" t="str">
        <f>IFERROR(__xludf.DUMMYFUNCTION("""COMPUTED_VALUE"""),"ARTIGAS Cristian C.")</f>
        <v>ARTIGAS Cristian C.</v>
      </c>
      <c r="F71" s="1" t="str">
        <f t="shared" si="1"/>
        <v>ARTIGAS </v>
      </c>
      <c r="G71" s="1" t="str">
        <f t="shared" si="2"/>
        <v>Cristian C.</v>
      </c>
      <c r="H71" s="1" t="str">
        <f>IFERROR(__xludf.DUMMYFUNCTION("""COMPUTED_VALUE"""),"18/1/2023, 17:00:00")</f>
        <v>18/1/2023, 17:00:00</v>
      </c>
      <c r="I71" s="1" t="str">
        <f>IFERROR(__xludf.DUMMYFUNCTION("""COMPUTED_VALUE"""),"RETIRADO OK POR CLIENTE")</f>
        <v>RETIRADO OK POR CLIENTE</v>
      </c>
      <c r="J71" s="1">
        <f t="shared" si="3"/>
        <v>6</v>
      </c>
      <c r="K71" s="1" t="str">
        <f t="shared" si="4"/>
        <v>Entregamos tus lentes, que los disfrutes!</v>
      </c>
    </row>
    <row r="72">
      <c r="A72" s="1">
        <f>IFERROR(__xludf.DUMMYFUNCTION("""COMPUTED_VALUE"""),84623.0)</f>
        <v>84623</v>
      </c>
      <c r="B72" s="5">
        <f>IFERROR(__xludf.DUMMYFUNCTION("""COMPUTED_VALUE"""),44931.44471523148)</f>
        <v>44931.44472</v>
      </c>
      <c r="C72" s="1" t="str">
        <f>IFERROR(__xludf.DUMMYFUNCTION("""COMPUTED_VALUE"""),"CARRION MERCEDES ")</f>
        <v>CARRION MERCEDES </v>
      </c>
      <c r="D72" s="1" t="str">
        <f>IFERROR(__xludf.DUMMYFUNCTION("""COMPUTED_VALUE"""),"Lentes de STOCK")</f>
        <v>Lentes de STOCK</v>
      </c>
      <c r="E72" s="1" t="str">
        <f>IFERROR(__xludf.DUMMYFUNCTION("""COMPUTED_VALUE"""),"RIVADAVIA Luciana")</f>
        <v>RIVADAVIA Luciana</v>
      </c>
      <c r="F72" s="1" t="str">
        <f t="shared" si="1"/>
        <v>RIVADAVIA </v>
      </c>
      <c r="G72" s="1" t="str">
        <f t="shared" si="2"/>
        <v>Luciana</v>
      </c>
      <c r="H72" s="1" t="str">
        <f>IFERROR(__xludf.DUMMYFUNCTION("""COMPUTED_VALUE"""),"10/1/2023, 17:00:00")</f>
        <v>10/1/2023, 17:00:00</v>
      </c>
      <c r="I72" s="1" t="str">
        <f>IFERROR(__xludf.DUMMYFUNCTION("""COMPUTED_VALUE"""),"RETIRADO OK POR CLIENTE")</f>
        <v>RETIRADO OK POR CLIENTE</v>
      </c>
      <c r="J72" s="1">
        <f t="shared" si="3"/>
        <v>6</v>
      </c>
      <c r="K72" s="1" t="str">
        <f t="shared" si="4"/>
        <v>Entregamos tus lentes, que los disfrutes!</v>
      </c>
    </row>
    <row r="73">
      <c r="A73" s="1">
        <f>IFERROR(__xludf.DUMMYFUNCTION("""COMPUTED_VALUE"""),84624.0)</f>
        <v>84624</v>
      </c>
      <c r="B73" s="5">
        <f>IFERROR(__xludf.DUMMYFUNCTION("""COMPUTED_VALUE"""),44931.44563407407)</f>
        <v>44931.44563</v>
      </c>
      <c r="C73" s="1" t="str">
        <f>IFERROR(__xludf.DUMMYFUNCTION("""COMPUTED_VALUE"""),"MUÑOZ MARIA YSABEL")</f>
        <v>MUÑOZ MARIA YSABEL</v>
      </c>
      <c r="D73" s="1" t="str">
        <f>IFERROR(__xludf.DUMMYFUNCTION("""COMPUTED_VALUE"""),"Lentes de STOCK")</f>
        <v>Lentes de STOCK</v>
      </c>
      <c r="E73" s="1" t="str">
        <f>IFERROR(__xludf.DUMMYFUNCTION("""COMPUTED_VALUE"""),"RIVADAVIA Marcela L")</f>
        <v>RIVADAVIA Marcela L</v>
      </c>
      <c r="F73" s="1" t="str">
        <f t="shared" si="1"/>
        <v>RIVADAVIA </v>
      </c>
      <c r="G73" s="1" t="str">
        <f t="shared" si="2"/>
        <v>Marcela L</v>
      </c>
      <c r="H73" s="1" t="str">
        <f>IFERROR(__xludf.DUMMYFUNCTION("""COMPUTED_VALUE"""),"10/1/2023, 17:00:00")</f>
        <v>10/1/2023, 17:00:00</v>
      </c>
      <c r="I73" s="1" t="str">
        <f>IFERROR(__xludf.DUMMYFUNCTION("""COMPUTED_VALUE"""),"RETIRADO OK POR CLIENTE")</f>
        <v>RETIRADO OK POR CLIENTE</v>
      </c>
      <c r="J73" s="1">
        <f t="shared" si="3"/>
        <v>6</v>
      </c>
      <c r="K73" s="1" t="str">
        <f t="shared" si="4"/>
        <v>Entregamos tus lentes, que los disfrutes!</v>
      </c>
    </row>
    <row r="74">
      <c r="A74" s="1">
        <f>IFERROR(__xludf.DUMMYFUNCTION("""COMPUTED_VALUE"""),84625.0)</f>
        <v>84625</v>
      </c>
      <c r="B74" s="5">
        <f>IFERROR(__xludf.DUMMYFUNCTION("""COMPUTED_VALUE"""),44931.453686608795)</f>
        <v>44931.45369</v>
      </c>
      <c r="C74" s="1" t="str">
        <f>IFERROR(__xludf.DUMMYFUNCTION("""COMPUTED_VALUE"""),"GUEVARA MONICA")</f>
        <v>GUEVARA MONICA</v>
      </c>
      <c r="D74" s="1" t="str">
        <f>IFERROR(__xludf.DUMMYFUNCTION("""COMPUTED_VALUE"""),"Lentes BIFOCALES")</f>
        <v>Lentes BIFOCALES</v>
      </c>
      <c r="E74" s="1" t="str">
        <f>IFERROR(__xludf.DUMMYFUNCTION("""COMPUTED_VALUE"""),"ARTIGAS Ivana P.")</f>
        <v>ARTIGAS Ivana P.</v>
      </c>
      <c r="F74" s="1" t="str">
        <f t="shared" si="1"/>
        <v>ARTIGAS </v>
      </c>
      <c r="G74" s="1" t="str">
        <f t="shared" si="2"/>
        <v>Ivana P.</v>
      </c>
      <c r="H74" s="1" t="str">
        <f>IFERROR(__xludf.DUMMYFUNCTION("""COMPUTED_VALUE"""),"10/1/2023, 17:00:00")</f>
        <v>10/1/2023, 17:00:00</v>
      </c>
      <c r="I74" s="1" t="str">
        <f>IFERROR(__xludf.DUMMYFUNCTION("""COMPUTED_VALUE"""),"RETIRADO OK POR CLIENTE")</f>
        <v>RETIRADO OK POR CLIENTE</v>
      </c>
      <c r="J74" s="1">
        <f t="shared" si="3"/>
        <v>6</v>
      </c>
      <c r="K74" s="1" t="str">
        <f t="shared" si="4"/>
        <v>Entregamos tus lentes, que los disfrutes!</v>
      </c>
    </row>
    <row r="75">
      <c r="A75" s="1">
        <f>IFERROR(__xludf.DUMMYFUNCTION("""COMPUTED_VALUE"""),84626.0)</f>
        <v>84626</v>
      </c>
      <c r="B75" s="5">
        <f>IFERROR(__xludf.DUMMYFUNCTION("""COMPUTED_VALUE"""),44931.45372622686)</f>
        <v>44931.45373</v>
      </c>
      <c r="C75" s="1" t="str">
        <f>IFERROR(__xludf.DUMMYFUNCTION("""COMPUTED_VALUE"""),"CASTRO MARIA ALEJANDRA ")</f>
        <v>CASTRO MARIA ALEJANDRA </v>
      </c>
      <c r="D75" s="1" t="str">
        <f>IFERROR(__xludf.DUMMYFUNCTION("""COMPUTED_VALUE"""),"Lentes de STOCK")</f>
        <v>Lentes de STOCK</v>
      </c>
      <c r="E75" s="1" t="str">
        <f>IFERROR(__xludf.DUMMYFUNCTION("""COMPUTED_VALUE"""),"RIVADAVIA Marcela L")</f>
        <v>RIVADAVIA Marcela L</v>
      </c>
      <c r="F75" s="1" t="str">
        <f t="shared" si="1"/>
        <v>RIVADAVIA </v>
      </c>
      <c r="G75" s="1" t="str">
        <f t="shared" si="2"/>
        <v>Marcela L</v>
      </c>
      <c r="H75" s="1" t="str">
        <f>IFERROR(__xludf.DUMMYFUNCTION("""COMPUTED_VALUE"""),"10/1/2023, 17:00:00")</f>
        <v>10/1/2023, 17:00:00</v>
      </c>
      <c r="I75" s="1" t="str">
        <f>IFERROR(__xludf.DUMMYFUNCTION("""COMPUTED_VALUE"""),"RETIRADO OK POR CLIENTE")</f>
        <v>RETIRADO OK POR CLIENTE</v>
      </c>
      <c r="J75" s="1">
        <f t="shared" si="3"/>
        <v>6</v>
      </c>
      <c r="K75" s="1" t="str">
        <f t="shared" si="4"/>
        <v>Entregamos tus lentes, que los disfrutes!</v>
      </c>
    </row>
    <row r="76">
      <c r="A76" s="1">
        <f>IFERROR(__xludf.DUMMYFUNCTION("""COMPUTED_VALUE"""),84627.0)</f>
        <v>84627</v>
      </c>
      <c r="B76" s="5">
        <f>IFERROR(__xludf.DUMMYFUNCTION("""COMPUTED_VALUE"""),44931.45804819444)</f>
        <v>44931.45805</v>
      </c>
      <c r="C76" s="1" t="str">
        <f>IFERROR(__xludf.DUMMYFUNCTION("""COMPUTED_VALUE"""),"Lucero Carlos Maximo")</f>
        <v>Lucero Carlos Maximo</v>
      </c>
      <c r="D76" s="1" t="str">
        <f>IFERROR(__xludf.DUMMYFUNCTION("""COMPUTED_VALUE"""),"Lentes de STOCK")</f>
        <v>Lentes de STOCK</v>
      </c>
      <c r="E76" s="1" t="str">
        <f>IFERROR(__xludf.DUMMYFUNCTION("""COMPUTED_VALUE"""),"RIVADAVIA Rocio B")</f>
        <v>RIVADAVIA Rocio B</v>
      </c>
      <c r="F76" s="1" t="str">
        <f t="shared" si="1"/>
        <v>RIVADAVIA </v>
      </c>
      <c r="G76" s="1" t="str">
        <f t="shared" si="2"/>
        <v>Rocio B</v>
      </c>
      <c r="H76" s="1" t="str">
        <f>IFERROR(__xludf.DUMMYFUNCTION("""COMPUTED_VALUE"""),"12/1/2023, 17:00:0009468018")</f>
        <v>12/1/2023, 17:00:0009468018</v>
      </c>
      <c r="I76" s="1" t="str">
        <f>IFERROR(__xludf.DUMMYFUNCTION("""COMPUTED_VALUE"""),"RETIRADO OK POR CLIENTE")</f>
        <v>RETIRADO OK POR CLIENTE</v>
      </c>
      <c r="J76" s="1">
        <f t="shared" si="3"/>
        <v>6</v>
      </c>
      <c r="K76" s="1" t="str">
        <f t="shared" si="4"/>
        <v>Entregamos tus lentes, que los disfrutes!</v>
      </c>
    </row>
    <row r="77">
      <c r="A77" s="1">
        <f>IFERROR(__xludf.DUMMYFUNCTION("""COMPUTED_VALUE"""),84628.0)</f>
        <v>84628</v>
      </c>
      <c r="B77" s="5">
        <f>IFERROR(__xludf.DUMMYFUNCTION("""COMPUTED_VALUE"""),44931.45845041667)</f>
        <v>44931.45845</v>
      </c>
      <c r="C77" s="1" t="str">
        <f>IFERROR(__xludf.DUMMYFUNCTION("""COMPUTED_VALUE"""),"LEYES MELINA")</f>
        <v>LEYES MELINA</v>
      </c>
      <c r="D77" s="1" t="str">
        <f>IFERROR(__xludf.DUMMYFUNCTION("""COMPUTED_VALUE"""),"Reparaciones/Otros")</f>
        <v>Reparaciones/Otros</v>
      </c>
      <c r="E77" s="1" t="str">
        <f>IFERROR(__xludf.DUMMYFUNCTION("""COMPUTED_VALUE"""),"ARTIGAS Ivana P.")</f>
        <v>ARTIGAS Ivana P.</v>
      </c>
      <c r="F77" s="1" t="str">
        <f t="shared" si="1"/>
        <v>ARTIGAS </v>
      </c>
      <c r="G77" s="1" t="str">
        <f t="shared" si="2"/>
        <v>Ivana P.</v>
      </c>
      <c r="H77" s="1" t="str">
        <f>IFERROR(__xludf.DUMMYFUNCTION("""COMPUTED_VALUE"""),"7/1/2023, 17:00:00")</f>
        <v>7/1/2023, 17:00:00</v>
      </c>
      <c r="I77" s="1" t="str">
        <f>IFERROR(__xludf.DUMMYFUNCTION("""COMPUTED_VALUE"""),"Completado en SUCURSAL")</f>
        <v>Completado en SUCURSAL</v>
      </c>
      <c r="J77" s="1">
        <f t="shared" si="3"/>
        <v>5</v>
      </c>
      <c r="K77" s="1" t="str">
        <f t="shared" si="4"/>
        <v>Tus Lentes estan LISTAS PARA ENTREGAR, te esperamos.</v>
      </c>
    </row>
    <row r="78">
      <c r="A78" s="1">
        <f>IFERROR(__xludf.DUMMYFUNCTION("""COMPUTED_VALUE"""),84629.0)</f>
        <v>84629</v>
      </c>
      <c r="B78" s="5">
        <f>IFERROR(__xludf.DUMMYFUNCTION("""COMPUTED_VALUE"""),44931.461653067134)</f>
        <v>44931.46165</v>
      </c>
      <c r="C78" s="1" t="str">
        <f>IFERROR(__xludf.DUMMYFUNCTION("""COMPUTED_VALUE"""),"CORONEL MIRTHA")</f>
        <v>CORONEL MIRTHA</v>
      </c>
      <c r="D78" s="1" t="str">
        <f>IFERROR(__xludf.DUMMYFUNCTION("""COMPUTED_VALUE"""),"Reparaciones/Otros")</f>
        <v>Reparaciones/Otros</v>
      </c>
      <c r="E78" s="1" t="str">
        <f>IFERROR(__xludf.DUMMYFUNCTION("""COMPUTED_VALUE"""),"ARTIGAS Cristian C.")</f>
        <v>ARTIGAS Cristian C.</v>
      </c>
      <c r="F78" s="1" t="str">
        <f t="shared" si="1"/>
        <v>ARTIGAS </v>
      </c>
      <c r="G78" s="1" t="str">
        <f t="shared" si="2"/>
        <v>Cristian C.</v>
      </c>
      <c r="H78" s="1" t="str">
        <f>IFERROR(__xludf.DUMMYFUNCTION("""COMPUTED_VALUE"""),"6/1/2023, 17:00:00")</f>
        <v>6/1/2023, 17:00:00</v>
      </c>
      <c r="I78" s="1" t="str">
        <f>IFERROR(__xludf.DUMMYFUNCTION("""COMPUTED_VALUE"""),"Completado en SUCURSAL")</f>
        <v>Completado en SUCURSAL</v>
      </c>
      <c r="J78" s="1">
        <f t="shared" si="3"/>
        <v>5</v>
      </c>
      <c r="K78" s="1" t="str">
        <f t="shared" si="4"/>
        <v>Tus Lentes estan LISTAS PARA ENTREGAR, te esperamos.</v>
      </c>
    </row>
    <row r="79">
      <c r="A79" s="1">
        <f>IFERROR(__xludf.DUMMYFUNCTION("""COMPUTED_VALUE"""),84630.0)</f>
        <v>84630</v>
      </c>
      <c r="B79" s="5">
        <f>IFERROR(__xludf.DUMMYFUNCTION("""COMPUTED_VALUE"""),44931.46682487268)</f>
        <v>44931.46682</v>
      </c>
      <c r="C79" s="1" t="str">
        <f>IFERROR(__xludf.DUMMYFUNCTION("""COMPUTED_VALUE"""),"Barrera Isaias")</f>
        <v>Barrera Isaias</v>
      </c>
      <c r="D79" s="1" t="str">
        <f>IFERROR(__xludf.DUMMYFUNCTION("""COMPUTED_VALUE"""),"Lentes de LABORATORIO")</f>
        <v>Lentes de LABORATORIO</v>
      </c>
      <c r="E79" s="1" t="str">
        <f>IFERROR(__xludf.DUMMYFUNCTION("""COMPUTED_VALUE"""),"RIVADAVIA Rocio B")</f>
        <v>RIVADAVIA Rocio B</v>
      </c>
      <c r="F79" s="1" t="str">
        <f t="shared" si="1"/>
        <v>RIVADAVIA </v>
      </c>
      <c r="G79" s="1" t="str">
        <f t="shared" si="2"/>
        <v>Rocio B</v>
      </c>
      <c r="H79" s="1" t="str">
        <f>IFERROR(__xludf.DUMMYFUNCTION("""COMPUTED_VALUE"""),"27/1/2023, 17:00:00")</f>
        <v>27/1/2023, 17:00:00</v>
      </c>
      <c r="I79" s="1" t="str">
        <f>IFERROR(__xludf.DUMMYFUNCTION("""COMPUTED_VALUE"""),"RETIRADO OK POR CLIENTE")</f>
        <v>RETIRADO OK POR CLIENTE</v>
      </c>
      <c r="J79" s="1">
        <f t="shared" si="3"/>
        <v>6</v>
      </c>
      <c r="K79" s="1" t="str">
        <f t="shared" si="4"/>
        <v>Entregamos tus lentes, que los disfrutes!</v>
      </c>
    </row>
    <row r="80">
      <c r="A80" s="1">
        <f>IFERROR(__xludf.DUMMYFUNCTION("""COMPUTED_VALUE"""),84631.0)</f>
        <v>84631</v>
      </c>
      <c r="B80" s="5">
        <f>IFERROR(__xludf.DUMMYFUNCTION("""COMPUTED_VALUE"""),44931.46802994213)</f>
        <v>44931.46803</v>
      </c>
      <c r="C80" s="1" t="str">
        <f>IFERROR(__xludf.DUMMYFUNCTION("""COMPUTED_VALUE"""),"MORENO MARINO DANILO")</f>
        <v>MORENO MARINO DANILO</v>
      </c>
      <c r="D80" s="1" t="str">
        <f>IFERROR(__xludf.DUMMYFUNCTION("""COMPUTED_VALUE"""),"Lentes de STOCK")</f>
        <v>Lentes de STOCK</v>
      </c>
      <c r="E80" s="1" t="str">
        <f>IFERROR(__xludf.DUMMYFUNCTION("""COMPUTED_VALUE"""),"RIVADAVIA Marcela L")</f>
        <v>RIVADAVIA Marcela L</v>
      </c>
      <c r="F80" s="1" t="str">
        <f t="shared" si="1"/>
        <v>RIVADAVIA </v>
      </c>
      <c r="G80" s="1" t="str">
        <f t="shared" si="2"/>
        <v>Marcela L</v>
      </c>
      <c r="H80" s="1" t="str">
        <f>IFERROR(__xludf.DUMMYFUNCTION("""COMPUTED_VALUE"""),"10/1/2023, 17:00:00")</f>
        <v>10/1/2023, 17:00:00</v>
      </c>
      <c r="I80" s="1"/>
      <c r="J80" s="1">
        <f t="shared" si="3"/>
        <v>0</v>
      </c>
      <c r="K80" s="1" t="str">
        <f t="shared" si="4"/>
        <v/>
      </c>
    </row>
    <row r="81">
      <c r="A81" s="1">
        <f>IFERROR(__xludf.DUMMYFUNCTION("""COMPUTED_VALUE"""),84632.0)</f>
        <v>84632</v>
      </c>
      <c r="B81" s="5">
        <f>IFERROR(__xludf.DUMMYFUNCTION("""COMPUTED_VALUE"""),44931.470979398146)</f>
        <v>44931.47098</v>
      </c>
      <c r="C81" s="1" t="str">
        <f>IFERROR(__xludf.DUMMYFUNCTION("""COMPUTED_VALUE"""),"quintero jorge")</f>
        <v>quintero jorge</v>
      </c>
      <c r="D81" s="1" t="str">
        <f>IFERROR(__xludf.DUMMYFUNCTION("""COMPUTED_VALUE"""),"Reparaciones/Otros")</f>
        <v>Reparaciones/Otros</v>
      </c>
      <c r="E81" s="1" t="str">
        <f>IFERROR(__xludf.DUMMYFUNCTION("""COMPUTED_VALUE"""),"RIVADAVIA Daniel CM")</f>
        <v>RIVADAVIA Daniel CM</v>
      </c>
      <c r="F81" s="1" t="str">
        <f t="shared" si="1"/>
        <v>RIVADAVIA </v>
      </c>
      <c r="G81" s="1" t="str">
        <f t="shared" si="2"/>
        <v>Daniel CM</v>
      </c>
      <c r="H81" s="1" t="str">
        <f>IFERROR(__xludf.DUMMYFUNCTION("""COMPUTED_VALUE"""),"6/1/2023, 17:00:00")</f>
        <v>6/1/2023, 17:00:00</v>
      </c>
      <c r="I81" s="1" t="str">
        <f>IFERROR(__xludf.DUMMYFUNCTION("""COMPUTED_VALUE"""),"Enviado a Sucursal")</f>
        <v>Enviado a Sucursal</v>
      </c>
      <c r="J81" s="1">
        <f t="shared" si="3"/>
        <v>4</v>
      </c>
      <c r="K81" s="1" t="str">
        <f t="shared" si="4"/>
        <v>Tus lentes estan viajando a la sucursal para su entrega.</v>
      </c>
    </row>
    <row r="82">
      <c r="A82" s="1">
        <f>IFERROR(__xludf.DUMMYFUNCTION("""COMPUTED_VALUE"""),84633.0)</f>
        <v>84633</v>
      </c>
      <c r="B82" s="5">
        <f>IFERROR(__xludf.DUMMYFUNCTION("""COMPUTED_VALUE"""),44931.47538321759)</f>
        <v>44931.47538</v>
      </c>
      <c r="C82" s="1" t="str">
        <f>IFERROR(__xludf.DUMMYFUNCTION("""COMPUTED_VALUE"""),"RETA ZABALA ROSALINDA")</f>
        <v>RETA ZABALA ROSALINDA</v>
      </c>
      <c r="D82" s="1" t="str">
        <f>IFERROR(__xludf.DUMMYFUNCTION("""COMPUTED_VALUE"""),"Lentes de STOCK")</f>
        <v>Lentes de STOCK</v>
      </c>
      <c r="E82" s="1" t="str">
        <f>IFERROR(__xludf.DUMMYFUNCTION("""COMPUTED_VALUE"""),"ARTIGAS Cristian C.")</f>
        <v>ARTIGAS Cristian C.</v>
      </c>
      <c r="F82" s="1" t="str">
        <f t="shared" si="1"/>
        <v>ARTIGAS </v>
      </c>
      <c r="G82" s="1" t="str">
        <f t="shared" si="2"/>
        <v>Cristian C.</v>
      </c>
      <c r="H82" s="1" t="str">
        <f>IFERROR(__xludf.DUMMYFUNCTION("""COMPUTED_VALUE"""),"12/1/2023, 17:00:00")</f>
        <v>12/1/2023, 17:00:00</v>
      </c>
      <c r="I82" s="1" t="str">
        <f>IFERROR(__xludf.DUMMYFUNCTION("""COMPUTED_VALUE"""),"RETIRADO OK POR CLIENTE")</f>
        <v>RETIRADO OK POR CLIENTE</v>
      </c>
      <c r="J82" s="1">
        <f t="shared" si="3"/>
        <v>6</v>
      </c>
      <c r="K82" s="1" t="str">
        <f t="shared" si="4"/>
        <v>Entregamos tus lentes, que los disfrutes!</v>
      </c>
    </row>
    <row r="83">
      <c r="A83" s="1">
        <f>IFERROR(__xludf.DUMMYFUNCTION("""COMPUTED_VALUE"""),84634.0)</f>
        <v>84634</v>
      </c>
      <c r="B83" s="5">
        <f>IFERROR(__xludf.DUMMYFUNCTION("""COMPUTED_VALUE"""),44931.48439778935)</f>
        <v>44931.4844</v>
      </c>
      <c r="C83" s="1" t="str">
        <f>IFERROR(__xludf.DUMMYFUNCTION("""COMPUTED_VALUE"""),"BUSTOS MIRTA ELENA")</f>
        <v>BUSTOS MIRTA ELENA</v>
      </c>
      <c r="D83" s="1" t="str">
        <f>IFERROR(__xludf.DUMMYFUNCTION("""COMPUTED_VALUE"""),"Lentes MULTIFOCALES")</f>
        <v>Lentes MULTIFOCALES</v>
      </c>
      <c r="E83" s="1" t="str">
        <f>IFERROR(__xludf.DUMMYFUNCTION("""COMPUTED_VALUE"""),"RIVADAVIA Santiago LOPEZ")</f>
        <v>RIVADAVIA Santiago LOPEZ</v>
      </c>
      <c r="F83" s="1" t="str">
        <f t="shared" si="1"/>
        <v>RIVADAVIA </v>
      </c>
      <c r="G83" s="1" t="str">
        <f t="shared" si="2"/>
        <v>Santiago LOPEZ</v>
      </c>
      <c r="H83" s="1" t="str">
        <f>IFERROR(__xludf.DUMMYFUNCTION("""COMPUTED_VALUE"""),"18/1/2023, 17:00:00")</f>
        <v>18/1/2023, 17:00:00</v>
      </c>
      <c r="I83" s="1" t="str">
        <f>IFERROR(__xludf.DUMMYFUNCTION("""COMPUTED_VALUE"""),"RETIRADO OK POR CLIENTE")</f>
        <v>RETIRADO OK POR CLIENTE</v>
      </c>
      <c r="J83" s="1">
        <f t="shared" si="3"/>
        <v>6</v>
      </c>
      <c r="K83" s="1" t="str">
        <f t="shared" si="4"/>
        <v>Entregamos tus lentes, que los disfrutes!</v>
      </c>
    </row>
    <row r="84">
      <c r="A84" s="1">
        <f>IFERROR(__xludf.DUMMYFUNCTION("""COMPUTED_VALUE"""),84635.0)</f>
        <v>84635</v>
      </c>
      <c r="B84" s="5">
        <f>IFERROR(__xludf.DUMMYFUNCTION("""COMPUTED_VALUE"""),44931.49129472222)</f>
        <v>44931.49129</v>
      </c>
      <c r="C84" s="1" t="str">
        <f>IFERROR(__xludf.DUMMYFUNCTION("""COMPUTED_VALUE"""),"CONTRERAS MARIA")</f>
        <v>CONTRERAS MARIA</v>
      </c>
      <c r="D84" s="1" t="str">
        <f>IFERROR(__xludf.DUMMYFUNCTION("""COMPUTED_VALUE"""),"Lentes de STOCK")</f>
        <v>Lentes de STOCK</v>
      </c>
      <c r="E84" s="1" t="str">
        <f>IFERROR(__xludf.DUMMYFUNCTION("""COMPUTED_VALUE"""),"ARTIGAS Ivana P.")</f>
        <v>ARTIGAS Ivana P.</v>
      </c>
      <c r="F84" s="1" t="str">
        <f t="shared" si="1"/>
        <v>ARTIGAS </v>
      </c>
      <c r="G84" s="1" t="str">
        <f t="shared" si="2"/>
        <v>Ivana P.</v>
      </c>
      <c r="H84" s="1" t="str">
        <f>IFERROR(__xludf.DUMMYFUNCTION("""COMPUTED_VALUE"""),"11/1/2023, 17:00:00")</f>
        <v>11/1/2023, 17:00:00</v>
      </c>
      <c r="I84" s="1" t="str">
        <f>IFERROR(__xludf.DUMMYFUNCTION("""COMPUTED_VALUE"""),"En Armado Hoy")</f>
        <v>En Armado Hoy</v>
      </c>
      <c r="J84" s="1">
        <f t="shared" si="3"/>
        <v>3</v>
      </c>
      <c r="K84" s="1" t="str">
        <f t="shared" si="4"/>
        <v>Estamos terminando los ultimos detalles de tus lentes, los terminaremos el dia de hoy.</v>
      </c>
    </row>
    <row r="85">
      <c r="A85" s="1">
        <f>IFERROR(__xludf.DUMMYFUNCTION("""COMPUTED_VALUE"""),84636.0)</f>
        <v>84636</v>
      </c>
      <c r="B85" s="5">
        <f>IFERROR(__xludf.DUMMYFUNCTION("""COMPUTED_VALUE"""),44931.49386173611)</f>
        <v>44931.49386</v>
      </c>
      <c r="C85" s="1" t="str">
        <f>IFERROR(__xludf.DUMMYFUNCTION("""COMPUTED_VALUE"""),"ALBORNOZ LUCIA")</f>
        <v>ALBORNOZ LUCIA</v>
      </c>
      <c r="D85" s="1" t="str">
        <f>IFERROR(__xludf.DUMMYFUNCTION("""COMPUTED_VALUE"""),"Reparaciones/Otros")</f>
        <v>Reparaciones/Otros</v>
      </c>
      <c r="E85" s="1" t="str">
        <f>IFERROR(__xludf.DUMMYFUNCTION("""COMPUTED_VALUE"""),"ARTIGAS Cristian C.")</f>
        <v>ARTIGAS Cristian C.</v>
      </c>
      <c r="F85" s="1" t="str">
        <f t="shared" si="1"/>
        <v>ARTIGAS </v>
      </c>
      <c r="G85" s="1" t="str">
        <f t="shared" si="2"/>
        <v>Cristian C.</v>
      </c>
      <c r="H85" s="1" t="str">
        <f>IFERROR(__xludf.DUMMYFUNCTION("""COMPUTED_VALUE"""),"6/1/2023, 17:00:00")</f>
        <v>6/1/2023, 17:00:00</v>
      </c>
      <c r="I85" s="1" t="str">
        <f>IFERROR(__xludf.DUMMYFUNCTION("""COMPUTED_VALUE"""),"Completado en SUCURSAL")</f>
        <v>Completado en SUCURSAL</v>
      </c>
      <c r="J85" s="1">
        <f t="shared" si="3"/>
        <v>5</v>
      </c>
      <c r="K85" s="1" t="str">
        <f t="shared" si="4"/>
        <v>Tus Lentes estan LISTAS PARA ENTREGAR, te esperamos.</v>
      </c>
    </row>
    <row r="86">
      <c r="A86" s="1">
        <f>IFERROR(__xludf.DUMMYFUNCTION("""COMPUTED_VALUE"""),84637.0)</f>
        <v>84637</v>
      </c>
      <c r="B86" s="5">
        <f>IFERROR(__xludf.DUMMYFUNCTION("""COMPUTED_VALUE"""),44931.49589931713)</f>
        <v>44931.4959</v>
      </c>
      <c r="C86" s="1" t="str">
        <f>IFERROR(__xludf.DUMMYFUNCTION("""COMPUTED_VALUE"""),"flores felipe")</f>
        <v>flores felipe</v>
      </c>
      <c r="D86" s="1" t="str">
        <f>IFERROR(__xludf.DUMMYFUNCTION("""COMPUTED_VALUE"""),"Lentes de STOCK")</f>
        <v>Lentes de STOCK</v>
      </c>
      <c r="E86" s="1" t="str">
        <f>IFERROR(__xludf.DUMMYFUNCTION("""COMPUTED_VALUE"""),"RIVADAVIA Daniel CM")</f>
        <v>RIVADAVIA Daniel CM</v>
      </c>
      <c r="F86" s="1" t="str">
        <f t="shared" si="1"/>
        <v>RIVADAVIA </v>
      </c>
      <c r="G86" s="1" t="str">
        <f t="shared" si="2"/>
        <v>Daniel CM</v>
      </c>
      <c r="H86" s="1" t="str">
        <f>IFERROR(__xludf.DUMMYFUNCTION("""COMPUTED_VALUE"""),"10/1/2023, 17:00:00")</f>
        <v>10/1/2023, 17:00:00</v>
      </c>
      <c r="I86" s="1" t="str">
        <f>IFERROR(__xludf.DUMMYFUNCTION("""COMPUTED_VALUE"""),"RETIRADO OK POR CLIENTE")</f>
        <v>RETIRADO OK POR CLIENTE</v>
      </c>
      <c r="J86" s="1">
        <f t="shared" si="3"/>
        <v>6</v>
      </c>
      <c r="K86" s="1" t="str">
        <f t="shared" si="4"/>
        <v>Entregamos tus lentes, que los disfrutes!</v>
      </c>
    </row>
    <row r="87">
      <c r="A87" s="1">
        <f>IFERROR(__xludf.DUMMYFUNCTION("""COMPUTED_VALUE"""),84638.0)</f>
        <v>84638</v>
      </c>
      <c r="B87" s="5">
        <f>IFERROR(__xludf.DUMMYFUNCTION("""COMPUTED_VALUE"""),44931.4960431713)</f>
        <v>44931.49604</v>
      </c>
      <c r="C87" s="1" t="str">
        <f>IFERROR(__xludf.DUMMYFUNCTION("""COMPUTED_VALUE"""),"Ponce Hugo")</f>
        <v>Ponce Hugo</v>
      </c>
      <c r="D87" s="1" t="str">
        <f>IFERROR(__xludf.DUMMYFUNCTION("""COMPUTED_VALUE"""),"Reparaciones/Otros")</f>
        <v>Reparaciones/Otros</v>
      </c>
      <c r="E87" s="1" t="str">
        <f>IFERROR(__xludf.DUMMYFUNCTION("""COMPUTED_VALUE"""),"ARTIGAS Sandra G")</f>
        <v>ARTIGAS Sandra G</v>
      </c>
      <c r="F87" s="1" t="str">
        <f t="shared" si="1"/>
        <v>ARTIGAS </v>
      </c>
      <c r="G87" s="1" t="str">
        <f t="shared" si="2"/>
        <v>Sandra G</v>
      </c>
      <c r="H87" s="1" t="str">
        <f>IFERROR(__xludf.DUMMYFUNCTION("""COMPUTED_VALUE"""),"6/1/2023, 17:00:00")</f>
        <v>6/1/2023, 17:00:00</v>
      </c>
      <c r="I87" s="1" t="str">
        <f>IFERROR(__xludf.DUMMYFUNCTION("""COMPUTED_VALUE"""),"Completado en SUCURSAL")</f>
        <v>Completado en SUCURSAL</v>
      </c>
      <c r="J87" s="1">
        <f t="shared" si="3"/>
        <v>5</v>
      </c>
      <c r="K87" s="1" t="str">
        <f t="shared" si="4"/>
        <v>Tus Lentes estan LISTAS PARA ENTREGAR, te esperamos.</v>
      </c>
    </row>
    <row r="88">
      <c r="A88" s="1">
        <f>IFERROR(__xludf.DUMMYFUNCTION("""COMPUTED_VALUE"""),84639.0)</f>
        <v>84639</v>
      </c>
      <c r="B88" s="5">
        <f>IFERROR(__xludf.DUMMYFUNCTION("""COMPUTED_VALUE"""),44931.500835810184)</f>
        <v>44931.50084</v>
      </c>
      <c r="C88" s="1" t="str">
        <f>IFERROR(__xludf.DUMMYFUNCTION("""COMPUTED_VALUE"""),"OVIEDO NAZARENA VANESA")</f>
        <v>OVIEDO NAZARENA VANESA</v>
      </c>
      <c r="D88" s="1" t="str">
        <f>IFERROR(__xludf.DUMMYFUNCTION("""COMPUTED_VALUE"""),"Lentes de STOCK")</f>
        <v>Lentes de STOCK</v>
      </c>
      <c r="E88" s="1" t="str">
        <f>IFERROR(__xludf.DUMMYFUNCTION("""COMPUTED_VALUE"""),"RIVADAVIA Marcela L")</f>
        <v>RIVADAVIA Marcela L</v>
      </c>
      <c r="F88" s="1" t="str">
        <f t="shared" si="1"/>
        <v>RIVADAVIA </v>
      </c>
      <c r="G88" s="1" t="str">
        <f t="shared" si="2"/>
        <v>Marcela L</v>
      </c>
      <c r="H88" s="1" t="str">
        <f>IFERROR(__xludf.DUMMYFUNCTION("""COMPUTED_VALUE"""),"10/1/2023, 17:00:00")</f>
        <v>10/1/2023, 17:00:00</v>
      </c>
      <c r="I88" s="1" t="str">
        <f>IFERROR(__xludf.DUMMYFUNCTION("""COMPUTED_VALUE"""),"RETIRADO OK POR CLIENTE")</f>
        <v>RETIRADO OK POR CLIENTE</v>
      </c>
      <c r="J88" s="1">
        <f t="shared" si="3"/>
        <v>6</v>
      </c>
      <c r="K88" s="1" t="str">
        <f t="shared" si="4"/>
        <v>Entregamos tus lentes, que los disfrutes!</v>
      </c>
    </row>
    <row r="89">
      <c r="A89" s="1">
        <f>IFERROR(__xludf.DUMMYFUNCTION("""COMPUTED_VALUE"""),84640.0)</f>
        <v>84640</v>
      </c>
      <c r="B89" s="5">
        <f>IFERROR(__xludf.DUMMYFUNCTION("""COMPUTED_VALUE"""),44931.505846307875)</f>
        <v>44931.50585</v>
      </c>
      <c r="C89" s="1" t="str">
        <f>IFERROR(__xludf.DUMMYFUNCTION("""COMPUTED_VALUE"""),"OLMEDO ENZO")</f>
        <v>OLMEDO ENZO</v>
      </c>
      <c r="D89" s="1" t="str">
        <f>IFERROR(__xludf.DUMMYFUNCTION("""COMPUTED_VALUE"""),"Reparaciones/Otros")</f>
        <v>Reparaciones/Otros</v>
      </c>
      <c r="E89" s="1" t="str">
        <f>IFERROR(__xludf.DUMMYFUNCTION("""COMPUTED_VALUE"""),"ARTIGAS Cristian C.")</f>
        <v>ARTIGAS Cristian C.</v>
      </c>
      <c r="F89" s="1" t="str">
        <f t="shared" si="1"/>
        <v>ARTIGAS </v>
      </c>
      <c r="G89" s="1" t="str">
        <f t="shared" si="2"/>
        <v>Cristian C.</v>
      </c>
      <c r="H89" s="1" t="str">
        <f>IFERROR(__xludf.DUMMYFUNCTION("""COMPUTED_VALUE"""),"7/1/2023, 17:00:00")</f>
        <v>7/1/2023, 17:00:00</v>
      </c>
      <c r="I89" s="1" t="str">
        <f>IFERROR(__xludf.DUMMYFUNCTION("""COMPUTED_VALUE"""),"Recibido en Laboratorio")</f>
        <v>Recibido en Laboratorio</v>
      </c>
      <c r="J89" s="1">
        <f t="shared" si="3"/>
        <v>2</v>
      </c>
      <c r="K89" s="1" t="str">
        <f t="shared" si="4"/>
        <v>Nuestro Laboratorio esta trabajando en tus lentes, los entregaremos en la fecha acordada.</v>
      </c>
    </row>
    <row r="90">
      <c r="A90" s="1">
        <f>IFERROR(__xludf.DUMMYFUNCTION("""COMPUTED_VALUE"""),84641.0)</f>
        <v>84641</v>
      </c>
      <c r="B90" s="5">
        <f>IFERROR(__xludf.DUMMYFUNCTION("""COMPUTED_VALUE"""),44931.509466435185)</f>
        <v>44931.50947</v>
      </c>
      <c r="C90" s="1" t="str">
        <f>IFERROR(__xludf.DUMMYFUNCTION("""COMPUTED_VALUE"""),"BAIGORRIA CAMILA")</f>
        <v>BAIGORRIA CAMILA</v>
      </c>
      <c r="D90" s="1" t="str">
        <f>IFERROR(__xludf.DUMMYFUNCTION("""COMPUTED_VALUE"""),"Lentes de STOCK")</f>
        <v>Lentes de STOCK</v>
      </c>
      <c r="E90" s="1" t="str">
        <f>IFERROR(__xludf.DUMMYFUNCTION("""COMPUTED_VALUE"""),"RIVADAVIA Luciana")</f>
        <v>RIVADAVIA Luciana</v>
      </c>
      <c r="F90" s="1" t="str">
        <f t="shared" si="1"/>
        <v>RIVADAVIA </v>
      </c>
      <c r="G90" s="1" t="str">
        <f t="shared" si="2"/>
        <v>Luciana</v>
      </c>
      <c r="H90" s="1" t="str">
        <f>IFERROR(__xludf.DUMMYFUNCTION("""COMPUTED_VALUE"""),"11/1/2023, 17:00:00")</f>
        <v>11/1/2023, 17:00:00</v>
      </c>
      <c r="I90" s="1" t="str">
        <f>IFERROR(__xludf.DUMMYFUNCTION("""COMPUTED_VALUE"""),"RETIRADO OK POR CLIENTE")</f>
        <v>RETIRADO OK POR CLIENTE</v>
      </c>
      <c r="J90" s="1">
        <f t="shared" si="3"/>
        <v>6</v>
      </c>
      <c r="K90" s="1" t="str">
        <f t="shared" si="4"/>
        <v>Entregamos tus lentes, que los disfrutes!</v>
      </c>
    </row>
    <row r="91">
      <c r="A91" s="1">
        <f>IFERROR(__xludf.DUMMYFUNCTION("""COMPUTED_VALUE"""),84642.0)</f>
        <v>84642</v>
      </c>
      <c r="B91" s="5">
        <f>IFERROR(__xludf.DUMMYFUNCTION("""COMPUTED_VALUE"""),44931.510202199075)</f>
        <v>44931.5102</v>
      </c>
      <c r="C91" s="1" t="str">
        <f>IFERROR(__xludf.DUMMYFUNCTION("""COMPUTED_VALUE"""),"MUÑOZ KAREM")</f>
        <v>MUÑOZ KAREM</v>
      </c>
      <c r="D91" s="1" t="str">
        <f>IFERROR(__xludf.DUMMYFUNCTION("""COMPUTED_VALUE"""),"Reparaciones/Otros")</f>
        <v>Reparaciones/Otros</v>
      </c>
      <c r="E91" s="1" t="str">
        <f>IFERROR(__xludf.DUMMYFUNCTION("""COMPUTED_VALUE"""),"ARTIGAS Cristian C.")</f>
        <v>ARTIGAS Cristian C.</v>
      </c>
      <c r="F91" s="1" t="str">
        <f t="shared" si="1"/>
        <v>ARTIGAS </v>
      </c>
      <c r="G91" s="1" t="str">
        <f t="shared" si="2"/>
        <v>Cristian C.</v>
      </c>
      <c r="H91" s="1" t="str">
        <f>IFERROR(__xludf.DUMMYFUNCTION("""COMPUTED_VALUE"""),"6/1/2023, 17:00:00")</f>
        <v>6/1/2023, 17:00:00</v>
      </c>
      <c r="I91" s="1" t="str">
        <f>IFERROR(__xludf.DUMMYFUNCTION("""COMPUTED_VALUE"""),"Recibido en Laboratorio")</f>
        <v>Recibido en Laboratorio</v>
      </c>
      <c r="J91" s="1">
        <f t="shared" si="3"/>
        <v>2</v>
      </c>
      <c r="K91" s="1" t="str">
        <f t="shared" si="4"/>
        <v>Nuestro Laboratorio esta trabajando en tus lentes, los entregaremos en la fecha acordada.</v>
      </c>
    </row>
    <row r="92">
      <c r="A92" s="1">
        <f>IFERROR(__xludf.DUMMYFUNCTION("""COMPUTED_VALUE"""),84643.0)</f>
        <v>84643</v>
      </c>
      <c r="B92" s="5">
        <f>IFERROR(__xludf.DUMMYFUNCTION("""COMPUTED_VALUE"""),44931.516383009264)</f>
        <v>44931.51638</v>
      </c>
      <c r="C92" s="1" t="str">
        <f>IFERROR(__xludf.DUMMYFUNCTION("""COMPUTED_VALUE"""),"GOMEZ ANA MARIA")</f>
        <v>GOMEZ ANA MARIA</v>
      </c>
      <c r="D92" s="1" t="str">
        <f>IFERROR(__xludf.DUMMYFUNCTION("""COMPUTED_VALUE"""),"Lentes de STOCK")</f>
        <v>Lentes de STOCK</v>
      </c>
      <c r="E92" s="1" t="str">
        <f>IFERROR(__xludf.DUMMYFUNCTION("""COMPUTED_VALUE"""),"RIVADAVIA Marcela L")</f>
        <v>RIVADAVIA Marcela L</v>
      </c>
      <c r="F92" s="1" t="str">
        <f t="shared" si="1"/>
        <v>RIVADAVIA </v>
      </c>
      <c r="G92" s="1" t="str">
        <f t="shared" si="2"/>
        <v>Marcela L</v>
      </c>
      <c r="H92" s="1" t="str">
        <f>IFERROR(__xludf.DUMMYFUNCTION("""COMPUTED_VALUE"""),"10/1/2023, 17:00:00")</f>
        <v>10/1/2023, 17:00:00</v>
      </c>
      <c r="I92" s="1" t="str">
        <f>IFERROR(__xludf.DUMMYFUNCTION("""COMPUTED_VALUE"""),"RETIRADO OK POR CLIENTE")</f>
        <v>RETIRADO OK POR CLIENTE</v>
      </c>
      <c r="J92" s="1">
        <f t="shared" si="3"/>
        <v>6</v>
      </c>
      <c r="K92" s="1" t="str">
        <f t="shared" si="4"/>
        <v>Entregamos tus lentes, que los disfrutes!</v>
      </c>
    </row>
    <row r="93">
      <c r="A93" s="1">
        <f>IFERROR(__xludf.DUMMYFUNCTION("""COMPUTED_VALUE"""),84644.0)</f>
        <v>84644</v>
      </c>
      <c r="B93" s="5">
        <f>IFERROR(__xludf.DUMMYFUNCTION("""COMPUTED_VALUE"""),44931.521942824074)</f>
        <v>44931.52194</v>
      </c>
      <c r="C93" s="1" t="str">
        <f>IFERROR(__xludf.DUMMYFUNCTION("""COMPUTED_VALUE"""),"gimenez sebastian")</f>
        <v>gimenez sebastian</v>
      </c>
      <c r="D93" s="1" t="str">
        <f>IFERROR(__xludf.DUMMYFUNCTION("""COMPUTED_VALUE"""),"Reparaciones/Otros")</f>
        <v>Reparaciones/Otros</v>
      </c>
      <c r="E93" s="1" t="str">
        <f>IFERROR(__xludf.DUMMYFUNCTION("""COMPUTED_VALUE"""),"RIVADAVIA Daniel CM")</f>
        <v>RIVADAVIA Daniel CM</v>
      </c>
      <c r="F93" s="1" t="str">
        <f t="shared" si="1"/>
        <v>RIVADAVIA </v>
      </c>
      <c r="G93" s="1" t="str">
        <f t="shared" si="2"/>
        <v>Daniel CM</v>
      </c>
      <c r="H93" s="1" t="str">
        <f>IFERROR(__xludf.DUMMYFUNCTION("""COMPUTED_VALUE"""),"6/1/2023, 17:00:00")</f>
        <v>6/1/2023, 17:00:00</v>
      </c>
      <c r="I93" s="1" t="str">
        <f>IFERROR(__xludf.DUMMYFUNCTION("""COMPUTED_VALUE"""),"Completado en SUCURSAL")</f>
        <v>Completado en SUCURSAL</v>
      </c>
      <c r="J93" s="1">
        <f t="shared" si="3"/>
        <v>5</v>
      </c>
      <c r="K93" s="1" t="str">
        <f t="shared" si="4"/>
        <v>Tus Lentes estan LISTAS PARA ENTREGAR, te esperamos.</v>
      </c>
    </row>
    <row r="94">
      <c r="A94" s="1">
        <f>IFERROR(__xludf.DUMMYFUNCTION("""COMPUTED_VALUE"""),84645.0)</f>
        <v>84645</v>
      </c>
      <c r="B94" s="5">
        <f>IFERROR(__xludf.DUMMYFUNCTION("""COMPUTED_VALUE"""),44931.52370972223)</f>
        <v>44931.52371</v>
      </c>
      <c r="C94" s="1" t="str">
        <f>IFERROR(__xludf.DUMMYFUNCTION("""COMPUTED_VALUE"""),"gimenes sebastian")</f>
        <v>gimenes sebastian</v>
      </c>
      <c r="D94" s="1" t="str">
        <f>IFERROR(__xludf.DUMMYFUNCTION("""COMPUTED_VALUE"""),"Reparaciones/Otros")</f>
        <v>Reparaciones/Otros</v>
      </c>
      <c r="E94" s="1" t="str">
        <f>IFERROR(__xludf.DUMMYFUNCTION("""COMPUTED_VALUE"""),"RIVADAVIA Daniel CM")</f>
        <v>RIVADAVIA Daniel CM</v>
      </c>
      <c r="F94" s="1" t="str">
        <f t="shared" si="1"/>
        <v>RIVADAVIA </v>
      </c>
      <c r="G94" s="1" t="str">
        <f t="shared" si="2"/>
        <v>Daniel CM</v>
      </c>
      <c r="H94" s="1" t="str">
        <f>IFERROR(__xludf.DUMMYFUNCTION("""COMPUTED_VALUE"""),"9/1/2023, 17:00:00")</f>
        <v>9/1/2023, 17:00:00</v>
      </c>
      <c r="I94" s="1" t="str">
        <f>IFERROR(__xludf.DUMMYFUNCTION("""COMPUTED_VALUE"""),"Completado en SUCURSAL")</f>
        <v>Completado en SUCURSAL</v>
      </c>
      <c r="J94" s="1">
        <f t="shared" si="3"/>
        <v>5</v>
      </c>
      <c r="K94" s="1" t="str">
        <f t="shared" si="4"/>
        <v>Tus Lentes estan LISTAS PARA ENTREGAR, te esperamos.</v>
      </c>
    </row>
    <row r="95">
      <c r="A95" s="1">
        <f>IFERROR(__xludf.DUMMYFUNCTION("""COMPUTED_VALUE"""),84646.0)</f>
        <v>84646</v>
      </c>
      <c r="B95" s="5">
        <f>IFERROR(__xludf.DUMMYFUNCTION("""COMPUTED_VALUE"""),44931.52587027778)</f>
        <v>44931.52587</v>
      </c>
      <c r="C95" s="1" t="str">
        <f>IFERROR(__xludf.DUMMYFUNCTION("""COMPUTED_VALUE"""),"SOSA MARIA DEL CARMEN")</f>
        <v>SOSA MARIA DEL CARMEN</v>
      </c>
      <c r="D95" s="1" t="str">
        <f>IFERROR(__xludf.DUMMYFUNCTION("""COMPUTED_VALUE"""),"Lentes de STOCK")</f>
        <v>Lentes de STOCK</v>
      </c>
      <c r="E95" s="1" t="str">
        <f>IFERROR(__xludf.DUMMYFUNCTION("""COMPUTED_VALUE"""),"ARTIGAS Ivana P.")</f>
        <v>ARTIGAS Ivana P.</v>
      </c>
      <c r="F95" s="1" t="str">
        <f t="shared" si="1"/>
        <v>ARTIGAS </v>
      </c>
      <c r="G95" s="1" t="str">
        <f t="shared" si="2"/>
        <v>Ivana P.</v>
      </c>
      <c r="H95" s="1" t="str">
        <f>IFERROR(__xludf.DUMMYFUNCTION("""COMPUTED_VALUE"""),"10/1/2023, 17:00:00")</f>
        <v>10/1/2023, 17:00:00</v>
      </c>
      <c r="I95" s="1"/>
      <c r="J95" s="1">
        <f t="shared" si="3"/>
        <v>0</v>
      </c>
      <c r="K95" s="1" t="str">
        <f t="shared" si="4"/>
        <v/>
      </c>
    </row>
    <row r="96">
      <c r="A96" s="1">
        <f>IFERROR(__xludf.DUMMYFUNCTION("""COMPUTED_VALUE"""),84647.0)</f>
        <v>84647</v>
      </c>
      <c r="B96" s="5">
        <f>IFERROR(__xludf.DUMMYFUNCTION("""COMPUTED_VALUE"""),44931.53179195602)</f>
        <v>44931.53179</v>
      </c>
      <c r="C96" s="1" t="str">
        <f>IFERROR(__xludf.DUMMYFUNCTION("""COMPUTED_VALUE"""),"SOSA LUCIA DEL CARMEN")</f>
        <v>SOSA LUCIA DEL CARMEN</v>
      </c>
      <c r="D96" s="1" t="str">
        <f>IFERROR(__xludf.DUMMYFUNCTION("""COMPUTED_VALUE"""),"Lentes de STOCK")</f>
        <v>Lentes de STOCK</v>
      </c>
      <c r="E96" s="1" t="str">
        <f>IFERROR(__xludf.DUMMYFUNCTION("""COMPUTED_VALUE"""),"ARTIGAS Ivana P.")</f>
        <v>ARTIGAS Ivana P.</v>
      </c>
      <c r="F96" s="1" t="str">
        <f t="shared" si="1"/>
        <v>ARTIGAS </v>
      </c>
      <c r="G96" s="1" t="str">
        <f t="shared" si="2"/>
        <v>Ivana P.</v>
      </c>
      <c r="H96" s="1" t="str">
        <f>IFERROR(__xludf.DUMMYFUNCTION("""COMPUTED_VALUE"""),"11/1/2023, 17:00:00")</f>
        <v>11/1/2023, 17:00:00</v>
      </c>
      <c r="I96" s="1" t="str">
        <f>IFERROR(__xludf.DUMMYFUNCTION("""COMPUTED_VALUE"""),"RETIRADO OK POR CLIENTE")</f>
        <v>RETIRADO OK POR CLIENTE</v>
      </c>
      <c r="J96" s="1">
        <f t="shared" si="3"/>
        <v>6</v>
      </c>
      <c r="K96" s="1" t="str">
        <f t="shared" si="4"/>
        <v>Entregamos tus lentes, que los disfrutes!</v>
      </c>
    </row>
    <row r="97">
      <c r="A97" s="1">
        <f>IFERROR(__xludf.DUMMYFUNCTION("""COMPUTED_VALUE"""),84648.0)</f>
        <v>84648</v>
      </c>
      <c r="B97" s="5">
        <f>IFERROR(__xludf.DUMMYFUNCTION("""COMPUTED_VALUE"""),44931.540392083334)</f>
        <v>44931.54039</v>
      </c>
      <c r="C97" s="1" t="str">
        <f>IFERROR(__xludf.DUMMYFUNCTION("""COMPUTED_VALUE"""),"TOMBORINI CARLOS MIGUEL")</f>
        <v>TOMBORINI CARLOS MIGUEL</v>
      </c>
      <c r="D97" s="1" t="str">
        <f>IFERROR(__xludf.DUMMYFUNCTION("""COMPUTED_VALUE"""),"Lentes de STOCK")</f>
        <v>Lentes de STOCK</v>
      </c>
      <c r="E97" s="1" t="str">
        <f>IFERROR(__xludf.DUMMYFUNCTION("""COMPUTED_VALUE"""),"RIVADAVIA Santiago LOPEZ")</f>
        <v>RIVADAVIA Santiago LOPEZ</v>
      </c>
      <c r="F97" s="1" t="str">
        <f t="shared" si="1"/>
        <v>RIVADAVIA </v>
      </c>
      <c r="G97" s="1" t="str">
        <f t="shared" si="2"/>
        <v>Santiago LOPEZ</v>
      </c>
      <c r="H97" s="1" t="str">
        <f>IFERROR(__xludf.DUMMYFUNCTION("""COMPUTED_VALUE"""),"7/1/2023, 17:00:00")</f>
        <v>7/1/2023, 17:00:00</v>
      </c>
      <c r="I97" s="1" t="str">
        <f>IFERROR(__xludf.DUMMYFUNCTION("""COMPUTED_VALUE"""),"RETIRADO OK POR CLIENTE")</f>
        <v>RETIRADO OK POR CLIENTE</v>
      </c>
      <c r="J97" s="1">
        <f t="shared" si="3"/>
        <v>6</v>
      </c>
      <c r="K97" s="1" t="str">
        <f t="shared" si="4"/>
        <v>Entregamos tus lentes, que los disfrutes!</v>
      </c>
    </row>
    <row r="98">
      <c r="A98" s="1">
        <f>IFERROR(__xludf.DUMMYFUNCTION("""COMPUTED_VALUE"""),84649.0)</f>
        <v>84649</v>
      </c>
      <c r="B98" s="5">
        <f>IFERROR(__xludf.DUMMYFUNCTION("""COMPUTED_VALUE"""),44931.54470482639)</f>
        <v>44931.5447</v>
      </c>
      <c r="C98" s="1" t="str">
        <f>IFERROR(__xludf.DUMMYFUNCTION("""COMPUTED_VALUE"""),"ALVARENGA LUIS")</f>
        <v>ALVARENGA LUIS</v>
      </c>
      <c r="D98" s="1" t="str">
        <f>IFERROR(__xludf.DUMMYFUNCTION("""COMPUTED_VALUE"""),"Reparaciones/Otros")</f>
        <v>Reparaciones/Otros</v>
      </c>
      <c r="E98" s="1" t="str">
        <f>IFERROR(__xludf.DUMMYFUNCTION("""COMPUTED_VALUE"""),"ARTIGAS Cristian C.")</f>
        <v>ARTIGAS Cristian C.</v>
      </c>
      <c r="F98" s="1" t="str">
        <f t="shared" si="1"/>
        <v>ARTIGAS </v>
      </c>
      <c r="G98" s="1" t="str">
        <f t="shared" si="2"/>
        <v>Cristian C.</v>
      </c>
      <c r="H98" s="1" t="str">
        <f>IFERROR(__xludf.DUMMYFUNCTION("""COMPUTED_VALUE"""),"9/1/2023, 17:00:00")</f>
        <v>9/1/2023, 17:00:00</v>
      </c>
      <c r="I98" s="1" t="str">
        <f>IFERROR(__xludf.DUMMYFUNCTION("""COMPUTED_VALUE"""),"Completado en SUCURSAL")</f>
        <v>Completado en SUCURSAL</v>
      </c>
      <c r="J98" s="1">
        <f t="shared" si="3"/>
        <v>5</v>
      </c>
      <c r="K98" s="1" t="str">
        <f t="shared" si="4"/>
        <v>Tus Lentes estan LISTAS PARA ENTREGAR, te esperamos.</v>
      </c>
    </row>
    <row r="99">
      <c r="A99" s="1">
        <f>IFERROR(__xludf.DUMMYFUNCTION("""COMPUTED_VALUE"""),84650.0)</f>
        <v>84650</v>
      </c>
      <c r="B99" s="5">
        <f>IFERROR(__xludf.DUMMYFUNCTION("""COMPUTED_VALUE"""),44931.549447199075)</f>
        <v>44931.54945</v>
      </c>
      <c r="C99" s="1" t="str">
        <f>IFERROR(__xludf.DUMMYFUNCTION("""COMPUTED_VALUE"""),"BONGIOVANNI CESAR  EDUARDO")</f>
        <v>BONGIOVANNI CESAR  EDUARDO</v>
      </c>
      <c r="D99" s="1" t="str">
        <f>IFERROR(__xludf.DUMMYFUNCTION("""COMPUTED_VALUE"""),"Lentes de STOCK")</f>
        <v>Lentes de STOCK</v>
      </c>
      <c r="E99" s="1" t="str">
        <f>IFERROR(__xludf.DUMMYFUNCTION("""COMPUTED_VALUE"""),"RIVADAVIA Santiago LOPEZ")</f>
        <v>RIVADAVIA Santiago LOPEZ</v>
      </c>
      <c r="F99" s="1" t="str">
        <f t="shared" si="1"/>
        <v>RIVADAVIA </v>
      </c>
      <c r="G99" s="1" t="str">
        <f t="shared" si="2"/>
        <v>Santiago LOPEZ</v>
      </c>
      <c r="H99" s="1" t="str">
        <f>IFERROR(__xludf.DUMMYFUNCTION("""COMPUTED_VALUE"""),"11/1/2023, 17:00:00")</f>
        <v>11/1/2023, 17:00:00</v>
      </c>
      <c r="I99" s="1" t="str">
        <f>IFERROR(__xludf.DUMMYFUNCTION("""COMPUTED_VALUE"""),"RETIRADO OK POR CLIENTE")</f>
        <v>RETIRADO OK POR CLIENTE</v>
      </c>
      <c r="J99" s="1">
        <f t="shared" si="3"/>
        <v>6</v>
      </c>
      <c r="K99" s="1" t="str">
        <f t="shared" si="4"/>
        <v>Entregamos tus lentes, que los disfrutes!</v>
      </c>
    </row>
    <row r="100">
      <c r="A100" s="1">
        <f>IFERROR(__xludf.DUMMYFUNCTION("""COMPUTED_VALUE"""),84651.0)</f>
        <v>84651</v>
      </c>
      <c r="B100" s="5">
        <f>IFERROR(__xludf.DUMMYFUNCTION("""COMPUTED_VALUE"""),44931.551342708335)</f>
        <v>44931.55134</v>
      </c>
      <c r="C100" s="1" t="str">
        <f>IFERROR(__xludf.DUMMYFUNCTION("""COMPUTED_VALUE"""),"GATICA JOSE MARTIN ")</f>
        <v>GATICA JOSE MARTIN </v>
      </c>
      <c r="D100" s="1" t="str">
        <f>IFERROR(__xludf.DUMMYFUNCTION("""COMPUTED_VALUE"""),"Lentes de STOCK")</f>
        <v>Lentes de STOCK</v>
      </c>
      <c r="E100" s="1" t="str">
        <f>IFERROR(__xludf.DUMMYFUNCTION("""COMPUTED_VALUE"""),"ARTIGAS Cristian C.")</f>
        <v>ARTIGAS Cristian C.</v>
      </c>
      <c r="F100" s="1" t="str">
        <f t="shared" si="1"/>
        <v>ARTIGAS </v>
      </c>
      <c r="G100" s="1" t="str">
        <f t="shared" si="2"/>
        <v>Cristian C.</v>
      </c>
      <c r="H100" s="1" t="str">
        <f>IFERROR(__xludf.DUMMYFUNCTION("""COMPUTED_VALUE"""),"9/1/2023, 17:00:00")</f>
        <v>9/1/2023, 17:00:00</v>
      </c>
      <c r="I100" s="1" t="str">
        <f>IFERROR(__xludf.DUMMYFUNCTION("""COMPUTED_VALUE"""),"Completado en SUCURSAL")</f>
        <v>Completado en SUCURSAL</v>
      </c>
      <c r="J100" s="1">
        <f t="shared" si="3"/>
        <v>5</v>
      </c>
      <c r="K100" s="1" t="str">
        <f t="shared" si="4"/>
        <v>Tus Lentes estan LISTAS PARA ENTREGAR, te esperamos.</v>
      </c>
    </row>
    <row r="101">
      <c r="A101" s="1">
        <f>IFERROR(__xludf.DUMMYFUNCTION("""COMPUTED_VALUE"""),84652.0)</f>
        <v>84652</v>
      </c>
      <c r="B101" s="5">
        <f>IFERROR(__xludf.DUMMYFUNCTION("""COMPUTED_VALUE"""),44931.69796670139)</f>
        <v>44931.69797</v>
      </c>
      <c r="C101" s="1" t="str">
        <f>IFERROR(__xludf.DUMMYFUNCTION("""COMPUTED_VALUE"""),"MACEDO EVANGELINA / MATER DEI")</f>
        <v>MACEDO EVANGELINA / MATER DEI</v>
      </c>
      <c r="D101" s="1" t="str">
        <f>IFERROR(__xludf.DUMMYFUNCTION("""COMPUTED_VALUE"""),"Lentes de STOCK")</f>
        <v>Lentes de STOCK</v>
      </c>
      <c r="E101" s="1" t="str">
        <f>IFERROR(__xludf.DUMMYFUNCTION("""COMPUTED_VALUE"""),"ARTIGAS Ivana P.")</f>
        <v>ARTIGAS Ivana P.</v>
      </c>
      <c r="F101" s="1" t="str">
        <f t="shared" si="1"/>
        <v>ARTIGAS </v>
      </c>
      <c r="G101" s="1" t="str">
        <f t="shared" si="2"/>
        <v>Ivana P.</v>
      </c>
      <c r="H101" s="1" t="str">
        <f>IFERROR(__xludf.DUMMYFUNCTION("""COMPUTED_VALUE"""),"10/1/2023, 17:00:00")</f>
        <v>10/1/2023, 17:00:00</v>
      </c>
      <c r="I101" s="1" t="str">
        <f>IFERROR(__xludf.DUMMYFUNCTION("""COMPUTED_VALUE"""),"RETIRADO OK POR CLIENTE")</f>
        <v>RETIRADO OK POR CLIENTE</v>
      </c>
      <c r="J101" s="1">
        <f t="shared" si="3"/>
        <v>6</v>
      </c>
      <c r="K101" s="1" t="str">
        <f t="shared" si="4"/>
        <v>Entregamos tus lentes, que los disfrutes!</v>
      </c>
    </row>
    <row r="102">
      <c r="A102" s="1">
        <f>IFERROR(__xludf.DUMMYFUNCTION("""COMPUTED_VALUE"""),84653.0)</f>
        <v>84653</v>
      </c>
      <c r="B102" s="5">
        <f>IFERROR(__xludf.DUMMYFUNCTION("""COMPUTED_VALUE"""),44931.71160275463)</f>
        <v>44931.7116</v>
      </c>
      <c r="C102" s="1" t="str">
        <f>IFERROR(__xludf.DUMMYFUNCTION("""COMPUTED_VALUE"""),"GASTALDI JUAN MANUEL")</f>
        <v>GASTALDI JUAN MANUEL</v>
      </c>
      <c r="D102" s="1" t="str">
        <f>IFERROR(__xludf.DUMMYFUNCTION("""COMPUTED_VALUE"""),"Lentes de STOCK")</f>
        <v>Lentes de STOCK</v>
      </c>
      <c r="E102" s="1" t="str">
        <f>IFERROR(__xludf.DUMMYFUNCTION("""COMPUTED_VALUE"""),"RIVADAVIA Javier")</f>
        <v>RIVADAVIA Javier</v>
      </c>
      <c r="F102" s="1" t="str">
        <f t="shared" si="1"/>
        <v>RIVADAVIA </v>
      </c>
      <c r="G102" s="1" t="str">
        <f t="shared" si="2"/>
        <v>Javier</v>
      </c>
      <c r="H102" s="1" t="str">
        <f>IFERROR(__xludf.DUMMYFUNCTION("""COMPUTED_VALUE"""),"10/1/2023, 17:00:00")</f>
        <v>10/1/2023, 17:00:00</v>
      </c>
      <c r="I102" s="1" t="str">
        <f>IFERROR(__xludf.DUMMYFUNCTION("""COMPUTED_VALUE"""),"RETIRADO OK POR CLIENTE")</f>
        <v>RETIRADO OK POR CLIENTE</v>
      </c>
      <c r="J102" s="1">
        <f t="shared" si="3"/>
        <v>6</v>
      </c>
      <c r="K102" s="1" t="str">
        <f t="shared" si="4"/>
        <v>Entregamos tus lentes, que los disfrutes!</v>
      </c>
    </row>
    <row r="103">
      <c r="A103" s="1">
        <f>IFERROR(__xludf.DUMMYFUNCTION("""COMPUTED_VALUE"""),84654.0)</f>
        <v>84654</v>
      </c>
      <c r="B103" s="5">
        <f>IFERROR(__xludf.DUMMYFUNCTION("""COMPUTED_VALUE"""),44931.72601467592)</f>
        <v>44931.72601</v>
      </c>
      <c r="C103" s="1" t="str">
        <f>IFERROR(__xludf.DUMMYFUNCTION("""COMPUTED_VALUE"""),"GEREMIAS BARNISARI")</f>
        <v>GEREMIAS BARNISARI</v>
      </c>
      <c r="D103" s="1" t="str">
        <f>IFERROR(__xludf.DUMMYFUNCTION("""COMPUTED_VALUE"""),"Reparaciones/Otros")</f>
        <v>Reparaciones/Otros</v>
      </c>
      <c r="E103" s="1" t="str">
        <f>IFERROR(__xludf.DUMMYFUNCTION("""COMPUTED_VALUE"""),"ARTIGAS Celina")</f>
        <v>ARTIGAS Celina</v>
      </c>
      <c r="F103" s="1" t="str">
        <f t="shared" si="1"/>
        <v>ARTIGAS </v>
      </c>
      <c r="G103" s="1" t="str">
        <f t="shared" si="2"/>
        <v>Celina</v>
      </c>
      <c r="H103" s="1" t="str">
        <f>IFERROR(__xludf.DUMMYFUNCTION("""COMPUTED_VALUE"""),"6/1/2023, 17:00:00")</f>
        <v>6/1/2023, 17:00:00</v>
      </c>
      <c r="I103" s="1" t="str">
        <f>IFERROR(__xludf.DUMMYFUNCTION("""COMPUTED_VALUE"""),"Completado en SUCURSAL")</f>
        <v>Completado en SUCURSAL</v>
      </c>
      <c r="J103" s="1">
        <f t="shared" si="3"/>
        <v>5</v>
      </c>
      <c r="K103" s="1" t="str">
        <f t="shared" si="4"/>
        <v>Tus Lentes estan LISTAS PARA ENTREGAR, te esperamos.</v>
      </c>
    </row>
    <row r="104">
      <c r="A104" s="1">
        <f>IFERROR(__xludf.DUMMYFUNCTION("""COMPUTED_VALUE"""),84655.0)</f>
        <v>84655</v>
      </c>
      <c r="B104" s="5">
        <f>IFERROR(__xludf.DUMMYFUNCTION("""COMPUTED_VALUE"""),44931.73201738426)</f>
        <v>44931.73202</v>
      </c>
      <c r="C104" s="1" t="str">
        <f>IFERROR(__xludf.DUMMYFUNCTION("""COMPUTED_VALUE"""),"ROSALES MARIA BLASINDA")</f>
        <v>ROSALES MARIA BLASINDA</v>
      </c>
      <c r="D104" s="1" t="str">
        <f>IFERROR(__xludf.DUMMYFUNCTION("""COMPUTED_VALUE"""),"Lentes de STOCK")</f>
        <v>Lentes de STOCK</v>
      </c>
      <c r="E104" s="1" t="str">
        <f>IFERROR(__xludf.DUMMYFUNCTION("""COMPUTED_VALUE"""),"ARTIGAS Cristian C.")</f>
        <v>ARTIGAS Cristian C.</v>
      </c>
      <c r="F104" s="1" t="str">
        <f t="shared" si="1"/>
        <v>ARTIGAS </v>
      </c>
      <c r="G104" s="1" t="str">
        <f t="shared" si="2"/>
        <v>Cristian C.</v>
      </c>
      <c r="H104" s="1" t="str">
        <f>IFERROR(__xludf.DUMMYFUNCTION("""COMPUTED_VALUE"""),"12/1/2023, 17:00:00")</f>
        <v>12/1/2023, 17:00:00</v>
      </c>
      <c r="I104" s="1" t="str">
        <f>IFERROR(__xludf.DUMMYFUNCTION("""COMPUTED_VALUE"""),"RETIRADO OK POR CLIENTE")</f>
        <v>RETIRADO OK POR CLIENTE</v>
      </c>
      <c r="J104" s="1">
        <f t="shared" si="3"/>
        <v>6</v>
      </c>
      <c r="K104" s="1" t="str">
        <f t="shared" si="4"/>
        <v>Entregamos tus lentes, que los disfrutes!</v>
      </c>
    </row>
    <row r="105">
      <c r="A105" s="1">
        <f>IFERROR(__xludf.DUMMYFUNCTION("""COMPUTED_VALUE"""),84656.0)</f>
        <v>84656</v>
      </c>
      <c r="B105" s="5">
        <f>IFERROR(__xludf.DUMMYFUNCTION("""COMPUTED_VALUE"""),44931.7469403588)</f>
        <v>44931.74694</v>
      </c>
      <c r="C105" s="1" t="str">
        <f>IFERROR(__xludf.DUMMYFUNCTION("""COMPUTED_VALUE"""),"BARRIOS BLANCA EDITH")</f>
        <v>BARRIOS BLANCA EDITH</v>
      </c>
      <c r="D105" s="1" t="str">
        <f>IFERROR(__xludf.DUMMYFUNCTION("""COMPUTED_VALUE"""),"Lentes de STOCK")</f>
        <v>Lentes de STOCK</v>
      </c>
      <c r="E105" s="1" t="str">
        <f>IFERROR(__xludf.DUMMYFUNCTION("""COMPUTED_VALUE"""),"ARTIGAS Cristian C.")</f>
        <v>ARTIGAS Cristian C.</v>
      </c>
      <c r="F105" s="1" t="str">
        <f t="shared" si="1"/>
        <v>ARTIGAS </v>
      </c>
      <c r="G105" s="1" t="str">
        <f t="shared" si="2"/>
        <v>Cristian C.</v>
      </c>
      <c r="H105" s="1" t="str">
        <f>IFERROR(__xludf.DUMMYFUNCTION("""COMPUTED_VALUE"""),"23/1/2023, 17:00:00")</f>
        <v>23/1/2023, 17:00:00</v>
      </c>
      <c r="I105" s="1" t="str">
        <f>IFERROR(__xludf.DUMMYFUNCTION("""COMPUTED_VALUE"""),"RETIRADO OK POR CLIENTE")</f>
        <v>RETIRADO OK POR CLIENTE</v>
      </c>
      <c r="J105" s="1">
        <f t="shared" si="3"/>
        <v>6</v>
      </c>
      <c r="K105" s="1" t="str">
        <f t="shared" si="4"/>
        <v>Entregamos tus lentes, que los disfrutes!</v>
      </c>
    </row>
    <row r="106">
      <c r="A106" s="1">
        <f>IFERROR(__xludf.DUMMYFUNCTION("""COMPUTED_VALUE"""),84657.0)</f>
        <v>84657</v>
      </c>
      <c r="B106" s="5">
        <f>IFERROR(__xludf.DUMMYFUNCTION("""COMPUTED_VALUE"""),44931.74909489583)</f>
        <v>44931.74909</v>
      </c>
      <c r="C106" s="1" t="str">
        <f>IFERROR(__xludf.DUMMYFUNCTION("""COMPUTED_VALUE"""),"CAMARGO MORENA")</f>
        <v>CAMARGO MORENA</v>
      </c>
      <c r="D106" s="1" t="str">
        <f>IFERROR(__xludf.DUMMYFUNCTION("""COMPUTED_VALUE"""),"Lentes de STOCK")</f>
        <v>Lentes de STOCK</v>
      </c>
      <c r="E106" s="1" t="str">
        <f>IFERROR(__xludf.DUMMYFUNCTION("""COMPUTED_VALUE"""),"ARTIGAS Ivana P.")</f>
        <v>ARTIGAS Ivana P.</v>
      </c>
      <c r="F106" s="1" t="str">
        <f t="shared" si="1"/>
        <v>ARTIGAS </v>
      </c>
      <c r="G106" s="1" t="str">
        <f t="shared" si="2"/>
        <v>Ivana P.</v>
      </c>
      <c r="H106" s="1" t="str">
        <f>IFERROR(__xludf.DUMMYFUNCTION("""COMPUTED_VALUE"""),"11/1/2023, 17:00:00")</f>
        <v>11/1/2023, 17:00:00</v>
      </c>
      <c r="I106" s="1" t="str">
        <f>IFERROR(__xludf.DUMMYFUNCTION("""COMPUTED_VALUE"""),"RETIRADO OK POR CLIENTE")</f>
        <v>RETIRADO OK POR CLIENTE</v>
      </c>
      <c r="J106" s="1">
        <f t="shared" si="3"/>
        <v>6</v>
      </c>
      <c r="K106" s="1" t="str">
        <f t="shared" si="4"/>
        <v>Entregamos tus lentes, que los disfrutes!</v>
      </c>
    </row>
    <row r="107">
      <c r="A107" s="1">
        <f>IFERROR(__xludf.DUMMYFUNCTION("""COMPUTED_VALUE"""),84658.0)</f>
        <v>84658</v>
      </c>
      <c r="B107" s="5">
        <f>IFERROR(__xludf.DUMMYFUNCTION("""COMPUTED_VALUE"""),44931.750458587965)</f>
        <v>44931.75046</v>
      </c>
      <c r="C107" s="1" t="str">
        <f>IFERROR(__xludf.DUMMYFUNCTION("""COMPUTED_VALUE"""),"Medina Julio")</f>
        <v>Medina Julio</v>
      </c>
      <c r="D107" s="1" t="str">
        <f>IFERROR(__xludf.DUMMYFUNCTION("""COMPUTED_VALUE"""),"Reparaciones/Otros")</f>
        <v>Reparaciones/Otros</v>
      </c>
      <c r="E107" s="1" t="str">
        <f>IFERROR(__xludf.DUMMYFUNCTION("""COMPUTED_VALUE"""),"RIVADAVIA Rocio B")</f>
        <v>RIVADAVIA Rocio B</v>
      </c>
      <c r="F107" s="1" t="str">
        <f t="shared" si="1"/>
        <v>RIVADAVIA </v>
      </c>
      <c r="G107" s="1" t="str">
        <f t="shared" si="2"/>
        <v>Rocio B</v>
      </c>
      <c r="H107" s="1" t="str">
        <f>IFERROR(__xludf.DUMMYFUNCTION("""COMPUTED_VALUE"""),"6/1/2023, 17:00:00")</f>
        <v>6/1/2023, 17:00:00</v>
      </c>
      <c r="I107" s="1" t="str">
        <f>IFERROR(__xludf.DUMMYFUNCTION("""COMPUTED_VALUE"""),"Enviado a Sucursal")</f>
        <v>Enviado a Sucursal</v>
      </c>
      <c r="J107" s="1">
        <f t="shared" si="3"/>
        <v>4</v>
      </c>
      <c r="K107" s="1" t="str">
        <f t="shared" si="4"/>
        <v>Tus lentes estan viajando a la sucursal para su entrega.</v>
      </c>
    </row>
    <row r="108">
      <c r="A108" s="1">
        <f>IFERROR(__xludf.DUMMYFUNCTION("""COMPUTED_VALUE"""),84659.0)</f>
        <v>84659</v>
      </c>
      <c r="B108" s="5">
        <f>IFERROR(__xludf.DUMMYFUNCTION("""COMPUTED_VALUE"""),44931.75373359954)</f>
        <v>44931.75373</v>
      </c>
      <c r="C108" s="1" t="str">
        <f>IFERROR(__xludf.DUMMYFUNCTION("""COMPUTED_VALUE"""),"SAUCEDO SILVANA")</f>
        <v>SAUCEDO SILVANA</v>
      </c>
      <c r="D108" s="1" t="str">
        <f>IFERROR(__xludf.DUMMYFUNCTION("""COMPUTED_VALUE"""),"Lentes de STOCK")</f>
        <v>Lentes de STOCK</v>
      </c>
      <c r="E108" s="1" t="str">
        <f>IFERROR(__xludf.DUMMYFUNCTION("""COMPUTED_VALUE"""),"ARTIGAS Ivana P.")</f>
        <v>ARTIGAS Ivana P.</v>
      </c>
      <c r="F108" s="1" t="str">
        <f t="shared" si="1"/>
        <v>ARTIGAS </v>
      </c>
      <c r="G108" s="1" t="str">
        <f t="shared" si="2"/>
        <v>Ivana P.</v>
      </c>
      <c r="H108" s="1" t="str">
        <f>IFERROR(__xludf.DUMMYFUNCTION("""COMPUTED_VALUE"""),"11/1/2023, 17:00:00")</f>
        <v>11/1/2023, 17:00:00</v>
      </c>
      <c r="I108" s="1" t="str">
        <f>IFERROR(__xludf.DUMMYFUNCTION("""COMPUTED_VALUE"""),"En Armado Hoy")</f>
        <v>En Armado Hoy</v>
      </c>
      <c r="J108" s="1">
        <f t="shared" si="3"/>
        <v>3</v>
      </c>
      <c r="K108" s="1" t="str">
        <f t="shared" si="4"/>
        <v>Estamos terminando los ultimos detalles de tus lentes, los terminaremos el dia de hoy.</v>
      </c>
    </row>
    <row r="109">
      <c r="A109" s="1">
        <f>IFERROR(__xludf.DUMMYFUNCTION("""COMPUTED_VALUE"""),84660.0)</f>
        <v>84660</v>
      </c>
      <c r="B109" s="5">
        <f>IFERROR(__xludf.DUMMYFUNCTION("""COMPUTED_VALUE"""),44931.76691802083)</f>
        <v>44931.76692</v>
      </c>
      <c r="C109" s="1" t="str">
        <f>IFERROR(__xludf.DUMMYFUNCTION("""COMPUTED_VALUE"""),"VICTORIA DOSPITAL")</f>
        <v>VICTORIA DOSPITAL</v>
      </c>
      <c r="D109" s="1" t="str">
        <f>IFERROR(__xludf.DUMMYFUNCTION("""COMPUTED_VALUE"""),"Lentes de STOCK")</f>
        <v>Lentes de STOCK</v>
      </c>
      <c r="E109" s="1" t="str">
        <f>IFERROR(__xludf.DUMMYFUNCTION("""COMPUTED_VALUE"""),"RIVADAVIA Javier")</f>
        <v>RIVADAVIA Javier</v>
      </c>
      <c r="F109" s="1" t="str">
        <f t="shared" si="1"/>
        <v>RIVADAVIA </v>
      </c>
      <c r="G109" s="1" t="str">
        <f t="shared" si="2"/>
        <v>Javier</v>
      </c>
      <c r="H109" s="1" t="str">
        <f>IFERROR(__xludf.DUMMYFUNCTION("""COMPUTED_VALUE"""),"11/1/2023, 17:00:00")</f>
        <v>11/1/2023, 17:00:00</v>
      </c>
      <c r="I109" s="1" t="str">
        <f>IFERROR(__xludf.DUMMYFUNCTION("""COMPUTED_VALUE"""),"RETIRADO OK POR CLIENTE")</f>
        <v>RETIRADO OK POR CLIENTE</v>
      </c>
      <c r="J109" s="1">
        <f t="shared" si="3"/>
        <v>6</v>
      </c>
      <c r="K109" s="1" t="str">
        <f t="shared" si="4"/>
        <v>Entregamos tus lentes, que los disfrutes!</v>
      </c>
    </row>
    <row r="110">
      <c r="A110" s="1">
        <f>IFERROR(__xludf.DUMMYFUNCTION("""COMPUTED_VALUE"""),84661.0)</f>
        <v>84661</v>
      </c>
      <c r="B110" s="5">
        <f>IFERROR(__xludf.DUMMYFUNCTION("""COMPUTED_VALUE"""),44931.77969300926)</f>
        <v>44931.77969</v>
      </c>
      <c r="C110" s="1" t="str">
        <f>IFERROR(__xludf.DUMMYFUNCTION("""COMPUTED_VALUE"""),"LUCERO MIRTA")</f>
        <v>LUCERO MIRTA</v>
      </c>
      <c r="D110" s="1" t="str">
        <f>IFERROR(__xludf.DUMMYFUNCTION("""COMPUTED_VALUE"""),"Lentes de STOCK")</f>
        <v>Lentes de STOCK</v>
      </c>
      <c r="E110" s="1" t="str">
        <f>IFERROR(__xludf.DUMMYFUNCTION("""COMPUTED_VALUE"""),"ARTIGAS Ivana P.")</f>
        <v>ARTIGAS Ivana P.</v>
      </c>
      <c r="F110" s="1" t="str">
        <f t="shared" si="1"/>
        <v>ARTIGAS </v>
      </c>
      <c r="G110" s="1" t="str">
        <f t="shared" si="2"/>
        <v>Ivana P.</v>
      </c>
      <c r="H110" s="1" t="str">
        <f>IFERROR(__xludf.DUMMYFUNCTION("""COMPUTED_VALUE"""),"10/1/2023, 17:00:00")</f>
        <v>10/1/2023, 17:00:00</v>
      </c>
      <c r="I110" s="1" t="str">
        <f>IFERROR(__xludf.DUMMYFUNCTION("""COMPUTED_VALUE"""),"RETIRADO OK POR CLIENTE")</f>
        <v>RETIRADO OK POR CLIENTE</v>
      </c>
      <c r="J110" s="1">
        <f t="shared" si="3"/>
        <v>6</v>
      </c>
      <c r="K110" s="1" t="str">
        <f t="shared" si="4"/>
        <v>Entregamos tus lentes, que los disfrutes!</v>
      </c>
    </row>
    <row r="111">
      <c r="A111" s="1">
        <f>IFERROR(__xludf.DUMMYFUNCTION("""COMPUTED_VALUE"""),84662.0)</f>
        <v>84662</v>
      </c>
      <c r="B111" s="5">
        <f>IFERROR(__xludf.DUMMYFUNCTION("""COMPUTED_VALUE"""),44931.80059315972)</f>
        <v>44931.80059</v>
      </c>
      <c r="C111" s="1" t="str">
        <f>IFERROR(__xludf.DUMMYFUNCTION("""COMPUTED_VALUE"""),"ESCOBAR MARIA NORMA")</f>
        <v>ESCOBAR MARIA NORMA</v>
      </c>
      <c r="D111" s="1" t="str">
        <f>IFERROR(__xludf.DUMMYFUNCTION("""COMPUTED_VALUE"""),"Reparaciones/Otros")</f>
        <v>Reparaciones/Otros</v>
      </c>
      <c r="E111" s="1" t="str">
        <f>IFERROR(__xludf.DUMMYFUNCTION("""COMPUTED_VALUE"""),"RIVADAVIA Santiago LOPEZ")</f>
        <v>RIVADAVIA Santiago LOPEZ</v>
      </c>
      <c r="F111" s="1" t="str">
        <f t="shared" si="1"/>
        <v>RIVADAVIA </v>
      </c>
      <c r="G111" s="1" t="str">
        <f t="shared" si="2"/>
        <v>Santiago LOPEZ</v>
      </c>
      <c r="H111" s="1" t="str">
        <f>IFERROR(__xludf.DUMMYFUNCTION("""COMPUTED_VALUE"""),"9/1/2023, 17:00:00")</f>
        <v>9/1/2023, 17:00:00</v>
      </c>
      <c r="I111" s="1" t="str">
        <f>IFERROR(__xludf.DUMMYFUNCTION("""COMPUTED_VALUE"""),"Enviado a Sucursal")</f>
        <v>Enviado a Sucursal</v>
      </c>
      <c r="J111" s="1">
        <f t="shared" si="3"/>
        <v>4</v>
      </c>
      <c r="K111" s="1" t="str">
        <f t="shared" si="4"/>
        <v>Tus lentes estan viajando a la sucursal para su entrega.</v>
      </c>
    </row>
    <row r="112">
      <c r="A112" s="1">
        <f>IFERROR(__xludf.DUMMYFUNCTION("""COMPUTED_VALUE"""),84663.0)</f>
        <v>84663</v>
      </c>
      <c r="B112" s="5">
        <f>IFERROR(__xludf.DUMMYFUNCTION("""COMPUTED_VALUE"""),44931.80278539352)</f>
        <v>44931.80279</v>
      </c>
      <c r="C112" s="1" t="str">
        <f>IFERROR(__xludf.DUMMYFUNCTION("""COMPUTED_VALUE"""),"Molina Ruben ")</f>
        <v>Molina Ruben </v>
      </c>
      <c r="D112" s="1" t="str">
        <f>IFERROR(__xludf.DUMMYFUNCTION("""COMPUTED_VALUE"""),"Lentes de STOCK")</f>
        <v>Lentes de STOCK</v>
      </c>
      <c r="E112" s="1" t="str">
        <f>IFERROR(__xludf.DUMMYFUNCTION("""COMPUTED_VALUE"""),"RIVADAVIA Rocio B")</f>
        <v>RIVADAVIA Rocio B</v>
      </c>
      <c r="F112" s="1" t="str">
        <f t="shared" si="1"/>
        <v>RIVADAVIA </v>
      </c>
      <c r="G112" s="1" t="str">
        <f t="shared" si="2"/>
        <v>Rocio B</v>
      </c>
      <c r="H112" s="1" t="str">
        <f>IFERROR(__xludf.DUMMYFUNCTION("""COMPUTED_VALUE"""),"13/1/2023, 17:00:00")</f>
        <v>13/1/2023, 17:00:00</v>
      </c>
      <c r="I112" s="1" t="str">
        <f>IFERROR(__xludf.DUMMYFUNCTION("""COMPUTED_VALUE"""),"RETIRADO OK POR CLIENTE")</f>
        <v>RETIRADO OK POR CLIENTE</v>
      </c>
      <c r="J112" s="1">
        <f t="shared" si="3"/>
        <v>6</v>
      </c>
      <c r="K112" s="1" t="str">
        <f t="shared" si="4"/>
        <v>Entregamos tus lentes, que los disfrutes!</v>
      </c>
    </row>
    <row r="113">
      <c r="A113" s="1">
        <f>IFERROR(__xludf.DUMMYFUNCTION("""COMPUTED_VALUE"""),84664.0)</f>
        <v>84664</v>
      </c>
      <c r="B113" s="5">
        <f>IFERROR(__xludf.DUMMYFUNCTION("""COMPUTED_VALUE"""),44931.81076841435)</f>
        <v>44931.81077</v>
      </c>
      <c r="C113" s="1" t="str">
        <f>IFERROR(__xludf.DUMMYFUNCTION("""COMPUTED_VALUE"""),"ESTEFANIA VICTORIA TULIAN")</f>
        <v>ESTEFANIA VICTORIA TULIAN</v>
      </c>
      <c r="D113" s="1" t="str">
        <f>IFERROR(__xludf.DUMMYFUNCTION("""COMPUTED_VALUE"""),"Lentes de STOCK")</f>
        <v>Lentes de STOCK</v>
      </c>
      <c r="E113" s="1" t="str">
        <f>IFERROR(__xludf.DUMMYFUNCTION("""COMPUTED_VALUE"""),"RIVADAVIA Javier")</f>
        <v>RIVADAVIA Javier</v>
      </c>
      <c r="F113" s="1" t="str">
        <f t="shared" si="1"/>
        <v>RIVADAVIA </v>
      </c>
      <c r="G113" s="1" t="str">
        <f t="shared" si="2"/>
        <v>Javier</v>
      </c>
      <c r="H113" s="1" t="str">
        <f>IFERROR(__xludf.DUMMYFUNCTION("""COMPUTED_VALUE"""),"10/1/2023, 17:00:00")</f>
        <v>10/1/2023, 17:00:00</v>
      </c>
      <c r="I113" s="1" t="str">
        <f>IFERROR(__xludf.DUMMYFUNCTION("""COMPUTED_VALUE"""),"RETIRADO OK POR CLIENTE")</f>
        <v>RETIRADO OK POR CLIENTE</v>
      </c>
      <c r="J113" s="1">
        <f t="shared" si="3"/>
        <v>6</v>
      </c>
      <c r="K113" s="1" t="str">
        <f t="shared" si="4"/>
        <v>Entregamos tus lentes, que los disfrutes!</v>
      </c>
    </row>
    <row r="114">
      <c r="A114" s="1">
        <f>IFERROR(__xludf.DUMMYFUNCTION("""COMPUTED_VALUE"""),84665.0)</f>
        <v>84665</v>
      </c>
      <c r="B114" s="5">
        <f>IFERROR(__xludf.DUMMYFUNCTION("""COMPUTED_VALUE"""),44931.82855175926)</f>
        <v>44931.82855</v>
      </c>
      <c r="C114" s="1" t="str">
        <f>IFERROR(__xludf.DUMMYFUNCTION("""COMPUTED_VALUE"""),"CORREA BENJAMIN")</f>
        <v>CORREA BENJAMIN</v>
      </c>
      <c r="D114" s="1" t="str">
        <f>IFERROR(__xludf.DUMMYFUNCTION("""COMPUTED_VALUE"""),"Lentes de STOCK")</f>
        <v>Lentes de STOCK</v>
      </c>
      <c r="E114" s="1" t="str">
        <f>IFERROR(__xludf.DUMMYFUNCTION("""COMPUTED_VALUE"""),"RIVADAVIA Luciana")</f>
        <v>RIVADAVIA Luciana</v>
      </c>
      <c r="F114" s="1" t="str">
        <f t="shared" si="1"/>
        <v>RIVADAVIA </v>
      </c>
      <c r="G114" s="1" t="str">
        <f t="shared" si="2"/>
        <v>Luciana</v>
      </c>
      <c r="H114" s="1" t="str">
        <f>IFERROR(__xludf.DUMMYFUNCTION("""COMPUTED_VALUE"""),"11/1/2023, 17:00:00")</f>
        <v>11/1/2023, 17:00:00</v>
      </c>
      <c r="I114" s="1" t="str">
        <f>IFERROR(__xludf.DUMMYFUNCTION("""COMPUTED_VALUE"""),"RETIRADO OK POR CLIENTE")</f>
        <v>RETIRADO OK POR CLIENTE</v>
      </c>
      <c r="J114" s="1">
        <f t="shared" si="3"/>
        <v>6</v>
      </c>
      <c r="K114" s="1" t="str">
        <f t="shared" si="4"/>
        <v>Entregamos tus lentes, que los disfrutes!</v>
      </c>
    </row>
    <row r="115">
      <c r="A115" s="1">
        <f>IFERROR(__xludf.DUMMYFUNCTION("""COMPUTED_VALUE"""),84666.0)</f>
        <v>84666</v>
      </c>
      <c r="B115" s="5">
        <f>IFERROR(__xludf.DUMMYFUNCTION("""COMPUTED_VALUE"""),44931.83018331019)</f>
        <v>44931.83018</v>
      </c>
      <c r="C115" s="1" t="str">
        <f>IFERROR(__xludf.DUMMYFUNCTION("""COMPUTED_VALUE"""),"VALVERDE DANIELA")</f>
        <v>VALVERDE DANIELA</v>
      </c>
      <c r="D115" s="1" t="str">
        <f>IFERROR(__xludf.DUMMYFUNCTION("""COMPUTED_VALUE"""),"Reparaciones/Otros")</f>
        <v>Reparaciones/Otros</v>
      </c>
      <c r="E115" s="1" t="str">
        <f>IFERROR(__xludf.DUMMYFUNCTION("""COMPUTED_VALUE"""),"RIVADAVIA Daniel CM")</f>
        <v>RIVADAVIA Daniel CM</v>
      </c>
      <c r="F115" s="1" t="str">
        <f t="shared" si="1"/>
        <v>RIVADAVIA </v>
      </c>
      <c r="G115" s="1" t="str">
        <f t="shared" si="2"/>
        <v>Daniel CM</v>
      </c>
      <c r="H115" s="1" t="str">
        <f>IFERROR(__xludf.DUMMYFUNCTION("""COMPUTED_VALUE"""),"6/1/2023, 17:00:00")</f>
        <v>6/1/2023, 17:00:00</v>
      </c>
      <c r="I115" s="1" t="str">
        <f>IFERROR(__xludf.DUMMYFUNCTION("""COMPUTED_VALUE"""),"Enviado a Sucursal")</f>
        <v>Enviado a Sucursal</v>
      </c>
      <c r="J115" s="1">
        <f t="shared" si="3"/>
        <v>4</v>
      </c>
      <c r="K115" s="1" t="str">
        <f t="shared" si="4"/>
        <v>Tus lentes estan viajando a la sucursal para su entrega.</v>
      </c>
    </row>
    <row r="116">
      <c r="A116" s="1">
        <f>IFERROR(__xludf.DUMMYFUNCTION("""COMPUTED_VALUE"""),84667.0)</f>
        <v>84667</v>
      </c>
      <c r="B116" s="5">
        <f>IFERROR(__xludf.DUMMYFUNCTION("""COMPUTED_VALUE"""),44931.831575856486)</f>
        <v>44931.83158</v>
      </c>
      <c r="C116" s="1" t="str">
        <f>IFERROR(__xludf.DUMMYFUNCTION("""COMPUTED_VALUE"""),"De La Vega Patricia")</f>
        <v>De La Vega Patricia</v>
      </c>
      <c r="D116" s="1" t="str">
        <f>IFERROR(__xludf.DUMMYFUNCTION("""COMPUTED_VALUE"""),"Lentes de STOCK")</f>
        <v>Lentes de STOCK</v>
      </c>
      <c r="E116" s="1" t="str">
        <f>IFERROR(__xludf.DUMMYFUNCTION("""COMPUTED_VALUE"""),"RIVADAVIA Rocio B")</f>
        <v>RIVADAVIA Rocio B</v>
      </c>
      <c r="F116" s="1" t="str">
        <f t="shared" si="1"/>
        <v>RIVADAVIA </v>
      </c>
      <c r="G116" s="1" t="str">
        <f t="shared" si="2"/>
        <v>Rocio B</v>
      </c>
      <c r="H116" s="1" t="str">
        <f>IFERROR(__xludf.DUMMYFUNCTION("""COMPUTED_VALUE"""),"12/1/2023, 17:00:00")</f>
        <v>12/1/2023, 17:00:00</v>
      </c>
      <c r="I116" s="1" t="str">
        <f>IFERROR(__xludf.DUMMYFUNCTION("""COMPUTED_VALUE"""),"RETIRADO OK POR CLIENTE")</f>
        <v>RETIRADO OK POR CLIENTE</v>
      </c>
      <c r="J116" s="1">
        <f t="shared" si="3"/>
        <v>6</v>
      </c>
      <c r="K116" s="1" t="str">
        <f t="shared" si="4"/>
        <v>Entregamos tus lentes, que los disfrutes!</v>
      </c>
    </row>
    <row r="117">
      <c r="A117" s="1">
        <f>IFERROR(__xludf.DUMMYFUNCTION("""COMPUTED_VALUE"""),84668.0)</f>
        <v>84668</v>
      </c>
      <c r="B117" s="5">
        <f>IFERROR(__xludf.DUMMYFUNCTION("""COMPUTED_VALUE"""),44931.8325229051)</f>
        <v>44931.83252</v>
      </c>
      <c r="C117" s="1" t="str">
        <f>IFERROR(__xludf.DUMMYFUNCTION("""COMPUTED_VALUE"""),"TORRES STELLA")</f>
        <v>TORRES STELLA</v>
      </c>
      <c r="D117" s="1" t="str">
        <f>IFERROR(__xludf.DUMMYFUNCTION("""COMPUTED_VALUE"""),"Lentes MULTIFOCALES")</f>
        <v>Lentes MULTIFOCALES</v>
      </c>
      <c r="E117" s="1" t="str">
        <f>IFERROR(__xludf.DUMMYFUNCTION("""COMPUTED_VALUE"""),"ARTIGAS Ivana P.")</f>
        <v>ARTIGAS Ivana P.</v>
      </c>
      <c r="F117" s="1" t="str">
        <f t="shared" si="1"/>
        <v>ARTIGAS </v>
      </c>
      <c r="G117" s="1" t="str">
        <f t="shared" si="2"/>
        <v>Ivana P.</v>
      </c>
      <c r="H117" s="1" t="str">
        <f>IFERROR(__xludf.DUMMYFUNCTION("""COMPUTED_VALUE"""),"18/1/2023, 17:00:00")</f>
        <v>18/1/2023, 17:00:00</v>
      </c>
      <c r="I117" s="1" t="str">
        <f>IFERROR(__xludf.DUMMYFUNCTION("""COMPUTED_VALUE"""),"Completado en SUCURSAL")</f>
        <v>Completado en SUCURSAL</v>
      </c>
      <c r="J117" s="1">
        <f t="shared" si="3"/>
        <v>5</v>
      </c>
      <c r="K117" s="1" t="str">
        <f t="shared" si="4"/>
        <v>Tus Lentes estan LISTAS PARA ENTREGAR, te esperamos.</v>
      </c>
    </row>
    <row r="118">
      <c r="A118" s="1">
        <f>IFERROR(__xludf.DUMMYFUNCTION("""COMPUTED_VALUE"""),84669.0)</f>
        <v>84669</v>
      </c>
      <c r="B118" s="5">
        <f>IFERROR(__xludf.DUMMYFUNCTION("""COMPUTED_VALUE"""),44931.833102743054)</f>
        <v>44931.8331</v>
      </c>
      <c r="C118" s="1" t="str">
        <f>IFERROR(__xludf.DUMMYFUNCTION("""COMPUTED_VALUE"""),"Monafo Yessica")</f>
        <v>Monafo Yessica</v>
      </c>
      <c r="D118" s="1" t="str">
        <f>IFERROR(__xludf.DUMMYFUNCTION("""COMPUTED_VALUE"""),"Reparaciones/Otros")</f>
        <v>Reparaciones/Otros</v>
      </c>
      <c r="E118" s="1" t="str">
        <f>IFERROR(__xludf.DUMMYFUNCTION("""COMPUTED_VALUE"""),"ARTIGAS Cristian C.")</f>
        <v>ARTIGAS Cristian C.</v>
      </c>
      <c r="F118" s="1" t="str">
        <f t="shared" si="1"/>
        <v>ARTIGAS </v>
      </c>
      <c r="G118" s="1" t="str">
        <f t="shared" si="2"/>
        <v>Cristian C.</v>
      </c>
      <c r="H118" s="1" t="str">
        <f>IFERROR(__xludf.DUMMYFUNCTION("""COMPUTED_VALUE"""),"6/1/2023, 17:00:00")</f>
        <v>6/1/2023, 17:00:00</v>
      </c>
      <c r="I118" s="1" t="str">
        <f>IFERROR(__xludf.DUMMYFUNCTION("""COMPUTED_VALUE"""),"Completado en SUCURSAL")</f>
        <v>Completado en SUCURSAL</v>
      </c>
      <c r="J118" s="1">
        <f t="shared" si="3"/>
        <v>5</v>
      </c>
      <c r="K118" s="1" t="str">
        <f t="shared" si="4"/>
        <v>Tus Lentes estan LISTAS PARA ENTREGAR, te esperamos.</v>
      </c>
    </row>
    <row r="119">
      <c r="A119" s="1">
        <f>IFERROR(__xludf.DUMMYFUNCTION("""COMPUTED_VALUE"""),84670.0)</f>
        <v>84670</v>
      </c>
      <c r="B119" s="5">
        <f>IFERROR(__xludf.DUMMYFUNCTION("""COMPUTED_VALUE"""),44931.834258206014)</f>
        <v>44931.83426</v>
      </c>
      <c r="C119" s="1" t="str">
        <f>IFERROR(__xludf.DUMMYFUNCTION("""COMPUTED_VALUE"""),"VALVERDE DANIELA")</f>
        <v>VALVERDE DANIELA</v>
      </c>
      <c r="D119" s="1" t="str">
        <f>IFERROR(__xludf.DUMMYFUNCTION("""COMPUTED_VALUE"""),"Lentes de STOCK")</f>
        <v>Lentes de STOCK</v>
      </c>
      <c r="E119" s="1" t="str">
        <f>IFERROR(__xludf.DUMMYFUNCTION("""COMPUTED_VALUE"""),"RIVADAVIA Daniel CM")</f>
        <v>RIVADAVIA Daniel CM</v>
      </c>
      <c r="F119" s="1" t="str">
        <f t="shared" si="1"/>
        <v>RIVADAVIA </v>
      </c>
      <c r="G119" s="1" t="str">
        <f t="shared" si="2"/>
        <v>Daniel CM</v>
      </c>
      <c r="H119" s="1" t="str">
        <f>IFERROR(__xludf.DUMMYFUNCTION("""COMPUTED_VALUE"""),"11/1/2023, 17:00:00")</f>
        <v>11/1/2023, 17:00:00</v>
      </c>
      <c r="I119" s="1" t="str">
        <f>IFERROR(__xludf.DUMMYFUNCTION("""COMPUTED_VALUE"""),"Completado en SUCURSAL")</f>
        <v>Completado en SUCURSAL</v>
      </c>
      <c r="J119" s="1">
        <f t="shared" si="3"/>
        <v>5</v>
      </c>
      <c r="K119" s="1" t="str">
        <f t="shared" si="4"/>
        <v>Tus Lentes estan LISTAS PARA ENTREGAR, te esperamos.</v>
      </c>
    </row>
    <row r="120">
      <c r="A120" s="1">
        <f>IFERROR(__xludf.DUMMYFUNCTION("""COMPUTED_VALUE"""),84671.0)</f>
        <v>84671</v>
      </c>
      <c r="B120" s="5">
        <f>IFERROR(__xludf.DUMMYFUNCTION("""COMPUTED_VALUE"""),44931.836262199075)</f>
        <v>44931.83626</v>
      </c>
      <c r="C120" s="1" t="str">
        <f>IFERROR(__xludf.DUMMYFUNCTION("""COMPUTED_VALUE"""),"ORO9ZCO AGUSTINA FLORENCIA")</f>
        <v>ORO9ZCO AGUSTINA FLORENCIA</v>
      </c>
      <c r="D120" s="1" t="str">
        <f>IFERROR(__xludf.DUMMYFUNCTION("""COMPUTED_VALUE"""),"Reparaciones/Otros")</f>
        <v>Reparaciones/Otros</v>
      </c>
      <c r="E120" s="1" t="str">
        <f>IFERROR(__xludf.DUMMYFUNCTION("""COMPUTED_VALUE"""),"RIVADAVIA Luciana")</f>
        <v>RIVADAVIA Luciana</v>
      </c>
      <c r="F120" s="1" t="str">
        <f t="shared" si="1"/>
        <v>RIVADAVIA </v>
      </c>
      <c r="G120" s="1" t="str">
        <f t="shared" si="2"/>
        <v>Luciana</v>
      </c>
      <c r="H120" s="1" t="str">
        <f>IFERROR(__xludf.DUMMYFUNCTION("""COMPUTED_VALUE"""),"7/1/2023, 11:00:00")</f>
        <v>7/1/2023, 11:00:00</v>
      </c>
      <c r="I120" s="1" t="str">
        <f>IFERROR(__xludf.DUMMYFUNCTION("""COMPUTED_VALUE"""),"Completado en SUCURSAL")</f>
        <v>Completado en SUCURSAL</v>
      </c>
      <c r="J120" s="1">
        <f t="shared" si="3"/>
        <v>5</v>
      </c>
      <c r="K120" s="1" t="str">
        <f t="shared" si="4"/>
        <v>Tus Lentes estan LISTAS PARA ENTREGAR, te esperamos.</v>
      </c>
    </row>
    <row r="121">
      <c r="A121" s="1">
        <f>IFERROR(__xludf.DUMMYFUNCTION("""COMPUTED_VALUE"""),84672.0)</f>
        <v>84672</v>
      </c>
      <c r="B121" s="5">
        <f>IFERROR(__xludf.DUMMYFUNCTION("""COMPUTED_VALUE"""),44931.841609375)</f>
        <v>44931.84161</v>
      </c>
      <c r="C121" s="1" t="str">
        <f>IFERROR(__xludf.DUMMYFUNCTION("""COMPUTED_VALUE"""),"Quiroga Tobias ")</f>
        <v>Quiroga Tobias </v>
      </c>
      <c r="D121" s="1" t="str">
        <f>IFERROR(__xludf.DUMMYFUNCTION("""COMPUTED_VALUE"""),"Lentes de STOCK")</f>
        <v>Lentes de STOCK</v>
      </c>
      <c r="E121" s="1" t="str">
        <f>IFERROR(__xludf.DUMMYFUNCTION("""COMPUTED_VALUE"""),"RIVADAVIA Rocio B")</f>
        <v>RIVADAVIA Rocio B</v>
      </c>
      <c r="F121" s="1" t="str">
        <f t="shared" si="1"/>
        <v>RIVADAVIA </v>
      </c>
      <c r="G121" s="1" t="str">
        <f t="shared" si="2"/>
        <v>Rocio B</v>
      </c>
      <c r="H121" s="1" t="str">
        <f>IFERROR(__xludf.DUMMYFUNCTION("""COMPUTED_VALUE"""),"12/1/2023, 17:00:00")</f>
        <v>12/1/2023, 17:00:00</v>
      </c>
      <c r="I121" s="1" t="str">
        <f>IFERROR(__xludf.DUMMYFUNCTION("""COMPUTED_VALUE"""),"RETIRADO OK POR CLIENTE")</f>
        <v>RETIRADO OK POR CLIENTE</v>
      </c>
      <c r="J121" s="1">
        <f t="shared" si="3"/>
        <v>6</v>
      </c>
      <c r="K121" s="1" t="str">
        <f t="shared" si="4"/>
        <v>Entregamos tus lentes, que los disfrutes!</v>
      </c>
    </row>
    <row r="122">
      <c r="A122" s="1">
        <f>IFERROR(__xludf.DUMMYFUNCTION("""COMPUTED_VALUE"""),84673.0)</f>
        <v>84673</v>
      </c>
      <c r="B122" s="5">
        <f>IFERROR(__xludf.DUMMYFUNCTION("""COMPUTED_VALUE"""),44931.84246503472)</f>
        <v>44931.84247</v>
      </c>
      <c r="C122" s="1" t="str">
        <f>IFERROR(__xludf.DUMMYFUNCTION("""COMPUTED_VALUE"""),"QUIROGA TOBIAS")</f>
        <v>QUIROGA TOBIAS</v>
      </c>
      <c r="D122" s="1" t="str">
        <f>IFERROR(__xludf.DUMMYFUNCTION("""COMPUTED_VALUE"""),"Reparaciones/Otros")</f>
        <v>Reparaciones/Otros</v>
      </c>
      <c r="E122" s="1" t="str">
        <f>IFERROR(__xludf.DUMMYFUNCTION("""COMPUTED_VALUE"""),"RIVADAVIA Rocio B")</f>
        <v>RIVADAVIA Rocio B</v>
      </c>
      <c r="F122" s="1" t="str">
        <f t="shared" si="1"/>
        <v>RIVADAVIA </v>
      </c>
      <c r="G122" s="1" t="str">
        <f t="shared" si="2"/>
        <v>Rocio B</v>
      </c>
      <c r="H122" s="1" t="str">
        <f>IFERROR(__xludf.DUMMYFUNCTION("""COMPUTED_VALUE"""),"6/1/2023, 17:00:00")</f>
        <v>6/1/2023, 17:00:00</v>
      </c>
      <c r="I122" s="1" t="str">
        <f>IFERROR(__xludf.DUMMYFUNCTION("""COMPUTED_VALUE"""),"Completado en SUCURSAL")</f>
        <v>Completado en SUCURSAL</v>
      </c>
      <c r="J122" s="1">
        <f t="shared" si="3"/>
        <v>5</v>
      </c>
      <c r="K122" s="1" t="str">
        <f t="shared" si="4"/>
        <v>Tus Lentes estan LISTAS PARA ENTREGAR, te esperamos.</v>
      </c>
    </row>
    <row r="123">
      <c r="A123" s="1">
        <f>IFERROR(__xludf.DUMMYFUNCTION("""COMPUTED_VALUE"""),84674.0)</f>
        <v>84674</v>
      </c>
      <c r="B123" s="5">
        <f>IFERROR(__xludf.DUMMYFUNCTION("""COMPUTED_VALUE"""),44931.85445914352)</f>
        <v>44931.85446</v>
      </c>
      <c r="C123" s="1" t="str">
        <f>IFERROR(__xludf.DUMMYFUNCTION("""COMPUTED_VALUE"""),"JOFRE FLORENCIA")</f>
        <v>JOFRE FLORENCIA</v>
      </c>
      <c r="D123" s="1" t="str">
        <f>IFERROR(__xludf.DUMMYFUNCTION("""COMPUTED_VALUE"""),"Reparaciones/Otros")</f>
        <v>Reparaciones/Otros</v>
      </c>
      <c r="E123" s="1" t="str">
        <f>IFERROR(__xludf.DUMMYFUNCTION("""COMPUTED_VALUE"""),"RIVADAVIA Javier")</f>
        <v>RIVADAVIA Javier</v>
      </c>
      <c r="F123" s="1" t="str">
        <f t="shared" si="1"/>
        <v>RIVADAVIA </v>
      </c>
      <c r="G123" s="1" t="str">
        <f t="shared" si="2"/>
        <v>Javier</v>
      </c>
      <c r="H123" s="1" t="str">
        <f>IFERROR(__xludf.DUMMYFUNCTION("""COMPUTED_VALUE"""),"6/1/2023, 17:00:00")</f>
        <v>6/1/2023, 17:00:00</v>
      </c>
      <c r="I123" s="1" t="str">
        <f>IFERROR(__xludf.DUMMYFUNCTION("""COMPUTED_VALUE"""),"Completado en SUCURSAL")</f>
        <v>Completado en SUCURSAL</v>
      </c>
      <c r="J123" s="1">
        <f t="shared" si="3"/>
        <v>5</v>
      </c>
      <c r="K123" s="1" t="str">
        <f t="shared" si="4"/>
        <v>Tus Lentes estan LISTAS PARA ENTREGAR, te esperamos.</v>
      </c>
    </row>
    <row r="124">
      <c r="A124" s="1">
        <f>IFERROR(__xludf.DUMMYFUNCTION("""COMPUTED_VALUE"""),84675.0)</f>
        <v>84675</v>
      </c>
      <c r="B124" s="5">
        <f>IFERROR(__xludf.DUMMYFUNCTION("""COMPUTED_VALUE"""),44931.85513829861)</f>
        <v>44931.85514</v>
      </c>
      <c r="C124" s="1" t="str">
        <f>IFERROR(__xludf.DUMMYFUNCTION("""COMPUTED_VALUE"""),"MARIN DALMA ")</f>
        <v>MARIN DALMA </v>
      </c>
      <c r="D124" s="1" t="str">
        <f>IFERROR(__xludf.DUMMYFUNCTION("""COMPUTED_VALUE"""),"Reparaciones/Otros")</f>
        <v>Reparaciones/Otros</v>
      </c>
      <c r="E124" s="1" t="str">
        <f>IFERROR(__xludf.DUMMYFUNCTION("""COMPUTED_VALUE"""),"RIVADAVIA Luciana")</f>
        <v>RIVADAVIA Luciana</v>
      </c>
      <c r="F124" s="1" t="str">
        <f t="shared" si="1"/>
        <v>RIVADAVIA </v>
      </c>
      <c r="G124" s="1" t="str">
        <f t="shared" si="2"/>
        <v>Luciana</v>
      </c>
      <c r="H124" s="1" t="str">
        <f>IFERROR(__xludf.DUMMYFUNCTION("""COMPUTED_VALUE"""),"7/1/2023, 12:00:00")</f>
        <v>7/1/2023, 12:00:00</v>
      </c>
      <c r="I124" s="1" t="str">
        <f>IFERROR(__xludf.DUMMYFUNCTION("""COMPUTED_VALUE"""),"Completado en SUCURSAL")</f>
        <v>Completado en SUCURSAL</v>
      </c>
      <c r="J124" s="1">
        <f t="shared" si="3"/>
        <v>5</v>
      </c>
      <c r="K124" s="1" t="str">
        <f t="shared" si="4"/>
        <v>Tus Lentes estan LISTAS PARA ENTREGAR, te esperamos.</v>
      </c>
    </row>
    <row r="125">
      <c r="A125" s="1">
        <f>IFERROR(__xludf.DUMMYFUNCTION("""COMPUTED_VALUE"""),84676.0)</f>
        <v>84676</v>
      </c>
      <c r="B125" s="5">
        <f>IFERROR(__xludf.DUMMYFUNCTION("""COMPUTED_VALUE"""),44931.87270184028)</f>
        <v>44931.8727</v>
      </c>
      <c r="C125" s="1" t="str">
        <f>IFERROR(__xludf.DUMMYFUNCTION("""COMPUTED_VALUE"""),"YUTIEL BENJAMIN PEREZ COLLADO")</f>
        <v>YUTIEL BENJAMIN PEREZ COLLADO</v>
      </c>
      <c r="D125" s="1" t="str">
        <f>IFERROR(__xludf.DUMMYFUNCTION("""COMPUTED_VALUE"""),"Reparaciones/Otros")</f>
        <v>Reparaciones/Otros</v>
      </c>
      <c r="E125" s="1" t="str">
        <f>IFERROR(__xludf.DUMMYFUNCTION("""COMPUTED_VALUE"""),"RIVADAVIA Javier")</f>
        <v>RIVADAVIA Javier</v>
      </c>
      <c r="F125" s="1" t="str">
        <f t="shared" si="1"/>
        <v>RIVADAVIA </v>
      </c>
      <c r="G125" s="1" t="str">
        <f t="shared" si="2"/>
        <v>Javier</v>
      </c>
      <c r="H125" s="1" t="str">
        <f>IFERROR(__xludf.DUMMYFUNCTION("""COMPUTED_VALUE"""),"6/1/2023, 17:00:00")</f>
        <v>6/1/2023, 17:00:00</v>
      </c>
      <c r="I125" s="1" t="str">
        <f>IFERROR(__xludf.DUMMYFUNCTION("""COMPUTED_VALUE"""),"En Armado Hoy")</f>
        <v>En Armado Hoy</v>
      </c>
      <c r="J125" s="1">
        <f t="shared" si="3"/>
        <v>3</v>
      </c>
      <c r="K125" s="1" t="str">
        <f t="shared" si="4"/>
        <v>Estamos terminando los ultimos detalles de tus lentes, los terminaremos el dia de hoy.</v>
      </c>
    </row>
    <row r="126">
      <c r="A126" s="1">
        <f>IFERROR(__xludf.DUMMYFUNCTION("""COMPUTED_VALUE"""),84677.0)</f>
        <v>84677</v>
      </c>
      <c r="B126" s="5">
        <f>IFERROR(__xludf.DUMMYFUNCTION("""COMPUTED_VALUE"""),44932.37496291667)</f>
        <v>44932.37496</v>
      </c>
      <c r="C126" s="1" t="str">
        <f>IFERROR(__xludf.DUMMYFUNCTION("""COMPUTED_VALUE"""),"BAIGORRIA STEFANIA")</f>
        <v>BAIGORRIA STEFANIA</v>
      </c>
      <c r="D126" s="1" t="str">
        <f>IFERROR(__xludf.DUMMYFUNCTION("""COMPUTED_VALUE"""),"Reparaciones/Otros")</f>
        <v>Reparaciones/Otros</v>
      </c>
      <c r="E126" s="1" t="str">
        <f>IFERROR(__xludf.DUMMYFUNCTION("""COMPUTED_VALUE"""),"RIVADAVIA Marcela L")</f>
        <v>RIVADAVIA Marcela L</v>
      </c>
      <c r="F126" s="1" t="str">
        <f t="shared" si="1"/>
        <v>RIVADAVIA </v>
      </c>
      <c r="G126" s="1" t="str">
        <f t="shared" si="2"/>
        <v>Marcela L</v>
      </c>
      <c r="H126" s="1" t="str">
        <f>IFERROR(__xludf.DUMMYFUNCTION("""COMPUTED_VALUE"""),"7/1/2023, 17:00:00")</f>
        <v>7/1/2023, 17:00:00</v>
      </c>
      <c r="I126" s="1" t="str">
        <f>IFERROR(__xludf.DUMMYFUNCTION("""COMPUTED_VALUE"""),"Completado en SUCURSAL")</f>
        <v>Completado en SUCURSAL</v>
      </c>
      <c r="J126" s="1">
        <f t="shared" si="3"/>
        <v>5</v>
      </c>
      <c r="K126" s="1" t="str">
        <f t="shared" si="4"/>
        <v>Tus Lentes estan LISTAS PARA ENTREGAR, te esperamos.</v>
      </c>
    </row>
    <row r="127">
      <c r="A127" s="1">
        <f>IFERROR(__xludf.DUMMYFUNCTION("""COMPUTED_VALUE"""),84678.0)</f>
        <v>84678</v>
      </c>
      <c r="B127" s="5">
        <f>IFERROR(__xludf.DUMMYFUNCTION("""COMPUTED_VALUE"""),44932.380146006944)</f>
        <v>44932.38015</v>
      </c>
      <c r="C127" s="1" t="str">
        <f>IFERROR(__xludf.DUMMYFUNCTION("""COMPUTED_VALUE"""),"MARINI LOURDES")</f>
        <v>MARINI LOURDES</v>
      </c>
      <c r="D127" s="1" t="str">
        <f>IFERROR(__xludf.DUMMYFUNCTION("""COMPUTED_VALUE"""),"Reparaciones/Otros")</f>
        <v>Reparaciones/Otros</v>
      </c>
      <c r="E127" s="1" t="str">
        <f>IFERROR(__xludf.DUMMYFUNCTION("""COMPUTED_VALUE"""),"ARTIGAS Ivana P.")</f>
        <v>ARTIGAS Ivana P.</v>
      </c>
      <c r="F127" s="1" t="str">
        <f t="shared" si="1"/>
        <v>ARTIGAS </v>
      </c>
      <c r="G127" s="1" t="str">
        <f t="shared" si="2"/>
        <v>Ivana P.</v>
      </c>
      <c r="H127" s="1" t="str">
        <f>IFERROR(__xludf.DUMMYFUNCTION("""COMPUTED_VALUE"""),"7/1/2023, 17:00:00")</f>
        <v>7/1/2023, 17:00:00</v>
      </c>
      <c r="I127" s="1" t="str">
        <f>IFERROR(__xludf.DUMMYFUNCTION("""COMPUTED_VALUE"""),"Completado en SUCURSAL")</f>
        <v>Completado en SUCURSAL</v>
      </c>
      <c r="J127" s="1">
        <f t="shared" si="3"/>
        <v>5</v>
      </c>
      <c r="K127" s="1" t="str">
        <f t="shared" si="4"/>
        <v>Tus Lentes estan LISTAS PARA ENTREGAR, te esperamos.</v>
      </c>
    </row>
    <row r="128">
      <c r="A128" s="1">
        <f>IFERROR(__xludf.DUMMYFUNCTION("""COMPUTED_VALUE"""),84679.0)</f>
        <v>84679</v>
      </c>
      <c r="B128" s="5">
        <f>IFERROR(__xludf.DUMMYFUNCTION("""COMPUTED_VALUE"""),44932.38373270833)</f>
        <v>44932.38373</v>
      </c>
      <c r="C128" s="1" t="str">
        <f>IFERROR(__xludf.DUMMYFUNCTION("""COMPUTED_VALUE"""),"villalba silvia carina")</f>
        <v>villalba silvia carina</v>
      </c>
      <c r="D128" s="1" t="str">
        <f>IFERROR(__xludf.DUMMYFUNCTION("""COMPUTED_VALUE"""),"Reparaciones/Otros")</f>
        <v>Reparaciones/Otros</v>
      </c>
      <c r="E128" s="1" t="str">
        <f>IFERROR(__xludf.DUMMYFUNCTION("""COMPUTED_VALUE"""),"RIVADAVIA Daniel CM")</f>
        <v>RIVADAVIA Daniel CM</v>
      </c>
      <c r="F128" s="1" t="str">
        <f t="shared" si="1"/>
        <v>RIVADAVIA </v>
      </c>
      <c r="G128" s="1" t="str">
        <f t="shared" si="2"/>
        <v>Daniel CM</v>
      </c>
      <c r="H128" s="1" t="str">
        <f>IFERROR(__xludf.DUMMYFUNCTION("""COMPUTED_VALUE"""),"7/1/2023, 17:00:00")</f>
        <v>7/1/2023, 17:00:00</v>
      </c>
      <c r="I128" s="1" t="str">
        <f>IFERROR(__xludf.DUMMYFUNCTION("""COMPUTED_VALUE"""),"Completado en SUCURSAL")</f>
        <v>Completado en SUCURSAL</v>
      </c>
      <c r="J128" s="1">
        <f t="shared" si="3"/>
        <v>5</v>
      </c>
      <c r="K128" s="1" t="str">
        <f t="shared" si="4"/>
        <v>Tus Lentes estan LISTAS PARA ENTREGAR, te esperamos.</v>
      </c>
    </row>
    <row r="129">
      <c r="A129" s="1">
        <f>IFERROR(__xludf.DUMMYFUNCTION("""COMPUTED_VALUE"""),84680.0)</f>
        <v>84680</v>
      </c>
      <c r="B129" s="5">
        <f>IFERROR(__xludf.DUMMYFUNCTION("""COMPUTED_VALUE"""),44932.3855783912)</f>
        <v>44932.38558</v>
      </c>
      <c r="C129" s="1" t="str">
        <f>IFERROR(__xludf.DUMMYFUNCTION("""COMPUTED_VALUE"""),"villalba silvia carina")</f>
        <v>villalba silvia carina</v>
      </c>
      <c r="D129" s="1" t="str">
        <f>IFERROR(__xludf.DUMMYFUNCTION("""COMPUTED_VALUE"""),"Lentes de LABORATORIO")</f>
        <v>Lentes de LABORATORIO</v>
      </c>
      <c r="E129" s="1" t="str">
        <f>IFERROR(__xludf.DUMMYFUNCTION("""COMPUTED_VALUE"""),"RIVADAVIA Daniel CM")</f>
        <v>RIVADAVIA Daniel CM</v>
      </c>
      <c r="F129" s="1" t="str">
        <f t="shared" si="1"/>
        <v>RIVADAVIA </v>
      </c>
      <c r="G129" s="1" t="str">
        <f t="shared" si="2"/>
        <v>Daniel CM</v>
      </c>
      <c r="H129" s="1" t="str">
        <f>IFERROR(__xludf.DUMMYFUNCTION("""COMPUTED_VALUE"""),"21/1/2023, 17:00:00")</f>
        <v>21/1/2023, 17:00:00</v>
      </c>
      <c r="I129" s="1" t="str">
        <f>IFERROR(__xludf.DUMMYFUNCTION("""COMPUTED_VALUE"""),"RETIRADO OK POR CLIENTE")</f>
        <v>RETIRADO OK POR CLIENTE</v>
      </c>
      <c r="J129" s="1">
        <f t="shared" si="3"/>
        <v>6</v>
      </c>
      <c r="K129" s="1" t="str">
        <f t="shared" si="4"/>
        <v>Entregamos tus lentes, que los disfrutes!</v>
      </c>
    </row>
    <row r="130">
      <c r="A130" s="1">
        <f>IFERROR(__xludf.DUMMYFUNCTION("""COMPUTED_VALUE"""),84681.0)</f>
        <v>84681</v>
      </c>
      <c r="B130" s="5">
        <f>IFERROR(__xludf.DUMMYFUNCTION("""COMPUTED_VALUE"""),44932.394306435184)</f>
        <v>44932.39431</v>
      </c>
      <c r="C130" s="1" t="str">
        <f>IFERROR(__xludf.DUMMYFUNCTION("""COMPUTED_VALUE"""),"Candeloro Ariel")</f>
        <v>Candeloro Ariel</v>
      </c>
      <c r="D130" s="1" t="str">
        <f>IFERROR(__xludf.DUMMYFUNCTION("""COMPUTED_VALUE"""),"Lentes de STOCK")</f>
        <v>Lentes de STOCK</v>
      </c>
      <c r="E130" s="1" t="str">
        <f>IFERROR(__xludf.DUMMYFUNCTION("""COMPUTED_VALUE"""),"RIVADAVIA Luciana")</f>
        <v>RIVADAVIA Luciana</v>
      </c>
      <c r="F130" s="1" t="str">
        <f t="shared" si="1"/>
        <v>RIVADAVIA </v>
      </c>
      <c r="G130" s="1" t="str">
        <f t="shared" si="2"/>
        <v>Luciana</v>
      </c>
      <c r="H130" s="1" t="str">
        <f>IFERROR(__xludf.DUMMYFUNCTION("""COMPUTED_VALUE"""),"11/1/2023, 17:00:00")</f>
        <v>11/1/2023, 17:00:00</v>
      </c>
      <c r="I130" s="1"/>
      <c r="J130" s="1">
        <f t="shared" si="3"/>
        <v>0</v>
      </c>
      <c r="K130" s="1" t="str">
        <f t="shared" si="4"/>
        <v/>
      </c>
    </row>
    <row r="131">
      <c r="A131" s="1">
        <f>IFERROR(__xludf.DUMMYFUNCTION("""COMPUTED_VALUE"""),84682.0)</f>
        <v>84682</v>
      </c>
      <c r="B131" s="5">
        <f>IFERROR(__xludf.DUMMYFUNCTION("""COMPUTED_VALUE"""),44932.39464056713)</f>
        <v>44932.39464</v>
      </c>
      <c r="C131" s="1" t="str">
        <f>IFERROR(__xludf.DUMMYFUNCTION("""COMPUTED_VALUE"""),"OJEDA NORA")</f>
        <v>OJEDA NORA</v>
      </c>
      <c r="D131" s="1" t="str">
        <f>IFERROR(__xludf.DUMMYFUNCTION("""COMPUTED_VALUE"""),"Reparaciones/Otros")</f>
        <v>Reparaciones/Otros</v>
      </c>
      <c r="E131" s="1" t="str">
        <f>IFERROR(__xludf.DUMMYFUNCTION("""COMPUTED_VALUE"""),"ARTIGAS Ivana P.")</f>
        <v>ARTIGAS Ivana P.</v>
      </c>
      <c r="F131" s="1" t="str">
        <f t="shared" si="1"/>
        <v>ARTIGAS </v>
      </c>
      <c r="G131" s="1" t="str">
        <f t="shared" si="2"/>
        <v>Ivana P.</v>
      </c>
      <c r="H131" s="1" t="str">
        <f>IFERROR(__xludf.DUMMYFUNCTION("""COMPUTED_VALUE"""),"7/1/2023, 17:00:00")</f>
        <v>7/1/2023, 17:00:00</v>
      </c>
      <c r="I131" s="1" t="str">
        <f>IFERROR(__xludf.DUMMYFUNCTION("""COMPUTED_VALUE"""),"Recibido en Laboratorio")</f>
        <v>Recibido en Laboratorio</v>
      </c>
      <c r="J131" s="1">
        <f t="shared" si="3"/>
        <v>2</v>
      </c>
      <c r="K131" s="1" t="str">
        <f t="shared" si="4"/>
        <v>Nuestro Laboratorio esta trabajando en tus lentes, los entregaremos en la fecha acordada.</v>
      </c>
    </row>
    <row r="132">
      <c r="A132" s="1">
        <f>IFERROR(__xludf.DUMMYFUNCTION("""COMPUTED_VALUE"""),84683.0)</f>
        <v>84683</v>
      </c>
      <c r="B132" s="5">
        <f>IFERROR(__xludf.DUMMYFUNCTION("""COMPUTED_VALUE"""),44932.396285069444)</f>
        <v>44932.39629</v>
      </c>
      <c r="C132" s="1" t="str">
        <f>IFERROR(__xludf.DUMMYFUNCTION("""COMPUTED_VALUE"""),"Candeloro Ariel")</f>
        <v>Candeloro Ariel</v>
      </c>
      <c r="D132" s="1" t="str">
        <f>IFERROR(__xludf.DUMMYFUNCTION("""COMPUTED_VALUE"""),"Lentes de STOCK")</f>
        <v>Lentes de STOCK</v>
      </c>
      <c r="E132" s="1" t="str">
        <f>IFERROR(__xludf.DUMMYFUNCTION("""COMPUTED_VALUE"""),"RIVADAVIA Luciana")</f>
        <v>RIVADAVIA Luciana</v>
      </c>
      <c r="F132" s="1" t="str">
        <f t="shared" si="1"/>
        <v>RIVADAVIA </v>
      </c>
      <c r="G132" s="1" t="str">
        <f t="shared" si="2"/>
        <v>Luciana</v>
      </c>
      <c r="H132" s="1" t="str">
        <f>IFERROR(__xludf.DUMMYFUNCTION("""COMPUTED_VALUE"""),"11/1/2023, 17:00:00")</f>
        <v>11/1/2023, 17:00:00</v>
      </c>
      <c r="I132" s="1" t="str">
        <f>IFERROR(__xludf.DUMMYFUNCTION("""COMPUTED_VALUE"""),"Completado en SUCURSAL")</f>
        <v>Completado en SUCURSAL</v>
      </c>
      <c r="J132" s="1">
        <f t="shared" si="3"/>
        <v>5</v>
      </c>
      <c r="K132" s="1" t="str">
        <f t="shared" si="4"/>
        <v>Tus Lentes estan LISTAS PARA ENTREGAR, te esperamos.</v>
      </c>
    </row>
    <row r="133">
      <c r="A133" s="1">
        <f>IFERROR(__xludf.DUMMYFUNCTION("""COMPUTED_VALUE"""),84684.0)</f>
        <v>84684</v>
      </c>
      <c r="B133" s="5">
        <f>IFERROR(__xludf.DUMMYFUNCTION("""COMPUTED_VALUE"""),44932.39992283565)</f>
        <v>44932.39992</v>
      </c>
      <c r="C133" s="1" t="str">
        <f>IFERROR(__xludf.DUMMYFUNCTION("""COMPUTED_VALUE"""),"PAEZ ARNOLDO")</f>
        <v>PAEZ ARNOLDO</v>
      </c>
      <c r="D133" s="1" t="str">
        <f>IFERROR(__xludf.DUMMYFUNCTION("""COMPUTED_VALUE"""),"Lentes de STOCK")</f>
        <v>Lentes de STOCK</v>
      </c>
      <c r="E133" s="1" t="str">
        <f>IFERROR(__xludf.DUMMYFUNCTION("""COMPUTED_VALUE"""),"ARTIGAS Cristian C.")</f>
        <v>ARTIGAS Cristian C.</v>
      </c>
      <c r="F133" s="1" t="str">
        <f t="shared" si="1"/>
        <v>ARTIGAS </v>
      </c>
      <c r="G133" s="1" t="str">
        <f t="shared" si="2"/>
        <v>Cristian C.</v>
      </c>
      <c r="H133" s="1" t="str">
        <f>IFERROR(__xludf.DUMMYFUNCTION("""COMPUTED_VALUE"""),"12/1/2023, 17:00:00")</f>
        <v>12/1/2023, 17:00:00</v>
      </c>
      <c r="I133" s="1" t="str">
        <f>IFERROR(__xludf.DUMMYFUNCTION("""COMPUTED_VALUE"""),"RETIRADO OK POR CLIENTE")</f>
        <v>RETIRADO OK POR CLIENTE</v>
      </c>
      <c r="J133" s="1">
        <f t="shared" si="3"/>
        <v>6</v>
      </c>
      <c r="K133" s="1" t="str">
        <f t="shared" si="4"/>
        <v>Entregamos tus lentes, que los disfrutes!</v>
      </c>
    </row>
    <row r="134">
      <c r="A134" s="1">
        <f>IFERROR(__xludf.DUMMYFUNCTION("""COMPUTED_VALUE"""),84685.0)</f>
        <v>84685</v>
      </c>
      <c r="B134" s="5">
        <f>IFERROR(__xludf.DUMMYFUNCTION("""COMPUTED_VALUE"""),44932.417186736115)</f>
        <v>44932.41719</v>
      </c>
      <c r="C134" s="1" t="str">
        <f>IFERROR(__xludf.DUMMYFUNCTION("""COMPUTED_VALUE"""),"BERTELLO CAROL")</f>
        <v>BERTELLO CAROL</v>
      </c>
      <c r="D134" s="1" t="str">
        <f>IFERROR(__xludf.DUMMYFUNCTION("""COMPUTED_VALUE"""),"Lentes de STOCK")</f>
        <v>Lentes de STOCK</v>
      </c>
      <c r="E134" s="1" t="str">
        <f>IFERROR(__xludf.DUMMYFUNCTION("""COMPUTED_VALUE"""),"ARTIGAS Ivana P.")</f>
        <v>ARTIGAS Ivana P.</v>
      </c>
      <c r="F134" s="1" t="str">
        <f t="shared" si="1"/>
        <v>ARTIGAS </v>
      </c>
      <c r="G134" s="1" t="str">
        <f t="shared" si="2"/>
        <v>Ivana P.</v>
      </c>
      <c r="H134" s="1" t="str">
        <f>IFERROR(__xludf.DUMMYFUNCTION("""COMPUTED_VALUE"""),"11/1/2023, 17:00:00")</f>
        <v>11/1/2023, 17:00:00</v>
      </c>
      <c r="I134" s="1" t="str">
        <f>IFERROR(__xludf.DUMMYFUNCTION("""COMPUTED_VALUE"""),"RETIRADO OK POR CLIENTE")</f>
        <v>RETIRADO OK POR CLIENTE</v>
      </c>
      <c r="J134" s="1">
        <f t="shared" si="3"/>
        <v>6</v>
      </c>
      <c r="K134" s="1" t="str">
        <f t="shared" si="4"/>
        <v>Entregamos tus lentes, que los disfrutes!</v>
      </c>
    </row>
    <row r="135">
      <c r="A135" s="1">
        <f>IFERROR(__xludf.DUMMYFUNCTION("""COMPUTED_VALUE"""),84686.0)</f>
        <v>84686</v>
      </c>
      <c r="B135" s="5">
        <f>IFERROR(__xludf.DUMMYFUNCTION("""COMPUTED_VALUE"""),44932.417335833336)</f>
        <v>44932.41734</v>
      </c>
      <c r="C135" s="1" t="str">
        <f>IFERROR(__xludf.DUMMYFUNCTION("""COMPUTED_VALUE"""),"GALLI MMERCEDES JULIA")</f>
        <v>GALLI MMERCEDES JULIA</v>
      </c>
      <c r="D135" s="1" t="str">
        <f>IFERROR(__xludf.DUMMYFUNCTION("""COMPUTED_VALUE"""),"Lentes de STOCK")</f>
        <v>Lentes de STOCK</v>
      </c>
      <c r="E135" s="1" t="str">
        <f>IFERROR(__xludf.DUMMYFUNCTION("""COMPUTED_VALUE"""),"ARTIGAS Cristian C.")</f>
        <v>ARTIGAS Cristian C.</v>
      </c>
      <c r="F135" s="1" t="str">
        <f t="shared" si="1"/>
        <v>ARTIGAS </v>
      </c>
      <c r="G135" s="1" t="str">
        <f t="shared" si="2"/>
        <v>Cristian C.</v>
      </c>
      <c r="H135" s="1" t="str">
        <f>IFERROR(__xludf.DUMMYFUNCTION("""COMPUTED_VALUE"""),"12/1/2023, 17:00:00")</f>
        <v>12/1/2023, 17:00:00</v>
      </c>
      <c r="I135" s="1" t="str">
        <f>IFERROR(__xludf.DUMMYFUNCTION("""COMPUTED_VALUE"""),"RETIRADO OK POR CLIENTE")</f>
        <v>RETIRADO OK POR CLIENTE</v>
      </c>
      <c r="J135" s="1">
        <f t="shared" si="3"/>
        <v>6</v>
      </c>
      <c r="K135" s="1" t="str">
        <f t="shared" si="4"/>
        <v>Entregamos tus lentes, que los disfrutes!</v>
      </c>
    </row>
    <row r="136">
      <c r="A136" s="1">
        <f>IFERROR(__xludf.DUMMYFUNCTION("""COMPUTED_VALUE"""),84687.0)</f>
        <v>84687</v>
      </c>
      <c r="B136" s="5">
        <f>IFERROR(__xludf.DUMMYFUNCTION("""COMPUTED_VALUE"""),44932.41808736111)</f>
        <v>44932.41809</v>
      </c>
      <c r="C136" s="1" t="str">
        <f>IFERROR(__xludf.DUMMYFUNCTION("""COMPUTED_VALUE"""),"GATICA MARIA")</f>
        <v>GATICA MARIA</v>
      </c>
      <c r="D136" s="1" t="str">
        <f>IFERROR(__xludf.DUMMYFUNCTION("""COMPUTED_VALUE"""),"Lentes de STOCK")</f>
        <v>Lentes de STOCK</v>
      </c>
      <c r="E136" s="1" t="str">
        <f>IFERROR(__xludf.DUMMYFUNCTION("""COMPUTED_VALUE"""),"RIVADAVIA Santiago LOPEZ")</f>
        <v>RIVADAVIA Santiago LOPEZ</v>
      </c>
      <c r="F136" s="1" t="str">
        <f t="shared" si="1"/>
        <v>RIVADAVIA </v>
      </c>
      <c r="G136" s="1" t="str">
        <f t="shared" si="2"/>
        <v>Santiago LOPEZ</v>
      </c>
      <c r="H136" s="1" t="str">
        <f>IFERROR(__xludf.DUMMYFUNCTION("""COMPUTED_VALUE"""),"9/1/2023, 17:00:00")</f>
        <v>9/1/2023, 17:00:00</v>
      </c>
      <c r="I136" s="1" t="str">
        <f>IFERROR(__xludf.DUMMYFUNCTION("""COMPUTED_VALUE"""),"Completado en SUCURSAL")</f>
        <v>Completado en SUCURSAL</v>
      </c>
      <c r="J136" s="1">
        <f t="shared" si="3"/>
        <v>5</v>
      </c>
      <c r="K136" s="1" t="str">
        <f t="shared" si="4"/>
        <v>Tus Lentes estan LISTAS PARA ENTREGAR, te esperamos.</v>
      </c>
    </row>
    <row r="137">
      <c r="A137" s="1">
        <f>IFERROR(__xludf.DUMMYFUNCTION("""COMPUTED_VALUE"""),84688.0)</f>
        <v>84688</v>
      </c>
      <c r="B137" s="5">
        <f>IFERROR(__xludf.DUMMYFUNCTION("""COMPUTED_VALUE"""),44932.42477528936)</f>
        <v>44932.42478</v>
      </c>
      <c r="C137" s="1" t="str">
        <f>IFERROR(__xludf.DUMMYFUNCTION("""COMPUTED_VALUE"""),"AGUERO AIDA")</f>
        <v>AGUERO AIDA</v>
      </c>
      <c r="D137" s="1" t="str">
        <f>IFERROR(__xludf.DUMMYFUNCTION("""COMPUTED_VALUE"""),"Reparaciones/Otros")</f>
        <v>Reparaciones/Otros</v>
      </c>
      <c r="E137" s="1" t="str">
        <f>IFERROR(__xludf.DUMMYFUNCTION("""COMPUTED_VALUE"""),"ARTIGAS Cristian C.")</f>
        <v>ARTIGAS Cristian C.</v>
      </c>
      <c r="F137" s="1" t="str">
        <f t="shared" si="1"/>
        <v>ARTIGAS </v>
      </c>
      <c r="G137" s="1" t="str">
        <f t="shared" si="2"/>
        <v>Cristian C.</v>
      </c>
      <c r="H137" s="1" t="str">
        <f>IFERROR(__xludf.DUMMYFUNCTION("""COMPUTED_VALUE"""),"11/1/2023, 17:00:00")</f>
        <v>11/1/2023, 17:00:00</v>
      </c>
      <c r="I137" s="1" t="str">
        <f>IFERROR(__xludf.DUMMYFUNCTION("""COMPUTED_VALUE"""),"Completado en SUCURSAL")</f>
        <v>Completado en SUCURSAL</v>
      </c>
      <c r="J137" s="1">
        <f t="shared" si="3"/>
        <v>5</v>
      </c>
      <c r="K137" s="1" t="str">
        <f t="shared" si="4"/>
        <v>Tus Lentes estan LISTAS PARA ENTREGAR, te esperamos.</v>
      </c>
    </row>
    <row r="138">
      <c r="A138" s="1">
        <f>IFERROR(__xludf.DUMMYFUNCTION("""COMPUTED_VALUE"""),84689.0)</f>
        <v>84689</v>
      </c>
      <c r="B138" s="5">
        <f>IFERROR(__xludf.DUMMYFUNCTION("""COMPUTED_VALUE"""),44932.42488679398)</f>
        <v>44932.42489</v>
      </c>
      <c r="C138" s="1" t="str">
        <f>IFERROR(__xludf.DUMMYFUNCTION("""COMPUTED_VALUE"""),"Quevedo Dario")</f>
        <v>Quevedo Dario</v>
      </c>
      <c r="D138" s="1" t="str">
        <f>IFERROR(__xludf.DUMMYFUNCTION("""COMPUTED_VALUE"""),"Reparaciones/Otros")</f>
        <v>Reparaciones/Otros</v>
      </c>
      <c r="E138" s="1" t="str">
        <f>IFERROR(__xludf.DUMMYFUNCTION("""COMPUTED_VALUE"""),"ARTIGAS Sandra G")</f>
        <v>ARTIGAS Sandra G</v>
      </c>
      <c r="F138" s="1" t="str">
        <f t="shared" si="1"/>
        <v>ARTIGAS </v>
      </c>
      <c r="G138" s="1" t="str">
        <f t="shared" si="2"/>
        <v>Sandra G</v>
      </c>
      <c r="H138" s="1" t="str">
        <f>IFERROR(__xludf.DUMMYFUNCTION("""COMPUTED_VALUE"""),"7/1/2023, 17:00:00")</f>
        <v>7/1/2023, 17:00:00</v>
      </c>
      <c r="I138" s="1"/>
      <c r="J138" s="1">
        <f t="shared" si="3"/>
        <v>0</v>
      </c>
      <c r="K138" s="1" t="str">
        <f t="shared" si="4"/>
        <v/>
      </c>
    </row>
    <row r="139">
      <c r="A139" s="1">
        <f>IFERROR(__xludf.DUMMYFUNCTION("""COMPUTED_VALUE"""),84690.0)</f>
        <v>84690</v>
      </c>
      <c r="B139" s="5">
        <f>IFERROR(__xludf.DUMMYFUNCTION("""COMPUTED_VALUE"""),44932.42577914352)</f>
        <v>44932.42578</v>
      </c>
      <c r="C139" s="1" t="str">
        <f>IFERROR(__xludf.DUMMYFUNCTION("""COMPUTED_VALUE"""),"AGUERO AIDA")</f>
        <v>AGUERO AIDA</v>
      </c>
      <c r="D139" s="1" t="str">
        <f>IFERROR(__xludf.DUMMYFUNCTION("""COMPUTED_VALUE"""),"Lentes de STOCK")</f>
        <v>Lentes de STOCK</v>
      </c>
      <c r="E139" s="1" t="str">
        <f>IFERROR(__xludf.DUMMYFUNCTION("""COMPUTED_VALUE"""),"ARTIGAS Cristian C.")</f>
        <v>ARTIGAS Cristian C.</v>
      </c>
      <c r="F139" s="1" t="str">
        <f t="shared" si="1"/>
        <v>ARTIGAS </v>
      </c>
      <c r="G139" s="1" t="str">
        <f t="shared" si="2"/>
        <v>Cristian C.</v>
      </c>
      <c r="H139" s="1" t="str">
        <f>IFERROR(__xludf.DUMMYFUNCTION("""COMPUTED_VALUE"""),"11/1/2023, 17:00:00")</f>
        <v>11/1/2023, 17:00:00</v>
      </c>
      <c r="I139" s="1" t="str">
        <f>IFERROR(__xludf.DUMMYFUNCTION("""COMPUTED_VALUE"""),"RETIRADO OK POR CLIENTE")</f>
        <v>RETIRADO OK POR CLIENTE</v>
      </c>
      <c r="J139" s="1">
        <f t="shared" si="3"/>
        <v>6</v>
      </c>
      <c r="K139" s="1" t="str">
        <f t="shared" si="4"/>
        <v>Entregamos tus lentes, que los disfrutes!</v>
      </c>
    </row>
    <row r="140">
      <c r="A140" s="1">
        <f>IFERROR(__xludf.DUMMYFUNCTION("""COMPUTED_VALUE"""),84691.0)</f>
        <v>84691</v>
      </c>
      <c r="B140" s="5">
        <f>IFERROR(__xludf.DUMMYFUNCTION("""COMPUTED_VALUE"""),44932.42729765046)</f>
        <v>44932.4273</v>
      </c>
      <c r="C140" s="1" t="str">
        <f>IFERROR(__xludf.DUMMYFUNCTION("""COMPUTED_VALUE"""),"Quevedo Dario")</f>
        <v>Quevedo Dario</v>
      </c>
      <c r="D140" s="1" t="str">
        <f>IFERROR(__xludf.DUMMYFUNCTION("""COMPUTED_VALUE"""),"Reparaciones/Otros")</f>
        <v>Reparaciones/Otros</v>
      </c>
      <c r="E140" s="1" t="str">
        <f>IFERROR(__xludf.DUMMYFUNCTION("""COMPUTED_VALUE"""),"ARTIGAS Sandra G")</f>
        <v>ARTIGAS Sandra G</v>
      </c>
      <c r="F140" s="1" t="str">
        <f t="shared" si="1"/>
        <v>ARTIGAS </v>
      </c>
      <c r="G140" s="1" t="str">
        <f t="shared" si="2"/>
        <v>Sandra G</v>
      </c>
      <c r="H140" s="1" t="str">
        <f>IFERROR(__xludf.DUMMYFUNCTION("""COMPUTED_VALUE"""),"7/1/2023, 17:00:00")</f>
        <v>7/1/2023, 17:00:00</v>
      </c>
      <c r="I140" s="1" t="str">
        <f>IFERROR(__xludf.DUMMYFUNCTION("""COMPUTED_VALUE"""),"Completado en SUCURSAL")</f>
        <v>Completado en SUCURSAL</v>
      </c>
      <c r="J140" s="1">
        <f t="shared" si="3"/>
        <v>5</v>
      </c>
      <c r="K140" s="1" t="str">
        <f t="shared" si="4"/>
        <v>Tus Lentes estan LISTAS PARA ENTREGAR, te esperamos.</v>
      </c>
    </row>
    <row r="141">
      <c r="A141" s="1">
        <f>IFERROR(__xludf.DUMMYFUNCTION("""COMPUTED_VALUE"""),84692.0)</f>
        <v>84692</v>
      </c>
      <c r="B141" s="5">
        <f>IFERROR(__xludf.DUMMYFUNCTION("""COMPUTED_VALUE"""),44932.43461927083)</f>
        <v>44932.43462</v>
      </c>
      <c r="C141" s="1" t="str">
        <f>IFERROR(__xludf.DUMMYFUNCTION("""COMPUTED_VALUE"""),"LANDART PATRICIA")</f>
        <v>LANDART PATRICIA</v>
      </c>
      <c r="D141" s="1" t="str">
        <f>IFERROR(__xludf.DUMMYFUNCTION("""COMPUTED_VALUE"""),"Lentes de STOCK")</f>
        <v>Lentes de STOCK</v>
      </c>
      <c r="E141" s="1" t="str">
        <f>IFERROR(__xludf.DUMMYFUNCTION("""COMPUTED_VALUE"""),"ARTIGAS Ivana P.")</f>
        <v>ARTIGAS Ivana P.</v>
      </c>
      <c r="F141" s="1" t="str">
        <f t="shared" si="1"/>
        <v>ARTIGAS </v>
      </c>
      <c r="G141" s="1" t="str">
        <f t="shared" si="2"/>
        <v>Ivana P.</v>
      </c>
      <c r="H141" s="1" t="str">
        <f>IFERROR(__xludf.DUMMYFUNCTION("""COMPUTED_VALUE"""),"11/1/2023, 17:00:00")</f>
        <v>11/1/2023, 17:00:00</v>
      </c>
      <c r="I141" s="1" t="str">
        <f>IFERROR(__xludf.DUMMYFUNCTION("""COMPUTED_VALUE"""),"RETIRADO OK POR CLIENTE")</f>
        <v>RETIRADO OK POR CLIENTE</v>
      </c>
      <c r="J141" s="1">
        <f t="shared" si="3"/>
        <v>6</v>
      </c>
      <c r="K141" s="1" t="str">
        <f t="shared" si="4"/>
        <v>Entregamos tus lentes, que los disfrutes!</v>
      </c>
    </row>
    <row r="142">
      <c r="A142" s="1">
        <f>IFERROR(__xludf.DUMMYFUNCTION("""COMPUTED_VALUE"""),84693.0)</f>
        <v>84693</v>
      </c>
      <c r="B142" s="5">
        <f>IFERROR(__xludf.DUMMYFUNCTION("""COMPUTED_VALUE"""),44932.43504881945)</f>
        <v>44932.43505</v>
      </c>
      <c r="C142" s="1" t="str">
        <f>IFERROR(__xludf.DUMMYFUNCTION("""COMPUTED_VALUE"""),"PONCE ISABEL SANDRA")</f>
        <v>PONCE ISABEL SANDRA</v>
      </c>
      <c r="D142" s="1" t="str">
        <f>IFERROR(__xludf.DUMMYFUNCTION("""COMPUTED_VALUE"""),"Lentes de LABORATORIO")</f>
        <v>Lentes de LABORATORIO</v>
      </c>
      <c r="E142" s="1" t="str">
        <f>IFERROR(__xludf.DUMMYFUNCTION("""COMPUTED_VALUE"""),"ARTIGAS Cristian C.")</f>
        <v>ARTIGAS Cristian C.</v>
      </c>
      <c r="F142" s="1" t="str">
        <f t="shared" si="1"/>
        <v>ARTIGAS </v>
      </c>
      <c r="G142" s="1" t="str">
        <f t="shared" si="2"/>
        <v>Cristian C.</v>
      </c>
      <c r="H142" s="1" t="str">
        <f>IFERROR(__xludf.DUMMYFUNCTION("""COMPUTED_VALUE"""),"12/1/2023, 17:00:00")</f>
        <v>12/1/2023, 17:00:00</v>
      </c>
      <c r="I142" s="1" t="str">
        <f>IFERROR(__xludf.DUMMYFUNCTION("""COMPUTED_VALUE"""),"RETIRADO OK POR CLIENTE")</f>
        <v>RETIRADO OK POR CLIENTE</v>
      </c>
      <c r="J142" s="1">
        <f t="shared" si="3"/>
        <v>6</v>
      </c>
      <c r="K142" s="1" t="str">
        <f t="shared" si="4"/>
        <v>Entregamos tus lentes, que los disfrutes!</v>
      </c>
    </row>
    <row r="143">
      <c r="A143" s="1">
        <f>IFERROR(__xludf.DUMMYFUNCTION("""COMPUTED_VALUE"""),84694.0)</f>
        <v>84694</v>
      </c>
      <c r="B143" s="5">
        <f>IFERROR(__xludf.DUMMYFUNCTION("""COMPUTED_VALUE"""),44932.43688046296)</f>
        <v>44932.43688</v>
      </c>
      <c r="C143" s="1" t="str">
        <f>IFERROR(__xludf.DUMMYFUNCTION("""COMPUTED_VALUE"""),"HEREDIA TERESA DORIS")</f>
        <v>HEREDIA TERESA DORIS</v>
      </c>
      <c r="D143" s="1" t="str">
        <f>IFERROR(__xludf.DUMMYFUNCTION("""COMPUTED_VALUE"""),"Lentes de STOCK")</f>
        <v>Lentes de STOCK</v>
      </c>
      <c r="E143" s="1" t="str">
        <f>IFERROR(__xludf.DUMMYFUNCTION("""COMPUTED_VALUE"""),"ARTIGAS Cristian C.")</f>
        <v>ARTIGAS Cristian C.</v>
      </c>
      <c r="F143" s="1" t="str">
        <f t="shared" si="1"/>
        <v>ARTIGAS </v>
      </c>
      <c r="G143" s="1" t="str">
        <f t="shared" si="2"/>
        <v>Cristian C.</v>
      </c>
      <c r="H143" s="1" t="str">
        <f>IFERROR(__xludf.DUMMYFUNCTION("""COMPUTED_VALUE"""),"12/1/2023, 17:00:00")</f>
        <v>12/1/2023, 17:00:00</v>
      </c>
      <c r="I143" s="1" t="str">
        <f>IFERROR(__xludf.DUMMYFUNCTION("""COMPUTED_VALUE"""),"RETIRADO OK POR CLIENTE")</f>
        <v>RETIRADO OK POR CLIENTE</v>
      </c>
      <c r="J143" s="1">
        <f t="shared" si="3"/>
        <v>6</v>
      </c>
      <c r="K143" s="1" t="str">
        <f t="shared" si="4"/>
        <v>Entregamos tus lentes, que los disfrutes!</v>
      </c>
    </row>
    <row r="144">
      <c r="A144" s="1">
        <f>IFERROR(__xludf.DUMMYFUNCTION("""COMPUTED_VALUE"""),84695.0)</f>
        <v>84695</v>
      </c>
      <c r="B144" s="5">
        <f>IFERROR(__xludf.DUMMYFUNCTION("""COMPUTED_VALUE"""),44932.4430722338)</f>
        <v>44932.44307</v>
      </c>
      <c r="C144" s="1" t="str">
        <f>IFERROR(__xludf.DUMMYFUNCTION("""COMPUTED_VALUE"""),"AGUERO LAURA")</f>
        <v>AGUERO LAURA</v>
      </c>
      <c r="D144" s="1" t="str">
        <f>IFERROR(__xludf.DUMMYFUNCTION("""COMPUTED_VALUE"""),"Lentes de LABORATORIO")</f>
        <v>Lentes de LABORATORIO</v>
      </c>
      <c r="E144" s="1" t="str">
        <f>IFERROR(__xludf.DUMMYFUNCTION("""COMPUTED_VALUE"""),"ARTIGAS Ivana P.")</f>
        <v>ARTIGAS Ivana P.</v>
      </c>
      <c r="F144" s="1" t="str">
        <f t="shared" si="1"/>
        <v>ARTIGAS </v>
      </c>
      <c r="G144" s="1" t="str">
        <f t="shared" si="2"/>
        <v>Ivana P.</v>
      </c>
      <c r="H144" s="1" t="str">
        <f>IFERROR(__xludf.DUMMYFUNCTION("""COMPUTED_VALUE"""),"19/1/2023, 17:00:00")</f>
        <v>19/1/2023, 17:00:00</v>
      </c>
      <c r="I144" s="1" t="str">
        <f>IFERROR(__xludf.DUMMYFUNCTION("""COMPUTED_VALUE"""),"Completado en SUCURSAL")</f>
        <v>Completado en SUCURSAL</v>
      </c>
      <c r="J144" s="1">
        <f t="shared" si="3"/>
        <v>5</v>
      </c>
      <c r="K144" s="1" t="str">
        <f t="shared" si="4"/>
        <v>Tus Lentes estan LISTAS PARA ENTREGAR, te esperamos.</v>
      </c>
    </row>
    <row r="145">
      <c r="A145" s="1">
        <f>IFERROR(__xludf.DUMMYFUNCTION("""COMPUTED_VALUE"""),84696.0)</f>
        <v>84696</v>
      </c>
      <c r="B145" s="5">
        <f>IFERROR(__xludf.DUMMYFUNCTION("""COMPUTED_VALUE"""),44932.44503564815)</f>
        <v>44932.44504</v>
      </c>
      <c r="C145" s="1" t="str">
        <f>IFERROR(__xludf.DUMMYFUNCTION("""COMPUTED_VALUE"""),"quiroga julia")</f>
        <v>quiroga julia</v>
      </c>
      <c r="D145" s="1" t="str">
        <f>IFERROR(__xludf.DUMMYFUNCTION("""COMPUTED_VALUE"""),"Lentes de STOCK")</f>
        <v>Lentes de STOCK</v>
      </c>
      <c r="E145" s="1" t="str">
        <f>IFERROR(__xludf.DUMMYFUNCTION("""COMPUTED_VALUE"""),"RIVADAVIA Santiago LOPEZ")</f>
        <v>RIVADAVIA Santiago LOPEZ</v>
      </c>
      <c r="F145" s="1" t="str">
        <f t="shared" si="1"/>
        <v>RIVADAVIA </v>
      </c>
      <c r="G145" s="1" t="str">
        <f t="shared" si="2"/>
        <v>Santiago LOPEZ</v>
      </c>
      <c r="H145" s="1" t="str">
        <f>IFERROR(__xludf.DUMMYFUNCTION("""COMPUTED_VALUE"""),"9/1/2023, 17:00:00")</f>
        <v>9/1/2023, 17:00:00</v>
      </c>
      <c r="I145" s="1" t="str">
        <f>IFERROR(__xludf.DUMMYFUNCTION("""COMPUTED_VALUE"""),"RETIRADO OK POR CLIENTE")</f>
        <v>RETIRADO OK POR CLIENTE</v>
      </c>
      <c r="J145" s="1">
        <f t="shared" si="3"/>
        <v>6</v>
      </c>
      <c r="K145" s="1" t="str">
        <f t="shared" si="4"/>
        <v>Entregamos tus lentes, que los disfrutes!</v>
      </c>
    </row>
    <row r="146">
      <c r="A146" s="1">
        <f>IFERROR(__xludf.DUMMYFUNCTION("""COMPUTED_VALUE"""),84697.0)</f>
        <v>84697</v>
      </c>
      <c r="B146" s="5">
        <f>IFERROR(__xludf.DUMMYFUNCTION("""COMPUTED_VALUE"""),44932.44834591435)</f>
        <v>44932.44835</v>
      </c>
      <c r="C146" s="1" t="str">
        <f>IFERROR(__xludf.DUMMYFUNCTION("""COMPUTED_VALUE"""),"VILLACORTA MARCELA")</f>
        <v>VILLACORTA MARCELA</v>
      </c>
      <c r="D146" s="1" t="str">
        <f>IFERROR(__xludf.DUMMYFUNCTION("""COMPUTED_VALUE"""),"Lentes de STOCK")</f>
        <v>Lentes de STOCK</v>
      </c>
      <c r="E146" s="1" t="str">
        <f>IFERROR(__xludf.DUMMYFUNCTION("""COMPUTED_VALUE"""),"ARTIGAS Cristian C.")</f>
        <v>ARTIGAS Cristian C.</v>
      </c>
      <c r="F146" s="1" t="str">
        <f t="shared" si="1"/>
        <v>ARTIGAS </v>
      </c>
      <c r="G146" s="1" t="str">
        <f t="shared" si="2"/>
        <v>Cristian C.</v>
      </c>
      <c r="H146" s="1" t="str">
        <f>IFERROR(__xludf.DUMMYFUNCTION("""COMPUTED_VALUE"""),"12/1/2023, 17:00:00")</f>
        <v>12/1/2023, 17:00:00</v>
      </c>
      <c r="I146" s="1" t="str">
        <f>IFERROR(__xludf.DUMMYFUNCTION("""COMPUTED_VALUE"""),"RETIRADO OK POR CLIENTE")</f>
        <v>RETIRADO OK POR CLIENTE</v>
      </c>
      <c r="J146" s="1">
        <f t="shared" si="3"/>
        <v>6</v>
      </c>
      <c r="K146" s="1" t="str">
        <f t="shared" si="4"/>
        <v>Entregamos tus lentes, que los disfrutes!</v>
      </c>
    </row>
    <row r="147">
      <c r="A147" s="1">
        <f>IFERROR(__xludf.DUMMYFUNCTION("""COMPUTED_VALUE"""),84698.0)</f>
        <v>84698</v>
      </c>
      <c r="B147" s="5">
        <f>IFERROR(__xludf.DUMMYFUNCTION("""COMPUTED_VALUE"""),44932.46062489583)</f>
        <v>44932.46062</v>
      </c>
      <c r="C147" s="1" t="str">
        <f>IFERROR(__xludf.DUMMYFUNCTION("""COMPUTED_VALUE"""),"SANCHEZ HECTOR")</f>
        <v>SANCHEZ HECTOR</v>
      </c>
      <c r="D147" s="1" t="str">
        <f>IFERROR(__xludf.DUMMYFUNCTION("""COMPUTED_VALUE"""),"Lentes de STOCK")</f>
        <v>Lentes de STOCK</v>
      </c>
      <c r="E147" s="1" t="str">
        <f>IFERROR(__xludf.DUMMYFUNCTION("""COMPUTED_VALUE"""),"RIVADAVIA Santiago LOPEZ")</f>
        <v>RIVADAVIA Santiago LOPEZ</v>
      </c>
      <c r="F147" s="1" t="str">
        <f t="shared" si="1"/>
        <v>RIVADAVIA </v>
      </c>
      <c r="G147" s="1" t="str">
        <f t="shared" si="2"/>
        <v>Santiago LOPEZ</v>
      </c>
      <c r="H147" s="1" t="str">
        <f>IFERROR(__xludf.DUMMYFUNCTION("""COMPUTED_VALUE"""),"10/1/2023, 17:00:00")</f>
        <v>10/1/2023, 17:00:00</v>
      </c>
      <c r="I147" s="1" t="str">
        <f>IFERROR(__xludf.DUMMYFUNCTION("""COMPUTED_VALUE"""),"RETIRADO OK POR CLIENTE")</f>
        <v>RETIRADO OK POR CLIENTE</v>
      </c>
      <c r="J147" s="1">
        <f t="shared" si="3"/>
        <v>6</v>
      </c>
      <c r="K147" s="1" t="str">
        <f t="shared" si="4"/>
        <v>Entregamos tus lentes, que los disfrutes!</v>
      </c>
    </row>
    <row r="148">
      <c r="A148" s="1">
        <f>IFERROR(__xludf.DUMMYFUNCTION("""COMPUTED_VALUE"""),84699.0)</f>
        <v>84699</v>
      </c>
      <c r="B148" s="5">
        <f>IFERROR(__xludf.DUMMYFUNCTION("""COMPUTED_VALUE"""),44932.46204196759)</f>
        <v>44932.46204</v>
      </c>
      <c r="C148" s="1" t="str">
        <f>IFERROR(__xludf.DUMMYFUNCTION("""COMPUTED_VALUE"""),"PEREZ CARLOS ")</f>
        <v>PEREZ CARLOS </v>
      </c>
      <c r="D148" s="1" t="str">
        <f>IFERROR(__xludf.DUMMYFUNCTION("""COMPUTED_VALUE"""),"Lentes BIFOCALES")</f>
        <v>Lentes BIFOCALES</v>
      </c>
      <c r="E148" s="1" t="str">
        <f>IFERROR(__xludf.DUMMYFUNCTION("""COMPUTED_VALUE"""),"ARTIGAS Cristian C.")</f>
        <v>ARTIGAS Cristian C.</v>
      </c>
      <c r="F148" s="1" t="str">
        <f t="shared" si="1"/>
        <v>ARTIGAS </v>
      </c>
      <c r="G148" s="1" t="str">
        <f t="shared" si="2"/>
        <v>Cristian C.</v>
      </c>
      <c r="H148" s="1" t="str">
        <f>IFERROR(__xludf.DUMMYFUNCTION("""COMPUTED_VALUE"""),"18/1/2023, 17:00:00")</f>
        <v>18/1/2023, 17:00:00</v>
      </c>
      <c r="I148" s="1" t="str">
        <f>IFERROR(__xludf.DUMMYFUNCTION("""COMPUTED_VALUE"""),"RETIRADO OK POR CLIENTE")</f>
        <v>RETIRADO OK POR CLIENTE</v>
      </c>
      <c r="J148" s="1">
        <f t="shared" si="3"/>
        <v>6</v>
      </c>
      <c r="K148" s="1" t="str">
        <f t="shared" si="4"/>
        <v>Entregamos tus lentes, que los disfrutes!</v>
      </c>
    </row>
    <row r="149">
      <c r="A149" s="1">
        <f>IFERROR(__xludf.DUMMYFUNCTION("""COMPUTED_VALUE"""),84700.0)</f>
        <v>84700</v>
      </c>
      <c r="B149" s="5">
        <f>IFERROR(__xludf.DUMMYFUNCTION("""COMPUTED_VALUE"""),44932.46435002315)</f>
        <v>44932.46435</v>
      </c>
      <c r="C149" s="1" t="str">
        <f>IFERROR(__xludf.DUMMYFUNCTION("""COMPUTED_VALUE"""),"Zalazar Ariel Ceferino")</f>
        <v>Zalazar Ariel Ceferino</v>
      </c>
      <c r="D149" s="1" t="str">
        <f>IFERROR(__xludf.DUMMYFUNCTION("""COMPUTED_VALUE"""),"Lentes de STOCK")</f>
        <v>Lentes de STOCK</v>
      </c>
      <c r="E149" s="1" t="str">
        <f>IFERROR(__xludf.DUMMYFUNCTION("""COMPUTED_VALUE"""),"RIVADAVIA Rocio B")</f>
        <v>RIVADAVIA Rocio B</v>
      </c>
      <c r="F149" s="1" t="str">
        <f t="shared" si="1"/>
        <v>RIVADAVIA </v>
      </c>
      <c r="G149" s="1" t="str">
        <f t="shared" si="2"/>
        <v>Rocio B</v>
      </c>
      <c r="H149" s="1" t="str">
        <f>IFERROR(__xludf.DUMMYFUNCTION("""COMPUTED_VALUE"""),"12/1/2023, 17:00:00")</f>
        <v>12/1/2023, 17:00:00</v>
      </c>
      <c r="I149" s="1" t="str">
        <f>IFERROR(__xludf.DUMMYFUNCTION("""COMPUTED_VALUE"""),"RETIRADO OK POR CLIENTE")</f>
        <v>RETIRADO OK POR CLIENTE</v>
      </c>
      <c r="J149" s="1">
        <f t="shared" si="3"/>
        <v>6</v>
      </c>
      <c r="K149" s="1" t="str">
        <f t="shared" si="4"/>
        <v>Entregamos tus lentes, que los disfrutes!</v>
      </c>
    </row>
    <row r="150">
      <c r="A150" s="1">
        <f>IFERROR(__xludf.DUMMYFUNCTION("""COMPUTED_VALUE"""),84701.0)</f>
        <v>84701</v>
      </c>
      <c r="B150" s="5">
        <f>IFERROR(__xludf.DUMMYFUNCTION("""COMPUTED_VALUE"""),44932.465401863425)</f>
        <v>44932.4654</v>
      </c>
      <c r="C150" s="1" t="str">
        <f>IFERROR(__xludf.DUMMYFUNCTION("""COMPUTED_VALUE"""),"NAVARRO JOSE LUIS")</f>
        <v>NAVARRO JOSE LUIS</v>
      </c>
      <c r="D150" s="1" t="str">
        <f>IFERROR(__xludf.DUMMYFUNCTION("""COMPUTED_VALUE"""),"Lentes de STOCK")</f>
        <v>Lentes de STOCK</v>
      </c>
      <c r="E150" s="1" t="str">
        <f>IFERROR(__xludf.DUMMYFUNCTION("""COMPUTED_VALUE"""),"ARTIGAS Cristian C.")</f>
        <v>ARTIGAS Cristian C.</v>
      </c>
      <c r="F150" s="1" t="str">
        <f t="shared" si="1"/>
        <v>ARTIGAS </v>
      </c>
      <c r="G150" s="1" t="str">
        <f t="shared" si="2"/>
        <v>Cristian C.</v>
      </c>
      <c r="H150" s="1" t="str">
        <f>IFERROR(__xludf.DUMMYFUNCTION("""COMPUTED_VALUE"""),"12/1/2023, 17:00:00")</f>
        <v>12/1/2023, 17:00:00</v>
      </c>
      <c r="I150" s="1" t="str">
        <f>IFERROR(__xludf.DUMMYFUNCTION("""COMPUTED_VALUE"""),"RETIRADO OK POR CLIENTE")</f>
        <v>RETIRADO OK POR CLIENTE</v>
      </c>
      <c r="J150" s="1">
        <f t="shared" si="3"/>
        <v>6</v>
      </c>
      <c r="K150" s="1" t="str">
        <f t="shared" si="4"/>
        <v>Entregamos tus lentes, que los disfrutes!</v>
      </c>
    </row>
    <row r="151">
      <c r="A151" s="1">
        <f>IFERROR(__xludf.DUMMYFUNCTION("""COMPUTED_VALUE"""),84702.0)</f>
        <v>84702</v>
      </c>
      <c r="B151" s="5">
        <f>IFERROR(__xludf.DUMMYFUNCTION("""COMPUTED_VALUE"""),44932.46602847222)</f>
        <v>44932.46603</v>
      </c>
      <c r="C151" s="1" t="str">
        <f>IFERROR(__xludf.DUMMYFUNCTION("""COMPUTED_VALUE"""),"Olguin Viviana Alejandra")</f>
        <v>Olguin Viviana Alejandra</v>
      </c>
      <c r="D151" s="1" t="str">
        <f>IFERROR(__xludf.DUMMYFUNCTION("""COMPUTED_VALUE"""),"Lentes de STOCK")</f>
        <v>Lentes de STOCK</v>
      </c>
      <c r="E151" s="1" t="str">
        <f>IFERROR(__xludf.DUMMYFUNCTION("""COMPUTED_VALUE"""),"RIVADAVIA Rocio B")</f>
        <v>RIVADAVIA Rocio B</v>
      </c>
      <c r="F151" s="1" t="str">
        <f t="shared" si="1"/>
        <v>RIVADAVIA </v>
      </c>
      <c r="G151" s="1" t="str">
        <f t="shared" si="2"/>
        <v>Rocio B</v>
      </c>
      <c r="H151" s="1" t="str">
        <f>IFERROR(__xludf.DUMMYFUNCTION("""COMPUTED_VALUE"""),"12/1/2023, 17:00:00")</f>
        <v>12/1/2023, 17:00:00</v>
      </c>
      <c r="I151" s="1" t="str">
        <f>IFERROR(__xludf.DUMMYFUNCTION("""COMPUTED_VALUE"""),"RETIRADO OK POR CLIENTE")</f>
        <v>RETIRADO OK POR CLIENTE</v>
      </c>
      <c r="J151" s="1">
        <f t="shared" si="3"/>
        <v>6</v>
      </c>
      <c r="K151" s="1" t="str">
        <f t="shared" si="4"/>
        <v>Entregamos tus lentes, que los disfrutes!</v>
      </c>
    </row>
    <row r="152">
      <c r="A152" s="1">
        <f>IFERROR(__xludf.DUMMYFUNCTION("""COMPUTED_VALUE"""),84703.0)</f>
        <v>84703</v>
      </c>
      <c r="B152" s="5">
        <f>IFERROR(__xludf.DUMMYFUNCTION("""COMPUTED_VALUE"""),44932.46962548611)</f>
        <v>44932.46963</v>
      </c>
      <c r="C152" s="1" t="str">
        <f>IFERROR(__xludf.DUMMYFUNCTION("""COMPUTED_VALUE"""),"CONDORI QUISPE LUCIANO")</f>
        <v>CONDORI QUISPE LUCIANO</v>
      </c>
      <c r="D152" s="1" t="str">
        <f>IFERROR(__xludf.DUMMYFUNCTION("""COMPUTED_VALUE"""),"Lentes de STOCK")</f>
        <v>Lentes de STOCK</v>
      </c>
      <c r="E152" s="1" t="str">
        <f>IFERROR(__xludf.DUMMYFUNCTION("""COMPUTED_VALUE"""),"RIVADAVIA Santiago LOPEZ")</f>
        <v>RIVADAVIA Santiago LOPEZ</v>
      </c>
      <c r="F152" s="1" t="str">
        <f t="shared" si="1"/>
        <v>RIVADAVIA </v>
      </c>
      <c r="G152" s="1" t="str">
        <f t="shared" si="2"/>
        <v>Santiago LOPEZ</v>
      </c>
      <c r="H152" s="1" t="str">
        <f>IFERROR(__xludf.DUMMYFUNCTION("""COMPUTED_VALUE"""),"10/1/2023, 17:00:00")</f>
        <v>10/1/2023, 17:00:00</v>
      </c>
      <c r="I152" s="1" t="str">
        <f>IFERROR(__xludf.DUMMYFUNCTION("""COMPUTED_VALUE"""),"RETIRADO OK POR CLIENTE")</f>
        <v>RETIRADO OK POR CLIENTE</v>
      </c>
      <c r="J152" s="1">
        <f t="shared" si="3"/>
        <v>6</v>
      </c>
      <c r="K152" s="1" t="str">
        <f t="shared" si="4"/>
        <v>Entregamos tus lentes, que los disfrutes!</v>
      </c>
    </row>
    <row r="153">
      <c r="A153" s="1">
        <f>IFERROR(__xludf.DUMMYFUNCTION("""COMPUTED_VALUE"""),84704.0)</f>
        <v>84704</v>
      </c>
      <c r="B153" s="5">
        <f>IFERROR(__xludf.DUMMYFUNCTION("""COMPUTED_VALUE"""),44932.47610518518)</f>
        <v>44932.47611</v>
      </c>
      <c r="C153" s="1" t="str">
        <f>IFERROR(__xludf.DUMMYFUNCTION("""COMPUTED_VALUE"""),"VELAZQUEZ SILVANA")</f>
        <v>VELAZQUEZ SILVANA</v>
      </c>
      <c r="D153" s="1" t="str">
        <f>IFERROR(__xludf.DUMMYFUNCTION("""COMPUTED_VALUE"""),"Lentes de STOCK")</f>
        <v>Lentes de STOCK</v>
      </c>
      <c r="E153" s="1" t="str">
        <f>IFERROR(__xludf.DUMMYFUNCTION("""COMPUTED_VALUE"""),"ARTIGAS Ivana P.")</f>
        <v>ARTIGAS Ivana P.</v>
      </c>
      <c r="F153" s="1" t="str">
        <f t="shared" si="1"/>
        <v>ARTIGAS </v>
      </c>
      <c r="G153" s="1" t="str">
        <f t="shared" si="2"/>
        <v>Ivana P.</v>
      </c>
      <c r="H153" s="1" t="str">
        <f>IFERROR(__xludf.DUMMYFUNCTION("""COMPUTED_VALUE"""),"11/1/2023, 17:00:00")</f>
        <v>11/1/2023, 17:00:00</v>
      </c>
      <c r="I153" s="1" t="str">
        <f>IFERROR(__xludf.DUMMYFUNCTION("""COMPUTED_VALUE"""),"RETIRADO OK POR CLIENTE")</f>
        <v>RETIRADO OK POR CLIENTE</v>
      </c>
      <c r="J153" s="1">
        <f t="shared" si="3"/>
        <v>6</v>
      </c>
      <c r="K153" s="1" t="str">
        <f t="shared" si="4"/>
        <v>Entregamos tus lentes, que los disfrutes!</v>
      </c>
    </row>
    <row r="154">
      <c r="A154" s="1">
        <f>IFERROR(__xludf.DUMMYFUNCTION("""COMPUTED_VALUE"""),84705.0)</f>
        <v>84705</v>
      </c>
      <c r="B154" s="5">
        <f>IFERROR(__xludf.DUMMYFUNCTION("""COMPUTED_VALUE"""),44932.4774643287)</f>
        <v>44932.47746</v>
      </c>
      <c r="C154" s="1" t="str">
        <f>IFERROR(__xludf.DUMMYFUNCTION("""COMPUTED_VALUE"""),"MANSILLA JULIO")</f>
        <v>MANSILLA JULIO</v>
      </c>
      <c r="D154" s="1" t="str">
        <f>IFERROR(__xludf.DUMMYFUNCTION("""COMPUTED_VALUE"""),"Reparaciones/Otros")</f>
        <v>Reparaciones/Otros</v>
      </c>
      <c r="E154" s="1" t="str">
        <f>IFERROR(__xludf.DUMMYFUNCTION("""COMPUTED_VALUE"""),"RIVADAVIA Luciana")</f>
        <v>RIVADAVIA Luciana</v>
      </c>
      <c r="F154" s="1" t="str">
        <f t="shared" si="1"/>
        <v>RIVADAVIA </v>
      </c>
      <c r="G154" s="1" t="str">
        <f t="shared" si="2"/>
        <v>Luciana</v>
      </c>
      <c r="H154" s="1" t="str">
        <f>IFERROR(__xludf.DUMMYFUNCTION("""COMPUTED_VALUE"""),"9/1/2023, 17:00:00")</f>
        <v>9/1/2023, 17:00:00</v>
      </c>
      <c r="I154" s="1" t="str">
        <f>IFERROR(__xludf.DUMMYFUNCTION("""COMPUTED_VALUE"""),"Enviado a Sucursal")</f>
        <v>Enviado a Sucursal</v>
      </c>
      <c r="J154" s="1">
        <f t="shared" si="3"/>
        <v>4</v>
      </c>
      <c r="K154" s="1" t="str">
        <f t="shared" si="4"/>
        <v>Tus lentes estan viajando a la sucursal para su entrega.</v>
      </c>
    </row>
    <row r="155">
      <c r="A155" s="1">
        <f>IFERROR(__xludf.DUMMYFUNCTION("""COMPUTED_VALUE"""),84706.0)</f>
        <v>84706</v>
      </c>
      <c r="B155" s="5">
        <f>IFERROR(__xludf.DUMMYFUNCTION("""COMPUTED_VALUE"""),44932.48682435185)</f>
        <v>44932.48682</v>
      </c>
      <c r="C155" s="1" t="str">
        <f>IFERROR(__xludf.DUMMYFUNCTION("""COMPUTED_VALUE"""),"CASAS MARIANA")</f>
        <v>CASAS MARIANA</v>
      </c>
      <c r="D155" s="1" t="str">
        <f>IFERROR(__xludf.DUMMYFUNCTION("""COMPUTED_VALUE"""),"Reparaciones/Otros")</f>
        <v>Reparaciones/Otros</v>
      </c>
      <c r="E155" s="1" t="str">
        <f>IFERROR(__xludf.DUMMYFUNCTION("""COMPUTED_VALUE"""),"ARTIGAS Cristian C.")</f>
        <v>ARTIGAS Cristian C.</v>
      </c>
      <c r="F155" s="1" t="str">
        <f t="shared" si="1"/>
        <v>ARTIGAS </v>
      </c>
      <c r="G155" s="1" t="str">
        <f t="shared" si="2"/>
        <v>Cristian C.</v>
      </c>
      <c r="H155" s="1" t="str">
        <f>IFERROR(__xludf.DUMMYFUNCTION("""COMPUTED_VALUE"""),"10/1/2023, 17:00:00")</f>
        <v>10/1/2023, 17:00:00</v>
      </c>
      <c r="I155" s="1" t="str">
        <f>IFERROR(__xludf.DUMMYFUNCTION("""COMPUTED_VALUE"""),"Completado en SUCURSAL")</f>
        <v>Completado en SUCURSAL</v>
      </c>
      <c r="J155" s="1">
        <f t="shared" si="3"/>
        <v>5</v>
      </c>
      <c r="K155" s="1" t="str">
        <f t="shared" si="4"/>
        <v>Tus Lentes estan LISTAS PARA ENTREGAR, te esperamos.</v>
      </c>
    </row>
    <row r="156">
      <c r="A156" s="1">
        <f>IFERROR(__xludf.DUMMYFUNCTION("""COMPUTED_VALUE"""),84707.0)</f>
        <v>84707</v>
      </c>
      <c r="B156" s="5">
        <f>IFERROR(__xludf.DUMMYFUNCTION("""COMPUTED_VALUE"""),44932.48950255787)</f>
        <v>44932.4895</v>
      </c>
      <c r="C156" s="1" t="str">
        <f>IFERROR(__xludf.DUMMYFUNCTION("""COMPUTED_VALUE"""),"GARRO GLADYS NORMA")</f>
        <v>GARRO GLADYS NORMA</v>
      </c>
      <c r="D156" s="1" t="str">
        <f>IFERROR(__xludf.DUMMYFUNCTION("""COMPUTED_VALUE"""),"Reparaciones/Otros")</f>
        <v>Reparaciones/Otros</v>
      </c>
      <c r="E156" s="1" t="str">
        <f>IFERROR(__xludf.DUMMYFUNCTION("""COMPUTED_VALUE"""),"RIVADAVIA Marcela L")</f>
        <v>RIVADAVIA Marcela L</v>
      </c>
      <c r="F156" s="1" t="str">
        <f t="shared" si="1"/>
        <v>RIVADAVIA </v>
      </c>
      <c r="G156" s="1" t="str">
        <f t="shared" si="2"/>
        <v>Marcela L</v>
      </c>
      <c r="H156" s="1" t="str">
        <f>IFERROR(__xludf.DUMMYFUNCTION("""COMPUTED_VALUE"""),"7/1/2023, 17:00:00")</f>
        <v>7/1/2023, 17:00:00</v>
      </c>
      <c r="I156" s="1" t="str">
        <f>IFERROR(__xludf.DUMMYFUNCTION("""COMPUTED_VALUE"""),"Enviado a Sucursal")</f>
        <v>Enviado a Sucursal</v>
      </c>
      <c r="J156" s="1">
        <f t="shared" si="3"/>
        <v>4</v>
      </c>
      <c r="K156" s="1" t="str">
        <f t="shared" si="4"/>
        <v>Tus lentes estan viajando a la sucursal para su entrega.</v>
      </c>
    </row>
    <row r="157">
      <c r="A157" s="1">
        <f>IFERROR(__xludf.DUMMYFUNCTION("""COMPUTED_VALUE"""),84708.0)</f>
        <v>84708</v>
      </c>
      <c r="B157" s="5">
        <f>IFERROR(__xludf.DUMMYFUNCTION("""COMPUTED_VALUE"""),44932.4916462963)</f>
        <v>44932.49165</v>
      </c>
      <c r="C157" s="1" t="str">
        <f>IFERROR(__xludf.DUMMYFUNCTION("""COMPUTED_VALUE"""),"Lucero Yolanda")</f>
        <v>Lucero Yolanda</v>
      </c>
      <c r="D157" s="1" t="str">
        <f>IFERROR(__xludf.DUMMYFUNCTION("""COMPUTED_VALUE"""),"Lentes de STOCK")</f>
        <v>Lentes de STOCK</v>
      </c>
      <c r="E157" s="1" t="str">
        <f>IFERROR(__xludf.DUMMYFUNCTION("""COMPUTED_VALUE"""),"ARTIGAS Sandra G")</f>
        <v>ARTIGAS Sandra G</v>
      </c>
      <c r="F157" s="1" t="str">
        <f t="shared" si="1"/>
        <v>ARTIGAS </v>
      </c>
      <c r="G157" s="1" t="str">
        <f t="shared" si="2"/>
        <v>Sandra G</v>
      </c>
      <c r="H157" s="1" t="str">
        <f>IFERROR(__xludf.DUMMYFUNCTION("""COMPUTED_VALUE"""),"9/1/2023, 17:00:00")</f>
        <v>9/1/2023, 17:00:00</v>
      </c>
      <c r="I157" s="1" t="str">
        <f>IFERROR(__xludf.DUMMYFUNCTION("""COMPUTED_VALUE"""),"Completado en SUCURSAL")</f>
        <v>Completado en SUCURSAL</v>
      </c>
      <c r="J157" s="1">
        <f t="shared" si="3"/>
        <v>5</v>
      </c>
      <c r="K157" s="1" t="str">
        <f t="shared" si="4"/>
        <v>Tus Lentes estan LISTAS PARA ENTREGAR, te esperamos.</v>
      </c>
    </row>
    <row r="158">
      <c r="A158" s="1">
        <f>IFERROR(__xludf.DUMMYFUNCTION("""COMPUTED_VALUE"""),84709.0)</f>
        <v>84709</v>
      </c>
      <c r="B158" s="5">
        <f>IFERROR(__xludf.DUMMYFUNCTION("""COMPUTED_VALUE"""),44932.49197853009)</f>
        <v>44932.49198</v>
      </c>
      <c r="C158" s="1" t="str">
        <f>IFERROR(__xludf.DUMMYFUNCTION("""COMPUTED_VALUE"""),"Graciela Dominguez")</f>
        <v>Graciela Dominguez</v>
      </c>
      <c r="D158" s="1" t="str">
        <f>IFERROR(__xludf.DUMMYFUNCTION("""COMPUTED_VALUE"""),"Reparaciones/Otros")</f>
        <v>Reparaciones/Otros</v>
      </c>
      <c r="E158" s="1" t="str">
        <f>IFERROR(__xludf.DUMMYFUNCTION("""COMPUTED_VALUE"""),"RIVADAVIA Rocio B")</f>
        <v>RIVADAVIA Rocio B</v>
      </c>
      <c r="F158" s="1" t="str">
        <f t="shared" si="1"/>
        <v>RIVADAVIA </v>
      </c>
      <c r="G158" s="1" t="str">
        <f t="shared" si="2"/>
        <v>Rocio B</v>
      </c>
      <c r="H158" s="1" t="str">
        <f>IFERROR(__xludf.DUMMYFUNCTION("""COMPUTED_VALUE"""),"9/1/2023, 17:00:00")</f>
        <v>9/1/2023, 17:00:00</v>
      </c>
      <c r="I158" s="1" t="str">
        <f>IFERROR(__xludf.DUMMYFUNCTION("""COMPUTED_VALUE"""),"Completado en SUCURSAL")</f>
        <v>Completado en SUCURSAL</v>
      </c>
      <c r="J158" s="1">
        <f t="shared" si="3"/>
        <v>5</v>
      </c>
      <c r="K158" s="1" t="str">
        <f t="shared" si="4"/>
        <v>Tus Lentes estan LISTAS PARA ENTREGAR, te esperamos.</v>
      </c>
    </row>
    <row r="159">
      <c r="A159" s="1">
        <f>IFERROR(__xludf.DUMMYFUNCTION("""COMPUTED_VALUE"""),84710.0)</f>
        <v>84710</v>
      </c>
      <c r="B159" s="5">
        <f>IFERROR(__xludf.DUMMYFUNCTION("""COMPUTED_VALUE"""),44932.49838119213)</f>
        <v>44932.49838</v>
      </c>
      <c r="C159" s="1" t="str">
        <f>IFERROR(__xludf.DUMMYFUNCTION("""COMPUTED_VALUE"""),"MOLINA DAILA")</f>
        <v>MOLINA DAILA</v>
      </c>
      <c r="D159" s="1" t="str">
        <f>IFERROR(__xludf.DUMMYFUNCTION("""COMPUTED_VALUE"""),"Lentes de STOCK")</f>
        <v>Lentes de STOCK</v>
      </c>
      <c r="E159" s="1" t="str">
        <f>IFERROR(__xludf.DUMMYFUNCTION("""COMPUTED_VALUE"""),"ARTIGAS Cristian C.")</f>
        <v>ARTIGAS Cristian C.</v>
      </c>
      <c r="F159" s="1" t="str">
        <f t="shared" si="1"/>
        <v>ARTIGAS </v>
      </c>
      <c r="G159" s="1" t="str">
        <f t="shared" si="2"/>
        <v>Cristian C.</v>
      </c>
      <c r="H159" s="1" t="str">
        <f>IFERROR(__xludf.DUMMYFUNCTION("""COMPUTED_VALUE"""),"12/1/2023, 17:00:00")</f>
        <v>12/1/2023, 17:00:00</v>
      </c>
      <c r="I159" s="1" t="str">
        <f>IFERROR(__xludf.DUMMYFUNCTION("""COMPUTED_VALUE"""),"Completado en SUCURSAL")</f>
        <v>Completado en SUCURSAL</v>
      </c>
      <c r="J159" s="1">
        <f t="shared" si="3"/>
        <v>5</v>
      </c>
      <c r="K159" s="1" t="str">
        <f t="shared" si="4"/>
        <v>Tus Lentes estan LISTAS PARA ENTREGAR, te esperamos.</v>
      </c>
    </row>
    <row r="160">
      <c r="A160" s="1">
        <f>IFERROR(__xludf.DUMMYFUNCTION("""COMPUTED_VALUE"""),84711.0)</f>
        <v>84711</v>
      </c>
      <c r="B160" s="5">
        <f>IFERROR(__xludf.DUMMYFUNCTION("""COMPUTED_VALUE"""),44932.50011248843)</f>
        <v>44932.50011</v>
      </c>
      <c r="C160" s="1" t="str">
        <f>IFERROR(__xludf.DUMMYFUNCTION("""COMPUTED_VALUE"""),"QUIROGA TOMAS")</f>
        <v>QUIROGA TOMAS</v>
      </c>
      <c r="D160" s="1" t="str">
        <f>IFERROR(__xludf.DUMMYFUNCTION("""COMPUTED_VALUE"""),"Lentes de STOCK")</f>
        <v>Lentes de STOCK</v>
      </c>
      <c r="E160" s="1" t="str">
        <f>IFERROR(__xludf.DUMMYFUNCTION("""COMPUTED_VALUE"""),"RIVADAVIA Daniel CM")</f>
        <v>RIVADAVIA Daniel CM</v>
      </c>
      <c r="F160" s="1" t="str">
        <f t="shared" si="1"/>
        <v>RIVADAVIA </v>
      </c>
      <c r="G160" s="1" t="str">
        <f t="shared" si="2"/>
        <v>Daniel CM</v>
      </c>
      <c r="H160" s="1" t="str">
        <f>IFERROR(__xludf.DUMMYFUNCTION("""COMPUTED_VALUE"""),"11/1/2023, 17:00:00")</f>
        <v>11/1/2023, 17:00:00</v>
      </c>
      <c r="I160" s="1" t="str">
        <f>IFERROR(__xludf.DUMMYFUNCTION("""COMPUTED_VALUE"""),"Completado en SUCURSAL")</f>
        <v>Completado en SUCURSAL</v>
      </c>
      <c r="J160" s="1">
        <f t="shared" si="3"/>
        <v>5</v>
      </c>
      <c r="K160" s="1" t="str">
        <f t="shared" si="4"/>
        <v>Tus Lentes estan LISTAS PARA ENTREGAR, te esperamos.</v>
      </c>
    </row>
    <row r="161">
      <c r="A161" s="1">
        <f>IFERROR(__xludf.DUMMYFUNCTION("""COMPUTED_VALUE"""),84712.0)</f>
        <v>84712</v>
      </c>
      <c r="B161" s="5">
        <f>IFERROR(__xludf.DUMMYFUNCTION("""COMPUTED_VALUE"""),44932.50356737268)</f>
        <v>44932.50357</v>
      </c>
      <c r="C161" s="1" t="str">
        <f>IFERROR(__xludf.DUMMYFUNCTION("""COMPUTED_VALUE"""),"AGUILAR ELENA")</f>
        <v>AGUILAR ELENA</v>
      </c>
      <c r="D161" s="1" t="str">
        <f>IFERROR(__xludf.DUMMYFUNCTION("""COMPUTED_VALUE"""),"Reparaciones/Otros")</f>
        <v>Reparaciones/Otros</v>
      </c>
      <c r="E161" s="1" t="str">
        <f>IFERROR(__xludf.DUMMYFUNCTION("""COMPUTED_VALUE"""),"RIVADAVIA Marcela L")</f>
        <v>RIVADAVIA Marcela L</v>
      </c>
      <c r="F161" s="1" t="str">
        <f t="shared" si="1"/>
        <v>RIVADAVIA </v>
      </c>
      <c r="G161" s="1" t="str">
        <f t="shared" si="2"/>
        <v>Marcela L</v>
      </c>
      <c r="H161" s="1" t="str">
        <f>IFERROR(__xludf.DUMMYFUNCTION("""COMPUTED_VALUE"""),"7/1/2023, 17:00:00")</f>
        <v>7/1/2023, 17:00:00</v>
      </c>
      <c r="I161" s="1" t="str">
        <f>IFERROR(__xludf.DUMMYFUNCTION("""COMPUTED_VALUE"""),"Completado en SUCURSAL")</f>
        <v>Completado en SUCURSAL</v>
      </c>
      <c r="J161" s="1">
        <f t="shared" si="3"/>
        <v>5</v>
      </c>
      <c r="K161" s="1" t="str">
        <f t="shared" si="4"/>
        <v>Tus Lentes estan LISTAS PARA ENTREGAR, te esperamos.</v>
      </c>
    </row>
    <row r="162">
      <c r="A162" s="1">
        <f>IFERROR(__xludf.DUMMYFUNCTION("""COMPUTED_VALUE"""),84713.0)</f>
        <v>84713</v>
      </c>
      <c r="B162" s="5">
        <f>IFERROR(__xludf.DUMMYFUNCTION("""COMPUTED_VALUE"""),44932.505025810184)</f>
        <v>44932.50503</v>
      </c>
      <c r="C162" s="1" t="str">
        <f>IFERROR(__xludf.DUMMYFUNCTION("""COMPUTED_VALUE"""),"DURAN FRANCO")</f>
        <v>DURAN FRANCO</v>
      </c>
      <c r="D162" s="1" t="str">
        <f>IFERROR(__xludf.DUMMYFUNCTION("""COMPUTED_VALUE"""),"Lentes de STOCK")</f>
        <v>Lentes de STOCK</v>
      </c>
      <c r="E162" s="1" t="str">
        <f>IFERROR(__xludf.DUMMYFUNCTION("""COMPUTED_VALUE"""),"ARTIGAS Ivana P.")</f>
        <v>ARTIGAS Ivana P.</v>
      </c>
      <c r="F162" s="1" t="str">
        <f t="shared" si="1"/>
        <v>ARTIGAS </v>
      </c>
      <c r="G162" s="1" t="str">
        <f t="shared" si="2"/>
        <v>Ivana P.</v>
      </c>
      <c r="H162" s="1" t="str">
        <f>IFERROR(__xludf.DUMMYFUNCTION("""COMPUTED_VALUE"""),"11/1/2023, 17:00:00")</f>
        <v>11/1/2023, 17:00:00</v>
      </c>
      <c r="I162" s="1" t="str">
        <f>IFERROR(__xludf.DUMMYFUNCTION("""COMPUTED_VALUE"""),"RETIRADO OK POR CLIENTE")</f>
        <v>RETIRADO OK POR CLIENTE</v>
      </c>
      <c r="J162" s="1">
        <f t="shared" si="3"/>
        <v>6</v>
      </c>
      <c r="K162" s="1" t="str">
        <f t="shared" si="4"/>
        <v>Entregamos tus lentes, que los disfrutes!</v>
      </c>
    </row>
    <row r="163">
      <c r="A163" s="1">
        <f>IFERROR(__xludf.DUMMYFUNCTION("""COMPUTED_VALUE"""),84714.0)</f>
        <v>84714</v>
      </c>
      <c r="B163" s="5">
        <f>IFERROR(__xludf.DUMMYFUNCTION("""COMPUTED_VALUE"""),44932.51339332176)</f>
        <v>44932.51339</v>
      </c>
      <c r="C163" s="1" t="str">
        <f>IFERROR(__xludf.DUMMYFUNCTION("""COMPUTED_VALUE"""),"DURAN THIAGO")</f>
        <v>DURAN THIAGO</v>
      </c>
      <c r="D163" s="1" t="str">
        <f>IFERROR(__xludf.DUMMYFUNCTION("""COMPUTED_VALUE"""),"Lentes de STOCK")</f>
        <v>Lentes de STOCK</v>
      </c>
      <c r="E163" s="1" t="str">
        <f>IFERROR(__xludf.DUMMYFUNCTION("""COMPUTED_VALUE"""),"ARTIGAS Ivana P.")</f>
        <v>ARTIGAS Ivana P.</v>
      </c>
      <c r="F163" s="1" t="str">
        <f t="shared" si="1"/>
        <v>ARTIGAS </v>
      </c>
      <c r="G163" s="1" t="str">
        <f t="shared" si="2"/>
        <v>Ivana P.</v>
      </c>
      <c r="H163" s="1" t="str">
        <f>IFERROR(__xludf.DUMMYFUNCTION("""COMPUTED_VALUE"""),"9/1/2023, 17:00:00")</f>
        <v>9/1/2023, 17:00:00</v>
      </c>
      <c r="I163" s="1" t="str">
        <f>IFERROR(__xludf.DUMMYFUNCTION("""COMPUTED_VALUE"""),"Completado en SUCURSAL")</f>
        <v>Completado en SUCURSAL</v>
      </c>
      <c r="J163" s="1">
        <f t="shared" si="3"/>
        <v>5</v>
      </c>
      <c r="K163" s="1" t="str">
        <f t="shared" si="4"/>
        <v>Tus Lentes estan LISTAS PARA ENTREGAR, te esperamos.</v>
      </c>
    </row>
    <row r="164">
      <c r="A164" s="1">
        <f>IFERROR(__xludf.DUMMYFUNCTION("""COMPUTED_VALUE"""),84715.0)</f>
        <v>84715</v>
      </c>
      <c r="B164" s="5">
        <f>IFERROR(__xludf.DUMMYFUNCTION("""COMPUTED_VALUE"""),44932.51902883102)</f>
        <v>44932.51903</v>
      </c>
      <c r="C164" s="1" t="str">
        <f>IFERROR(__xludf.DUMMYFUNCTION("""COMPUTED_VALUE"""),"DI MARCO AXEL")</f>
        <v>DI MARCO AXEL</v>
      </c>
      <c r="D164" s="1" t="str">
        <f>IFERROR(__xludf.DUMMYFUNCTION("""COMPUTED_VALUE"""),"Reparaciones/Otros")</f>
        <v>Reparaciones/Otros</v>
      </c>
      <c r="E164" s="1" t="str">
        <f>IFERROR(__xludf.DUMMYFUNCTION("""COMPUTED_VALUE"""),"RIVADAVIA Marcela L")</f>
        <v>RIVADAVIA Marcela L</v>
      </c>
      <c r="F164" s="1" t="str">
        <f t="shared" si="1"/>
        <v>RIVADAVIA </v>
      </c>
      <c r="G164" s="1" t="str">
        <f t="shared" si="2"/>
        <v>Marcela L</v>
      </c>
      <c r="H164" s="1" t="str">
        <f>IFERROR(__xludf.DUMMYFUNCTION("""COMPUTED_VALUE"""),"7/1/2023, 17:00:00")</f>
        <v>7/1/2023, 17:00:00</v>
      </c>
      <c r="I164" s="1" t="str">
        <f>IFERROR(__xludf.DUMMYFUNCTION("""COMPUTED_VALUE"""),"Completado en SUCURSAL")</f>
        <v>Completado en SUCURSAL</v>
      </c>
      <c r="J164" s="1">
        <f t="shared" si="3"/>
        <v>5</v>
      </c>
      <c r="K164" s="1" t="str">
        <f t="shared" si="4"/>
        <v>Tus Lentes estan LISTAS PARA ENTREGAR, te esperamos.</v>
      </c>
    </row>
    <row r="165">
      <c r="A165" s="1">
        <f>IFERROR(__xludf.DUMMYFUNCTION("""COMPUTED_VALUE"""),84716.0)</f>
        <v>84716</v>
      </c>
      <c r="B165" s="5">
        <f>IFERROR(__xludf.DUMMYFUNCTION("""COMPUTED_VALUE"""),44932.522346655096)</f>
        <v>44932.52235</v>
      </c>
      <c r="C165" s="1" t="str">
        <f>IFERROR(__xludf.DUMMYFUNCTION("""COMPUTED_VALUE"""),"VALENTINO MARIA CRISTINA")</f>
        <v>VALENTINO MARIA CRISTINA</v>
      </c>
      <c r="D165" s="1" t="str">
        <f>IFERROR(__xludf.DUMMYFUNCTION("""COMPUTED_VALUE"""),"Reparaciones/Otros")</f>
        <v>Reparaciones/Otros</v>
      </c>
      <c r="E165" s="1" t="str">
        <f>IFERROR(__xludf.DUMMYFUNCTION("""COMPUTED_VALUE"""),"RIVADAVIA Luciana")</f>
        <v>RIVADAVIA Luciana</v>
      </c>
      <c r="F165" s="1" t="str">
        <f t="shared" si="1"/>
        <v>RIVADAVIA </v>
      </c>
      <c r="G165" s="1" t="str">
        <f t="shared" si="2"/>
        <v>Luciana</v>
      </c>
      <c r="H165" s="1" t="str">
        <f>IFERROR(__xludf.DUMMYFUNCTION("""COMPUTED_VALUE"""),"9/1/2023, 17:00:00")</f>
        <v>9/1/2023, 17:00:00</v>
      </c>
      <c r="I165" s="1" t="str">
        <f>IFERROR(__xludf.DUMMYFUNCTION("""COMPUTED_VALUE"""),"Completado en SUCURSAL")</f>
        <v>Completado en SUCURSAL</v>
      </c>
      <c r="J165" s="1">
        <f t="shared" si="3"/>
        <v>5</v>
      </c>
      <c r="K165" s="1" t="str">
        <f t="shared" si="4"/>
        <v>Tus Lentes estan LISTAS PARA ENTREGAR, te esperamos.</v>
      </c>
    </row>
    <row r="166">
      <c r="A166" s="1">
        <f>IFERROR(__xludf.DUMMYFUNCTION("""COMPUTED_VALUE"""),84717.0)</f>
        <v>84717</v>
      </c>
      <c r="B166" s="5">
        <f>IFERROR(__xludf.DUMMYFUNCTION("""COMPUTED_VALUE"""),44932.522497384256)</f>
        <v>44932.5225</v>
      </c>
      <c r="C166" s="1" t="str">
        <f>IFERROR(__xludf.DUMMYFUNCTION("""COMPUTED_VALUE"""),"Rosales Jorge")</f>
        <v>Rosales Jorge</v>
      </c>
      <c r="D166" s="1" t="str">
        <f>IFERROR(__xludf.DUMMYFUNCTION("""COMPUTED_VALUE"""),"Lentes de STOCK")</f>
        <v>Lentes de STOCK</v>
      </c>
      <c r="E166" s="1" t="str">
        <f>IFERROR(__xludf.DUMMYFUNCTION("""COMPUTED_VALUE"""),"RIVADAVIA Rocio B")</f>
        <v>RIVADAVIA Rocio B</v>
      </c>
      <c r="F166" s="1" t="str">
        <f t="shared" si="1"/>
        <v>RIVADAVIA </v>
      </c>
      <c r="G166" s="1" t="str">
        <f t="shared" si="2"/>
        <v>Rocio B</v>
      </c>
      <c r="H166" s="1" t="str">
        <f>IFERROR(__xludf.DUMMYFUNCTION("""COMPUTED_VALUE"""),"12/1/2023, 17:00:00")</f>
        <v>12/1/2023, 17:00:00</v>
      </c>
      <c r="I166" s="1" t="str">
        <f>IFERROR(__xludf.DUMMYFUNCTION("""COMPUTED_VALUE"""),"RETIRADO OK POR CLIENTE")</f>
        <v>RETIRADO OK POR CLIENTE</v>
      </c>
      <c r="J166" s="1">
        <f t="shared" si="3"/>
        <v>6</v>
      </c>
      <c r="K166" s="1" t="str">
        <f t="shared" si="4"/>
        <v>Entregamos tus lentes, que los disfrutes!</v>
      </c>
    </row>
    <row r="167">
      <c r="A167" s="1">
        <f>IFERROR(__xludf.DUMMYFUNCTION("""COMPUTED_VALUE"""),84718.0)</f>
        <v>84718</v>
      </c>
      <c r="B167" s="5">
        <f>IFERROR(__xludf.DUMMYFUNCTION("""COMPUTED_VALUE"""),44932.52280355324)</f>
        <v>44932.5228</v>
      </c>
      <c r="C167" s="1" t="str">
        <f>IFERROR(__xludf.DUMMYFUNCTION("""COMPUTED_VALUE"""),"GARRO JOSE")</f>
        <v>GARRO JOSE</v>
      </c>
      <c r="D167" s="1" t="str">
        <f>IFERROR(__xludf.DUMMYFUNCTION("""COMPUTED_VALUE"""),"Lentes MULTIFOCALES")</f>
        <v>Lentes MULTIFOCALES</v>
      </c>
      <c r="E167" s="1" t="str">
        <f>IFERROR(__xludf.DUMMYFUNCTION("""COMPUTED_VALUE"""),"RIVADAVIA Santiago LOPEZ")</f>
        <v>RIVADAVIA Santiago LOPEZ</v>
      </c>
      <c r="F167" s="1" t="str">
        <f t="shared" si="1"/>
        <v>RIVADAVIA </v>
      </c>
      <c r="G167" s="1" t="str">
        <f t="shared" si="2"/>
        <v>Santiago LOPEZ</v>
      </c>
      <c r="H167" s="1" t="str">
        <f>IFERROR(__xludf.DUMMYFUNCTION("""COMPUTED_VALUE"""),"19/1/2023, 17:00:00")</f>
        <v>19/1/2023, 17:00:00</v>
      </c>
      <c r="I167" s="1" t="str">
        <f>IFERROR(__xludf.DUMMYFUNCTION("""COMPUTED_VALUE"""),"Completado en SUCURSAL")</f>
        <v>Completado en SUCURSAL</v>
      </c>
      <c r="J167" s="1">
        <f t="shared" si="3"/>
        <v>5</v>
      </c>
      <c r="K167" s="1" t="str">
        <f t="shared" si="4"/>
        <v>Tus Lentes estan LISTAS PARA ENTREGAR, te esperamos.</v>
      </c>
    </row>
    <row r="168">
      <c r="A168" s="1">
        <f>IFERROR(__xludf.DUMMYFUNCTION("""COMPUTED_VALUE"""),84719.0)</f>
        <v>84719</v>
      </c>
      <c r="B168" s="5">
        <f>IFERROR(__xludf.DUMMYFUNCTION("""COMPUTED_VALUE"""),44932.52926753472)</f>
        <v>44932.52927</v>
      </c>
      <c r="C168" s="1" t="str">
        <f>IFERROR(__xludf.DUMMYFUNCTION("""COMPUTED_VALUE"""),"Carreras Nelida Beatriz")</f>
        <v>Carreras Nelida Beatriz</v>
      </c>
      <c r="D168" s="1" t="str">
        <f>IFERROR(__xludf.DUMMYFUNCTION("""COMPUTED_VALUE"""),"Reparaciones/Otros")</f>
        <v>Reparaciones/Otros</v>
      </c>
      <c r="E168" s="1" t="str">
        <f>IFERROR(__xludf.DUMMYFUNCTION("""COMPUTED_VALUE"""),"RIVADAVIA Rocio B")</f>
        <v>RIVADAVIA Rocio B</v>
      </c>
      <c r="F168" s="1" t="str">
        <f t="shared" si="1"/>
        <v>RIVADAVIA </v>
      </c>
      <c r="G168" s="1" t="str">
        <f t="shared" si="2"/>
        <v>Rocio B</v>
      </c>
      <c r="H168" s="1" t="str">
        <f>IFERROR(__xludf.DUMMYFUNCTION("""COMPUTED_VALUE"""),"9/1/2023, 17:00:00")</f>
        <v>9/1/2023, 17:00:00</v>
      </c>
      <c r="I168" s="1" t="str">
        <f>IFERROR(__xludf.DUMMYFUNCTION("""COMPUTED_VALUE"""),"Completado en SUCURSAL")</f>
        <v>Completado en SUCURSAL</v>
      </c>
      <c r="J168" s="1">
        <f t="shared" si="3"/>
        <v>5</v>
      </c>
      <c r="K168" s="1" t="str">
        <f t="shared" si="4"/>
        <v>Tus Lentes estan LISTAS PARA ENTREGAR, te esperamos.</v>
      </c>
    </row>
    <row r="169">
      <c r="A169" s="1">
        <f>IFERROR(__xludf.DUMMYFUNCTION("""COMPUTED_VALUE"""),84720.0)</f>
        <v>84720</v>
      </c>
      <c r="B169" s="5">
        <f>IFERROR(__xludf.DUMMYFUNCTION("""COMPUTED_VALUE"""),44932.53331428241)</f>
        <v>44932.53331</v>
      </c>
      <c r="C169" s="1" t="str">
        <f>IFERROR(__xludf.DUMMYFUNCTION("""COMPUTED_VALUE"""),"MORTARA DARIO")</f>
        <v>MORTARA DARIO</v>
      </c>
      <c r="D169" s="1" t="str">
        <f>IFERROR(__xludf.DUMMYFUNCTION("""COMPUTED_VALUE"""),"Lentes de STOCK")</f>
        <v>Lentes de STOCK</v>
      </c>
      <c r="E169" s="1" t="str">
        <f>IFERROR(__xludf.DUMMYFUNCTION("""COMPUTED_VALUE"""),"ARTIGAS Ivana P.")</f>
        <v>ARTIGAS Ivana P.</v>
      </c>
      <c r="F169" s="1" t="str">
        <f t="shared" si="1"/>
        <v>ARTIGAS </v>
      </c>
      <c r="G169" s="1" t="str">
        <f t="shared" si="2"/>
        <v>Ivana P.</v>
      </c>
      <c r="H169" s="1" t="str">
        <f>IFERROR(__xludf.DUMMYFUNCTION("""COMPUTED_VALUE"""),"11/1/2023, 17:00:00")</f>
        <v>11/1/2023, 17:00:00</v>
      </c>
      <c r="I169" s="1" t="str">
        <f>IFERROR(__xludf.DUMMYFUNCTION("""COMPUTED_VALUE"""),"RETIRADO OK POR CLIENTE")</f>
        <v>RETIRADO OK POR CLIENTE</v>
      </c>
      <c r="J169" s="1">
        <f t="shared" si="3"/>
        <v>6</v>
      </c>
      <c r="K169" s="1" t="str">
        <f t="shared" si="4"/>
        <v>Entregamos tus lentes, que los disfrutes!</v>
      </c>
    </row>
    <row r="170">
      <c r="A170" s="1">
        <f>IFERROR(__xludf.DUMMYFUNCTION("""COMPUTED_VALUE"""),84721.0)</f>
        <v>84721</v>
      </c>
      <c r="B170" s="5">
        <f>IFERROR(__xludf.DUMMYFUNCTION("""COMPUTED_VALUE"""),44932.53748375)</f>
        <v>44932.53748</v>
      </c>
      <c r="C170" s="1" t="str">
        <f>IFERROR(__xludf.DUMMYFUNCTION("""COMPUTED_VALUE"""),"Correa Solei")</f>
        <v>Correa Solei</v>
      </c>
      <c r="D170" s="1" t="str">
        <f>IFERROR(__xludf.DUMMYFUNCTION("""COMPUTED_VALUE"""),"Lentes de STOCK")</f>
        <v>Lentes de STOCK</v>
      </c>
      <c r="E170" s="1" t="str">
        <f>IFERROR(__xludf.DUMMYFUNCTION("""COMPUTED_VALUE"""),"RIVADAVIA Rocio B")</f>
        <v>RIVADAVIA Rocio B</v>
      </c>
      <c r="F170" s="1" t="str">
        <f t="shared" si="1"/>
        <v>RIVADAVIA </v>
      </c>
      <c r="G170" s="1" t="str">
        <f t="shared" si="2"/>
        <v>Rocio B</v>
      </c>
      <c r="H170" s="1" t="str">
        <f>IFERROR(__xludf.DUMMYFUNCTION("""COMPUTED_VALUE"""),"13/1/2023, 17:00:00")</f>
        <v>13/1/2023, 17:00:00</v>
      </c>
      <c r="I170" s="1" t="str">
        <f>IFERROR(__xludf.DUMMYFUNCTION("""COMPUTED_VALUE"""),"Completado en SUCURSAL")</f>
        <v>Completado en SUCURSAL</v>
      </c>
      <c r="J170" s="1">
        <f t="shared" si="3"/>
        <v>5</v>
      </c>
      <c r="K170" s="1" t="str">
        <f t="shared" si="4"/>
        <v>Tus Lentes estan LISTAS PARA ENTREGAR, te esperamos.</v>
      </c>
    </row>
    <row r="171">
      <c r="A171" s="1">
        <f>IFERROR(__xludf.DUMMYFUNCTION("""COMPUTED_VALUE"""),84722.0)</f>
        <v>84722</v>
      </c>
      <c r="B171" s="5">
        <f>IFERROR(__xludf.DUMMYFUNCTION("""COMPUTED_VALUE"""),44932.54245335648)</f>
        <v>44932.54245</v>
      </c>
      <c r="C171" s="1" t="str">
        <f>IFERROR(__xludf.DUMMYFUNCTION("""COMPUTED_VALUE"""),"BARBEITO GUSTAVO")</f>
        <v>BARBEITO GUSTAVO</v>
      </c>
      <c r="D171" s="1" t="str">
        <f>IFERROR(__xludf.DUMMYFUNCTION("""COMPUTED_VALUE"""),"Lentes de STOCK")</f>
        <v>Lentes de STOCK</v>
      </c>
      <c r="E171" s="1" t="str">
        <f>IFERROR(__xludf.DUMMYFUNCTION("""COMPUTED_VALUE"""),"RIVADAVIA Daniel CM")</f>
        <v>RIVADAVIA Daniel CM</v>
      </c>
      <c r="F171" s="1" t="str">
        <f t="shared" si="1"/>
        <v>RIVADAVIA </v>
      </c>
      <c r="G171" s="1" t="str">
        <f t="shared" si="2"/>
        <v>Daniel CM</v>
      </c>
      <c r="H171" s="1" t="str">
        <f>IFERROR(__xludf.DUMMYFUNCTION("""COMPUTED_VALUE"""),"12/1/2023, 17:00:00")</f>
        <v>12/1/2023, 17:00:00</v>
      </c>
      <c r="I171" s="1" t="str">
        <f>IFERROR(__xludf.DUMMYFUNCTION("""COMPUTED_VALUE"""),"RETIRADO OK POR CLIENTE")</f>
        <v>RETIRADO OK POR CLIENTE</v>
      </c>
      <c r="J171" s="1">
        <f t="shared" si="3"/>
        <v>6</v>
      </c>
      <c r="K171" s="1" t="str">
        <f t="shared" si="4"/>
        <v>Entregamos tus lentes, que los disfrutes!</v>
      </c>
    </row>
    <row r="172">
      <c r="A172" s="1">
        <f>IFERROR(__xludf.DUMMYFUNCTION("""COMPUTED_VALUE"""),84723.0)</f>
        <v>84723</v>
      </c>
      <c r="B172" s="5">
        <f>IFERROR(__xludf.DUMMYFUNCTION("""COMPUTED_VALUE"""),44932.54339990741)</f>
        <v>44932.5434</v>
      </c>
      <c r="C172" s="1" t="str">
        <f>IFERROR(__xludf.DUMMYFUNCTION("""COMPUTED_VALUE"""),"Pardo Iris Liliana")</f>
        <v>Pardo Iris Liliana</v>
      </c>
      <c r="D172" s="1" t="str">
        <f>IFERROR(__xludf.DUMMYFUNCTION("""COMPUTED_VALUE"""),"Lentes de STOCK")</f>
        <v>Lentes de STOCK</v>
      </c>
      <c r="E172" s="1" t="str">
        <f>IFERROR(__xludf.DUMMYFUNCTION("""COMPUTED_VALUE"""),"RIVADAVIA Rocio B")</f>
        <v>RIVADAVIA Rocio B</v>
      </c>
      <c r="F172" s="1" t="str">
        <f t="shared" si="1"/>
        <v>RIVADAVIA </v>
      </c>
      <c r="G172" s="1" t="str">
        <f t="shared" si="2"/>
        <v>Rocio B</v>
      </c>
      <c r="H172" s="1" t="str">
        <f>IFERROR(__xludf.DUMMYFUNCTION("""COMPUTED_VALUE"""),"12/1/2023, 17:00:00")</f>
        <v>12/1/2023, 17:00:00</v>
      </c>
      <c r="I172" s="1" t="str">
        <f>IFERROR(__xludf.DUMMYFUNCTION("""COMPUTED_VALUE"""),"RETIRADO OK POR CLIENTE")</f>
        <v>RETIRADO OK POR CLIENTE</v>
      </c>
      <c r="J172" s="1">
        <f t="shared" si="3"/>
        <v>6</v>
      </c>
      <c r="K172" s="1" t="str">
        <f t="shared" si="4"/>
        <v>Entregamos tus lentes, que los disfrutes!</v>
      </c>
    </row>
    <row r="173">
      <c r="A173" s="1">
        <f>IFERROR(__xludf.DUMMYFUNCTION("""COMPUTED_VALUE"""),84724.0)</f>
        <v>84724</v>
      </c>
      <c r="B173" s="5">
        <f>IFERROR(__xludf.DUMMYFUNCTION("""COMPUTED_VALUE"""),44932.54731097222)</f>
        <v>44932.54731</v>
      </c>
      <c r="C173" s="1" t="str">
        <f>IFERROR(__xludf.DUMMYFUNCTION("""COMPUTED_VALUE"""),"PERICINOTO JUAN")</f>
        <v>PERICINOTO JUAN</v>
      </c>
      <c r="D173" s="1" t="str">
        <f>IFERROR(__xludf.DUMMYFUNCTION("""COMPUTED_VALUE"""),"Reparaciones/Otros")</f>
        <v>Reparaciones/Otros</v>
      </c>
      <c r="E173" s="1" t="str">
        <f>IFERROR(__xludf.DUMMYFUNCTION("""COMPUTED_VALUE"""),"RIVADAVIA Daniel CM")</f>
        <v>RIVADAVIA Daniel CM</v>
      </c>
      <c r="F173" s="1" t="str">
        <f t="shared" si="1"/>
        <v>RIVADAVIA </v>
      </c>
      <c r="G173" s="1" t="str">
        <f t="shared" si="2"/>
        <v>Daniel CM</v>
      </c>
      <c r="H173" s="1" t="str">
        <f>IFERROR(__xludf.DUMMYFUNCTION("""COMPUTED_VALUE"""),"7/1/2023, 17:00:00")</f>
        <v>7/1/2023, 17:00:00</v>
      </c>
      <c r="I173" s="1" t="str">
        <f>IFERROR(__xludf.DUMMYFUNCTION("""COMPUTED_VALUE"""),"Completado en SUCURSAL")</f>
        <v>Completado en SUCURSAL</v>
      </c>
      <c r="J173" s="1">
        <f t="shared" si="3"/>
        <v>5</v>
      </c>
      <c r="K173" s="1" t="str">
        <f t="shared" si="4"/>
        <v>Tus Lentes estan LISTAS PARA ENTREGAR, te esperamos.</v>
      </c>
    </row>
    <row r="174">
      <c r="A174" s="1">
        <f>IFERROR(__xludf.DUMMYFUNCTION("""COMPUTED_VALUE"""),84725.0)</f>
        <v>84725</v>
      </c>
      <c r="B174" s="5">
        <f>IFERROR(__xludf.DUMMYFUNCTION("""COMPUTED_VALUE"""),44932.7170624537)</f>
        <v>44932.71706</v>
      </c>
      <c r="C174" s="1" t="str">
        <f>IFERROR(__xludf.DUMMYFUNCTION("""COMPUTED_VALUE"""),"OROZCO TERESITA")</f>
        <v>OROZCO TERESITA</v>
      </c>
      <c r="D174" s="1" t="str">
        <f>IFERROR(__xludf.DUMMYFUNCTION("""COMPUTED_VALUE"""),"Lentes de STOCK")</f>
        <v>Lentes de STOCK</v>
      </c>
      <c r="E174" s="1" t="str">
        <f>IFERROR(__xludf.DUMMYFUNCTION("""COMPUTED_VALUE"""),"RIVADAVIA Marcela L")</f>
        <v>RIVADAVIA Marcela L</v>
      </c>
      <c r="F174" s="1" t="str">
        <f t="shared" si="1"/>
        <v>RIVADAVIA </v>
      </c>
      <c r="G174" s="1" t="str">
        <f t="shared" si="2"/>
        <v>Marcela L</v>
      </c>
      <c r="H174" s="1" t="str">
        <f>IFERROR(__xludf.DUMMYFUNCTION("""COMPUTED_VALUE"""),"10/1/2023, 17:00:00")</f>
        <v>10/1/2023, 17:00:00</v>
      </c>
      <c r="I174" s="1" t="str">
        <f>IFERROR(__xludf.DUMMYFUNCTION("""COMPUTED_VALUE"""),"RETIRADO OK POR CLIENTE")</f>
        <v>RETIRADO OK POR CLIENTE</v>
      </c>
      <c r="J174" s="1">
        <f t="shared" si="3"/>
        <v>6</v>
      </c>
      <c r="K174" s="1" t="str">
        <f t="shared" si="4"/>
        <v>Entregamos tus lentes, que los disfrutes!</v>
      </c>
    </row>
    <row r="175">
      <c r="A175" s="1">
        <f>IFERROR(__xludf.DUMMYFUNCTION("""COMPUTED_VALUE"""),84726.0)</f>
        <v>84726</v>
      </c>
      <c r="B175" s="5">
        <f>IFERROR(__xludf.DUMMYFUNCTION("""COMPUTED_VALUE"""),44932.72038773148)</f>
        <v>44932.72039</v>
      </c>
      <c r="C175" s="1" t="str">
        <f>IFERROR(__xludf.DUMMYFUNCTION("""COMPUTED_VALUE"""),"MARIO")</f>
        <v>MARIO</v>
      </c>
      <c r="D175" s="1" t="str">
        <f>IFERROR(__xludf.DUMMYFUNCTION("""COMPUTED_VALUE"""),"Reparaciones/Otros")</f>
        <v>Reparaciones/Otros</v>
      </c>
      <c r="E175" s="1" t="str">
        <f>IFERROR(__xludf.DUMMYFUNCTION("""COMPUTED_VALUE"""),"ARTIGAS Celina")</f>
        <v>ARTIGAS Celina</v>
      </c>
      <c r="F175" s="1" t="str">
        <f t="shared" si="1"/>
        <v>ARTIGAS </v>
      </c>
      <c r="G175" s="1" t="str">
        <f t="shared" si="2"/>
        <v>Celina</v>
      </c>
      <c r="H175" s="1" t="str">
        <f>IFERROR(__xludf.DUMMYFUNCTION("""COMPUTED_VALUE"""),"7/1/2023, 17:00:00")</f>
        <v>7/1/2023, 17:00:00</v>
      </c>
      <c r="I175" s="1" t="str">
        <f>IFERROR(__xludf.DUMMYFUNCTION("""COMPUTED_VALUE"""),"Recibido en Laboratorio")</f>
        <v>Recibido en Laboratorio</v>
      </c>
      <c r="J175" s="1">
        <f t="shared" si="3"/>
        <v>2</v>
      </c>
      <c r="K175" s="1" t="str">
        <f t="shared" si="4"/>
        <v>Nuestro Laboratorio esta trabajando en tus lentes, los entregaremos en la fecha acordada.</v>
      </c>
    </row>
    <row r="176">
      <c r="A176" s="1">
        <f>IFERROR(__xludf.DUMMYFUNCTION("""COMPUTED_VALUE"""),84727.0)</f>
        <v>84727</v>
      </c>
      <c r="B176" s="5">
        <f>IFERROR(__xludf.DUMMYFUNCTION("""COMPUTED_VALUE"""),44932.72249863426)</f>
        <v>44932.7225</v>
      </c>
      <c r="C176" s="1" t="str">
        <f>IFERROR(__xludf.DUMMYFUNCTION("""COMPUTED_VALUE"""),"GOMEZ CARLOS")</f>
        <v>GOMEZ CARLOS</v>
      </c>
      <c r="D176" s="1" t="str">
        <f>IFERROR(__xludf.DUMMYFUNCTION("""COMPUTED_VALUE"""),"Lentes MULTIFOCALES")</f>
        <v>Lentes MULTIFOCALES</v>
      </c>
      <c r="E176" s="1" t="str">
        <f>IFERROR(__xludf.DUMMYFUNCTION("""COMPUTED_VALUE"""),"ARTIGAS Ivana P.")</f>
        <v>ARTIGAS Ivana P.</v>
      </c>
      <c r="F176" s="1" t="str">
        <f t="shared" si="1"/>
        <v>ARTIGAS </v>
      </c>
      <c r="G176" s="1" t="str">
        <f t="shared" si="2"/>
        <v>Ivana P.</v>
      </c>
      <c r="H176" s="1" t="str">
        <f>IFERROR(__xludf.DUMMYFUNCTION("""COMPUTED_VALUE"""),"20/1/2023, 17:00:00")</f>
        <v>20/1/2023, 17:00:00</v>
      </c>
      <c r="I176" s="1" t="str">
        <f>IFERROR(__xludf.DUMMYFUNCTION("""COMPUTED_VALUE"""),"En Armado Hoy")</f>
        <v>En Armado Hoy</v>
      </c>
      <c r="J176" s="1">
        <f t="shared" si="3"/>
        <v>3</v>
      </c>
      <c r="K176" s="1" t="str">
        <f t="shared" si="4"/>
        <v>Estamos terminando los ultimos detalles de tus lentes, los terminaremos el dia de hoy.</v>
      </c>
    </row>
    <row r="177">
      <c r="A177" s="1">
        <f>IFERROR(__xludf.DUMMYFUNCTION("""COMPUTED_VALUE"""),84728.0)</f>
        <v>84728</v>
      </c>
      <c r="B177" s="5">
        <f>IFERROR(__xludf.DUMMYFUNCTION("""COMPUTED_VALUE"""),44932.74187621528)</f>
        <v>44932.74188</v>
      </c>
      <c r="C177" s="1" t="str">
        <f>IFERROR(__xludf.DUMMYFUNCTION("""COMPUTED_VALUE"""),"GUERRERO ROSA")</f>
        <v>GUERRERO ROSA</v>
      </c>
      <c r="D177" s="1" t="str">
        <f>IFERROR(__xludf.DUMMYFUNCTION("""COMPUTED_VALUE"""),"Lentes de STOCK")</f>
        <v>Lentes de STOCK</v>
      </c>
      <c r="E177" s="1" t="str">
        <f>IFERROR(__xludf.DUMMYFUNCTION("""COMPUTED_VALUE"""),"ARTIGAS Ivana P.")</f>
        <v>ARTIGAS Ivana P.</v>
      </c>
      <c r="F177" s="1" t="str">
        <f t="shared" si="1"/>
        <v>ARTIGAS </v>
      </c>
      <c r="G177" s="1" t="str">
        <f t="shared" si="2"/>
        <v>Ivana P.</v>
      </c>
      <c r="H177" s="1" t="str">
        <f>IFERROR(__xludf.DUMMYFUNCTION("""COMPUTED_VALUE"""),"11/1/2023, 17:00:00")</f>
        <v>11/1/2023, 17:00:00</v>
      </c>
      <c r="I177" s="1" t="str">
        <f>IFERROR(__xludf.DUMMYFUNCTION("""COMPUTED_VALUE"""),"RETIRADO OK POR CLIENTE")</f>
        <v>RETIRADO OK POR CLIENTE</v>
      </c>
      <c r="J177" s="1">
        <f t="shared" si="3"/>
        <v>6</v>
      </c>
      <c r="K177" s="1" t="str">
        <f t="shared" si="4"/>
        <v>Entregamos tus lentes, que los disfrutes!</v>
      </c>
    </row>
    <row r="178">
      <c r="A178" s="1">
        <f>IFERROR(__xludf.DUMMYFUNCTION("""COMPUTED_VALUE"""),84729.0)</f>
        <v>84729</v>
      </c>
      <c r="B178" s="5">
        <f>IFERROR(__xludf.DUMMYFUNCTION("""COMPUTED_VALUE"""),44932.748316446756)</f>
        <v>44932.74832</v>
      </c>
      <c r="C178" s="1" t="str">
        <f>IFERROR(__xludf.DUMMYFUNCTION("""COMPUTED_VALUE"""),"CELI TERESA INES")</f>
        <v>CELI TERESA INES</v>
      </c>
      <c r="D178" s="1" t="str">
        <f>IFERROR(__xludf.DUMMYFUNCTION("""COMPUTED_VALUE"""),"Lentes de STOCK")</f>
        <v>Lentes de STOCK</v>
      </c>
      <c r="E178" s="1" t="str">
        <f>IFERROR(__xludf.DUMMYFUNCTION("""COMPUTED_VALUE"""),"ARTIGAS Cristian C.")</f>
        <v>ARTIGAS Cristian C.</v>
      </c>
      <c r="F178" s="1" t="str">
        <f t="shared" si="1"/>
        <v>ARTIGAS </v>
      </c>
      <c r="G178" s="1" t="str">
        <f t="shared" si="2"/>
        <v>Cristian C.</v>
      </c>
      <c r="H178" s="1" t="str">
        <f>IFERROR(__xludf.DUMMYFUNCTION("""COMPUTED_VALUE"""),"13/1/2023, 17:00:00")</f>
        <v>13/1/2023, 17:00:00</v>
      </c>
      <c r="I178" s="1" t="str">
        <f>IFERROR(__xludf.DUMMYFUNCTION("""COMPUTED_VALUE"""),"En Armado Hoy")</f>
        <v>En Armado Hoy</v>
      </c>
      <c r="J178" s="1">
        <f t="shared" si="3"/>
        <v>3</v>
      </c>
      <c r="K178" s="1" t="str">
        <f t="shared" si="4"/>
        <v>Estamos terminando los ultimos detalles de tus lentes, los terminaremos el dia de hoy.</v>
      </c>
    </row>
    <row r="179">
      <c r="A179" s="1">
        <f>IFERROR(__xludf.DUMMYFUNCTION("""COMPUTED_VALUE"""),84730.0)</f>
        <v>84730</v>
      </c>
      <c r="B179" s="5">
        <f>IFERROR(__xludf.DUMMYFUNCTION("""COMPUTED_VALUE"""),44932.756891805555)</f>
        <v>44932.75689</v>
      </c>
      <c r="C179" s="1" t="str">
        <f>IFERROR(__xludf.DUMMYFUNCTION("""COMPUTED_VALUE"""),"ORMEÑO NAHUEL")</f>
        <v>ORMEÑO NAHUEL</v>
      </c>
      <c r="D179" s="1" t="str">
        <f>IFERROR(__xludf.DUMMYFUNCTION("""COMPUTED_VALUE"""),"Lentes de STOCK")</f>
        <v>Lentes de STOCK</v>
      </c>
      <c r="E179" s="1" t="str">
        <f>IFERROR(__xludf.DUMMYFUNCTION("""COMPUTED_VALUE"""),"RIVADAVIA Luciana")</f>
        <v>RIVADAVIA Luciana</v>
      </c>
      <c r="F179" s="1" t="str">
        <f t="shared" si="1"/>
        <v>RIVADAVIA </v>
      </c>
      <c r="G179" s="1" t="str">
        <f t="shared" si="2"/>
        <v>Luciana</v>
      </c>
      <c r="H179" s="1" t="str">
        <f>IFERROR(__xludf.DUMMYFUNCTION("""COMPUTED_VALUE"""),"12/1/2023, 17:00:00")</f>
        <v>12/1/2023, 17:00:00</v>
      </c>
      <c r="I179" s="1"/>
      <c r="J179" s="1">
        <f t="shared" si="3"/>
        <v>0</v>
      </c>
      <c r="K179" s="1" t="str">
        <f t="shared" si="4"/>
        <v/>
      </c>
    </row>
    <row r="180">
      <c r="A180" s="1">
        <f>IFERROR(__xludf.DUMMYFUNCTION("""COMPUTED_VALUE"""),84731.0)</f>
        <v>84731</v>
      </c>
      <c r="B180" s="5">
        <f>IFERROR(__xludf.DUMMYFUNCTION("""COMPUTED_VALUE"""),44932.75852861111)</f>
        <v>44932.75853</v>
      </c>
      <c r="C180" s="1" t="str">
        <f>IFERROR(__xludf.DUMMYFUNCTION("""COMPUTED_VALUE"""),"ORMEÑO NAHUEL")</f>
        <v>ORMEÑO NAHUEL</v>
      </c>
      <c r="D180" s="1" t="str">
        <f>IFERROR(__xludf.DUMMYFUNCTION("""COMPUTED_VALUE"""),"Lentes de STOCK")</f>
        <v>Lentes de STOCK</v>
      </c>
      <c r="E180" s="1" t="str">
        <f>IFERROR(__xludf.DUMMYFUNCTION("""COMPUTED_VALUE"""),"RIVADAVIA Luciana")</f>
        <v>RIVADAVIA Luciana</v>
      </c>
      <c r="F180" s="1" t="str">
        <f t="shared" si="1"/>
        <v>RIVADAVIA </v>
      </c>
      <c r="G180" s="1" t="str">
        <f t="shared" si="2"/>
        <v>Luciana</v>
      </c>
      <c r="H180" s="1" t="str">
        <f>IFERROR(__xludf.DUMMYFUNCTION("""COMPUTED_VALUE"""),"12/1/2023, 17:00:00")</f>
        <v>12/1/2023, 17:00:00</v>
      </c>
      <c r="I180" s="1" t="str">
        <f>IFERROR(__xludf.DUMMYFUNCTION("""COMPUTED_VALUE"""),"RETIRADO OK POR CLIENTE")</f>
        <v>RETIRADO OK POR CLIENTE</v>
      </c>
      <c r="J180" s="1">
        <f t="shared" si="3"/>
        <v>6</v>
      </c>
      <c r="K180" s="1" t="str">
        <f t="shared" si="4"/>
        <v>Entregamos tus lentes, que los disfrutes!</v>
      </c>
    </row>
    <row r="181">
      <c r="A181" s="1">
        <f>IFERROR(__xludf.DUMMYFUNCTION("""COMPUTED_VALUE"""),84732.0)</f>
        <v>84732</v>
      </c>
      <c r="B181" s="5">
        <f>IFERROR(__xludf.DUMMYFUNCTION("""COMPUTED_VALUE"""),44932.761938310185)</f>
        <v>44932.76194</v>
      </c>
      <c r="C181" s="1" t="str">
        <f>IFERROR(__xludf.DUMMYFUNCTION("""COMPUTED_VALUE"""),"CAROSSIO ANA PAULA")</f>
        <v>CAROSSIO ANA PAULA</v>
      </c>
      <c r="D181" s="1" t="str">
        <f>IFERROR(__xludf.DUMMYFUNCTION("""COMPUTED_VALUE"""),"Lentes de STOCK")</f>
        <v>Lentes de STOCK</v>
      </c>
      <c r="E181" s="1" t="str">
        <f>IFERROR(__xludf.DUMMYFUNCTION("""COMPUTED_VALUE"""),"RIVADAVIA Javier")</f>
        <v>RIVADAVIA Javier</v>
      </c>
      <c r="F181" s="1" t="str">
        <f t="shared" si="1"/>
        <v>RIVADAVIA </v>
      </c>
      <c r="G181" s="1" t="str">
        <f t="shared" si="2"/>
        <v>Javier</v>
      </c>
      <c r="H181" s="1" t="str">
        <f>IFERROR(__xludf.DUMMYFUNCTION("""COMPUTED_VALUE"""),"11/1/2023, 17:00:00")</f>
        <v>11/1/2023, 17:00:00</v>
      </c>
      <c r="I181" s="1" t="str">
        <f>IFERROR(__xludf.DUMMYFUNCTION("""COMPUTED_VALUE"""),"RETIRADO OK POR CLIENTE")</f>
        <v>RETIRADO OK POR CLIENTE</v>
      </c>
      <c r="J181" s="1">
        <f t="shared" si="3"/>
        <v>6</v>
      </c>
      <c r="K181" s="1" t="str">
        <f t="shared" si="4"/>
        <v>Entregamos tus lentes, que los disfrutes!</v>
      </c>
    </row>
    <row r="182">
      <c r="A182" s="1">
        <f>IFERROR(__xludf.DUMMYFUNCTION("""COMPUTED_VALUE"""),84733.0)</f>
        <v>84733</v>
      </c>
      <c r="B182" s="5">
        <f>IFERROR(__xludf.DUMMYFUNCTION("""COMPUTED_VALUE"""),44932.776978634254)</f>
        <v>44932.77698</v>
      </c>
      <c r="C182" s="1" t="str">
        <f>IFERROR(__xludf.DUMMYFUNCTION("""COMPUTED_VALUE"""),"NAVARRO MARIA DEL CARMEN")</f>
        <v>NAVARRO MARIA DEL CARMEN</v>
      </c>
      <c r="D182" s="1" t="str">
        <f>IFERROR(__xludf.DUMMYFUNCTION("""COMPUTED_VALUE"""),"Lentes MULTIFOCALES")</f>
        <v>Lentes MULTIFOCALES</v>
      </c>
      <c r="E182" s="1" t="str">
        <f>IFERROR(__xludf.DUMMYFUNCTION("""COMPUTED_VALUE"""),"RIVADAVIA Marcela L")</f>
        <v>RIVADAVIA Marcela L</v>
      </c>
      <c r="F182" s="1" t="str">
        <f t="shared" si="1"/>
        <v>RIVADAVIA </v>
      </c>
      <c r="G182" s="1" t="str">
        <f t="shared" si="2"/>
        <v>Marcela L</v>
      </c>
      <c r="H182" s="1" t="str">
        <f>IFERROR(__xludf.DUMMYFUNCTION("""COMPUTED_VALUE"""),"20/1/2023, 17:00:00")</f>
        <v>20/1/2023, 17:00:00</v>
      </c>
      <c r="I182" s="1" t="str">
        <f>IFERROR(__xludf.DUMMYFUNCTION("""COMPUTED_VALUE"""),"Completado en SUCURSAL")</f>
        <v>Completado en SUCURSAL</v>
      </c>
      <c r="J182" s="1">
        <f t="shared" si="3"/>
        <v>5</v>
      </c>
      <c r="K182" s="1" t="str">
        <f t="shared" si="4"/>
        <v>Tus Lentes estan LISTAS PARA ENTREGAR, te esperamos.</v>
      </c>
    </row>
    <row r="183">
      <c r="A183" s="1">
        <f>IFERROR(__xludf.DUMMYFUNCTION("""COMPUTED_VALUE"""),84734.0)</f>
        <v>84734</v>
      </c>
      <c r="B183" s="5">
        <f>IFERROR(__xludf.DUMMYFUNCTION("""COMPUTED_VALUE"""),44932.78102850694)</f>
        <v>44932.78103</v>
      </c>
      <c r="C183" s="1" t="str">
        <f>IFERROR(__xludf.DUMMYFUNCTION("""COMPUTED_VALUE"""),"QUEVEDO ANA DEL CARMEN")</f>
        <v>QUEVEDO ANA DEL CARMEN</v>
      </c>
      <c r="D183" s="1" t="str">
        <f>IFERROR(__xludf.DUMMYFUNCTION("""COMPUTED_VALUE"""),"Reparaciones/Otros")</f>
        <v>Reparaciones/Otros</v>
      </c>
      <c r="E183" s="1" t="str">
        <f>IFERROR(__xludf.DUMMYFUNCTION("""COMPUTED_VALUE"""),"RIVADAVIA Luciana")</f>
        <v>RIVADAVIA Luciana</v>
      </c>
      <c r="F183" s="1" t="str">
        <f t="shared" si="1"/>
        <v>RIVADAVIA </v>
      </c>
      <c r="G183" s="1" t="str">
        <f t="shared" si="2"/>
        <v>Luciana</v>
      </c>
      <c r="H183" s="1" t="str">
        <f>IFERROR(__xludf.DUMMYFUNCTION("""COMPUTED_VALUE"""),"9/1/2023, 17:00:00")</f>
        <v>9/1/2023, 17:00:00</v>
      </c>
      <c r="I183" s="1" t="str">
        <f>IFERROR(__xludf.DUMMYFUNCTION("""COMPUTED_VALUE"""),"Completado en SUCURSAL")</f>
        <v>Completado en SUCURSAL</v>
      </c>
      <c r="J183" s="1">
        <f t="shared" si="3"/>
        <v>5</v>
      </c>
      <c r="K183" s="1" t="str">
        <f t="shared" si="4"/>
        <v>Tus Lentes estan LISTAS PARA ENTREGAR, te esperamos.</v>
      </c>
    </row>
    <row r="184">
      <c r="A184" s="1">
        <f>IFERROR(__xludf.DUMMYFUNCTION("""COMPUTED_VALUE"""),84735.0)</f>
        <v>84735</v>
      </c>
      <c r="B184" s="5">
        <f>IFERROR(__xludf.DUMMYFUNCTION("""COMPUTED_VALUE"""),44932.78622918982)</f>
        <v>44932.78623</v>
      </c>
      <c r="C184" s="1" t="str">
        <f>IFERROR(__xludf.DUMMYFUNCTION("""COMPUTED_VALUE"""),"SUAREZ DIGENARO MARCELO")</f>
        <v>SUAREZ DIGENARO MARCELO</v>
      </c>
      <c r="D184" s="1" t="str">
        <f>IFERROR(__xludf.DUMMYFUNCTION("""COMPUTED_VALUE"""),"Lentes de STOCK")</f>
        <v>Lentes de STOCK</v>
      </c>
      <c r="E184" s="1" t="str">
        <f>IFERROR(__xludf.DUMMYFUNCTION("""COMPUTED_VALUE"""),"ARTIGAS Ivana P.")</f>
        <v>ARTIGAS Ivana P.</v>
      </c>
      <c r="F184" s="1" t="str">
        <f t="shared" si="1"/>
        <v>ARTIGAS </v>
      </c>
      <c r="G184" s="1" t="str">
        <f t="shared" si="2"/>
        <v>Ivana P.</v>
      </c>
      <c r="H184" s="1" t="str">
        <f>IFERROR(__xludf.DUMMYFUNCTION("""COMPUTED_VALUE"""),"9/1/2023, 17:00:00")</f>
        <v>9/1/2023, 17:00:00</v>
      </c>
      <c r="I184" s="1" t="str">
        <f>IFERROR(__xludf.DUMMYFUNCTION("""COMPUTED_VALUE"""),"RETIRADO OK POR CLIENTE")</f>
        <v>RETIRADO OK POR CLIENTE</v>
      </c>
      <c r="J184" s="1">
        <f t="shared" si="3"/>
        <v>6</v>
      </c>
      <c r="K184" s="1" t="str">
        <f t="shared" si="4"/>
        <v>Entregamos tus lentes, que los disfrutes!</v>
      </c>
    </row>
    <row r="185">
      <c r="A185" s="1">
        <f>IFERROR(__xludf.DUMMYFUNCTION("""COMPUTED_VALUE"""),84736.0)</f>
        <v>84736</v>
      </c>
      <c r="B185" s="5">
        <f>IFERROR(__xludf.DUMMYFUNCTION("""COMPUTED_VALUE"""),44932.79094828704)</f>
        <v>44932.79095</v>
      </c>
      <c r="C185" s="1" t="str">
        <f>IFERROR(__xludf.DUMMYFUNCTION("""COMPUTED_VALUE"""),"GLADYS GIMENEZ")</f>
        <v>GLADYS GIMENEZ</v>
      </c>
      <c r="D185" s="1" t="str">
        <f>IFERROR(__xludf.DUMMYFUNCTION("""COMPUTED_VALUE"""),"Reparaciones/Otros")</f>
        <v>Reparaciones/Otros</v>
      </c>
      <c r="E185" s="1" t="str">
        <f>IFERROR(__xludf.DUMMYFUNCTION("""COMPUTED_VALUE"""),"ARTIGAS Celina")</f>
        <v>ARTIGAS Celina</v>
      </c>
      <c r="F185" s="1" t="str">
        <f t="shared" si="1"/>
        <v>ARTIGAS </v>
      </c>
      <c r="G185" s="1" t="str">
        <f t="shared" si="2"/>
        <v>Celina</v>
      </c>
      <c r="H185" s="1" t="str">
        <f>IFERROR(__xludf.DUMMYFUNCTION("""COMPUTED_VALUE"""),"7/1/2023, 17:00:00")</f>
        <v>7/1/2023, 17:00:00</v>
      </c>
      <c r="I185" s="1" t="str">
        <f>IFERROR(__xludf.DUMMYFUNCTION("""COMPUTED_VALUE"""),"Recibido en Laboratorio")</f>
        <v>Recibido en Laboratorio</v>
      </c>
      <c r="J185" s="1">
        <f t="shared" si="3"/>
        <v>2</v>
      </c>
      <c r="K185" s="1" t="str">
        <f t="shared" si="4"/>
        <v>Nuestro Laboratorio esta trabajando en tus lentes, los entregaremos en la fecha acordada.</v>
      </c>
    </row>
    <row r="186">
      <c r="A186" s="1">
        <f>IFERROR(__xludf.DUMMYFUNCTION("""COMPUTED_VALUE"""),84737.0)</f>
        <v>84737</v>
      </c>
      <c r="B186" s="5">
        <f>IFERROR(__xludf.DUMMYFUNCTION("""COMPUTED_VALUE"""),44932.79186960648)</f>
        <v>44932.79187</v>
      </c>
      <c r="C186" s="1" t="str">
        <f>IFERROR(__xludf.DUMMYFUNCTION("""COMPUTED_VALUE"""),"ALCARAZ DOMINGO")</f>
        <v>ALCARAZ DOMINGO</v>
      </c>
      <c r="D186" s="1" t="str">
        <f>IFERROR(__xludf.DUMMYFUNCTION("""COMPUTED_VALUE"""),"Lentes de STOCK")</f>
        <v>Lentes de STOCK</v>
      </c>
      <c r="E186" s="1" t="str">
        <f>IFERROR(__xludf.DUMMYFUNCTION("""COMPUTED_VALUE"""),"RIVADAVIA Marcela L")</f>
        <v>RIVADAVIA Marcela L</v>
      </c>
      <c r="F186" s="1" t="str">
        <f t="shared" si="1"/>
        <v>RIVADAVIA </v>
      </c>
      <c r="G186" s="1" t="str">
        <f t="shared" si="2"/>
        <v>Marcela L</v>
      </c>
      <c r="H186" s="1" t="str">
        <f>IFERROR(__xludf.DUMMYFUNCTION("""COMPUTED_VALUE"""),"10/1/2023, 17:00:00")</f>
        <v>10/1/2023, 17:00:00</v>
      </c>
      <c r="I186" s="1" t="str">
        <f>IFERROR(__xludf.DUMMYFUNCTION("""COMPUTED_VALUE"""),"RETIRADO OK POR CLIENTE")</f>
        <v>RETIRADO OK POR CLIENTE</v>
      </c>
      <c r="J186" s="1">
        <f t="shared" si="3"/>
        <v>6</v>
      </c>
      <c r="K186" s="1" t="str">
        <f t="shared" si="4"/>
        <v>Entregamos tus lentes, que los disfrutes!</v>
      </c>
    </row>
    <row r="187">
      <c r="A187" s="1">
        <f>IFERROR(__xludf.DUMMYFUNCTION("""COMPUTED_VALUE"""),84738.0)</f>
        <v>84738</v>
      </c>
      <c r="B187" s="5">
        <f>IFERROR(__xludf.DUMMYFUNCTION("""COMPUTED_VALUE"""),44932.80233666667)</f>
        <v>44932.80234</v>
      </c>
      <c r="C187" s="1" t="str">
        <f>IFERROR(__xludf.DUMMYFUNCTION("""COMPUTED_VALUE"""),"MAGALLANES NOEMI MARCELA ")</f>
        <v>MAGALLANES NOEMI MARCELA </v>
      </c>
      <c r="D187" s="1" t="str">
        <f>IFERROR(__xludf.DUMMYFUNCTION("""COMPUTED_VALUE"""),"Lentes de STOCK")</f>
        <v>Lentes de STOCK</v>
      </c>
      <c r="E187" s="1" t="str">
        <f>IFERROR(__xludf.DUMMYFUNCTION("""COMPUTED_VALUE"""),"RIVADAVIA Javier")</f>
        <v>RIVADAVIA Javier</v>
      </c>
      <c r="F187" s="1" t="str">
        <f t="shared" si="1"/>
        <v>RIVADAVIA </v>
      </c>
      <c r="G187" s="1" t="str">
        <f t="shared" si="2"/>
        <v>Javier</v>
      </c>
      <c r="H187" s="1" t="str">
        <f>IFERROR(__xludf.DUMMYFUNCTION("""COMPUTED_VALUE"""),"9/1/2023, 17:00:00")</f>
        <v>9/1/2023, 17:00:00</v>
      </c>
      <c r="I187" s="1" t="str">
        <f>IFERROR(__xludf.DUMMYFUNCTION("""COMPUTED_VALUE"""),"Completado en SUCURSAL")</f>
        <v>Completado en SUCURSAL</v>
      </c>
      <c r="J187" s="1">
        <f t="shared" si="3"/>
        <v>5</v>
      </c>
      <c r="K187" s="1" t="str">
        <f t="shared" si="4"/>
        <v>Tus Lentes estan LISTAS PARA ENTREGAR, te esperamos.</v>
      </c>
    </row>
    <row r="188">
      <c r="A188" s="1">
        <f>IFERROR(__xludf.DUMMYFUNCTION("""COMPUTED_VALUE"""),84739.0)</f>
        <v>84739</v>
      </c>
      <c r="B188" s="5">
        <f>IFERROR(__xludf.DUMMYFUNCTION("""COMPUTED_VALUE"""),44932.813428078705)</f>
        <v>44932.81343</v>
      </c>
      <c r="C188" s="1" t="str">
        <f>IFERROR(__xludf.DUMMYFUNCTION("""COMPUTED_VALUE"""),"ZAVALA GUSTAVO FERNANDO")</f>
        <v>ZAVALA GUSTAVO FERNANDO</v>
      </c>
      <c r="D188" s="1" t="str">
        <f>IFERROR(__xludf.DUMMYFUNCTION("""COMPUTED_VALUE"""),"Lentes de STOCK")</f>
        <v>Lentes de STOCK</v>
      </c>
      <c r="E188" s="1" t="str">
        <f>IFERROR(__xludf.DUMMYFUNCTION("""COMPUTED_VALUE"""),"RIVADAVIA Marcela L")</f>
        <v>RIVADAVIA Marcela L</v>
      </c>
      <c r="F188" s="1" t="str">
        <f t="shared" si="1"/>
        <v>RIVADAVIA </v>
      </c>
      <c r="G188" s="1" t="str">
        <f t="shared" si="2"/>
        <v>Marcela L</v>
      </c>
      <c r="H188" s="1" t="str">
        <f>IFERROR(__xludf.DUMMYFUNCTION("""COMPUTED_VALUE"""),"16/1/2023, 17:00:00")</f>
        <v>16/1/2023, 17:00:00</v>
      </c>
      <c r="I188" s="1" t="str">
        <f>IFERROR(__xludf.DUMMYFUNCTION("""COMPUTED_VALUE"""),"RETIRADO OK POR CLIENTE")</f>
        <v>RETIRADO OK POR CLIENTE</v>
      </c>
      <c r="J188" s="1">
        <f t="shared" si="3"/>
        <v>6</v>
      </c>
      <c r="K188" s="1" t="str">
        <f t="shared" si="4"/>
        <v>Entregamos tus lentes, que los disfrutes!</v>
      </c>
    </row>
    <row r="189">
      <c r="A189" s="1">
        <f>IFERROR(__xludf.DUMMYFUNCTION("""COMPUTED_VALUE"""),84740.0)</f>
        <v>84740</v>
      </c>
      <c r="B189" s="5">
        <f>IFERROR(__xludf.DUMMYFUNCTION("""COMPUTED_VALUE"""),44933.40000875)</f>
        <v>44933.40001</v>
      </c>
      <c r="C189" s="1" t="str">
        <f>IFERROR(__xludf.DUMMYFUNCTION("""COMPUTED_VALUE"""),"BENITEZ JOSE")</f>
        <v>BENITEZ JOSE</v>
      </c>
      <c r="D189" s="1" t="str">
        <f>IFERROR(__xludf.DUMMYFUNCTION("""COMPUTED_VALUE"""),"Reparaciones/Otros")</f>
        <v>Reparaciones/Otros</v>
      </c>
      <c r="E189" s="1" t="str">
        <f>IFERROR(__xludf.DUMMYFUNCTION("""COMPUTED_VALUE"""),"RIVADAVIA Javier")</f>
        <v>RIVADAVIA Javier</v>
      </c>
      <c r="F189" s="1" t="str">
        <f t="shared" si="1"/>
        <v>RIVADAVIA </v>
      </c>
      <c r="G189" s="1" t="str">
        <f t="shared" si="2"/>
        <v>Javier</v>
      </c>
      <c r="H189" s="1" t="str">
        <f>IFERROR(__xludf.DUMMYFUNCTION("""COMPUTED_VALUE"""),"9/1/2023, 17:00:00")</f>
        <v>9/1/2023, 17:00:00</v>
      </c>
      <c r="I189" s="1" t="str">
        <f>IFERROR(__xludf.DUMMYFUNCTION("""COMPUTED_VALUE"""),"Completado en SUCURSAL")</f>
        <v>Completado en SUCURSAL</v>
      </c>
      <c r="J189" s="1">
        <f t="shared" si="3"/>
        <v>5</v>
      </c>
      <c r="K189" s="1" t="str">
        <f t="shared" si="4"/>
        <v>Tus Lentes estan LISTAS PARA ENTREGAR, te esperamos.</v>
      </c>
    </row>
    <row r="190">
      <c r="A190" s="1">
        <f>IFERROR(__xludf.DUMMYFUNCTION("""COMPUTED_VALUE"""),84741.0)</f>
        <v>84741</v>
      </c>
      <c r="B190" s="5">
        <f>IFERROR(__xludf.DUMMYFUNCTION("""COMPUTED_VALUE"""),44933.4090840162)</f>
        <v>44933.40908</v>
      </c>
      <c r="C190" s="1" t="str">
        <f>IFERROR(__xludf.DUMMYFUNCTION("""COMPUTED_VALUE"""),"BRITO CRISTINA")</f>
        <v>BRITO CRISTINA</v>
      </c>
      <c r="D190" s="1" t="str">
        <f>IFERROR(__xludf.DUMMYFUNCTION("""COMPUTED_VALUE"""),"Lentes de LABORATORIO")</f>
        <v>Lentes de LABORATORIO</v>
      </c>
      <c r="E190" s="1" t="str">
        <f>IFERROR(__xludf.DUMMYFUNCTION("""COMPUTED_VALUE"""),"ARTIGAS Ivana P.")</f>
        <v>ARTIGAS Ivana P.</v>
      </c>
      <c r="F190" s="1" t="str">
        <f t="shared" si="1"/>
        <v>ARTIGAS </v>
      </c>
      <c r="G190" s="1" t="str">
        <f t="shared" si="2"/>
        <v>Ivana P.</v>
      </c>
      <c r="H190" s="1" t="str">
        <f>IFERROR(__xludf.DUMMYFUNCTION("""COMPUTED_VALUE"""),"17/1/2023, 17:00:00")</f>
        <v>17/1/2023, 17:00:00</v>
      </c>
      <c r="I190" s="1" t="str">
        <f>IFERROR(__xludf.DUMMYFUNCTION("""COMPUTED_VALUE"""),"RETIRADO OK POR CLIENTE")</f>
        <v>RETIRADO OK POR CLIENTE</v>
      </c>
      <c r="J190" s="1">
        <f t="shared" si="3"/>
        <v>6</v>
      </c>
      <c r="K190" s="1" t="str">
        <f t="shared" si="4"/>
        <v>Entregamos tus lentes, que los disfrutes!</v>
      </c>
    </row>
    <row r="191">
      <c r="A191" s="1">
        <f>IFERROR(__xludf.DUMMYFUNCTION("""COMPUTED_VALUE"""),84742.0)</f>
        <v>84742</v>
      </c>
      <c r="B191" s="5">
        <f>IFERROR(__xludf.DUMMYFUNCTION("""COMPUTED_VALUE"""),44933.43269508102)</f>
        <v>44933.4327</v>
      </c>
      <c r="C191" s="1" t="str">
        <f>IFERROR(__xludf.DUMMYFUNCTION("""COMPUTED_VALUE"""),"BUSTOS ROSARIO")</f>
        <v>BUSTOS ROSARIO</v>
      </c>
      <c r="D191" s="1" t="str">
        <f>IFERROR(__xludf.DUMMYFUNCTION("""COMPUTED_VALUE"""),"Lentes de STOCK")</f>
        <v>Lentes de STOCK</v>
      </c>
      <c r="E191" s="1" t="str">
        <f>IFERROR(__xludf.DUMMYFUNCTION("""COMPUTED_VALUE"""),"ARTIGAS Ivana P.")</f>
        <v>ARTIGAS Ivana P.</v>
      </c>
      <c r="F191" s="1" t="str">
        <f t="shared" si="1"/>
        <v>ARTIGAS </v>
      </c>
      <c r="G191" s="1" t="str">
        <f t="shared" si="2"/>
        <v>Ivana P.</v>
      </c>
      <c r="H191" s="1" t="str">
        <f>IFERROR(__xludf.DUMMYFUNCTION("""COMPUTED_VALUE"""),"10/1/2023, 17:00:00")</f>
        <v>10/1/2023, 17:00:00</v>
      </c>
      <c r="I191" s="1" t="str">
        <f>IFERROR(__xludf.DUMMYFUNCTION("""COMPUTED_VALUE"""),"RETIRADO OK POR CLIENTE")</f>
        <v>RETIRADO OK POR CLIENTE</v>
      </c>
      <c r="J191" s="1">
        <f t="shared" si="3"/>
        <v>6</v>
      </c>
      <c r="K191" s="1" t="str">
        <f t="shared" si="4"/>
        <v>Entregamos tus lentes, que los disfrutes!</v>
      </c>
    </row>
    <row r="192">
      <c r="A192" s="1">
        <f>IFERROR(__xludf.DUMMYFUNCTION("""COMPUTED_VALUE"""),84743.0)</f>
        <v>84743</v>
      </c>
      <c r="B192" s="5">
        <f>IFERROR(__xludf.DUMMYFUNCTION("""COMPUTED_VALUE"""),44933.437078703704)</f>
        <v>44933.43708</v>
      </c>
      <c r="C192" s="1" t="str">
        <f>IFERROR(__xludf.DUMMYFUNCTION("""COMPUTED_VALUE"""),"Montivero Lila Noemi")</f>
        <v>Montivero Lila Noemi</v>
      </c>
      <c r="D192" s="1" t="str">
        <f>IFERROR(__xludf.DUMMYFUNCTION("""COMPUTED_VALUE"""),"Lentes de STOCK")</f>
        <v>Lentes de STOCK</v>
      </c>
      <c r="E192" s="1" t="str">
        <f>IFERROR(__xludf.DUMMYFUNCTION("""COMPUTED_VALUE"""),"RIVADAVIA Rocio B")</f>
        <v>RIVADAVIA Rocio B</v>
      </c>
      <c r="F192" s="1" t="str">
        <f t="shared" si="1"/>
        <v>RIVADAVIA </v>
      </c>
      <c r="G192" s="1" t="str">
        <f t="shared" si="2"/>
        <v>Rocio B</v>
      </c>
      <c r="H192" s="1" t="str">
        <f>IFERROR(__xludf.DUMMYFUNCTION("""COMPUTED_VALUE"""),"12/1/2023, 17:00:00")</f>
        <v>12/1/2023, 17:00:00</v>
      </c>
      <c r="I192" s="1"/>
      <c r="J192" s="1">
        <f t="shared" si="3"/>
        <v>0</v>
      </c>
      <c r="K192" s="1" t="str">
        <f t="shared" si="4"/>
        <v/>
      </c>
    </row>
    <row r="193">
      <c r="A193" s="1">
        <f>IFERROR(__xludf.DUMMYFUNCTION("""COMPUTED_VALUE"""),84744.0)</f>
        <v>84744</v>
      </c>
      <c r="B193" s="5">
        <f>IFERROR(__xludf.DUMMYFUNCTION("""COMPUTED_VALUE"""),44933.43976771991)</f>
        <v>44933.43977</v>
      </c>
      <c r="C193" s="1" t="str">
        <f>IFERROR(__xludf.DUMMYFUNCTION("""COMPUTED_VALUE"""),"Montivero Lila Noemi")</f>
        <v>Montivero Lila Noemi</v>
      </c>
      <c r="D193" s="1" t="str">
        <f>IFERROR(__xludf.DUMMYFUNCTION("""COMPUTED_VALUE"""),"Lentes de STOCK")</f>
        <v>Lentes de STOCK</v>
      </c>
      <c r="E193" s="1" t="str">
        <f>IFERROR(__xludf.DUMMYFUNCTION("""COMPUTED_VALUE"""),"RIVADAVIA Rocio B")</f>
        <v>RIVADAVIA Rocio B</v>
      </c>
      <c r="F193" s="1" t="str">
        <f t="shared" si="1"/>
        <v>RIVADAVIA </v>
      </c>
      <c r="G193" s="1" t="str">
        <f t="shared" si="2"/>
        <v>Rocio B</v>
      </c>
      <c r="H193" s="1" t="str">
        <f>IFERROR(__xludf.DUMMYFUNCTION("""COMPUTED_VALUE"""),"12/1/2023, 17:00:00")</f>
        <v>12/1/2023, 17:00:00</v>
      </c>
      <c r="I193" s="1" t="str">
        <f>IFERROR(__xludf.DUMMYFUNCTION("""COMPUTED_VALUE"""),"RETIRADO OK POR CLIENTE")</f>
        <v>RETIRADO OK POR CLIENTE</v>
      </c>
      <c r="J193" s="1">
        <f t="shared" si="3"/>
        <v>6</v>
      </c>
      <c r="K193" s="1" t="str">
        <f t="shared" si="4"/>
        <v>Entregamos tus lentes, que los disfrutes!</v>
      </c>
    </row>
    <row r="194">
      <c r="A194" s="1">
        <f>IFERROR(__xludf.DUMMYFUNCTION("""COMPUTED_VALUE"""),84745.0)</f>
        <v>84745</v>
      </c>
      <c r="B194" s="5">
        <f>IFERROR(__xludf.DUMMYFUNCTION("""COMPUTED_VALUE"""),44933.45390091435)</f>
        <v>44933.4539</v>
      </c>
      <c r="C194" s="1" t="str">
        <f>IFERROR(__xludf.DUMMYFUNCTION("""COMPUTED_VALUE"""),"FERNANDEZ YESICA")</f>
        <v>FERNANDEZ YESICA</v>
      </c>
      <c r="D194" s="1" t="str">
        <f>IFERROR(__xludf.DUMMYFUNCTION("""COMPUTED_VALUE"""),"Lentes de STOCK")</f>
        <v>Lentes de STOCK</v>
      </c>
      <c r="E194" s="1" t="str">
        <f>IFERROR(__xludf.DUMMYFUNCTION("""COMPUTED_VALUE"""),"ARTIGAS Ivana P.")</f>
        <v>ARTIGAS Ivana P.</v>
      </c>
      <c r="F194" s="1" t="str">
        <f t="shared" si="1"/>
        <v>ARTIGAS </v>
      </c>
      <c r="G194" s="1" t="str">
        <f t="shared" si="2"/>
        <v>Ivana P.</v>
      </c>
      <c r="H194" s="1" t="str">
        <f>IFERROR(__xludf.DUMMYFUNCTION("""COMPUTED_VALUE"""),"10/1/2023, 17:00:00")</f>
        <v>10/1/2023, 17:00:00</v>
      </c>
      <c r="I194" s="1" t="str">
        <f>IFERROR(__xludf.DUMMYFUNCTION("""COMPUTED_VALUE"""),"Recibido en Laboratorio")</f>
        <v>Recibido en Laboratorio</v>
      </c>
      <c r="J194" s="1">
        <f t="shared" si="3"/>
        <v>2</v>
      </c>
      <c r="K194" s="1" t="str">
        <f t="shared" si="4"/>
        <v>Nuestro Laboratorio esta trabajando en tus lentes, los entregaremos en la fecha acordada.</v>
      </c>
    </row>
    <row r="195">
      <c r="A195" s="1">
        <f>IFERROR(__xludf.DUMMYFUNCTION("""COMPUTED_VALUE"""),84746.0)</f>
        <v>84746</v>
      </c>
      <c r="B195" s="5">
        <f>IFERROR(__xludf.DUMMYFUNCTION("""COMPUTED_VALUE"""),44933.46613435185)</f>
        <v>44933.46613</v>
      </c>
      <c r="C195" s="1" t="str">
        <f>IFERROR(__xludf.DUMMYFUNCTION("""COMPUTED_VALUE"""),"DIAZ TERESA ROSA")</f>
        <v>DIAZ TERESA ROSA</v>
      </c>
      <c r="D195" s="1" t="str">
        <f>IFERROR(__xludf.DUMMYFUNCTION("""COMPUTED_VALUE"""),"Lentes de LABORATORIO")</f>
        <v>Lentes de LABORATORIO</v>
      </c>
      <c r="E195" s="1" t="str">
        <f>IFERROR(__xludf.DUMMYFUNCTION("""COMPUTED_VALUE"""),"ARTIGAS Cristian C.")</f>
        <v>ARTIGAS Cristian C.</v>
      </c>
      <c r="F195" s="1" t="str">
        <f t="shared" si="1"/>
        <v>ARTIGAS </v>
      </c>
      <c r="G195" s="1" t="str">
        <f t="shared" si="2"/>
        <v>Cristian C.</v>
      </c>
      <c r="H195" s="1" t="str">
        <f>IFERROR(__xludf.DUMMYFUNCTION("""COMPUTED_VALUE"""),"16/1/2023, 17:00:00")</f>
        <v>16/1/2023, 17:00:00</v>
      </c>
      <c r="I195" s="1" t="str">
        <f>IFERROR(__xludf.DUMMYFUNCTION("""COMPUTED_VALUE"""),"RETIRADO OK POR CLIENTE")</f>
        <v>RETIRADO OK POR CLIENTE</v>
      </c>
      <c r="J195" s="1">
        <f t="shared" si="3"/>
        <v>6</v>
      </c>
      <c r="K195" s="1" t="str">
        <f t="shared" si="4"/>
        <v>Entregamos tus lentes, que los disfrutes!</v>
      </c>
    </row>
    <row r="196">
      <c r="A196" s="1">
        <f>IFERROR(__xludf.DUMMYFUNCTION("""COMPUTED_VALUE"""),84747.0)</f>
        <v>84747</v>
      </c>
      <c r="B196" s="5">
        <f>IFERROR(__xludf.DUMMYFUNCTION("""COMPUTED_VALUE"""),44933.47543394676)</f>
        <v>44933.47543</v>
      </c>
      <c r="C196" s="1" t="str">
        <f>IFERROR(__xludf.DUMMYFUNCTION("""COMPUTED_VALUE"""),"SUAREZ MARTIN")</f>
        <v>SUAREZ MARTIN</v>
      </c>
      <c r="D196" s="1" t="str">
        <f>IFERROR(__xludf.DUMMYFUNCTION("""COMPUTED_VALUE"""),"Lentes de STOCK")</f>
        <v>Lentes de STOCK</v>
      </c>
      <c r="E196" s="1" t="str">
        <f>IFERROR(__xludf.DUMMYFUNCTION("""COMPUTED_VALUE"""),"RIVADAVIA Santiago LOPEZ")</f>
        <v>RIVADAVIA Santiago LOPEZ</v>
      </c>
      <c r="F196" s="1" t="str">
        <f t="shared" si="1"/>
        <v>RIVADAVIA </v>
      </c>
      <c r="G196" s="1" t="str">
        <f t="shared" si="2"/>
        <v>Santiago LOPEZ</v>
      </c>
      <c r="H196" s="1" t="str">
        <f>IFERROR(__xludf.DUMMYFUNCTION("""COMPUTED_VALUE"""),"10/1/2023, 17:00:00")</f>
        <v>10/1/2023, 17:00:00</v>
      </c>
      <c r="I196" s="1" t="str">
        <f>IFERROR(__xludf.DUMMYFUNCTION("""COMPUTED_VALUE"""),"RETIRADO OK POR CLIENTE")</f>
        <v>RETIRADO OK POR CLIENTE</v>
      </c>
      <c r="J196" s="1">
        <f t="shared" si="3"/>
        <v>6</v>
      </c>
      <c r="K196" s="1" t="str">
        <f t="shared" si="4"/>
        <v>Entregamos tus lentes, que los disfrutes!</v>
      </c>
    </row>
    <row r="197">
      <c r="A197" s="1">
        <f>IFERROR(__xludf.DUMMYFUNCTION("""COMPUTED_VALUE"""),84748.0)</f>
        <v>84748</v>
      </c>
      <c r="B197" s="5">
        <f>IFERROR(__xludf.DUMMYFUNCTION("""COMPUTED_VALUE"""),44933.48277342593)</f>
        <v>44933.48277</v>
      </c>
      <c r="C197" s="1" t="str">
        <f>IFERROR(__xludf.DUMMYFUNCTION("""COMPUTED_VALUE"""),"SILVANA BOCARDO")</f>
        <v>SILVANA BOCARDO</v>
      </c>
      <c r="D197" s="1" t="str">
        <f>IFERROR(__xludf.DUMMYFUNCTION("""COMPUTED_VALUE"""),"Reparaciones/Otros")</f>
        <v>Reparaciones/Otros</v>
      </c>
      <c r="E197" s="1" t="str">
        <f>IFERROR(__xludf.DUMMYFUNCTION("""COMPUTED_VALUE"""),"RIVADAVIA Javier")</f>
        <v>RIVADAVIA Javier</v>
      </c>
      <c r="F197" s="1" t="str">
        <f t="shared" si="1"/>
        <v>RIVADAVIA </v>
      </c>
      <c r="G197" s="1" t="str">
        <f t="shared" si="2"/>
        <v>Javier</v>
      </c>
      <c r="H197" s="1" t="str">
        <f>IFERROR(__xludf.DUMMYFUNCTION("""COMPUTED_VALUE"""),"11/1/2023, 17:00:00")</f>
        <v>11/1/2023, 17:00:00</v>
      </c>
      <c r="I197" s="1" t="str">
        <f>IFERROR(__xludf.DUMMYFUNCTION("""COMPUTED_VALUE"""),"Completado en SUCURSAL")</f>
        <v>Completado en SUCURSAL</v>
      </c>
      <c r="J197" s="1">
        <f t="shared" si="3"/>
        <v>5</v>
      </c>
      <c r="K197" s="1" t="str">
        <f t="shared" si="4"/>
        <v>Tus Lentes estan LISTAS PARA ENTREGAR, te esperamos.</v>
      </c>
    </row>
    <row r="198">
      <c r="A198" s="1">
        <f>IFERROR(__xludf.DUMMYFUNCTION("""COMPUTED_VALUE"""),84749.0)</f>
        <v>84749</v>
      </c>
      <c r="B198" s="5">
        <f>IFERROR(__xludf.DUMMYFUNCTION("""COMPUTED_VALUE"""),44933.48360743056)</f>
        <v>44933.48361</v>
      </c>
      <c r="C198" s="1" t="str">
        <f>IFERROR(__xludf.DUMMYFUNCTION("""COMPUTED_VALUE"""),"PORRINI JOSE")</f>
        <v>PORRINI JOSE</v>
      </c>
      <c r="D198" s="1" t="str">
        <f>IFERROR(__xludf.DUMMYFUNCTION("""COMPUTED_VALUE"""),"Reparaciones/Otros")</f>
        <v>Reparaciones/Otros</v>
      </c>
      <c r="E198" s="1" t="str">
        <f>IFERROR(__xludf.DUMMYFUNCTION("""COMPUTED_VALUE"""),"ARTIGAS Celina")</f>
        <v>ARTIGAS Celina</v>
      </c>
      <c r="F198" s="1" t="str">
        <f t="shared" si="1"/>
        <v>ARTIGAS </v>
      </c>
      <c r="G198" s="1" t="str">
        <f t="shared" si="2"/>
        <v>Celina</v>
      </c>
      <c r="H198" s="1" t="str">
        <f>IFERROR(__xludf.DUMMYFUNCTION("""COMPUTED_VALUE"""),"9/1/2023, 17:00:00")</f>
        <v>9/1/2023, 17:00:00</v>
      </c>
      <c r="I198" s="1" t="str">
        <f>IFERROR(__xludf.DUMMYFUNCTION("""COMPUTED_VALUE"""),"Completado en SUCURSAL")</f>
        <v>Completado en SUCURSAL</v>
      </c>
      <c r="J198" s="1">
        <f t="shared" si="3"/>
        <v>5</v>
      </c>
      <c r="K198" s="1" t="str">
        <f t="shared" si="4"/>
        <v>Tus Lentes estan LISTAS PARA ENTREGAR, te esperamos.</v>
      </c>
    </row>
    <row r="199">
      <c r="A199" s="1">
        <f>IFERROR(__xludf.DUMMYFUNCTION("""COMPUTED_VALUE"""),84750.0)</f>
        <v>84750</v>
      </c>
      <c r="B199" s="5">
        <f>IFERROR(__xludf.DUMMYFUNCTION("""COMPUTED_VALUE"""),44933.483695937495)</f>
        <v>44933.4837</v>
      </c>
      <c r="C199" s="1" t="str">
        <f>IFERROR(__xludf.DUMMYFUNCTION("""COMPUTED_VALUE"""),"LYGIARDI FANNY")</f>
        <v>LYGIARDI FANNY</v>
      </c>
      <c r="D199" s="1" t="str">
        <f>IFERROR(__xludf.DUMMYFUNCTION("""COMPUTED_VALUE"""),"Lentes de STOCK")</f>
        <v>Lentes de STOCK</v>
      </c>
      <c r="E199" s="1" t="str">
        <f>IFERROR(__xludf.DUMMYFUNCTION("""COMPUTED_VALUE"""),"ARTIGAS Ivana P.")</f>
        <v>ARTIGAS Ivana P.</v>
      </c>
      <c r="F199" s="1" t="str">
        <f t="shared" si="1"/>
        <v>ARTIGAS </v>
      </c>
      <c r="G199" s="1" t="str">
        <f t="shared" si="2"/>
        <v>Ivana P.</v>
      </c>
      <c r="H199" s="1" t="str">
        <f>IFERROR(__xludf.DUMMYFUNCTION("""COMPUTED_VALUE"""),"11/1/2023, 17:00:00")</f>
        <v>11/1/2023, 17:00:00</v>
      </c>
      <c r="I199" s="1" t="str">
        <f>IFERROR(__xludf.DUMMYFUNCTION("""COMPUTED_VALUE"""),"RETIRADO OK POR CLIENTE")</f>
        <v>RETIRADO OK POR CLIENTE</v>
      </c>
      <c r="J199" s="1">
        <f t="shared" si="3"/>
        <v>6</v>
      </c>
      <c r="K199" s="1" t="str">
        <f t="shared" si="4"/>
        <v>Entregamos tus lentes, que los disfrutes!</v>
      </c>
    </row>
    <row r="200">
      <c r="A200" s="1">
        <f>IFERROR(__xludf.DUMMYFUNCTION("""COMPUTED_VALUE"""),84751.0)</f>
        <v>84751</v>
      </c>
      <c r="B200" s="5">
        <f>IFERROR(__xludf.DUMMYFUNCTION("""COMPUTED_VALUE"""),44933.48475175926)</f>
        <v>44933.48475</v>
      </c>
      <c r="C200" s="1" t="str">
        <f>IFERROR(__xludf.DUMMYFUNCTION("""COMPUTED_VALUE"""),"TELLO JORG")</f>
        <v>TELLO JORG</v>
      </c>
      <c r="D200" s="1" t="str">
        <f>IFERROR(__xludf.DUMMYFUNCTION("""COMPUTED_VALUE"""),"Lentes MULTIFOCALES")</f>
        <v>Lentes MULTIFOCALES</v>
      </c>
      <c r="E200" s="1" t="str">
        <f>IFERROR(__xludf.DUMMYFUNCTION("""COMPUTED_VALUE"""),"RIVADAVIA Daniel CM")</f>
        <v>RIVADAVIA Daniel CM</v>
      </c>
      <c r="F200" s="1" t="str">
        <f t="shared" si="1"/>
        <v>RIVADAVIA </v>
      </c>
      <c r="G200" s="1" t="str">
        <f t="shared" si="2"/>
        <v>Daniel CM</v>
      </c>
      <c r="H200" s="1" t="str">
        <f>IFERROR(__xludf.DUMMYFUNCTION("""COMPUTED_VALUE"""),"20/1/2023, 17:00:00")</f>
        <v>20/1/2023, 17:00:00</v>
      </c>
      <c r="I200" s="1" t="str">
        <f>IFERROR(__xludf.DUMMYFUNCTION("""COMPUTED_VALUE"""),"Completado en SUCURSAL")</f>
        <v>Completado en SUCURSAL</v>
      </c>
      <c r="J200" s="1">
        <f t="shared" si="3"/>
        <v>5</v>
      </c>
      <c r="K200" s="1" t="str">
        <f t="shared" si="4"/>
        <v>Tus Lentes estan LISTAS PARA ENTREGAR, te esperamos.</v>
      </c>
    </row>
    <row r="201">
      <c r="A201" s="1">
        <f>IFERROR(__xludf.DUMMYFUNCTION("""COMPUTED_VALUE"""),84752.0)</f>
        <v>84752</v>
      </c>
      <c r="B201" s="5">
        <f>IFERROR(__xludf.DUMMYFUNCTION("""COMPUTED_VALUE"""),44933.486526875)</f>
        <v>44933.48653</v>
      </c>
      <c r="C201" s="1" t="str">
        <f>IFERROR(__xludf.DUMMYFUNCTION("""COMPUTED_VALUE"""),"PARRILLA VANINA")</f>
        <v>PARRILLA VANINA</v>
      </c>
      <c r="D201" s="1" t="str">
        <f>IFERROR(__xludf.DUMMYFUNCTION("""COMPUTED_VALUE"""),"Lentes de STOCK")</f>
        <v>Lentes de STOCK</v>
      </c>
      <c r="E201" s="1" t="str">
        <f>IFERROR(__xludf.DUMMYFUNCTION("""COMPUTED_VALUE"""),"RIVADAVIA Daniel CM")</f>
        <v>RIVADAVIA Daniel CM</v>
      </c>
      <c r="F201" s="1" t="str">
        <f t="shared" si="1"/>
        <v>RIVADAVIA </v>
      </c>
      <c r="G201" s="1" t="str">
        <f t="shared" si="2"/>
        <v>Daniel CM</v>
      </c>
      <c r="H201" s="1" t="str">
        <f>IFERROR(__xludf.DUMMYFUNCTION("""COMPUTED_VALUE"""),"13/1/2023, 17:00:00")</f>
        <v>13/1/2023, 17:00:00</v>
      </c>
      <c r="I201" s="1" t="str">
        <f>IFERROR(__xludf.DUMMYFUNCTION("""COMPUTED_VALUE"""),"RETIRADO OK POR CLIENTE")</f>
        <v>RETIRADO OK POR CLIENTE</v>
      </c>
      <c r="J201" s="1">
        <f t="shared" si="3"/>
        <v>6</v>
      </c>
      <c r="K201" s="1" t="str">
        <f t="shared" si="4"/>
        <v>Entregamos tus lentes, que los disfrutes!</v>
      </c>
    </row>
    <row r="202">
      <c r="A202" s="1">
        <f>IFERROR(__xludf.DUMMYFUNCTION("""COMPUTED_VALUE"""),84753.0)</f>
        <v>84753</v>
      </c>
      <c r="B202" s="5">
        <f>IFERROR(__xludf.DUMMYFUNCTION("""COMPUTED_VALUE"""),44933.48877055556)</f>
        <v>44933.48877</v>
      </c>
      <c r="C202" s="1" t="str">
        <f>IFERROR(__xludf.DUMMYFUNCTION("""COMPUTED_VALUE"""),"QUIROGA FACUNDO")</f>
        <v>QUIROGA FACUNDO</v>
      </c>
      <c r="D202" s="1" t="str">
        <f>IFERROR(__xludf.DUMMYFUNCTION("""COMPUTED_VALUE"""),"Reparaciones/Otros")</f>
        <v>Reparaciones/Otros</v>
      </c>
      <c r="E202" s="1" t="str">
        <f>IFERROR(__xludf.DUMMYFUNCTION("""COMPUTED_VALUE"""),"ARTIGAS Ivana P.")</f>
        <v>ARTIGAS Ivana P.</v>
      </c>
      <c r="F202" s="1" t="str">
        <f t="shared" si="1"/>
        <v>ARTIGAS </v>
      </c>
      <c r="G202" s="1" t="str">
        <f t="shared" si="2"/>
        <v>Ivana P.</v>
      </c>
      <c r="H202" s="1" t="str">
        <f>IFERROR(__xludf.DUMMYFUNCTION("""COMPUTED_VALUE"""),"9/1/2023, 17:00:00")</f>
        <v>9/1/2023, 17:00:00</v>
      </c>
      <c r="I202" s="1" t="str">
        <f>IFERROR(__xludf.DUMMYFUNCTION("""COMPUTED_VALUE"""),"RETIRADO OK POR CLIENTE")</f>
        <v>RETIRADO OK POR CLIENTE</v>
      </c>
      <c r="J202" s="1">
        <f t="shared" si="3"/>
        <v>6</v>
      </c>
      <c r="K202" s="1" t="str">
        <f t="shared" si="4"/>
        <v>Entregamos tus lentes, que los disfrutes!</v>
      </c>
    </row>
    <row r="203">
      <c r="A203" s="1">
        <f>IFERROR(__xludf.DUMMYFUNCTION("""COMPUTED_VALUE"""),84754.0)</f>
        <v>84754</v>
      </c>
      <c r="B203" s="5">
        <f>IFERROR(__xludf.DUMMYFUNCTION("""COMPUTED_VALUE"""),44933.49104605324)</f>
        <v>44933.49105</v>
      </c>
      <c r="C203" s="1" t="str">
        <f>IFERROR(__xludf.DUMMYFUNCTION("""COMPUTED_VALUE"""),"Verges Maria Soledad")</f>
        <v>Verges Maria Soledad</v>
      </c>
      <c r="D203" s="1" t="str">
        <f>IFERROR(__xludf.DUMMYFUNCTION("""COMPUTED_VALUE"""),"Lentes de STOCK")</f>
        <v>Lentes de STOCK</v>
      </c>
      <c r="E203" s="1" t="str">
        <f>IFERROR(__xludf.DUMMYFUNCTION("""COMPUTED_VALUE"""),"RIVADAVIA Rocio B")</f>
        <v>RIVADAVIA Rocio B</v>
      </c>
      <c r="F203" s="1" t="str">
        <f t="shared" si="1"/>
        <v>RIVADAVIA </v>
      </c>
      <c r="G203" s="1" t="str">
        <f t="shared" si="2"/>
        <v>Rocio B</v>
      </c>
      <c r="H203" s="1" t="str">
        <f>IFERROR(__xludf.DUMMYFUNCTION("""COMPUTED_VALUE"""),"13/1/2023, 17:00:00")</f>
        <v>13/1/2023, 17:00:00</v>
      </c>
      <c r="I203" s="1" t="str">
        <f>IFERROR(__xludf.DUMMYFUNCTION("""COMPUTED_VALUE"""),"Completado en SUCURSAL")</f>
        <v>Completado en SUCURSAL</v>
      </c>
      <c r="J203" s="1">
        <f t="shared" si="3"/>
        <v>5</v>
      </c>
      <c r="K203" s="1" t="str">
        <f t="shared" si="4"/>
        <v>Tus Lentes estan LISTAS PARA ENTREGAR, te esperamos.</v>
      </c>
    </row>
    <row r="204">
      <c r="A204" s="1">
        <f>IFERROR(__xludf.DUMMYFUNCTION("""COMPUTED_VALUE"""),84755.0)</f>
        <v>84755</v>
      </c>
      <c r="B204" s="5">
        <f>IFERROR(__xludf.DUMMYFUNCTION("""COMPUTED_VALUE"""),44933.492282824074)</f>
        <v>44933.49228</v>
      </c>
      <c r="C204" s="1" t="str">
        <f>IFERROR(__xludf.DUMMYFUNCTION("""COMPUTED_VALUE"""),"FUNES ROBERTO DANIEL ")</f>
        <v>FUNES ROBERTO DANIEL </v>
      </c>
      <c r="D204" s="1" t="str">
        <f>IFERROR(__xludf.DUMMYFUNCTION("""COMPUTED_VALUE"""),"Lentes de STOCK")</f>
        <v>Lentes de STOCK</v>
      </c>
      <c r="E204" s="1" t="str">
        <f>IFERROR(__xludf.DUMMYFUNCTION("""COMPUTED_VALUE"""),"ARTIGAS Cristian C.")</f>
        <v>ARTIGAS Cristian C.</v>
      </c>
      <c r="F204" s="1" t="str">
        <f t="shared" si="1"/>
        <v>ARTIGAS </v>
      </c>
      <c r="G204" s="1" t="str">
        <f t="shared" si="2"/>
        <v>Cristian C.</v>
      </c>
      <c r="H204" s="1" t="str">
        <f>IFERROR(__xludf.DUMMYFUNCTION("""COMPUTED_VALUE"""),"14/1/2023, 17:00:00")</f>
        <v>14/1/2023, 17:00:00</v>
      </c>
      <c r="I204" s="1" t="str">
        <f>IFERROR(__xludf.DUMMYFUNCTION("""COMPUTED_VALUE"""),"En Armado Hoy")</f>
        <v>En Armado Hoy</v>
      </c>
      <c r="J204" s="1">
        <f t="shared" si="3"/>
        <v>3</v>
      </c>
      <c r="K204" s="1" t="str">
        <f t="shared" si="4"/>
        <v>Estamos terminando los ultimos detalles de tus lentes, los terminaremos el dia de hoy.</v>
      </c>
    </row>
    <row r="205">
      <c r="A205" s="1">
        <f>IFERROR(__xludf.DUMMYFUNCTION("""COMPUTED_VALUE"""),84756.0)</f>
        <v>84756</v>
      </c>
      <c r="B205" s="5">
        <f>IFERROR(__xludf.DUMMYFUNCTION("""COMPUTED_VALUE"""),44933.53005747685)</f>
        <v>44933.53006</v>
      </c>
      <c r="C205" s="1" t="str">
        <f>IFERROR(__xludf.DUMMYFUNCTION("""COMPUTED_VALUE"""),"DIAZ NATALIA")</f>
        <v>DIAZ NATALIA</v>
      </c>
      <c r="D205" s="1" t="str">
        <f>IFERROR(__xludf.DUMMYFUNCTION("""COMPUTED_VALUE"""),"Lentes de STOCK")</f>
        <v>Lentes de STOCK</v>
      </c>
      <c r="E205" s="1" t="str">
        <f>IFERROR(__xludf.DUMMYFUNCTION("""COMPUTED_VALUE"""),"ARTIGAS Cristian C.")</f>
        <v>ARTIGAS Cristian C.</v>
      </c>
      <c r="F205" s="1" t="str">
        <f t="shared" si="1"/>
        <v>ARTIGAS </v>
      </c>
      <c r="G205" s="1" t="str">
        <f t="shared" si="2"/>
        <v>Cristian C.</v>
      </c>
      <c r="H205" s="1" t="str">
        <f>IFERROR(__xludf.DUMMYFUNCTION("""COMPUTED_VALUE"""),"16/1/2023, 17:00:00")</f>
        <v>16/1/2023, 17:00:00</v>
      </c>
      <c r="I205" s="1" t="str">
        <f>IFERROR(__xludf.DUMMYFUNCTION("""COMPUTED_VALUE"""),"Completado en SUCURSAL")</f>
        <v>Completado en SUCURSAL</v>
      </c>
      <c r="J205" s="1">
        <f t="shared" si="3"/>
        <v>5</v>
      </c>
      <c r="K205" s="1" t="str">
        <f t="shared" si="4"/>
        <v>Tus Lentes estan LISTAS PARA ENTREGAR, te esperamos.</v>
      </c>
    </row>
    <row r="206">
      <c r="A206" s="1">
        <f>IFERROR(__xludf.DUMMYFUNCTION("""COMPUTED_VALUE"""),84757.0)</f>
        <v>84757</v>
      </c>
      <c r="B206" s="5">
        <f>IFERROR(__xludf.DUMMYFUNCTION("""COMPUTED_VALUE"""),44935.38386528935)</f>
        <v>44935.38387</v>
      </c>
      <c r="C206" s="1" t="str">
        <f>IFERROR(__xludf.DUMMYFUNCTION("""COMPUTED_VALUE"""),"SORIA MERCEDES")</f>
        <v>SORIA MERCEDES</v>
      </c>
      <c r="D206" s="1" t="str">
        <f>IFERROR(__xludf.DUMMYFUNCTION("""COMPUTED_VALUE"""),"Lentes de STOCK")</f>
        <v>Lentes de STOCK</v>
      </c>
      <c r="E206" s="1" t="str">
        <f>IFERROR(__xludf.DUMMYFUNCTION("""COMPUTED_VALUE"""),"ARTIGAS Ivana P.")</f>
        <v>ARTIGAS Ivana P.</v>
      </c>
      <c r="F206" s="1" t="str">
        <f t="shared" si="1"/>
        <v>ARTIGAS </v>
      </c>
      <c r="G206" s="1" t="str">
        <f t="shared" si="2"/>
        <v>Ivana P.</v>
      </c>
      <c r="H206" s="1" t="str">
        <f>IFERROR(__xludf.DUMMYFUNCTION("""COMPUTED_VALUE"""),"11/1/2023, 17:00:00")</f>
        <v>11/1/2023, 17:00:00</v>
      </c>
      <c r="I206" s="1" t="str">
        <f>IFERROR(__xludf.DUMMYFUNCTION("""COMPUTED_VALUE"""),"Completado en SUCURSAL")</f>
        <v>Completado en SUCURSAL</v>
      </c>
      <c r="J206" s="1">
        <f t="shared" si="3"/>
        <v>5</v>
      </c>
      <c r="K206" s="1" t="str">
        <f t="shared" si="4"/>
        <v>Tus Lentes estan LISTAS PARA ENTREGAR, te esperamos.</v>
      </c>
    </row>
    <row r="207">
      <c r="A207" s="1">
        <f>IFERROR(__xludf.DUMMYFUNCTION("""COMPUTED_VALUE"""),84758.0)</f>
        <v>84758</v>
      </c>
      <c r="B207" s="5">
        <f>IFERROR(__xludf.DUMMYFUNCTION("""COMPUTED_VALUE"""),44935.38581815972)</f>
        <v>44935.38582</v>
      </c>
      <c r="C207" s="1" t="str">
        <f>IFERROR(__xludf.DUMMYFUNCTION("""COMPUTED_VALUE"""),"PEREZ MABEL ")</f>
        <v>PEREZ MABEL </v>
      </c>
      <c r="D207" s="1" t="str">
        <f>IFERROR(__xludf.DUMMYFUNCTION("""COMPUTED_VALUE"""),"Lentes de STOCK")</f>
        <v>Lentes de STOCK</v>
      </c>
      <c r="E207" s="1" t="str">
        <f>IFERROR(__xludf.DUMMYFUNCTION("""COMPUTED_VALUE"""),"ARTIGAS Cristian C.")</f>
        <v>ARTIGAS Cristian C.</v>
      </c>
      <c r="F207" s="1" t="str">
        <f t="shared" si="1"/>
        <v>ARTIGAS </v>
      </c>
      <c r="G207" s="1" t="str">
        <f t="shared" si="2"/>
        <v>Cristian C.</v>
      </c>
      <c r="H207" s="1" t="str">
        <f>IFERROR(__xludf.DUMMYFUNCTION("""COMPUTED_VALUE"""),"13/1/2023, 17:00:00")</f>
        <v>13/1/2023, 17:00:00</v>
      </c>
      <c r="I207" s="1" t="str">
        <f>IFERROR(__xludf.DUMMYFUNCTION("""COMPUTED_VALUE"""),"RETIRADO OK POR CLIENTE")</f>
        <v>RETIRADO OK POR CLIENTE</v>
      </c>
      <c r="J207" s="1">
        <f t="shared" si="3"/>
        <v>6</v>
      </c>
      <c r="K207" s="1" t="str">
        <f t="shared" si="4"/>
        <v>Entregamos tus lentes, que los disfrutes!</v>
      </c>
    </row>
    <row r="208">
      <c r="A208" s="1">
        <f>IFERROR(__xludf.DUMMYFUNCTION("""COMPUTED_VALUE"""),84759.0)</f>
        <v>84759</v>
      </c>
      <c r="B208" s="5">
        <f>IFERROR(__xludf.DUMMYFUNCTION("""COMPUTED_VALUE"""),44935.38729101852)</f>
        <v>44935.38729</v>
      </c>
      <c r="C208" s="1" t="str">
        <f>IFERROR(__xludf.DUMMYFUNCTION("""COMPUTED_VALUE"""),"FLORES FRANCISCA")</f>
        <v>FLORES FRANCISCA</v>
      </c>
      <c r="D208" s="1" t="str">
        <f>IFERROR(__xludf.DUMMYFUNCTION("""COMPUTED_VALUE"""),"Reparaciones/Otros")</f>
        <v>Reparaciones/Otros</v>
      </c>
      <c r="E208" s="1" t="str">
        <f>IFERROR(__xludf.DUMMYFUNCTION("""COMPUTED_VALUE"""),"RIVADAVIA Luciana")</f>
        <v>RIVADAVIA Luciana</v>
      </c>
      <c r="F208" s="1" t="str">
        <f t="shared" si="1"/>
        <v>RIVADAVIA </v>
      </c>
      <c r="G208" s="1" t="str">
        <f t="shared" si="2"/>
        <v>Luciana</v>
      </c>
      <c r="H208" s="1" t="str">
        <f>IFERROR(__xludf.DUMMYFUNCTION("""COMPUTED_VALUE"""),"10/1/2023, 17:00:00")</f>
        <v>10/1/2023, 17:00:00</v>
      </c>
      <c r="I208" s="1" t="str">
        <f>IFERROR(__xludf.DUMMYFUNCTION("""COMPUTED_VALUE"""),"Enviado a Sucursal")</f>
        <v>Enviado a Sucursal</v>
      </c>
      <c r="J208" s="1">
        <f t="shared" si="3"/>
        <v>4</v>
      </c>
      <c r="K208" s="1" t="str">
        <f t="shared" si="4"/>
        <v>Tus lentes estan viajando a la sucursal para su entrega.</v>
      </c>
    </row>
    <row r="209">
      <c r="A209" s="1">
        <f>IFERROR(__xludf.DUMMYFUNCTION("""COMPUTED_VALUE"""),84760.0)</f>
        <v>84760</v>
      </c>
      <c r="B209" s="5">
        <f>IFERROR(__xludf.DUMMYFUNCTION("""COMPUTED_VALUE"""),44935.390643969906)</f>
        <v>44935.39064</v>
      </c>
      <c r="C209" s="1" t="str">
        <f>IFERROR(__xludf.DUMMYFUNCTION("""COMPUTED_VALUE"""),"STEVENIN NANCY")</f>
        <v>STEVENIN NANCY</v>
      </c>
      <c r="D209" s="1" t="str">
        <f>IFERROR(__xludf.DUMMYFUNCTION("""COMPUTED_VALUE"""),"Lentes de STOCK")</f>
        <v>Lentes de STOCK</v>
      </c>
      <c r="E209" s="1" t="str">
        <f>IFERROR(__xludf.DUMMYFUNCTION("""COMPUTED_VALUE"""),"ARTIGAS Ivana P.")</f>
        <v>ARTIGAS Ivana P.</v>
      </c>
      <c r="F209" s="1" t="str">
        <f t="shared" si="1"/>
        <v>ARTIGAS </v>
      </c>
      <c r="G209" s="1" t="str">
        <f t="shared" si="2"/>
        <v>Ivana P.</v>
      </c>
      <c r="H209" s="1" t="str">
        <f>IFERROR(__xludf.DUMMYFUNCTION("""COMPUTED_VALUE"""),"12/1/2023, 17:00:00")</f>
        <v>12/1/2023, 17:00:00</v>
      </c>
      <c r="I209" s="1" t="str">
        <f>IFERROR(__xludf.DUMMYFUNCTION("""COMPUTED_VALUE"""),"RETIRADO OK POR CLIENTE")</f>
        <v>RETIRADO OK POR CLIENTE</v>
      </c>
      <c r="J209" s="1">
        <f t="shared" si="3"/>
        <v>6</v>
      </c>
      <c r="K209" s="1" t="str">
        <f t="shared" si="4"/>
        <v>Entregamos tus lentes, que los disfrutes!</v>
      </c>
    </row>
    <row r="210">
      <c r="A210" s="1">
        <f>IFERROR(__xludf.DUMMYFUNCTION("""COMPUTED_VALUE"""),84761.0)</f>
        <v>84761</v>
      </c>
      <c r="B210" s="5">
        <f>IFERROR(__xludf.DUMMYFUNCTION("""COMPUTED_VALUE"""),44935.39505622685)</f>
        <v>44935.39506</v>
      </c>
      <c r="C210" s="1" t="str">
        <f>IFERROR(__xludf.DUMMYFUNCTION("""COMPUTED_VALUE"""),"OJEDA JOSE CAYETANO")</f>
        <v>OJEDA JOSE CAYETANO</v>
      </c>
      <c r="D210" s="1" t="str">
        <f>IFERROR(__xludf.DUMMYFUNCTION("""COMPUTED_VALUE"""),"Lentes de STOCK")</f>
        <v>Lentes de STOCK</v>
      </c>
      <c r="E210" s="1" t="str">
        <f>IFERROR(__xludf.DUMMYFUNCTION("""COMPUTED_VALUE"""),"ARTIGAS Cristian C.")</f>
        <v>ARTIGAS Cristian C.</v>
      </c>
      <c r="F210" s="1" t="str">
        <f t="shared" si="1"/>
        <v>ARTIGAS </v>
      </c>
      <c r="G210" s="1" t="str">
        <f t="shared" si="2"/>
        <v>Cristian C.</v>
      </c>
      <c r="H210" s="1" t="str">
        <f>IFERROR(__xludf.DUMMYFUNCTION("""COMPUTED_VALUE"""),"16/1/2023, 17:00:00")</f>
        <v>16/1/2023, 17:00:00</v>
      </c>
      <c r="I210" s="1" t="str">
        <f>IFERROR(__xludf.DUMMYFUNCTION("""COMPUTED_VALUE"""),"RETIRADO OK POR CLIENTE")</f>
        <v>RETIRADO OK POR CLIENTE</v>
      </c>
      <c r="J210" s="1">
        <f t="shared" si="3"/>
        <v>6</v>
      </c>
      <c r="K210" s="1" t="str">
        <f t="shared" si="4"/>
        <v>Entregamos tus lentes, que los disfrutes!</v>
      </c>
    </row>
    <row r="211">
      <c r="A211" s="1">
        <f>IFERROR(__xludf.DUMMYFUNCTION("""COMPUTED_VALUE"""),84762.0)</f>
        <v>84762</v>
      </c>
      <c r="B211" s="5">
        <f>IFERROR(__xludf.DUMMYFUNCTION("""COMPUTED_VALUE"""),44935.39764116898)</f>
        <v>44935.39764</v>
      </c>
      <c r="C211" s="1" t="str">
        <f>IFERROR(__xludf.DUMMYFUNCTION("""COMPUTED_VALUE"""),"IGNACIA SOSA")</f>
        <v>IGNACIA SOSA</v>
      </c>
      <c r="D211" s="1" t="str">
        <f>IFERROR(__xludf.DUMMYFUNCTION("""COMPUTED_VALUE"""),"Reparaciones/Otros")</f>
        <v>Reparaciones/Otros</v>
      </c>
      <c r="E211" s="1" t="str">
        <f>IFERROR(__xludf.DUMMYFUNCTION("""COMPUTED_VALUE"""),"ARTIGAS Celina")</f>
        <v>ARTIGAS Celina</v>
      </c>
      <c r="F211" s="1" t="str">
        <f t="shared" si="1"/>
        <v>ARTIGAS </v>
      </c>
      <c r="G211" s="1" t="str">
        <f t="shared" si="2"/>
        <v>Celina</v>
      </c>
      <c r="H211" s="1" t="str">
        <f>IFERROR(__xludf.DUMMYFUNCTION("""COMPUTED_VALUE"""),"10/1/2023, 17:00:00")</f>
        <v>10/1/2023, 17:00:00</v>
      </c>
      <c r="I211" s="1" t="str">
        <f>IFERROR(__xludf.DUMMYFUNCTION("""COMPUTED_VALUE"""),"Completado en SUCURSAL")</f>
        <v>Completado en SUCURSAL</v>
      </c>
      <c r="J211" s="1">
        <f t="shared" si="3"/>
        <v>5</v>
      </c>
      <c r="K211" s="1" t="str">
        <f t="shared" si="4"/>
        <v>Tus Lentes estan LISTAS PARA ENTREGAR, te esperamos.</v>
      </c>
    </row>
    <row r="212">
      <c r="A212" s="1">
        <f>IFERROR(__xludf.DUMMYFUNCTION("""COMPUTED_VALUE"""),84763.0)</f>
        <v>84763</v>
      </c>
      <c r="B212" s="5">
        <f>IFERROR(__xludf.DUMMYFUNCTION("""COMPUTED_VALUE"""),44935.4017052662)</f>
        <v>44935.40171</v>
      </c>
      <c r="C212" s="1" t="str">
        <f>IFERROR(__xludf.DUMMYFUNCTION("""COMPUTED_VALUE"""),"CARLOS SOSA")</f>
        <v>CARLOS SOSA</v>
      </c>
      <c r="D212" s="1" t="str">
        <f>IFERROR(__xludf.DUMMYFUNCTION("""COMPUTED_VALUE"""),"Reparaciones/Otros")</f>
        <v>Reparaciones/Otros</v>
      </c>
      <c r="E212" s="1" t="str">
        <f>IFERROR(__xludf.DUMMYFUNCTION("""COMPUTED_VALUE"""),"ARTIGAS Celina")</f>
        <v>ARTIGAS Celina</v>
      </c>
      <c r="F212" s="1" t="str">
        <f t="shared" si="1"/>
        <v>ARTIGAS </v>
      </c>
      <c r="G212" s="1" t="str">
        <f t="shared" si="2"/>
        <v>Celina</v>
      </c>
      <c r="H212" s="1" t="str">
        <f>IFERROR(__xludf.DUMMYFUNCTION("""COMPUTED_VALUE"""),"10/1/2023, 17:00:00")</f>
        <v>10/1/2023, 17:00:00</v>
      </c>
      <c r="I212" s="1" t="str">
        <f>IFERROR(__xludf.DUMMYFUNCTION("""COMPUTED_VALUE"""),"Completado en SUCURSAL")</f>
        <v>Completado en SUCURSAL</v>
      </c>
      <c r="J212" s="1">
        <f t="shared" si="3"/>
        <v>5</v>
      </c>
      <c r="K212" s="1" t="str">
        <f t="shared" si="4"/>
        <v>Tus Lentes estan LISTAS PARA ENTREGAR, te esperamos.</v>
      </c>
    </row>
    <row r="213">
      <c r="A213" s="1">
        <f>IFERROR(__xludf.DUMMYFUNCTION("""COMPUTED_VALUE"""),84764.0)</f>
        <v>84764</v>
      </c>
      <c r="B213" s="5">
        <f>IFERROR(__xludf.DUMMYFUNCTION("""COMPUTED_VALUE"""),44935.40623037037)</f>
        <v>44935.40623</v>
      </c>
      <c r="C213" s="1" t="str">
        <f>IFERROR(__xludf.DUMMYFUNCTION("""COMPUTED_VALUE"""),"LUCERO ULISES ")</f>
        <v>LUCERO ULISES </v>
      </c>
      <c r="D213" s="1" t="str">
        <f>IFERROR(__xludf.DUMMYFUNCTION("""COMPUTED_VALUE"""),"Lentes de STOCK")</f>
        <v>Lentes de STOCK</v>
      </c>
      <c r="E213" s="1" t="str">
        <f>IFERROR(__xludf.DUMMYFUNCTION("""COMPUTED_VALUE"""),"RIVADAVIA Luciana")</f>
        <v>RIVADAVIA Luciana</v>
      </c>
      <c r="F213" s="1" t="str">
        <f t="shared" si="1"/>
        <v>RIVADAVIA </v>
      </c>
      <c r="G213" s="1" t="str">
        <f t="shared" si="2"/>
        <v>Luciana</v>
      </c>
      <c r="H213" s="1" t="str">
        <f>IFERROR(__xludf.DUMMYFUNCTION("""COMPUTED_VALUE"""),"16/1/2023, 17:00:00")</f>
        <v>16/1/2023, 17:00:00</v>
      </c>
      <c r="I213" s="1" t="str">
        <f>IFERROR(__xludf.DUMMYFUNCTION("""COMPUTED_VALUE"""),"Completado en SUCURSAL")</f>
        <v>Completado en SUCURSAL</v>
      </c>
      <c r="J213" s="1">
        <f t="shared" si="3"/>
        <v>5</v>
      </c>
      <c r="K213" s="1" t="str">
        <f t="shared" si="4"/>
        <v>Tus Lentes estan LISTAS PARA ENTREGAR, te esperamos.</v>
      </c>
    </row>
    <row r="214">
      <c r="A214" s="1">
        <f>IFERROR(__xludf.DUMMYFUNCTION("""COMPUTED_VALUE"""),84765.0)</f>
        <v>84765</v>
      </c>
      <c r="B214" s="5">
        <f>IFERROR(__xludf.DUMMYFUNCTION("""COMPUTED_VALUE"""),44935.40886484954)</f>
        <v>44935.40886</v>
      </c>
      <c r="C214" s="1" t="str">
        <f>IFERROR(__xludf.DUMMYFUNCTION("""COMPUTED_VALUE"""),"BRITOS RIVAROLA CINTHIA")</f>
        <v>BRITOS RIVAROLA CINTHIA</v>
      </c>
      <c r="D214" s="1" t="str">
        <f>IFERROR(__xludf.DUMMYFUNCTION("""COMPUTED_VALUE"""),"Lentes de STOCK")</f>
        <v>Lentes de STOCK</v>
      </c>
      <c r="E214" s="1" t="str">
        <f>IFERROR(__xludf.DUMMYFUNCTION("""COMPUTED_VALUE"""),"RIVADAVIA Rocio B")</f>
        <v>RIVADAVIA Rocio B</v>
      </c>
      <c r="F214" s="1" t="str">
        <f t="shared" si="1"/>
        <v>RIVADAVIA </v>
      </c>
      <c r="G214" s="1" t="str">
        <f t="shared" si="2"/>
        <v>Rocio B</v>
      </c>
      <c r="H214" s="1" t="str">
        <f>IFERROR(__xludf.DUMMYFUNCTION("""COMPUTED_VALUE"""),"13/1/2023, 17:00:00")</f>
        <v>13/1/2023, 17:00:00</v>
      </c>
      <c r="I214" s="1" t="str">
        <f>IFERROR(__xludf.DUMMYFUNCTION("""COMPUTED_VALUE"""),"Completado en SUCURSAL")</f>
        <v>Completado en SUCURSAL</v>
      </c>
      <c r="J214" s="1">
        <f t="shared" si="3"/>
        <v>5</v>
      </c>
      <c r="K214" s="1" t="str">
        <f t="shared" si="4"/>
        <v>Tus Lentes estan LISTAS PARA ENTREGAR, te esperamos.</v>
      </c>
    </row>
    <row r="215">
      <c r="A215" s="1">
        <f>IFERROR(__xludf.DUMMYFUNCTION("""COMPUTED_VALUE"""),84766.0)</f>
        <v>84766</v>
      </c>
      <c r="B215" s="5">
        <f>IFERROR(__xludf.DUMMYFUNCTION("""COMPUTED_VALUE"""),44935.41351346065)</f>
        <v>44935.41351</v>
      </c>
      <c r="C215" s="1" t="str">
        <f>IFERROR(__xludf.DUMMYFUNCTION("""COMPUTED_VALUE"""),"AGUERO MARIA")</f>
        <v>AGUERO MARIA</v>
      </c>
      <c r="D215" s="1" t="str">
        <f>IFERROR(__xludf.DUMMYFUNCTION("""COMPUTED_VALUE"""),"Reparaciones/Otros")</f>
        <v>Reparaciones/Otros</v>
      </c>
      <c r="E215" s="1" t="str">
        <f>IFERROR(__xludf.DUMMYFUNCTION("""COMPUTED_VALUE"""),"ARTIGAS Ivana P.")</f>
        <v>ARTIGAS Ivana P.</v>
      </c>
      <c r="F215" s="1" t="str">
        <f t="shared" si="1"/>
        <v>ARTIGAS </v>
      </c>
      <c r="G215" s="1" t="str">
        <f t="shared" si="2"/>
        <v>Ivana P.</v>
      </c>
      <c r="H215" s="1" t="str">
        <f>IFERROR(__xludf.DUMMYFUNCTION("""COMPUTED_VALUE"""),"10/1/2023, 17:00:00")</f>
        <v>10/1/2023, 17:00:00</v>
      </c>
      <c r="I215" s="1" t="str">
        <f>IFERROR(__xludf.DUMMYFUNCTION("""COMPUTED_VALUE"""),"Recibido en Laboratorio")</f>
        <v>Recibido en Laboratorio</v>
      </c>
      <c r="J215" s="1">
        <f t="shared" si="3"/>
        <v>2</v>
      </c>
      <c r="K215" s="1" t="str">
        <f t="shared" si="4"/>
        <v>Nuestro Laboratorio esta trabajando en tus lentes, los entregaremos en la fecha acordada.</v>
      </c>
    </row>
    <row r="216">
      <c r="A216" s="1">
        <f>IFERROR(__xludf.DUMMYFUNCTION("""COMPUTED_VALUE"""),84767.0)</f>
        <v>84767</v>
      </c>
      <c r="B216" s="5">
        <f>IFERROR(__xludf.DUMMYFUNCTION("""COMPUTED_VALUE"""),44935.41777842592)</f>
        <v>44935.41778</v>
      </c>
      <c r="C216" s="1" t="str">
        <f>IFERROR(__xludf.DUMMYFUNCTION("""COMPUTED_VALUE"""),"TISSERA VILLARROEL MAURO")</f>
        <v>TISSERA VILLARROEL MAURO</v>
      </c>
      <c r="D216" s="1" t="str">
        <f>IFERROR(__xludf.DUMMYFUNCTION("""COMPUTED_VALUE"""),"Lentes de STOCK")</f>
        <v>Lentes de STOCK</v>
      </c>
      <c r="E216" s="1" t="str">
        <f>IFERROR(__xludf.DUMMYFUNCTION("""COMPUTED_VALUE"""),"ARTIGAS Cristian C.")</f>
        <v>ARTIGAS Cristian C.</v>
      </c>
      <c r="F216" s="1" t="str">
        <f t="shared" si="1"/>
        <v>ARTIGAS </v>
      </c>
      <c r="G216" s="1" t="str">
        <f t="shared" si="2"/>
        <v>Cristian C.</v>
      </c>
      <c r="H216" s="1" t="str">
        <f>IFERROR(__xludf.DUMMYFUNCTION("""COMPUTED_VALUE"""),"16/1/2023, 17:00:00")</f>
        <v>16/1/2023, 17:00:00</v>
      </c>
      <c r="I216" s="1" t="str">
        <f>IFERROR(__xludf.DUMMYFUNCTION("""COMPUTED_VALUE"""),"RETIRADO OK POR CLIENTE")</f>
        <v>RETIRADO OK POR CLIENTE</v>
      </c>
      <c r="J216" s="1">
        <f t="shared" si="3"/>
        <v>6</v>
      </c>
      <c r="K216" s="1" t="str">
        <f t="shared" si="4"/>
        <v>Entregamos tus lentes, que los disfrutes!</v>
      </c>
    </row>
    <row r="217">
      <c r="A217" s="1">
        <f>IFERROR(__xludf.DUMMYFUNCTION("""COMPUTED_VALUE"""),84768.0)</f>
        <v>84768</v>
      </c>
      <c r="B217" s="5">
        <f>IFERROR(__xludf.DUMMYFUNCTION("""COMPUTED_VALUE"""),44935.4245247338)</f>
        <v>44935.42452</v>
      </c>
      <c r="C217" s="1" t="str">
        <f>IFERROR(__xludf.DUMMYFUNCTION("""COMPUTED_VALUE"""),"MOYANO MARCOS")</f>
        <v>MOYANO MARCOS</v>
      </c>
      <c r="D217" s="1" t="str">
        <f>IFERROR(__xludf.DUMMYFUNCTION("""COMPUTED_VALUE"""),"Reparaciones/Otros")</f>
        <v>Reparaciones/Otros</v>
      </c>
      <c r="E217" s="1" t="str">
        <f>IFERROR(__xludf.DUMMYFUNCTION("""COMPUTED_VALUE"""),"ARTIGAS Celina")</f>
        <v>ARTIGAS Celina</v>
      </c>
      <c r="F217" s="1" t="str">
        <f t="shared" si="1"/>
        <v>ARTIGAS </v>
      </c>
      <c r="G217" s="1" t="str">
        <f t="shared" si="2"/>
        <v>Celina</v>
      </c>
      <c r="H217" s="1" t="str">
        <f>IFERROR(__xludf.DUMMYFUNCTION("""COMPUTED_VALUE"""),"10/1/2023, 17:00:00")</f>
        <v>10/1/2023, 17:00:00</v>
      </c>
      <c r="I217" s="1" t="str">
        <f>IFERROR(__xludf.DUMMYFUNCTION("""COMPUTED_VALUE"""),"Completado en SUCURSAL")</f>
        <v>Completado en SUCURSAL</v>
      </c>
      <c r="J217" s="1">
        <f t="shared" si="3"/>
        <v>5</v>
      </c>
      <c r="K217" s="1" t="str">
        <f t="shared" si="4"/>
        <v>Tus Lentes estan LISTAS PARA ENTREGAR, te esperamos.</v>
      </c>
    </row>
    <row r="218">
      <c r="A218" s="1">
        <f>IFERROR(__xludf.DUMMYFUNCTION("""COMPUTED_VALUE"""),84769.0)</f>
        <v>84769</v>
      </c>
      <c r="B218" s="5">
        <f>IFERROR(__xludf.DUMMYFUNCTION("""COMPUTED_VALUE"""),44935.42512202547)</f>
        <v>44935.42512</v>
      </c>
      <c r="C218" s="1" t="str">
        <f>IFERROR(__xludf.DUMMYFUNCTION("""COMPUTED_VALUE"""),"IBAÑEZ CLEMIRA")</f>
        <v>IBAÑEZ CLEMIRA</v>
      </c>
      <c r="D218" s="1" t="str">
        <f>IFERROR(__xludf.DUMMYFUNCTION("""COMPUTED_VALUE"""),"Lentes de STOCK")</f>
        <v>Lentes de STOCK</v>
      </c>
      <c r="E218" s="1" t="str">
        <f>IFERROR(__xludf.DUMMYFUNCTION("""COMPUTED_VALUE"""),"ARTIGAS Ivana P.")</f>
        <v>ARTIGAS Ivana P.</v>
      </c>
      <c r="F218" s="1" t="str">
        <f t="shared" si="1"/>
        <v>ARTIGAS </v>
      </c>
      <c r="G218" s="1" t="str">
        <f t="shared" si="2"/>
        <v>Ivana P.</v>
      </c>
      <c r="H218" s="1" t="str">
        <f>IFERROR(__xludf.DUMMYFUNCTION("""COMPUTED_VALUE"""),"12/1/2023, 17:00:00")</f>
        <v>12/1/2023, 17:00:00</v>
      </c>
      <c r="I218" s="1" t="str">
        <f>IFERROR(__xludf.DUMMYFUNCTION("""COMPUTED_VALUE"""),"Completado en SUCURSAL")</f>
        <v>Completado en SUCURSAL</v>
      </c>
      <c r="J218" s="1">
        <f t="shared" si="3"/>
        <v>5</v>
      </c>
      <c r="K218" s="1" t="str">
        <f t="shared" si="4"/>
        <v>Tus Lentes estan LISTAS PARA ENTREGAR, te esperamos.</v>
      </c>
    </row>
    <row r="219">
      <c r="A219" s="1">
        <f>IFERROR(__xludf.DUMMYFUNCTION("""COMPUTED_VALUE"""),84770.0)</f>
        <v>84770</v>
      </c>
      <c r="B219" s="5">
        <f>IFERROR(__xludf.DUMMYFUNCTION("""COMPUTED_VALUE"""),44935.42896337963)</f>
        <v>44935.42896</v>
      </c>
      <c r="C219" s="1" t="str">
        <f>IFERROR(__xludf.DUMMYFUNCTION("""COMPUTED_VALUE"""),"JOFRE TERESA ELENA")</f>
        <v>JOFRE TERESA ELENA</v>
      </c>
      <c r="D219" s="1" t="str">
        <f>IFERROR(__xludf.DUMMYFUNCTION("""COMPUTED_VALUE"""),"Lentes de STOCK")</f>
        <v>Lentes de STOCK</v>
      </c>
      <c r="E219" s="1" t="str">
        <f>IFERROR(__xludf.DUMMYFUNCTION("""COMPUTED_VALUE"""),"RIVADAVIA Luciana")</f>
        <v>RIVADAVIA Luciana</v>
      </c>
      <c r="F219" s="1" t="str">
        <f t="shared" si="1"/>
        <v>RIVADAVIA </v>
      </c>
      <c r="G219" s="1" t="str">
        <f t="shared" si="2"/>
        <v>Luciana</v>
      </c>
      <c r="H219" s="1" t="str">
        <f>IFERROR(__xludf.DUMMYFUNCTION("""COMPUTED_VALUE"""),"13/1/2023, 17:00:00")</f>
        <v>13/1/2023, 17:00:00</v>
      </c>
      <c r="I219" s="1" t="str">
        <f>IFERROR(__xludf.DUMMYFUNCTION("""COMPUTED_VALUE"""),"RETIRADO OK POR CLIENTE")</f>
        <v>RETIRADO OK POR CLIENTE</v>
      </c>
      <c r="J219" s="1">
        <f t="shared" si="3"/>
        <v>6</v>
      </c>
      <c r="K219" s="1" t="str">
        <f t="shared" si="4"/>
        <v>Entregamos tus lentes, que los disfrutes!</v>
      </c>
    </row>
    <row r="220">
      <c r="A220" s="1">
        <f>IFERROR(__xludf.DUMMYFUNCTION("""COMPUTED_VALUE"""),84771.0)</f>
        <v>84771</v>
      </c>
      <c r="B220" s="5">
        <f>IFERROR(__xludf.DUMMYFUNCTION("""COMPUTED_VALUE"""),44935.4305865625)</f>
        <v>44935.43059</v>
      </c>
      <c r="C220" s="1" t="str">
        <f>IFERROR(__xludf.DUMMYFUNCTION("""COMPUTED_VALUE"""),"RETA ARIEL RAMIRO")</f>
        <v>RETA ARIEL RAMIRO</v>
      </c>
      <c r="D220" s="1" t="str">
        <f>IFERROR(__xludf.DUMMYFUNCTION("""COMPUTED_VALUE"""),"Lentes de LABORATORIO")</f>
        <v>Lentes de LABORATORIO</v>
      </c>
      <c r="E220" s="1" t="str">
        <f>IFERROR(__xludf.DUMMYFUNCTION("""COMPUTED_VALUE"""),"RIVADAVIA Marcela L")</f>
        <v>RIVADAVIA Marcela L</v>
      </c>
      <c r="F220" s="1" t="str">
        <f t="shared" si="1"/>
        <v>RIVADAVIA </v>
      </c>
      <c r="G220" s="1" t="str">
        <f t="shared" si="2"/>
        <v>Marcela L</v>
      </c>
      <c r="H220" s="1" t="str">
        <f>IFERROR(__xludf.DUMMYFUNCTION("""COMPUTED_VALUE"""),"16/1/2023, 17:00:00")</f>
        <v>16/1/2023, 17:00:00</v>
      </c>
      <c r="I220" s="1" t="str">
        <f>IFERROR(__xludf.DUMMYFUNCTION("""COMPUTED_VALUE"""),"RETIRADO OK POR CLIENTE")</f>
        <v>RETIRADO OK POR CLIENTE</v>
      </c>
      <c r="J220" s="1">
        <f t="shared" si="3"/>
        <v>6</v>
      </c>
      <c r="K220" s="1" t="str">
        <f t="shared" si="4"/>
        <v>Entregamos tus lentes, que los disfrutes!</v>
      </c>
    </row>
    <row r="221">
      <c r="A221" s="1">
        <f>IFERROR(__xludf.DUMMYFUNCTION("""COMPUTED_VALUE"""),84772.0)</f>
        <v>84772</v>
      </c>
      <c r="B221" s="5">
        <f>IFERROR(__xludf.DUMMYFUNCTION("""COMPUTED_VALUE"""),44935.43557631945)</f>
        <v>44935.43558</v>
      </c>
      <c r="C221" s="1" t="str">
        <f>IFERROR(__xludf.DUMMYFUNCTION("""COMPUTED_VALUE"""),"ALCARAZ SIMON")</f>
        <v>ALCARAZ SIMON</v>
      </c>
      <c r="D221" s="1" t="str">
        <f>IFERROR(__xludf.DUMMYFUNCTION("""COMPUTED_VALUE"""),"Lentes de STOCK")</f>
        <v>Lentes de STOCK</v>
      </c>
      <c r="E221" s="1" t="str">
        <f>IFERROR(__xludf.DUMMYFUNCTION("""COMPUTED_VALUE"""),"ARTIGAS Ivana P.")</f>
        <v>ARTIGAS Ivana P.</v>
      </c>
      <c r="F221" s="1" t="str">
        <f t="shared" si="1"/>
        <v>ARTIGAS </v>
      </c>
      <c r="G221" s="1" t="str">
        <f t="shared" si="2"/>
        <v>Ivana P.</v>
      </c>
      <c r="H221" s="1" t="str">
        <f>IFERROR(__xludf.DUMMYFUNCTION("""COMPUTED_VALUE"""),"12/1/2023, 17:00:00")</f>
        <v>12/1/2023, 17:00:00</v>
      </c>
      <c r="I221" s="1" t="str">
        <f>IFERROR(__xludf.DUMMYFUNCTION("""COMPUTED_VALUE"""),"RETIRADO OK POR CLIENTE")</f>
        <v>RETIRADO OK POR CLIENTE</v>
      </c>
      <c r="J221" s="1">
        <f t="shared" si="3"/>
        <v>6</v>
      </c>
      <c r="K221" s="1" t="str">
        <f t="shared" si="4"/>
        <v>Entregamos tus lentes, que los disfrutes!</v>
      </c>
    </row>
    <row r="222">
      <c r="A222" s="1">
        <f>IFERROR(__xludf.DUMMYFUNCTION("""COMPUTED_VALUE"""),84773.0)</f>
        <v>84773</v>
      </c>
      <c r="B222" s="5">
        <f>IFERROR(__xludf.DUMMYFUNCTION("""COMPUTED_VALUE"""),44935.43650984953)</f>
        <v>44935.43651</v>
      </c>
      <c r="C222" s="1" t="str">
        <f>IFERROR(__xludf.DUMMYFUNCTION("""COMPUTED_VALUE"""),"LUCERO BELEN")</f>
        <v>LUCERO BELEN</v>
      </c>
      <c r="D222" s="1" t="str">
        <f>IFERROR(__xludf.DUMMYFUNCTION("""COMPUTED_VALUE"""),"Reparaciones/Otros")</f>
        <v>Reparaciones/Otros</v>
      </c>
      <c r="E222" s="1" t="str">
        <f>IFERROR(__xludf.DUMMYFUNCTION("""COMPUTED_VALUE"""),"RIVADAVIA Marcela L")</f>
        <v>RIVADAVIA Marcela L</v>
      </c>
      <c r="F222" s="1" t="str">
        <f t="shared" si="1"/>
        <v>RIVADAVIA </v>
      </c>
      <c r="G222" s="1" t="str">
        <f t="shared" si="2"/>
        <v>Marcela L</v>
      </c>
      <c r="H222" s="1" t="str">
        <f>IFERROR(__xludf.DUMMYFUNCTION("""COMPUTED_VALUE"""),"10/1/2023, 17:00:00")</f>
        <v>10/1/2023, 17:00:00</v>
      </c>
      <c r="I222" s="1" t="str">
        <f>IFERROR(__xludf.DUMMYFUNCTION("""COMPUTED_VALUE"""),"Completado en SUCURSAL")</f>
        <v>Completado en SUCURSAL</v>
      </c>
      <c r="J222" s="1">
        <f t="shared" si="3"/>
        <v>5</v>
      </c>
      <c r="K222" s="1" t="str">
        <f t="shared" si="4"/>
        <v>Tus Lentes estan LISTAS PARA ENTREGAR, te esperamos.</v>
      </c>
    </row>
    <row r="223">
      <c r="A223" s="1">
        <f>IFERROR(__xludf.DUMMYFUNCTION("""COMPUTED_VALUE"""),84774.0)</f>
        <v>84774</v>
      </c>
      <c r="B223" s="5">
        <f>IFERROR(__xludf.DUMMYFUNCTION("""COMPUTED_VALUE"""),44935.44999623843)</f>
        <v>44935.45</v>
      </c>
      <c r="C223" s="1" t="str">
        <f>IFERROR(__xludf.DUMMYFUNCTION("""COMPUTED_VALUE"""),"RODRIGUEZ ESTELA ")</f>
        <v>RODRIGUEZ ESTELA </v>
      </c>
      <c r="D223" s="1" t="str">
        <f>IFERROR(__xludf.DUMMYFUNCTION("""COMPUTED_VALUE"""),"Lentes de STOCK")</f>
        <v>Lentes de STOCK</v>
      </c>
      <c r="E223" s="1" t="str">
        <f>IFERROR(__xludf.DUMMYFUNCTION("""COMPUTED_VALUE"""),"ARTIGAS Cristian C.")</f>
        <v>ARTIGAS Cristian C.</v>
      </c>
      <c r="F223" s="1" t="str">
        <f t="shared" si="1"/>
        <v>ARTIGAS </v>
      </c>
      <c r="G223" s="1" t="str">
        <f t="shared" si="2"/>
        <v>Cristian C.</v>
      </c>
      <c r="H223" s="1" t="str">
        <f>IFERROR(__xludf.DUMMYFUNCTION("""COMPUTED_VALUE"""),"17/1/2023, 17:00:00")</f>
        <v>17/1/2023, 17:00:00</v>
      </c>
      <c r="I223" s="1" t="str">
        <f>IFERROR(__xludf.DUMMYFUNCTION("""COMPUTED_VALUE"""),"RETIRADO OK POR CLIENTE")</f>
        <v>RETIRADO OK POR CLIENTE</v>
      </c>
      <c r="J223" s="1">
        <f t="shared" si="3"/>
        <v>6</v>
      </c>
      <c r="K223" s="1" t="str">
        <f t="shared" si="4"/>
        <v>Entregamos tus lentes, que los disfrutes!</v>
      </c>
    </row>
    <row r="224">
      <c r="A224" s="1">
        <f>IFERROR(__xludf.DUMMYFUNCTION("""COMPUTED_VALUE"""),84775.0)</f>
        <v>84775</v>
      </c>
      <c r="B224" s="5">
        <f>IFERROR(__xludf.DUMMYFUNCTION("""COMPUTED_VALUE"""),44935.45216269676)</f>
        <v>44935.45216</v>
      </c>
      <c r="C224" s="1" t="str">
        <f>IFERROR(__xludf.DUMMYFUNCTION("""COMPUTED_VALUE"""),"Rubilar Luis")</f>
        <v>Rubilar Luis</v>
      </c>
      <c r="D224" s="1" t="str">
        <f>IFERROR(__xludf.DUMMYFUNCTION("""COMPUTED_VALUE"""),"Reparaciones/Otros")</f>
        <v>Reparaciones/Otros</v>
      </c>
      <c r="E224" s="1" t="str">
        <f>IFERROR(__xludf.DUMMYFUNCTION("""COMPUTED_VALUE"""),"RIVADAVIA Rocio B")</f>
        <v>RIVADAVIA Rocio B</v>
      </c>
      <c r="F224" s="1" t="str">
        <f t="shared" si="1"/>
        <v>RIVADAVIA </v>
      </c>
      <c r="G224" s="1" t="str">
        <f t="shared" si="2"/>
        <v>Rocio B</v>
      </c>
      <c r="H224" s="1" t="str">
        <f>IFERROR(__xludf.DUMMYFUNCTION("""COMPUTED_VALUE"""),"10/1/2023, 17:00:00")</f>
        <v>10/1/2023, 17:00:00</v>
      </c>
      <c r="I224" s="1" t="str">
        <f>IFERROR(__xludf.DUMMYFUNCTION("""COMPUTED_VALUE"""),"Completado en SUCURSAL")</f>
        <v>Completado en SUCURSAL</v>
      </c>
      <c r="J224" s="1">
        <f t="shared" si="3"/>
        <v>5</v>
      </c>
      <c r="K224" s="1" t="str">
        <f t="shared" si="4"/>
        <v>Tus Lentes estan LISTAS PARA ENTREGAR, te esperamos.</v>
      </c>
    </row>
    <row r="225">
      <c r="A225" s="1">
        <f>IFERROR(__xludf.DUMMYFUNCTION("""COMPUTED_VALUE"""),84776.0)</f>
        <v>84776</v>
      </c>
      <c r="B225" s="5">
        <f>IFERROR(__xludf.DUMMYFUNCTION("""COMPUTED_VALUE"""),44935.46039814815)</f>
        <v>44935.4604</v>
      </c>
      <c r="C225" s="1" t="str">
        <f>IFERROR(__xludf.DUMMYFUNCTION("""COMPUTED_VALUE"""),"ORTIZ ANA MARIA")</f>
        <v>ORTIZ ANA MARIA</v>
      </c>
      <c r="D225" s="1" t="str">
        <f>IFERROR(__xludf.DUMMYFUNCTION("""COMPUTED_VALUE"""),"Lentes de STOCK")</f>
        <v>Lentes de STOCK</v>
      </c>
      <c r="E225" s="1" t="str">
        <f>IFERROR(__xludf.DUMMYFUNCTION("""COMPUTED_VALUE"""),"ARTIGAS Cristian C.")</f>
        <v>ARTIGAS Cristian C.</v>
      </c>
      <c r="F225" s="1" t="str">
        <f t="shared" si="1"/>
        <v>ARTIGAS </v>
      </c>
      <c r="G225" s="1" t="str">
        <f t="shared" si="2"/>
        <v>Cristian C.</v>
      </c>
      <c r="H225" s="1" t="str">
        <f>IFERROR(__xludf.DUMMYFUNCTION("""COMPUTED_VALUE"""),"16/1/2023, 17:00:00")</f>
        <v>16/1/2023, 17:00:00</v>
      </c>
      <c r="I225" s="1" t="str">
        <f>IFERROR(__xludf.DUMMYFUNCTION("""COMPUTED_VALUE"""),"RETIRADO OK POR CLIENTE")</f>
        <v>RETIRADO OK POR CLIENTE</v>
      </c>
      <c r="J225" s="1">
        <f t="shared" si="3"/>
        <v>6</v>
      </c>
      <c r="K225" s="1" t="str">
        <f t="shared" si="4"/>
        <v>Entregamos tus lentes, que los disfrutes!</v>
      </c>
    </row>
    <row r="226">
      <c r="A226" s="1">
        <f>IFERROR(__xludf.DUMMYFUNCTION("""COMPUTED_VALUE"""),84777.0)</f>
        <v>84777</v>
      </c>
      <c r="B226" s="5">
        <f>IFERROR(__xludf.DUMMYFUNCTION("""COMPUTED_VALUE"""),44935.46257604167)</f>
        <v>44935.46258</v>
      </c>
      <c r="C226" s="1" t="str">
        <f>IFERROR(__xludf.DUMMYFUNCTION("""COMPUTED_VALUE"""),"lucero yolanda")</f>
        <v>lucero yolanda</v>
      </c>
      <c r="D226" s="1" t="str">
        <f>IFERROR(__xludf.DUMMYFUNCTION("""COMPUTED_VALUE"""),"Lentes de STOCK")</f>
        <v>Lentes de STOCK</v>
      </c>
      <c r="E226" s="1" t="str">
        <f>IFERROR(__xludf.DUMMYFUNCTION("""COMPUTED_VALUE"""),"RIVADAVIA Santiago LOPEZ")</f>
        <v>RIVADAVIA Santiago LOPEZ</v>
      </c>
      <c r="F226" s="1" t="str">
        <f t="shared" si="1"/>
        <v>RIVADAVIA </v>
      </c>
      <c r="G226" s="1" t="str">
        <f t="shared" si="2"/>
        <v>Santiago LOPEZ</v>
      </c>
      <c r="H226" s="1" t="str">
        <f>IFERROR(__xludf.DUMMYFUNCTION("""COMPUTED_VALUE"""),"11/1/2023, 17:00:00")</f>
        <v>11/1/2023, 17:00:00</v>
      </c>
      <c r="I226" s="1" t="str">
        <f>IFERROR(__xludf.DUMMYFUNCTION("""COMPUTED_VALUE"""),"RETIRADO OK POR CLIENTE")</f>
        <v>RETIRADO OK POR CLIENTE</v>
      </c>
      <c r="J226" s="1">
        <f t="shared" si="3"/>
        <v>6</v>
      </c>
      <c r="K226" s="1" t="str">
        <f t="shared" si="4"/>
        <v>Entregamos tus lentes, que los disfrutes!</v>
      </c>
    </row>
    <row r="227">
      <c r="A227" s="1">
        <f>IFERROR(__xludf.DUMMYFUNCTION("""COMPUTED_VALUE"""),84778.0)</f>
        <v>84778</v>
      </c>
      <c r="B227" s="5">
        <f>IFERROR(__xludf.DUMMYFUNCTION("""COMPUTED_VALUE"""),44935.468343437504)</f>
        <v>44935.46834</v>
      </c>
      <c r="C227" s="1" t="str">
        <f>IFERROR(__xludf.DUMMYFUNCTION("""COMPUTED_VALUE"""),"ZAPATA JUAN CARLOS ")</f>
        <v>ZAPATA JUAN CARLOS </v>
      </c>
      <c r="D227" s="1" t="str">
        <f>IFERROR(__xludf.DUMMYFUNCTION("""COMPUTED_VALUE"""),"Lentes MULTIFOCALES")</f>
        <v>Lentes MULTIFOCALES</v>
      </c>
      <c r="E227" s="1" t="str">
        <f>IFERROR(__xludf.DUMMYFUNCTION("""COMPUTED_VALUE"""),"RIVADAVIA Luciana")</f>
        <v>RIVADAVIA Luciana</v>
      </c>
      <c r="F227" s="1" t="str">
        <f t="shared" si="1"/>
        <v>RIVADAVIA </v>
      </c>
      <c r="G227" s="1" t="str">
        <f t="shared" si="2"/>
        <v>Luciana</v>
      </c>
      <c r="H227" s="1" t="str">
        <f>IFERROR(__xludf.DUMMYFUNCTION("""COMPUTED_VALUE"""),"2/2/2023, 17:00:00")</f>
        <v>2/2/2023, 17:00:00</v>
      </c>
      <c r="I227" s="1" t="str">
        <f>IFERROR(__xludf.DUMMYFUNCTION("""COMPUTED_VALUE"""),"Recibido en Laboratorio")</f>
        <v>Recibido en Laboratorio</v>
      </c>
      <c r="J227" s="1">
        <f t="shared" si="3"/>
        <v>2</v>
      </c>
      <c r="K227" s="1" t="str">
        <f t="shared" si="4"/>
        <v>Nuestro Laboratorio esta trabajando en tus lentes, los entregaremos en la fecha acordada.</v>
      </c>
    </row>
    <row r="228">
      <c r="A228" s="1">
        <f>IFERROR(__xludf.DUMMYFUNCTION("""COMPUTED_VALUE"""),84779.0)</f>
        <v>84779</v>
      </c>
      <c r="B228" s="5">
        <f>IFERROR(__xludf.DUMMYFUNCTION("""COMPUTED_VALUE"""),44935.46942887732)</f>
        <v>44935.46943</v>
      </c>
      <c r="C228" s="1" t="str">
        <f>IFERROR(__xludf.DUMMYFUNCTION("""COMPUTED_VALUE"""),"Disisto Ayelen")</f>
        <v>Disisto Ayelen</v>
      </c>
      <c r="D228" s="1" t="str">
        <f>IFERROR(__xludf.DUMMYFUNCTION("""COMPUTED_VALUE"""),"Lentes de STOCK")</f>
        <v>Lentes de STOCK</v>
      </c>
      <c r="E228" s="1" t="str">
        <f>IFERROR(__xludf.DUMMYFUNCTION("""COMPUTED_VALUE"""),"RIVADAVIA Rocio B")</f>
        <v>RIVADAVIA Rocio B</v>
      </c>
      <c r="F228" s="1" t="str">
        <f t="shared" si="1"/>
        <v>RIVADAVIA </v>
      </c>
      <c r="G228" s="1" t="str">
        <f t="shared" si="2"/>
        <v>Rocio B</v>
      </c>
      <c r="H228" s="1" t="str">
        <f>IFERROR(__xludf.DUMMYFUNCTION("""COMPUTED_VALUE"""),"13/1/2023, 17:00:00")</f>
        <v>13/1/2023, 17:00:00</v>
      </c>
      <c r="I228" s="1" t="str">
        <f>IFERROR(__xludf.DUMMYFUNCTION("""COMPUTED_VALUE"""),"RETIRADO OK POR CLIENTE")</f>
        <v>RETIRADO OK POR CLIENTE</v>
      </c>
      <c r="J228" s="1">
        <f t="shared" si="3"/>
        <v>6</v>
      </c>
      <c r="K228" s="1" t="str">
        <f t="shared" si="4"/>
        <v>Entregamos tus lentes, que los disfrutes!</v>
      </c>
    </row>
    <row r="229">
      <c r="A229" s="1">
        <f>IFERROR(__xludf.DUMMYFUNCTION("""COMPUTED_VALUE"""),84780.0)</f>
        <v>84780</v>
      </c>
      <c r="B229" s="5">
        <f>IFERROR(__xludf.DUMMYFUNCTION("""COMPUTED_VALUE"""),44935.47931980324)</f>
        <v>44935.47932</v>
      </c>
      <c r="C229" s="1" t="str">
        <f>IFERROR(__xludf.DUMMYFUNCTION("""COMPUTED_VALUE"""),"Albisu Francisco ")</f>
        <v>Albisu Francisco </v>
      </c>
      <c r="D229" s="1" t="str">
        <f>IFERROR(__xludf.DUMMYFUNCTION("""COMPUTED_VALUE"""),"Reparaciones/Otros")</f>
        <v>Reparaciones/Otros</v>
      </c>
      <c r="E229" s="1" t="str">
        <f>IFERROR(__xludf.DUMMYFUNCTION("""COMPUTED_VALUE"""),"ARTIGAS Celina")</f>
        <v>ARTIGAS Celina</v>
      </c>
      <c r="F229" s="1" t="str">
        <f t="shared" si="1"/>
        <v>ARTIGAS </v>
      </c>
      <c r="G229" s="1" t="str">
        <f t="shared" si="2"/>
        <v>Celina</v>
      </c>
      <c r="H229" s="1" t="str">
        <f>IFERROR(__xludf.DUMMYFUNCTION("""COMPUTED_VALUE"""),"10/1/2023, 17:00:00")</f>
        <v>10/1/2023, 17:00:00</v>
      </c>
      <c r="I229" s="1"/>
      <c r="J229" s="1">
        <f t="shared" si="3"/>
        <v>0</v>
      </c>
      <c r="K229" s="1" t="str">
        <f t="shared" si="4"/>
        <v/>
      </c>
    </row>
    <row r="230">
      <c r="A230" s="1">
        <f>IFERROR(__xludf.DUMMYFUNCTION("""COMPUTED_VALUE"""),84781.0)</f>
        <v>84781</v>
      </c>
      <c r="B230" s="5">
        <f>IFERROR(__xludf.DUMMYFUNCTION("""COMPUTED_VALUE"""),44935.48311170139)</f>
        <v>44935.48311</v>
      </c>
      <c r="C230" s="1" t="str">
        <f>IFERROR(__xludf.DUMMYFUNCTION("""COMPUTED_VALUE"""),"gil karina")</f>
        <v>gil karina</v>
      </c>
      <c r="D230" s="1" t="str">
        <f>IFERROR(__xludf.DUMMYFUNCTION("""COMPUTED_VALUE"""),"Lentes de STOCK")</f>
        <v>Lentes de STOCK</v>
      </c>
      <c r="E230" s="1" t="str">
        <f>IFERROR(__xludf.DUMMYFUNCTION("""COMPUTED_VALUE"""),"RIVADAVIA Santiago LOPEZ")</f>
        <v>RIVADAVIA Santiago LOPEZ</v>
      </c>
      <c r="F230" s="1" t="str">
        <f t="shared" si="1"/>
        <v>RIVADAVIA </v>
      </c>
      <c r="G230" s="1" t="str">
        <f t="shared" si="2"/>
        <v>Santiago LOPEZ</v>
      </c>
      <c r="H230" s="1" t="str">
        <f>IFERROR(__xludf.DUMMYFUNCTION("""COMPUTED_VALUE"""),"12/1/2023, 17:00:00")</f>
        <v>12/1/2023, 17:00:00</v>
      </c>
      <c r="I230" s="1" t="str">
        <f>IFERROR(__xludf.DUMMYFUNCTION("""COMPUTED_VALUE"""),"RETIRADO OK POR CLIENTE")</f>
        <v>RETIRADO OK POR CLIENTE</v>
      </c>
      <c r="J230" s="1">
        <f t="shared" si="3"/>
        <v>6</v>
      </c>
      <c r="K230" s="1" t="str">
        <f t="shared" si="4"/>
        <v>Entregamos tus lentes, que los disfrutes!</v>
      </c>
    </row>
    <row r="231">
      <c r="A231" s="1">
        <f>IFERROR(__xludf.DUMMYFUNCTION("""COMPUTED_VALUE"""),84782.0)</f>
        <v>84782</v>
      </c>
      <c r="B231" s="5">
        <f>IFERROR(__xludf.DUMMYFUNCTION("""COMPUTED_VALUE"""),44935.4932499537)</f>
        <v>44935.49325</v>
      </c>
      <c r="C231" s="1" t="str">
        <f>IFERROR(__xludf.DUMMYFUNCTION("""COMPUTED_VALUE"""),"ZAPATA RITA RAMONA")</f>
        <v>ZAPATA RITA RAMONA</v>
      </c>
      <c r="D231" s="1" t="str">
        <f>IFERROR(__xludf.DUMMYFUNCTION("""COMPUTED_VALUE"""),"Lentes de STOCK")</f>
        <v>Lentes de STOCK</v>
      </c>
      <c r="E231" s="1" t="str">
        <f>IFERROR(__xludf.DUMMYFUNCTION("""COMPUTED_VALUE"""),"RIVADAVIA Marcela L")</f>
        <v>RIVADAVIA Marcela L</v>
      </c>
      <c r="F231" s="1" t="str">
        <f t="shared" si="1"/>
        <v>RIVADAVIA </v>
      </c>
      <c r="G231" s="1" t="str">
        <f t="shared" si="2"/>
        <v>Marcela L</v>
      </c>
      <c r="H231" s="1" t="str">
        <f>IFERROR(__xludf.DUMMYFUNCTION("""COMPUTED_VALUE"""),"12/1/2023, 17:00:00")</f>
        <v>12/1/2023, 17:00:00</v>
      </c>
      <c r="I231" s="1" t="str">
        <f>IFERROR(__xludf.DUMMYFUNCTION("""COMPUTED_VALUE"""),"RETIRADO OK POR CLIENTE")</f>
        <v>RETIRADO OK POR CLIENTE</v>
      </c>
      <c r="J231" s="1">
        <f t="shared" si="3"/>
        <v>6</v>
      </c>
      <c r="K231" s="1" t="str">
        <f t="shared" si="4"/>
        <v>Entregamos tus lentes, que los disfrutes!</v>
      </c>
    </row>
    <row r="232">
      <c r="A232" s="1">
        <f>IFERROR(__xludf.DUMMYFUNCTION("""COMPUTED_VALUE"""),84783.0)</f>
        <v>84783</v>
      </c>
      <c r="B232" s="5">
        <f>IFERROR(__xludf.DUMMYFUNCTION("""COMPUTED_VALUE"""),44935.50957981481)</f>
        <v>44935.50958</v>
      </c>
      <c r="C232" s="1" t="str">
        <f>IFERROR(__xludf.DUMMYFUNCTION("""COMPUTED_VALUE"""),"GOMEZ JACINTO ORLANDO")</f>
        <v>GOMEZ JACINTO ORLANDO</v>
      </c>
      <c r="D232" s="1" t="str">
        <f>IFERROR(__xludf.DUMMYFUNCTION("""COMPUTED_VALUE"""),"Lentes de STOCK")</f>
        <v>Lentes de STOCK</v>
      </c>
      <c r="E232" s="1" t="str">
        <f>IFERROR(__xludf.DUMMYFUNCTION("""COMPUTED_VALUE"""),"ARTIGAS Cristian C.")</f>
        <v>ARTIGAS Cristian C.</v>
      </c>
      <c r="F232" s="1" t="str">
        <f t="shared" si="1"/>
        <v>ARTIGAS </v>
      </c>
      <c r="G232" s="1" t="str">
        <f t="shared" si="2"/>
        <v>Cristian C.</v>
      </c>
      <c r="H232" s="1" t="str">
        <f>IFERROR(__xludf.DUMMYFUNCTION("""COMPUTED_VALUE"""),"20/1/2023, 17:00:00")</f>
        <v>20/1/2023, 17:00:00</v>
      </c>
      <c r="I232" s="1" t="str">
        <f>IFERROR(__xludf.DUMMYFUNCTION("""COMPUTED_VALUE"""),"RETIRADO OK POR CLIENTE")</f>
        <v>RETIRADO OK POR CLIENTE</v>
      </c>
      <c r="J232" s="1">
        <f t="shared" si="3"/>
        <v>6</v>
      </c>
      <c r="K232" s="1" t="str">
        <f t="shared" si="4"/>
        <v>Entregamos tus lentes, que los disfrutes!</v>
      </c>
    </row>
    <row r="233">
      <c r="A233" s="1">
        <f>IFERROR(__xludf.DUMMYFUNCTION("""COMPUTED_VALUE"""),84784.0)</f>
        <v>84784</v>
      </c>
      <c r="B233" s="5">
        <f>IFERROR(__xludf.DUMMYFUNCTION("""COMPUTED_VALUE"""),44935.510604930554)</f>
        <v>44935.5106</v>
      </c>
      <c r="C233" s="1" t="str">
        <f>IFERROR(__xludf.DUMMYFUNCTION("""COMPUTED_VALUE"""),"camargo cecilia")</f>
        <v>camargo cecilia</v>
      </c>
      <c r="D233" s="1" t="str">
        <f>IFERROR(__xludf.DUMMYFUNCTION("""COMPUTED_VALUE"""),"Reparaciones/Otros")</f>
        <v>Reparaciones/Otros</v>
      </c>
      <c r="E233" s="1" t="str">
        <f>IFERROR(__xludf.DUMMYFUNCTION("""COMPUTED_VALUE"""),"RIVADAVIA Santiago LOPEZ")</f>
        <v>RIVADAVIA Santiago LOPEZ</v>
      </c>
      <c r="F233" s="1" t="str">
        <f t="shared" si="1"/>
        <v>RIVADAVIA </v>
      </c>
      <c r="G233" s="1" t="str">
        <f t="shared" si="2"/>
        <v>Santiago LOPEZ</v>
      </c>
      <c r="H233" s="1" t="str">
        <f>IFERROR(__xludf.DUMMYFUNCTION("""COMPUTED_VALUE"""),"10/1/2023, 17:00:00")</f>
        <v>10/1/2023, 17:00:00</v>
      </c>
      <c r="I233" s="1" t="str">
        <f>IFERROR(__xludf.DUMMYFUNCTION("""COMPUTED_VALUE"""),"RETIRADO OK POR CLIENTE")</f>
        <v>RETIRADO OK POR CLIENTE</v>
      </c>
      <c r="J233" s="1">
        <f t="shared" si="3"/>
        <v>6</v>
      </c>
      <c r="K233" s="1" t="str">
        <f t="shared" si="4"/>
        <v>Entregamos tus lentes, que los disfrutes!</v>
      </c>
    </row>
    <row r="234">
      <c r="A234" s="1">
        <f>IFERROR(__xludf.DUMMYFUNCTION("""COMPUTED_VALUE"""),84785.0)</f>
        <v>84785</v>
      </c>
      <c r="B234" s="5">
        <f>IFERROR(__xludf.DUMMYFUNCTION("""COMPUTED_VALUE"""),44935.513277314814)</f>
        <v>44935.51328</v>
      </c>
      <c r="C234" s="1" t="str">
        <f>IFERROR(__xludf.DUMMYFUNCTION("""COMPUTED_VALUE"""),"GIL JOSE AMBROSIO ")</f>
        <v>GIL JOSE AMBROSIO </v>
      </c>
      <c r="D234" s="1" t="str">
        <f>IFERROR(__xludf.DUMMYFUNCTION("""COMPUTED_VALUE"""),"Lentes MULTIFOCALES")</f>
        <v>Lentes MULTIFOCALES</v>
      </c>
      <c r="E234" s="1" t="str">
        <f>IFERROR(__xludf.DUMMYFUNCTION("""COMPUTED_VALUE"""),"RIVADAVIA Luciana")</f>
        <v>RIVADAVIA Luciana</v>
      </c>
      <c r="F234" s="1" t="str">
        <f t="shared" si="1"/>
        <v>RIVADAVIA </v>
      </c>
      <c r="G234" s="1" t="str">
        <f t="shared" si="2"/>
        <v>Luciana</v>
      </c>
      <c r="H234" s="1" t="str">
        <f>IFERROR(__xludf.DUMMYFUNCTION("""COMPUTED_VALUE"""),"26/1/2023, 17:00:00")</f>
        <v>26/1/2023, 17:00:00</v>
      </c>
      <c r="I234" s="1" t="str">
        <f>IFERROR(__xludf.DUMMYFUNCTION("""COMPUTED_VALUE"""),"RETIRADO OK POR CLIENTE")</f>
        <v>RETIRADO OK POR CLIENTE</v>
      </c>
      <c r="J234" s="1">
        <f t="shared" si="3"/>
        <v>6</v>
      </c>
      <c r="K234" s="1" t="str">
        <f t="shared" si="4"/>
        <v>Entregamos tus lentes, que los disfrutes!</v>
      </c>
    </row>
    <row r="235">
      <c r="A235" s="1">
        <f>IFERROR(__xludf.DUMMYFUNCTION("""COMPUTED_VALUE"""),84786.0)</f>
        <v>84786</v>
      </c>
      <c r="B235" s="5">
        <f>IFERROR(__xludf.DUMMYFUNCTION("""COMPUTED_VALUE"""),44935.516359953705)</f>
        <v>44935.51636</v>
      </c>
      <c r="C235" s="1" t="str">
        <f>IFERROR(__xludf.DUMMYFUNCTION("""COMPUTED_VALUE"""),"SCHULE LILIANA")</f>
        <v>SCHULE LILIANA</v>
      </c>
      <c r="D235" s="1" t="str">
        <f>IFERROR(__xludf.DUMMYFUNCTION("""COMPUTED_VALUE"""),"Lentes MULTIFOCALES")</f>
        <v>Lentes MULTIFOCALES</v>
      </c>
      <c r="E235" s="1" t="str">
        <f>IFERROR(__xludf.DUMMYFUNCTION("""COMPUTED_VALUE"""),"ARTIGAS Ivana P.")</f>
        <v>ARTIGAS Ivana P.</v>
      </c>
      <c r="F235" s="1" t="str">
        <f t="shared" si="1"/>
        <v>ARTIGAS </v>
      </c>
      <c r="G235" s="1" t="str">
        <f t="shared" si="2"/>
        <v>Ivana P.</v>
      </c>
      <c r="H235" s="1" t="str">
        <f>IFERROR(__xludf.DUMMYFUNCTION("""COMPUTED_VALUE"""),"23/1/2023, 17:00:00")</f>
        <v>23/1/2023, 17:00:00</v>
      </c>
      <c r="I235" s="1" t="str">
        <f>IFERROR(__xludf.DUMMYFUNCTION("""COMPUTED_VALUE"""),"Completado en SUCURSAL")</f>
        <v>Completado en SUCURSAL</v>
      </c>
      <c r="J235" s="1">
        <f t="shared" si="3"/>
        <v>5</v>
      </c>
      <c r="K235" s="1" t="str">
        <f t="shared" si="4"/>
        <v>Tus Lentes estan LISTAS PARA ENTREGAR, te esperamos.</v>
      </c>
    </row>
    <row r="236">
      <c r="A236" s="1">
        <f>IFERROR(__xludf.DUMMYFUNCTION("""COMPUTED_VALUE"""),84787.0)</f>
        <v>84787</v>
      </c>
      <c r="B236" s="5">
        <f>IFERROR(__xludf.DUMMYFUNCTION("""COMPUTED_VALUE"""),44935.52858292824)</f>
        <v>44935.52858</v>
      </c>
      <c r="C236" s="1" t="str">
        <f>IFERROR(__xludf.DUMMYFUNCTION("""COMPUTED_VALUE"""),"CARM,ONA OMAR")</f>
        <v>CARM,ONA OMAR</v>
      </c>
      <c r="D236" s="1" t="str">
        <f>IFERROR(__xludf.DUMMYFUNCTION("""COMPUTED_VALUE"""),"Lentes de STOCK")</f>
        <v>Lentes de STOCK</v>
      </c>
      <c r="E236" s="1" t="str">
        <f>IFERROR(__xludf.DUMMYFUNCTION("""COMPUTED_VALUE"""),"ARTIGAS Cristian C.")</f>
        <v>ARTIGAS Cristian C.</v>
      </c>
      <c r="F236" s="1" t="str">
        <f t="shared" si="1"/>
        <v>ARTIGAS </v>
      </c>
      <c r="G236" s="1" t="str">
        <f t="shared" si="2"/>
        <v>Cristian C.</v>
      </c>
      <c r="H236" s="1" t="str">
        <f>IFERROR(__xludf.DUMMYFUNCTION("""COMPUTED_VALUE"""),"11/1/2023, 17:00:00")</f>
        <v>11/1/2023, 17:00:00</v>
      </c>
      <c r="I236" s="1" t="str">
        <f>IFERROR(__xludf.DUMMYFUNCTION("""COMPUTED_VALUE"""),"RETIRADO OK POR CLIENTE")</f>
        <v>RETIRADO OK POR CLIENTE</v>
      </c>
      <c r="J236" s="1">
        <f t="shared" si="3"/>
        <v>6</v>
      </c>
      <c r="K236" s="1" t="str">
        <f t="shared" si="4"/>
        <v>Entregamos tus lentes, que los disfrutes!</v>
      </c>
    </row>
    <row r="237">
      <c r="A237" s="1">
        <f>IFERROR(__xludf.DUMMYFUNCTION("""COMPUTED_VALUE"""),84788.0)</f>
        <v>84788</v>
      </c>
      <c r="B237" s="5">
        <f>IFERROR(__xludf.DUMMYFUNCTION("""COMPUTED_VALUE"""),44935.537137499996)</f>
        <v>44935.53714</v>
      </c>
      <c r="C237" s="1" t="str">
        <f>IFERROR(__xludf.DUMMYFUNCTION("""COMPUTED_VALUE"""),"LEAL MARIANO ESTEBAN")</f>
        <v>LEAL MARIANO ESTEBAN</v>
      </c>
      <c r="D237" s="1" t="str">
        <f>IFERROR(__xludf.DUMMYFUNCTION("""COMPUTED_VALUE"""),"Reparaciones/Otros")</f>
        <v>Reparaciones/Otros</v>
      </c>
      <c r="E237" s="1" t="str">
        <f>IFERROR(__xludf.DUMMYFUNCTION("""COMPUTED_VALUE"""),"RIVADAVIA Marcela L")</f>
        <v>RIVADAVIA Marcela L</v>
      </c>
      <c r="F237" s="1" t="str">
        <f t="shared" si="1"/>
        <v>RIVADAVIA </v>
      </c>
      <c r="G237" s="1" t="str">
        <f t="shared" si="2"/>
        <v>Marcela L</v>
      </c>
      <c r="H237" s="1" t="str">
        <f>IFERROR(__xludf.DUMMYFUNCTION("""COMPUTED_VALUE"""),"10/1/2023, 17:00:00")</f>
        <v>10/1/2023, 17:00:00</v>
      </c>
      <c r="I237" s="1"/>
      <c r="J237" s="1">
        <f t="shared" si="3"/>
        <v>0</v>
      </c>
      <c r="K237" s="1" t="str">
        <f t="shared" si="4"/>
        <v/>
      </c>
    </row>
    <row r="238">
      <c r="A238" s="1">
        <f>IFERROR(__xludf.DUMMYFUNCTION("""COMPUTED_VALUE"""),84789.0)</f>
        <v>84789</v>
      </c>
      <c r="B238" s="5">
        <f>IFERROR(__xludf.DUMMYFUNCTION("""COMPUTED_VALUE"""),44935.53714321759)</f>
        <v>44935.53714</v>
      </c>
      <c r="C238" s="1" t="str">
        <f>IFERROR(__xludf.DUMMYFUNCTION("""COMPUTED_VALUE"""),"SUAREZ AYDE")</f>
        <v>SUAREZ AYDE</v>
      </c>
      <c r="D238" s="1" t="str">
        <f>IFERROR(__xludf.DUMMYFUNCTION("""COMPUTED_VALUE"""),"Lentes BIFOCALES")</f>
        <v>Lentes BIFOCALES</v>
      </c>
      <c r="E238" s="1" t="str">
        <f>IFERROR(__xludf.DUMMYFUNCTION("""COMPUTED_VALUE"""),"ARTIGAS Cristian C.")</f>
        <v>ARTIGAS Cristian C.</v>
      </c>
      <c r="F238" s="1" t="str">
        <f t="shared" si="1"/>
        <v>ARTIGAS </v>
      </c>
      <c r="G238" s="1" t="str">
        <f t="shared" si="2"/>
        <v>Cristian C.</v>
      </c>
      <c r="H238" s="1" t="str">
        <f>IFERROR(__xludf.DUMMYFUNCTION("""COMPUTED_VALUE"""),"17/1/2023, 17:00:00")</f>
        <v>17/1/2023, 17:00:00</v>
      </c>
      <c r="I238" s="1" t="str">
        <f>IFERROR(__xludf.DUMMYFUNCTION("""COMPUTED_VALUE"""),"RETIRADO OK POR CLIENTE")</f>
        <v>RETIRADO OK POR CLIENTE</v>
      </c>
      <c r="J238" s="1">
        <f t="shared" si="3"/>
        <v>6</v>
      </c>
      <c r="K238" s="1" t="str">
        <f t="shared" si="4"/>
        <v>Entregamos tus lentes, que los disfrutes!</v>
      </c>
    </row>
    <row r="239">
      <c r="A239" s="1">
        <f>IFERROR(__xludf.DUMMYFUNCTION("""COMPUTED_VALUE"""),84790.0)</f>
        <v>84790</v>
      </c>
      <c r="B239" s="5">
        <f>IFERROR(__xludf.DUMMYFUNCTION("""COMPUTED_VALUE"""),44935.53903655092)</f>
        <v>44935.53904</v>
      </c>
      <c r="C239" s="1" t="str">
        <f>IFERROR(__xludf.DUMMYFUNCTION("""COMPUTED_VALUE"""),"Andreotti Lucas")</f>
        <v>Andreotti Lucas</v>
      </c>
      <c r="D239" s="1" t="str">
        <f>IFERROR(__xludf.DUMMYFUNCTION("""COMPUTED_VALUE"""),"Reparaciones/Otros")</f>
        <v>Reparaciones/Otros</v>
      </c>
      <c r="E239" s="1" t="str">
        <f>IFERROR(__xludf.DUMMYFUNCTION("""COMPUTED_VALUE"""),"RIVADAVIA Rocio B")</f>
        <v>RIVADAVIA Rocio B</v>
      </c>
      <c r="F239" s="1" t="str">
        <f t="shared" si="1"/>
        <v>RIVADAVIA </v>
      </c>
      <c r="G239" s="1" t="str">
        <f t="shared" si="2"/>
        <v>Rocio B</v>
      </c>
      <c r="H239" s="1" t="str">
        <f>IFERROR(__xludf.DUMMYFUNCTION("""COMPUTED_VALUE"""),"10/1/2023, 17:00:00")</f>
        <v>10/1/2023, 17:00:00</v>
      </c>
      <c r="I239" s="1" t="str">
        <f>IFERROR(__xludf.DUMMYFUNCTION("""COMPUTED_VALUE"""),"Completado en SUCURSAL")</f>
        <v>Completado en SUCURSAL</v>
      </c>
      <c r="J239" s="1">
        <f t="shared" si="3"/>
        <v>5</v>
      </c>
      <c r="K239" s="1" t="str">
        <f t="shared" si="4"/>
        <v>Tus Lentes estan LISTAS PARA ENTREGAR, te esperamos.</v>
      </c>
    </row>
    <row r="240">
      <c r="A240" s="1">
        <f>IFERROR(__xludf.DUMMYFUNCTION("""COMPUTED_VALUE"""),84791.0)</f>
        <v>84791</v>
      </c>
      <c r="B240" s="5">
        <f>IFERROR(__xludf.DUMMYFUNCTION("""COMPUTED_VALUE"""),44935.5408908449)</f>
        <v>44935.54089</v>
      </c>
      <c r="C240" s="1" t="str">
        <f>IFERROR(__xludf.DUMMYFUNCTION("""COMPUTED_VALUE"""),"GUZMAN PAULA")</f>
        <v>GUZMAN PAULA</v>
      </c>
      <c r="D240" s="1" t="str">
        <f>IFERROR(__xludf.DUMMYFUNCTION("""COMPUTED_VALUE"""),"Lentes de STOCK")</f>
        <v>Lentes de STOCK</v>
      </c>
      <c r="E240" s="1" t="str">
        <f>IFERROR(__xludf.DUMMYFUNCTION("""COMPUTED_VALUE"""),"ARTIGAS Ivana P.")</f>
        <v>ARTIGAS Ivana P.</v>
      </c>
      <c r="F240" s="1" t="str">
        <f t="shared" si="1"/>
        <v>ARTIGAS </v>
      </c>
      <c r="G240" s="1" t="str">
        <f t="shared" si="2"/>
        <v>Ivana P.</v>
      </c>
      <c r="H240" s="1" t="str">
        <f>IFERROR(__xludf.DUMMYFUNCTION("""COMPUTED_VALUE"""),"14/1/2023, 17:00:00")</f>
        <v>14/1/2023, 17:00:00</v>
      </c>
      <c r="I240" s="1" t="str">
        <f>IFERROR(__xludf.DUMMYFUNCTION("""COMPUTED_VALUE"""),"RETIRADO OK POR CLIENTE")</f>
        <v>RETIRADO OK POR CLIENTE</v>
      </c>
      <c r="J240" s="1">
        <f t="shared" si="3"/>
        <v>6</v>
      </c>
      <c r="K240" s="1" t="str">
        <f t="shared" si="4"/>
        <v>Entregamos tus lentes, que los disfrutes!</v>
      </c>
    </row>
    <row r="241">
      <c r="A241" s="1">
        <f>IFERROR(__xludf.DUMMYFUNCTION("""COMPUTED_VALUE"""),84792.0)</f>
        <v>84792</v>
      </c>
      <c r="B241" s="5">
        <f>IFERROR(__xludf.DUMMYFUNCTION("""COMPUTED_VALUE"""),44935.550434756944)</f>
        <v>44935.55043</v>
      </c>
      <c r="C241" s="1" t="str">
        <f>IFERROR(__xludf.DUMMYFUNCTION("""COMPUTED_VALUE"""),"MERCAU PAOLA")</f>
        <v>MERCAU PAOLA</v>
      </c>
      <c r="D241" s="1" t="str">
        <f>IFERROR(__xludf.DUMMYFUNCTION("""COMPUTED_VALUE"""),"Lentes de STOCK")</f>
        <v>Lentes de STOCK</v>
      </c>
      <c r="E241" s="1" t="str">
        <f>IFERROR(__xludf.DUMMYFUNCTION("""COMPUTED_VALUE"""),"ARTIGAS Ivana P.")</f>
        <v>ARTIGAS Ivana P.</v>
      </c>
      <c r="F241" s="1" t="str">
        <f t="shared" si="1"/>
        <v>ARTIGAS </v>
      </c>
      <c r="G241" s="1" t="str">
        <f t="shared" si="2"/>
        <v>Ivana P.</v>
      </c>
      <c r="H241" s="1" t="str">
        <f>IFERROR(__xludf.DUMMYFUNCTION("""COMPUTED_VALUE"""),"11/1/2023, 17:00:00")</f>
        <v>11/1/2023, 17:00:00</v>
      </c>
      <c r="I241" s="1" t="str">
        <f>IFERROR(__xludf.DUMMYFUNCTION("""COMPUTED_VALUE"""),"Completado en SUCURSAL")</f>
        <v>Completado en SUCURSAL</v>
      </c>
      <c r="J241" s="1">
        <f t="shared" si="3"/>
        <v>5</v>
      </c>
      <c r="K241" s="1" t="str">
        <f t="shared" si="4"/>
        <v>Tus Lentes estan LISTAS PARA ENTREGAR, te esperamos.</v>
      </c>
    </row>
    <row r="242">
      <c r="A242" s="1">
        <f>IFERROR(__xludf.DUMMYFUNCTION("""COMPUTED_VALUE"""),84793.0)</f>
        <v>84793</v>
      </c>
      <c r="B242" s="5">
        <f>IFERROR(__xludf.DUMMYFUNCTION("""COMPUTED_VALUE"""),44935.55489728009)</f>
        <v>44935.5549</v>
      </c>
      <c r="C242" s="1" t="str">
        <f>IFERROR(__xludf.DUMMYFUNCTION("""COMPUTED_VALUE"""),"GONZALEZ MARCOS")</f>
        <v>GONZALEZ MARCOS</v>
      </c>
      <c r="D242" s="1" t="str">
        <f>IFERROR(__xludf.DUMMYFUNCTION("""COMPUTED_VALUE"""),"Lentes de STOCK")</f>
        <v>Lentes de STOCK</v>
      </c>
      <c r="E242" s="1" t="str">
        <f>IFERROR(__xludf.DUMMYFUNCTION("""COMPUTED_VALUE"""),"ARTIGAS Ivana P.")</f>
        <v>ARTIGAS Ivana P.</v>
      </c>
      <c r="F242" s="1" t="str">
        <f t="shared" si="1"/>
        <v>ARTIGAS </v>
      </c>
      <c r="G242" s="1" t="str">
        <f t="shared" si="2"/>
        <v>Ivana P.</v>
      </c>
      <c r="H242" s="1" t="str">
        <f>IFERROR(__xludf.DUMMYFUNCTION("""COMPUTED_VALUE"""),"11/1/2023, 17:00:00")</f>
        <v>11/1/2023, 17:00:00</v>
      </c>
      <c r="I242" s="1" t="str">
        <f>IFERROR(__xludf.DUMMYFUNCTION("""COMPUTED_VALUE"""),"RETIRADO OK POR CLIENTE")</f>
        <v>RETIRADO OK POR CLIENTE</v>
      </c>
      <c r="J242" s="1">
        <f t="shared" si="3"/>
        <v>6</v>
      </c>
      <c r="K242" s="1" t="str">
        <f t="shared" si="4"/>
        <v>Entregamos tus lentes, que los disfrutes!</v>
      </c>
    </row>
    <row r="243">
      <c r="A243" s="1">
        <f>IFERROR(__xludf.DUMMYFUNCTION("""COMPUTED_VALUE"""),84794.0)</f>
        <v>84794</v>
      </c>
      <c r="B243" s="5">
        <f>IFERROR(__xludf.DUMMYFUNCTION("""COMPUTED_VALUE"""),44935.55710322916)</f>
        <v>44935.5571</v>
      </c>
      <c r="C243" s="1" t="str">
        <f>IFERROR(__xludf.DUMMYFUNCTION("""COMPUTED_VALUE"""),"LEYES WALTHER")</f>
        <v>LEYES WALTHER</v>
      </c>
      <c r="D243" s="1" t="str">
        <f>IFERROR(__xludf.DUMMYFUNCTION("""COMPUTED_VALUE"""),"Lentes MULTIFOCALES")</f>
        <v>Lentes MULTIFOCALES</v>
      </c>
      <c r="E243" s="1" t="str">
        <f>IFERROR(__xludf.DUMMYFUNCTION("""COMPUTED_VALUE"""),"RIVADAVIA Santiago LOPEZ")</f>
        <v>RIVADAVIA Santiago LOPEZ</v>
      </c>
      <c r="F243" s="1" t="str">
        <f t="shared" si="1"/>
        <v>RIVADAVIA </v>
      </c>
      <c r="G243" s="1" t="str">
        <f t="shared" si="2"/>
        <v>Santiago LOPEZ</v>
      </c>
      <c r="H243" s="1" t="str">
        <f>IFERROR(__xludf.DUMMYFUNCTION("""COMPUTED_VALUE"""),"23/1/2023, 17:00:00")</f>
        <v>23/1/2023, 17:00:00</v>
      </c>
      <c r="I243" s="1" t="str">
        <f>IFERROR(__xludf.DUMMYFUNCTION("""COMPUTED_VALUE"""),"En Armado Hoy")</f>
        <v>En Armado Hoy</v>
      </c>
      <c r="J243" s="1">
        <f t="shared" si="3"/>
        <v>3</v>
      </c>
      <c r="K243" s="1" t="str">
        <f t="shared" si="4"/>
        <v>Estamos terminando los ultimos detalles de tus lentes, los terminaremos el dia de hoy.</v>
      </c>
    </row>
    <row r="244">
      <c r="A244" s="1">
        <f>IFERROR(__xludf.DUMMYFUNCTION("""COMPUTED_VALUE"""),84795.0)</f>
        <v>84795</v>
      </c>
      <c r="B244" s="5">
        <f>IFERROR(__xludf.DUMMYFUNCTION("""COMPUTED_VALUE"""),44935.55996770834)</f>
        <v>44935.55997</v>
      </c>
      <c r="C244" s="1" t="str">
        <f>IFERROR(__xludf.DUMMYFUNCTION("""COMPUTED_VALUE"""),"JOFRE GABRIELA")</f>
        <v>JOFRE GABRIELA</v>
      </c>
      <c r="D244" s="1" t="str">
        <f>IFERROR(__xludf.DUMMYFUNCTION("""COMPUTED_VALUE"""),"Lentes de STOCK")</f>
        <v>Lentes de STOCK</v>
      </c>
      <c r="E244" s="1" t="str">
        <f>IFERROR(__xludf.DUMMYFUNCTION("""COMPUTED_VALUE"""),"RIVADAVIA Santiago LOPEZ")</f>
        <v>RIVADAVIA Santiago LOPEZ</v>
      </c>
      <c r="F244" s="1" t="str">
        <f t="shared" si="1"/>
        <v>RIVADAVIA </v>
      </c>
      <c r="G244" s="1" t="str">
        <f t="shared" si="2"/>
        <v>Santiago LOPEZ</v>
      </c>
      <c r="H244" s="1" t="str">
        <f>IFERROR(__xludf.DUMMYFUNCTION("""COMPUTED_VALUE"""),"11/1/2023, 17:00:00")</f>
        <v>11/1/2023, 17:00:00</v>
      </c>
      <c r="I244" s="1" t="str">
        <f>IFERROR(__xludf.DUMMYFUNCTION("""COMPUTED_VALUE"""),"Completado en SUCURSAL")</f>
        <v>Completado en SUCURSAL</v>
      </c>
      <c r="J244" s="1">
        <f t="shared" si="3"/>
        <v>5</v>
      </c>
      <c r="K244" s="1" t="str">
        <f t="shared" si="4"/>
        <v>Tus Lentes estan LISTAS PARA ENTREGAR, te esperamos.</v>
      </c>
    </row>
    <row r="245">
      <c r="A245" s="1">
        <f>IFERROR(__xludf.DUMMYFUNCTION("""COMPUTED_VALUE"""),84796.0)</f>
        <v>84796</v>
      </c>
      <c r="B245" s="5">
        <f>IFERROR(__xludf.DUMMYFUNCTION("""COMPUTED_VALUE"""),44935.56012686343)</f>
        <v>44935.56013</v>
      </c>
      <c r="C245" s="1" t="str">
        <f>IFERROR(__xludf.DUMMYFUNCTION("""COMPUTED_VALUE"""),"ROCCO LEONOR ALBINA")</f>
        <v>ROCCO LEONOR ALBINA</v>
      </c>
      <c r="D245" s="1" t="str">
        <f>IFERROR(__xludf.DUMMYFUNCTION("""COMPUTED_VALUE"""),"Lentes de STOCK")</f>
        <v>Lentes de STOCK</v>
      </c>
      <c r="E245" s="1" t="str">
        <f>IFERROR(__xludf.DUMMYFUNCTION("""COMPUTED_VALUE"""),"ARTIGAS Cristian C.")</f>
        <v>ARTIGAS Cristian C.</v>
      </c>
      <c r="F245" s="1" t="str">
        <f t="shared" si="1"/>
        <v>ARTIGAS </v>
      </c>
      <c r="G245" s="1" t="str">
        <f t="shared" si="2"/>
        <v>Cristian C.</v>
      </c>
      <c r="H245" s="1" t="str">
        <f>IFERROR(__xludf.DUMMYFUNCTION("""COMPUTED_VALUE"""),"16/1/2023, 17:00:00")</f>
        <v>16/1/2023, 17:00:00</v>
      </c>
      <c r="I245" s="1" t="str">
        <f>IFERROR(__xludf.DUMMYFUNCTION("""COMPUTED_VALUE"""),"Completado en SUCURSAL")</f>
        <v>Completado en SUCURSAL</v>
      </c>
      <c r="J245" s="1">
        <f t="shared" si="3"/>
        <v>5</v>
      </c>
      <c r="K245" s="1" t="str">
        <f t="shared" si="4"/>
        <v>Tus Lentes estan LISTAS PARA ENTREGAR, te esperamos.</v>
      </c>
    </row>
    <row r="246">
      <c r="A246" s="1">
        <f>IFERROR(__xludf.DUMMYFUNCTION("""COMPUTED_VALUE"""),84797.0)</f>
        <v>84797</v>
      </c>
      <c r="B246" s="5">
        <f>IFERROR(__xludf.DUMMYFUNCTION("""COMPUTED_VALUE"""),44935.7193202662)</f>
        <v>44935.71932</v>
      </c>
      <c r="C246" s="1" t="str">
        <f>IFERROR(__xludf.DUMMYFUNCTION("""COMPUTED_VALUE"""),"SCREPANTI KAREN")</f>
        <v>SCREPANTI KAREN</v>
      </c>
      <c r="D246" s="1" t="str">
        <f>IFERROR(__xludf.DUMMYFUNCTION("""COMPUTED_VALUE"""),"Lentes de STOCK")</f>
        <v>Lentes de STOCK</v>
      </c>
      <c r="E246" s="1" t="str">
        <f>IFERROR(__xludf.DUMMYFUNCTION("""COMPUTED_VALUE"""),"RIVADAVIA Luciana")</f>
        <v>RIVADAVIA Luciana</v>
      </c>
      <c r="F246" s="1" t="str">
        <f t="shared" si="1"/>
        <v>RIVADAVIA </v>
      </c>
      <c r="G246" s="1" t="str">
        <f t="shared" si="2"/>
        <v>Luciana</v>
      </c>
      <c r="H246" s="1" t="str">
        <f>IFERROR(__xludf.DUMMYFUNCTION("""COMPUTED_VALUE"""),"16/1/2023, 17:00:00")</f>
        <v>16/1/2023, 17:00:00</v>
      </c>
      <c r="I246" s="1" t="str">
        <f>IFERROR(__xludf.DUMMYFUNCTION("""COMPUTED_VALUE"""),"RETIRADO OK POR CLIENTE")</f>
        <v>RETIRADO OK POR CLIENTE</v>
      </c>
      <c r="J246" s="1">
        <f t="shared" si="3"/>
        <v>6</v>
      </c>
      <c r="K246" s="1" t="str">
        <f t="shared" si="4"/>
        <v>Entregamos tus lentes, que los disfrutes!</v>
      </c>
    </row>
    <row r="247">
      <c r="A247" s="1">
        <f>IFERROR(__xludf.DUMMYFUNCTION("""COMPUTED_VALUE"""),84798.0)</f>
        <v>84798</v>
      </c>
      <c r="B247" s="5">
        <f>IFERROR(__xludf.DUMMYFUNCTION("""COMPUTED_VALUE"""),44935.7213897801)</f>
        <v>44935.72139</v>
      </c>
      <c r="C247" s="1" t="str">
        <f>IFERROR(__xludf.DUMMYFUNCTION("""COMPUTED_VALUE"""),"LORNA NAHIR / KC")</f>
        <v>LORNA NAHIR / KC</v>
      </c>
      <c r="D247" s="1" t="str">
        <f>IFERROR(__xludf.DUMMYFUNCTION("""COMPUTED_VALUE"""),"Lentes MULTIFOCALES")</f>
        <v>Lentes MULTIFOCALES</v>
      </c>
      <c r="E247" s="1" t="str">
        <f>IFERROR(__xludf.DUMMYFUNCTION("""COMPUTED_VALUE"""),"ARTIGAS Ivana P.")</f>
        <v>ARTIGAS Ivana P.</v>
      </c>
      <c r="F247" s="1" t="str">
        <f t="shared" si="1"/>
        <v>ARTIGAS </v>
      </c>
      <c r="G247" s="1" t="str">
        <f t="shared" si="2"/>
        <v>Ivana P.</v>
      </c>
      <c r="H247" s="1" t="str">
        <f>IFERROR(__xludf.DUMMYFUNCTION("""COMPUTED_VALUE"""),"23/1/2023, 17:00:00")</f>
        <v>23/1/2023, 17:00:00</v>
      </c>
      <c r="I247" s="1" t="str">
        <f>IFERROR(__xludf.DUMMYFUNCTION("""COMPUTED_VALUE"""),"RETIRADO OK POR CLIENTE")</f>
        <v>RETIRADO OK POR CLIENTE</v>
      </c>
      <c r="J247" s="1">
        <f t="shared" si="3"/>
        <v>6</v>
      </c>
      <c r="K247" s="1" t="str">
        <f t="shared" si="4"/>
        <v>Entregamos tus lentes, que los disfrutes!</v>
      </c>
    </row>
    <row r="248">
      <c r="A248" s="1">
        <f>IFERROR(__xludf.DUMMYFUNCTION("""COMPUTED_VALUE"""),84799.0)</f>
        <v>84799</v>
      </c>
      <c r="B248" s="5">
        <f>IFERROR(__xludf.DUMMYFUNCTION("""COMPUTED_VALUE"""),44935.729591863426)</f>
        <v>44935.72959</v>
      </c>
      <c r="C248" s="1" t="str">
        <f>IFERROR(__xludf.DUMMYFUNCTION("""COMPUTED_VALUE"""),"LUCERO ANDRES JOSE ")</f>
        <v>LUCERO ANDRES JOSE </v>
      </c>
      <c r="D248" s="1" t="str">
        <f>IFERROR(__xludf.DUMMYFUNCTION("""COMPUTED_VALUE"""),"Lentes de STOCK")</f>
        <v>Lentes de STOCK</v>
      </c>
      <c r="E248" s="1" t="str">
        <f>IFERROR(__xludf.DUMMYFUNCTION("""COMPUTED_VALUE"""),"ARTIGAS Cristian C.")</f>
        <v>ARTIGAS Cristian C.</v>
      </c>
      <c r="F248" s="1" t="str">
        <f t="shared" si="1"/>
        <v>ARTIGAS </v>
      </c>
      <c r="G248" s="1" t="str">
        <f t="shared" si="2"/>
        <v>Cristian C.</v>
      </c>
      <c r="H248" s="1" t="str">
        <f>IFERROR(__xludf.DUMMYFUNCTION("""COMPUTED_VALUE"""),"13/1/2023, 17:00:00")</f>
        <v>13/1/2023, 17:00:00</v>
      </c>
      <c r="I248" s="1" t="str">
        <f>IFERROR(__xludf.DUMMYFUNCTION("""COMPUTED_VALUE"""),"En Armado Hoy")</f>
        <v>En Armado Hoy</v>
      </c>
      <c r="J248" s="1">
        <f t="shared" si="3"/>
        <v>3</v>
      </c>
      <c r="K248" s="1" t="str">
        <f t="shared" si="4"/>
        <v>Estamos terminando los ultimos detalles de tus lentes, los terminaremos el dia de hoy.</v>
      </c>
    </row>
    <row r="249">
      <c r="A249" s="1">
        <f>IFERROR(__xludf.DUMMYFUNCTION("""COMPUTED_VALUE"""),84800.0)</f>
        <v>84800</v>
      </c>
      <c r="B249" s="5">
        <f>IFERROR(__xludf.DUMMYFUNCTION("""COMPUTED_VALUE"""),44935.731600115745)</f>
        <v>44935.7316</v>
      </c>
      <c r="C249" s="1" t="str">
        <f>IFERROR(__xludf.DUMMYFUNCTION("""COMPUTED_VALUE"""),"LUCERO TALAGUIRRE JONAS")</f>
        <v>LUCERO TALAGUIRRE JONAS</v>
      </c>
      <c r="D249" s="1" t="str">
        <f>IFERROR(__xludf.DUMMYFUNCTION("""COMPUTED_VALUE"""),"Lentes de STOCK")</f>
        <v>Lentes de STOCK</v>
      </c>
      <c r="E249" s="1" t="str">
        <f>IFERROR(__xludf.DUMMYFUNCTION("""COMPUTED_VALUE"""),"ARTIGAS Cristian C.")</f>
        <v>ARTIGAS Cristian C.</v>
      </c>
      <c r="F249" s="1" t="str">
        <f t="shared" si="1"/>
        <v>ARTIGAS </v>
      </c>
      <c r="G249" s="1" t="str">
        <f t="shared" si="2"/>
        <v>Cristian C.</v>
      </c>
      <c r="H249" s="1" t="str">
        <f>IFERROR(__xludf.DUMMYFUNCTION("""COMPUTED_VALUE"""),"13/1/2023, 17:00:00")</f>
        <v>13/1/2023, 17:00:00</v>
      </c>
      <c r="I249" s="1" t="str">
        <f>IFERROR(__xludf.DUMMYFUNCTION("""COMPUTED_VALUE"""),"En Armado Hoy")</f>
        <v>En Armado Hoy</v>
      </c>
      <c r="J249" s="1">
        <f t="shared" si="3"/>
        <v>3</v>
      </c>
      <c r="K249" s="1" t="str">
        <f t="shared" si="4"/>
        <v>Estamos terminando los ultimos detalles de tus lentes, los terminaremos el dia de hoy.</v>
      </c>
    </row>
    <row r="250">
      <c r="A250" s="1">
        <f>IFERROR(__xludf.DUMMYFUNCTION("""COMPUTED_VALUE"""),84801.0)</f>
        <v>84801</v>
      </c>
      <c r="B250" s="5">
        <f>IFERROR(__xludf.DUMMYFUNCTION("""COMPUTED_VALUE"""),44935.731870601856)</f>
        <v>44935.73187</v>
      </c>
      <c r="C250" s="1" t="str">
        <f>IFERROR(__xludf.DUMMYFUNCTION("""COMPUTED_VALUE"""),"PITURRA GERONIMO")</f>
        <v>PITURRA GERONIMO</v>
      </c>
      <c r="D250" s="1" t="str">
        <f>IFERROR(__xludf.DUMMYFUNCTION("""COMPUTED_VALUE"""),"Lentes de STOCK")</f>
        <v>Lentes de STOCK</v>
      </c>
      <c r="E250" s="1" t="str">
        <f>IFERROR(__xludf.DUMMYFUNCTION("""COMPUTED_VALUE"""),"ARTIGAS Ivana P.")</f>
        <v>ARTIGAS Ivana P.</v>
      </c>
      <c r="F250" s="1" t="str">
        <f t="shared" si="1"/>
        <v>ARTIGAS </v>
      </c>
      <c r="G250" s="1" t="str">
        <f t="shared" si="2"/>
        <v>Ivana P.</v>
      </c>
      <c r="H250" s="1" t="str">
        <f>IFERROR(__xludf.DUMMYFUNCTION("""COMPUTED_VALUE"""),"14/1/2023, 17:00:00")</f>
        <v>14/1/2023, 17:00:00</v>
      </c>
      <c r="I250" s="1" t="str">
        <f>IFERROR(__xludf.DUMMYFUNCTION("""COMPUTED_VALUE"""),"RETIRADO OK POR CLIENTE")</f>
        <v>RETIRADO OK POR CLIENTE</v>
      </c>
      <c r="J250" s="1">
        <f t="shared" si="3"/>
        <v>6</v>
      </c>
      <c r="K250" s="1" t="str">
        <f t="shared" si="4"/>
        <v>Entregamos tus lentes, que los disfrutes!</v>
      </c>
    </row>
    <row r="251">
      <c r="A251" s="1">
        <f>IFERROR(__xludf.DUMMYFUNCTION("""COMPUTED_VALUE"""),84802.0)</f>
        <v>84802</v>
      </c>
      <c r="B251" s="5">
        <f>IFERROR(__xludf.DUMMYFUNCTION("""COMPUTED_VALUE"""),44935.73333877315)</f>
        <v>44935.73334</v>
      </c>
      <c r="C251" s="1" t="str">
        <f>IFERROR(__xludf.DUMMYFUNCTION("""COMPUTED_VALUE"""),"TALAGUIRRE MARIA FERNANDA")</f>
        <v>TALAGUIRRE MARIA FERNANDA</v>
      </c>
      <c r="D251" s="1" t="str">
        <f>IFERROR(__xludf.DUMMYFUNCTION("""COMPUTED_VALUE"""),"Lentes de STOCK")</f>
        <v>Lentes de STOCK</v>
      </c>
      <c r="E251" s="1" t="str">
        <f>IFERROR(__xludf.DUMMYFUNCTION("""COMPUTED_VALUE"""),"ARTIGAS Cristian C.")</f>
        <v>ARTIGAS Cristian C.</v>
      </c>
      <c r="F251" s="1" t="str">
        <f t="shared" si="1"/>
        <v>ARTIGAS </v>
      </c>
      <c r="G251" s="1" t="str">
        <f t="shared" si="2"/>
        <v>Cristian C.</v>
      </c>
      <c r="H251" s="1" t="str">
        <f>IFERROR(__xludf.DUMMYFUNCTION("""COMPUTED_VALUE"""),"13/1/2023, 17:00:00")</f>
        <v>13/1/2023, 17:00:00</v>
      </c>
      <c r="I251" s="1" t="str">
        <f>IFERROR(__xludf.DUMMYFUNCTION("""COMPUTED_VALUE"""),"En Armado Hoy")</f>
        <v>En Armado Hoy</v>
      </c>
      <c r="J251" s="1">
        <f t="shared" si="3"/>
        <v>3</v>
      </c>
      <c r="K251" s="1" t="str">
        <f t="shared" si="4"/>
        <v>Estamos terminando los ultimos detalles de tus lentes, los terminaremos el dia de hoy.</v>
      </c>
    </row>
    <row r="252">
      <c r="A252" s="1">
        <f>IFERROR(__xludf.DUMMYFUNCTION("""COMPUTED_VALUE"""),84803.0)</f>
        <v>84803</v>
      </c>
      <c r="B252" s="5">
        <f>IFERROR(__xludf.DUMMYFUNCTION("""COMPUTED_VALUE"""),44935.73550686342)</f>
        <v>44935.73551</v>
      </c>
      <c r="C252" s="1" t="str">
        <f>IFERROR(__xludf.DUMMYFUNCTION("""COMPUTED_VALUE"""),"QUIROGA ANDREA ")</f>
        <v>QUIROGA ANDREA </v>
      </c>
      <c r="D252" s="1" t="str">
        <f>IFERROR(__xludf.DUMMYFUNCTION("""COMPUTED_VALUE"""),"Lentes de STOCK")</f>
        <v>Lentes de STOCK</v>
      </c>
      <c r="E252" s="1" t="str">
        <f>IFERROR(__xludf.DUMMYFUNCTION("""COMPUTED_VALUE"""),"RIVADAVIA Luciana")</f>
        <v>RIVADAVIA Luciana</v>
      </c>
      <c r="F252" s="1" t="str">
        <f t="shared" si="1"/>
        <v>RIVADAVIA </v>
      </c>
      <c r="G252" s="1" t="str">
        <f t="shared" si="2"/>
        <v>Luciana</v>
      </c>
      <c r="H252" s="1" t="str">
        <f>IFERROR(__xludf.DUMMYFUNCTION("""COMPUTED_VALUE"""),"13/1/2023, 17:00:00")</f>
        <v>13/1/2023, 17:00:00</v>
      </c>
      <c r="I252" s="1" t="str">
        <f>IFERROR(__xludf.DUMMYFUNCTION("""COMPUTED_VALUE"""),"RETIRADO OK POR CLIENTE")</f>
        <v>RETIRADO OK POR CLIENTE</v>
      </c>
      <c r="J252" s="1">
        <f t="shared" si="3"/>
        <v>6</v>
      </c>
      <c r="K252" s="1" t="str">
        <f t="shared" si="4"/>
        <v>Entregamos tus lentes, que los disfrutes!</v>
      </c>
    </row>
    <row r="253">
      <c r="A253" s="1">
        <f>IFERROR(__xludf.DUMMYFUNCTION("""COMPUTED_VALUE"""),84804.0)</f>
        <v>84804</v>
      </c>
      <c r="B253" s="5">
        <f>IFERROR(__xludf.DUMMYFUNCTION("""COMPUTED_VALUE"""),44935.73795769676)</f>
        <v>44935.73796</v>
      </c>
      <c r="C253" s="1" t="str">
        <f>IFERROR(__xludf.DUMMYFUNCTION("""COMPUTED_VALUE"""),"ANDRADA VALENTINO")</f>
        <v>ANDRADA VALENTINO</v>
      </c>
      <c r="D253" s="1" t="str">
        <f>IFERROR(__xludf.DUMMYFUNCTION("""COMPUTED_VALUE"""),"Lentes de STOCK")</f>
        <v>Lentes de STOCK</v>
      </c>
      <c r="E253" s="1" t="str">
        <f>IFERROR(__xludf.DUMMYFUNCTION("""COMPUTED_VALUE"""),"RIVADAVIA Javier")</f>
        <v>RIVADAVIA Javier</v>
      </c>
      <c r="F253" s="1" t="str">
        <f t="shared" si="1"/>
        <v>RIVADAVIA </v>
      </c>
      <c r="G253" s="1" t="str">
        <f t="shared" si="2"/>
        <v>Javier</v>
      </c>
      <c r="H253" s="1" t="str">
        <f>IFERROR(__xludf.DUMMYFUNCTION("""COMPUTED_VALUE"""),"12/1/2023, 17:00:00")</f>
        <v>12/1/2023, 17:00:00</v>
      </c>
      <c r="I253" s="1" t="str">
        <f>IFERROR(__xludf.DUMMYFUNCTION("""COMPUTED_VALUE"""),"Completado en SUCURSAL")</f>
        <v>Completado en SUCURSAL</v>
      </c>
      <c r="J253" s="1">
        <f t="shared" si="3"/>
        <v>5</v>
      </c>
      <c r="K253" s="1" t="str">
        <f t="shared" si="4"/>
        <v>Tus Lentes estan LISTAS PARA ENTREGAR, te esperamos.</v>
      </c>
    </row>
    <row r="254">
      <c r="A254" s="1">
        <f>IFERROR(__xludf.DUMMYFUNCTION("""COMPUTED_VALUE"""),84805.0)</f>
        <v>84805</v>
      </c>
      <c r="B254" s="5">
        <f>IFERROR(__xludf.DUMMYFUNCTION("""COMPUTED_VALUE"""),44935.739238587965)</f>
        <v>44935.73924</v>
      </c>
      <c r="C254" s="1" t="str">
        <f>IFERROR(__xludf.DUMMYFUNCTION("""COMPUTED_VALUE"""),"PEREZ JOSE")</f>
        <v>PEREZ JOSE</v>
      </c>
      <c r="D254" s="1" t="str">
        <f>IFERROR(__xludf.DUMMYFUNCTION("""COMPUTED_VALUE"""),"Reparaciones/Otros")</f>
        <v>Reparaciones/Otros</v>
      </c>
      <c r="E254" s="1" t="str">
        <f>IFERROR(__xludf.DUMMYFUNCTION("""COMPUTED_VALUE"""),"RIVADAVIA Luciana")</f>
        <v>RIVADAVIA Luciana</v>
      </c>
      <c r="F254" s="1" t="str">
        <f t="shared" si="1"/>
        <v>RIVADAVIA </v>
      </c>
      <c r="G254" s="1" t="str">
        <f t="shared" si="2"/>
        <v>Luciana</v>
      </c>
      <c r="H254" s="1" t="str">
        <f>IFERROR(__xludf.DUMMYFUNCTION("""COMPUTED_VALUE"""),"11/1/2023, 17:00:00")</f>
        <v>11/1/2023, 17:00:00</v>
      </c>
      <c r="I254" s="1" t="str">
        <f>IFERROR(__xludf.DUMMYFUNCTION("""COMPUTED_VALUE"""),"Completado en SUCURSAL")</f>
        <v>Completado en SUCURSAL</v>
      </c>
      <c r="J254" s="1">
        <f t="shared" si="3"/>
        <v>5</v>
      </c>
      <c r="K254" s="1" t="str">
        <f t="shared" si="4"/>
        <v>Tus Lentes estan LISTAS PARA ENTREGAR, te esperamos.</v>
      </c>
    </row>
    <row r="255">
      <c r="A255" s="1">
        <f>IFERROR(__xludf.DUMMYFUNCTION("""COMPUTED_VALUE"""),84806.0)</f>
        <v>84806</v>
      </c>
      <c r="B255" s="5">
        <f>IFERROR(__xludf.DUMMYFUNCTION("""COMPUTED_VALUE"""),44935.742080868054)</f>
        <v>44935.74208</v>
      </c>
      <c r="C255" s="1" t="str">
        <f>IFERROR(__xludf.DUMMYFUNCTION("""COMPUTED_VALUE"""),"CHAVES EVA ISABEL")</f>
        <v>CHAVES EVA ISABEL</v>
      </c>
      <c r="D255" s="1" t="str">
        <f>IFERROR(__xludf.DUMMYFUNCTION("""COMPUTED_VALUE"""),"Lentes de STOCK")</f>
        <v>Lentes de STOCK</v>
      </c>
      <c r="E255" s="1" t="str">
        <f>IFERROR(__xludf.DUMMYFUNCTION("""COMPUTED_VALUE"""),"ARTIGAS Ivana P.")</f>
        <v>ARTIGAS Ivana P.</v>
      </c>
      <c r="F255" s="1" t="str">
        <f t="shared" si="1"/>
        <v>ARTIGAS </v>
      </c>
      <c r="G255" s="1" t="str">
        <f t="shared" si="2"/>
        <v>Ivana P.</v>
      </c>
      <c r="H255" s="1" t="str">
        <f>IFERROR(__xludf.DUMMYFUNCTION("""COMPUTED_VALUE"""),"13/1/2023, 17:00:00")</f>
        <v>13/1/2023, 17:00:00</v>
      </c>
      <c r="I255" s="1" t="str">
        <f>IFERROR(__xludf.DUMMYFUNCTION("""COMPUTED_VALUE"""),"RETIRADO OK POR CLIENTE")</f>
        <v>RETIRADO OK POR CLIENTE</v>
      </c>
      <c r="J255" s="1">
        <f t="shared" si="3"/>
        <v>6</v>
      </c>
      <c r="K255" s="1" t="str">
        <f t="shared" si="4"/>
        <v>Entregamos tus lentes, que los disfrutes!</v>
      </c>
    </row>
    <row r="256">
      <c r="A256" s="1">
        <f>IFERROR(__xludf.DUMMYFUNCTION("""COMPUTED_VALUE"""),84807.0)</f>
        <v>84807</v>
      </c>
      <c r="B256" s="5">
        <f>IFERROR(__xludf.DUMMYFUNCTION("""COMPUTED_VALUE"""),44935.74767861111)</f>
        <v>44935.74768</v>
      </c>
      <c r="C256" s="1" t="str">
        <f>IFERROR(__xludf.DUMMYFUNCTION("""COMPUTED_VALUE"""),"FERNANDEZ JUAN MARCOS")</f>
        <v>FERNANDEZ JUAN MARCOS</v>
      </c>
      <c r="D256" s="1" t="str">
        <f>IFERROR(__xludf.DUMMYFUNCTION("""COMPUTED_VALUE"""),"Lentes de STOCK")</f>
        <v>Lentes de STOCK</v>
      </c>
      <c r="E256" s="1" t="str">
        <f>IFERROR(__xludf.DUMMYFUNCTION("""COMPUTED_VALUE"""),"RIVADAVIA Javier")</f>
        <v>RIVADAVIA Javier</v>
      </c>
      <c r="F256" s="1" t="str">
        <f t="shared" si="1"/>
        <v>RIVADAVIA </v>
      </c>
      <c r="G256" s="1" t="str">
        <f t="shared" si="2"/>
        <v>Javier</v>
      </c>
      <c r="H256" s="1" t="str">
        <f>IFERROR(__xludf.DUMMYFUNCTION("""COMPUTED_VALUE"""),"14/1/2023, 17:00:00")</f>
        <v>14/1/2023, 17:00:00</v>
      </c>
      <c r="I256" s="1" t="str">
        <f>IFERROR(__xludf.DUMMYFUNCTION("""COMPUTED_VALUE"""),"RETIRADO OK POR CLIENTE")</f>
        <v>RETIRADO OK POR CLIENTE</v>
      </c>
      <c r="J256" s="1">
        <f t="shared" si="3"/>
        <v>6</v>
      </c>
      <c r="K256" s="1" t="str">
        <f t="shared" si="4"/>
        <v>Entregamos tus lentes, que los disfrutes!</v>
      </c>
    </row>
    <row r="257">
      <c r="A257" s="1">
        <f>IFERROR(__xludf.DUMMYFUNCTION("""COMPUTED_VALUE"""),84808.0)</f>
        <v>84808</v>
      </c>
      <c r="B257" s="5">
        <f>IFERROR(__xludf.DUMMYFUNCTION("""COMPUTED_VALUE"""),44935.747736527774)</f>
        <v>44935.74774</v>
      </c>
      <c r="C257" s="1" t="str">
        <f>IFERROR(__xludf.DUMMYFUNCTION("""COMPUTED_VALUE"""),"AMITRANO MARIELA")</f>
        <v>AMITRANO MARIELA</v>
      </c>
      <c r="D257" s="1" t="str">
        <f>IFERROR(__xludf.DUMMYFUNCTION("""COMPUTED_VALUE"""),"Lentes de STOCK")</f>
        <v>Lentes de STOCK</v>
      </c>
      <c r="E257" s="1" t="str">
        <f>IFERROR(__xludf.DUMMYFUNCTION("""COMPUTED_VALUE"""),"RIVADAVIA Santiago LOPEZ")</f>
        <v>RIVADAVIA Santiago LOPEZ</v>
      </c>
      <c r="F257" s="1" t="str">
        <f t="shared" si="1"/>
        <v>RIVADAVIA </v>
      </c>
      <c r="G257" s="1" t="str">
        <f t="shared" si="2"/>
        <v>Santiago LOPEZ</v>
      </c>
      <c r="H257" s="1" t="str">
        <f>IFERROR(__xludf.DUMMYFUNCTION("""COMPUTED_VALUE"""),"16/1/2023, 17:00:00")</f>
        <v>16/1/2023, 17:00:00</v>
      </c>
      <c r="I257" s="1" t="str">
        <f>IFERROR(__xludf.DUMMYFUNCTION("""COMPUTED_VALUE"""),"RETIRADO OK POR CLIENTE")</f>
        <v>RETIRADO OK POR CLIENTE</v>
      </c>
      <c r="J257" s="1">
        <f t="shared" si="3"/>
        <v>6</v>
      </c>
      <c r="K257" s="1" t="str">
        <f t="shared" si="4"/>
        <v>Entregamos tus lentes, que los disfrutes!</v>
      </c>
    </row>
    <row r="258">
      <c r="A258" s="1">
        <f>IFERROR(__xludf.DUMMYFUNCTION("""COMPUTED_VALUE"""),84809.0)</f>
        <v>84809</v>
      </c>
      <c r="B258" s="5">
        <f>IFERROR(__xludf.DUMMYFUNCTION("""COMPUTED_VALUE"""),44935.757783124995)</f>
        <v>44935.75778</v>
      </c>
      <c r="C258" s="1" t="str">
        <f>IFERROR(__xludf.DUMMYFUNCTION("""COMPUTED_VALUE"""),"ASTUDILLO JUAN CARLOS ")</f>
        <v>ASTUDILLO JUAN CARLOS </v>
      </c>
      <c r="D258" s="1" t="str">
        <f>IFERROR(__xludf.DUMMYFUNCTION("""COMPUTED_VALUE"""),"Lentes MULTIFOCALES")</f>
        <v>Lentes MULTIFOCALES</v>
      </c>
      <c r="E258" s="1" t="str">
        <f>IFERROR(__xludf.DUMMYFUNCTION("""COMPUTED_VALUE"""),"ARTIGAS Cristian C.")</f>
        <v>ARTIGAS Cristian C.</v>
      </c>
      <c r="F258" s="1" t="str">
        <f t="shared" si="1"/>
        <v>ARTIGAS </v>
      </c>
      <c r="G258" s="1" t="str">
        <f t="shared" si="2"/>
        <v>Cristian C.</v>
      </c>
      <c r="H258" s="1" t="str">
        <f>IFERROR(__xludf.DUMMYFUNCTION("""COMPUTED_VALUE"""),"25/1/2023, 17:00:00")</f>
        <v>25/1/2023, 17:00:00</v>
      </c>
      <c r="I258" s="1" t="str">
        <f>IFERROR(__xludf.DUMMYFUNCTION("""COMPUTED_VALUE"""),"RETIRADO OK POR CLIENTE")</f>
        <v>RETIRADO OK POR CLIENTE</v>
      </c>
      <c r="J258" s="1">
        <f t="shared" si="3"/>
        <v>6</v>
      </c>
      <c r="K258" s="1" t="str">
        <f t="shared" si="4"/>
        <v>Entregamos tus lentes, que los disfrutes!</v>
      </c>
    </row>
    <row r="259">
      <c r="A259" s="1">
        <f>IFERROR(__xludf.DUMMYFUNCTION("""COMPUTED_VALUE"""),84810.0)</f>
        <v>84810</v>
      </c>
      <c r="B259" s="5">
        <f>IFERROR(__xludf.DUMMYFUNCTION("""COMPUTED_VALUE"""),44935.75857950232)</f>
        <v>44935.75858</v>
      </c>
      <c r="C259" s="1" t="str">
        <f>IFERROR(__xludf.DUMMYFUNCTION("""COMPUTED_VALUE"""),"Alaniz Alejandro")</f>
        <v>Alaniz Alejandro</v>
      </c>
      <c r="D259" s="1" t="str">
        <f>IFERROR(__xludf.DUMMYFUNCTION("""COMPUTED_VALUE"""),"Lentes de STOCK")</f>
        <v>Lentes de STOCK</v>
      </c>
      <c r="E259" s="1" t="str">
        <f>IFERROR(__xludf.DUMMYFUNCTION("""COMPUTED_VALUE"""),"RIVADAVIA Rocio B")</f>
        <v>RIVADAVIA Rocio B</v>
      </c>
      <c r="F259" s="1" t="str">
        <f t="shared" si="1"/>
        <v>RIVADAVIA </v>
      </c>
      <c r="G259" s="1" t="str">
        <f t="shared" si="2"/>
        <v>Rocio B</v>
      </c>
      <c r="H259" s="1" t="str">
        <f>IFERROR(__xludf.DUMMYFUNCTION("""COMPUTED_VALUE"""),"17/1/2023, 17:00:00")</f>
        <v>17/1/2023, 17:00:00</v>
      </c>
      <c r="I259" s="1" t="str">
        <f>IFERROR(__xludf.DUMMYFUNCTION("""COMPUTED_VALUE"""),"RETIRADO OK POR CLIENTE")</f>
        <v>RETIRADO OK POR CLIENTE</v>
      </c>
      <c r="J259" s="1">
        <f t="shared" si="3"/>
        <v>6</v>
      </c>
      <c r="K259" s="1" t="str">
        <f t="shared" si="4"/>
        <v>Entregamos tus lentes, que los disfrutes!</v>
      </c>
    </row>
    <row r="260">
      <c r="A260" s="1">
        <f>IFERROR(__xludf.DUMMYFUNCTION("""COMPUTED_VALUE"""),84811.0)</f>
        <v>84811</v>
      </c>
      <c r="B260" s="5">
        <f>IFERROR(__xludf.DUMMYFUNCTION("""COMPUTED_VALUE"""),44935.759511655095)</f>
        <v>44935.75951</v>
      </c>
      <c r="C260" s="1" t="str">
        <f>IFERROR(__xludf.DUMMYFUNCTION("""COMPUTED_VALUE"""),"FLORES RODRIGO")</f>
        <v>FLORES RODRIGO</v>
      </c>
      <c r="D260" s="1" t="str">
        <f>IFERROR(__xludf.DUMMYFUNCTION("""COMPUTED_VALUE"""),"Lentes de STOCK")</f>
        <v>Lentes de STOCK</v>
      </c>
      <c r="E260" s="1" t="str">
        <f>IFERROR(__xludf.DUMMYFUNCTION("""COMPUTED_VALUE"""),"RIVADAVIA Luciana")</f>
        <v>RIVADAVIA Luciana</v>
      </c>
      <c r="F260" s="1" t="str">
        <f t="shared" si="1"/>
        <v>RIVADAVIA </v>
      </c>
      <c r="G260" s="1" t="str">
        <f t="shared" si="2"/>
        <v>Luciana</v>
      </c>
      <c r="H260" s="1" t="str">
        <f>IFERROR(__xludf.DUMMYFUNCTION("""COMPUTED_VALUE"""),"13/1/2023, 17:00:00")</f>
        <v>13/1/2023, 17:00:00</v>
      </c>
      <c r="I260" s="1" t="str">
        <f>IFERROR(__xludf.DUMMYFUNCTION("""COMPUTED_VALUE"""),"RETIRADO OK POR CLIENTE")</f>
        <v>RETIRADO OK POR CLIENTE</v>
      </c>
      <c r="J260" s="1">
        <f t="shared" si="3"/>
        <v>6</v>
      </c>
      <c r="K260" s="1" t="str">
        <f t="shared" si="4"/>
        <v>Entregamos tus lentes, que los disfrutes!</v>
      </c>
    </row>
    <row r="261">
      <c r="A261" s="1">
        <f>IFERROR(__xludf.DUMMYFUNCTION("""COMPUTED_VALUE"""),84812.0)</f>
        <v>84812</v>
      </c>
      <c r="B261" s="5">
        <f>IFERROR(__xludf.DUMMYFUNCTION("""COMPUTED_VALUE"""),44935.773665960645)</f>
        <v>44935.77367</v>
      </c>
      <c r="C261" s="1" t="str">
        <f>IFERROR(__xludf.DUMMYFUNCTION("""COMPUTED_VALUE"""),"JOFRE NICOLA / KC")</f>
        <v>JOFRE NICOLA / KC</v>
      </c>
      <c r="D261" s="1" t="str">
        <f>IFERROR(__xludf.DUMMYFUNCTION("""COMPUTED_VALUE"""),"Lentes de STOCK")</f>
        <v>Lentes de STOCK</v>
      </c>
      <c r="E261" s="1" t="str">
        <f>IFERROR(__xludf.DUMMYFUNCTION("""COMPUTED_VALUE"""),"ARTIGAS Ivana P.")</f>
        <v>ARTIGAS Ivana P.</v>
      </c>
      <c r="F261" s="1" t="str">
        <f t="shared" si="1"/>
        <v>ARTIGAS </v>
      </c>
      <c r="G261" s="1" t="str">
        <f t="shared" si="2"/>
        <v>Ivana P.</v>
      </c>
      <c r="H261" s="1" t="str">
        <f>IFERROR(__xludf.DUMMYFUNCTION("""COMPUTED_VALUE"""),"13/1/2023, 17:00:00")</f>
        <v>13/1/2023, 17:00:00</v>
      </c>
      <c r="I261" s="1" t="str">
        <f>IFERROR(__xludf.DUMMYFUNCTION("""COMPUTED_VALUE"""),"RETIRADO OK POR CLIENTE")</f>
        <v>RETIRADO OK POR CLIENTE</v>
      </c>
      <c r="J261" s="1">
        <f t="shared" si="3"/>
        <v>6</v>
      </c>
      <c r="K261" s="1" t="str">
        <f t="shared" si="4"/>
        <v>Entregamos tus lentes, que los disfrutes!</v>
      </c>
    </row>
    <row r="262">
      <c r="A262" s="1">
        <f>IFERROR(__xludf.DUMMYFUNCTION("""COMPUTED_VALUE"""),84813.0)</f>
        <v>84813</v>
      </c>
      <c r="B262" s="5">
        <f>IFERROR(__xludf.DUMMYFUNCTION("""COMPUTED_VALUE"""),44935.77631168981)</f>
        <v>44935.77631</v>
      </c>
      <c r="C262" s="1" t="str">
        <f>IFERROR(__xludf.DUMMYFUNCTION("""COMPUTED_VALUE"""),"AGUERO JOSE ALBERTO")</f>
        <v>AGUERO JOSE ALBERTO</v>
      </c>
      <c r="D262" s="1" t="str">
        <f>IFERROR(__xludf.DUMMYFUNCTION("""COMPUTED_VALUE"""),"Lentes de STOCK")</f>
        <v>Lentes de STOCK</v>
      </c>
      <c r="E262" s="1" t="str">
        <f>IFERROR(__xludf.DUMMYFUNCTION("""COMPUTED_VALUE"""),"RIVADAVIA Rocio B")</f>
        <v>RIVADAVIA Rocio B</v>
      </c>
      <c r="F262" s="1" t="str">
        <f t="shared" si="1"/>
        <v>RIVADAVIA </v>
      </c>
      <c r="G262" s="1" t="str">
        <f t="shared" si="2"/>
        <v>Rocio B</v>
      </c>
      <c r="H262" s="1" t="str">
        <f>IFERROR(__xludf.DUMMYFUNCTION("""COMPUTED_VALUE"""),"13/1/2023, 17:00:00")</f>
        <v>13/1/2023, 17:00:00</v>
      </c>
      <c r="I262" s="1" t="str">
        <f>IFERROR(__xludf.DUMMYFUNCTION("""COMPUTED_VALUE"""),"RETIRADO OK POR CLIENTE")</f>
        <v>RETIRADO OK POR CLIENTE</v>
      </c>
      <c r="J262" s="1">
        <f t="shared" si="3"/>
        <v>6</v>
      </c>
      <c r="K262" s="1" t="str">
        <f t="shared" si="4"/>
        <v>Entregamos tus lentes, que los disfrutes!</v>
      </c>
    </row>
    <row r="263">
      <c r="A263" s="1">
        <f>IFERROR(__xludf.DUMMYFUNCTION("""COMPUTED_VALUE"""),84814.0)</f>
        <v>84814</v>
      </c>
      <c r="B263" s="5">
        <f>IFERROR(__xludf.DUMMYFUNCTION("""COMPUTED_VALUE"""),44935.7794980787)</f>
        <v>44935.7795</v>
      </c>
      <c r="C263" s="1" t="str">
        <f>IFERROR(__xludf.DUMMYFUNCTION("""COMPUTED_VALUE"""),"YZAGUIRRE GISELA / KC")</f>
        <v>YZAGUIRRE GISELA / KC</v>
      </c>
      <c r="D263" s="1" t="str">
        <f>IFERROR(__xludf.DUMMYFUNCTION("""COMPUTED_VALUE"""),"Lentes de STOCK")</f>
        <v>Lentes de STOCK</v>
      </c>
      <c r="E263" s="1" t="str">
        <f>IFERROR(__xludf.DUMMYFUNCTION("""COMPUTED_VALUE"""),"ARTIGAS Ivana P.")</f>
        <v>ARTIGAS Ivana P.</v>
      </c>
      <c r="F263" s="1" t="str">
        <f t="shared" si="1"/>
        <v>ARTIGAS </v>
      </c>
      <c r="G263" s="1" t="str">
        <f t="shared" si="2"/>
        <v>Ivana P.</v>
      </c>
      <c r="H263" s="1" t="str">
        <f>IFERROR(__xludf.DUMMYFUNCTION("""COMPUTED_VALUE"""),"13/1/2023, 17:00:00")</f>
        <v>13/1/2023, 17:00:00</v>
      </c>
      <c r="I263" s="1" t="str">
        <f>IFERROR(__xludf.DUMMYFUNCTION("""COMPUTED_VALUE"""),"RETIRADO OK POR CLIENTE")</f>
        <v>RETIRADO OK POR CLIENTE</v>
      </c>
      <c r="J263" s="1">
        <f t="shared" si="3"/>
        <v>6</v>
      </c>
      <c r="K263" s="1" t="str">
        <f t="shared" si="4"/>
        <v>Entregamos tus lentes, que los disfrutes!</v>
      </c>
    </row>
    <row r="264">
      <c r="A264" s="1">
        <f>IFERROR(__xludf.DUMMYFUNCTION("""COMPUTED_VALUE"""),84815.0)</f>
        <v>84815</v>
      </c>
      <c r="B264" s="5">
        <f>IFERROR(__xludf.DUMMYFUNCTION("""COMPUTED_VALUE"""),44935.78197150463)</f>
        <v>44935.78197</v>
      </c>
      <c r="C264" s="1" t="str">
        <f>IFERROR(__xludf.DUMMYFUNCTION("""COMPUTED_VALUE"""),"ARROYUELO JOSE / KC")</f>
        <v>ARROYUELO JOSE / KC</v>
      </c>
      <c r="D264" s="1" t="str">
        <f>IFERROR(__xludf.DUMMYFUNCTION("""COMPUTED_VALUE"""),"Lentes MULTIFOCALES")</f>
        <v>Lentes MULTIFOCALES</v>
      </c>
      <c r="E264" s="1" t="str">
        <f>IFERROR(__xludf.DUMMYFUNCTION("""COMPUTED_VALUE"""),"ARTIGAS Ivana P.")</f>
        <v>ARTIGAS Ivana P.</v>
      </c>
      <c r="F264" s="1" t="str">
        <f t="shared" si="1"/>
        <v>ARTIGAS </v>
      </c>
      <c r="G264" s="1" t="str">
        <f t="shared" si="2"/>
        <v>Ivana P.</v>
      </c>
      <c r="H264" s="1" t="str">
        <f>IFERROR(__xludf.DUMMYFUNCTION("""COMPUTED_VALUE"""),"23/1/2023, 17:00:00")</f>
        <v>23/1/2023, 17:00:00</v>
      </c>
      <c r="I264" s="1" t="str">
        <f>IFERROR(__xludf.DUMMYFUNCTION("""COMPUTED_VALUE"""),"RETIRADO OK POR CLIENTE")</f>
        <v>RETIRADO OK POR CLIENTE</v>
      </c>
      <c r="J264" s="1">
        <f t="shared" si="3"/>
        <v>6</v>
      </c>
      <c r="K264" s="1" t="str">
        <f t="shared" si="4"/>
        <v>Entregamos tus lentes, que los disfrutes!</v>
      </c>
    </row>
    <row r="265">
      <c r="A265" s="1">
        <f>IFERROR(__xludf.DUMMYFUNCTION("""COMPUTED_VALUE"""),84816.0)</f>
        <v>84816</v>
      </c>
      <c r="B265" s="5">
        <f>IFERROR(__xludf.DUMMYFUNCTION("""COMPUTED_VALUE"""),44935.78951298611)</f>
        <v>44935.78951</v>
      </c>
      <c r="C265" s="1" t="str">
        <f>IFERROR(__xludf.DUMMYFUNCTION("""COMPUTED_VALUE"""),"LEIVA LUCILA")</f>
        <v>LEIVA LUCILA</v>
      </c>
      <c r="D265" s="1" t="str">
        <f>IFERROR(__xludf.DUMMYFUNCTION("""COMPUTED_VALUE"""),"Reparaciones/Otros")</f>
        <v>Reparaciones/Otros</v>
      </c>
      <c r="E265" s="1" t="str">
        <f>IFERROR(__xludf.DUMMYFUNCTION("""COMPUTED_VALUE"""),"RIVADAVIA Luciana")</f>
        <v>RIVADAVIA Luciana</v>
      </c>
      <c r="F265" s="1" t="str">
        <f t="shared" si="1"/>
        <v>RIVADAVIA </v>
      </c>
      <c r="G265" s="1" t="str">
        <f t="shared" si="2"/>
        <v>Luciana</v>
      </c>
      <c r="H265" s="1" t="str">
        <f>IFERROR(__xludf.DUMMYFUNCTION("""COMPUTED_VALUE"""),"11/1/2023, 17:00:00")</f>
        <v>11/1/2023, 17:00:00</v>
      </c>
      <c r="I265" s="1" t="str">
        <f>IFERROR(__xludf.DUMMYFUNCTION("""COMPUTED_VALUE"""),"Completado en SUCURSAL")</f>
        <v>Completado en SUCURSAL</v>
      </c>
      <c r="J265" s="1">
        <f t="shared" si="3"/>
        <v>5</v>
      </c>
      <c r="K265" s="1" t="str">
        <f t="shared" si="4"/>
        <v>Tus Lentes estan LISTAS PARA ENTREGAR, te esperamos.</v>
      </c>
    </row>
    <row r="266">
      <c r="A266" s="1">
        <f>IFERROR(__xludf.DUMMYFUNCTION("""COMPUTED_VALUE"""),84817.0)</f>
        <v>84817</v>
      </c>
      <c r="B266" s="5">
        <f>IFERROR(__xludf.DUMMYFUNCTION("""COMPUTED_VALUE"""),44935.79078019676)</f>
        <v>44935.79078</v>
      </c>
      <c r="C266" s="1" t="str">
        <f>IFERROR(__xludf.DUMMYFUNCTION("""COMPUTED_VALUE"""),"Garcia Margarita")</f>
        <v>Garcia Margarita</v>
      </c>
      <c r="D266" s="1" t="str">
        <f>IFERROR(__xludf.DUMMYFUNCTION("""COMPUTED_VALUE"""),"Reparaciones/Otros")</f>
        <v>Reparaciones/Otros</v>
      </c>
      <c r="E266" s="1" t="str">
        <f>IFERROR(__xludf.DUMMYFUNCTION("""COMPUTED_VALUE"""),"RIVADAVIA Rocio B")</f>
        <v>RIVADAVIA Rocio B</v>
      </c>
      <c r="F266" s="1" t="str">
        <f t="shared" si="1"/>
        <v>RIVADAVIA </v>
      </c>
      <c r="G266" s="1" t="str">
        <f t="shared" si="2"/>
        <v>Rocio B</v>
      </c>
      <c r="H266" s="1" t="str">
        <f>IFERROR(__xludf.DUMMYFUNCTION("""COMPUTED_VALUE"""),"10/1/2023, 17:00:00")</f>
        <v>10/1/2023, 17:00:00</v>
      </c>
      <c r="I266" s="1" t="str">
        <f>IFERROR(__xludf.DUMMYFUNCTION("""COMPUTED_VALUE"""),"Completado en SUCURSAL")</f>
        <v>Completado en SUCURSAL</v>
      </c>
      <c r="J266" s="1">
        <f t="shared" si="3"/>
        <v>5</v>
      </c>
      <c r="K266" s="1" t="str">
        <f t="shared" si="4"/>
        <v>Tus Lentes estan LISTAS PARA ENTREGAR, te esperamos.</v>
      </c>
    </row>
    <row r="267">
      <c r="A267" s="1">
        <f>IFERROR(__xludf.DUMMYFUNCTION("""COMPUTED_VALUE"""),84818.0)</f>
        <v>84818</v>
      </c>
      <c r="B267" s="5">
        <f>IFERROR(__xludf.DUMMYFUNCTION("""COMPUTED_VALUE"""),44935.80160012731)</f>
        <v>44935.8016</v>
      </c>
      <c r="C267" s="1" t="str">
        <f>IFERROR(__xludf.DUMMYFUNCTION("""COMPUTED_VALUE"""),"RUSSO PILAR")</f>
        <v>RUSSO PILAR</v>
      </c>
      <c r="D267" s="1" t="str">
        <f>IFERROR(__xludf.DUMMYFUNCTION("""COMPUTED_VALUE"""),"Lentes de STOCK")</f>
        <v>Lentes de STOCK</v>
      </c>
      <c r="E267" s="1" t="str">
        <f>IFERROR(__xludf.DUMMYFUNCTION("""COMPUTED_VALUE"""),"ARTIGAS Ivana P.")</f>
        <v>ARTIGAS Ivana P.</v>
      </c>
      <c r="F267" s="1" t="str">
        <f t="shared" si="1"/>
        <v>ARTIGAS </v>
      </c>
      <c r="G267" s="1" t="str">
        <f t="shared" si="2"/>
        <v>Ivana P.</v>
      </c>
      <c r="H267" s="1" t="str">
        <f>IFERROR(__xludf.DUMMYFUNCTION("""COMPUTED_VALUE"""),"12/1/2023, 17:00:00")</f>
        <v>12/1/2023, 17:00:00</v>
      </c>
      <c r="I267" s="1" t="str">
        <f>IFERROR(__xludf.DUMMYFUNCTION("""COMPUTED_VALUE"""),"Completado en SUCURSAL")</f>
        <v>Completado en SUCURSAL</v>
      </c>
      <c r="J267" s="1">
        <f t="shared" si="3"/>
        <v>5</v>
      </c>
      <c r="K267" s="1" t="str">
        <f t="shared" si="4"/>
        <v>Tus Lentes estan LISTAS PARA ENTREGAR, te esperamos.</v>
      </c>
    </row>
    <row r="268">
      <c r="A268" s="1">
        <f>IFERROR(__xludf.DUMMYFUNCTION("""COMPUTED_VALUE"""),84819.0)</f>
        <v>84819</v>
      </c>
      <c r="B268" s="5">
        <f>IFERROR(__xludf.DUMMYFUNCTION("""COMPUTED_VALUE"""),44935.81036753472)</f>
        <v>44935.81037</v>
      </c>
      <c r="C268" s="1" t="str">
        <f>IFERROR(__xludf.DUMMYFUNCTION("""COMPUTED_VALUE"""),"barreiro jorge luis")</f>
        <v>barreiro jorge luis</v>
      </c>
      <c r="D268" s="1" t="str">
        <f>IFERROR(__xludf.DUMMYFUNCTION("""COMPUTED_VALUE"""),"Lentes de STOCK")</f>
        <v>Lentes de STOCK</v>
      </c>
      <c r="E268" s="1" t="str">
        <f>IFERROR(__xludf.DUMMYFUNCTION("""COMPUTED_VALUE"""),"RIVADAVIA Daniel CM")</f>
        <v>RIVADAVIA Daniel CM</v>
      </c>
      <c r="F268" s="1" t="str">
        <f t="shared" si="1"/>
        <v>RIVADAVIA </v>
      </c>
      <c r="G268" s="1" t="str">
        <f t="shared" si="2"/>
        <v>Daniel CM</v>
      </c>
      <c r="H268" s="1" t="str">
        <f>IFERROR(__xludf.DUMMYFUNCTION("""COMPUTED_VALUE"""),"16/1/2023, 17:00:00")</f>
        <v>16/1/2023, 17:00:00</v>
      </c>
      <c r="I268" s="1" t="str">
        <f>IFERROR(__xludf.DUMMYFUNCTION("""COMPUTED_VALUE"""),"RETIRADO OK POR CLIENTE")</f>
        <v>RETIRADO OK POR CLIENTE</v>
      </c>
      <c r="J268" s="1">
        <f t="shared" si="3"/>
        <v>6</v>
      </c>
      <c r="K268" s="1" t="str">
        <f t="shared" si="4"/>
        <v>Entregamos tus lentes, que los disfrutes!</v>
      </c>
    </row>
    <row r="269">
      <c r="A269" s="1">
        <f>IFERROR(__xludf.DUMMYFUNCTION("""COMPUTED_VALUE"""),84820.0)</f>
        <v>84820</v>
      </c>
      <c r="B269" s="5">
        <f>IFERROR(__xludf.DUMMYFUNCTION("""COMPUTED_VALUE"""),44935.81823579861)</f>
        <v>44935.81824</v>
      </c>
      <c r="C269" s="1" t="str">
        <f>IFERROR(__xludf.DUMMYFUNCTION("""COMPUTED_VALUE"""),"FRANCISCO MOYANO DAZA")</f>
        <v>FRANCISCO MOYANO DAZA</v>
      </c>
      <c r="D269" s="1" t="str">
        <f>IFERROR(__xludf.DUMMYFUNCTION("""COMPUTED_VALUE"""),"Lentes de STOCK")</f>
        <v>Lentes de STOCK</v>
      </c>
      <c r="E269" s="1" t="str">
        <f>IFERROR(__xludf.DUMMYFUNCTION("""COMPUTED_VALUE"""),"RIVADAVIA Javier")</f>
        <v>RIVADAVIA Javier</v>
      </c>
      <c r="F269" s="1" t="str">
        <f t="shared" si="1"/>
        <v>RIVADAVIA </v>
      </c>
      <c r="G269" s="1" t="str">
        <f t="shared" si="2"/>
        <v>Javier</v>
      </c>
      <c r="H269" s="1" t="str">
        <f>IFERROR(__xludf.DUMMYFUNCTION("""COMPUTED_VALUE"""),"12/1/2023, 17:00:00")</f>
        <v>12/1/2023, 17:00:00</v>
      </c>
      <c r="I269" s="1"/>
      <c r="J269" s="1">
        <f t="shared" si="3"/>
        <v>0</v>
      </c>
      <c r="K269" s="1" t="str">
        <f t="shared" si="4"/>
        <v/>
      </c>
    </row>
    <row r="270">
      <c r="A270" s="1">
        <f>IFERROR(__xludf.DUMMYFUNCTION("""COMPUTED_VALUE"""),84821.0)</f>
        <v>84821</v>
      </c>
      <c r="B270" s="5">
        <f>IFERROR(__xludf.DUMMYFUNCTION("""COMPUTED_VALUE"""),44935.82837260417)</f>
        <v>44935.82837</v>
      </c>
      <c r="C270" s="1" t="str">
        <f>IFERROR(__xludf.DUMMYFUNCTION("""COMPUTED_VALUE"""),"HU ELIOT AGUSTIN")</f>
        <v>HU ELIOT AGUSTIN</v>
      </c>
      <c r="D270" s="1" t="str">
        <f>IFERROR(__xludf.DUMMYFUNCTION("""COMPUTED_VALUE"""),"Reparaciones/Otros")</f>
        <v>Reparaciones/Otros</v>
      </c>
      <c r="E270" s="1" t="str">
        <f>IFERROR(__xludf.DUMMYFUNCTION("""COMPUTED_VALUE"""),"RIVADAVIA Rocio B")</f>
        <v>RIVADAVIA Rocio B</v>
      </c>
      <c r="F270" s="1" t="str">
        <f t="shared" si="1"/>
        <v>RIVADAVIA </v>
      </c>
      <c r="G270" s="1" t="str">
        <f t="shared" si="2"/>
        <v>Rocio B</v>
      </c>
      <c r="H270" s="1" t="str">
        <f>IFERROR(__xludf.DUMMYFUNCTION("""COMPUTED_VALUE"""),"11/1/2023, 17:00:00")</f>
        <v>11/1/2023, 17:00:00</v>
      </c>
      <c r="I270" s="1" t="str">
        <f>IFERROR(__xludf.DUMMYFUNCTION("""COMPUTED_VALUE"""),"Completado en SUCURSAL")</f>
        <v>Completado en SUCURSAL</v>
      </c>
      <c r="J270" s="1">
        <f t="shared" si="3"/>
        <v>5</v>
      </c>
      <c r="K270" s="1" t="str">
        <f t="shared" si="4"/>
        <v>Tus Lentes estan LISTAS PARA ENTREGAR, te esperamos.</v>
      </c>
    </row>
    <row r="271">
      <c r="A271" s="1">
        <f>IFERROR(__xludf.DUMMYFUNCTION("""COMPUTED_VALUE"""),84822.0)</f>
        <v>84822</v>
      </c>
      <c r="B271" s="5">
        <f>IFERROR(__xludf.DUMMYFUNCTION("""COMPUTED_VALUE"""),44935.83306443287)</f>
        <v>44935.83306</v>
      </c>
      <c r="C271" s="1" t="str">
        <f>IFERROR(__xludf.DUMMYFUNCTION("""COMPUTED_VALUE"""),"rosales yamila")</f>
        <v>rosales yamila</v>
      </c>
      <c r="D271" s="1" t="str">
        <f>IFERROR(__xludf.DUMMYFUNCTION("""COMPUTED_VALUE"""),"Reparaciones/Otros")</f>
        <v>Reparaciones/Otros</v>
      </c>
      <c r="E271" s="1" t="str">
        <f>IFERROR(__xludf.DUMMYFUNCTION("""COMPUTED_VALUE"""),"ARTIGAS Ivana P.")</f>
        <v>ARTIGAS Ivana P.</v>
      </c>
      <c r="F271" s="1" t="str">
        <f t="shared" si="1"/>
        <v>ARTIGAS </v>
      </c>
      <c r="G271" s="1" t="str">
        <f t="shared" si="2"/>
        <v>Ivana P.</v>
      </c>
      <c r="H271" s="1" t="str">
        <f>IFERROR(__xludf.DUMMYFUNCTION("""COMPUTED_VALUE"""),"11/1/2023, 17:00:00")</f>
        <v>11/1/2023, 17:00:00</v>
      </c>
      <c r="I271" s="1" t="str">
        <f>IFERROR(__xludf.DUMMYFUNCTION("""COMPUTED_VALUE"""),"Completado en SUCURSAL")</f>
        <v>Completado en SUCURSAL</v>
      </c>
      <c r="J271" s="1">
        <f t="shared" si="3"/>
        <v>5</v>
      </c>
      <c r="K271" s="1" t="str">
        <f t="shared" si="4"/>
        <v>Tus Lentes estan LISTAS PARA ENTREGAR, te esperamos.</v>
      </c>
    </row>
    <row r="272">
      <c r="A272" s="1">
        <f>IFERROR(__xludf.DUMMYFUNCTION("""COMPUTED_VALUE"""),84823.0)</f>
        <v>84823</v>
      </c>
      <c r="B272" s="5">
        <f>IFERROR(__xludf.DUMMYFUNCTION("""COMPUTED_VALUE"""),44935.836416273145)</f>
        <v>44935.83642</v>
      </c>
      <c r="C272" s="1" t="str">
        <f>IFERROR(__xludf.DUMMYFUNCTION("""COMPUTED_VALUE"""),"SERGIO")</f>
        <v>SERGIO</v>
      </c>
      <c r="D272" s="1" t="str">
        <f>IFERROR(__xludf.DUMMYFUNCTION("""COMPUTED_VALUE"""),"Reparaciones/Otros")</f>
        <v>Reparaciones/Otros</v>
      </c>
      <c r="E272" s="1" t="str">
        <f>IFERROR(__xludf.DUMMYFUNCTION("""COMPUTED_VALUE"""),"ARTIGAS Celina")</f>
        <v>ARTIGAS Celina</v>
      </c>
      <c r="F272" s="1" t="str">
        <f t="shared" si="1"/>
        <v>ARTIGAS </v>
      </c>
      <c r="G272" s="1" t="str">
        <f t="shared" si="2"/>
        <v>Celina</v>
      </c>
      <c r="H272" s="1" t="str">
        <f>IFERROR(__xludf.DUMMYFUNCTION("""COMPUTED_VALUE"""),"10/1/2023, 17:00:00")</f>
        <v>10/1/2023, 17:00:00</v>
      </c>
      <c r="I272" s="1" t="str">
        <f>IFERROR(__xludf.DUMMYFUNCTION("""COMPUTED_VALUE"""),"Recibido en Laboratorio")</f>
        <v>Recibido en Laboratorio</v>
      </c>
      <c r="J272" s="1">
        <f t="shared" si="3"/>
        <v>2</v>
      </c>
      <c r="K272" s="1" t="str">
        <f t="shared" si="4"/>
        <v>Nuestro Laboratorio esta trabajando en tus lentes, los entregaremos en la fecha acordada.</v>
      </c>
    </row>
    <row r="273">
      <c r="A273" s="1">
        <f>IFERROR(__xludf.DUMMYFUNCTION("""COMPUTED_VALUE"""),84824.0)</f>
        <v>84824</v>
      </c>
      <c r="B273" s="5">
        <f>IFERROR(__xludf.DUMMYFUNCTION("""COMPUTED_VALUE"""),44935.84102572917)</f>
        <v>44935.84103</v>
      </c>
      <c r="C273" s="1" t="str">
        <f>IFERROR(__xludf.DUMMYFUNCTION("""COMPUTED_VALUE"""),"CACERES MARIA")</f>
        <v>CACERES MARIA</v>
      </c>
      <c r="D273" s="1" t="str">
        <f>IFERROR(__xludf.DUMMYFUNCTION("""COMPUTED_VALUE"""),"Lentes MULTIFOCALES")</f>
        <v>Lentes MULTIFOCALES</v>
      </c>
      <c r="E273" s="1" t="str">
        <f>IFERROR(__xludf.DUMMYFUNCTION("""COMPUTED_VALUE"""),"ARTIGAS Ivana P.")</f>
        <v>ARTIGAS Ivana P.</v>
      </c>
      <c r="F273" s="1" t="str">
        <f t="shared" si="1"/>
        <v>ARTIGAS </v>
      </c>
      <c r="G273" s="1" t="str">
        <f t="shared" si="2"/>
        <v>Ivana P.</v>
      </c>
      <c r="H273" s="1" t="str">
        <f>IFERROR(__xludf.DUMMYFUNCTION("""COMPUTED_VALUE"""),"23/1/2023, 17:00:00")</f>
        <v>23/1/2023, 17:00:00</v>
      </c>
      <c r="I273" s="1" t="str">
        <f>IFERROR(__xludf.DUMMYFUNCTION("""COMPUTED_VALUE"""),"RETIRADO OK POR CLIENTE")</f>
        <v>RETIRADO OK POR CLIENTE</v>
      </c>
      <c r="J273" s="1">
        <f t="shared" si="3"/>
        <v>6</v>
      </c>
      <c r="K273" s="1" t="str">
        <f t="shared" si="4"/>
        <v>Entregamos tus lentes, que los disfrutes!</v>
      </c>
    </row>
    <row r="274">
      <c r="A274" s="1">
        <f>IFERROR(__xludf.DUMMYFUNCTION("""COMPUTED_VALUE"""),84825.0)</f>
        <v>84825</v>
      </c>
      <c r="B274" s="5">
        <f>IFERROR(__xludf.DUMMYFUNCTION("""COMPUTED_VALUE"""),44935.84606871528)</f>
        <v>44935.84607</v>
      </c>
      <c r="C274" s="1" t="str">
        <f>IFERROR(__xludf.DUMMYFUNCTION("""COMPUTED_VALUE"""),"VEGA FERLIN IVANA ")</f>
        <v>VEGA FERLIN IVANA </v>
      </c>
      <c r="D274" s="1" t="str">
        <f>IFERROR(__xludf.DUMMYFUNCTION("""COMPUTED_VALUE"""),"Lentes de STOCK")</f>
        <v>Lentes de STOCK</v>
      </c>
      <c r="E274" s="1" t="str">
        <f>IFERROR(__xludf.DUMMYFUNCTION("""COMPUTED_VALUE"""),"ARTIGAS Cristian C.")</f>
        <v>ARTIGAS Cristian C.</v>
      </c>
      <c r="F274" s="1" t="str">
        <f t="shared" si="1"/>
        <v>ARTIGAS </v>
      </c>
      <c r="G274" s="1" t="str">
        <f t="shared" si="2"/>
        <v>Cristian C.</v>
      </c>
      <c r="H274" s="1" t="str">
        <f>IFERROR(__xludf.DUMMYFUNCTION("""COMPUTED_VALUE"""),"13/1/2023, 17:00:00")</f>
        <v>13/1/2023, 17:00:00</v>
      </c>
      <c r="I274" s="1" t="str">
        <f>IFERROR(__xludf.DUMMYFUNCTION("""COMPUTED_VALUE"""),"Completado en SUCURSAL")</f>
        <v>Completado en SUCURSAL</v>
      </c>
      <c r="J274" s="1">
        <f t="shared" si="3"/>
        <v>5</v>
      </c>
      <c r="K274" s="1" t="str">
        <f t="shared" si="4"/>
        <v>Tus Lentes estan LISTAS PARA ENTREGAR, te esperamos.</v>
      </c>
    </row>
    <row r="275">
      <c r="A275" s="1">
        <f>IFERROR(__xludf.DUMMYFUNCTION("""COMPUTED_VALUE"""),84826.0)</f>
        <v>84826</v>
      </c>
      <c r="B275" s="5">
        <f>IFERROR(__xludf.DUMMYFUNCTION("""COMPUTED_VALUE"""),44935.85408877315)</f>
        <v>44935.85409</v>
      </c>
      <c r="C275" s="1" t="str">
        <f>IFERROR(__xludf.DUMMYFUNCTION("""COMPUTED_VALUE"""),"RIVERO SOLEDAD")</f>
        <v>RIVERO SOLEDAD</v>
      </c>
      <c r="D275" s="1" t="str">
        <f>IFERROR(__xludf.DUMMYFUNCTION("""COMPUTED_VALUE"""),"Lentes de STOCK")</f>
        <v>Lentes de STOCK</v>
      </c>
      <c r="E275" s="1" t="str">
        <f>IFERROR(__xludf.DUMMYFUNCTION("""COMPUTED_VALUE"""),"RIVADAVIA Luciana")</f>
        <v>RIVADAVIA Luciana</v>
      </c>
      <c r="F275" s="1" t="str">
        <f t="shared" si="1"/>
        <v>RIVADAVIA </v>
      </c>
      <c r="G275" s="1" t="str">
        <f t="shared" si="2"/>
        <v>Luciana</v>
      </c>
      <c r="H275" s="1" t="str">
        <f>IFERROR(__xludf.DUMMYFUNCTION("""COMPUTED_VALUE"""),"13/1/2023, 17:00:00")</f>
        <v>13/1/2023, 17:00:00</v>
      </c>
      <c r="I275" s="1" t="str">
        <f>IFERROR(__xludf.DUMMYFUNCTION("""COMPUTED_VALUE"""),"RETIRADO OK POR CLIENTE")</f>
        <v>RETIRADO OK POR CLIENTE</v>
      </c>
      <c r="J275" s="1">
        <f t="shared" si="3"/>
        <v>6</v>
      </c>
      <c r="K275" s="1" t="str">
        <f t="shared" si="4"/>
        <v>Entregamos tus lentes, que los disfrutes!</v>
      </c>
    </row>
    <row r="276">
      <c r="A276" s="1">
        <f>IFERROR(__xludf.DUMMYFUNCTION("""COMPUTED_VALUE"""),84827.0)</f>
        <v>84827</v>
      </c>
      <c r="B276" s="5">
        <f>IFERROR(__xludf.DUMMYFUNCTION("""COMPUTED_VALUE"""),44936.38258584491)</f>
        <v>44936.38259</v>
      </c>
      <c r="C276" s="1" t="str">
        <f>IFERROR(__xludf.DUMMYFUNCTION("""COMPUTED_VALUE"""),"BAZAN DYLAN NICOLAS")</f>
        <v>BAZAN DYLAN NICOLAS</v>
      </c>
      <c r="D276" s="1" t="str">
        <f>IFERROR(__xludf.DUMMYFUNCTION("""COMPUTED_VALUE"""),"Lentes de LABORATORIO")</f>
        <v>Lentes de LABORATORIO</v>
      </c>
      <c r="E276" s="1" t="str">
        <f>IFERROR(__xludf.DUMMYFUNCTION("""COMPUTED_VALUE"""),"RIVADAVIA Daniel CM")</f>
        <v>RIVADAVIA Daniel CM</v>
      </c>
      <c r="F276" s="1" t="str">
        <f t="shared" si="1"/>
        <v>RIVADAVIA </v>
      </c>
      <c r="G276" s="1" t="str">
        <f t="shared" si="2"/>
        <v>Daniel CM</v>
      </c>
      <c r="H276" s="1" t="str">
        <f>IFERROR(__xludf.DUMMYFUNCTION("""COMPUTED_VALUE"""),"25/1/2023, 17:00:00")</f>
        <v>25/1/2023, 17:00:00</v>
      </c>
      <c r="I276" s="1" t="str">
        <f>IFERROR(__xludf.DUMMYFUNCTION("""COMPUTED_VALUE"""),"RETIRADO OK POR CLIENTE")</f>
        <v>RETIRADO OK POR CLIENTE</v>
      </c>
      <c r="J276" s="1">
        <f t="shared" si="3"/>
        <v>6</v>
      </c>
      <c r="K276" s="1" t="str">
        <f t="shared" si="4"/>
        <v>Entregamos tus lentes, que los disfrutes!</v>
      </c>
    </row>
    <row r="277">
      <c r="A277" s="1">
        <f>IFERROR(__xludf.DUMMYFUNCTION("""COMPUTED_VALUE"""),84828.0)</f>
        <v>84828</v>
      </c>
      <c r="B277" s="5">
        <f>IFERROR(__xludf.DUMMYFUNCTION("""COMPUTED_VALUE"""),44936.39510445602)</f>
        <v>44936.3951</v>
      </c>
      <c r="C277" s="1" t="str">
        <f>IFERROR(__xludf.DUMMYFUNCTION("""COMPUTED_VALUE"""),"BIAGGIO LUIS")</f>
        <v>BIAGGIO LUIS</v>
      </c>
      <c r="D277" s="1" t="str">
        <f>IFERROR(__xludf.DUMMYFUNCTION("""COMPUTED_VALUE"""),"Lentes MULTIFOCALES")</f>
        <v>Lentes MULTIFOCALES</v>
      </c>
      <c r="E277" s="1" t="str">
        <f>IFERROR(__xludf.DUMMYFUNCTION("""COMPUTED_VALUE"""),"ARTIGAS Ivana P.")</f>
        <v>ARTIGAS Ivana P.</v>
      </c>
      <c r="F277" s="1" t="str">
        <f t="shared" si="1"/>
        <v>ARTIGAS </v>
      </c>
      <c r="G277" s="1" t="str">
        <f t="shared" si="2"/>
        <v>Ivana P.</v>
      </c>
      <c r="H277" s="1" t="str">
        <f>IFERROR(__xludf.DUMMYFUNCTION("""COMPUTED_VALUE"""),"23/1/2023, 17:00:00")</f>
        <v>23/1/2023, 17:00:00</v>
      </c>
      <c r="I277" s="1" t="str">
        <f>IFERROR(__xludf.DUMMYFUNCTION("""COMPUTED_VALUE"""),"RETIRADO OK POR CLIENTE")</f>
        <v>RETIRADO OK POR CLIENTE</v>
      </c>
      <c r="J277" s="1">
        <f t="shared" si="3"/>
        <v>6</v>
      </c>
      <c r="K277" s="1" t="str">
        <f t="shared" si="4"/>
        <v>Entregamos tus lentes, que los disfrutes!</v>
      </c>
    </row>
    <row r="278">
      <c r="A278" s="1">
        <f>IFERROR(__xludf.DUMMYFUNCTION("""COMPUTED_VALUE"""),84829.0)</f>
        <v>84829</v>
      </c>
      <c r="B278" s="5">
        <f>IFERROR(__xludf.DUMMYFUNCTION("""COMPUTED_VALUE"""),44936.39861916666)</f>
        <v>44936.39862</v>
      </c>
      <c r="C278" s="1" t="str">
        <f>IFERROR(__xludf.DUMMYFUNCTION("""COMPUTED_VALUE"""),"MERCAU LILIANA MERCEDES")</f>
        <v>MERCAU LILIANA MERCEDES</v>
      </c>
      <c r="D278" s="1" t="str">
        <f>IFERROR(__xludf.DUMMYFUNCTION("""COMPUTED_VALUE"""),"Lentes de STOCK")</f>
        <v>Lentes de STOCK</v>
      </c>
      <c r="E278" s="1" t="str">
        <f>IFERROR(__xludf.DUMMYFUNCTION("""COMPUTED_VALUE"""),"RIVADAVIA Marcela L")</f>
        <v>RIVADAVIA Marcela L</v>
      </c>
      <c r="F278" s="1" t="str">
        <f t="shared" si="1"/>
        <v>RIVADAVIA </v>
      </c>
      <c r="G278" s="1" t="str">
        <f t="shared" si="2"/>
        <v>Marcela L</v>
      </c>
      <c r="H278" s="1" t="str">
        <f>IFERROR(__xludf.DUMMYFUNCTION("""COMPUTED_VALUE"""),"13/1/2023, 17:00:00")</f>
        <v>13/1/2023, 17:00:00</v>
      </c>
      <c r="I278" s="1" t="str">
        <f>IFERROR(__xludf.DUMMYFUNCTION("""COMPUTED_VALUE"""),"RETIRADO OK POR CLIENTE")</f>
        <v>RETIRADO OK POR CLIENTE</v>
      </c>
      <c r="J278" s="1">
        <f t="shared" si="3"/>
        <v>6</v>
      </c>
      <c r="K278" s="1" t="str">
        <f t="shared" si="4"/>
        <v>Entregamos tus lentes, que los disfrutes!</v>
      </c>
    </row>
    <row r="279">
      <c r="A279" s="1">
        <f>IFERROR(__xludf.DUMMYFUNCTION("""COMPUTED_VALUE"""),84830.0)</f>
        <v>84830</v>
      </c>
      <c r="B279" s="5">
        <f>IFERROR(__xludf.DUMMYFUNCTION("""COMPUTED_VALUE"""),44936.39863804398)</f>
        <v>44936.39864</v>
      </c>
      <c r="C279" s="1" t="str">
        <f>IFERROR(__xludf.DUMMYFUNCTION("""COMPUTED_VALUE"""),"DI CHIACCHIO HECTOR FRANCISCO")</f>
        <v>DI CHIACCHIO HECTOR FRANCISCO</v>
      </c>
      <c r="D279" s="1" t="str">
        <f>IFERROR(__xludf.DUMMYFUNCTION("""COMPUTED_VALUE"""),"Lentes de STOCK")</f>
        <v>Lentes de STOCK</v>
      </c>
      <c r="E279" s="1" t="str">
        <f>IFERROR(__xludf.DUMMYFUNCTION("""COMPUTED_VALUE"""),"ARTIGAS Cristian C.")</f>
        <v>ARTIGAS Cristian C.</v>
      </c>
      <c r="F279" s="1" t="str">
        <f t="shared" si="1"/>
        <v>ARTIGAS </v>
      </c>
      <c r="G279" s="1" t="str">
        <f t="shared" si="2"/>
        <v>Cristian C.</v>
      </c>
      <c r="H279" s="1" t="str">
        <f>IFERROR(__xludf.DUMMYFUNCTION("""COMPUTED_VALUE"""),"16/1/2023, 17:00:00")</f>
        <v>16/1/2023, 17:00:00</v>
      </c>
      <c r="I279" s="1" t="str">
        <f>IFERROR(__xludf.DUMMYFUNCTION("""COMPUTED_VALUE"""),"Completado en SUCURSAL")</f>
        <v>Completado en SUCURSAL</v>
      </c>
      <c r="J279" s="1">
        <f t="shared" si="3"/>
        <v>5</v>
      </c>
      <c r="K279" s="1" t="str">
        <f t="shared" si="4"/>
        <v>Tus Lentes estan LISTAS PARA ENTREGAR, te esperamos.</v>
      </c>
    </row>
    <row r="280">
      <c r="A280" s="1">
        <f>IFERROR(__xludf.DUMMYFUNCTION("""COMPUTED_VALUE"""),84831.0)</f>
        <v>84831</v>
      </c>
      <c r="B280" s="5">
        <f>IFERROR(__xludf.DUMMYFUNCTION("""COMPUTED_VALUE"""),44936.40018121528)</f>
        <v>44936.40018</v>
      </c>
      <c r="C280" s="1" t="str">
        <f>IFERROR(__xludf.DUMMYFUNCTION("""COMPUTED_VALUE"""),"YESICA LIZZARAGA")</f>
        <v>YESICA LIZZARAGA</v>
      </c>
      <c r="D280" s="1" t="str">
        <f>IFERROR(__xludf.DUMMYFUNCTION("""COMPUTED_VALUE"""),"Reparaciones/Otros")</f>
        <v>Reparaciones/Otros</v>
      </c>
      <c r="E280" s="1" t="str">
        <f>IFERROR(__xludf.DUMMYFUNCTION("""COMPUTED_VALUE"""),"ARTIGAS Celina")</f>
        <v>ARTIGAS Celina</v>
      </c>
      <c r="F280" s="1" t="str">
        <f t="shared" si="1"/>
        <v>ARTIGAS </v>
      </c>
      <c r="G280" s="1" t="str">
        <f t="shared" si="2"/>
        <v>Celina</v>
      </c>
      <c r="H280" s="1" t="str">
        <f>IFERROR(__xludf.DUMMYFUNCTION("""COMPUTED_VALUE"""),"11/1/2023, 17:00:00")</f>
        <v>11/1/2023, 17:00:00</v>
      </c>
      <c r="I280" s="1" t="str">
        <f>IFERROR(__xludf.DUMMYFUNCTION("""COMPUTED_VALUE"""),"Completado en SUCURSAL")</f>
        <v>Completado en SUCURSAL</v>
      </c>
      <c r="J280" s="1">
        <f t="shared" si="3"/>
        <v>5</v>
      </c>
      <c r="K280" s="1" t="str">
        <f t="shared" si="4"/>
        <v>Tus Lentes estan LISTAS PARA ENTREGAR, te esperamos.</v>
      </c>
    </row>
    <row r="281">
      <c r="A281" s="1">
        <f>IFERROR(__xludf.DUMMYFUNCTION("""COMPUTED_VALUE"""),84832.0)</f>
        <v>84832</v>
      </c>
      <c r="B281" s="5">
        <f>IFERROR(__xludf.DUMMYFUNCTION("""COMPUTED_VALUE"""),44936.40461315972)</f>
        <v>44936.40461</v>
      </c>
      <c r="C281" s="1" t="str">
        <f>IFERROR(__xludf.DUMMYFUNCTION("""COMPUTED_VALUE"""),"AGUILERA RAMONA EDITH")</f>
        <v>AGUILERA RAMONA EDITH</v>
      </c>
      <c r="D281" s="1" t="str">
        <f>IFERROR(__xludf.DUMMYFUNCTION("""COMPUTED_VALUE"""),"Lentes de STOCK")</f>
        <v>Lentes de STOCK</v>
      </c>
      <c r="E281" s="1" t="str">
        <f>IFERROR(__xludf.DUMMYFUNCTION("""COMPUTED_VALUE"""),"ARTIGAS Cristian C.")</f>
        <v>ARTIGAS Cristian C.</v>
      </c>
      <c r="F281" s="1" t="str">
        <f t="shared" si="1"/>
        <v>ARTIGAS </v>
      </c>
      <c r="G281" s="1" t="str">
        <f t="shared" si="2"/>
        <v>Cristian C.</v>
      </c>
      <c r="H281" s="1" t="str">
        <f>IFERROR(__xludf.DUMMYFUNCTION("""COMPUTED_VALUE"""),"18/1/2023, 17:00:00")</f>
        <v>18/1/2023, 17:00:00</v>
      </c>
      <c r="I281" s="1" t="str">
        <f>IFERROR(__xludf.DUMMYFUNCTION("""COMPUTED_VALUE"""),"RETIRADO OK POR CLIENTE")</f>
        <v>RETIRADO OK POR CLIENTE</v>
      </c>
      <c r="J281" s="1">
        <f t="shared" si="3"/>
        <v>6</v>
      </c>
      <c r="K281" s="1" t="str">
        <f t="shared" si="4"/>
        <v>Entregamos tus lentes, que los disfrutes!</v>
      </c>
    </row>
    <row r="282">
      <c r="A282" s="1">
        <f>IFERROR(__xludf.DUMMYFUNCTION("""COMPUTED_VALUE"""),84833.0)</f>
        <v>84833</v>
      </c>
      <c r="B282" s="5">
        <f>IFERROR(__xludf.DUMMYFUNCTION("""COMPUTED_VALUE"""),44936.41053717592)</f>
        <v>44936.41054</v>
      </c>
      <c r="C282" s="1" t="str">
        <f>IFERROR(__xludf.DUMMYFUNCTION("""COMPUTED_VALUE"""),"MELISA PRODIND")</f>
        <v>MELISA PRODIND</v>
      </c>
      <c r="D282" s="1" t="str">
        <f>IFERROR(__xludf.DUMMYFUNCTION("""COMPUTED_VALUE"""),"Lentes de STOCK")</f>
        <v>Lentes de STOCK</v>
      </c>
      <c r="E282" s="1" t="str">
        <f>IFERROR(__xludf.DUMMYFUNCTION("""COMPUTED_VALUE"""),"ARTIGAS Ivana P.")</f>
        <v>ARTIGAS Ivana P.</v>
      </c>
      <c r="F282" s="1" t="str">
        <f t="shared" si="1"/>
        <v>ARTIGAS </v>
      </c>
      <c r="G282" s="1" t="str">
        <f t="shared" si="2"/>
        <v>Ivana P.</v>
      </c>
      <c r="H282" s="1" t="str">
        <f>IFERROR(__xludf.DUMMYFUNCTION("""COMPUTED_VALUE"""),"13/1/2023, 17:00:00")</f>
        <v>13/1/2023, 17:00:00</v>
      </c>
      <c r="I282" s="1" t="str">
        <f>IFERROR(__xludf.DUMMYFUNCTION("""COMPUTED_VALUE"""),"RETIRADO OK POR CLIENTE")</f>
        <v>RETIRADO OK POR CLIENTE</v>
      </c>
      <c r="J282" s="1">
        <f t="shared" si="3"/>
        <v>6</v>
      </c>
      <c r="K282" s="1" t="str">
        <f t="shared" si="4"/>
        <v>Entregamos tus lentes, que los disfrutes!</v>
      </c>
    </row>
    <row r="283">
      <c r="A283" s="1">
        <f>IFERROR(__xludf.DUMMYFUNCTION("""COMPUTED_VALUE"""),84834.0)</f>
        <v>84834</v>
      </c>
      <c r="B283" s="5">
        <f>IFERROR(__xludf.DUMMYFUNCTION("""COMPUTED_VALUE"""),44936.415593125)</f>
        <v>44936.41559</v>
      </c>
      <c r="C283" s="1" t="str">
        <f>IFERROR(__xludf.DUMMYFUNCTION("""COMPUTED_VALUE"""),"CARMARGO LUIS IBRAHIM")</f>
        <v>CARMARGO LUIS IBRAHIM</v>
      </c>
      <c r="D283" s="1" t="str">
        <f>IFERROR(__xludf.DUMMYFUNCTION("""COMPUTED_VALUE"""),"Lentes de STOCK")</f>
        <v>Lentes de STOCK</v>
      </c>
      <c r="E283" s="1" t="str">
        <f>IFERROR(__xludf.DUMMYFUNCTION("""COMPUTED_VALUE"""),"ARTIGAS Cristian C.")</f>
        <v>ARTIGAS Cristian C.</v>
      </c>
      <c r="F283" s="1" t="str">
        <f t="shared" si="1"/>
        <v>ARTIGAS </v>
      </c>
      <c r="G283" s="1" t="str">
        <f t="shared" si="2"/>
        <v>Cristian C.</v>
      </c>
      <c r="H283" s="1" t="str">
        <f>IFERROR(__xludf.DUMMYFUNCTION("""COMPUTED_VALUE"""),"16/1/2023, 17:00:00")</f>
        <v>16/1/2023, 17:00:00</v>
      </c>
      <c r="I283" s="1" t="str">
        <f>IFERROR(__xludf.DUMMYFUNCTION("""COMPUTED_VALUE"""),"RETIRADO OK POR CLIENTE")</f>
        <v>RETIRADO OK POR CLIENTE</v>
      </c>
      <c r="J283" s="1">
        <f t="shared" si="3"/>
        <v>6</v>
      </c>
      <c r="K283" s="1" t="str">
        <f t="shared" si="4"/>
        <v>Entregamos tus lentes, que los disfrutes!</v>
      </c>
    </row>
    <row r="284">
      <c r="A284" s="1">
        <f>IFERROR(__xludf.DUMMYFUNCTION("""COMPUTED_VALUE"""),84835.0)</f>
        <v>84835</v>
      </c>
      <c r="B284" s="5">
        <f>IFERROR(__xludf.DUMMYFUNCTION("""COMPUTED_VALUE"""),44936.41665813657)</f>
        <v>44936.41666</v>
      </c>
      <c r="C284" s="1" t="str">
        <f>IFERROR(__xludf.DUMMYFUNCTION("""COMPUTED_VALUE"""),"PUISSEGUR DANIEL JORGE")</f>
        <v>PUISSEGUR DANIEL JORGE</v>
      </c>
      <c r="D284" s="1" t="str">
        <f>IFERROR(__xludf.DUMMYFUNCTION("""COMPUTED_VALUE"""),"Lentes de STOCK")</f>
        <v>Lentes de STOCK</v>
      </c>
      <c r="E284" s="1" t="str">
        <f>IFERROR(__xludf.DUMMYFUNCTION("""COMPUTED_VALUE"""),"RIVADAVIA Rocio B")</f>
        <v>RIVADAVIA Rocio B</v>
      </c>
      <c r="F284" s="1" t="str">
        <f t="shared" si="1"/>
        <v>RIVADAVIA </v>
      </c>
      <c r="G284" s="1" t="str">
        <f t="shared" si="2"/>
        <v>Rocio B</v>
      </c>
      <c r="H284" s="1" t="str">
        <f>IFERROR(__xludf.DUMMYFUNCTION("""COMPUTED_VALUE"""),"17/1/2023, 17:00:00")</f>
        <v>17/1/2023, 17:00:00</v>
      </c>
      <c r="I284" s="1" t="str">
        <f>IFERROR(__xludf.DUMMYFUNCTION("""COMPUTED_VALUE"""),"RETIRADO OK POR CLIENTE")</f>
        <v>RETIRADO OK POR CLIENTE</v>
      </c>
      <c r="J284" s="1">
        <f t="shared" si="3"/>
        <v>6</v>
      </c>
      <c r="K284" s="1" t="str">
        <f t="shared" si="4"/>
        <v>Entregamos tus lentes, que los disfrutes!</v>
      </c>
    </row>
    <row r="285">
      <c r="A285" s="1">
        <f>IFERROR(__xludf.DUMMYFUNCTION("""COMPUTED_VALUE"""),84836.0)</f>
        <v>84836</v>
      </c>
      <c r="B285" s="5">
        <f>IFERROR(__xludf.DUMMYFUNCTION("""COMPUTED_VALUE"""),44936.42807372686)</f>
        <v>44936.42807</v>
      </c>
      <c r="C285" s="1" t="str">
        <f>IFERROR(__xludf.DUMMYFUNCTION("""COMPUTED_VALUE"""),"DOMINGUEZ CARLOS SERGIO")</f>
        <v>DOMINGUEZ CARLOS SERGIO</v>
      </c>
      <c r="D285" s="1" t="str">
        <f>IFERROR(__xludf.DUMMYFUNCTION("""COMPUTED_VALUE"""),"Lentes de STOCK")</f>
        <v>Lentes de STOCK</v>
      </c>
      <c r="E285" s="1" t="str">
        <f>IFERROR(__xludf.DUMMYFUNCTION("""COMPUTED_VALUE"""),"RIVADAVIA Marcela L")</f>
        <v>RIVADAVIA Marcela L</v>
      </c>
      <c r="F285" s="1" t="str">
        <f t="shared" si="1"/>
        <v>RIVADAVIA </v>
      </c>
      <c r="G285" s="1" t="str">
        <f t="shared" si="2"/>
        <v>Marcela L</v>
      </c>
      <c r="H285" s="1" t="str">
        <f>IFERROR(__xludf.DUMMYFUNCTION("""COMPUTED_VALUE"""),"13/1/2023, 17:00:00")</f>
        <v>13/1/2023, 17:00:00</v>
      </c>
      <c r="I285" s="1" t="str">
        <f>IFERROR(__xludf.DUMMYFUNCTION("""COMPUTED_VALUE"""),"Enviado a Sucursal")</f>
        <v>Enviado a Sucursal</v>
      </c>
      <c r="J285" s="1">
        <f t="shared" si="3"/>
        <v>4</v>
      </c>
      <c r="K285" s="1" t="str">
        <f t="shared" si="4"/>
        <v>Tus lentes estan viajando a la sucursal para su entrega.</v>
      </c>
    </row>
    <row r="286">
      <c r="A286" s="1">
        <f>IFERROR(__xludf.DUMMYFUNCTION("""COMPUTED_VALUE"""),84837.0)</f>
        <v>84837</v>
      </c>
      <c r="B286" s="5">
        <f>IFERROR(__xludf.DUMMYFUNCTION("""COMPUTED_VALUE"""),44936.428881053245)</f>
        <v>44936.42888</v>
      </c>
      <c r="C286" s="1" t="str">
        <f>IFERROR(__xludf.DUMMYFUNCTION("""COMPUTED_VALUE"""),"ALBORNOZ PEDRO")</f>
        <v>ALBORNOZ PEDRO</v>
      </c>
      <c r="D286" s="1" t="str">
        <f>IFERROR(__xludf.DUMMYFUNCTION("""COMPUTED_VALUE"""),"Reparaciones/Otros")</f>
        <v>Reparaciones/Otros</v>
      </c>
      <c r="E286" s="1" t="str">
        <f>IFERROR(__xludf.DUMMYFUNCTION("""COMPUTED_VALUE"""),"ARTIGAS Ivana P.")</f>
        <v>ARTIGAS Ivana P.</v>
      </c>
      <c r="F286" s="1" t="str">
        <f t="shared" si="1"/>
        <v>ARTIGAS </v>
      </c>
      <c r="G286" s="1" t="str">
        <f t="shared" si="2"/>
        <v>Ivana P.</v>
      </c>
      <c r="H286" s="1" t="str">
        <f>IFERROR(__xludf.DUMMYFUNCTION("""COMPUTED_VALUE"""),"11/1/2023, 17:00:00")</f>
        <v>11/1/2023, 17:00:00</v>
      </c>
      <c r="I286" s="1" t="str">
        <f>IFERROR(__xludf.DUMMYFUNCTION("""COMPUTED_VALUE"""),"Completado en SUCURSAL")</f>
        <v>Completado en SUCURSAL</v>
      </c>
      <c r="J286" s="1">
        <f t="shared" si="3"/>
        <v>5</v>
      </c>
      <c r="K286" s="1" t="str">
        <f t="shared" si="4"/>
        <v>Tus Lentes estan LISTAS PARA ENTREGAR, te esperamos.</v>
      </c>
    </row>
    <row r="287">
      <c r="A287" s="1">
        <f>IFERROR(__xludf.DUMMYFUNCTION("""COMPUTED_VALUE"""),84838.0)</f>
        <v>84838</v>
      </c>
      <c r="B287" s="5">
        <f>IFERROR(__xludf.DUMMYFUNCTION("""COMPUTED_VALUE"""),44936.435201099535)</f>
        <v>44936.4352</v>
      </c>
      <c r="C287" s="1" t="str">
        <f>IFERROR(__xludf.DUMMYFUNCTION("""COMPUTED_VALUE"""),"Cuello Agustina")</f>
        <v>Cuello Agustina</v>
      </c>
      <c r="D287" s="1" t="str">
        <f>IFERROR(__xludf.DUMMYFUNCTION("""COMPUTED_VALUE"""),"Lentes de STOCK")</f>
        <v>Lentes de STOCK</v>
      </c>
      <c r="E287" s="1" t="str">
        <f>IFERROR(__xludf.DUMMYFUNCTION("""COMPUTED_VALUE"""),"RIVADAVIA Rocio B")</f>
        <v>RIVADAVIA Rocio B</v>
      </c>
      <c r="F287" s="1" t="str">
        <f t="shared" si="1"/>
        <v>RIVADAVIA </v>
      </c>
      <c r="G287" s="1" t="str">
        <f t="shared" si="2"/>
        <v>Rocio B</v>
      </c>
      <c r="H287" s="1" t="str">
        <f>IFERROR(__xludf.DUMMYFUNCTION("""COMPUTED_VALUE"""),"16/1/2023, 17:00:00")</f>
        <v>16/1/2023, 17:00:00</v>
      </c>
      <c r="I287" s="1" t="str">
        <f>IFERROR(__xludf.DUMMYFUNCTION("""COMPUTED_VALUE"""),"RETIRADO OK POR CLIENTE")</f>
        <v>RETIRADO OK POR CLIENTE</v>
      </c>
      <c r="J287" s="1">
        <f t="shared" si="3"/>
        <v>6</v>
      </c>
      <c r="K287" s="1" t="str">
        <f t="shared" si="4"/>
        <v>Entregamos tus lentes, que los disfrutes!</v>
      </c>
    </row>
    <row r="288">
      <c r="A288" s="1">
        <f>IFERROR(__xludf.DUMMYFUNCTION("""COMPUTED_VALUE"""),84839.0)</f>
        <v>84839</v>
      </c>
      <c r="B288" s="5">
        <f>IFERROR(__xludf.DUMMYFUNCTION("""COMPUTED_VALUE"""),44936.43692995371)</f>
        <v>44936.43693</v>
      </c>
      <c r="C288" s="1" t="str">
        <f>IFERROR(__xludf.DUMMYFUNCTION("""COMPUTED_VALUE"""),"Cuello Agustina")</f>
        <v>Cuello Agustina</v>
      </c>
      <c r="D288" s="1" t="str">
        <f>IFERROR(__xludf.DUMMYFUNCTION("""COMPUTED_VALUE"""),"Lentes de STOCK")</f>
        <v>Lentes de STOCK</v>
      </c>
      <c r="E288" s="1" t="str">
        <f>IFERROR(__xludf.DUMMYFUNCTION("""COMPUTED_VALUE"""),"RIVADAVIA Rocio B")</f>
        <v>RIVADAVIA Rocio B</v>
      </c>
      <c r="F288" s="1" t="str">
        <f t="shared" si="1"/>
        <v>RIVADAVIA </v>
      </c>
      <c r="G288" s="1" t="str">
        <f t="shared" si="2"/>
        <v>Rocio B</v>
      </c>
      <c r="H288" s="1" t="str">
        <f>IFERROR(__xludf.DUMMYFUNCTION("""COMPUTED_VALUE"""),"17/1/2023, 17:00:00")</f>
        <v>17/1/2023, 17:00:00</v>
      </c>
      <c r="I288" s="1" t="str">
        <f>IFERROR(__xludf.DUMMYFUNCTION("""COMPUTED_VALUE"""),"RETIRADO OK POR CLIENTE")</f>
        <v>RETIRADO OK POR CLIENTE</v>
      </c>
      <c r="J288" s="1">
        <f t="shared" si="3"/>
        <v>6</v>
      </c>
      <c r="K288" s="1" t="str">
        <f t="shared" si="4"/>
        <v>Entregamos tus lentes, que los disfrutes!</v>
      </c>
    </row>
    <row r="289">
      <c r="A289" s="1">
        <f>IFERROR(__xludf.DUMMYFUNCTION("""COMPUTED_VALUE"""),84840.0)</f>
        <v>84840</v>
      </c>
      <c r="B289" s="5">
        <f>IFERROR(__xludf.DUMMYFUNCTION("""COMPUTED_VALUE"""),44936.43772325231)</f>
        <v>44936.43772</v>
      </c>
      <c r="C289" s="1" t="str">
        <f>IFERROR(__xludf.DUMMYFUNCTION("""COMPUTED_VALUE"""),"PEREYRA JUAN MANUEL")</f>
        <v>PEREYRA JUAN MANUEL</v>
      </c>
      <c r="D289" s="1" t="str">
        <f>IFERROR(__xludf.DUMMYFUNCTION("""COMPUTED_VALUE"""),"Lentes de STOCK")</f>
        <v>Lentes de STOCK</v>
      </c>
      <c r="E289" s="1" t="str">
        <f>IFERROR(__xludf.DUMMYFUNCTION("""COMPUTED_VALUE"""),"RIVADAVIA Marcela L")</f>
        <v>RIVADAVIA Marcela L</v>
      </c>
      <c r="F289" s="1" t="str">
        <f t="shared" si="1"/>
        <v>RIVADAVIA </v>
      </c>
      <c r="G289" s="1" t="str">
        <f t="shared" si="2"/>
        <v>Marcela L</v>
      </c>
      <c r="H289" s="1" t="str">
        <f>IFERROR(__xludf.DUMMYFUNCTION("""COMPUTED_VALUE"""),"13/1/2023, 17:00:00")</f>
        <v>13/1/2023, 17:00:00</v>
      </c>
      <c r="I289" s="1" t="str">
        <f>IFERROR(__xludf.DUMMYFUNCTION("""COMPUTED_VALUE"""),"RETIRADO OK POR CLIENTE")</f>
        <v>RETIRADO OK POR CLIENTE</v>
      </c>
      <c r="J289" s="1">
        <f t="shared" si="3"/>
        <v>6</v>
      </c>
      <c r="K289" s="1" t="str">
        <f t="shared" si="4"/>
        <v>Entregamos tus lentes, que los disfrutes!</v>
      </c>
    </row>
    <row r="290">
      <c r="A290" s="1">
        <f>IFERROR(__xludf.DUMMYFUNCTION("""COMPUTED_VALUE"""),84841.0)</f>
        <v>84841</v>
      </c>
      <c r="B290" s="5">
        <f>IFERROR(__xludf.DUMMYFUNCTION("""COMPUTED_VALUE"""),44936.44987607639)</f>
        <v>44936.44988</v>
      </c>
      <c r="C290" s="1" t="str">
        <f>IFERROR(__xludf.DUMMYFUNCTION("""COMPUTED_VALUE"""),"SALAS CELIA EDIT")</f>
        <v>SALAS CELIA EDIT</v>
      </c>
      <c r="D290" s="1" t="str">
        <f>IFERROR(__xludf.DUMMYFUNCTION("""COMPUTED_VALUE"""),"Lentes BIFOCALES")</f>
        <v>Lentes BIFOCALES</v>
      </c>
      <c r="E290" s="1" t="str">
        <f>IFERROR(__xludf.DUMMYFUNCTION("""COMPUTED_VALUE"""),"ARTIGAS Cristian C.")</f>
        <v>ARTIGAS Cristian C.</v>
      </c>
      <c r="F290" s="1" t="str">
        <f t="shared" si="1"/>
        <v>ARTIGAS </v>
      </c>
      <c r="G290" s="1" t="str">
        <f t="shared" si="2"/>
        <v>Cristian C.</v>
      </c>
      <c r="H290" s="1" t="str">
        <f>IFERROR(__xludf.DUMMYFUNCTION("""COMPUTED_VALUE"""),"23/1/2023, 17:00:00")</f>
        <v>23/1/2023, 17:00:00</v>
      </c>
      <c r="I290" s="1" t="str">
        <f>IFERROR(__xludf.DUMMYFUNCTION("""COMPUTED_VALUE"""),"En Armado Hoy")</f>
        <v>En Armado Hoy</v>
      </c>
      <c r="J290" s="1">
        <f t="shared" si="3"/>
        <v>3</v>
      </c>
      <c r="K290" s="1" t="str">
        <f t="shared" si="4"/>
        <v>Estamos terminando los ultimos detalles de tus lentes, los terminaremos el dia de hoy.</v>
      </c>
    </row>
    <row r="291">
      <c r="A291" s="1">
        <f>IFERROR(__xludf.DUMMYFUNCTION("""COMPUTED_VALUE"""),84842.0)</f>
        <v>84842</v>
      </c>
      <c r="B291" s="5">
        <f>IFERROR(__xludf.DUMMYFUNCTION("""COMPUTED_VALUE"""),44936.456057013886)</f>
        <v>44936.45606</v>
      </c>
      <c r="C291" s="1" t="str">
        <f>IFERROR(__xludf.DUMMYFUNCTION("""COMPUTED_VALUE"""),"MARTICORENA ADRIANO")</f>
        <v>MARTICORENA ADRIANO</v>
      </c>
      <c r="D291" s="1" t="str">
        <f>IFERROR(__xludf.DUMMYFUNCTION("""COMPUTED_VALUE"""),"Reparaciones/Otros")</f>
        <v>Reparaciones/Otros</v>
      </c>
      <c r="E291" s="1" t="str">
        <f>IFERROR(__xludf.DUMMYFUNCTION("""COMPUTED_VALUE"""),"RIVADAVIA Daniel CM")</f>
        <v>RIVADAVIA Daniel CM</v>
      </c>
      <c r="F291" s="1" t="str">
        <f t="shared" si="1"/>
        <v>RIVADAVIA </v>
      </c>
      <c r="G291" s="1" t="str">
        <f t="shared" si="2"/>
        <v>Daniel CM</v>
      </c>
      <c r="H291" s="1" t="str">
        <f>IFERROR(__xludf.DUMMYFUNCTION("""COMPUTED_VALUE"""),"11/1/2023, 17:00:00")</f>
        <v>11/1/2023, 17:00:00</v>
      </c>
      <c r="I291" s="1" t="str">
        <f>IFERROR(__xludf.DUMMYFUNCTION("""COMPUTED_VALUE"""),"Completado en SUCURSAL")</f>
        <v>Completado en SUCURSAL</v>
      </c>
      <c r="J291" s="1">
        <f t="shared" si="3"/>
        <v>5</v>
      </c>
      <c r="K291" s="1" t="str">
        <f t="shared" si="4"/>
        <v>Tus Lentes estan LISTAS PARA ENTREGAR, te esperamos.</v>
      </c>
    </row>
    <row r="292">
      <c r="A292" s="1">
        <f>IFERROR(__xludf.DUMMYFUNCTION("""COMPUTED_VALUE"""),84843.0)</f>
        <v>84843</v>
      </c>
      <c r="B292" s="5">
        <f>IFERROR(__xludf.DUMMYFUNCTION("""COMPUTED_VALUE"""),44936.462454803244)</f>
        <v>44936.46245</v>
      </c>
      <c r="C292" s="1" t="str">
        <f>IFERROR(__xludf.DUMMYFUNCTION("""COMPUTED_VALUE"""),"Guardias Gonzalo")</f>
        <v>Guardias Gonzalo</v>
      </c>
      <c r="D292" s="1" t="str">
        <f>IFERROR(__xludf.DUMMYFUNCTION("""COMPUTED_VALUE"""),"Lentes de STOCK")</f>
        <v>Lentes de STOCK</v>
      </c>
      <c r="E292" s="1" t="str">
        <f>IFERROR(__xludf.DUMMYFUNCTION("""COMPUTED_VALUE"""),"RIVADAVIA Rocio B")</f>
        <v>RIVADAVIA Rocio B</v>
      </c>
      <c r="F292" s="1" t="str">
        <f t="shared" si="1"/>
        <v>RIVADAVIA </v>
      </c>
      <c r="G292" s="1" t="str">
        <f t="shared" si="2"/>
        <v>Rocio B</v>
      </c>
      <c r="H292" s="1" t="str">
        <f>IFERROR(__xludf.DUMMYFUNCTION("""COMPUTED_VALUE"""),"16/1/2023, 17:00:00")</f>
        <v>16/1/2023, 17:00:00</v>
      </c>
      <c r="I292" s="1" t="str">
        <f>IFERROR(__xludf.DUMMYFUNCTION("""COMPUTED_VALUE"""),"Completado en SUCURSAL")</f>
        <v>Completado en SUCURSAL</v>
      </c>
      <c r="J292" s="1">
        <f t="shared" si="3"/>
        <v>5</v>
      </c>
      <c r="K292" s="1" t="str">
        <f t="shared" si="4"/>
        <v>Tus Lentes estan LISTAS PARA ENTREGAR, te esperamos.</v>
      </c>
    </row>
    <row r="293">
      <c r="A293" s="1">
        <f>IFERROR(__xludf.DUMMYFUNCTION("""COMPUTED_VALUE"""),84843.0)</f>
        <v>84843</v>
      </c>
      <c r="B293" s="5">
        <f>IFERROR(__xludf.DUMMYFUNCTION("""COMPUTED_VALUE"""),44936.46244886574)</f>
        <v>44936.46245</v>
      </c>
      <c r="C293" s="1" t="str">
        <f>IFERROR(__xludf.DUMMYFUNCTION("""COMPUTED_VALUE"""),"HECTOR NUÑEZ ")</f>
        <v>HECTOR NUÑEZ </v>
      </c>
      <c r="D293" s="1" t="str">
        <f>IFERROR(__xludf.DUMMYFUNCTION("""COMPUTED_VALUE"""),"Reparaciones/Otros")</f>
        <v>Reparaciones/Otros</v>
      </c>
      <c r="E293" s="1" t="str">
        <f>IFERROR(__xludf.DUMMYFUNCTION("""COMPUTED_VALUE"""),"ARTIGAS Celina")</f>
        <v>ARTIGAS Celina</v>
      </c>
      <c r="F293" s="1" t="str">
        <f t="shared" si="1"/>
        <v>ARTIGAS </v>
      </c>
      <c r="G293" s="1" t="str">
        <f t="shared" si="2"/>
        <v>Celina</v>
      </c>
      <c r="H293" s="1" t="str">
        <f>IFERROR(__xludf.DUMMYFUNCTION("""COMPUTED_VALUE"""),"11/1/2023, 17:00:00")</f>
        <v>11/1/2023, 17:00:00</v>
      </c>
      <c r="I293" s="1"/>
      <c r="J293" s="1">
        <f t="shared" si="3"/>
        <v>0</v>
      </c>
      <c r="K293" s="1" t="str">
        <f t="shared" si="4"/>
        <v/>
      </c>
    </row>
    <row r="294">
      <c r="A294" s="1">
        <f>IFERROR(__xludf.DUMMYFUNCTION("""COMPUTED_VALUE"""),84844.0)</f>
        <v>84844</v>
      </c>
      <c r="B294" s="5">
        <f>IFERROR(__xludf.DUMMYFUNCTION("""COMPUTED_VALUE"""),44936.4645613426)</f>
        <v>44936.46456</v>
      </c>
      <c r="C294" s="1" t="str">
        <f>IFERROR(__xludf.DUMMYFUNCTION("""COMPUTED_VALUE"""),"Guardias Gonzalo")</f>
        <v>Guardias Gonzalo</v>
      </c>
      <c r="D294" s="1" t="str">
        <f>IFERROR(__xludf.DUMMYFUNCTION("""COMPUTED_VALUE"""),"Lentes de STOCK")</f>
        <v>Lentes de STOCK</v>
      </c>
      <c r="E294" s="1" t="str">
        <f>IFERROR(__xludf.DUMMYFUNCTION("""COMPUTED_VALUE"""),"RIVADAVIA Rocio B")</f>
        <v>RIVADAVIA Rocio B</v>
      </c>
      <c r="F294" s="1" t="str">
        <f t="shared" si="1"/>
        <v>RIVADAVIA </v>
      </c>
      <c r="G294" s="1" t="str">
        <f t="shared" si="2"/>
        <v>Rocio B</v>
      </c>
      <c r="H294" s="1" t="str">
        <f>IFERROR(__xludf.DUMMYFUNCTION("""COMPUTED_VALUE"""),"16/1/2023, 17:00:00")</f>
        <v>16/1/2023, 17:00:00</v>
      </c>
      <c r="I294" s="1" t="str">
        <f>IFERROR(__xludf.DUMMYFUNCTION("""COMPUTED_VALUE"""),"Completado en SUCURSAL")</f>
        <v>Completado en SUCURSAL</v>
      </c>
      <c r="J294" s="1">
        <f t="shared" si="3"/>
        <v>5</v>
      </c>
      <c r="K294" s="1" t="str">
        <f t="shared" si="4"/>
        <v>Tus Lentes estan LISTAS PARA ENTREGAR, te esperamos.</v>
      </c>
    </row>
    <row r="295">
      <c r="A295" s="1">
        <f>IFERROR(__xludf.DUMMYFUNCTION("""COMPUTED_VALUE"""),84845.0)</f>
        <v>84845</v>
      </c>
      <c r="B295" s="5">
        <f>IFERROR(__xludf.DUMMYFUNCTION("""COMPUTED_VALUE"""),44936.47439379629)</f>
        <v>44936.47439</v>
      </c>
      <c r="C295" s="1" t="str">
        <f>IFERROR(__xludf.DUMMYFUNCTION("""COMPUTED_VALUE"""),"GODOY OSCAR ")</f>
        <v>GODOY OSCAR </v>
      </c>
      <c r="D295" s="1" t="str">
        <f>IFERROR(__xludf.DUMMYFUNCTION("""COMPUTED_VALUE"""),"Lentes de STOCK")</f>
        <v>Lentes de STOCK</v>
      </c>
      <c r="E295" s="1" t="str">
        <f>IFERROR(__xludf.DUMMYFUNCTION("""COMPUTED_VALUE"""),"ARTIGAS Cristian C.")</f>
        <v>ARTIGAS Cristian C.</v>
      </c>
      <c r="F295" s="1" t="str">
        <f t="shared" si="1"/>
        <v>ARTIGAS </v>
      </c>
      <c r="G295" s="1" t="str">
        <f t="shared" si="2"/>
        <v>Cristian C.</v>
      </c>
      <c r="H295" s="1" t="str">
        <f>IFERROR(__xludf.DUMMYFUNCTION("""COMPUTED_VALUE"""),"17/1/2023, 17:00:00")</f>
        <v>17/1/2023, 17:00:00</v>
      </c>
      <c r="I295" s="1" t="str">
        <f>IFERROR(__xludf.DUMMYFUNCTION("""COMPUTED_VALUE"""),"RETIRADO OK POR CLIENTE")</f>
        <v>RETIRADO OK POR CLIENTE</v>
      </c>
      <c r="J295" s="1">
        <f t="shared" si="3"/>
        <v>6</v>
      </c>
      <c r="K295" s="1" t="str">
        <f t="shared" si="4"/>
        <v>Entregamos tus lentes, que los disfrutes!</v>
      </c>
    </row>
    <row r="296">
      <c r="A296" s="1">
        <f>IFERROR(__xludf.DUMMYFUNCTION("""COMPUTED_VALUE"""),84846.0)</f>
        <v>84846</v>
      </c>
      <c r="B296" s="5">
        <f>IFERROR(__xludf.DUMMYFUNCTION("""COMPUTED_VALUE"""),44936.474612060185)</f>
        <v>44936.47461</v>
      </c>
      <c r="C296" s="1" t="str">
        <f>IFERROR(__xludf.DUMMYFUNCTION("""COMPUTED_VALUE"""),"LEMME SILVINA ")</f>
        <v>LEMME SILVINA </v>
      </c>
      <c r="D296" s="1" t="str">
        <f>IFERROR(__xludf.DUMMYFUNCTION("""COMPUTED_VALUE"""),"Lentes de STOCK")</f>
        <v>Lentes de STOCK</v>
      </c>
      <c r="E296" s="1" t="str">
        <f>IFERROR(__xludf.DUMMYFUNCTION("""COMPUTED_VALUE"""),"RIVADAVIA Marcela L")</f>
        <v>RIVADAVIA Marcela L</v>
      </c>
      <c r="F296" s="1" t="str">
        <f t="shared" si="1"/>
        <v>RIVADAVIA </v>
      </c>
      <c r="G296" s="1" t="str">
        <f t="shared" si="2"/>
        <v>Marcela L</v>
      </c>
      <c r="H296" s="1" t="str">
        <f>IFERROR(__xludf.DUMMYFUNCTION("""COMPUTED_VALUE"""),"13/1/2023, 17:00:00")</f>
        <v>13/1/2023, 17:00:00</v>
      </c>
      <c r="I296" s="1" t="str">
        <f>IFERROR(__xludf.DUMMYFUNCTION("""COMPUTED_VALUE"""),"RETIRADO OK POR CLIENTE")</f>
        <v>RETIRADO OK POR CLIENTE</v>
      </c>
      <c r="J296" s="1">
        <f t="shared" si="3"/>
        <v>6</v>
      </c>
      <c r="K296" s="1" t="str">
        <f t="shared" si="4"/>
        <v>Entregamos tus lentes, que los disfrutes!</v>
      </c>
    </row>
    <row r="297">
      <c r="A297" s="1">
        <f>IFERROR(__xludf.DUMMYFUNCTION("""COMPUTED_VALUE"""),84847.0)</f>
        <v>84847</v>
      </c>
      <c r="B297" s="5">
        <f>IFERROR(__xludf.DUMMYFUNCTION("""COMPUTED_VALUE"""),44936.47664184027)</f>
        <v>44936.47664</v>
      </c>
      <c r="C297" s="1" t="str">
        <f>IFERROR(__xludf.DUMMYFUNCTION("""COMPUTED_VALUE"""),"RUIZ AMBAR")</f>
        <v>RUIZ AMBAR</v>
      </c>
      <c r="D297" s="1" t="str">
        <f>IFERROR(__xludf.DUMMYFUNCTION("""COMPUTED_VALUE"""),"Lentes de STOCK")</f>
        <v>Lentes de STOCK</v>
      </c>
      <c r="E297" s="1" t="str">
        <f>IFERROR(__xludf.DUMMYFUNCTION("""COMPUTED_VALUE"""),"RIVADAVIA Luciana")</f>
        <v>RIVADAVIA Luciana</v>
      </c>
      <c r="F297" s="1" t="str">
        <f t="shared" si="1"/>
        <v>RIVADAVIA </v>
      </c>
      <c r="G297" s="1" t="str">
        <f t="shared" si="2"/>
        <v>Luciana</v>
      </c>
      <c r="H297" s="1" t="str">
        <f>IFERROR(__xludf.DUMMYFUNCTION("""COMPUTED_VALUE"""),"13/1/2023, 17:00:00")</f>
        <v>13/1/2023, 17:00:00</v>
      </c>
      <c r="I297" s="1" t="str">
        <f>IFERROR(__xludf.DUMMYFUNCTION("""COMPUTED_VALUE"""),"RETIRADO OK POR CLIENTE")</f>
        <v>RETIRADO OK POR CLIENTE</v>
      </c>
      <c r="J297" s="1">
        <f t="shared" si="3"/>
        <v>6</v>
      </c>
      <c r="K297" s="1" t="str">
        <f t="shared" si="4"/>
        <v>Entregamos tus lentes, que los disfrutes!</v>
      </c>
    </row>
    <row r="298">
      <c r="A298" s="1">
        <f>IFERROR(__xludf.DUMMYFUNCTION("""COMPUTED_VALUE"""),84848.0)</f>
        <v>84848</v>
      </c>
      <c r="B298" s="5">
        <f>IFERROR(__xludf.DUMMYFUNCTION("""COMPUTED_VALUE"""),44936.48045837963)</f>
        <v>44936.48046</v>
      </c>
      <c r="C298" s="1" t="str">
        <f>IFERROR(__xludf.DUMMYFUNCTION("""COMPUTED_VALUE"""),"PETTEN STELLA")</f>
        <v>PETTEN STELLA</v>
      </c>
      <c r="D298" s="1" t="str">
        <f>IFERROR(__xludf.DUMMYFUNCTION("""COMPUTED_VALUE"""),"Lentes MULTIFOCALES")</f>
        <v>Lentes MULTIFOCALES</v>
      </c>
      <c r="E298" s="1" t="str">
        <f>IFERROR(__xludf.DUMMYFUNCTION("""COMPUTED_VALUE"""),"ARTIGAS Ivana P.")</f>
        <v>ARTIGAS Ivana P.</v>
      </c>
      <c r="F298" s="1" t="str">
        <f t="shared" si="1"/>
        <v>ARTIGAS </v>
      </c>
      <c r="G298" s="1" t="str">
        <f t="shared" si="2"/>
        <v>Ivana P.</v>
      </c>
      <c r="H298" s="1" t="str">
        <f>IFERROR(__xludf.DUMMYFUNCTION("""COMPUTED_VALUE"""),"20/1/2023, 17:00:00")</f>
        <v>20/1/2023, 17:00:00</v>
      </c>
      <c r="I298" s="1" t="str">
        <f>IFERROR(__xludf.DUMMYFUNCTION("""COMPUTED_VALUE"""),"RETIRADO OK POR CLIENTE")</f>
        <v>RETIRADO OK POR CLIENTE</v>
      </c>
      <c r="J298" s="1">
        <f t="shared" si="3"/>
        <v>6</v>
      </c>
      <c r="K298" s="1" t="str">
        <f t="shared" si="4"/>
        <v>Entregamos tus lentes, que los disfrutes!</v>
      </c>
    </row>
    <row r="299">
      <c r="A299" s="1">
        <f>IFERROR(__xludf.DUMMYFUNCTION("""COMPUTED_VALUE"""),84849.0)</f>
        <v>84849</v>
      </c>
      <c r="B299" s="5">
        <f>IFERROR(__xludf.DUMMYFUNCTION("""COMPUTED_VALUE"""),44936.482276215276)</f>
        <v>44936.48228</v>
      </c>
      <c r="C299" s="1" t="str">
        <f>IFERROR(__xludf.DUMMYFUNCTION("""COMPUTED_VALUE"""),"MARIO ESCUDERO")</f>
        <v>MARIO ESCUDERO</v>
      </c>
      <c r="D299" s="1" t="str">
        <f>IFERROR(__xludf.DUMMYFUNCTION("""COMPUTED_VALUE"""),"Reparaciones/Otros")</f>
        <v>Reparaciones/Otros</v>
      </c>
      <c r="E299" s="1" t="str">
        <f>IFERROR(__xludf.DUMMYFUNCTION("""COMPUTED_VALUE"""),"ARTIGAS Celina")</f>
        <v>ARTIGAS Celina</v>
      </c>
      <c r="F299" s="1" t="str">
        <f t="shared" si="1"/>
        <v>ARTIGAS </v>
      </c>
      <c r="G299" s="1" t="str">
        <f t="shared" si="2"/>
        <v>Celina</v>
      </c>
      <c r="H299" s="1" t="str">
        <f>IFERROR(__xludf.DUMMYFUNCTION("""COMPUTED_VALUE"""),"11/1/2023, 17:00:00")</f>
        <v>11/1/2023, 17:00:00</v>
      </c>
      <c r="I299" s="1" t="str">
        <f>IFERROR(__xludf.DUMMYFUNCTION("""COMPUTED_VALUE"""),"Completado en SUCURSAL")</f>
        <v>Completado en SUCURSAL</v>
      </c>
      <c r="J299" s="1">
        <f t="shared" si="3"/>
        <v>5</v>
      </c>
      <c r="K299" s="1" t="str">
        <f t="shared" si="4"/>
        <v>Tus Lentes estan LISTAS PARA ENTREGAR, te esperamos.</v>
      </c>
    </row>
    <row r="300">
      <c r="A300" s="1">
        <f>IFERROR(__xludf.DUMMYFUNCTION("""COMPUTED_VALUE"""),84850.0)</f>
        <v>84850</v>
      </c>
      <c r="B300" s="5">
        <f>IFERROR(__xludf.DUMMYFUNCTION("""COMPUTED_VALUE"""),44936.487466238425)</f>
        <v>44936.48747</v>
      </c>
      <c r="C300" s="1" t="str">
        <f>IFERROR(__xludf.DUMMYFUNCTION("""COMPUTED_VALUE"""),"VELAZQUEZ LUNA ANA PAULA")</f>
        <v>VELAZQUEZ LUNA ANA PAULA</v>
      </c>
      <c r="D300" s="1" t="str">
        <f>IFERROR(__xludf.DUMMYFUNCTION("""COMPUTED_VALUE"""),"Lentes de STOCK")</f>
        <v>Lentes de STOCK</v>
      </c>
      <c r="E300" s="1" t="str">
        <f>IFERROR(__xludf.DUMMYFUNCTION("""COMPUTED_VALUE"""),"ARTIGAS Cristian C.")</f>
        <v>ARTIGAS Cristian C.</v>
      </c>
      <c r="F300" s="1" t="str">
        <f t="shared" si="1"/>
        <v>ARTIGAS </v>
      </c>
      <c r="G300" s="1" t="str">
        <f t="shared" si="2"/>
        <v>Cristian C.</v>
      </c>
      <c r="H300" s="1" t="str">
        <f>IFERROR(__xludf.DUMMYFUNCTION("""COMPUTED_VALUE"""),"19/1/2023, 17:00:00")</f>
        <v>19/1/2023, 17:00:00</v>
      </c>
      <c r="I300" s="1" t="str">
        <f>IFERROR(__xludf.DUMMYFUNCTION("""COMPUTED_VALUE"""),"RETIRADO OK POR CLIENTE")</f>
        <v>RETIRADO OK POR CLIENTE</v>
      </c>
      <c r="J300" s="1">
        <f t="shared" si="3"/>
        <v>6</v>
      </c>
      <c r="K300" s="1" t="str">
        <f t="shared" si="4"/>
        <v>Entregamos tus lentes, que los disfrutes!</v>
      </c>
    </row>
    <row r="301">
      <c r="A301" s="1">
        <f>IFERROR(__xludf.DUMMYFUNCTION("""COMPUTED_VALUE"""),84851.0)</f>
        <v>84851</v>
      </c>
      <c r="B301" s="5">
        <f>IFERROR(__xludf.DUMMYFUNCTION("""COMPUTED_VALUE"""),44936.493338518514)</f>
        <v>44936.49334</v>
      </c>
      <c r="C301" s="1" t="str">
        <f>IFERROR(__xludf.DUMMYFUNCTION("""COMPUTED_VALUE"""),"SUAREZ ROSA ELENA")</f>
        <v>SUAREZ ROSA ELENA</v>
      </c>
      <c r="D301" s="1" t="str">
        <f>IFERROR(__xludf.DUMMYFUNCTION("""COMPUTED_VALUE"""),"Lentes de STOCK")</f>
        <v>Lentes de STOCK</v>
      </c>
      <c r="E301" s="1" t="str">
        <f>IFERROR(__xludf.DUMMYFUNCTION("""COMPUTED_VALUE"""),"RIVADAVIA Daniel CM")</f>
        <v>RIVADAVIA Daniel CM</v>
      </c>
      <c r="F301" s="1" t="str">
        <f t="shared" si="1"/>
        <v>RIVADAVIA </v>
      </c>
      <c r="G301" s="1" t="str">
        <f t="shared" si="2"/>
        <v>Daniel CM</v>
      </c>
      <c r="H301" s="1" t="str">
        <f>IFERROR(__xludf.DUMMYFUNCTION("""COMPUTED_VALUE"""),"12/1/2023, 17:00:00")</f>
        <v>12/1/2023, 17:00:00</v>
      </c>
      <c r="I301" s="1" t="str">
        <f>IFERROR(__xludf.DUMMYFUNCTION("""COMPUTED_VALUE"""),"RETIRADO OK POR CLIENTE")</f>
        <v>RETIRADO OK POR CLIENTE</v>
      </c>
      <c r="J301" s="1">
        <f t="shared" si="3"/>
        <v>6</v>
      </c>
      <c r="K301" s="1" t="str">
        <f t="shared" si="4"/>
        <v>Entregamos tus lentes, que los disfrutes!</v>
      </c>
    </row>
    <row r="302">
      <c r="A302" s="1">
        <f>IFERROR(__xludf.DUMMYFUNCTION("""COMPUTED_VALUE"""),84852.0)</f>
        <v>84852</v>
      </c>
      <c r="B302" s="5">
        <f>IFERROR(__xludf.DUMMYFUNCTION("""COMPUTED_VALUE"""),44936.49501795138)</f>
        <v>44936.49502</v>
      </c>
      <c r="C302" s="1" t="str">
        <f>IFERROR(__xludf.DUMMYFUNCTION("""COMPUTED_VALUE"""),"LUNA PAULA GABRIELA")</f>
        <v>LUNA PAULA GABRIELA</v>
      </c>
      <c r="D302" s="1" t="str">
        <f>IFERROR(__xludf.DUMMYFUNCTION("""COMPUTED_VALUE"""),"Lentes MULTIFOCALES")</f>
        <v>Lentes MULTIFOCALES</v>
      </c>
      <c r="E302" s="1" t="str">
        <f>IFERROR(__xludf.DUMMYFUNCTION("""COMPUTED_VALUE"""),"ARTIGAS Cristian C.")</f>
        <v>ARTIGAS Cristian C.</v>
      </c>
      <c r="F302" s="1" t="str">
        <f t="shared" si="1"/>
        <v>ARTIGAS </v>
      </c>
      <c r="G302" s="1" t="str">
        <f t="shared" si="2"/>
        <v>Cristian C.</v>
      </c>
      <c r="H302" s="1" t="str">
        <f>IFERROR(__xludf.DUMMYFUNCTION("""COMPUTED_VALUE"""),"23/1/2023, 17:00:00")</f>
        <v>23/1/2023, 17:00:00</v>
      </c>
      <c r="I302" s="1" t="str">
        <f>IFERROR(__xludf.DUMMYFUNCTION("""COMPUTED_VALUE"""),"RETIRADO OK POR CLIENTE")</f>
        <v>RETIRADO OK POR CLIENTE</v>
      </c>
      <c r="J302" s="1">
        <f t="shared" si="3"/>
        <v>6</v>
      </c>
      <c r="K302" s="1" t="str">
        <f t="shared" si="4"/>
        <v>Entregamos tus lentes, que los disfrutes!</v>
      </c>
    </row>
    <row r="303">
      <c r="A303" s="1">
        <f>IFERROR(__xludf.DUMMYFUNCTION("""COMPUTED_VALUE"""),84853.0)</f>
        <v>84853</v>
      </c>
      <c r="B303" s="5">
        <f>IFERROR(__xludf.DUMMYFUNCTION("""COMPUTED_VALUE"""),44936.49800813658)</f>
        <v>44936.49801</v>
      </c>
      <c r="C303" s="1" t="str">
        <f>IFERROR(__xludf.DUMMYFUNCTION("""COMPUTED_VALUE"""),"SARANDON MARIA")</f>
        <v>SARANDON MARIA</v>
      </c>
      <c r="D303" s="1" t="str">
        <f>IFERROR(__xludf.DUMMYFUNCTION("""COMPUTED_VALUE"""),"Lentes MULTIFOCALES")</f>
        <v>Lentes MULTIFOCALES</v>
      </c>
      <c r="E303" s="1" t="str">
        <f>IFERROR(__xludf.DUMMYFUNCTION("""COMPUTED_VALUE"""),"ARTIGAS Ivana P.")</f>
        <v>ARTIGAS Ivana P.</v>
      </c>
      <c r="F303" s="1" t="str">
        <f t="shared" si="1"/>
        <v>ARTIGAS </v>
      </c>
      <c r="G303" s="1" t="str">
        <f t="shared" si="2"/>
        <v>Ivana P.</v>
      </c>
      <c r="H303" s="1" t="str">
        <f>IFERROR(__xludf.DUMMYFUNCTION("""COMPUTED_VALUE"""),"23/1/2023, 17:00:00")</f>
        <v>23/1/2023, 17:00:00</v>
      </c>
      <c r="I303" s="1" t="str">
        <f>IFERROR(__xludf.DUMMYFUNCTION("""COMPUTED_VALUE"""),"En Armado Hoy")</f>
        <v>En Armado Hoy</v>
      </c>
      <c r="J303" s="1">
        <f t="shared" si="3"/>
        <v>3</v>
      </c>
      <c r="K303" s="1" t="str">
        <f t="shared" si="4"/>
        <v>Estamos terminando los ultimos detalles de tus lentes, los terminaremos el dia de hoy.</v>
      </c>
    </row>
    <row r="304">
      <c r="A304" s="1">
        <f>IFERROR(__xludf.DUMMYFUNCTION("""COMPUTED_VALUE"""),84854.0)</f>
        <v>84854</v>
      </c>
      <c r="B304" s="5">
        <f>IFERROR(__xludf.DUMMYFUNCTION("""COMPUTED_VALUE"""),44936.49973398148)</f>
        <v>44936.49973</v>
      </c>
      <c r="C304" s="1" t="str">
        <f>IFERROR(__xludf.DUMMYFUNCTION("""COMPUTED_VALUE"""),"GODOY LUCAS")</f>
        <v>GODOY LUCAS</v>
      </c>
      <c r="D304" s="1" t="str">
        <f>IFERROR(__xludf.DUMMYFUNCTION("""COMPUTED_VALUE"""),"Reparaciones/Otros")</f>
        <v>Reparaciones/Otros</v>
      </c>
      <c r="E304" s="1" t="str">
        <f>IFERROR(__xludf.DUMMYFUNCTION("""COMPUTED_VALUE"""),"ARTIGAS Celina")</f>
        <v>ARTIGAS Celina</v>
      </c>
      <c r="F304" s="1" t="str">
        <f t="shared" si="1"/>
        <v>ARTIGAS </v>
      </c>
      <c r="G304" s="1" t="str">
        <f t="shared" si="2"/>
        <v>Celina</v>
      </c>
      <c r="H304" s="1" t="str">
        <f>IFERROR(__xludf.DUMMYFUNCTION("""COMPUTED_VALUE"""),"11/1/2023, 17:00:00")</f>
        <v>11/1/2023, 17:00:00</v>
      </c>
      <c r="I304" s="1" t="str">
        <f>IFERROR(__xludf.DUMMYFUNCTION("""COMPUTED_VALUE"""),"Recibido en Laboratorio")</f>
        <v>Recibido en Laboratorio</v>
      </c>
      <c r="J304" s="1">
        <f t="shared" si="3"/>
        <v>2</v>
      </c>
      <c r="K304" s="1" t="str">
        <f t="shared" si="4"/>
        <v>Nuestro Laboratorio esta trabajando en tus lentes, los entregaremos en la fecha acordada.</v>
      </c>
    </row>
    <row r="305">
      <c r="A305" s="1">
        <f>IFERROR(__xludf.DUMMYFUNCTION("""COMPUTED_VALUE"""),84855.0)</f>
        <v>84855</v>
      </c>
      <c r="B305" s="5">
        <f>IFERROR(__xludf.DUMMYFUNCTION("""COMPUTED_VALUE"""),44936.50477212963)</f>
        <v>44936.50477</v>
      </c>
      <c r="C305" s="1" t="str">
        <f>IFERROR(__xludf.DUMMYFUNCTION("""COMPUTED_VALUE"""),"ALBELO SHAIR")</f>
        <v>ALBELO SHAIR</v>
      </c>
      <c r="D305" s="1" t="str">
        <f>IFERROR(__xludf.DUMMYFUNCTION("""COMPUTED_VALUE"""),"Lentes de STOCK")</f>
        <v>Lentes de STOCK</v>
      </c>
      <c r="E305" s="1" t="str">
        <f>IFERROR(__xludf.DUMMYFUNCTION("""COMPUTED_VALUE"""),"RIVADAVIA Santiago LOPEZ")</f>
        <v>RIVADAVIA Santiago LOPEZ</v>
      </c>
      <c r="F305" s="1" t="str">
        <f t="shared" si="1"/>
        <v>RIVADAVIA </v>
      </c>
      <c r="G305" s="1" t="str">
        <f t="shared" si="2"/>
        <v>Santiago LOPEZ</v>
      </c>
      <c r="H305" s="1" t="str">
        <f>IFERROR(__xludf.DUMMYFUNCTION("""COMPUTED_VALUE"""),"17/1/2023, 17:00:00")</f>
        <v>17/1/2023, 17:00:00</v>
      </c>
      <c r="I305" s="1"/>
      <c r="J305" s="1">
        <f t="shared" si="3"/>
        <v>0</v>
      </c>
      <c r="K305" s="1" t="str">
        <f t="shared" si="4"/>
        <v/>
      </c>
    </row>
    <row r="306">
      <c r="A306" s="1">
        <f>IFERROR(__xludf.DUMMYFUNCTION("""COMPUTED_VALUE"""),84856.0)</f>
        <v>84856</v>
      </c>
      <c r="B306" s="5">
        <f>IFERROR(__xludf.DUMMYFUNCTION("""COMPUTED_VALUE"""),44936.51152115741)</f>
        <v>44936.51152</v>
      </c>
      <c r="C306" s="1" t="str">
        <f>IFERROR(__xludf.DUMMYFUNCTION("""COMPUTED_VALUE"""),"MACHUCA ZOE")</f>
        <v>MACHUCA ZOE</v>
      </c>
      <c r="D306" s="1" t="str">
        <f>IFERROR(__xludf.DUMMYFUNCTION("""COMPUTED_VALUE"""),"Lentes de STOCK")</f>
        <v>Lentes de STOCK</v>
      </c>
      <c r="E306" s="1" t="str">
        <f>IFERROR(__xludf.DUMMYFUNCTION("""COMPUTED_VALUE"""),"ARTIGAS Ivana P.")</f>
        <v>ARTIGAS Ivana P.</v>
      </c>
      <c r="F306" s="1" t="str">
        <f t="shared" si="1"/>
        <v>ARTIGAS </v>
      </c>
      <c r="G306" s="1" t="str">
        <f t="shared" si="2"/>
        <v>Ivana P.</v>
      </c>
      <c r="H306" s="1" t="str">
        <f>IFERROR(__xludf.DUMMYFUNCTION("""COMPUTED_VALUE"""),"13/1/2023, 17:00:00")</f>
        <v>13/1/2023, 17:00:00</v>
      </c>
      <c r="I306" s="1" t="str">
        <f>IFERROR(__xludf.DUMMYFUNCTION("""COMPUTED_VALUE"""),"RETIRADO OK POR CLIENTE")</f>
        <v>RETIRADO OK POR CLIENTE</v>
      </c>
      <c r="J306" s="1">
        <f t="shared" si="3"/>
        <v>6</v>
      </c>
      <c r="K306" s="1" t="str">
        <f t="shared" si="4"/>
        <v>Entregamos tus lentes, que los disfrutes!</v>
      </c>
    </row>
    <row r="307">
      <c r="A307" s="1">
        <f>IFERROR(__xludf.DUMMYFUNCTION("""COMPUTED_VALUE"""),84857.0)</f>
        <v>84857</v>
      </c>
      <c r="B307" s="5">
        <f>IFERROR(__xludf.DUMMYFUNCTION("""COMPUTED_VALUE"""),44936.519867361116)</f>
        <v>44936.51987</v>
      </c>
      <c r="C307" s="1" t="str">
        <f>IFERROR(__xludf.DUMMYFUNCTION("""COMPUTED_VALUE"""),"HANNUN ANTONIO MANUEL")</f>
        <v>HANNUN ANTONIO MANUEL</v>
      </c>
      <c r="D307" s="1" t="str">
        <f>IFERROR(__xludf.DUMMYFUNCTION("""COMPUTED_VALUE"""),"Lentes BIFOCALES")</f>
        <v>Lentes BIFOCALES</v>
      </c>
      <c r="E307" s="1" t="str">
        <f>IFERROR(__xludf.DUMMYFUNCTION("""COMPUTED_VALUE"""),"ARTIGAS Cristian C.")</f>
        <v>ARTIGAS Cristian C.</v>
      </c>
      <c r="F307" s="1" t="str">
        <f t="shared" si="1"/>
        <v>ARTIGAS </v>
      </c>
      <c r="G307" s="1" t="str">
        <f t="shared" si="2"/>
        <v>Cristian C.</v>
      </c>
      <c r="H307" s="1" t="str">
        <f>IFERROR(__xludf.DUMMYFUNCTION("""COMPUTED_VALUE"""),"17/1/2023, 17:00:00")</f>
        <v>17/1/2023, 17:00:00</v>
      </c>
      <c r="I307" s="1" t="str">
        <f>IFERROR(__xludf.DUMMYFUNCTION("""COMPUTED_VALUE"""),"RETIRADO OK POR CLIENTE")</f>
        <v>RETIRADO OK POR CLIENTE</v>
      </c>
      <c r="J307" s="1">
        <f t="shared" si="3"/>
        <v>6</v>
      </c>
      <c r="K307" s="1" t="str">
        <f t="shared" si="4"/>
        <v>Entregamos tus lentes, que los disfrutes!</v>
      </c>
    </row>
    <row r="308">
      <c r="A308" s="1">
        <f>IFERROR(__xludf.DUMMYFUNCTION("""COMPUTED_VALUE"""),84858.0)</f>
        <v>84858</v>
      </c>
      <c r="B308" s="5">
        <f>IFERROR(__xludf.DUMMYFUNCTION("""COMPUTED_VALUE"""),44936.52092149305)</f>
        <v>44936.52092</v>
      </c>
      <c r="C308" s="1" t="str">
        <f>IFERROR(__xludf.DUMMYFUNCTION("""COMPUTED_VALUE"""),"TRONCOSO MARIA")</f>
        <v>TRONCOSO MARIA</v>
      </c>
      <c r="D308" s="1" t="str">
        <f>IFERROR(__xludf.DUMMYFUNCTION("""COMPUTED_VALUE"""),"Reparaciones/Otros")</f>
        <v>Reparaciones/Otros</v>
      </c>
      <c r="E308" s="1" t="str">
        <f>IFERROR(__xludf.DUMMYFUNCTION("""COMPUTED_VALUE"""),"RIVADAVIA Daniel CM")</f>
        <v>RIVADAVIA Daniel CM</v>
      </c>
      <c r="F308" s="1" t="str">
        <f t="shared" si="1"/>
        <v>RIVADAVIA </v>
      </c>
      <c r="G308" s="1" t="str">
        <f t="shared" si="2"/>
        <v>Daniel CM</v>
      </c>
      <c r="H308" s="1" t="str">
        <f>IFERROR(__xludf.DUMMYFUNCTION("""COMPUTED_VALUE"""),"11/1/2023, 17:00:00")</f>
        <v>11/1/2023, 17:00:00</v>
      </c>
      <c r="I308" s="1" t="str">
        <f>IFERROR(__xludf.DUMMYFUNCTION("""COMPUTED_VALUE"""),"Completado en SUCURSAL")</f>
        <v>Completado en SUCURSAL</v>
      </c>
      <c r="J308" s="1">
        <f t="shared" si="3"/>
        <v>5</v>
      </c>
      <c r="K308" s="1" t="str">
        <f t="shared" si="4"/>
        <v>Tus Lentes estan LISTAS PARA ENTREGAR, te esperamos.</v>
      </c>
    </row>
    <row r="309">
      <c r="A309" s="1">
        <f>IFERROR(__xludf.DUMMYFUNCTION("""COMPUTED_VALUE"""),84859.0)</f>
        <v>84859</v>
      </c>
      <c r="B309" s="5">
        <f>IFERROR(__xludf.DUMMYFUNCTION("""COMPUTED_VALUE"""),44936.53116226852)</f>
        <v>44936.53116</v>
      </c>
      <c r="C309" s="1" t="str">
        <f>IFERROR(__xludf.DUMMYFUNCTION("""COMPUTED_VALUE"""),"CALDERON SALDIVAR NATALIA")</f>
        <v>CALDERON SALDIVAR NATALIA</v>
      </c>
      <c r="D309" s="1" t="str">
        <f>IFERROR(__xludf.DUMMYFUNCTION("""COMPUTED_VALUE"""),"Lentes de STOCK")</f>
        <v>Lentes de STOCK</v>
      </c>
      <c r="E309" s="1" t="str">
        <f>IFERROR(__xludf.DUMMYFUNCTION("""COMPUTED_VALUE"""),"RIVADAVIA Marcela L")</f>
        <v>RIVADAVIA Marcela L</v>
      </c>
      <c r="F309" s="1" t="str">
        <f t="shared" si="1"/>
        <v>RIVADAVIA </v>
      </c>
      <c r="G309" s="1" t="str">
        <f t="shared" si="2"/>
        <v>Marcela L</v>
      </c>
      <c r="H309" s="1" t="str">
        <f>IFERROR(__xludf.DUMMYFUNCTION("""COMPUTED_VALUE"""),"13/1/2023, 17:00:00")</f>
        <v>13/1/2023, 17:00:00</v>
      </c>
      <c r="I309" s="1" t="str">
        <f>IFERROR(__xludf.DUMMYFUNCTION("""COMPUTED_VALUE"""),"RETIRADO OK POR CLIENTE")</f>
        <v>RETIRADO OK POR CLIENTE</v>
      </c>
      <c r="J309" s="1">
        <f t="shared" si="3"/>
        <v>6</v>
      </c>
      <c r="K309" s="1" t="str">
        <f t="shared" si="4"/>
        <v>Entregamos tus lentes, que los disfrutes!</v>
      </c>
    </row>
    <row r="310">
      <c r="A310" s="1">
        <f>IFERROR(__xludf.DUMMYFUNCTION("""COMPUTED_VALUE"""),84860.0)</f>
        <v>84860</v>
      </c>
      <c r="B310" s="5">
        <f>IFERROR(__xludf.DUMMYFUNCTION("""COMPUTED_VALUE"""),44936.53987453703)</f>
        <v>44936.53987</v>
      </c>
      <c r="C310" s="1" t="str">
        <f>IFERROR(__xludf.DUMMYFUNCTION("""COMPUTED_VALUE"""),"Gutierrez Guadalupe Estefenia")</f>
        <v>Gutierrez Guadalupe Estefenia</v>
      </c>
      <c r="D310" s="1" t="str">
        <f>IFERROR(__xludf.DUMMYFUNCTION("""COMPUTED_VALUE"""),"Lentes de STOCK")</f>
        <v>Lentes de STOCK</v>
      </c>
      <c r="E310" s="1" t="str">
        <f>IFERROR(__xludf.DUMMYFUNCTION("""COMPUTED_VALUE"""),"ARTIGAS Cristian C.")</f>
        <v>ARTIGAS Cristian C.</v>
      </c>
      <c r="F310" s="1" t="str">
        <f t="shared" si="1"/>
        <v>ARTIGAS </v>
      </c>
      <c r="G310" s="1" t="str">
        <f t="shared" si="2"/>
        <v>Cristian C.</v>
      </c>
      <c r="H310" s="1" t="str">
        <f>IFERROR(__xludf.DUMMYFUNCTION("""COMPUTED_VALUE"""),"16/1/2023, 17:00:00")</f>
        <v>16/1/2023, 17:00:00</v>
      </c>
      <c r="I310" s="1" t="str">
        <f>IFERROR(__xludf.DUMMYFUNCTION("""COMPUTED_VALUE"""),"Completado en SUCURSAL")</f>
        <v>Completado en SUCURSAL</v>
      </c>
      <c r="J310" s="1">
        <f t="shared" si="3"/>
        <v>5</v>
      </c>
      <c r="K310" s="1" t="str">
        <f t="shared" si="4"/>
        <v>Tus Lentes estan LISTAS PARA ENTREGAR, te esperamos.</v>
      </c>
    </row>
    <row r="311">
      <c r="A311" s="1">
        <f>IFERROR(__xludf.DUMMYFUNCTION("""COMPUTED_VALUE"""),84861.0)</f>
        <v>84861</v>
      </c>
      <c r="B311" s="5">
        <f>IFERROR(__xludf.DUMMYFUNCTION("""COMPUTED_VALUE"""),44936.54080746528)</f>
        <v>44936.54081</v>
      </c>
      <c r="C311" s="1" t="str">
        <f>IFERROR(__xludf.DUMMYFUNCTION("""COMPUTED_VALUE"""),"PISONI ANGEL")</f>
        <v>PISONI ANGEL</v>
      </c>
      <c r="D311" s="1" t="str">
        <f>IFERROR(__xludf.DUMMYFUNCTION("""COMPUTED_VALUE"""),"Lentes de STOCK")</f>
        <v>Lentes de STOCK</v>
      </c>
      <c r="E311" s="1" t="str">
        <f>IFERROR(__xludf.DUMMYFUNCTION("""COMPUTED_VALUE"""),"RIVADAVIA Santiago LOPEZ")</f>
        <v>RIVADAVIA Santiago LOPEZ</v>
      </c>
      <c r="F311" s="1" t="str">
        <f t="shared" si="1"/>
        <v>RIVADAVIA </v>
      </c>
      <c r="G311" s="1" t="str">
        <f t="shared" si="2"/>
        <v>Santiago LOPEZ</v>
      </c>
      <c r="H311" s="1" t="str">
        <f>IFERROR(__xludf.DUMMYFUNCTION("""COMPUTED_VALUE"""),"12/1/2023, 17:00:00")</f>
        <v>12/1/2023, 17:00:00</v>
      </c>
      <c r="I311" s="1" t="str">
        <f>IFERROR(__xludf.DUMMYFUNCTION("""COMPUTED_VALUE"""),"RETIRADO OK POR CLIENTE")</f>
        <v>RETIRADO OK POR CLIENTE</v>
      </c>
      <c r="J311" s="1">
        <f t="shared" si="3"/>
        <v>6</v>
      </c>
      <c r="K311" s="1" t="str">
        <f t="shared" si="4"/>
        <v>Entregamos tus lentes, que los disfrutes!</v>
      </c>
    </row>
    <row r="312">
      <c r="A312" s="1">
        <f>IFERROR(__xludf.DUMMYFUNCTION("""COMPUTED_VALUE"""),84862.0)</f>
        <v>84862</v>
      </c>
      <c r="B312" s="5">
        <f>IFERROR(__xludf.DUMMYFUNCTION("""COMPUTED_VALUE"""),44936.54217877315)</f>
        <v>44936.54218</v>
      </c>
      <c r="C312" s="1" t="str">
        <f>IFERROR(__xludf.DUMMYFUNCTION("""COMPUTED_VALUE"""),"DUARTE MARIA INES")</f>
        <v>DUARTE MARIA INES</v>
      </c>
      <c r="D312" s="1" t="str">
        <f>IFERROR(__xludf.DUMMYFUNCTION("""COMPUTED_VALUE"""),"Lentes de STOCK")</f>
        <v>Lentes de STOCK</v>
      </c>
      <c r="E312" s="1" t="str">
        <f>IFERROR(__xludf.DUMMYFUNCTION("""COMPUTED_VALUE"""),"RIVADAVIA Marcela L")</f>
        <v>RIVADAVIA Marcela L</v>
      </c>
      <c r="F312" s="1" t="str">
        <f t="shared" si="1"/>
        <v>RIVADAVIA </v>
      </c>
      <c r="G312" s="1" t="str">
        <f t="shared" si="2"/>
        <v>Marcela L</v>
      </c>
      <c r="H312" s="1" t="str">
        <f>IFERROR(__xludf.DUMMYFUNCTION("""COMPUTED_VALUE"""),"12/1/2023, 17:00:00")</f>
        <v>12/1/2023, 17:00:00</v>
      </c>
      <c r="I312" s="1" t="str">
        <f>IFERROR(__xludf.DUMMYFUNCTION("""COMPUTED_VALUE"""),"RETIRADO OK POR CLIENTE")</f>
        <v>RETIRADO OK POR CLIENTE</v>
      </c>
      <c r="J312" s="1">
        <f t="shared" si="3"/>
        <v>6</v>
      </c>
      <c r="K312" s="1" t="str">
        <f t="shared" si="4"/>
        <v>Entregamos tus lentes, que los disfrutes!</v>
      </c>
    </row>
    <row r="313">
      <c r="A313" s="1">
        <f>IFERROR(__xludf.DUMMYFUNCTION("""COMPUTED_VALUE"""),84863.0)</f>
        <v>84863</v>
      </c>
      <c r="B313" s="5">
        <f>IFERROR(__xludf.DUMMYFUNCTION("""COMPUTED_VALUE"""),44936.551436875)</f>
        <v>44936.55144</v>
      </c>
      <c r="C313" s="1" t="str">
        <f>IFERROR(__xludf.DUMMYFUNCTION("""COMPUTED_VALUE"""),"LUCERO MARIA ANDREA")</f>
        <v>LUCERO MARIA ANDREA</v>
      </c>
      <c r="D313" s="1" t="str">
        <f>IFERROR(__xludf.DUMMYFUNCTION("""COMPUTED_VALUE"""),"Lentes de STOCK")</f>
        <v>Lentes de STOCK</v>
      </c>
      <c r="E313" s="1" t="str">
        <f>IFERROR(__xludf.DUMMYFUNCTION("""COMPUTED_VALUE"""),"RIVADAVIA Santiago LOPEZ")</f>
        <v>RIVADAVIA Santiago LOPEZ</v>
      </c>
      <c r="F313" s="1" t="str">
        <f t="shared" si="1"/>
        <v>RIVADAVIA </v>
      </c>
      <c r="G313" s="1" t="str">
        <f t="shared" si="2"/>
        <v>Santiago LOPEZ</v>
      </c>
      <c r="H313" s="1" t="str">
        <f>IFERROR(__xludf.DUMMYFUNCTION("""COMPUTED_VALUE"""),"13/1/2023, 17:00:00")</f>
        <v>13/1/2023, 17:00:00</v>
      </c>
      <c r="I313" s="1" t="str">
        <f>IFERROR(__xludf.DUMMYFUNCTION("""COMPUTED_VALUE"""),"RETIRADO OK POR CLIENTE")</f>
        <v>RETIRADO OK POR CLIENTE</v>
      </c>
      <c r="J313" s="1">
        <f t="shared" si="3"/>
        <v>6</v>
      </c>
      <c r="K313" s="1" t="str">
        <f t="shared" si="4"/>
        <v>Entregamos tus lentes, que los disfrutes!</v>
      </c>
    </row>
    <row r="314">
      <c r="A314" s="1">
        <f>IFERROR(__xludf.DUMMYFUNCTION("""COMPUTED_VALUE"""),84864.0)</f>
        <v>84864</v>
      </c>
      <c r="B314" s="5">
        <f>IFERROR(__xludf.DUMMYFUNCTION("""COMPUTED_VALUE"""),44936.57002241898)</f>
        <v>44936.57002</v>
      </c>
      <c r="C314" s="1" t="str">
        <f>IFERROR(__xludf.DUMMYFUNCTION("""COMPUTED_VALUE"""),"GALLARDO CARINA")</f>
        <v>GALLARDO CARINA</v>
      </c>
      <c r="D314" s="1" t="str">
        <f>IFERROR(__xludf.DUMMYFUNCTION("""COMPUTED_VALUE"""),"Lentes MULTIFOCALES")</f>
        <v>Lentes MULTIFOCALES</v>
      </c>
      <c r="E314" s="1" t="str">
        <f>IFERROR(__xludf.DUMMYFUNCTION("""COMPUTED_VALUE"""),"ARTIGAS Cristian C.")</f>
        <v>ARTIGAS Cristian C.</v>
      </c>
      <c r="F314" s="1" t="str">
        <f t="shared" si="1"/>
        <v>ARTIGAS </v>
      </c>
      <c r="G314" s="1" t="str">
        <f t="shared" si="2"/>
        <v>Cristian C.</v>
      </c>
      <c r="H314" s="1" t="str">
        <f>IFERROR(__xludf.DUMMYFUNCTION("""COMPUTED_VALUE"""),"19/1/2023, 17:00:00")</f>
        <v>19/1/2023, 17:00:00</v>
      </c>
      <c r="I314" s="1" t="str">
        <f>IFERROR(__xludf.DUMMYFUNCTION("""COMPUTED_VALUE"""),"RETIRADO OK POR CLIENTE")</f>
        <v>RETIRADO OK POR CLIENTE</v>
      </c>
      <c r="J314" s="1">
        <f t="shared" si="3"/>
        <v>6</v>
      </c>
      <c r="K314" s="1" t="str">
        <f t="shared" si="4"/>
        <v>Entregamos tus lentes, que los disfrutes!</v>
      </c>
    </row>
    <row r="315">
      <c r="A315" s="1">
        <f>IFERROR(__xludf.DUMMYFUNCTION("""COMPUTED_VALUE"""),84865.0)</f>
        <v>84865</v>
      </c>
      <c r="B315" s="5">
        <f>IFERROR(__xludf.DUMMYFUNCTION("""COMPUTED_VALUE"""),44936.71306054398)</f>
        <v>44936.71306</v>
      </c>
      <c r="C315" s="1" t="str">
        <f>IFERROR(__xludf.DUMMYFUNCTION("""COMPUTED_VALUE"""),"TORRES DANIEL")</f>
        <v>TORRES DANIEL</v>
      </c>
      <c r="D315" s="1" t="str">
        <f>IFERROR(__xludf.DUMMYFUNCTION("""COMPUTED_VALUE"""),"Lentes de STOCK")</f>
        <v>Lentes de STOCK</v>
      </c>
      <c r="E315" s="1" t="str">
        <f>IFERROR(__xludf.DUMMYFUNCTION("""COMPUTED_VALUE"""),"ARTIGAS Ivana P.")</f>
        <v>ARTIGAS Ivana P.</v>
      </c>
      <c r="F315" s="1" t="str">
        <f t="shared" si="1"/>
        <v>ARTIGAS </v>
      </c>
      <c r="G315" s="1" t="str">
        <f t="shared" si="2"/>
        <v>Ivana P.</v>
      </c>
      <c r="H315" s="1" t="str">
        <f>IFERROR(__xludf.DUMMYFUNCTION("""COMPUTED_VALUE"""),"12/1/2023, 17:00:00")</f>
        <v>12/1/2023, 17:00:00</v>
      </c>
      <c r="I315" s="1" t="str">
        <f>IFERROR(__xludf.DUMMYFUNCTION("""COMPUTED_VALUE"""),"Completado en SUCURSAL")</f>
        <v>Completado en SUCURSAL</v>
      </c>
      <c r="J315" s="1">
        <f t="shared" si="3"/>
        <v>5</v>
      </c>
      <c r="K315" s="1" t="str">
        <f t="shared" si="4"/>
        <v>Tus Lentes estan LISTAS PARA ENTREGAR, te esperamos.</v>
      </c>
    </row>
    <row r="316">
      <c r="A316" s="1">
        <f>IFERROR(__xludf.DUMMYFUNCTION("""COMPUTED_VALUE"""),84866.0)</f>
        <v>84866</v>
      </c>
      <c r="B316" s="5">
        <f>IFERROR(__xludf.DUMMYFUNCTION("""COMPUTED_VALUE"""),44936.731485358796)</f>
        <v>44936.73149</v>
      </c>
      <c r="C316" s="1" t="str">
        <f>IFERROR(__xludf.DUMMYFUNCTION("""COMPUTED_VALUE"""),"Torres Maria Teresa")</f>
        <v>Torres Maria Teresa</v>
      </c>
      <c r="D316" s="1" t="str">
        <f>IFERROR(__xludf.DUMMYFUNCTION("""COMPUTED_VALUE"""),"Reparaciones/Otros")</f>
        <v>Reparaciones/Otros</v>
      </c>
      <c r="E316" s="1" t="str">
        <f>IFERROR(__xludf.DUMMYFUNCTION("""COMPUTED_VALUE"""),"RIVADAVIA Rocio B")</f>
        <v>RIVADAVIA Rocio B</v>
      </c>
      <c r="F316" s="1" t="str">
        <f t="shared" si="1"/>
        <v>RIVADAVIA </v>
      </c>
      <c r="G316" s="1" t="str">
        <f t="shared" si="2"/>
        <v>Rocio B</v>
      </c>
      <c r="H316" s="1" t="str">
        <f>IFERROR(__xludf.DUMMYFUNCTION("""COMPUTED_VALUE"""),"11/1/2023, 17:00:00")</f>
        <v>11/1/2023, 17:00:00</v>
      </c>
      <c r="I316" s="1" t="str">
        <f>IFERROR(__xludf.DUMMYFUNCTION("""COMPUTED_VALUE"""),"Completado en SUCURSAL")</f>
        <v>Completado en SUCURSAL</v>
      </c>
      <c r="J316" s="1">
        <f t="shared" si="3"/>
        <v>5</v>
      </c>
      <c r="K316" s="1" t="str">
        <f t="shared" si="4"/>
        <v>Tus Lentes estan LISTAS PARA ENTREGAR, te esperamos.</v>
      </c>
    </row>
    <row r="317">
      <c r="A317" s="1">
        <f>IFERROR(__xludf.DUMMYFUNCTION("""COMPUTED_VALUE"""),84867.0)</f>
        <v>84867</v>
      </c>
      <c r="B317" s="5">
        <f>IFERROR(__xludf.DUMMYFUNCTION("""COMPUTED_VALUE"""),44936.733858437496)</f>
        <v>44936.73386</v>
      </c>
      <c r="C317" s="1" t="str">
        <f>IFERROR(__xludf.DUMMYFUNCTION("""COMPUTED_VALUE"""),"RIARTEZ ALDO / KC")</f>
        <v>RIARTEZ ALDO / KC</v>
      </c>
      <c r="D317" s="1" t="str">
        <f>IFERROR(__xludf.DUMMYFUNCTION("""COMPUTED_VALUE"""),"Lentes MULTIFOCALES")</f>
        <v>Lentes MULTIFOCALES</v>
      </c>
      <c r="E317" s="1" t="str">
        <f>IFERROR(__xludf.DUMMYFUNCTION("""COMPUTED_VALUE"""),"ARTIGAS Ivana P.")</f>
        <v>ARTIGAS Ivana P.</v>
      </c>
      <c r="F317" s="1" t="str">
        <f t="shared" si="1"/>
        <v>ARTIGAS </v>
      </c>
      <c r="G317" s="1" t="str">
        <f t="shared" si="2"/>
        <v>Ivana P.</v>
      </c>
      <c r="H317" s="1" t="str">
        <f>IFERROR(__xludf.DUMMYFUNCTION("""COMPUTED_VALUE"""),"23/1/2023, 17:00:00")</f>
        <v>23/1/2023, 17:00:00</v>
      </c>
      <c r="I317" s="1" t="str">
        <f>IFERROR(__xludf.DUMMYFUNCTION("""COMPUTED_VALUE"""),"RETIRADO OK POR CLIENTE")</f>
        <v>RETIRADO OK POR CLIENTE</v>
      </c>
      <c r="J317" s="1">
        <f t="shared" si="3"/>
        <v>6</v>
      </c>
      <c r="K317" s="1" t="str">
        <f t="shared" si="4"/>
        <v>Entregamos tus lentes, que los disfrutes!</v>
      </c>
    </row>
    <row r="318">
      <c r="A318" s="1">
        <f>IFERROR(__xludf.DUMMYFUNCTION("""COMPUTED_VALUE"""),84868.0)</f>
        <v>84868</v>
      </c>
      <c r="B318" s="5">
        <f>IFERROR(__xludf.DUMMYFUNCTION("""COMPUTED_VALUE"""),44936.75389017361)</f>
        <v>44936.75389</v>
      </c>
      <c r="C318" s="1" t="str">
        <f>IFERROR(__xludf.DUMMYFUNCTION("""COMPUTED_VALUE"""),"JOFRE ANDRES / KC")</f>
        <v>JOFRE ANDRES / KC</v>
      </c>
      <c r="D318" s="1" t="str">
        <f>IFERROR(__xludf.DUMMYFUNCTION("""COMPUTED_VALUE"""),"Lentes MULTIFOCALES")</f>
        <v>Lentes MULTIFOCALES</v>
      </c>
      <c r="E318" s="1" t="str">
        <f>IFERROR(__xludf.DUMMYFUNCTION("""COMPUTED_VALUE"""),"ARTIGAS Ivana P.")</f>
        <v>ARTIGAS Ivana P.</v>
      </c>
      <c r="F318" s="1" t="str">
        <f t="shared" si="1"/>
        <v>ARTIGAS </v>
      </c>
      <c r="G318" s="1" t="str">
        <f t="shared" si="2"/>
        <v>Ivana P.</v>
      </c>
      <c r="H318" s="1" t="str">
        <f>IFERROR(__xludf.DUMMYFUNCTION("""COMPUTED_VALUE"""),"23/1/2023, 17:00:00")</f>
        <v>23/1/2023, 17:00:00</v>
      </c>
      <c r="I318" s="1" t="str">
        <f>IFERROR(__xludf.DUMMYFUNCTION("""COMPUTED_VALUE"""),"RETIRADO OK POR CLIENTE")</f>
        <v>RETIRADO OK POR CLIENTE</v>
      </c>
      <c r="J318" s="1">
        <f t="shared" si="3"/>
        <v>6</v>
      </c>
      <c r="K318" s="1" t="str">
        <f t="shared" si="4"/>
        <v>Entregamos tus lentes, que los disfrutes!</v>
      </c>
    </row>
    <row r="319">
      <c r="A319" s="1">
        <f>IFERROR(__xludf.DUMMYFUNCTION("""COMPUTED_VALUE"""),84869.0)</f>
        <v>84869</v>
      </c>
      <c r="B319" s="5">
        <f>IFERROR(__xludf.DUMMYFUNCTION("""COMPUTED_VALUE"""),44936.77773804398)</f>
        <v>44936.77774</v>
      </c>
      <c r="C319" s="1" t="str">
        <f>IFERROR(__xludf.DUMMYFUNCTION("""COMPUTED_VALUE"""),"GIMENEZ MARCELO")</f>
        <v>GIMENEZ MARCELO</v>
      </c>
      <c r="D319" s="1" t="str">
        <f>IFERROR(__xludf.DUMMYFUNCTION("""COMPUTED_VALUE"""),"Lentes de STOCK")</f>
        <v>Lentes de STOCK</v>
      </c>
      <c r="E319" s="1" t="str">
        <f>IFERROR(__xludf.DUMMYFUNCTION("""COMPUTED_VALUE"""),"ARTIGAS Ivana P.")</f>
        <v>ARTIGAS Ivana P.</v>
      </c>
      <c r="F319" s="1" t="str">
        <f t="shared" si="1"/>
        <v>ARTIGAS </v>
      </c>
      <c r="G319" s="1" t="str">
        <f t="shared" si="2"/>
        <v>Ivana P.</v>
      </c>
      <c r="H319" s="1" t="str">
        <f>IFERROR(__xludf.DUMMYFUNCTION("""COMPUTED_VALUE"""),"13/1/2023, 17:00:00")</f>
        <v>13/1/2023, 17:00:00</v>
      </c>
      <c r="I319" s="1" t="str">
        <f>IFERROR(__xludf.DUMMYFUNCTION("""COMPUTED_VALUE"""),"Completado en SUCURSAL")</f>
        <v>Completado en SUCURSAL</v>
      </c>
      <c r="J319" s="1">
        <f t="shared" si="3"/>
        <v>5</v>
      </c>
      <c r="K319" s="1" t="str">
        <f t="shared" si="4"/>
        <v>Tus Lentes estan LISTAS PARA ENTREGAR, te esperamos.</v>
      </c>
    </row>
    <row r="320">
      <c r="A320" s="1">
        <f>IFERROR(__xludf.DUMMYFUNCTION("""COMPUTED_VALUE"""),84870.0)</f>
        <v>84870</v>
      </c>
      <c r="B320" s="5">
        <f>IFERROR(__xludf.DUMMYFUNCTION("""COMPUTED_VALUE"""),44936.78094614584)</f>
        <v>44936.78095</v>
      </c>
      <c r="C320" s="1" t="str">
        <f>IFERROR(__xludf.DUMMYFUNCTION("""COMPUTED_VALUE"""),"AGUERO LILIANA")</f>
        <v>AGUERO LILIANA</v>
      </c>
      <c r="D320" s="1" t="str">
        <f>IFERROR(__xludf.DUMMYFUNCTION("""COMPUTED_VALUE"""),"Lentes MULTIFOCALES")</f>
        <v>Lentes MULTIFOCALES</v>
      </c>
      <c r="E320" s="1" t="str">
        <f>IFERROR(__xludf.DUMMYFUNCTION("""COMPUTED_VALUE"""),"ARTIGAS Ivana P.")</f>
        <v>ARTIGAS Ivana P.</v>
      </c>
      <c r="F320" s="1" t="str">
        <f t="shared" si="1"/>
        <v>ARTIGAS </v>
      </c>
      <c r="G320" s="1" t="str">
        <f t="shared" si="2"/>
        <v>Ivana P.</v>
      </c>
      <c r="H320" s="1" t="str">
        <f>IFERROR(__xludf.DUMMYFUNCTION("""COMPUTED_VALUE"""),"16/1/2023, 17:00:00")</f>
        <v>16/1/2023, 17:00:00</v>
      </c>
      <c r="I320" s="1" t="str">
        <f>IFERROR(__xludf.DUMMYFUNCTION("""COMPUTED_VALUE"""),"Completado en SUCURSAL")</f>
        <v>Completado en SUCURSAL</v>
      </c>
      <c r="J320" s="1">
        <f t="shared" si="3"/>
        <v>5</v>
      </c>
      <c r="K320" s="1" t="str">
        <f t="shared" si="4"/>
        <v>Tus Lentes estan LISTAS PARA ENTREGAR, te esperamos.</v>
      </c>
    </row>
    <row r="321">
      <c r="A321" s="1">
        <f>IFERROR(__xludf.DUMMYFUNCTION("""COMPUTED_VALUE"""),84871.0)</f>
        <v>84871</v>
      </c>
      <c r="B321" s="5">
        <f>IFERROR(__xludf.DUMMYFUNCTION("""COMPUTED_VALUE"""),44936.790387824076)</f>
        <v>44936.79039</v>
      </c>
      <c r="C321" s="1" t="str">
        <f>IFERROR(__xludf.DUMMYFUNCTION("""COMPUTED_VALUE"""),"SALAVALLUN OSCAR HORACIO")</f>
        <v>SALAVALLUN OSCAR HORACIO</v>
      </c>
      <c r="D321" s="1" t="str">
        <f>IFERROR(__xludf.DUMMYFUNCTION("""COMPUTED_VALUE"""),"Lentes de STOCK")</f>
        <v>Lentes de STOCK</v>
      </c>
      <c r="E321" s="1" t="str">
        <f>IFERROR(__xludf.DUMMYFUNCTION("""COMPUTED_VALUE"""),"RIVADAVIA Javier")</f>
        <v>RIVADAVIA Javier</v>
      </c>
      <c r="F321" s="1" t="str">
        <f t="shared" si="1"/>
        <v>RIVADAVIA </v>
      </c>
      <c r="G321" s="1" t="str">
        <f t="shared" si="2"/>
        <v>Javier</v>
      </c>
      <c r="H321" s="1" t="str">
        <f>IFERROR(__xludf.DUMMYFUNCTION("""COMPUTED_VALUE"""),"13/1/2023, 17:00:00")</f>
        <v>13/1/2023, 17:00:00</v>
      </c>
      <c r="I321" s="1" t="str">
        <f>IFERROR(__xludf.DUMMYFUNCTION("""COMPUTED_VALUE"""),"RETIRADO OK POR CLIENTE")</f>
        <v>RETIRADO OK POR CLIENTE</v>
      </c>
      <c r="J321" s="1">
        <f t="shared" si="3"/>
        <v>6</v>
      </c>
      <c r="K321" s="1" t="str">
        <f t="shared" si="4"/>
        <v>Entregamos tus lentes, que los disfrutes!</v>
      </c>
    </row>
    <row r="322">
      <c r="A322" s="1">
        <f>IFERROR(__xludf.DUMMYFUNCTION("""COMPUTED_VALUE"""),84872.0)</f>
        <v>84872</v>
      </c>
      <c r="B322" s="5">
        <f>IFERROR(__xludf.DUMMYFUNCTION("""COMPUTED_VALUE"""),44936.79200944444)</f>
        <v>44936.79201</v>
      </c>
      <c r="C322" s="1" t="str">
        <f>IFERROR(__xludf.DUMMYFUNCTION("""COMPUTED_VALUE"""),"SAEZ RODAS ORIANA")</f>
        <v>SAEZ RODAS ORIANA</v>
      </c>
      <c r="D322" s="1" t="str">
        <f>IFERROR(__xludf.DUMMYFUNCTION("""COMPUTED_VALUE"""),"Lentes de STOCK")</f>
        <v>Lentes de STOCK</v>
      </c>
      <c r="E322" s="1" t="str">
        <f>IFERROR(__xludf.DUMMYFUNCTION("""COMPUTED_VALUE"""),"ARTIGAS Cristian C.")</f>
        <v>ARTIGAS Cristian C.</v>
      </c>
      <c r="F322" s="1" t="str">
        <f t="shared" si="1"/>
        <v>ARTIGAS </v>
      </c>
      <c r="G322" s="1" t="str">
        <f t="shared" si="2"/>
        <v>Cristian C.</v>
      </c>
      <c r="H322" s="1" t="str">
        <f>IFERROR(__xludf.DUMMYFUNCTION("""COMPUTED_VALUE"""),"19/1/2023, 17:00:00")</f>
        <v>19/1/2023, 17:00:00</v>
      </c>
      <c r="I322" s="1" t="str">
        <f>IFERROR(__xludf.DUMMYFUNCTION("""COMPUTED_VALUE"""),"RETIRADO OK POR CLIENTE")</f>
        <v>RETIRADO OK POR CLIENTE</v>
      </c>
      <c r="J322" s="1">
        <f t="shared" si="3"/>
        <v>6</v>
      </c>
      <c r="K322" s="1" t="str">
        <f t="shared" si="4"/>
        <v>Entregamos tus lentes, que los disfrutes!</v>
      </c>
    </row>
    <row r="323">
      <c r="A323" s="1">
        <f>IFERROR(__xludf.DUMMYFUNCTION("""COMPUTED_VALUE"""),84873.0)</f>
        <v>84873</v>
      </c>
      <c r="B323" s="5">
        <f>IFERROR(__xludf.DUMMYFUNCTION("""COMPUTED_VALUE"""),44936.80639060185)</f>
        <v>44936.80639</v>
      </c>
      <c r="C323" s="1" t="str">
        <f>IFERROR(__xludf.DUMMYFUNCTION("""COMPUTED_VALUE"""),"ROSALES SILVIA")</f>
        <v>ROSALES SILVIA</v>
      </c>
      <c r="D323" s="1" t="str">
        <f>IFERROR(__xludf.DUMMYFUNCTION("""COMPUTED_VALUE"""),"Lentes de STOCK")</f>
        <v>Lentes de STOCK</v>
      </c>
      <c r="E323" s="1" t="str">
        <f>IFERROR(__xludf.DUMMYFUNCTION("""COMPUTED_VALUE"""),"RIVADAVIA Santiago LOPEZ")</f>
        <v>RIVADAVIA Santiago LOPEZ</v>
      </c>
      <c r="F323" s="1" t="str">
        <f t="shared" si="1"/>
        <v>RIVADAVIA </v>
      </c>
      <c r="G323" s="1" t="str">
        <f t="shared" si="2"/>
        <v>Santiago LOPEZ</v>
      </c>
      <c r="H323" s="1" t="str">
        <f>IFERROR(__xludf.DUMMYFUNCTION("""COMPUTED_VALUE"""),"13/1/2023, 17:00:00")</f>
        <v>13/1/2023, 17:00:00</v>
      </c>
      <c r="I323" s="1" t="str">
        <f>IFERROR(__xludf.DUMMYFUNCTION("""COMPUTED_VALUE"""),"RETIRADO OK POR CLIENTE")</f>
        <v>RETIRADO OK POR CLIENTE</v>
      </c>
      <c r="J323" s="1">
        <f t="shared" si="3"/>
        <v>6</v>
      </c>
      <c r="K323" s="1" t="str">
        <f t="shared" si="4"/>
        <v>Entregamos tus lentes, que los disfrutes!</v>
      </c>
    </row>
    <row r="324">
      <c r="A324" s="1">
        <f>IFERROR(__xludf.DUMMYFUNCTION("""COMPUTED_VALUE"""),84874.0)</f>
        <v>84874</v>
      </c>
      <c r="B324" s="5">
        <f>IFERROR(__xludf.DUMMYFUNCTION("""COMPUTED_VALUE"""),44936.81674068287)</f>
        <v>44936.81674</v>
      </c>
      <c r="C324" s="1" t="str">
        <f>IFERROR(__xludf.DUMMYFUNCTION("""COMPUTED_VALUE"""),"LUCERO FEDERICO")</f>
        <v>LUCERO FEDERICO</v>
      </c>
      <c r="D324" s="1" t="str">
        <f>IFERROR(__xludf.DUMMYFUNCTION("""COMPUTED_VALUE"""),"Lentes de STOCK")</f>
        <v>Lentes de STOCK</v>
      </c>
      <c r="E324" s="1" t="str">
        <f>IFERROR(__xludf.DUMMYFUNCTION("""COMPUTED_VALUE"""),"ARTIGAS Ivana P.")</f>
        <v>ARTIGAS Ivana P.</v>
      </c>
      <c r="F324" s="1" t="str">
        <f t="shared" si="1"/>
        <v>ARTIGAS </v>
      </c>
      <c r="G324" s="1" t="str">
        <f t="shared" si="2"/>
        <v>Ivana P.</v>
      </c>
      <c r="H324" s="1" t="str">
        <f>IFERROR(__xludf.DUMMYFUNCTION("""COMPUTED_VALUE"""),"16/1/2023, 17:00:00")</f>
        <v>16/1/2023, 17:00:00</v>
      </c>
      <c r="I324" s="1" t="str">
        <f>IFERROR(__xludf.DUMMYFUNCTION("""COMPUTED_VALUE"""),"En Armado Hoy")</f>
        <v>En Armado Hoy</v>
      </c>
      <c r="J324" s="1">
        <f t="shared" si="3"/>
        <v>3</v>
      </c>
      <c r="K324" s="1" t="str">
        <f t="shared" si="4"/>
        <v>Estamos terminando los ultimos detalles de tus lentes, los terminaremos el dia de hoy.</v>
      </c>
    </row>
    <row r="325">
      <c r="A325" s="1">
        <f>IFERROR(__xludf.DUMMYFUNCTION("""COMPUTED_VALUE"""),84875.0)</f>
        <v>84875</v>
      </c>
      <c r="B325" s="5">
        <f>IFERROR(__xludf.DUMMYFUNCTION("""COMPUTED_VALUE"""),44936.81897008102)</f>
        <v>44936.81897</v>
      </c>
      <c r="C325" s="1" t="str">
        <f>IFERROR(__xludf.DUMMYFUNCTION("""COMPUTED_VALUE"""),"FORMINI CESAR")</f>
        <v>FORMINI CESAR</v>
      </c>
      <c r="D325" s="1" t="str">
        <f>IFERROR(__xludf.DUMMYFUNCTION("""COMPUTED_VALUE"""),"Lentes de STOCK")</f>
        <v>Lentes de STOCK</v>
      </c>
      <c r="E325" s="1" t="str">
        <f>IFERROR(__xludf.DUMMYFUNCTION("""COMPUTED_VALUE"""),"RIVADAVIA Santiago LOPEZ")</f>
        <v>RIVADAVIA Santiago LOPEZ</v>
      </c>
      <c r="F325" s="1" t="str">
        <f t="shared" si="1"/>
        <v>RIVADAVIA </v>
      </c>
      <c r="G325" s="1" t="str">
        <f t="shared" si="2"/>
        <v>Santiago LOPEZ</v>
      </c>
      <c r="H325" s="1" t="str">
        <f>IFERROR(__xludf.DUMMYFUNCTION("""COMPUTED_VALUE"""),"13/1/2023, 17:00:00")</f>
        <v>13/1/2023, 17:00:00</v>
      </c>
      <c r="I325" s="1" t="str">
        <f>IFERROR(__xludf.DUMMYFUNCTION("""COMPUTED_VALUE"""),"RETIRADO OK POR CLIENTE")</f>
        <v>RETIRADO OK POR CLIENTE</v>
      </c>
      <c r="J325" s="1">
        <f t="shared" si="3"/>
        <v>6</v>
      </c>
      <c r="K325" s="1" t="str">
        <f t="shared" si="4"/>
        <v>Entregamos tus lentes, que los disfrutes!</v>
      </c>
    </row>
    <row r="326">
      <c r="A326" s="1">
        <f>IFERROR(__xludf.DUMMYFUNCTION("""COMPUTED_VALUE"""),84876.0)</f>
        <v>84876</v>
      </c>
      <c r="B326" s="5">
        <f>IFERROR(__xludf.DUMMYFUNCTION("""COMPUTED_VALUE"""),44936.821967592594)</f>
        <v>44936.82197</v>
      </c>
      <c r="C326" s="1" t="str">
        <f>IFERROR(__xludf.DUMMYFUNCTION("""COMPUTED_VALUE"""),"FLORES DANILA")</f>
        <v>FLORES DANILA</v>
      </c>
      <c r="D326" s="1" t="str">
        <f>IFERROR(__xludf.DUMMYFUNCTION("""COMPUTED_VALUE"""),"Lentes de STOCK")</f>
        <v>Lentes de STOCK</v>
      </c>
      <c r="E326" s="1" t="str">
        <f>IFERROR(__xludf.DUMMYFUNCTION("""COMPUTED_VALUE"""),"ARTIGAS Ivana P.")</f>
        <v>ARTIGAS Ivana P.</v>
      </c>
      <c r="F326" s="1" t="str">
        <f t="shared" si="1"/>
        <v>ARTIGAS </v>
      </c>
      <c r="G326" s="1" t="str">
        <f t="shared" si="2"/>
        <v>Ivana P.</v>
      </c>
      <c r="H326" s="1" t="str">
        <f>IFERROR(__xludf.DUMMYFUNCTION("""COMPUTED_VALUE"""),"13/1/2023, 17:00:00")</f>
        <v>13/1/2023, 17:00:00</v>
      </c>
      <c r="I326" s="1" t="str">
        <f>IFERROR(__xludf.DUMMYFUNCTION("""COMPUTED_VALUE"""),"RETIRADO OK POR CLIENTE")</f>
        <v>RETIRADO OK POR CLIENTE</v>
      </c>
      <c r="J326" s="1">
        <f t="shared" si="3"/>
        <v>6</v>
      </c>
      <c r="K326" s="1" t="str">
        <f t="shared" si="4"/>
        <v>Entregamos tus lentes, que los disfrutes!</v>
      </c>
    </row>
    <row r="327">
      <c r="A327" s="1">
        <f>IFERROR(__xludf.DUMMYFUNCTION("""COMPUTED_VALUE"""),84877.0)</f>
        <v>84877</v>
      </c>
      <c r="B327" s="5">
        <f>IFERROR(__xludf.DUMMYFUNCTION("""COMPUTED_VALUE"""),44936.824997881944)</f>
        <v>44936.825</v>
      </c>
      <c r="C327" s="1" t="str">
        <f>IFERROR(__xludf.DUMMYFUNCTION("""COMPUTED_VALUE"""),"MUÑOZ ALICIA")</f>
        <v>MUÑOZ ALICIA</v>
      </c>
      <c r="D327" s="1" t="str">
        <f>IFERROR(__xludf.DUMMYFUNCTION("""COMPUTED_VALUE"""),"Lentes de STOCK")</f>
        <v>Lentes de STOCK</v>
      </c>
      <c r="E327" s="1" t="str">
        <f>IFERROR(__xludf.DUMMYFUNCTION("""COMPUTED_VALUE"""),"RIVADAVIA Luciana")</f>
        <v>RIVADAVIA Luciana</v>
      </c>
      <c r="F327" s="1" t="str">
        <f t="shared" si="1"/>
        <v>RIVADAVIA </v>
      </c>
      <c r="G327" s="1" t="str">
        <f t="shared" si="2"/>
        <v>Luciana</v>
      </c>
      <c r="H327" s="1" t="str">
        <f>IFERROR(__xludf.DUMMYFUNCTION("""COMPUTED_VALUE"""),"16/1/2023, 17:00:00")</f>
        <v>16/1/2023, 17:00:00</v>
      </c>
      <c r="I327" s="1" t="str">
        <f>IFERROR(__xludf.DUMMYFUNCTION("""COMPUTED_VALUE"""),"RETIRADO OK POR CLIENTE")</f>
        <v>RETIRADO OK POR CLIENTE</v>
      </c>
      <c r="J327" s="1">
        <f t="shared" si="3"/>
        <v>6</v>
      </c>
      <c r="K327" s="1" t="str">
        <f t="shared" si="4"/>
        <v>Entregamos tus lentes, que los disfrutes!</v>
      </c>
    </row>
    <row r="328">
      <c r="A328" s="1">
        <f>IFERROR(__xludf.DUMMYFUNCTION("""COMPUTED_VALUE"""),84878.0)</f>
        <v>84878</v>
      </c>
      <c r="B328" s="5">
        <f>IFERROR(__xludf.DUMMYFUNCTION("""COMPUTED_VALUE"""),44936.82598297454)</f>
        <v>44936.82598</v>
      </c>
      <c r="C328" s="1" t="str">
        <f>IFERROR(__xludf.DUMMYFUNCTION("""COMPUTED_VALUE"""),"LUCERO ROLANDO")</f>
        <v>LUCERO ROLANDO</v>
      </c>
      <c r="D328" s="1" t="str">
        <f>IFERROR(__xludf.DUMMYFUNCTION("""COMPUTED_VALUE"""),"Lentes de STOCK")</f>
        <v>Lentes de STOCK</v>
      </c>
      <c r="E328" s="1" t="str">
        <f>IFERROR(__xludf.DUMMYFUNCTION("""COMPUTED_VALUE"""),"ARTIGAS Ivana P.")</f>
        <v>ARTIGAS Ivana P.</v>
      </c>
      <c r="F328" s="1" t="str">
        <f t="shared" si="1"/>
        <v>ARTIGAS </v>
      </c>
      <c r="G328" s="1" t="str">
        <f t="shared" si="2"/>
        <v>Ivana P.</v>
      </c>
      <c r="H328" s="1" t="str">
        <f>IFERROR(__xludf.DUMMYFUNCTION("""COMPUTED_VALUE"""),"13/1/2023, 17:00:00")</f>
        <v>13/1/2023, 17:00:00</v>
      </c>
      <c r="I328" s="1" t="str">
        <f>IFERROR(__xludf.DUMMYFUNCTION("""COMPUTED_VALUE"""),"Completado en SUCURSAL")</f>
        <v>Completado en SUCURSAL</v>
      </c>
      <c r="J328" s="1">
        <f t="shared" si="3"/>
        <v>5</v>
      </c>
      <c r="K328" s="1" t="str">
        <f t="shared" si="4"/>
        <v>Tus Lentes estan LISTAS PARA ENTREGAR, te esperamos.</v>
      </c>
    </row>
    <row r="329">
      <c r="A329" s="1">
        <f>IFERROR(__xludf.DUMMYFUNCTION("""COMPUTED_VALUE"""),84879.0)</f>
        <v>84879</v>
      </c>
      <c r="B329" s="5">
        <f>IFERROR(__xludf.DUMMYFUNCTION("""COMPUTED_VALUE"""),44936.82761211805)</f>
        <v>44936.82761</v>
      </c>
      <c r="C329" s="1" t="str">
        <f>IFERROR(__xludf.DUMMYFUNCTION("""COMPUTED_VALUE"""),"VASQUEZ GUILIANA")</f>
        <v>VASQUEZ GUILIANA</v>
      </c>
      <c r="D329" s="1" t="str">
        <f>IFERROR(__xludf.DUMMYFUNCTION("""COMPUTED_VALUE"""),"Reparaciones/Otros")</f>
        <v>Reparaciones/Otros</v>
      </c>
      <c r="E329" s="1" t="str">
        <f>IFERROR(__xludf.DUMMYFUNCTION("""COMPUTED_VALUE"""),"ARTIGAS Cristian C.")</f>
        <v>ARTIGAS Cristian C.</v>
      </c>
      <c r="F329" s="1" t="str">
        <f t="shared" si="1"/>
        <v>ARTIGAS </v>
      </c>
      <c r="G329" s="1" t="str">
        <f t="shared" si="2"/>
        <v>Cristian C.</v>
      </c>
      <c r="H329" s="1" t="str">
        <f>IFERROR(__xludf.DUMMYFUNCTION("""COMPUTED_VALUE"""),"12/1/2023, 17:00:00")</f>
        <v>12/1/2023, 17:00:00</v>
      </c>
      <c r="I329" s="1" t="str">
        <f>IFERROR(__xludf.DUMMYFUNCTION("""COMPUTED_VALUE"""),"Completado en SUCURSAL")</f>
        <v>Completado en SUCURSAL</v>
      </c>
      <c r="J329" s="1">
        <f t="shared" si="3"/>
        <v>5</v>
      </c>
      <c r="K329" s="1" t="str">
        <f t="shared" si="4"/>
        <v>Tus Lentes estan LISTAS PARA ENTREGAR, te esperamos.</v>
      </c>
    </row>
    <row r="330">
      <c r="A330" s="1">
        <f>IFERROR(__xludf.DUMMYFUNCTION("""COMPUTED_VALUE"""),84880.0)</f>
        <v>84880</v>
      </c>
      <c r="B330" s="5">
        <f>IFERROR(__xludf.DUMMYFUNCTION("""COMPUTED_VALUE"""),44936.85087238426)</f>
        <v>44936.85087</v>
      </c>
      <c r="C330" s="1" t="str">
        <f>IFERROR(__xludf.DUMMYFUNCTION("""COMPUTED_VALUE"""),"CAMARGO ALEJANDRO")</f>
        <v>CAMARGO ALEJANDRO</v>
      </c>
      <c r="D330" s="1" t="str">
        <f>IFERROR(__xludf.DUMMYFUNCTION("""COMPUTED_VALUE"""),"Lentes de STOCK")</f>
        <v>Lentes de STOCK</v>
      </c>
      <c r="E330" s="1" t="str">
        <f>IFERROR(__xludf.DUMMYFUNCTION("""COMPUTED_VALUE"""),"RIVADAVIA Santiago LOPEZ")</f>
        <v>RIVADAVIA Santiago LOPEZ</v>
      </c>
      <c r="F330" s="1" t="str">
        <f t="shared" si="1"/>
        <v>RIVADAVIA </v>
      </c>
      <c r="G330" s="1" t="str">
        <f t="shared" si="2"/>
        <v>Santiago LOPEZ</v>
      </c>
      <c r="H330" s="1" t="str">
        <f>IFERROR(__xludf.DUMMYFUNCTION("""COMPUTED_VALUE"""),"13/1/2023, 17:00:00")</f>
        <v>13/1/2023, 17:00:00</v>
      </c>
      <c r="I330" s="1" t="str">
        <f>IFERROR(__xludf.DUMMYFUNCTION("""COMPUTED_VALUE"""),"RETIRADO OK POR CLIENTE")</f>
        <v>RETIRADO OK POR CLIENTE</v>
      </c>
      <c r="J330" s="1">
        <f t="shared" si="3"/>
        <v>6</v>
      </c>
      <c r="K330" s="1" t="str">
        <f t="shared" si="4"/>
        <v>Entregamos tus lentes, que los disfrutes!</v>
      </c>
    </row>
    <row r="331">
      <c r="A331" s="1">
        <f>IFERROR(__xludf.DUMMYFUNCTION("""COMPUTED_VALUE"""),84881.0)</f>
        <v>84881</v>
      </c>
      <c r="B331" s="5">
        <f>IFERROR(__xludf.DUMMYFUNCTION("""COMPUTED_VALUE"""),44937.38501761574)</f>
        <v>44937.38502</v>
      </c>
      <c r="C331" s="1" t="str">
        <f>IFERROR(__xludf.DUMMYFUNCTION("""COMPUTED_VALUE"""),"MUÑOZ JUAN CARLOS")</f>
        <v>MUÑOZ JUAN CARLOS</v>
      </c>
      <c r="D331" s="1" t="str">
        <f>IFERROR(__xludf.DUMMYFUNCTION("""COMPUTED_VALUE"""),"Lentes de STOCK")</f>
        <v>Lentes de STOCK</v>
      </c>
      <c r="E331" s="1" t="str">
        <f>IFERROR(__xludf.DUMMYFUNCTION("""COMPUTED_VALUE"""),"RIVADAVIA Daniel CM")</f>
        <v>RIVADAVIA Daniel CM</v>
      </c>
      <c r="F331" s="1" t="str">
        <f t="shared" si="1"/>
        <v>RIVADAVIA </v>
      </c>
      <c r="G331" s="1" t="str">
        <f t="shared" si="2"/>
        <v>Daniel CM</v>
      </c>
      <c r="H331" s="1" t="str">
        <f>IFERROR(__xludf.DUMMYFUNCTION("""COMPUTED_VALUE"""),"16/1/2023, 17:00:00")</f>
        <v>16/1/2023, 17:00:00</v>
      </c>
      <c r="I331" s="1" t="str">
        <f>IFERROR(__xludf.DUMMYFUNCTION("""COMPUTED_VALUE"""),"RETIRADO OK POR CLIENTE")</f>
        <v>RETIRADO OK POR CLIENTE</v>
      </c>
      <c r="J331" s="1">
        <f t="shared" si="3"/>
        <v>6</v>
      </c>
      <c r="K331" s="1" t="str">
        <f t="shared" si="4"/>
        <v>Entregamos tus lentes, que los disfrutes!</v>
      </c>
    </row>
    <row r="332">
      <c r="A332" s="1">
        <f>IFERROR(__xludf.DUMMYFUNCTION("""COMPUTED_VALUE"""),84882.0)</f>
        <v>84882</v>
      </c>
      <c r="B332" s="5">
        <f>IFERROR(__xludf.DUMMYFUNCTION("""COMPUTED_VALUE"""),44937.387256064816)</f>
        <v>44937.38726</v>
      </c>
      <c r="C332" s="1" t="str">
        <f>IFERROR(__xludf.DUMMYFUNCTION("""COMPUTED_VALUE"""),"REY YOLANDA NILDA")</f>
        <v>REY YOLANDA NILDA</v>
      </c>
      <c r="D332" s="1" t="str">
        <f>IFERROR(__xludf.DUMMYFUNCTION("""COMPUTED_VALUE"""),"Lentes de STOCK")</f>
        <v>Lentes de STOCK</v>
      </c>
      <c r="E332" s="1" t="str">
        <f>IFERROR(__xludf.DUMMYFUNCTION("""COMPUTED_VALUE"""),"ARTIGAS Cristian C.")</f>
        <v>ARTIGAS Cristian C.</v>
      </c>
      <c r="F332" s="1" t="str">
        <f t="shared" si="1"/>
        <v>ARTIGAS </v>
      </c>
      <c r="G332" s="1" t="str">
        <f t="shared" si="2"/>
        <v>Cristian C.</v>
      </c>
      <c r="H332" s="1" t="str">
        <f>IFERROR(__xludf.DUMMYFUNCTION("""COMPUTED_VALUE"""),"18/1/2023, 17:00:00")</f>
        <v>18/1/2023, 17:00:00</v>
      </c>
      <c r="I332" s="1" t="str">
        <f>IFERROR(__xludf.DUMMYFUNCTION("""COMPUTED_VALUE"""),"Completado en SUCURSAL")</f>
        <v>Completado en SUCURSAL</v>
      </c>
      <c r="J332" s="1">
        <f t="shared" si="3"/>
        <v>5</v>
      </c>
      <c r="K332" s="1" t="str">
        <f t="shared" si="4"/>
        <v>Tus Lentes estan LISTAS PARA ENTREGAR, te esperamos.</v>
      </c>
    </row>
    <row r="333">
      <c r="A333" s="1">
        <f>IFERROR(__xludf.DUMMYFUNCTION("""COMPUTED_VALUE"""),84883.0)</f>
        <v>84883</v>
      </c>
      <c r="B333" s="5">
        <f>IFERROR(__xludf.DUMMYFUNCTION("""COMPUTED_VALUE"""),44937.389875821755)</f>
        <v>44937.38988</v>
      </c>
      <c r="C333" s="1" t="str">
        <f>IFERROR(__xludf.DUMMYFUNCTION("""COMPUTED_VALUE"""),"VALLEJOS MIRTA BEATRIZ")</f>
        <v>VALLEJOS MIRTA BEATRIZ</v>
      </c>
      <c r="D333" s="1" t="str">
        <f>IFERROR(__xludf.DUMMYFUNCTION("""COMPUTED_VALUE"""),"Reparaciones/Otros")</f>
        <v>Reparaciones/Otros</v>
      </c>
      <c r="E333" s="1" t="str">
        <f>IFERROR(__xludf.DUMMYFUNCTION("""COMPUTED_VALUE"""),"RIVADAVIA Daniel CM")</f>
        <v>RIVADAVIA Daniel CM</v>
      </c>
      <c r="F333" s="1" t="str">
        <f t="shared" si="1"/>
        <v>RIVADAVIA </v>
      </c>
      <c r="G333" s="1" t="str">
        <f t="shared" si="2"/>
        <v>Daniel CM</v>
      </c>
      <c r="H333" s="1" t="str">
        <f>IFERROR(__xludf.DUMMYFUNCTION("""COMPUTED_VALUE"""),"12/1/2023, 17:00:00")</f>
        <v>12/1/2023, 17:00:00</v>
      </c>
      <c r="I333" s="1"/>
      <c r="J333" s="1">
        <f t="shared" si="3"/>
        <v>0</v>
      </c>
      <c r="K333" s="1" t="str">
        <f t="shared" si="4"/>
        <v/>
      </c>
    </row>
    <row r="334">
      <c r="A334" s="1">
        <f>IFERROR(__xludf.DUMMYFUNCTION("""COMPUTED_VALUE"""),84884.0)</f>
        <v>84884</v>
      </c>
      <c r="B334" s="5">
        <f>IFERROR(__xludf.DUMMYFUNCTION("""COMPUTED_VALUE"""),44937.39547913194)</f>
        <v>44937.39548</v>
      </c>
      <c r="C334" s="1" t="str">
        <f>IFERROR(__xludf.DUMMYFUNCTION("""COMPUTED_VALUE"""),"FERNANDEZ ELSA")</f>
        <v>FERNANDEZ ELSA</v>
      </c>
      <c r="D334" s="1" t="str">
        <f>IFERROR(__xludf.DUMMYFUNCTION("""COMPUTED_VALUE"""),"Lentes de STOCK")</f>
        <v>Lentes de STOCK</v>
      </c>
      <c r="E334" s="1" t="str">
        <f>IFERROR(__xludf.DUMMYFUNCTION("""COMPUTED_VALUE"""),"ARTIGAS Ivana P.")</f>
        <v>ARTIGAS Ivana P.</v>
      </c>
      <c r="F334" s="1" t="str">
        <f t="shared" si="1"/>
        <v>ARTIGAS </v>
      </c>
      <c r="G334" s="1" t="str">
        <f t="shared" si="2"/>
        <v>Ivana P.</v>
      </c>
      <c r="H334" s="1" t="str">
        <f>IFERROR(__xludf.DUMMYFUNCTION("""COMPUTED_VALUE"""),"16/1/2023, 17:00:00")</f>
        <v>16/1/2023, 17:00:00</v>
      </c>
      <c r="I334" s="1" t="str">
        <f>IFERROR(__xludf.DUMMYFUNCTION("""COMPUTED_VALUE"""),"En Armado Hoy")</f>
        <v>En Armado Hoy</v>
      </c>
      <c r="J334" s="1">
        <f t="shared" si="3"/>
        <v>3</v>
      </c>
      <c r="K334" s="1" t="str">
        <f t="shared" si="4"/>
        <v>Estamos terminando los ultimos detalles de tus lentes, los terminaremos el dia de hoy.</v>
      </c>
    </row>
    <row r="335">
      <c r="A335" s="1">
        <f>IFERROR(__xludf.DUMMYFUNCTION("""COMPUTED_VALUE"""),84885.0)</f>
        <v>84885</v>
      </c>
      <c r="B335" s="5">
        <f>IFERROR(__xludf.DUMMYFUNCTION("""COMPUTED_VALUE"""),44937.40685921296)</f>
        <v>44937.40686</v>
      </c>
      <c r="C335" s="1" t="str">
        <f>IFERROR(__xludf.DUMMYFUNCTION("""COMPUTED_VALUE"""),"DIAZ HECTOR")</f>
        <v>DIAZ HECTOR</v>
      </c>
      <c r="D335" s="1" t="str">
        <f>IFERROR(__xludf.DUMMYFUNCTION("""COMPUTED_VALUE"""),"Reparaciones/Otros")</f>
        <v>Reparaciones/Otros</v>
      </c>
      <c r="E335" s="1" t="str">
        <f>IFERROR(__xludf.DUMMYFUNCTION("""COMPUTED_VALUE"""),"RIVADAVIA Marcela L")</f>
        <v>RIVADAVIA Marcela L</v>
      </c>
      <c r="F335" s="1" t="str">
        <f t="shared" si="1"/>
        <v>RIVADAVIA </v>
      </c>
      <c r="G335" s="1" t="str">
        <f t="shared" si="2"/>
        <v>Marcela L</v>
      </c>
      <c r="H335" s="1" t="str">
        <f>IFERROR(__xludf.DUMMYFUNCTION("""COMPUTED_VALUE"""),"12/1/2023, 17:00:00")</f>
        <v>12/1/2023, 17:00:00</v>
      </c>
      <c r="I335" s="1" t="str">
        <f>IFERROR(__xludf.DUMMYFUNCTION("""COMPUTED_VALUE"""),"Completado en SUCURSAL")</f>
        <v>Completado en SUCURSAL</v>
      </c>
      <c r="J335" s="1">
        <f t="shared" si="3"/>
        <v>5</v>
      </c>
      <c r="K335" s="1" t="str">
        <f t="shared" si="4"/>
        <v>Tus Lentes estan LISTAS PARA ENTREGAR, te esperamos.</v>
      </c>
    </row>
    <row r="336">
      <c r="A336" s="1">
        <f>IFERROR(__xludf.DUMMYFUNCTION("""COMPUTED_VALUE"""),84886.0)</f>
        <v>84886</v>
      </c>
      <c r="B336" s="5">
        <f>IFERROR(__xludf.DUMMYFUNCTION("""COMPUTED_VALUE"""),44937.41100504629)</f>
        <v>44937.41101</v>
      </c>
      <c r="C336" s="1" t="str">
        <f>IFERROR(__xludf.DUMMYFUNCTION("""COMPUTED_VALUE"""),"VELAZQUEZ DALMIRO")</f>
        <v>VELAZQUEZ DALMIRO</v>
      </c>
      <c r="D336" s="1" t="str">
        <f>IFERROR(__xludf.DUMMYFUNCTION("""COMPUTED_VALUE"""),"Lentes de STOCK")</f>
        <v>Lentes de STOCK</v>
      </c>
      <c r="E336" s="1" t="str">
        <f>IFERROR(__xludf.DUMMYFUNCTION("""COMPUTED_VALUE"""),"ARTIGAS Ivana P.")</f>
        <v>ARTIGAS Ivana P.</v>
      </c>
      <c r="F336" s="1" t="str">
        <f t="shared" si="1"/>
        <v>ARTIGAS </v>
      </c>
      <c r="G336" s="1" t="str">
        <f t="shared" si="2"/>
        <v>Ivana P.</v>
      </c>
      <c r="H336" s="1" t="str">
        <f>IFERROR(__xludf.DUMMYFUNCTION("""COMPUTED_VALUE"""),"16/1/2023, 17:00:00")</f>
        <v>16/1/2023, 17:00:00</v>
      </c>
      <c r="I336" s="1" t="str">
        <f>IFERROR(__xludf.DUMMYFUNCTION("""COMPUTED_VALUE"""),"Completado en SUCURSAL")</f>
        <v>Completado en SUCURSAL</v>
      </c>
      <c r="J336" s="1">
        <f t="shared" si="3"/>
        <v>5</v>
      </c>
      <c r="K336" s="1" t="str">
        <f t="shared" si="4"/>
        <v>Tus Lentes estan LISTAS PARA ENTREGAR, te esperamos.</v>
      </c>
    </row>
    <row r="337">
      <c r="A337" s="1">
        <f>IFERROR(__xludf.DUMMYFUNCTION("""COMPUTED_VALUE"""),84887.0)</f>
        <v>84887</v>
      </c>
      <c r="B337" s="5">
        <f>IFERROR(__xludf.DUMMYFUNCTION("""COMPUTED_VALUE"""),44937.42166361111)</f>
        <v>44937.42166</v>
      </c>
      <c r="C337" s="1" t="str">
        <f>IFERROR(__xludf.DUMMYFUNCTION("""COMPUTED_VALUE"""),"LIRANCHE SERGIO")</f>
        <v>LIRANCHE SERGIO</v>
      </c>
      <c r="D337" s="1" t="str">
        <f>IFERROR(__xludf.DUMMYFUNCTION("""COMPUTED_VALUE"""),"Lentes de STOCK")</f>
        <v>Lentes de STOCK</v>
      </c>
      <c r="E337" s="1" t="str">
        <f>IFERROR(__xludf.DUMMYFUNCTION("""COMPUTED_VALUE"""),"ARTIGAS Ivana P.")</f>
        <v>ARTIGAS Ivana P.</v>
      </c>
      <c r="F337" s="1" t="str">
        <f t="shared" si="1"/>
        <v>ARTIGAS </v>
      </c>
      <c r="G337" s="1" t="str">
        <f t="shared" si="2"/>
        <v>Ivana P.</v>
      </c>
      <c r="H337" s="1" t="str">
        <f>IFERROR(__xludf.DUMMYFUNCTION("""COMPUTED_VALUE"""),"13/1/2023, 17:00:00")</f>
        <v>13/1/2023, 17:00:00</v>
      </c>
      <c r="I337" s="1" t="str">
        <f>IFERROR(__xludf.DUMMYFUNCTION("""COMPUTED_VALUE"""),"En Armado Hoy")</f>
        <v>En Armado Hoy</v>
      </c>
      <c r="J337" s="1">
        <f t="shared" si="3"/>
        <v>3</v>
      </c>
      <c r="K337" s="1" t="str">
        <f t="shared" si="4"/>
        <v>Estamos terminando los ultimos detalles de tus lentes, los terminaremos el dia de hoy.</v>
      </c>
    </row>
    <row r="338">
      <c r="A338" s="1">
        <f>IFERROR(__xludf.DUMMYFUNCTION("""COMPUTED_VALUE"""),84888.0)</f>
        <v>84888</v>
      </c>
      <c r="B338" s="5">
        <f>IFERROR(__xludf.DUMMYFUNCTION("""COMPUTED_VALUE"""),44937.42206383102)</f>
        <v>44937.42206</v>
      </c>
      <c r="C338" s="1" t="str">
        <f>IFERROR(__xludf.DUMMYFUNCTION("""COMPUTED_VALUE"""),"CHANANPA UBALDO")</f>
        <v>CHANANPA UBALDO</v>
      </c>
      <c r="D338" s="1" t="str">
        <f>IFERROR(__xludf.DUMMYFUNCTION("""COMPUTED_VALUE"""),"Lentes de STOCK")</f>
        <v>Lentes de STOCK</v>
      </c>
      <c r="E338" s="1" t="str">
        <f>IFERROR(__xludf.DUMMYFUNCTION("""COMPUTED_VALUE"""),"ARTIGAS Cristian C.")</f>
        <v>ARTIGAS Cristian C.</v>
      </c>
      <c r="F338" s="1" t="str">
        <f t="shared" si="1"/>
        <v>ARTIGAS </v>
      </c>
      <c r="G338" s="1" t="str">
        <f t="shared" si="2"/>
        <v>Cristian C.</v>
      </c>
      <c r="H338" s="1" t="str">
        <f>IFERROR(__xludf.DUMMYFUNCTION("""COMPUTED_VALUE"""),"18/1/2023, 17:00:00")</f>
        <v>18/1/2023, 17:00:00</v>
      </c>
      <c r="I338" s="1" t="str">
        <f>IFERROR(__xludf.DUMMYFUNCTION("""COMPUTED_VALUE"""),"RETIRADO OK POR CLIENTE")</f>
        <v>RETIRADO OK POR CLIENTE</v>
      </c>
      <c r="J338" s="1">
        <f t="shared" si="3"/>
        <v>6</v>
      </c>
      <c r="K338" s="1" t="str">
        <f t="shared" si="4"/>
        <v>Entregamos tus lentes, que los disfrutes!</v>
      </c>
    </row>
    <row r="339">
      <c r="A339" s="1">
        <f>IFERROR(__xludf.DUMMYFUNCTION("""COMPUTED_VALUE"""),84889.0)</f>
        <v>84889</v>
      </c>
      <c r="B339" s="5">
        <f>IFERROR(__xludf.DUMMYFUNCTION("""COMPUTED_VALUE"""),44937.422131342595)</f>
        <v>44937.42213</v>
      </c>
      <c r="C339" s="1" t="str">
        <f>IFERROR(__xludf.DUMMYFUNCTION("""COMPUTED_VALUE"""),"LUJAN LILIANA ")</f>
        <v>LUJAN LILIANA </v>
      </c>
      <c r="D339" s="1" t="str">
        <f>IFERROR(__xludf.DUMMYFUNCTION("""COMPUTED_VALUE"""),"Lentes de STOCK")</f>
        <v>Lentes de STOCK</v>
      </c>
      <c r="E339" s="1" t="str">
        <f>IFERROR(__xludf.DUMMYFUNCTION("""COMPUTED_VALUE"""),"ARTIGAS Cristian C.")</f>
        <v>ARTIGAS Cristian C.</v>
      </c>
      <c r="F339" s="1" t="str">
        <f t="shared" si="1"/>
        <v>ARTIGAS </v>
      </c>
      <c r="G339" s="1" t="str">
        <f t="shared" si="2"/>
        <v>Cristian C.</v>
      </c>
      <c r="H339" s="1" t="str">
        <f>IFERROR(__xludf.DUMMYFUNCTION("""COMPUTED_VALUE"""),"18/1/2023, 17:00:00")</f>
        <v>18/1/2023, 17:00:00</v>
      </c>
      <c r="I339" s="1" t="str">
        <f>IFERROR(__xludf.DUMMYFUNCTION("""COMPUTED_VALUE"""),"RETIRADO OK POR CLIENTE")</f>
        <v>RETIRADO OK POR CLIENTE</v>
      </c>
      <c r="J339" s="1">
        <f t="shared" si="3"/>
        <v>6</v>
      </c>
      <c r="K339" s="1" t="str">
        <f t="shared" si="4"/>
        <v>Entregamos tus lentes, que los disfrutes!</v>
      </c>
    </row>
    <row r="340">
      <c r="A340" s="1">
        <f>IFERROR(__xludf.DUMMYFUNCTION("""COMPUTED_VALUE"""),84890.0)</f>
        <v>84890</v>
      </c>
      <c r="B340" s="5">
        <f>IFERROR(__xludf.DUMMYFUNCTION("""COMPUTED_VALUE"""),44937.42221689815)</f>
        <v>44937.42222</v>
      </c>
      <c r="C340" s="1" t="str">
        <f>IFERROR(__xludf.DUMMYFUNCTION("""COMPUTED_VALUE"""),"CHANANPA UBALDO")</f>
        <v>CHANANPA UBALDO</v>
      </c>
      <c r="D340" s="1" t="str">
        <f>IFERROR(__xludf.DUMMYFUNCTION("""COMPUTED_VALUE"""),"Lentes de STOCK")</f>
        <v>Lentes de STOCK</v>
      </c>
      <c r="E340" s="1" t="str">
        <f>IFERROR(__xludf.DUMMYFUNCTION("""COMPUTED_VALUE"""),"ARTIGAS Cristian C.")</f>
        <v>ARTIGAS Cristian C.</v>
      </c>
      <c r="F340" s="1" t="str">
        <f t="shared" si="1"/>
        <v>ARTIGAS </v>
      </c>
      <c r="G340" s="1" t="str">
        <f t="shared" si="2"/>
        <v>Cristian C.</v>
      </c>
      <c r="H340" s="1" t="str">
        <f>IFERROR(__xludf.DUMMYFUNCTION("""COMPUTED_VALUE"""),"18/1/2023, 17:00:00")</f>
        <v>18/1/2023, 17:00:00</v>
      </c>
      <c r="I340" s="1" t="str">
        <f>IFERROR(__xludf.DUMMYFUNCTION("""COMPUTED_VALUE"""),"RETIRADO OK POR CLIENTE")</f>
        <v>RETIRADO OK POR CLIENTE</v>
      </c>
      <c r="J340" s="1">
        <f t="shared" si="3"/>
        <v>6</v>
      </c>
      <c r="K340" s="1" t="str">
        <f t="shared" si="4"/>
        <v>Entregamos tus lentes, que los disfrutes!</v>
      </c>
    </row>
    <row r="341">
      <c r="A341" s="1">
        <f>IFERROR(__xludf.DUMMYFUNCTION("""COMPUTED_VALUE"""),84891.0)</f>
        <v>84891</v>
      </c>
      <c r="B341" s="5">
        <f>IFERROR(__xludf.DUMMYFUNCTION("""COMPUTED_VALUE"""),44937.42518416667)</f>
        <v>44937.42518</v>
      </c>
      <c r="C341" s="1" t="str">
        <f>IFERROR(__xludf.DUMMYFUNCTION("""COMPUTED_VALUE"""),"GRANDON JORGE")</f>
        <v>GRANDON JORGE</v>
      </c>
      <c r="D341" s="1" t="str">
        <f>IFERROR(__xludf.DUMMYFUNCTION("""COMPUTED_VALUE"""),"Reparaciones/Otros")</f>
        <v>Reparaciones/Otros</v>
      </c>
      <c r="E341" s="1" t="str">
        <f>IFERROR(__xludf.DUMMYFUNCTION("""COMPUTED_VALUE"""),"RIVADAVIA Marcela L")</f>
        <v>RIVADAVIA Marcela L</v>
      </c>
      <c r="F341" s="1" t="str">
        <f t="shared" si="1"/>
        <v>RIVADAVIA </v>
      </c>
      <c r="G341" s="1" t="str">
        <f t="shared" si="2"/>
        <v>Marcela L</v>
      </c>
      <c r="H341" s="1" t="str">
        <f>IFERROR(__xludf.DUMMYFUNCTION("""COMPUTED_VALUE"""),"12/1/2023, 17:00:00")</f>
        <v>12/1/2023, 17:00:00</v>
      </c>
      <c r="I341" s="1" t="str">
        <f>IFERROR(__xludf.DUMMYFUNCTION("""COMPUTED_VALUE"""),"Completado en SUCURSAL")</f>
        <v>Completado en SUCURSAL</v>
      </c>
      <c r="J341" s="1">
        <f t="shared" si="3"/>
        <v>5</v>
      </c>
      <c r="K341" s="1" t="str">
        <f t="shared" si="4"/>
        <v>Tus Lentes estan LISTAS PARA ENTREGAR, te esperamos.</v>
      </c>
    </row>
    <row r="342">
      <c r="A342" s="1">
        <f>IFERROR(__xludf.DUMMYFUNCTION("""COMPUTED_VALUE"""),84892.0)</f>
        <v>84892</v>
      </c>
      <c r="B342" s="5">
        <f>IFERROR(__xludf.DUMMYFUNCTION("""COMPUTED_VALUE"""),44937.43329746528)</f>
        <v>44937.4333</v>
      </c>
      <c r="C342" s="1" t="str">
        <f>IFERROR(__xludf.DUMMYFUNCTION("""COMPUTED_VALUE"""),"Rodriguez Thiago")</f>
        <v>Rodriguez Thiago</v>
      </c>
      <c r="D342" s="1" t="str">
        <f>IFERROR(__xludf.DUMMYFUNCTION("""COMPUTED_VALUE"""),"Reparaciones/Otros")</f>
        <v>Reparaciones/Otros</v>
      </c>
      <c r="E342" s="1" t="str">
        <f>IFERROR(__xludf.DUMMYFUNCTION("""COMPUTED_VALUE"""),"RIVADAVIA Rocio B")</f>
        <v>RIVADAVIA Rocio B</v>
      </c>
      <c r="F342" s="1" t="str">
        <f t="shared" si="1"/>
        <v>RIVADAVIA </v>
      </c>
      <c r="G342" s="1" t="str">
        <f t="shared" si="2"/>
        <v>Rocio B</v>
      </c>
      <c r="H342" s="1" t="str">
        <f>IFERROR(__xludf.DUMMYFUNCTION("""COMPUTED_VALUE"""),"12/1/2023, 17:00:00")</f>
        <v>12/1/2023, 17:00:00</v>
      </c>
      <c r="I342" s="1" t="str">
        <f>IFERROR(__xludf.DUMMYFUNCTION("""COMPUTED_VALUE"""),"Completado en SUCURSAL")</f>
        <v>Completado en SUCURSAL</v>
      </c>
      <c r="J342" s="1">
        <f t="shared" si="3"/>
        <v>5</v>
      </c>
      <c r="K342" s="1" t="str">
        <f t="shared" si="4"/>
        <v>Tus Lentes estan LISTAS PARA ENTREGAR, te esperamos.</v>
      </c>
    </row>
    <row r="343">
      <c r="A343" s="1">
        <f>IFERROR(__xludf.DUMMYFUNCTION("""COMPUTED_VALUE"""),84893.0)</f>
        <v>84893</v>
      </c>
      <c r="B343" s="5">
        <f>IFERROR(__xludf.DUMMYFUNCTION("""COMPUTED_VALUE"""),44937.43815443287)</f>
        <v>44937.43815</v>
      </c>
      <c r="C343" s="1" t="str">
        <f>IFERROR(__xludf.DUMMYFUNCTION("""COMPUTED_VALUE"""),"QUIROGA MAURICIO")</f>
        <v>QUIROGA MAURICIO</v>
      </c>
      <c r="D343" s="1" t="str">
        <f>IFERROR(__xludf.DUMMYFUNCTION("""COMPUTED_VALUE"""),"Reparaciones/Otros")</f>
        <v>Reparaciones/Otros</v>
      </c>
      <c r="E343" s="1" t="str">
        <f>IFERROR(__xludf.DUMMYFUNCTION("""COMPUTED_VALUE"""),"RIVADAVIA Luciana")</f>
        <v>RIVADAVIA Luciana</v>
      </c>
      <c r="F343" s="1" t="str">
        <f t="shared" si="1"/>
        <v>RIVADAVIA </v>
      </c>
      <c r="G343" s="1" t="str">
        <f t="shared" si="2"/>
        <v>Luciana</v>
      </c>
      <c r="H343" s="1" t="str">
        <f>IFERROR(__xludf.DUMMYFUNCTION("""COMPUTED_VALUE"""),"14/1/2023, 12:00:00")</f>
        <v>14/1/2023, 12:00:00</v>
      </c>
      <c r="I343" s="1" t="str">
        <f>IFERROR(__xludf.DUMMYFUNCTION("""COMPUTED_VALUE"""),"Completado en SUCURSAL")</f>
        <v>Completado en SUCURSAL</v>
      </c>
      <c r="J343" s="1">
        <f t="shared" si="3"/>
        <v>5</v>
      </c>
      <c r="K343" s="1" t="str">
        <f t="shared" si="4"/>
        <v>Tus Lentes estan LISTAS PARA ENTREGAR, te esperamos.</v>
      </c>
    </row>
    <row r="344">
      <c r="A344" s="1">
        <f>IFERROR(__xludf.DUMMYFUNCTION("""COMPUTED_VALUE"""),84894.0)</f>
        <v>84894</v>
      </c>
      <c r="B344" s="5">
        <f>IFERROR(__xludf.DUMMYFUNCTION("""COMPUTED_VALUE"""),44937.43978274305)</f>
        <v>44937.43978</v>
      </c>
      <c r="C344" s="1" t="str">
        <f>IFERROR(__xludf.DUMMYFUNCTION("""COMPUTED_VALUE"""),"MUÑOZ ROSA NOEMI")</f>
        <v>MUÑOZ ROSA NOEMI</v>
      </c>
      <c r="D344" s="1" t="str">
        <f>IFERROR(__xludf.DUMMYFUNCTION("""COMPUTED_VALUE"""),"Lentes de STOCK")</f>
        <v>Lentes de STOCK</v>
      </c>
      <c r="E344" s="1" t="str">
        <f>IFERROR(__xludf.DUMMYFUNCTION("""COMPUTED_VALUE"""),"ARTIGAS Cristian C.")</f>
        <v>ARTIGAS Cristian C.</v>
      </c>
      <c r="F344" s="1" t="str">
        <f t="shared" si="1"/>
        <v>ARTIGAS </v>
      </c>
      <c r="G344" s="1" t="str">
        <f t="shared" si="2"/>
        <v>Cristian C.</v>
      </c>
      <c r="H344" s="1" t="str">
        <f>IFERROR(__xludf.DUMMYFUNCTION("""COMPUTED_VALUE"""),"18/1/2023, 17:00:00")</f>
        <v>18/1/2023, 17:00:00</v>
      </c>
      <c r="I344" s="1" t="str">
        <f>IFERROR(__xludf.DUMMYFUNCTION("""COMPUTED_VALUE"""),"RETIRADO OK POR CLIENTE")</f>
        <v>RETIRADO OK POR CLIENTE</v>
      </c>
      <c r="J344" s="1">
        <f t="shared" si="3"/>
        <v>6</v>
      </c>
      <c r="K344" s="1" t="str">
        <f t="shared" si="4"/>
        <v>Entregamos tus lentes, que los disfrutes!</v>
      </c>
    </row>
    <row r="345">
      <c r="A345" s="1">
        <f>IFERROR(__xludf.DUMMYFUNCTION("""COMPUTED_VALUE"""),84895.0)</f>
        <v>84895</v>
      </c>
      <c r="B345" s="5">
        <f>IFERROR(__xludf.DUMMYFUNCTION("""COMPUTED_VALUE"""),44937.44325159722)</f>
        <v>44937.44325</v>
      </c>
      <c r="C345" s="1" t="str">
        <f>IFERROR(__xludf.DUMMYFUNCTION("""COMPUTED_VALUE"""),"MORON MARGARITA")</f>
        <v>MORON MARGARITA</v>
      </c>
      <c r="D345" s="1" t="str">
        <f>IFERROR(__xludf.DUMMYFUNCTION("""COMPUTED_VALUE"""),"Lentes de STOCK")</f>
        <v>Lentes de STOCK</v>
      </c>
      <c r="E345" s="1" t="str">
        <f>IFERROR(__xludf.DUMMYFUNCTION("""COMPUTED_VALUE"""),"ARTIGAS Ivana P.")</f>
        <v>ARTIGAS Ivana P.</v>
      </c>
      <c r="F345" s="1" t="str">
        <f t="shared" si="1"/>
        <v>ARTIGAS </v>
      </c>
      <c r="G345" s="1" t="str">
        <f t="shared" si="2"/>
        <v>Ivana P.</v>
      </c>
      <c r="H345" s="1" t="str">
        <f>IFERROR(__xludf.DUMMYFUNCTION("""COMPUTED_VALUE"""),"20/1/2023, 17:00:00")</f>
        <v>20/1/2023, 17:00:00</v>
      </c>
      <c r="I345" s="1" t="str">
        <f>IFERROR(__xludf.DUMMYFUNCTION("""COMPUTED_VALUE"""),"En Armado Hoy")</f>
        <v>En Armado Hoy</v>
      </c>
      <c r="J345" s="1">
        <f t="shared" si="3"/>
        <v>3</v>
      </c>
      <c r="K345" s="1" t="str">
        <f t="shared" si="4"/>
        <v>Estamos terminando los ultimos detalles de tus lentes, los terminaremos el dia de hoy.</v>
      </c>
    </row>
    <row r="346">
      <c r="A346" s="1">
        <f>IFERROR(__xludf.DUMMYFUNCTION("""COMPUTED_VALUE"""),84896.0)</f>
        <v>84896</v>
      </c>
      <c r="B346" s="5">
        <f>IFERROR(__xludf.DUMMYFUNCTION("""COMPUTED_VALUE"""),44937.44464736111)</f>
        <v>44937.44465</v>
      </c>
      <c r="C346" s="1" t="str">
        <f>IFERROR(__xludf.DUMMYFUNCTION("""COMPUTED_VALUE"""),"ESTEVES NATALI")</f>
        <v>ESTEVES NATALI</v>
      </c>
      <c r="D346" s="1" t="str">
        <f>IFERROR(__xludf.DUMMYFUNCTION("""COMPUTED_VALUE"""),"Lentes de STOCK")</f>
        <v>Lentes de STOCK</v>
      </c>
      <c r="E346" s="1" t="str">
        <f>IFERROR(__xludf.DUMMYFUNCTION("""COMPUTED_VALUE"""),"ARTIGAS Cristian C.")</f>
        <v>ARTIGAS Cristian C.</v>
      </c>
      <c r="F346" s="1" t="str">
        <f t="shared" si="1"/>
        <v>ARTIGAS </v>
      </c>
      <c r="G346" s="1" t="str">
        <f t="shared" si="2"/>
        <v>Cristian C.</v>
      </c>
      <c r="H346" s="1" t="str">
        <f>IFERROR(__xludf.DUMMYFUNCTION("""COMPUTED_VALUE"""),"18/1/2023, 17:00:00")</f>
        <v>18/1/2023, 17:00:00</v>
      </c>
      <c r="I346" s="1" t="str">
        <f>IFERROR(__xludf.DUMMYFUNCTION("""COMPUTED_VALUE"""),"RETIRADO OK POR CLIENTE")</f>
        <v>RETIRADO OK POR CLIENTE</v>
      </c>
      <c r="J346" s="1">
        <f t="shared" si="3"/>
        <v>6</v>
      </c>
      <c r="K346" s="1" t="str">
        <f t="shared" si="4"/>
        <v>Entregamos tus lentes, que los disfrutes!</v>
      </c>
    </row>
    <row r="347">
      <c r="A347" s="1">
        <f>IFERROR(__xludf.DUMMYFUNCTION("""COMPUTED_VALUE"""),84897.0)</f>
        <v>84897</v>
      </c>
      <c r="B347" s="5">
        <f>IFERROR(__xludf.DUMMYFUNCTION("""COMPUTED_VALUE"""),44937.44622539352)</f>
        <v>44937.44623</v>
      </c>
      <c r="C347" s="1" t="str">
        <f>IFERROR(__xludf.DUMMYFUNCTION("""COMPUTED_VALUE"""),"ODETTI MARCELA")</f>
        <v>ODETTI MARCELA</v>
      </c>
      <c r="D347" s="1" t="str">
        <f>IFERROR(__xludf.DUMMYFUNCTION("""COMPUTED_VALUE"""),"Lentes de STOCK")</f>
        <v>Lentes de STOCK</v>
      </c>
      <c r="E347" s="1" t="str">
        <f>IFERROR(__xludf.DUMMYFUNCTION("""COMPUTED_VALUE"""),"RIVADAVIA Santiago LOPEZ")</f>
        <v>RIVADAVIA Santiago LOPEZ</v>
      </c>
      <c r="F347" s="1" t="str">
        <f t="shared" si="1"/>
        <v>RIVADAVIA </v>
      </c>
      <c r="G347" s="1" t="str">
        <f t="shared" si="2"/>
        <v>Santiago LOPEZ</v>
      </c>
      <c r="H347" s="1" t="str">
        <f>IFERROR(__xludf.DUMMYFUNCTION("""COMPUTED_VALUE"""),"13/1/2023, 17:00:00")</f>
        <v>13/1/2023, 17:00:00</v>
      </c>
      <c r="I347" s="1" t="str">
        <f>IFERROR(__xludf.DUMMYFUNCTION("""COMPUTED_VALUE"""),"Completado en SUCURSAL")</f>
        <v>Completado en SUCURSAL</v>
      </c>
      <c r="J347" s="1">
        <f t="shared" si="3"/>
        <v>5</v>
      </c>
      <c r="K347" s="1" t="str">
        <f t="shared" si="4"/>
        <v>Tus Lentes estan LISTAS PARA ENTREGAR, te esperamos.</v>
      </c>
    </row>
    <row r="348">
      <c r="A348" s="1">
        <f>IFERROR(__xludf.DUMMYFUNCTION("""COMPUTED_VALUE"""),84898.0)</f>
        <v>84898</v>
      </c>
      <c r="B348" s="5">
        <f>IFERROR(__xludf.DUMMYFUNCTION("""COMPUTED_VALUE"""),44937.448503356485)</f>
        <v>44937.4485</v>
      </c>
      <c r="C348" s="1" t="str">
        <f>IFERROR(__xludf.DUMMYFUNCTION("""COMPUTED_VALUE"""),"VILLENA SUSANA")</f>
        <v>VILLENA SUSANA</v>
      </c>
      <c r="D348" s="1" t="str">
        <f>IFERROR(__xludf.DUMMYFUNCTION("""COMPUTED_VALUE"""),"Lentes de STOCK")</f>
        <v>Lentes de STOCK</v>
      </c>
      <c r="E348" s="1" t="str">
        <f>IFERROR(__xludf.DUMMYFUNCTION("""COMPUTED_VALUE"""),"ARTIGAS Ivana P.")</f>
        <v>ARTIGAS Ivana P.</v>
      </c>
      <c r="F348" s="1" t="str">
        <f t="shared" si="1"/>
        <v>ARTIGAS </v>
      </c>
      <c r="G348" s="1" t="str">
        <f t="shared" si="2"/>
        <v>Ivana P.</v>
      </c>
      <c r="H348" s="1" t="str">
        <f>IFERROR(__xludf.DUMMYFUNCTION("""COMPUTED_VALUE"""),"13/1/2023, 17:00:00")</f>
        <v>13/1/2023, 17:00:00</v>
      </c>
      <c r="I348" s="1" t="str">
        <f>IFERROR(__xludf.DUMMYFUNCTION("""COMPUTED_VALUE"""),"RETIRADO OK POR CLIENTE")</f>
        <v>RETIRADO OK POR CLIENTE</v>
      </c>
      <c r="J348" s="1">
        <f t="shared" si="3"/>
        <v>6</v>
      </c>
      <c r="K348" s="1" t="str">
        <f t="shared" si="4"/>
        <v>Entregamos tus lentes, que los disfrutes!</v>
      </c>
    </row>
    <row r="349">
      <c r="A349" s="1">
        <f>IFERROR(__xludf.DUMMYFUNCTION("""COMPUTED_VALUE"""),84899.0)</f>
        <v>84899</v>
      </c>
      <c r="B349" s="5">
        <f>IFERROR(__xludf.DUMMYFUNCTION("""COMPUTED_VALUE"""),44937.45300028935)</f>
        <v>44937.453</v>
      </c>
      <c r="C349" s="1" t="str">
        <f>IFERROR(__xludf.DUMMYFUNCTION("""COMPUTED_VALUE"""),"torranzo CECILIA")</f>
        <v>torranzo CECILIA</v>
      </c>
      <c r="D349" s="1" t="str">
        <f>IFERROR(__xludf.DUMMYFUNCTION("""COMPUTED_VALUE"""),"Reparaciones/Otros")</f>
        <v>Reparaciones/Otros</v>
      </c>
      <c r="E349" s="1" t="str">
        <f>IFERROR(__xludf.DUMMYFUNCTION("""COMPUTED_VALUE"""),"ARTIGAS Celina")</f>
        <v>ARTIGAS Celina</v>
      </c>
      <c r="F349" s="1" t="str">
        <f t="shared" si="1"/>
        <v>ARTIGAS </v>
      </c>
      <c r="G349" s="1" t="str">
        <f t="shared" si="2"/>
        <v>Celina</v>
      </c>
      <c r="H349" s="1" t="str">
        <f>IFERROR(__xludf.DUMMYFUNCTION("""COMPUTED_VALUE"""),"12/1/2023, 17:00:00")</f>
        <v>12/1/2023, 17:00:00</v>
      </c>
      <c r="I349" s="1" t="str">
        <f>IFERROR(__xludf.DUMMYFUNCTION("""COMPUTED_VALUE"""),"Completado en SUCURSAL")</f>
        <v>Completado en SUCURSAL</v>
      </c>
      <c r="J349" s="1">
        <f t="shared" si="3"/>
        <v>5</v>
      </c>
      <c r="K349" s="1" t="str">
        <f t="shared" si="4"/>
        <v>Tus Lentes estan LISTAS PARA ENTREGAR, te esperamos.</v>
      </c>
    </row>
    <row r="350">
      <c r="A350" s="1">
        <f>IFERROR(__xludf.DUMMYFUNCTION("""COMPUTED_VALUE"""),84900.0)</f>
        <v>84900</v>
      </c>
      <c r="B350" s="5">
        <f>IFERROR(__xludf.DUMMYFUNCTION("""COMPUTED_VALUE"""),44937.45438361111)</f>
        <v>44937.45438</v>
      </c>
      <c r="C350" s="1" t="str">
        <f>IFERROR(__xludf.DUMMYFUNCTION("""COMPUTED_VALUE"""),"Dominguez Jorge")</f>
        <v>Dominguez Jorge</v>
      </c>
      <c r="D350" s="1" t="str">
        <f>IFERROR(__xludf.DUMMYFUNCTION("""COMPUTED_VALUE"""),"Reparaciones/Otros")</f>
        <v>Reparaciones/Otros</v>
      </c>
      <c r="E350" s="1" t="str">
        <f>IFERROR(__xludf.DUMMYFUNCTION("""COMPUTED_VALUE"""),"RIVADAVIA Rocio B")</f>
        <v>RIVADAVIA Rocio B</v>
      </c>
      <c r="F350" s="1" t="str">
        <f t="shared" si="1"/>
        <v>RIVADAVIA </v>
      </c>
      <c r="G350" s="1" t="str">
        <f t="shared" si="2"/>
        <v>Rocio B</v>
      </c>
      <c r="H350" s="1" t="str">
        <f>IFERROR(__xludf.DUMMYFUNCTION("""COMPUTED_VALUE"""),"12/1/2023, 17:00:00")</f>
        <v>12/1/2023, 17:00:00</v>
      </c>
      <c r="I350" s="1" t="str">
        <f>IFERROR(__xludf.DUMMYFUNCTION("""COMPUTED_VALUE"""),"Completado en SUCURSAL")</f>
        <v>Completado en SUCURSAL</v>
      </c>
      <c r="J350" s="1">
        <f t="shared" si="3"/>
        <v>5</v>
      </c>
      <c r="K350" s="1" t="str">
        <f t="shared" si="4"/>
        <v>Tus Lentes estan LISTAS PARA ENTREGAR, te esperamos.</v>
      </c>
    </row>
    <row r="351">
      <c r="A351" s="1">
        <f>IFERROR(__xludf.DUMMYFUNCTION("""COMPUTED_VALUE"""),84901.0)</f>
        <v>84901</v>
      </c>
      <c r="B351" s="5">
        <f>IFERROR(__xludf.DUMMYFUNCTION("""COMPUTED_VALUE"""),44937.461811030094)</f>
        <v>44937.46181</v>
      </c>
      <c r="C351" s="1" t="str">
        <f>IFERROR(__xludf.DUMMYFUNCTION("""COMPUTED_VALUE"""),"SILVIA DELIA")</f>
        <v>SILVIA DELIA</v>
      </c>
      <c r="D351" s="1" t="str">
        <f>IFERROR(__xludf.DUMMYFUNCTION("""COMPUTED_VALUE"""),"Reparaciones/Otros")</f>
        <v>Reparaciones/Otros</v>
      </c>
      <c r="E351" s="1" t="str">
        <f>IFERROR(__xludf.DUMMYFUNCTION("""COMPUTED_VALUE"""),"ARTIGAS Celina")</f>
        <v>ARTIGAS Celina</v>
      </c>
      <c r="F351" s="1" t="str">
        <f t="shared" si="1"/>
        <v>ARTIGAS </v>
      </c>
      <c r="G351" s="1" t="str">
        <f t="shared" si="2"/>
        <v>Celina</v>
      </c>
      <c r="H351" s="1" t="str">
        <f>IFERROR(__xludf.DUMMYFUNCTION("""COMPUTED_VALUE"""),"12/1/2023, 17:00:00")</f>
        <v>12/1/2023, 17:00:00</v>
      </c>
      <c r="I351" s="1" t="str">
        <f>IFERROR(__xludf.DUMMYFUNCTION("""COMPUTED_VALUE"""),"Completado en SUCURSAL")</f>
        <v>Completado en SUCURSAL</v>
      </c>
      <c r="J351" s="1">
        <f t="shared" si="3"/>
        <v>5</v>
      </c>
      <c r="K351" s="1" t="str">
        <f t="shared" si="4"/>
        <v>Tus Lentes estan LISTAS PARA ENTREGAR, te esperamos.</v>
      </c>
    </row>
    <row r="352">
      <c r="A352" s="1">
        <f>IFERROR(__xludf.DUMMYFUNCTION("""COMPUTED_VALUE"""),84902.0)</f>
        <v>84902</v>
      </c>
      <c r="B352" s="5">
        <f>IFERROR(__xludf.DUMMYFUNCTION("""COMPUTED_VALUE"""),44937.46732365741)</f>
        <v>44937.46732</v>
      </c>
      <c r="C352" s="1" t="str">
        <f>IFERROR(__xludf.DUMMYFUNCTION("""COMPUTED_VALUE"""),"QUIROGA GRACIELA EDITH")</f>
        <v>QUIROGA GRACIELA EDITH</v>
      </c>
      <c r="D352" s="1" t="str">
        <f>IFERROR(__xludf.DUMMYFUNCTION("""COMPUTED_VALUE"""),"Lentes de STOCK")</f>
        <v>Lentes de STOCK</v>
      </c>
      <c r="E352" s="1" t="str">
        <f>IFERROR(__xludf.DUMMYFUNCTION("""COMPUTED_VALUE"""),"RIVADAVIA Marcela L")</f>
        <v>RIVADAVIA Marcela L</v>
      </c>
      <c r="F352" s="1" t="str">
        <f t="shared" si="1"/>
        <v>RIVADAVIA </v>
      </c>
      <c r="G352" s="1" t="str">
        <f t="shared" si="2"/>
        <v>Marcela L</v>
      </c>
      <c r="H352" s="1" t="str">
        <f>IFERROR(__xludf.DUMMYFUNCTION("""COMPUTED_VALUE"""),"16/1/2023, 17:00:00")</f>
        <v>16/1/2023, 17:00:00</v>
      </c>
      <c r="I352" s="1" t="str">
        <f>IFERROR(__xludf.DUMMYFUNCTION("""COMPUTED_VALUE"""),"RETIRADO OK POR CLIENTE")</f>
        <v>RETIRADO OK POR CLIENTE</v>
      </c>
      <c r="J352" s="1">
        <f t="shared" si="3"/>
        <v>6</v>
      </c>
      <c r="K352" s="1" t="str">
        <f t="shared" si="4"/>
        <v>Entregamos tus lentes, que los disfrutes!</v>
      </c>
    </row>
    <row r="353">
      <c r="A353" s="1">
        <f>IFERROR(__xludf.DUMMYFUNCTION("""COMPUTED_VALUE"""),84903.0)</f>
        <v>84903</v>
      </c>
      <c r="B353" s="5">
        <f>IFERROR(__xludf.DUMMYFUNCTION("""COMPUTED_VALUE"""),44937.470722453705)</f>
        <v>44937.47072</v>
      </c>
      <c r="C353" s="1" t="str">
        <f>IFERROR(__xludf.DUMMYFUNCTION("""COMPUTED_VALUE"""),"Sanchez Alvaro")</f>
        <v>Sanchez Alvaro</v>
      </c>
      <c r="D353" s="1" t="str">
        <f>IFERROR(__xludf.DUMMYFUNCTION("""COMPUTED_VALUE"""),"Lentes de STOCK")</f>
        <v>Lentes de STOCK</v>
      </c>
      <c r="E353" s="1" t="str">
        <f>IFERROR(__xludf.DUMMYFUNCTION("""COMPUTED_VALUE"""),"RIVADAVIA Rocio B")</f>
        <v>RIVADAVIA Rocio B</v>
      </c>
      <c r="F353" s="1" t="str">
        <f t="shared" si="1"/>
        <v>RIVADAVIA </v>
      </c>
      <c r="G353" s="1" t="str">
        <f t="shared" si="2"/>
        <v>Rocio B</v>
      </c>
      <c r="H353" s="1" t="str">
        <f>IFERROR(__xludf.DUMMYFUNCTION("""COMPUTED_VALUE"""),"18/1/2023, 17:00:00")</f>
        <v>18/1/2023, 17:00:00</v>
      </c>
      <c r="I353" s="1" t="str">
        <f>IFERROR(__xludf.DUMMYFUNCTION("""COMPUTED_VALUE"""),"RETIRADO OK POR CLIENTE")</f>
        <v>RETIRADO OK POR CLIENTE</v>
      </c>
      <c r="J353" s="1">
        <f t="shared" si="3"/>
        <v>6</v>
      </c>
      <c r="K353" s="1" t="str">
        <f t="shared" si="4"/>
        <v>Entregamos tus lentes, que los disfrutes!</v>
      </c>
    </row>
    <row r="354">
      <c r="A354" s="1">
        <f>IFERROR(__xludf.DUMMYFUNCTION("""COMPUTED_VALUE"""),84904.0)</f>
        <v>84904</v>
      </c>
      <c r="B354" s="5">
        <f>IFERROR(__xludf.DUMMYFUNCTION("""COMPUTED_VALUE"""),44937.47261864583)</f>
        <v>44937.47262</v>
      </c>
      <c r="C354" s="1" t="str">
        <f>IFERROR(__xludf.DUMMYFUNCTION("""COMPUTED_VALUE"""),"HAUSES LUCIANA")</f>
        <v>HAUSES LUCIANA</v>
      </c>
      <c r="D354" s="1" t="str">
        <f>IFERROR(__xludf.DUMMYFUNCTION("""COMPUTED_VALUE"""),"Lentes de STOCK")</f>
        <v>Lentes de STOCK</v>
      </c>
      <c r="E354" s="1" t="str">
        <f>IFERROR(__xludf.DUMMYFUNCTION("""COMPUTED_VALUE"""),"RIVADAVIA Rocio B")</f>
        <v>RIVADAVIA Rocio B</v>
      </c>
      <c r="F354" s="1" t="str">
        <f t="shared" si="1"/>
        <v>RIVADAVIA </v>
      </c>
      <c r="G354" s="1" t="str">
        <f t="shared" si="2"/>
        <v>Rocio B</v>
      </c>
      <c r="H354" s="1" t="str">
        <f>IFERROR(__xludf.DUMMYFUNCTION("""COMPUTED_VALUE"""),"18/1/2023, 17:00:00")</f>
        <v>18/1/2023, 17:00:00</v>
      </c>
      <c r="I354" s="1" t="str">
        <f>IFERROR(__xludf.DUMMYFUNCTION("""COMPUTED_VALUE"""),"RETIRADO OK POR CLIENTE")</f>
        <v>RETIRADO OK POR CLIENTE</v>
      </c>
      <c r="J354" s="1">
        <f t="shared" si="3"/>
        <v>6</v>
      </c>
      <c r="K354" s="1" t="str">
        <f t="shared" si="4"/>
        <v>Entregamos tus lentes, que los disfrutes!</v>
      </c>
    </row>
    <row r="355">
      <c r="A355" s="1">
        <f>IFERROR(__xludf.DUMMYFUNCTION("""COMPUTED_VALUE"""),84905.0)</f>
        <v>84905</v>
      </c>
      <c r="B355" s="5">
        <f>IFERROR(__xludf.DUMMYFUNCTION("""COMPUTED_VALUE"""),44937.47848280093)</f>
        <v>44937.47848</v>
      </c>
      <c r="C355" s="1" t="str">
        <f>IFERROR(__xludf.DUMMYFUNCTION("""COMPUTED_VALUE"""),"sosa basualdo sergio")</f>
        <v>sosa basualdo sergio</v>
      </c>
      <c r="D355" s="1" t="str">
        <f>IFERROR(__xludf.DUMMYFUNCTION("""COMPUTED_VALUE"""),"Reparaciones/Otros")</f>
        <v>Reparaciones/Otros</v>
      </c>
      <c r="E355" s="1" t="str">
        <f>IFERROR(__xludf.DUMMYFUNCTION("""COMPUTED_VALUE"""),"RIVADAVIA Daniel CM")</f>
        <v>RIVADAVIA Daniel CM</v>
      </c>
      <c r="F355" s="1" t="str">
        <f t="shared" si="1"/>
        <v>RIVADAVIA </v>
      </c>
      <c r="G355" s="1" t="str">
        <f t="shared" si="2"/>
        <v>Daniel CM</v>
      </c>
      <c r="H355" s="1" t="str">
        <f>IFERROR(__xludf.DUMMYFUNCTION("""COMPUTED_VALUE"""),"12/1/2023, 17:00:00")</f>
        <v>12/1/2023, 17:00:00</v>
      </c>
      <c r="I355" s="1" t="str">
        <f>IFERROR(__xludf.DUMMYFUNCTION("""COMPUTED_VALUE"""),"Completado en SUCURSAL")</f>
        <v>Completado en SUCURSAL</v>
      </c>
      <c r="J355" s="1">
        <f t="shared" si="3"/>
        <v>5</v>
      </c>
      <c r="K355" s="1" t="str">
        <f t="shared" si="4"/>
        <v>Tus Lentes estan LISTAS PARA ENTREGAR, te esperamos.</v>
      </c>
    </row>
    <row r="356">
      <c r="A356" s="1">
        <f>IFERROR(__xludf.DUMMYFUNCTION("""COMPUTED_VALUE"""),84906.0)</f>
        <v>84906</v>
      </c>
      <c r="B356" s="5">
        <f>IFERROR(__xludf.DUMMYFUNCTION("""COMPUTED_VALUE"""),44937.4889237037)</f>
        <v>44937.48892</v>
      </c>
      <c r="C356" s="1" t="str">
        <f>IFERROR(__xludf.DUMMYFUNCTION("""COMPUTED_VALUE"""),"OYOLA MATIAS")</f>
        <v>OYOLA MATIAS</v>
      </c>
      <c r="D356" s="1" t="str">
        <f>IFERROR(__xludf.DUMMYFUNCTION("""COMPUTED_VALUE"""),"Lentes de STOCK")</f>
        <v>Lentes de STOCK</v>
      </c>
      <c r="E356" s="1" t="str">
        <f>IFERROR(__xludf.DUMMYFUNCTION("""COMPUTED_VALUE"""),"ARTIGAS Ivana P.")</f>
        <v>ARTIGAS Ivana P.</v>
      </c>
      <c r="F356" s="1" t="str">
        <f t="shared" si="1"/>
        <v>ARTIGAS </v>
      </c>
      <c r="G356" s="1" t="str">
        <f t="shared" si="2"/>
        <v>Ivana P.</v>
      </c>
      <c r="H356" s="1" t="str">
        <f>IFERROR(__xludf.DUMMYFUNCTION("""COMPUTED_VALUE"""),"14/1/2023, 17:00:00")</f>
        <v>14/1/2023, 17:00:00</v>
      </c>
      <c r="I356" s="1" t="str">
        <f>IFERROR(__xludf.DUMMYFUNCTION("""COMPUTED_VALUE"""),"RETIRADO OK POR CLIENTE")</f>
        <v>RETIRADO OK POR CLIENTE</v>
      </c>
      <c r="J356" s="1">
        <f t="shared" si="3"/>
        <v>6</v>
      </c>
      <c r="K356" s="1" t="str">
        <f t="shared" si="4"/>
        <v>Entregamos tus lentes, que los disfrutes!</v>
      </c>
    </row>
    <row r="357">
      <c r="A357" s="1">
        <f>IFERROR(__xludf.DUMMYFUNCTION("""COMPUTED_VALUE"""),84907.0)</f>
        <v>84907</v>
      </c>
      <c r="B357" s="5">
        <f>IFERROR(__xludf.DUMMYFUNCTION("""COMPUTED_VALUE"""),44937.48990144676)</f>
        <v>44937.4899</v>
      </c>
      <c r="C357" s="1" t="str">
        <f>IFERROR(__xludf.DUMMYFUNCTION("""COMPUTED_VALUE"""),"PALMA NORA")</f>
        <v>PALMA NORA</v>
      </c>
      <c r="D357" s="1" t="str">
        <f>IFERROR(__xludf.DUMMYFUNCTION("""COMPUTED_VALUE"""),"Reparaciones/Otros")</f>
        <v>Reparaciones/Otros</v>
      </c>
      <c r="E357" s="1" t="str">
        <f>IFERROR(__xludf.DUMMYFUNCTION("""COMPUTED_VALUE"""),"RIVADAVIA Luciana")</f>
        <v>RIVADAVIA Luciana</v>
      </c>
      <c r="F357" s="1" t="str">
        <f t="shared" si="1"/>
        <v>RIVADAVIA </v>
      </c>
      <c r="G357" s="1" t="str">
        <f t="shared" si="2"/>
        <v>Luciana</v>
      </c>
      <c r="H357" s="1" t="str">
        <f>IFERROR(__xludf.DUMMYFUNCTION("""COMPUTED_VALUE"""),"12/1/2023, 17:00:00")</f>
        <v>12/1/2023, 17:00:00</v>
      </c>
      <c r="I357" s="1" t="str">
        <f>IFERROR(__xludf.DUMMYFUNCTION("""COMPUTED_VALUE"""),"Completado en SUCURSAL")</f>
        <v>Completado en SUCURSAL</v>
      </c>
      <c r="J357" s="1">
        <f t="shared" si="3"/>
        <v>5</v>
      </c>
      <c r="K357" s="1" t="str">
        <f t="shared" si="4"/>
        <v>Tus Lentes estan LISTAS PARA ENTREGAR, te esperamos.</v>
      </c>
    </row>
    <row r="358">
      <c r="A358" s="1">
        <f>IFERROR(__xludf.DUMMYFUNCTION("""COMPUTED_VALUE"""),84908.0)</f>
        <v>84908</v>
      </c>
      <c r="B358" s="5">
        <f>IFERROR(__xludf.DUMMYFUNCTION("""COMPUTED_VALUE"""),44937.491258078706)</f>
        <v>44937.49126</v>
      </c>
      <c r="C358" s="1" t="str">
        <f>IFERROR(__xludf.DUMMYFUNCTION("""COMPUTED_VALUE"""),"AURIOL NELIDA")</f>
        <v>AURIOL NELIDA</v>
      </c>
      <c r="D358" s="1" t="str">
        <f>IFERROR(__xludf.DUMMYFUNCTION("""COMPUTED_VALUE"""),"Lentes de STOCK")</f>
        <v>Lentes de STOCK</v>
      </c>
      <c r="E358" s="1" t="str">
        <f>IFERROR(__xludf.DUMMYFUNCTION("""COMPUTED_VALUE"""),"ARTIGAS Cristian C.")</f>
        <v>ARTIGAS Cristian C.</v>
      </c>
      <c r="F358" s="1" t="str">
        <f t="shared" si="1"/>
        <v>ARTIGAS </v>
      </c>
      <c r="G358" s="1" t="str">
        <f t="shared" si="2"/>
        <v>Cristian C.</v>
      </c>
      <c r="H358" s="1" t="str">
        <f>IFERROR(__xludf.DUMMYFUNCTION("""COMPUTED_VALUE"""),"17/1/2023, 17:00:00")</f>
        <v>17/1/2023, 17:00:00</v>
      </c>
      <c r="I358" s="1" t="str">
        <f>IFERROR(__xludf.DUMMYFUNCTION("""COMPUTED_VALUE"""),"RETIRADO OK POR CLIENTE")</f>
        <v>RETIRADO OK POR CLIENTE</v>
      </c>
      <c r="J358" s="1">
        <f t="shared" si="3"/>
        <v>6</v>
      </c>
      <c r="K358" s="1" t="str">
        <f t="shared" si="4"/>
        <v>Entregamos tus lentes, que los disfrutes!</v>
      </c>
    </row>
    <row r="359">
      <c r="A359" s="1">
        <f>IFERROR(__xludf.DUMMYFUNCTION("""COMPUTED_VALUE"""),84909.0)</f>
        <v>84909</v>
      </c>
      <c r="B359" s="5">
        <f>IFERROR(__xludf.DUMMYFUNCTION("""COMPUTED_VALUE"""),44937.49994729167)</f>
        <v>44937.49995</v>
      </c>
      <c r="C359" s="1" t="str">
        <f>IFERROR(__xludf.DUMMYFUNCTION("""COMPUTED_VALUE"""),"PALMA JARAPA EMILIANO RUBEN ")</f>
        <v>PALMA JARAPA EMILIANO RUBEN </v>
      </c>
      <c r="D359" s="1" t="str">
        <f>IFERROR(__xludf.DUMMYFUNCTION("""COMPUTED_VALUE"""),"Lentes de STOCK")</f>
        <v>Lentes de STOCK</v>
      </c>
      <c r="E359" s="1" t="str">
        <f>IFERROR(__xludf.DUMMYFUNCTION("""COMPUTED_VALUE"""),"ARTIGAS Cristian C.")</f>
        <v>ARTIGAS Cristian C.</v>
      </c>
      <c r="F359" s="1" t="str">
        <f t="shared" si="1"/>
        <v>ARTIGAS </v>
      </c>
      <c r="G359" s="1" t="str">
        <f t="shared" si="2"/>
        <v>Cristian C.</v>
      </c>
      <c r="H359" s="1" t="str">
        <f>IFERROR(__xludf.DUMMYFUNCTION("""COMPUTED_VALUE"""),"18/1/2023, 17:00:00")</f>
        <v>18/1/2023, 17:00:00</v>
      </c>
      <c r="I359" s="1" t="str">
        <f>IFERROR(__xludf.DUMMYFUNCTION("""COMPUTED_VALUE"""),"RETIRADO OK POR CLIENTE")</f>
        <v>RETIRADO OK POR CLIENTE</v>
      </c>
      <c r="J359" s="1">
        <f t="shared" si="3"/>
        <v>6</v>
      </c>
      <c r="K359" s="1" t="str">
        <f t="shared" si="4"/>
        <v>Entregamos tus lentes, que los disfrutes!</v>
      </c>
    </row>
    <row r="360">
      <c r="A360" s="1">
        <f>IFERROR(__xludf.DUMMYFUNCTION("""COMPUTED_VALUE"""),84910.0)</f>
        <v>84910</v>
      </c>
      <c r="B360" s="5">
        <f>IFERROR(__xludf.DUMMYFUNCTION("""COMPUTED_VALUE"""),44937.50101408565)</f>
        <v>44937.50101</v>
      </c>
      <c r="C360" s="1" t="str">
        <f>IFERROR(__xludf.DUMMYFUNCTION("""COMPUTED_VALUE""")," PARRA ALBA ALEJANDRO")</f>
        <v> PARRA ALBA ALEJANDRO</v>
      </c>
      <c r="D360" s="1" t="str">
        <f>IFERROR(__xludf.DUMMYFUNCTION("""COMPUTED_VALUE"""),"Lentes de STOCK")</f>
        <v>Lentes de STOCK</v>
      </c>
      <c r="E360" s="1" t="str">
        <f>IFERROR(__xludf.DUMMYFUNCTION("""COMPUTED_VALUE"""),"RIVADAVIA Santiago LOPEZ")</f>
        <v>RIVADAVIA Santiago LOPEZ</v>
      </c>
      <c r="F360" s="1" t="str">
        <f t="shared" si="1"/>
        <v>RIVADAVIA </v>
      </c>
      <c r="G360" s="1" t="str">
        <f t="shared" si="2"/>
        <v>Santiago LOPEZ</v>
      </c>
      <c r="H360" s="1" t="str">
        <f>IFERROR(__xludf.DUMMYFUNCTION("""COMPUTED_VALUE"""),"13/1/2023, 17:00:00")</f>
        <v>13/1/2023, 17:00:00</v>
      </c>
      <c r="I360" s="1" t="str">
        <f>IFERROR(__xludf.DUMMYFUNCTION("""COMPUTED_VALUE"""),"RETIRADO OK POR CLIENTE")</f>
        <v>RETIRADO OK POR CLIENTE</v>
      </c>
      <c r="J360" s="1">
        <f t="shared" si="3"/>
        <v>6</v>
      </c>
      <c r="K360" s="1" t="str">
        <f t="shared" si="4"/>
        <v>Entregamos tus lentes, que los disfrutes!</v>
      </c>
    </row>
    <row r="361">
      <c r="A361" s="1">
        <f>IFERROR(__xludf.DUMMYFUNCTION("""COMPUTED_VALUE"""),84911.0)</f>
        <v>84911</v>
      </c>
      <c r="B361" s="5">
        <f>IFERROR(__xludf.DUMMYFUNCTION("""COMPUTED_VALUE"""),44937.50364275463)</f>
        <v>44937.50364</v>
      </c>
      <c r="C361" s="1" t="str">
        <f>IFERROR(__xludf.DUMMYFUNCTION("""COMPUTED_VALUE"""),"morales elena")</f>
        <v>morales elena</v>
      </c>
      <c r="D361" s="1" t="str">
        <f>IFERROR(__xludf.DUMMYFUNCTION("""COMPUTED_VALUE"""),"Lentes de STOCK")</f>
        <v>Lentes de STOCK</v>
      </c>
      <c r="E361" s="1" t="str">
        <f>IFERROR(__xludf.DUMMYFUNCTION("""COMPUTED_VALUE"""),"RIVADAVIA Daniel CM")</f>
        <v>RIVADAVIA Daniel CM</v>
      </c>
      <c r="F361" s="1" t="str">
        <f t="shared" si="1"/>
        <v>RIVADAVIA </v>
      </c>
      <c r="G361" s="1" t="str">
        <f t="shared" si="2"/>
        <v>Daniel CM</v>
      </c>
      <c r="H361" s="1" t="str">
        <f>IFERROR(__xludf.DUMMYFUNCTION("""COMPUTED_VALUE"""),"20/1/2023, 17:00:00")</f>
        <v>20/1/2023, 17:00:00</v>
      </c>
      <c r="I361" s="1" t="str">
        <f>IFERROR(__xludf.DUMMYFUNCTION("""COMPUTED_VALUE"""),"Completado en SUCURSAL")</f>
        <v>Completado en SUCURSAL</v>
      </c>
      <c r="J361" s="1">
        <f t="shared" si="3"/>
        <v>5</v>
      </c>
      <c r="K361" s="1" t="str">
        <f t="shared" si="4"/>
        <v>Tus Lentes estan LISTAS PARA ENTREGAR, te esperamos.</v>
      </c>
    </row>
    <row r="362">
      <c r="A362" s="1">
        <f>IFERROR(__xludf.DUMMYFUNCTION("""COMPUTED_VALUE"""),84912.0)</f>
        <v>84912</v>
      </c>
      <c r="B362" s="5">
        <f>IFERROR(__xludf.DUMMYFUNCTION("""COMPUTED_VALUE"""),44937.506408726855)</f>
        <v>44937.50641</v>
      </c>
      <c r="C362" s="1" t="str">
        <f>IFERROR(__xludf.DUMMYFUNCTION("""COMPUTED_VALUE"""),"GONZALEZ CECUNDINA")</f>
        <v>GONZALEZ CECUNDINA</v>
      </c>
      <c r="D362" s="1" t="str">
        <f>IFERROR(__xludf.DUMMYFUNCTION("""COMPUTED_VALUE"""),"Lentes de STOCK")</f>
        <v>Lentes de STOCK</v>
      </c>
      <c r="E362" s="1" t="str">
        <f>IFERROR(__xludf.DUMMYFUNCTION("""COMPUTED_VALUE"""),"ARTIGAS Ivana P.")</f>
        <v>ARTIGAS Ivana P.</v>
      </c>
      <c r="F362" s="1" t="str">
        <f t="shared" si="1"/>
        <v>ARTIGAS </v>
      </c>
      <c r="G362" s="1" t="str">
        <f t="shared" si="2"/>
        <v>Ivana P.</v>
      </c>
      <c r="H362" s="1" t="str">
        <f>IFERROR(__xludf.DUMMYFUNCTION("""COMPUTED_VALUE"""),"14/1/2023, 17:00:00")</f>
        <v>14/1/2023, 17:00:00</v>
      </c>
      <c r="I362" s="1" t="str">
        <f>IFERROR(__xludf.DUMMYFUNCTION("""COMPUTED_VALUE"""),"Completado en SUCURSAL")</f>
        <v>Completado en SUCURSAL</v>
      </c>
      <c r="J362" s="1">
        <f t="shared" si="3"/>
        <v>5</v>
      </c>
      <c r="K362" s="1" t="str">
        <f t="shared" si="4"/>
        <v>Tus Lentes estan LISTAS PARA ENTREGAR, te esperamos.</v>
      </c>
    </row>
    <row r="363">
      <c r="A363" s="1">
        <f>IFERROR(__xludf.DUMMYFUNCTION("""COMPUTED_VALUE"""),84913.0)</f>
        <v>84913</v>
      </c>
      <c r="B363" s="5">
        <f>IFERROR(__xludf.DUMMYFUNCTION("""COMPUTED_VALUE"""),44937.50879474537)</f>
        <v>44937.50879</v>
      </c>
      <c r="C363" s="1" t="str">
        <f>IFERROR(__xludf.DUMMYFUNCTION("""COMPUTED_VALUE"""),"FAVIER GRACIELA")</f>
        <v>FAVIER GRACIELA</v>
      </c>
      <c r="D363" s="1" t="str">
        <f>IFERROR(__xludf.DUMMYFUNCTION("""COMPUTED_VALUE"""),"Reparaciones/Otros")</f>
        <v>Reparaciones/Otros</v>
      </c>
      <c r="E363" s="1" t="str">
        <f>IFERROR(__xludf.DUMMYFUNCTION("""COMPUTED_VALUE"""),"RIVADAVIA Marcela L")</f>
        <v>RIVADAVIA Marcela L</v>
      </c>
      <c r="F363" s="1" t="str">
        <f t="shared" si="1"/>
        <v>RIVADAVIA </v>
      </c>
      <c r="G363" s="1" t="str">
        <f t="shared" si="2"/>
        <v>Marcela L</v>
      </c>
      <c r="H363" s="1" t="str">
        <f>IFERROR(__xludf.DUMMYFUNCTION("""COMPUTED_VALUE"""),"12/1/2023, 17:00:00")</f>
        <v>12/1/2023, 17:00:00</v>
      </c>
      <c r="I363" s="1" t="str">
        <f>IFERROR(__xludf.DUMMYFUNCTION("""COMPUTED_VALUE"""),"Completado en SUCURSAL")</f>
        <v>Completado en SUCURSAL</v>
      </c>
      <c r="J363" s="1">
        <f t="shared" si="3"/>
        <v>5</v>
      </c>
      <c r="K363" s="1" t="str">
        <f t="shared" si="4"/>
        <v>Tus Lentes estan LISTAS PARA ENTREGAR, te esperamos.</v>
      </c>
    </row>
    <row r="364">
      <c r="A364" s="1">
        <f>IFERROR(__xludf.DUMMYFUNCTION("""COMPUTED_VALUE"""),84914.0)</f>
        <v>84914</v>
      </c>
      <c r="B364" s="5">
        <f>IFERROR(__xludf.DUMMYFUNCTION("""COMPUTED_VALUE"""),44937.51450521991)</f>
        <v>44937.51451</v>
      </c>
      <c r="C364" s="1" t="str">
        <f>IFERROR(__xludf.DUMMYFUNCTION("""COMPUTED_VALUE"""),"VAZQUEZ CARLOS / KC ")</f>
        <v>VAZQUEZ CARLOS / KC </v>
      </c>
      <c r="D364" s="1" t="str">
        <f>IFERROR(__xludf.DUMMYFUNCTION("""COMPUTED_VALUE"""),"Lentes MULTIFOCALES")</f>
        <v>Lentes MULTIFOCALES</v>
      </c>
      <c r="E364" s="1" t="str">
        <f>IFERROR(__xludf.DUMMYFUNCTION("""COMPUTED_VALUE"""),"ARTIGAS Ivana P.")</f>
        <v>ARTIGAS Ivana P.</v>
      </c>
      <c r="F364" s="1" t="str">
        <f t="shared" si="1"/>
        <v>ARTIGAS </v>
      </c>
      <c r="G364" s="1" t="str">
        <f t="shared" si="2"/>
        <v>Ivana P.</v>
      </c>
      <c r="H364" s="1" t="str">
        <f>IFERROR(__xludf.DUMMYFUNCTION("""COMPUTED_VALUE"""),"24/1/2023, 17:00:00")</f>
        <v>24/1/2023, 17:00:00</v>
      </c>
      <c r="I364" s="1" t="str">
        <f>IFERROR(__xludf.DUMMYFUNCTION("""COMPUTED_VALUE"""),"RETIRADO OK POR CLIENTE")</f>
        <v>RETIRADO OK POR CLIENTE</v>
      </c>
      <c r="J364" s="1">
        <f t="shared" si="3"/>
        <v>6</v>
      </c>
      <c r="K364" s="1" t="str">
        <f t="shared" si="4"/>
        <v>Entregamos tus lentes, que los disfrutes!</v>
      </c>
    </row>
    <row r="365">
      <c r="A365" s="1">
        <f>IFERROR(__xludf.DUMMYFUNCTION("""COMPUTED_VALUE"""),84915.0)</f>
        <v>84915</v>
      </c>
      <c r="B365" s="5">
        <f>IFERROR(__xludf.DUMMYFUNCTION("""COMPUTED_VALUE"""),44937.515896655095)</f>
        <v>44937.5159</v>
      </c>
      <c r="C365" s="1" t="str">
        <f>IFERROR(__xludf.DUMMYFUNCTION("""COMPUTED_VALUE"""),"rojo gabriela")</f>
        <v>rojo gabriela</v>
      </c>
      <c r="D365" s="1" t="str">
        <f>IFERROR(__xludf.DUMMYFUNCTION("""COMPUTED_VALUE"""),"Lentes de STOCK")</f>
        <v>Lentes de STOCK</v>
      </c>
      <c r="E365" s="1" t="str">
        <f>IFERROR(__xludf.DUMMYFUNCTION("""COMPUTED_VALUE"""),"RIVADAVIA Daniel CM")</f>
        <v>RIVADAVIA Daniel CM</v>
      </c>
      <c r="F365" s="1" t="str">
        <f t="shared" si="1"/>
        <v>RIVADAVIA </v>
      </c>
      <c r="G365" s="1" t="str">
        <f t="shared" si="2"/>
        <v>Daniel CM</v>
      </c>
      <c r="H365" s="1" t="str">
        <f>IFERROR(__xludf.DUMMYFUNCTION("""COMPUTED_VALUE"""),"13/1/2023, 17:00:00")</f>
        <v>13/1/2023, 17:00:00</v>
      </c>
      <c r="I365" s="1" t="str">
        <f>IFERROR(__xludf.DUMMYFUNCTION("""COMPUTED_VALUE"""),"RETIRADO OK POR CLIENTE")</f>
        <v>RETIRADO OK POR CLIENTE</v>
      </c>
      <c r="J365" s="1">
        <f t="shared" si="3"/>
        <v>6</v>
      </c>
      <c r="K365" s="1" t="str">
        <f t="shared" si="4"/>
        <v>Entregamos tus lentes, que los disfrutes!</v>
      </c>
    </row>
    <row r="366">
      <c r="A366" s="1">
        <f>IFERROR(__xludf.DUMMYFUNCTION("""COMPUTED_VALUE"""),84916.0)</f>
        <v>84916</v>
      </c>
      <c r="B366" s="5">
        <f>IFERROR(__xludf.DUMMYFUNCTION("""COMPUTED_VALUE"""),44937.518623125)</f>
        <v>44937.51862</v>
      </c>
      <c r="C366" s="1" t="str">
        <f>IFERROR(__xludf.DUMMYFUNCTION("""COMPUTED_VALUE"""),"FAVIER GRACIELA")</f>
        <v>FAVIER GRACIELA</v>
      </c>
      <c r="D366" s="1" t="str">
        <f>IFERROR(__xludf.DUMMYFUNCTION("""COMPUTED_VALUE"""),"Lentes MULTIFOCALES")</f>
        <v>Lentes MULTIFOCALES</v>
      </c>
      <c r="E366" s="1" t="str">
        <f>IFERROR(__xludf.DUMMYFUNCTION("""COMPUTED_VALUE"""),"RIVADAVIA Marcela L")</f>
        <v>RIVADAVIA Marcela L</v>
      </c>
      <c r="F366" s="1" t="str">
        <f t="shared" si="1"/>
        <v>RIVADAVIA </v>
      </c>
      <c r="G366" s="1" t="str">
        <f t="shared" si="2"/>
        <v>Marcela L</v>
      </c>
      <c r="H366" s="1" t="str">
        <f>IFERROR(__xludf.DUMMYFUNCTION("""COMPUTED_VALUE"""),"25/1/2023, 17:00:00")</f>
        <v>25/1/2023, 17:00:00</v>
      </c>
      <c r="I366" s="1" t="str">
        <f>IFERROR(__xludf.DUMMYFUNCTION("""COMPUTED_VALUE"""),"RETIRADO OK POR CLIENTE")</f>
        <v>RETIRADO OK POR CLIENTE</v>
      </c>
      <c r="J366" s="1">
        <f t="shared" si="3"/>
        <v>6</v>
      </c>
      <c r="K366" s="1" t="str">
        <f t="shared" si="4"/>
        <v>Entregamos tus lentes, que los disfrutes!</v>
      </c>
    </row>
    <row r="367">
      <c r="A367" s="1">
        <f>IFERROR(__xludf.DUMMYFUNCTION("""COMPUTED_VALUE"""),84917.0)</f>
        <v>84917</v>
      </c>
      <c r="B367" s="5">
        <f>IFERROR(__xludf.DUMMYFUNCTION("""COMPUTED_VALUE"""),44937.52044291666)</f>
        <v>44937.52044</v>
      </c>
      <c r="C367" s="1" t="str">
        <f>IFERROR(__xludf.DUMMYFUNCTION("""COMPUTED_VALUE"""),"FAVIER GRACIELA")</f>
        <v>FAVIER GRACIELA</v>
      </c>
      <c r="D367" s="1" t="str">
        <f>IFERROR(__xludf.DUMMYFUNCTION("""COMPUTED_VALUE"""),"Lentes de STOCK")</f>
        <v>Lentes de STOCK</v>
      </c>
      <c r="E367" s="1" t="str">
        <f>IFERROR(__xludf.DUMMYFUNCTION("""COMPUTED_VALUE"""),"RIVADAVIA Marcela L")</f>
        <v>RIVADAVIA Marcela L</v>
      </c>
      <c r="F367" s="1" t="str">
        <f t="shared" si="1"/>
        <v>RIVADAVIA </v>
      </c>
      <c r="G367" s="1" t="str">
        <f t="shared" si="2"/>
        <v>Marcela L</v>
      </c>
      <c r="H367" s="1" t="str">
        <f>IFERROR(__xludf.DUMMYFUNCTION("""COMPUTED_VALUE"""),"13/1/2023, 17:00:00")</f>
        <v>13/1/2023, 17:00:00</v>
      </c>
      <c r="I367" s="1" t="str">
        <f>IFERROR(__xludf.DUMMYFUNCTION("""COMPUTED_VALUE"""),"RETIRADO OK POR CLIENTE")</f>
        <v>RETIRADO OK POR CLIENTE</v>
      </c>
      <c r="J367" s="1">
        <f t="shared" si="3"/>
        <v>6</v>
      </c>
      <c r="K367" s="1" t="str">
        <f t="shared" si="4"/>
        <v>Entregamos tus lentes, que los disfrutes!</v>
      </c>
    </row>
    <row r="368">
      <c r="A368" s="1">
        <f>IFERROR(__xludf.DUMMYFUNCTION("""COMPUTED_VALUE"""),84918.0)</f>
        <v>84918</v>
      </c>
      <c r="B368" s="5">
        <f>IFERROR(__xludf.DUMMYFUNCTION("""COMPUTED_VALUE"""),44937.527705659726)</f>
        <v>44937.52771</v>
      </c>
      <c r="C368" s="1" t="str">
        <f>IFERROR(__xludf.DUMMYFUNCTION("""COMPUTED_VALUE"""),"test")</f>
        <v>test</v>
      </c>
      <c r="D368" s="1" t="str">
        <f>IFERROR(__xludf.DUMMYFUNCTION("""COMPUTED_VALUE"""),"Reparaciones/Otros")</f>
        <v>Reparaciones/Otros</v>
      </c>
      <c r="E368" s="1" t="str">
        <f>IFERROR(__xludf.DUMMYFUNCTION("""COMPUTED_VALUE"""),"ARTIGAS Ivana P.")</f>
        <v>ARTIGAS Ivana P.</v>
      </c>
      <c r="F368" s="1" t="str">
        <f t="shared" si="1"/>
        <v>ARTIGAS </v>
      </c>
      <c r="G368" s="1" t="str">
        <f t="shared" si="2"/>
        <v>Ivana P.</v>
      </c>
      <c r="H368" s="1" t="str">
        <f>IFERROR(__xludf.DUMMYFUNCTION("""COMPUTED_VALUE"""),"12/1/2023, 17:00:00")</f>
        <v>12/1/2023, 17:00:00</v>
      </c>
      <c r="I368" s="1"/>
      <c r="J368" s="1">
        <f t="shared" si="3"/>
        <v>0</v>
      </c>
      <c r="K368" s="1" t="str">
        <f t="shared" si="4"/>
        <v/>
      </c>
    </row>
    <row r="369">
      <c r="A369" s="1">
        <f>IFERROR(__xludf.DUMMYFUNCTION("""COMPUTED_VALUE"""),84919.0)</f>
        <v>84919</v>
      </c>
      <c r="B369" s="5">
        <f>IFERROR(__xludf.DUMMYFUNCTION("""COMPUTED_VALUE"""),44937.541397974535)</f>
        <v>44937.5414</v>
      </c>
      <c r="C369" s="1" t="str">
        <f>IFERROR(__xludf.DUMMYFUNCTION("""COMPUTED_VALUE"""),"AGUNDEZ SALOMON SILVIA ")</f>
        <v>AGUNDEZ SALOMON SILVIA </v>
      </c>
      <c r="D369" s="1" t="str">
        <f>IFERROR(__xludf.DUMMYFUNCTION("""COMPUTED_VALUE"""),"Lentes de STOCK")</f>
        <v>Lentes de STOCK</v>
      </c>
      <c r="E369" s="1" t="str">
        <f>IFERROR(__xludf.DUMMYFUNCTION("""COMPUTED_VALUE"""),"RIVADAVIA Santiago LOPEZ")</f>
        <v>RIVADAVIA Santiago LOPEZ</v>
      </c>
      <c r="F369" s="1" t="str">
        <f t="shared" si="1"/>
        <v>RIVADAVIA </v>
      </c>
      <c r="G369" s="1" t="str">
        <f t="shared" si="2"/>
        <v>Santiago LOPEZ</v>
      </c>
      <c r="H369" s="1" t="str">
        <f>IFERROR(__xludf.DUMMYFUNCTION("""COMPUTED_VALUE"""),"14/1/2023, 17:00:00")</f>
        <v>14/1/2023, 17:00:00</v>
      </c>
      <c r="I369" s="1" t="str">
        <f>IFERROR(__xludf.DUMMYFUNCTION("""COMPUTED_VALUE"""),"RETIRADO OK POR CLIENTE")</f>
        <v>RETIRADO OK POR CLIENTE</v>
      </c>
      <c r="J369" s="1">
        <f t="shared" si="3"/>
        <v>6</v>
      </c>
      <c r="K369" s="1" t="str">
        <f t="shared" si="4"/>
        <v>Entregamos tus lentes, que los disfrutes!</v>
      </c>
    </row>
    <row r="370">
      <c r="A370" s="1">
        <f>IFERROR(__xludf.DUMMYFUNCTION("""COMPUTED_VALUE"""),84920.0)</f>
        <v>84920</v>
      </c>
      <c r="B370" s="5">
        <f>IFERROR(__xludf.DUMMYFUNCTION("""COMPUTED_VALUE"""),44937.546582662035)</f>
        <v>44937.54658</v>
      </c>
      <c r="C370" s="1" t="str">
        <f>IFERROR(__xludf.DUMMYFUNCTION("""COMPUTED_VALUE"""),"LUCERO MIRTA NOEMI")</f>
        <v>LUCERO MIRTA NOEMI</v>
      </c>
      <c r="D370" s="1" t="str">
        <f>IFERROR(__xludf.DUMMYFUNCTION("""COMPUTED_VALUE"""),"Lentes MULTIFOCALES")</f>
        <v>Lentes MULTIFOCALES</v>
      </c>
      <c r="E370" s="1" t="str">
        <f>IFERROR(__xludf.DUMMYFUNCTION("""COMPUTED_VALUE"""),"ARTIGAS Cristian C.")</f>
        <v>ARTIGAS Cristian C.</v>
      </c>
      <c r="F370" s="1" t="str">
        <f t="shared" si="1"/>
        <v>ARTIGAS </v>
      </c>
      <c r="G370" s="1" t="str">
        <f t="shared" si="2"/>
        <v>Cristian C.</v>
      </c>
      <c r="H370" s="1" t="str">
        <f>IFERROR(__xludf.DUMMYFUNCTION("""COMPUTED_VALUE"""),"19/1/2023, 17:00:00")</f>
        <v>19/1/2023, 17:00:00</v>
      </c>
      <c r="I370" s="1" t="str">
        <f>IFERROR(__xludf.DUMMYFUNCTION("""COMPUTED_VALUE"""),"Completado en SUCURSAL")</f>
        <v>Completado en SUCURSAL</v>
      </c>
      <c r="J370" s="1">
        <f t="shared" si="3"/>
        <v>5</v>
      </c>
      <c r="K370" s="1" t="str">
        <f t="shared" si="4"/>
        <v>Tus Lentes estan LISTAS PARA ENTREGAR, te esperamos.</v>
      </c>
    </row>
    <row r="371">
      <c r="A371" s="1">
        <f>IFERROR(__xludf.DUMMYFUNCTION("""COMPUTED_VALUE"""),84921.0)</f>
        <v>84921</v>
      </c>
      <c r="B371" s="5">
        <f>IFERROR(__xludf.DUMMYFUNCTION("""COMPUTED_VALUE"""),44937.54686084491)</f>
        <v>44937.54686</v>
      </c>
      <c r="C371" s="1" t="str">
        <f>IFERROR(__xludf.DUMMYFUNCTION("""COMPUTED_VALUE"""),"puertas kiara")</f>
        <v>puertas kiara</v>
      </c>
      <c r="D371" s="1" t="str">
        <f>IFERROR(__xludf.DUMMYFUNCTION("""COMPUTED_VALUE"""),"Lentes de STOCK")</f>
        <v>Lentes de STOCK</v>
      </c>
      <c r="E371" s="1" t="str">
        <f>IFERROR(__xludf.DUMMYFUNCTION("""COMPUTED_VALUE"""),"RIVADAVIA Santiago LOPEZ")</f>
        <v>RIVADAVIA Santiago LOPEZ</v>
      </c>
      <c r="F371" s="1" t="str">
        <f t="shared" si="1"/>
        <v>RIVADAVIA </v>
      </c>
      <c r="G371" s="1" t="str">
        <f t="shared" si="2"/>
        <v>Santiago LOPEZ</v>
      </c>
      <c r="H371" s="1" t="str">
        <f>IFERROR(__xludf.DUMMYFUNCTION("""COMPUTED_VALUE"""),"13/1/2023, 17:00:00")</f>
        <v>13/1/2023, 17:00:00</v>
      </c>
      <c r="I371" s="1" t="str">
        <f>IFERROR(__xludf.DUMMYFUNCTION("""COMPUTED_VALUE"""),"Completado en SUCURSAL")</f>
        <v>Completado en SUCURSAL</v>
      </c>
      <c r="J371" s="1">
        <f t="shared" si="3"/>
        <v>5</v>
      </c>
      <c r="K371" s="1" t="str">
        <f t="shared" si="4"/>
        <v>Tus Lentes estan LISTAS PARA ENTREGAR, te esperamos.</v>
      </c>
    </row>
    <row r="372">
      <c r="A372" s="1">
        <f>IFERROR(__xludf.DUMMYFUNCTION("""COMPUTED_VALUE"""),84922.0)</f>
        <v>84922</v>
      </c>
      <c r="B372" s="5">
        <f>IFERROR(__xludf.DUMMYFUNCTION("""COMPUTED_VALUE"""),44937.575621979166)</f>
        <v>44937.57562</v>
      </c>
      <c r="C372" s="1" t="str">
        <f>IFERROR(__xludf.DUMMYFUNCTION("""COMPUTED_VALUE"""),"CAMARGO ELDA")</f>
        <v>CAMARGO ELDA</v>
      </c>
      <c r="D372" s="1" t="str">
        <f>IFERROR(__xludf.DUMMYFUNCTION("""COMPUTED_VALUE"""),"Lentes MULTIFOCALES")</f>
        <v>Lentes MULTIFOCALES</v>
      </c>
      <c r="E372" s="1" t="str">
        <f>IFERROR(__xludf.DUMMYFUNCTION("""COMPUTED_VALUE"""),"RIVADAVIA Luciana")</f>
        <v>RIVADAVIA Luciana</v>
      </c>
      <c r="F372" s="1" t="str">
        <f t="shared" si="1"/>
        <v>RIVADAVIA </v>
      </c>
      <c r="G372" s="1" t="str">
        <f t="shared" si="2"/>
        <v>Luciana</v>
      </c>
      <c r="H372" s="1" t="str">
        <f>IFERROR(__xludf.DUMMYFUNCTION("""COMPUTED_VALUE"""),"27/1/2023, 17:00:00")</f>
        <v>27/1/2023, 17:00:00</v>
      </c>
      <c r="I372" s="1" t="str">
        <f>IFERROR(__xludf.DUMMYFUNCTION("""COMPUTED_VALUE"""),"Recibido en Laboratorio")</f>
        <v>Recibido en Laboratorio</v>
      </c>
      <c r="J372" s="1">
        <f t="shared" si="3"/>
        <v>2</v>
      </c>
      <c r="K372" s="1" t="str">
        <f t="shared" si="4"/>
        <v>Nuestro Laboratorio esta trabajando en tus lentes, los entregaremos en la fecha acordada.</v>
      </c>
    </row>
    <row r="373">
      <c r="A373" s="1">
        <f>IFERROR(__xludf.DUMMYFUNCTION("""COMPUTED_VALUE"""),84923.0)</f>
        <v>84923</v>
      </c>
      <c r="B373" s="5">
        <f>IFERROR(__xludf.DUMMYFUNCTION("""COMPUTED_VALUE"""),44937.72019190972)</f>
        <v>44937.72019</v>
      </c>
      <c r="C373" s="1" t="str">
        <f>IFERROR(__xludf.DUMMYFUNCTION("""COMPUTED_VALUE"""),"BUSTO CARLA AGUSTINA")</f>
        <v>BUSTO CARLA AGUSTINA</v>
      </c>
      <c r="D373" s="1" t="str">
        <f>IFERROR(__xludf.DUMMYFUNCTION("""COMPUTED_VALUE"""),"Reparaciones/Otros")</f>
        <v>Reparaciones/Otros</v>
      </c>
      <c r="E373" s="1" t="str">
        <f>IFERROR(__xludf.DUMMYFUNCTION("""COMPUTED_VALUE"""),"RIVADAVIA Javier")</f>
        <v>RIVADAVIA Javier</v>
      </c>
      <c r="F373" s="1" t="str">
        <f t="shared" si="1"/>
        <v>RIVADAVIA </v>
      </c>
      <c r="G373" s="1" t="str">
        <f t="shared" si="2"/>
        <v>Javier</v>
      </c>
      <c r="H373" s="1" t="str">
        <f>IFERROR(__xludf.DUMMYFUNCTION("""COMPUTED_VALUE"""),"12/1/2023, 17:00:00")</f>
        <v>12/1/2023, 17:00:00</v>
      </c>
      <c r="I373" s="1" t="str">
        <f>IFERROR(__xludf.DUMMYFUNCTION("""COMPUTED_VALUE"""),"Completado en SUCURSAL")</f>
        <v>Completado en SUCURSAL</v>
      </c>
      <c r="J373" s="1">
        <f t="shared" si="3"/>
        <v>5</v>
      </c>
      <c r="K373" s="1" t="str">
        <f t="shared" si="4"/>
        <v>Tus Lentes estan LISTAS PARA ENTREGAR, te esperamos.</v>
      </c>
    </row>
    <row r="374">
      <c r="A374" s="1">
        <f>IFERROR(__xludf.DUMMYFUNCTION("""COMPUTED_VALUE"""),84924.0)</f>
        <v>84924</v>
      </c>
      <c r="B374" s="5">
        <f>IFERROR(__xludf.DUMMYFUNCTION("""COMPUTED_VALUE"""),44937.73225690972)</f>
        <v>44937.73226</v>
      </c>
      <c r="C374" s="1" t="str">
        <f>IFERROR(__xludf.DUMMYFUNCTION("""COMPUTED_VALUE"""),"ROMANO EUGENIO")</f>
        <v>ROMANO EUGENIO</v>
      </c>
      <c r="D374" s="1" t="str">
        <f>IFERROR(__xludf.DUMMYFUNCTION("""COMPUTED_VALUE"""),"Lentes de STOCK")</f>
        <v>Lentes de STOCK</v>
      </c>
      <c r="E374" s="1" t="str">
        <f>IFERROR(__xludf.DUMMYFUNCTION("""COMPUTED_VALUE"""),"ARTIGAS Ivana P.")</f>
        <v>ARTIGAS Ivana P.</v>
      </c>
      <c r="F374" s="1" t="str">
        <f t="shared" si="1"/>
        <v>ARTIGAS </v>
      </c>
      <c r="G374" s="1" t="str">
        <f t="shared" si="2"/>
        <v>Ivana P.</v>
      </c>
      <c r="H374" s="1" t="str">
        <f>IFERROR(__xludf.DUMMYFUNCTION("""COMPUTED_VALUE"""),"16/1/2023, 17:00:00")</f>
        <v>16/1/2023, 17:00:00</v>
      </c>
      <c r="I374" s="1" t="str">
        <f>IFERROR(__xludf.DUMMYFUNCTION("""COMPUTED_VALUE"""),"Completado en SUCURSAL")</f>
        <v>Completado en SUCURSAL</v>
      </c>
      <c r="J374" s="1">
        <f t="shared" si="3"/>
        <v>5</v>
      </c>
      <c r="K374" s="1" t="str">
        <f t="shared" si="4"/>
        <v>Tus Lentes estan LISTAS PARA ENTREGAR, te esperamos.</v>
      </c>
    </row>
    <row r="375">
      <c r="A375" s="1">
        <f>IFERROR(__xludf.DUMMYFUNCTION("""COMPUTED_VALUE"""),84925.0)</f>
        <v>84925</v>
      </c>
      <c r="B375" s="5">
        <f>IFERROR(__xludf.DUMMYFUNCTION("""COMPUTED_VALUE"""),44937.73722087963)</f>
        <v>44937.73722</v>
      </c>
      <c r="C375" s="1" t="str">
        <f>IFERROR(__xludf.DUMMYFUNCTION("""COMPUTED_VALUE"""),"CORIA STEVEN ")</f>
        <v>CORIA STEVEN </v>
      </c>
      <c r="D375" s="1" t="str">
        <f>IFERROR(__xludf.DUMMYFUNCTION("""COMPUTED_VALUE"""),"Lentes de STOCK")</f>
        <v>Lentes de STOCK</v>
      </c>
      <c r="E375" s="1" t="str">
        <f>IFERROR(__xludf.DUMMYFUNCTION("""COMPUTED_VALUE"""),"ARTIGAS Cristian C.")</f>
        <v>ARTIGAS Cristian C.</v>
      </c>
      <c r="F375" s="1" t="str">
        <f t="shared" si="1"/>
        <v>ARTIGAS </v>
      </c>
      <c r="G375" s="1" t="str">
        <f t="shared" si="2"/>
        <v>Cristian C.</v>
      </c>
      <c r="H375" s="1" t="str">
        <f>IFERROR(__xludf.DUMMYFUNCTION("""COMPUTED_VALUE"""),"16/1/2023, 17:00:00")</f>
        <v>16/1/2023, 17:00:00</v>
      </c>
      <c r="I375" s="1" t="str">
        <f>IFERROR(__xludf.DUMMYFUNCTION("""COMPUTED_VALUE"""),"RETIRADO OK POR CLIENTE")</f>
        <v>RETIRADO OK POR CLIENTE</v>
      </c>
      <c r="J375" s="1">
        <f t="shared" si="3"/>
        <v>6</v>
      </c>
      <c r="K375" s="1" t="str">
        <f t="shared" si="4"/>
        <v>Entregamos tus lentes, que los disfrutes!</v>
      </c>
    </row>
    <row r="376">
      <c r="A376" s="1">
        <f>IFERROR(__xludf.DUMMYFUNCTION("""COMPUTED_VALUE"""),84926.0)</f>
        <v>84926</v>
      </c>
      <c r="B376" s="5">
        <f>IFERROR(__xludf.DUMMYFUNCTION("""COMPUTED_VALUE"""),44937.74662619213)</f>
        <v>44937.74663</v>
      </c>
      <c r="C376" s="1" t="str">
        <f>IFERROR(__xludf.DUMMYFUNCTION("""COMPUTED_VALUE"""),"CUELLO GUADALUPE")</f>
        <v>CUELLO GUADALUPE</v>
      </c>
      <c r="D376" s="1" t="str">
        <f>IFERROR(__xludf.DUMMYFUNCTION("""COMPUTED_VALUE"""),"Lentes de STOCK")</f>
        <v>Lentes de STOCK</v>
      </c>
      <c r="E376" s="1" t="str">
        <f>IFERROR(__xludf.DUMMYFUNCTION("""COMPUTED_VALUE"""),"ARTIGAS Cristian C.")</f>
        <v>ARTIGAS Cristian C.</v>
      </c>
      <c r="F376" s="1" t="str">
        <f t="shared" si="1"/>
        <v>ARTIGAS </v>
      </c>
      <c r="G376" s="1" t="str">
        <f t="shared" si="2"/>
        <v>Cristian C.</v>
      </c>
      <c r="H376" s="1" t="str">
        <f>IFERROR(__xludf.DUMMYFUNCTION("""COMPUTED_VALUE"""),"2/2/2023, 17:00:00")</f>
        <v>2/2/2023, 17:00:00</v>
      </c>
      <c r="I376" s="1" t="str">
        <f>IFERROR(__xludf.DUMMYFUNCTION("""COMPUTED_VALUE"""),"Completado en SUCURSAL")</f>
        <v>Completado en SUCURSAL</v>
      </c>
      <c r="J376" s="1">
        <f t="shared" si="3"/>
        <v>5</v>
      </c>
      <c r="K376" s="1" t="str">
        <f t="shared" si="4"/>
        <v>Tus Lentes estan LISTAS PARA ENTREGAR, te esperamos.</v>
      </c>
    </row>
    <row r="377">
      <c r="A377" s="1">
        <f>IFERROR(__xludf.DUMMYFUNCTION("""COMPUTED_VALUE"""),84927.0)</f>
        <v>84927</v>
      </c>
      <c r="B377" s="5">
        <f>IFERROR(__xludf.DUMMYFUNCTION("""COMPUTED_VALUE"""),44937.74959709491)</f>
        <v>44937.7496</v>
      </c>
      <c r="C377" s="1" t="str">
        <f>IFERROR(__xludf.DUMMYFUNCTION("""COMPUTED_VALUE"""),"Torino Juan Alberto")</f>
        <v>Torino Juan Alberto</v>
      </c>
      <c r="D377" s="1" t="str">
        <f>IFERROR(__xludf.DUMMYFUNCTION("""COMPUTED_VALUE"""),"Reparaciones/Otros")</f>
        <v>Reparaciones/Otros</v>
      </c>
      <c r="E377" s="1" t="str">
        <f>IFERROR(__xludf.DUMMYFUNCTION("""COMPUTED_VALUE"""),"RIVADAVIA Rocio B")</f>
        <v>RIVADAVIA Rocio B</v>
      </c>
      <c r="F377" s="1" t="str">
        <f t="shared" si="1"/>
        <v>RIVADAVIA </v>
      </c>
      <c r="G377" s="1" t="str">
        <f t="shared" si="2"/>
        <v>Rocio B</v>
      </c>
      <c r="H377" s="1" t="str">
        <f>IFERROR(__xludf.DUMMYFUNCTION("""COMPUTED_VALUE"""),"12/1/2023, 17:00:00")</f>
        <v>12/1/2023, 17:00:00</v>
      </c>
      <c r="I377" s="1" t="str">
        <f>IFERROR(__xludf.DUMMYFUNCTION("""COMPUTED_VALUE"""),"Completado en SUCURSAL")</f>
        <v>Completado en SUCURSAL</v>
      </c>
      <c r="J377" s="1">
        <f t="shared" si="3"/>
        <v>5</v>
      </c>
      <c r="K377" s="1" t="str">
        <f t="shared" si="4"/>
        <v>Tus Lentes estan LISTAS PARA ENTREGAR, te esperamos.</v>
      </c>
    </row>
    <row r="378">
      <c r="A378" s="1">
        <f>IFERROR(__xludf.DUMMYFUNCTION("""COMPUTED_VALUE"""),84928.0)</f>
        <v>84928</v>
      </c>
      <c r="B378" s="5">
        <f>IFERROR(__xludf.DUMMYFUNCTION("""COMPUTED_VALUE"""),44937.75324888889)</f>
        <v>44937.75325</v>
      </c>
      <c r="C378" s="1" t="str">
        <f>IFERROR(__xludf.DUMMYFUNCTION("""COMPUTED_VALUE"""),"LUCIANA AGUILAR")</f>
        <v>LUCIANA AGUILAR</v>
      </c>
      <c r="D378" s="1" t="str">
        <f>IFERROR(__xludf.DUMMYFUNCTION("""COMPUTED_VALUE"""),"Reparaciones/Otros")</f>
        <v>Reparaciones/Otros</v>
      </c>
      <c r="E378" s="1" t="str">
        <f>IFERROR(__xludf.DUMMYFUNCTION("""COMPUTED_VALUE"""),"ARTIGAS Celina")</f>
        <v>ARTIGAS Celina</v>
      </c>
      <c r="F378" s="1" t="str">
        <f t="shared" si="1"/>
        <v>ARTIGAS </v>
      </c>
      <c r="G378" s="1" t="str">
        <f t="shared" si="2"/>
        <v>Celina</v>
      </c>
      <c r="H378" s="1" t="str">
        <f>IFERROR(__xludf.DUMMYFUNCTION("""COMPUTED_VALUE"""),"12/1/2023, 17:00:00")</f>
        <v>12/1/2023, 17:00:00</v>
      </c>
      <c r="I378" s="1" t="str">
        <f>IFERROR(__xludf.DUMMYFUNCTION("""COMPUTED_VALUE"""),"Completado en SUCURSAL")</f>
        <v>Completado en SUCURSAL</v>
      </c>
      <c r="J378" s="1">
        <f t="shared" si="3"/>
        <v>5</v>
      </c>
      <c r="K378" s="1" t="str">
        <f t="shared" si="4"/>
        <v>Tus Lentes estan LISTAS PARA ENTREGAR, te esperamos.</v>
      </c>
    </row>
    <row r="379">
      <c r="A379" s="1">
        <f>IFERROR(__xludf.DUMMYFUNCTION("""COMPUTED_VALUE"""),84929.0)</f>
        <v>84929</v>
      </c>
      <c r="B379" s="5">
        <f>IFERROR(__xludf.DUMMYFUNCTION("""COMPUTED_VALUE"""),44937.76248993055)</f>
        <v>44937.76249</v>
      </c>
      <c r="C379" s="1" t="str">
        <f>IFERROR(__xludf.DUMMYFUNCTION("""COMPUTED_VALUE"""),"JIMENEZ ENRIQUE")</f>
        <v>JIMENEZ ENRIQUE</v>
      </c>
      <c r="D379" s="1" t="str">
        <f>IFERROR(__xludf.DUMMYFUNCTION("""COMPUTED_VALUE"""),"Lentes de LABORATORIO")</f>
        <v>Lentes de LABORATORIO</v>
      </c>
      <c r="E379" s="1" t="str">
        <f>IFERROR(__xludf.DUMMYFUNCTION("""COMPUTED_VALUE"""),"RIVADAVIA Santiago LOPEZ")</f>
        <v>RIVADAVIA Santiago LOPEZ</v>
      </c>
      <c r="F379" s="1" t="str">
        <f t="shared" si="1"/>
        <v>RIVADAVIA </v>
      </c>
      <c r="G379" s="1" t="str">
        <f t="shared" si="2"/>
        <v>Santiago LOPEZ</v>
      </c>
      <c r="H379" s="1" t="str">
        <f>IFERROR(__xludf.DUMMYFUNCTION("""COMPUTED_VALUE"""),"26/1/2023, 17:00:00")</f>
        <v>26/1/2023, 17:00:00</v>
      </c>
      <c r="I379" s="1" t="str">
        <f>IFERROR(__xludf.DUMMYFUNCTION("""COMPUTED_VALUE"""),"RETIRADO OK POR CLIENTE")</f>
        <v>RETIRADO OK POR CLIENTE</v>
      </c>
      <c r="J379" s="1">
        <f t="shared" si="3"/>
        <v>6</v>
      </c>
      <c r="K379" s="1" t="str">
        <f t="shared" si="4"/>
        <v>Entregamos tus lentes, que los disfrutes!</v>
      </c>
    </row>
    <row r="380">
      <c r="A380" s="1">
        <f>IFERROR(__xludf.DUMMYFUNCTION("""COMPUTED_VALUE"""),84930.0)</f>
        <v>84930</v>
      </c>
      <c r="B380" s="5">
        <f>IFERROR(__xludf.DUMMYFUNCTION("""COMPUTED_VALUE"""),44937.76781075231)</f>
        <v>44937.76781</v>
      </c>
      <c r="C380" s="1" t="str">
        <f>IFERROR(__xludf.DUMMYFUNCTION("""COMPUTED_VALUE"""),"MALDONADO EMILCE ")</f>
        <v>MALDONADO EMILCE </v>
      </c>
      <c r="D380" s="1" t="str">
        <f>IFERROR(__xludf.DUMMYFUNCTION("""COMPUTED_VALUE"""),"Lentes de STOCK")</f>
        <v>Lentes de STOCK</v>
      </c>
      <c r="E380" s="1" t="str">
        <f>IFERROR(__xludf.DUMMYFUNCTION("""COMPUTED_VALUE"""),"ARTIGAS Cristian C.")</f>
        <v>ARTIGAS Cristian C.</v>
      </c>
      <c r="F380" s="1" t="str">
        <f t="shared" si="1"/>
        <v>ARTIGAS </v>
      </c>
      <c r="G380" s="1" t="str">
        <f t="shared" si="2"/>
        <v>Cristian C.</v>
      </c>
      <c r="H380" s="1" t="str">
        <f>IFERROR(__xludf.DUMMYFUNCTION("""COMPUTED_VALUE"""),"16/1/2023, 17:00:00")</f>
        <v>16/1/2023, 17:00:00</v>
      </c>
      <c r="I380" s="1" t="str">
        <f>IFERROR(__xludf.DUMMYFUNCTION("""COMPUTED_VALUE"""),"RETIRADO OK POR CLIENTE")</f>
        <v>RETIRADO OK POR CLIENTE</v>
      </c>
      <c r="J380" s="1">
        <f t="shared" si="3"/>
        <v>6</v>
      </c>
      <c r="K380" s="1" t="str">
        <f t="shared" si="4"/>
        <v>Entregamos tus lentes, que los disfrutes!</v>
      </c>
    </row>
    <row r="381">
      <c r="A381" s="1">
        <f>IFERROR(__xludf.DUMMYFUNCTION("""COMPUTED_VALUE"""),84931.0)</f>
        <v>84931</v>
      </c>
      <c r="B381" s="5">
        <f>IFERROR(__xludf.DUMMYFUNCTION("""COMPUTED_VALUE"""),44937.7709458912)</f>
        <v>44937.77095</v>
      </c>
      <c r="C381" s="1" t="str">
        <f>IFERROR(__xludf.DUMMYFUNCTION("""COMPUTED_VALUE"""),"MARIA VIRGINIA RONCHI")</f>
        <v>MARIA VIRGINIA RONCHI</v>
      </c>
      <c r="D381" s="1" t="str">
        <f>IFERROR(__xludf.DUMMYFUNCTION("""COMPUTED_VALUE"""),"Lentes de STOCK")</f>
        <v>Lentes de STOCK</v>
      </c>
      <c r="E381" s="1" t="str">
        <f>IFERROR(__xludf.DUMMYFUNCTION("""COMPUTED_VALUE"""),"RIVADAVIA Javier")</f>
        <v>RIVADAVIA Javier</v>
      </c>
      <c r="F381" s="1" t="str">
        <f t="shared" si="1"/>
        <v>RIVADAVIA </v>
      </c>
      <c r="G381" s="1" t="str">
        <f t="shared" si="2"/>
        <v>Javier</v>
      </c>
      <c r="H381" s="1" t="str">
        <f>IFERROR(__xludf.DUMMYFUNCTION("""COMPUTED_VALUE"""),"18/1/2023, 17:00:00")</f>
        <v>18/1/2023, 17:00:00</v>
      </c>
      <c r="I381" s="1" t="str">
        <f>IFERROR(__xludf.DUMMYFUNCTION("""COMPUTED_VALUE"""),"Completado en SUCURSAL")</f>
        <v>Completado en SUCURSAL</v>
      </c>
      <c r="J381" s="1">
        <f t="shared" si="3"/>
        <v>5</v>
      </c>
      <c r="K381" s="1" t="str">
        <f t="shared" si="4"/>
        <v>Tus Lentes estan LISTAS PARA ENTREGAR, te esperamos.</v>
      </c>
    </row>
    <row r="382">
      <c r="A382" s="1">
        <f>IFERROR(__xludf.DUMMYFUNCTION("""COMPUTED_VALUE"""),84932.0)</f>
        <v>84932</v>
      </c>
      <c r="B382" s="5">
        <f>IFERROR(__xludf.DUMMYFUNCTION("""COMPUTED_VALUE"""),44937.776776493054)</f>
        <v>44937.77678</v>
      </c>
      <c r="C382" s="1" t="str">
        <f>IFERROR(__xludf.DUMMYFUNCTION("""COMPUTED_VALUE"""),"RENIERO CLAUDIO")</f>
        <v>RENIERO CLAUDIO</v>
      </c>
      <c r="D382" s="1" t="str">
        <f>IFERROR(__xludf.DUMMYFUNCTION("""COMPUTED_VALUE"""),"Lentes de STOCK")</f>
        <v>Lentes de STOCK</v>
      </c>
      <c r="E382" s="1" t="str">
        <f>IFERROR(__xludf.DUMMYFUNCTION("""COMPUTED_VALUE"""),"RIVADAVIA Santiago LOPEZ")</f>
        <v>RIVADAVIA Santiago LOPEZ</v>
      </c>
      <c r="F382" s="1" t="str">
        <f t="shared" si="1"/>
        <v>RIVADAVIA </v>
      </c>
      <c r="G382" s="1" t="str">
        <f t="shared" si="2"/>
        <v>Santiago LOPEZ</v>
      </c>
      <c r="H382" s="1" t="str">
        <f>IFERROR(__xludf.DUMMYFUNCTION("""COMPUTED_VALUE"""),"16/1/2023, 17:00:00")</f>
        <v>16/1/2023, 17:00:00</v>
      </c>
      <c r="I382" s="1" t="str">
        <f>IFERROR(__xludf.DUMMYFUNCTION("""COMPUTED_VALUE"""),"RETIRADO OK POR CLIENTE")</f>
        <v>RETIRADO OK POR CLIENTE</v>
      </c>
      <c r="J382" s="1">
        <f t="shared" si="3"/>
        <v>6</v>
      </c>
      <c r="K382" s="1" t="str">
        <f t="shared" si="4"/>
        <v>Entregamos tus lentes, que los disfrutes!</v>
      </c>
    </row>
    <row r="383">
      <c r="A383" s="1">
        <f>IFERROR(__xludf.DUMMYFUNCTION("""COMPUTED_VALUE"""),84933.0)</f>
        <v>84933</v>
      </c>
      <c r="B383" s="5">
        <f>IFERROR(__xludf.DUMMYFUNCTION("""COMPUTED_VALUE"""),44937.78571373843)</f>
        <v>44937.78571</v>
      </c>
      <c r="C383" s="1" t="str">
        <f>IFERROR(__xludf.DUMMYFUNCTION("""COMPUTED_VALUE"""),"RICARTES MAR ")</f>
        <v>RICARTES MAR </v>
      </c>
      <c r="D383" s="1" t="str">
        <f>IFERROR(__xludf.DUMMYFUNCTION("""COMPUTED_VALUE"""),"Reparaciones/Otros")</f>
        <v>Reparaciones/Otros</v>
      </c>
      <c r="E383" s="1" t="str">
        <f>IFERROR(__xludf.DUMMYFUNCTION("""COMPUTED_VALUE"""),"ARTIGAS Celina")</f>
        <v>ARTIGAS Celina</v>
      </c>
      <c r="F383" s="1" t="str">
        <f t="shared" si="1"/>
        <v>ARTIGAS </v>
      </c>
      <c r="G383" s="1" t="str">
        <f t="shared" si="2"/>
        <v>Celina</v>
      </c>
      <c r="H383" s="1" t="str">
        <f>IFERROR(__xludf.DUMMYFUNCTION("""COMPUTED_VALUE"""),"12/1/2023, 17:00:00")</f>
        <v>12/1/2023, 17:00:00</v>
      </c>
      <c r="I383" s="1" t="str">
        <f>IFERROR(__xludf.DUMMYFUNCTION("""COMPUTED_VALUE"""),"Completado en SUCURSAL")</f>
        <v>Completado en SUCURSAL</v>
      </c>
      <c r="J383" s="1">
        <f t="shared" si="3"/>
        <v>5</v>
      </c>
      <c r="K383" s="1" t="str">
        <f t="shared" si="4"/>
        <v>Tus Lentes estan LISTAS PARA ENTREGAR, te esperamos.</v>
      </c>
    </row>
    <row r="384">
      <c r="A384" s="1">
        <f>IFERROR(__xludf.DUMMYFUNCTION("""COMPUTED_VALUE"""),84934.0)</f>
        <v>84934</v>
      </c>
      <c r="B384" s="5">
        <f>IFERROR(__xludf.DUMMYFUNCTION("""COMPUTED_VALUE"""),44937.78692270833)</f>
        <v>44937.78692</v>
      </c>
      <c r="C384" s="1" t="str">
        <f>IFERROR(__xludf.DUMMYFUNCTION("""COMPUTED_VALUE"""),"DEL ARCO SOFIA")</f>
        <v>DEL ARCO SOFIA</v>
      </c>
      <c r="D384" s="1" t="str">
        <f>IFERROR(__xludf.DUMMYFUNCTION("""COMPUTED_VALUE"""),"Reparaciones/Otros")</f>
        <v>Reparaciones/Otros</v>
      </c>
      <c r="E384" s="1" t="str">
        <f>IFERROR(__xludf.DUMMYFUNCTION("""COMPUTED_VALUE"""),"RIVADAVIA Daniel CM")</f>
        <v>RIVADAVIA Daniel CM</v>
      </c>
      <c r="F384" s="1" t="str">
        <f t="shared" si="1"/>
        <v>RIVADAVIA </v>
      </c>
      <c r="G384" s="1" t="str">
        <f t="shared" si="2"/>
        <v>Daniel CM</v>
      </c>
      <c r="H384" s="1" t="str">
        <f>IFERROR(__xludf.DUMMYFUNCTION("""COMPUTED_VALUE"""),"12/1/2023, 17:00:00")</f>
        <v>12/1/2023, 17:00:00</v>
      </c>
      <c r="I384" s="1" t="str">
        <f>IFERROR(__xludf.DUMMYFUNCTION("""COMPUTED_VALUE"""),"Completado en SUCURSAL")</f>
        <v>Completado en SUCURSAL</v>
      </c>
      <c r="J384" s="1">
        <f t="shared" si="3"/>
        <v>5</v>
      </c>
      <c r="K384" s="1" t="str">
        <f t="shared" si="4"/>
        <v>Tus Lentes estan LISTAS PARA ENTREGAR, te esperamos.</v>
      </c>
    </row>
    <row r="385">
      <c r="A385" s="1">
        <f>IFERROR(__xludf.DUMMYFUNCTION("""COMPUTED_VALUE"""),84935.0)</f>
        <v>84935</v>
      </c>
      <c r="B385" s="5">
        <f>IFERROR(__xludf.DUMMYFUNCTION("""COMPUTED_VALUE"""),44937.79187965278)</f>
        <v>44937.79188</v>
      </c>
      <c r="C385" s="1" t="str">
        <f>IFERROR(__xludf.DUMMYFUNCTION("""COMPUTED_VALUE"""),"Vega Antonio")</f>
        <v>Vega Antonio</v>
      </c>
      <c r="D385" s="1" t="str">
        <f>IFERROR(__xludf.DUMMYFUNCTION("""COMPUTED_VALUE"""),"Lentes de STOCK")</f>
        <v>Lentes de STOCK</v>
      </c>
      <c r="E385" s="1" t="str">
        <f>IFERROR(__xludf.DUMMYFUNCTION("""COMPUTED_VALUE"""),"RIVADAVIA Rocio B")</f>
        <v>RIVADAVIA Rocio B</v>
      </c>
      <c r="F385" s="1" t="str">
        <f t="shared" si="1"/>
        <v>RIVADAVIA </v>
      </c>
      <c r="G385" s="1" t="str">
        <f t="shared" si="2"/>
        <v>Rocio B</v>
      </c>
      <c r="H385" s="1" t="str">
        <f>IFERROR(__xludf.DUMMYFUNCTION("""COMPUTED_VALUE"""),"18/1/2023, 17:00:00")</f>
        <v>18/1/2023, 17:00:00</v>
      </c>
      <c r="I385" s="1" t="str">
        <f>IFERROR(__xludf.DUMMYFUNCTION("""COMPUTED_VALUE"""),"RETIRADO OK POR CLIENTE")</f>
        <v>RETIRADO OK POR CLIENTE</v>
      </c>
      <c r="J385" s="1">
        <f t="shared" si="3"/>
        <v>6</v>
      </c>
      <c r="K385" s="1" t="str">
        <f t="shared" si="4"/>
        <v>Entregamos tus lentes, que los disfrutes!</v>
      </c>
    </row>
    <row r="386">
      <c r="A386" s="1">
        <f>IFERROR(__xludf.DUMMYFUNCTION("""COMPUTED_VALUE"""),84936.0)</f>
        <v>84936</v>
      </c>
      <c r="B386" s="5">
        <f>IFERROR(__xludf.DUMMYFUNCTION("""COMPUTED_VALUE"""),44937.8125891088)</f>
        <v>44937.81259</v>
      </c>
      <c r="C386" s="1" t="str">
        <f>IFERROR(__xludf.DUMMYFUNCTION("""COMPUTED_VALUE"""),"SARRIA OLGA")</f>
        <v>SARRIA OLGA</v>
      </c>
      <c r="D386" s="1" t="str">
        <f>IFERROR(__xludf.DUMMYFUNCTION("""COMPUTED_VALUE"""),"Lentes MULTIFOCALES")</f>
        <v>Lentes MULTIFOCALES</v>
      </c>
      <c r="E386" s="1" t="str">
        <f>IFERROR(__xludf.DUMMYFUNCTION("""COMPUTED_VALUE"""),"ARTIGAS Ivana P.")</f>
        <v>ARTIGAS Ivana P.</v>
      </c>
      <c r="F386" s="1" t="str">
        <f t="shared" si="1"/>
        <v>ARTIGAS </v>
      </c>
      <c r="G386" s="1" t="str">
        <f t="shared" si="2"/>
        <v>Ivana P.</v>
      </c>
      <c r="H386" s="1" t="str">
        <f>IFERROR(__xludf.DUMMYFUNCTION("""COMPUTED_VALUE"""),"17/1/2023, 17:00:00")</f>
        <v>17/1/2023, 17:00:00</v>
      </c>
      <c r="I386" s="1" t="str">
        <f>IFERROR(__xludf.DUMMYFUNCTION("""COMPUTED_VALUE"""),"Completado en SUCURSAL")</f>
        <v>Completado en SUCURSAL</v>
      </c>
      <c r="J386" s="1">
        <f t="shared" si="3"/>
        <v>5</v>
      </c>
      <c r="K386" s="1" t="str">
        <f t="shared" si="4"/>
        <v>Tus Lentes estan LISTAS PARA ENTREGAR, te esperamos.</v>
      </c>
    </row>
    <row r="387">
      <c r="A387" s="1">
        <f>IFERROR(__xludf.DUMMYFUNCTION("""COMPUTED_VALUE"""),84937.0)</f>
        <v>84937</v>
      </c>
      <c r="B387" s="5">
        <f>IFERROR(__xludf.DUMMYFUNCTION("""COMPUTED_VALUE"""),44937.81436503472)</f>
        <v>44937.81437</v>
      </c>
      <c r="C387" s="1" t="str">
        <f>IFERROR(__xludf.DUMMYFUNCTION("""COMPUTED_VALUE"""),"SOSA MARCELO")</f>
        <v>SOSA MARCELO</v>
      </c>
      <c r="D387" s="1" t="str">
        <f>IFERROR(__xludf.DUMMYFUNCTION("""COMPUTED_VALUE"""),"Lentes de STOCK")</f>
        <v>Lentes de STOCK</v>
      </c>
      <c r="E387" s="1" t="str">
        <f>IFERROR(__xludf.DUMMYFUNCTION("""COMPUTED_VALUE"""),"RIVADAVIA Santiago LOPEZ")</f>
        <v>RIVADAVIA Santiago LOPEZ</v>
      </c>
      <c r="F387" s="1" t="str">
        <f t="shared" si="1"/>
        <v>RIVADAVIA </v>
      </c>
      <c r="G387" s="1" t="str">
        <f t="shared" si="2"/>
        <v>Santiago LOPEZ</v>
      </c>
      <c r="H387" s="1" t="str">
        <f>IFERROR(__xludf.DUMMYFUNCTION("""COMPUTED_VALUE"""),"16/1/2023, 17:00:00")</f>
        <v>16/1/2023, 17:00:00</v>
      </c>
      <c r="I387" s="1" t="str">
        <f>IFERROR(__xludf.DUMMYFUNCTION("""COMPUTED_VALUE"""),"RETIRADO OK POR CLIENTE")</f>
        <v>RETIRADO OK POR CLIENTE</v>
      </c>
      <c r="J387" s="1">
        <f t="shared" si="3"/>
        <v>6</v>
      </c>
      <c r="K387" s="1" t="str">
        <f t="shared" si="4"/>
        <v>Entregamos tus lentes, que los disfrutes!</v>
      </c>
    </row>
    <row r="388">
      <c r="A388" s="1">
        <f>IFERROR(__xludf.DUMMYFUNCTION("""COMPUTED_VALUE"""),84938.0)</f>
        <v>84938</v>
      </c>
      <c r="B388" s="5">
        <f>IFERROR(__xludf.DUMMYFUNCTION("""COMPUTED_VALUE"""),44937.81850686343)</f>
        <v>44937.81851</v>
      </c>
      <c r="C388" s="1" t="str">
        <f>IFERROR(__xludf.DUMMYFUNCTION("""COMPUTED_VALUE"""),"GUTIERREZ RODRIGUEZ JUAN ALBERTO")</f>
        <v>GUTIERREZ RODRIGUEZ JUAN ALBERTO</v>
      </c>
      <c r="D388" s="1" t="str">
        <f>IFERROR(__xludf.DUMMYFUNCTION("""COMPUTED_VALUE"""),"Reparaciones/Otros")</f>
        <v>Reparaciones/Otros</v>
      </c>
      <c r="E388" s="1" t="str">
        <f>IFERROR(__xludf.DUMMYFUNCTION("""COMPUTED_VALUE"""),"RIVADAVIA Javier")</f>
        <v>RIVADAVIA Javier</v>
      </c>
      <c r="F388" s="1" t="str">
        <f t="shared" si="1"/>
        <v>RIVADAVIA </v>
      </c>
      <c r="G388" s="1" t="str">
        <f t="shared" si="2"/>
        <v>Javier</v>
      </c>
      <c r="H388" s="1" t="str">
        <f>IFERROR(__xludf.DUMMYFUNCTION("""COMPUTED_VALUE"""),"12/1/2023, 17:00:00")</f>
        <v>12/1/2023, 17:00:00</v>
      </c>
      <c r="I388" s="1" t="str">
        <f>IFERROR(__xludf.DUMMYFUNCTION("""COMPUTED_VALUE"""),"Completado en SUCURSAL")</f>
        <v>Completado en SUCURSAL</v>
      </c>
      <c r="J388" s="1">
        <f t="shared" si="3"/>
        <v>5</v>
      </c>
      <c r="K388" s="1" t="str">
        <f t="shared" si="4"/>
        <v>Tus Lentes estan LISTAS PARA ENTREGAR, te esperamos.</v>
      </c>
    </row>
    <row r="389">
      <c r="A389" s="1">
        <f>IFERROR(__xludf.DUMMYFUNCTION("""COMPUTED_VALUE"""),84939.0)</f>
        <v>84939</v>
      </c>
      <c r="B389" s="5">
        <f>IFERROR(__xludf.DUMMYFUNCTION("""COMPUTED_VALUE"""),44937.81995611111)</f>
        <v>44937.81996</v>
      </c>
      <c r="C389" s="1" t="str">
        <f>IFERROR(__xludf.DUMMYFUNCTION("""COMPUTED_VALUE"""),"PEREIRA CARLOS")</f>
        <v>PEREIRA CARLOS</v>
      </c>
      <c r="D389" s="1" t="str">
        <f>IFERROR(__xludf.DUMMYFUNCTION("""COMPUTED_VALUE"""),"Lentes de STOCK")</f>
        <v>Lentes de STOCK</v>
      </c>
      <c r="E389" s="1" t="str">
        <f>IFERROR(__xludf.DUMMYFUNCTION("""COMPUTED_VALUE"""),"RIVADAVIA Daniel CM")</f>
        <v>RIVADAVIA Daniel CM</v>
      </c>
      <c r="F389" s="1" t="str">
        <f t="shared" si="1"/>
        <v>RIVADAVIA </v>
      </c>
      <c r="G389" s="1" t="str">
        <f t="shared" si="2"/>
        <v>Daniel CM</v>
      </c>
      <c r="H389" s="1" t="str">
        <f>IFERROR(__xludf.DUMMYFUNCTION("""COMPUTED_VALUE"""),"16/1/2023, 17:00:00")</f>
        <v>16/1/2023, 17:00:00</v>
      </c>
      <c r="I389" s="1" t="str">
        <f>IFERROR(__xludf.DUMMYFUNCTION("""COMPUTED_VALUE"""),"RETIRADO OK POR CLIENTE")</f>
        <v>RETIRADO OK POR CLIENTE</v>
      </c>
      <c r="J389" s="1">
        <f t="shared" si="3"/>
        <v>6</v>
      </c>
      <c r="K389" s="1" t="str">
        <f t="shared" si="4"/>
        <v>Entregamos tus lentes, que los disfrutes!</v>
      </c>
    </row>
    <row r="390">
      <c r="A390" s="1">
        <f>IFERROR(__xludf.DUMMYFUNCTION("""COMPUTED_VALUE"""),84940.0)</f>
        <v>84940</v>
      </c>
      <c r="B390" s="5">
        <f>IFERROR(__xludf.DUMMYFUNCTION("""COMPUTED_VALUE"""),44937.835272488424)</f>
        <v>44937.83527</v>
      </c>
      <c r="C390" s="1" t="str">
        <f>IFERROR(__xludf.DUMMYFUNCTION("""COMPUTED_VALUE"""),"PEREZ SILVIA")</f>
        <v>PEREZ SILVIA</v>
      </c>
      <c r="D390" s="1" t="str">
        <f>IFERROR(__xludf.DUMMYFUNCTION("""COMPUTED_VALUE"""),"Lentes de STOCK")</f>
        <v>Lentes de STOCK</v>
      </c>
      <c r="E390" s="1" t="str">
        <f>IFERROR(__xludf.DUMMYFUNCTION("""COMPUTED_VALUE"""),"RIVADAVIA Luciana")</f>
        <v>RIVADAVIA Luciana</v>
      </c>
      <c r="F390" s="1" t="str">
        <f t="shared" si="1"/>
        <v>RIVADAVIA </v>
      </c>
      <c r="G390" s="1" t="str">
        <f t="shared" si="2"/>
        <v>Luciana</v>
      </c>
      <c r="H390" s="1" t="str">
        <f>IFERROR(__xludf.DUMMYFUNCTION("""COMPUTED_VALUE"""),"17/1/2023, 17:00:00")</f>
        <v>17/1/2023, 17:00:00</v>
      </c>
      <c r="I390" s="1" t="str">
        <f>IFERROR(__xludf.DUMMYFUNCTION("""COMPUTED_VALUE"""),"Completado en SUCURSAL")</f>
        <v>Completado en SUCURSAL</v>
      </c>
      <c r="J390" s="1">
        <f t="shared" si="3"/>
        <v>5</v>
      </c>
      <c r="K390" s="1" t="str">
        <f t="shared" si="4"/>
        <v>Tus Lentes estan LISTAS PARA ENTREGAR, te esperamos.</v>
      </c>
    </row>
    <row r="391">
      <c r="A391" s="1">
        <f>IFERROR(__xludf.DUMMYFUNCTION("""COMPUTED_VALUE"""),84941.0)</f>
        <v>84941</v>
      </c>
      <c r="B391" s="5">
        <f>IFERROR(__xludf.DUMMYFUNCTION("""COMPUTED_VALUE"""),44937.84476165509)</f>
        <v>44937.84476</v>
      </c>
      <c r="C391" s="1" t="str">
        <f>IFERROR(__xludf.DUMMYFUNCTION("""COMPUTED_VALUE"""),"MARTINA GAVLAN")</f>
        <v>MARTINA GAVLAN</v>
      </c>
      <c r="D391" s="1" t="str">
        <f>IFERROR(__xludf.DUMMYFUNCTION("""COMPUTED_VALUE"""),"Reparaciones/Otros")</f>
        <v>Reparaciones/Otros</v>
      </c>
      <c r="E391" s="1" t="str">
        <f>IFERROR(__xludf.DUMMYFUNCTION("""COMPUTED_VALUE"""),"RIVADAVIA Daniel CM")</f>
        <v>RIVADAVIA Daniel CM</v>
      </c>
      <c r="F391" s="1" t="str">
        <f t="shared" si="1"/>
        <v>RIVADAVIA </v>
      </c>
      <c r="G391" s="1" t="str">
        <f t="shared" si="2"/>
        <v>Daniel CM</v>
      </c>
      <c r="H391" s="1" t="str">
        <f>IFERROR(__xludf.DUMMYFUNCTION("""COMPUTED_VALUE"""),"12/1/2023, 17:00:00")</f>
        <v>12/1/2023, 17:00:00</v>
      </c>
      <c r="I391" s="1" t="str">
        <f>IFERROR(__xludf.DUMMYFUNCTION("""COMPUTED_VALUE"""),"Completado en SUCURSAL")</f>
        <v>Completado en SUCURSAL</v>
      </c>
      <c r="J391" s="1">
        <f t="shared" si="3"/>
        <v>5</v>
      </c>
      <c r="K391" s="1" t="str">
        <f t="shared" si="4"/>
        <v>Tus Lentes estan LISTAS PARA ENTREGAR, te esperamos.</v>
      </c>
    </row>
    <row r="392">
      <c r="A392" s="1">
        <f>IFERROR(__xludf.DUMMYFUNCTION("""COMPUTED_VALUE"""),84942.0)</f>
        <v>84942</v>
      </c>
      <c r="B392" s="5">
        <f>IFERROR(__xludf.DUMMYFUNCTION("""COMPUTED_VALUE"""),44937.85678891204)</f>
        <v>44937.85679</v>
      </c>
      <c r="C392" s="1" t="str">
        <f>IFERROR(__xludf.DUMMYFUNCTION("""COMPUTED_VALUE"""),"VALLEJOS MIRIAM ESTELA")</f>
        <v>VALLEJOS MIRIAM ESTELA</v>
      </c>
      <c r="D392" s="1" t="str">
        <f>IFERROR(__xludf.DUMMYFUNCTION("""COMPUTED_VALUE"""),"Reparaciones/Otros")</f>
        <v>Reparaciones/Otros</v>
      </c>
      <c r="E392" s="1" t="str">
        <f>IFERROR(__xludf.DUMMYFUNCTION("""COMPUTED_VALUE"""),"RIVADAVIA Javier")</f>
        <v>RIVADAVIA Javier</v>
      </c>
      <c r="F392" s="1" t="str">
        <f t="shared" si="1"/>
        <v>RIVADAVIA </v>
      </c>
      <c r="G392" s="1" t="str">
        <f t="shared" si="2"/>
        <v>Javier</v>
      </c>
      <c r="H392" s="1" t="str">
        <f>IFERROR(__xludf.DUMMYFUNCTION("""COMPUTED_VALUE"""),"12/1/2023, 17:00:00")</f>
        <v>12/1/2023, 17:00:00</v>
      </c>
      <c r="I392" s="1" t="str">
        <f>IFERROR(__xludf.DUMMYFUNCTION("""COMPUTED_VALUE"""),"Enviado a Laboratorio")</f>
        <v>Enviado a Laboratorio</v>
      </c>
      <c r="J392" s="1">
        <f t="shared" si="3"/>
        <v>1</v>
      </c>
      <c r="K392" s="1" t="str">
        <f t="shared" si="4"/>
        <v>Tus lentes estan en camino a nuestro laboratorio para ponerlos en marcha.</v>
      </c>
    </row>
    <row r="393">
      <c r="A393" s="1">
        <f>IFERROR(__xludf.DUMMYFUNCTION("""COMPUTED_VALUE"""),84943.0)</f>
        <v>84943</v>
      </c>
      <c r="B393" s="5">
        <f>IFERROR(__xludf.DUMMYFUNCTION("""COMPUTED_VALUE"""),44937.873298136576)</f>
        <v>44937.8733</v>
      </c>
      <c r="C393" s="1" t="str">
        <f>IFERROR(__xludf.DUMMYFUNCTION("""COMPUTED_VALUE"""),"SANCHEZ HECTOR")</f>
        <v>SANCHEZ HECTOR</v>
      </c>
      <c r="D393" s="1" t="str">
        <f>IFERROR(__xludf.DUMMYFUNCTION("""COMPUTED_VALUE"""),"Lentes de STOCK")</f>
        <v>Lentes de STOCK</v>
      </c>
      <c r="E393" s="1" t="str">
        <f>IFERROR(__xludf.DUMMYFUNCTION("""COMPUTED_VALUE"""),"RIVADAVIA Luciana")</f>
        <v>RIVADAVIA Luciana</v>
      </c>
      <c r="F393" s="1" t="str">
        <f t="shared" si="1"/>
        <v>RIVADAVIA </v>
      </c>
      <c r="G393" s="1" t="str">
        <f t="shared" si="2"/>
        <v>Luciana</v>
      </c>
      <c r="H393" s="1" t="str">
        <f>IFERROR(__xludf.DUMMYFUNCTION("""COMPUTED_VALUE"""),"17/1/2023, 17:00:00")</f>
        <v>17/1/2023, 17:00:00</v>
      </c>
      <c r="I393" s="1" t="str">
        <f>IFERROR(__xludf.DUMMYFUNCTION("""COMPUTED_VALUE"""),"RETIRADO OK POR CLIENTE")</f>
        <v>RETIRADO OK POR CLIENTE</v>
      </c>
      <c r="J393" s="1">
        <f t="shared" si="3"/>
        <v>6</v>
      </c>
      <c r="K393" s="1" t="str">
        <f t="shared" si="4"/>
        <v>Entregamos tus lentes, que los disfrutes!</v>
      </c>
    </row>
    <row r="394">
      <c r="A394" s="1">
        <f>IFERROR(__xludf.DUMMYFUNCTION("""COMPUTED_VALUE"""),84944.0)</f>
        <v>84944</v>
      </c>
      <c r="B394" s="5">
        <f>IFERROR(__xludf.DUMMYFUNCTION("""COMPUTED_VALUE"""),44938.37864284722)</f>
        <v>44938.37864</v>
      </c>
      <c r="C394" s="1" t="str">
        <f>IFERROR(__xludf.DUMMYFUNCTION("""COMPUTED_VALUE"""),"RIOS MAYRA")</f>
        <v>RIOS MAYRA</v>
      </c>
      <c r="D394" s="1" t="str">
        <f>IFERROR(__xludf.DUMMYFUNCTION("""COMPUTED_VALUE"""),"Reparaciones/Otros")</f>
        <v>Reparaciones/Otros</v>
      </c>
      <c r="E394" s="1" t="str">
        <f>IFERROR(__xludf.DUMMYFUNCTION("""COMPUTED_VALUE"""),"ARTIGAS Cristian C.")</f>
        <v>ARTIGAS Cristian C.</v>
      </c>
      <c r="F394" s="1" t="str">
        <f t="shared" si="1"/>
        <v>ARTIGAS </v>
      </c>
      <c r="G394" s="1" t="str">
        <f t="shared" si="2"/>
        <v>Cristian C.</v>
      </c>
      <c r="H394" s="1" t="str">
        <f>IFERROR(__xludf.DUMMYFUNCTION("""COMPUTED_VALUE"""),"13/1/2023, 17:00:00")</f>
        <v>13/1/2023, 17:00:00</v>
      </c>
      <c r="I394" s="1" t="str">
        <f>IFERROR(__xludf.DUMMYFUNCTION("""COMPUTED_VALUE"""),"Recibido en Laboratorio")</f>
        <v>Recibido en Laboratorio</v>
      </c>
      <c r="J394" s="1">
        <f t="shared" si="3"/>
        <v>2</v>
      </c>
      <c r="K394" s="1" t="str">
        <f t="shared" si="4"/>
        <v>Nuestro Laboratorio esta trabajando en tus lentes, los entregaremos en la fecha acordada.</v>
      </c>
    </row>
    <row r="395">
      <c r="A395" s="1">
        <f>IFERROR(__xludf.DUMMYFUNCTION("""COMPUTED_VALUE"""),84945.0)</f>
        <v>84945</v>
      </c>
      <c r="B395" s="5">
        <f>IFERROR(__xludf.DUMMYFUNCTION("""COMPUTED_VALUE"""),44938.38370304398)</f>
        <v>44938.3837</v>
      </c>
      <c r="C395" s="1" t="str">
        <f>IFERROR(__xludf.DUMMYFUNCTION("""COMPUTED_VALUE"""),"Villegas Romina")</f>
        <v>Villegas Romina</v>
      </c>
      <c r="D395" s="1" t="str">
        <f>IFERROR(__xludf.DUMMYFUNCTION("""COMPUTED_VALUE"""),"Reparaciones/Otros")</f>
        <v>Reparaciones/Otros</v>
      </c>
      <c r="E395" s="1" t="str">
        <f>IFERROR(__xludf.DUMMYFUNCTION("""COMPUTED_VALUE"""),"RIVADAVIA Rocio B")</f>
        <v>RIVADAVIA Rocio B</v>
      </c>
      <c r="F395" s="1" t="str">
        <f t="shared" si="1"/>
        <v>RIVADAVIA </v>
      </c>
      <c r="G395" s="1" t="str">
        <f t="shared" si="2"/>
        <v>Rocio B</v>
      </c>
      <c r="H395" s="1" t="str">
        <f>IFERROR(__xludf.DUMMYFUNCTION("""COMPUTED_VALUE"""),"13/1/2023, 17:00:00")</f>
        <v>13/1/2023, 17:00:00</v>
      </c>
      <c r="I395" s="1" t="str">
        <f>IFERROR(__xludf.DUMMYFUNCTION("""COMPUTED_VALUE"""),"Completado en SUCURSAL")</f>
        <v>Completado en SUCURSAL</v>
      </c>
      <c r="J395" s="1">
        <f t="shared" si="3"/>
        <v>5</v>
      </c>
      <c r="K395" s="1" t="str">
        <f t="shared" si="4"/>
        <v>Tus Lentes estan LISTAS PARA ENTREGAR, te esperamos.</v>
      </c>
    </row>
    <row r="396">
      <c r="A396" s="1">
        <f>IFERROR(__xludf.DUMMYFUNCTION("""COMPUTED_VALUE"""),84946.0)</f>
        <v>84946</v>
      </c>
      <c r="B396" s="5">
        <f>IFERROR(__xludf.DUMMYFUNCTION("""COMPUTED_VALUE"""),44938.38949219907)</f>
        <v>44938.38949</v>
      </c>
      <c r="C396" s="1" t="str">
        <f>IFERROR(__xludf.DUMMYFUNCTION("""COMPUTED_VALUE"""),"CABAÑEZ FELIZA")</f>
        <v>CABAÑEZ FELIZA</v>
      </c>
      <c r="D396" s="1" t="str">
        <f>IFERROR(__xludf.DUMMYFUNCTION("""COMPUTED_VALUE"""),"Lentes de STOCK")</f>
        <v>Lentes de STOCK</v>
      </c>
      <c r="E396" s="1" t="str">
        <f>IFERROR(__xludf.DUMMYFUNCTION("""COMPUTED_VALUE"""),"ARTIGAS Ivana P.")</f>
        <v>ARTIGAS Ivana P.</v>
      </c>
      <c r="F396" s="1" t="str">
        <f t="shared" si="1"/>
        <v>ARTIGAS </v>
      </c>
      <c r="G396" s="1" t="str">
        <f t="shared" si="2"/>
        <v>Ivana P.</v>
      </c>
      <c r="H396" s="1" t="str">
        <f>IFERROR(__xludf.DUMMYFUNCTION("""COMPUTED_VALUE"""),"17/1/2023, 17:00:00")</f>
        <v>17/1/2023, 17:00:00</v>
      </c>
      <c r="I396" s="1" t="str">
        <f>IFERROR(__xludf.DUMMYFUNCTION("""COMPUTED_VALUE"""),"RETIRADO OK POR CLIENTE")</f>
        <v>RETIRADO OK POR CLIENTE</v>
      </c>
      <c r="J396" s="1">
        <f t="shared" si="3"/>
        <v>6</v>
      </c>
      <c r="K396" s="1" t="str">
        <f t="shared" si="4"/>
        <v>Entregamos tus lentes, que los disfrutes!</v>
      </c>
    </row>
    <row r="397">
      <c r="A397" s="1">
        <f>IFERROR(__xludf.DUMMYFUNCTION("""COMPUTED_VALUE"""),84947.0)</f>
        <v>84947</v>
      </c>
      <c r="B397" s="5">
        <f>IFERROR(__xludf.DUMMYFUNCTION("""COMPUTED_VALUE"""),44938.404937430554)</f>
        <v>44938.40494</v>
      </c>
      <c r="C397" s="1" t="str">
        <f>IFERROR(__xludf.DUMMYFUNCTION("""COMPUTED_VALUE"""),"PERIN JORGE")</f>
        <v>PERIN JORGE</v>
      </c>
      <c r="D397" s="1" t="str">
        <f>IFERROR(__xludf.DUMMYFUNCTION("""COMPUTED_VALUE"""),"Reparaciones/Otros")</f>
        <v>Reparaciones/Otros</v>
      </c>
      <c r="E397" s="1" t="str">
        <f>IFERROR(__xludf.DUMMYFUNCTION("""COMPUTED_VALUE"""),"RIVADAVIA Daniel CM")</f>
        <v>RIVADAVIA Daniel CM</v>
      </c>
      <c r="F397" s="1" t="str">
        <f t="shared" si="1"/>
        <v>RIVADAVIA </v>
      </c>
      <c r="G397" s="1" t="str">
        <f t="shared" si="2"/>
        <v>Daniel CM</v>
      </c>
      <c r="H397" s="1" t="str">
        <f>IFERROR(__xludf.DUMMYFUNCTION("""COMPUTED_VALUE"""),"13/1/2023, 17:00:00")</f>
        <v>13/1/2023, 17:00:00</v>
      </c>
      <c r="I397" s="1" t="str">
        <f>IFERROR(__xludf.DUMMYFUNCTION("""COMPUTED_VALUE"""),"Completado en SUCURSAL")</f>
        <v>Completado en SUCURSAL</v>
      </c>
      <c r="J397" s="1">
        <f t="shared" si="3"/>
        <v>5</v>
      </c>
      <c r="K397" s="1" t="str">
        <f t="shared" si="4"/>
        <v>Tus Lentes estan LISTAS PARA ENTREGAR, te esperamos.</v>
      </c>
    </row>
    <row r="398">
      <c r="A398" s="1">
        <f>IFERROR(__xludf.DUMMYFUNCTION("""COMPUTED_VALUE"""),84948.0)</f>
        <v>84948</v>
      </c>
      <c r="B398" s="5">
        <f>IFERROR(__xludf.DUMMYFUNCTION("""COMPUTED_VALUE"""),44938.41027876157)</f>
        <v>44938.41028</v>
      </c>
      <c r="C398" s="1" t="str">
        <f>IFERROR(__xludf.DUMMYFUNCTION("""COMPUTED_VALUE"""),"CONTRERAS MARIA ROSA")</f>
        <v>CONTRERAS MARIA ROSA</v>
      </c>
      <c r="D398" s="1" t="str">
        <f>IFERROR(__xludf.DUMMYFUNCTION("""COMPUTED_VALUE"""),"Lentes BIFOCALES")</f>
        <v>Lentes BIFOCALES</v>
      </c>
      <c r="E398" s="1" t="str">
        <f>IFERROR(__xludf.DUMMYFUNCTION("""COMPUTED_VALUE"""),"ARTIGAS Cristian C.")</f>
        <v>ARTIGAS Cristian C.</v>
      </c>
      <c r="F398" s="1" t="str">
        <f t="shared" si="1"/>
        <v>ARTIGAS </v>
      </c>
      <c r="G398" s="1" t="str">
        <f t="shared" si="2"/>
        <v>Cristian C.</v>
      </c>
      <c r="H398" s="1" t="str">
        <f>IFERROR(__xludf.DUMMYFUNCTION("""COMPUTED_VALUE"""),"19/1/2023, 17:00:00")</f>
        <v>19/1/2023, 17:00:00</v>
      </c>
      <c r="I398" s="1" t="str">
        <f>IFERROR(__xludf.DUMMYFUNCTION("""COMPUTED_VALUE"""),"RETIRADO OK POR CLIENTE")</f>
        <v>RETIRADO OK POR CLIENTE</v>
      </c>
      <c r="J398" s="1">
        <f t="shared" si="3"/>
        <v>6</v>
      </c>
      <c r="K398" s="1" t="str">
        <f t="shared" si="4"/>
        <v>Entregamos tus lentes, que los disfrutes!</v>
      </c>
    </row>
    <row r="399">
      <c r="A399" s="1">
        <f>IFERROR(__xludf.DUMMYFUNCTION("""COMPUTED_VALUE"""),84949.0)</f>
        <v>84949</v>
      </c>
      <c r="B399" s="5">
        <f>IFERROR(__xludf.DUMMYFUNCTION("""COMPUTED_VALUE"""),44938.41649361111)</f>
        <v>44938.41649</v>
      </c>
      <c r="C399" s="1" t="str">
        <f>IFERROR(__xludf.DUMMYFUNCTION("""COMPUTED_VALUE"""),"TAPIA ENZO")</f>
        <v>TAPIA ENZO</v>
      </c>
      <c r="D399" s="1" t="str">
        <f>IFERROR(__xludf.DUMMYFUNCTION("""COMPUTED_VALUE"""),"Lentes de STOCK")</f>
        <v>Lentes de STOCK</v>
      </c>
      <c r="E399" s="1" t="str">
        <f>IFERROR(__xludf.DUMMYFUNCTION("""COMPUTED_VALUE"""),"ARTIGAS Ivana P.")</f>
        <v>ARTIGAS Ivana P.</v>
      </c>
      <c r="F399" s="1" t="str">
        <f t="shared" si="1"/>
        <v>ARTIGAS </v>
      </c>
      <c r="G399" s="1" t="str">
        <f t="shared" si="2"/>
        <v>Ivana P.</v>
      </c>
      <c r="H399" s="1" t="str">
        <f>IFERROR(__xludf.DUMMYFUNCTION("""COMPUTED_VALUE"""),"16/1/2023, 17:00:00")</f>
        <v>16/1/2023, 17:00:00</v>
      </c>
      <c r="I399" s="1" t="str">
        <f>IFERROR(__xludf.DUMMYFUNCTION("""COMPUTED_VALUE"""),"Completado en SUCURSAL")</f>
        <v>Completado en SUCURSAL</v>
      </c>
      <c r="J399" s="1">
        <f t="shared" si="3"/>
        <v>5</v>
      </c>
      <c r="K399" s="1" t="str">
        <f t="shared" si="4"/>
        <v>Tus Lentes estan LISTAS PARA ENTREGAR, te esperamos.</v>
      </c>
    </row>
    <row r="400">
      <c r="A400" s="1">
        <f>IFERROR(__xludf.DUMMYFUNCTION("""COMPUTED_VALUE"""),84950.0)</f>
        <v>84950</v>
      </c>
      <c r="B400" s="5">
        <f>IFERROR(__xludf.DUMMYFUNCTION("""COMPUTED_VALUE"""),44938.42930915509)</f>
        <v>44938.42931</v>
      </c>
      <c r="C400" s="1" t="str">
        <f>IFERROR(__xludf.DUMMYFUNCTION("""COMPUTED_VALUE"""),"CABAÑEZ SILDA ")</f>
        <v>CABAÑEZ SILDA </v>
      </c>
      <c r="D400" s="1" t="str">
        <f>IFERROR(__xludf.DUMMYFUNCTION("""COMPUTED_VALUE"""),"Reparaciones/Otros")</f>
        <v>Reparaciones/Otros</v>
      </c>
      <c r="E400" s="1" t="str">
        <f>IFERROR(__xludf.DUMMYFUNCTION("""COMPUTED_VALUE"""),"ARTIGAS Celina")</f>
        <v>ARTIGAS Celina</v>
      </c>
      <c r="F400" s="1" t="str">
        <f t="shared" si="1"/>
        <v>ARTIGAS </v>
      </c>
      <c r="G400" s="1" t="str">
        <f t="shared" si="2"/>
        <v>Celina</v>
      </c>
      <c r="H400" s="1" t="str">
        <f>IFERROR(__xludf.DUMMYFUNCTION("""COMPUTED_VALUE"""),"13/1/2023, 17:00:00")</f>
        <v>13/1/2023, 17:00:00</v>
      </c>
      <c r="I400" s="1" t="str">
        <f>IFERROR(__xludf.DUMMYFUNCTION("""COMPUTED_VALUE"""),"Completado en SUCURSAL")</f>
        <v>Completado en SUCURSAL</v>
      </c>
      <c r="J400" s="1">
        <f t="shared" si="3"/>
        <v>5</v>
      </c>
      <c r="K400" s="1" t="str">
        <f t="shared" si="4"/>
        <v>Tus Lentes estan LISTAS PARA ENTREGAR, te esperamos.</v>
      </c>
    </row>
    <row r="401">
      <c r="A401" s="1">
        <f>IFERROR(__xludf.DUMMYFUNCTION("""COMPUTED_VALUE"""),84951.0)</f>
        <v>84951</v>
      </c>
      <c r="B401" s="5">
        <f>IFERROR(__xludf.DUMMYFUNCTION("""COMPUTED_VALUE"""),44938.432249097226)</f>
        <v>44938.43225</v>
      </c>
      <c r="C401" s="1" t="str">
        <f>IFERROR(__xludf.DUMMYFUNCTION("""COMPUTED_VALUE"""),"GONZALEZ NORMA")</f>
        <v>GONZALEZ NORMA</v>
      </c>
      <c r="D401" s="1" t="str">
        <f>IFERROR(__xludf.DUMMYFUNCTION("""COMPUTED_VALUE"""),"Lentes de STOCK")</f>
        <v>Lentes de STOCK</v>
      </c>
      <c r="E401" s="1" t="str">
        <f>IFERROR(__xludf.DUMMYFUNCTION("""COMPUTED_VALUE"""),"ARTIGAS Ivana P.")</f>
        <v>ARTIGAS Ivana P.</v>
      </c>
      <c r="F401" s="1" t="str">
        <f t="shared" si="1"/>
        <v>ARTIGAS </v>
      </c>
      <c r="G401" s="1" t="str">
        <f t="shared" si="2"/>
        <v>Ivana P.</v>
      </c>
      <c r="H401" s="1" t="str">
        <f>IFERROR(__xludf.DUMMYFUNCTION("""COMPUTED_VALUE"""),"17/1/2023, 17:00:00")</f>
        <v>17/1/2023, 17:00:00</v>
      </c>
      <c r="I401" s="1" t="str">
        <f>IFERROR(__xludf.DUMMYFUNCTION("""COMPUTED_VALUE"""),"RETIRADO OK POR CLIENTE")</f>
        <v>RETIRADO OK POR CLIENTE</v>
      </c>
      <c r="J401" s="1">
        <f t="shared" si="3"/>
        <v>6</v>
      </c>
      <c r="K401" s="1" t="str">
        <f t="shared" si="4"/>
        <v>Entregamos tus lentes, que los disfrutes!</v>
      </c>
    </row>
    <row r="402">
      <c r="A402" s="1">
        <f>IFERROR(__xludf.DUMMYFUNCTION("""COMPUTED_VALUE"""),84952.0)</f>
        <v>84952</v>
      </c>
      <c r="B402" s="5">
        <f>IFERROR(__xludf.DUMMYFUNCTION("""COMPUTED_VALUE"""),44938.437958587965)</f>
        <v>44938.43796</v>
      </c>
      <c r="C402" s="1" t="str">
        <f>IFERROR(__xludf.DUMMYFUNCTION("""COMPUTED_VALUE"""),"PEREYRA MARIA CELESTE")</f>
        <v>PEREYRA MARIA CELESTE</v>
      </c>
      <c r="D402" s="1" t="str">
        <f>IFERROR(__xludf.DUMMYFUNCTION("""COMPUTED_VALUE"""),"Lentes de STOCK")</f>
        <v>Lentes de STOCK</v>
      </c>
      <c r="E402" s="1" t="str">
        <f>IFERROR(__xludf.DUMMYFUNCTION("""COMPUTED_VALUE"""),"RIVADAVIA Marcela L")</f>
        <v>RIVADAVIA Marcela L</v>
      </c>
      <c r="F402" s="1" t="str">
        <f t="shared" si="1"/>
        <v>RIVADAVIA </v>
      </c>
      <c r="G402" s="1" t="str">
        <f t="shared" si="2"/>
        <v>Marcela L</v>
      </c>
      <c r="H402" s="1" t="str">
        <f>IFERROR(__xludf.DUMMYFUNCTION("""COMPUTED_VALUE"""),"16/1/2023, 17:00:00")</f>
        <v>16/1/2023, 17:00:00</v>
      </c>
      <c r="I402" s="1" t="str">
        <f>IFERROR(__xludf.DUMMYFUNCTION("""COMPUTED_VALUE"""),"Completado en SUCURSAL")</f>
        <v>Completado en SUCURSAL</v>
      </c>
      <c r="J402" s="1">
        <f t="shared" si="3"/>
        <v>5</v>
      </c>
      <c r="K402" s="1" t="str">
        <f t="shared" si="4"/>
        <v>Tus Lentes estan LISTAS PARA ENTREGAR, te esperamos.</v>
      </c>
    </row>
    <row r="403">
      <c r="A403" s="1">
        <f>IFERROR(__xludf.DUMMYFUNCTION("""COMPUTED_VALUE"""),84953.0)</f>
        <v>84953</v>
      </c>
      <c r="B403" s="5">
        <f>IFERROR(__xludf.DUMMYFUNCTION("""COMPUTED_VALUE"""),44938.43860288194)</f>
        <v>44938.4386</v>
      </c>
      <c r="C403" s="1" t="str">
        <f>IFERROR(__xludf.DUMMYFUNCTION("""COMPUTED_VALUE"""),"MIRANDA MELIAN SOFIA")</f>
        <v>MIRANDA MELIAN SOFIA</v>
      </c>
      <c r="D403" s="1" t="str">
        <f>IFERROR(__xludf.DUMMYFUNCTION("""COMPUTED_VALUE"""),"Lentes de STOCK")</f>
        <v>Lentes de STOCK</v>
      </c>
      <c r="E403" s="1" t="str">
        <f>IFERROR(__xludf.DUMMYFUNCTION("""COMPUTED_VALUE"""),"RIVADAVIA Luciana")</f>
        <v>RIVADAVIA Luciana</v>
      </c>
      <c r="F403" s="1" t="str">
        <f t="shared" si="1"/>
        <v>RIVADAVIA </v>
      </c>
      <c r="G403" s="1" t="str">
        <f t="shared" si="2"/>
        <v>Luciana</v>
      </c>
      <c r="H403" s="1" t="str">
        <f>IFERROR(__xludf.DUMMYFUNCTION("""COMPUTED_VALUE"""),"18/1/2023, 17:00:00")</f>
        <v>18/1/2023, 17:00:00</v>
      </c>
      <c r="I403" s="1" t="str">
        <f>IFERROR(__xludf.DUMMYFUNCTION("""COMPUTED_VALUE"""),"RETIRADO OK POR CLIENTE")</f>
        <v>RETIRADO OK POR CLIENTE</v>
      </c>
      <c r="J403" s="1">
        <f t="shared" si="3"/>
        <v>6</v>
      </c>
      <c r="K403" s="1" t="str">
        <f t="shared" si="4"/>
        <v>Entregamos tus lentes, que los disfrutes!</v>
      </c>
    </row>
    <row r="404">
      <c r="A404" s="1">
        <f>IFERROR(__xludf.DUMMYFUNCTION("""COMPUTED_VALUE"""),84954.0)</f>
        <v>84954</v>
      </c>
      <c r="B404" s="5">
        <f>IFERROR(__xludf.DUMMYFUNCTION("""COMPUTED_VALUE"""),44938.439388217594)</f>
        <v>44938.43939</v>
      </c>
      <c r="C404" s="1" t="str">
        <f>IFERROR(__xludf.DUMMYFUNCTION("""COMPUTED_VALUE"""),"MOIGUER JOSE")</f>
        <v>MOIGUER JOSE</v>
      </c>
      <c r="D404" s="1" t="str">
        <f>IFERROR(__xludf.DUMMYFUNCTION("""COMPUTED_VALUE"""),"Lentes de STOCK")</f>
        <v>Lentes de STOCK</v>
      </c>
      <c r="E404" s="1" t="str">
        <f>IFERROR(__xludf.DUMMYFUNCTION("""COMPUTED_VALUE"""),"ARTIGAS Ivana P.")</f>
        <v>ARTIGAS Ivana P.</v>
      </c>
      <c r="F404" s="1" t="str">
        <f t="shared" si="1"/>
        <v>ARTIGAS </v>
      </c>
      <c r="G404" s="1" t="str">
        <f t="shared" si="2"/>
        <v>Ivana P.</v>
      </c>
      <c r="H404" s="1" t="str">
        <f>IFERROR(__xludf.DUMMYFUNCTION("""COMPUTED_VALUE"""),"16/1/2023, 17:00:00")</f>
        <v>16/1/2023, 17:00:00</v>
      </c>
      <c r="I404" s="1" t="str">
        <f>IFERROR(__xludf.DUMMYFUNCTION("""COMPUTED_VALUE"""),"Completado en SUCURSAL")</f>
        <v>Completado en SUCURSAL</v>
      </c>
      <c r="J404" s="1">
        <f t="shared" si="3"/>
        <v>5</v>
      </c>
      <c r="K404" s="1" t="str">
        <f t="shared" si="4"/>
        <v>Tus Lentes estan LISTAS PARA ENTREGAR, te esperamos.</v>
      </c>
    </row>
    <row r="405">
      <c r="A405" s="1">
        <f>IFERROR(__xludf.DUMMYFUNCTION("""COMPUTED_VALUE"""),84955.0)</f>
        <v>84955</v>
      </c>
      <c r="B405" s="5">
        <f>IFERROR(__xludf.DUMMYFUNCTION("""COMPUTED_VALUE"""),44938.44271208333)</f>
        <v>44938.44271</v>
      </c>
      <c r="C405" s="1" t="str">
        <f>IFERROR(__xludf.DUMMYFUNCTION("""COMPUTED_VALUE"""),"BECERRA JAZMIN ")</f>
        <v>BECERRA JAZMIN </v>
      </c>
      <c r="D405" s="1" t="str">
        <f>IFERROR(__xludf.DUMMYFUNCTION("""COMPUTED_VALUE"""),"Lentes de STOCK")</f>
        <v>Lentes de STOCK</v>
      </c>
      <c r="E405" s="1" t="str">
        <f>IFERROR(__xludf.DUMMYFUNCTION("""COMPUTED_VALUE"""),"ARTIGAS Cristian C.")</f>
        <v>ARTIGAS Cristian C.</v>
      </c>
      <c r="F405" s="1" t="str">
        <f t="shared" si="1"/>
        <v>ARTIGAS </v>
      </c>
      <c r="G405" s="1" t="str">
        <f t="shared" si="2"/>
        <v>Cristian C.</v>
      </c>
      <c r="H405" s="1" t="str">
        <f>IFERROR(__xludf.DUMMYFUNCTION("""COMPUTED_VALUE"""),"16/1/2023, 17:00:00")</f>
        <v>16/1/2023, 17:00:00</v>
      </c>
      <c r="I405" s="1" t="str">
        <f>IFERROR(__xludf.DUMMYFUNCTION("""COMPUTED_VALUE"""),"Completado en SUCURSAL")</f>
        <v>Completado en SUCURSAL</v>
      </c>
      <c r="J405" s="1">
        <f t="shared" si="3"/>
        <v>5</v>
      </c>
      <c r="K405" s="1" t="str">
        <f t="shared" si="4"/>
        <v>Tus Lentes estan LISTAS PARA ENTREGAR, te esperamos.</v>
      </c>
    </row>
    <row r="406">
      <c r="A406" s="1">
        <f>IFERROR(__xludf.DUMMYFUNCTION("""COMPUTED_VALUE"""),84956.0)</f>
        <v>84956</v>
      </c>
      <c r="B406" s="5">
        <f>IFERROR(__xludf.DUMMYFUNCTION("""COMPUTED_VALUE"""),44938.447741365744)</f>
        <v>44938.44774</v>
      </c>
      <c r="C406" s="1" t="str">
        <f>IFERROR(__xludf.DUMMYFUNCTION("""COMPUTED_VALUE"""),"NOCHELI ALEJANDRA")</f>
        <v>NOCHELI ALEJANDRA</v>
      </c>
      <c r="D406" s="1" t="str">
        <f>IFERROR(__xludf.DUMMYFUNCTION("""COMPUTED_VALUE"""),"Lentes de LABORATORIO")</f>
        <v>Lentes de LABORATORIO</v>
      </c>
      <c r="E406" s="1" t="str">
        <f>IFERROR(__xludf.DUMMYFUNCTION("""COMPUTED_VALUE"""),"RIVADAVIA Marcela L")</f>
        <v>RIVADAVIA Marcela L</v>
      </c>
      <c r="F406" s="1" t="str">
        <f t="shared" si="1"/>
        <v>RIVADAVIA </v>
      </c>
      <c r="G406" s="1" t="str">
        <f t="shared" si="2"/>
        <v>Marcela L</v>
      </c>
      <c r="H406" s="1" t="str">
        <f>IFERROR(__xludf.DUMMYFUNCTION("""COMPUTED_VALUE"""),"30/1/2023, 17:00:00")</f>
        <v>30/1/2023, 17:00:00</v>
      </c>
      <c r="I406" s="1" t="str">
        <f>IFERROR(__xludf.DUMMYFUNCTION("""COMPUTED_VALUE"""),"Completado en SUCURSAL")</f>
        <v>Completado en SUCURSAL</v>
      </c>
      <c r="J406" s="1">
        <f t="shared" si="3"/>
        <v>5</v>
      </c>
      <c r="K406" s="1" t="str">
        <f t="shared" si="4"/>
        <v>Tus Lentes estan LISTAS PARA ENTREGAR, te esperamos.</v>
      </c>
    </row>
    <row r="407">
      <c r="A407" s="1">
        <f>IFERROR(__xludf.DUMMYFUNCTION("""COMPUTED_VALUE"""),84957.0)</f>
        <v>84957</v>
      </c>
      <c r="B407" s="5">
        <f>IFERROR(__xludf.DUMMYFUNCTION("""COMPUTED_VALUE"""),44938.44913770833)</f>
        <v>44938.44914</v>
      </c>
      <c r="C407" s="1" t="str">
        <f>IFERROR(__xludf.DUMMYFUNCTION("""COMPUTED_VALUE"""),"Guevara Myriam Evangelina")</f>
        <v>Guevara Myriam Evangelina</v>
      </c>
      <c r="D407" s="1" t="str">
        <f>IFERROR(__xludf.DUMMYFUNCTION("""COMPUTED_VALUE"""),"Lentes de STOCK")</f>
        <v>Lentes de STOCK</v>
      </c>
      <c r="E407" s="1" t="str">
        <f>IFERROR(__xludf.DUMMYFUNCTION("""COMPUTED_VALUE"""),"RIVADAVIA Rocio B")</f>
        <v>RIVADAVIA Rocio B</v>
      </c>
      <c r="F407" s="1" t="str">
        <f t="shared" si="1"/>
        <v>RIVADAVIA </v>
      </c>
      <c r="G407" s="1" t="str">
        <f t="shared" si="2"/>
        <v>Rocio B</v>
      </c>
      <c r="H407" s="1" t="str">
        <f>IFERROR(__xludf.DUMMYFUNCTION("""COMPUTED_VALUE"""),"19/1/2023, 17:00:00")</f>
        <v>19/1/2023, 17:00:00</v>
      </c>
      <c r="I407" s="1" t="str">
        <f>IFERROR(__xludf.DUMMYFUNCTION("""COMPUTED_VALUE"""),"RETIRADO OK POR CLIENTE")</f>
        <v>RETIRADO OK POR CLIENTE</v>
      </c>
      <c r="J407" s="1">
        <f t="shared" si="3"/>
        <v>6</v>
      </c>
      <c r="K407" s="1" t="str">
        <f t="shared" si="4"/>
        <v>Entregamos tus lentes, que los disfrutes!</v>
      </c>
    </row>
    <row r="408">
      <c r="A408" s="1">
        <f>IFERROR(__xludf.DUMMYFUNCTION("""COMPUTED_VALUE"""),84958.0)</f>
        <v>84958</v>
      </c>
      <c r="B408" s="5">
        <f>IFERROR(__xludf.DUMMYFUNCTION("""COMPUTED_VALUE"""),44938.45094451389)</f>
        <v>44938.45094</v>
      </c>
      <c r="C408" s="1" t="str">
        <f>IFERROR(__xludf.DUMMYFUNCTION("""COMPUTED_VALUE"""),"ESCUDERO JUANA")</f>
        <v>ESCUDERO JUANA</v>
      </c>
      <c r="D408" s="1" t="str">
        <f>IFERROR(__xludf.DUMMYFUNCTION("""COMPUTED_VALUE"""),"Lentes de STOCK")</f>
        <v>Lentes de STOCK</v>
      </c>
      <c r="E408" s="1" t="str">
        <f>IFERROR(__xludf.DUMMYFUNCTION("""COMPUTED_VALUE"""),"ARTIGAS Cristian C.")</f>
        <v>ARTIGAS Cristian C.</v>
      </c>
      <c r="F408" s="1" t="str">
        <f t="shared" si="1"/>
        <v>ARTIGAS </v>
      </c>
      <c r="G408" s="1" t="str">
        <f t="shared" si="2"/>
        <v>Cristian C.</v>
      </c>
      <c r="H408" s="1" t="str">
        <f>IFERROR(__xludf.DUMMYFUNCTION("""COMPUTED_VALUE"""),"23/1/2023, 17:00:00")</f>
        <v>23/1/2023, 17:00:00</v>
      </c>
      <c r="I408" s="1" t="str">
        <f>IFERROR(__xludf.DUMMYFUNCTION("""COMPUTED_VALUE"""),"RETIRADO OK POR CLIENTE")</f>
        <v>RETIRADO OK POR CLIENTE</v>
      </c>
      <c r="J408" s="1">
        <f t="shared" si="3"/>
        <v>6</v>
      </c>
      <c r="K408" s="1" t="str">
        <f t="shared" si="4"/>
        <v>Entregamos tus lentes, que los disfrutes!</v>
      </c>
    </row>
    <row r="409">
      <c r="A409" s="1">
        <f>IFERROR(__xludf.DUMMYFUNCTION("""COMPUTED_VALUE"""),84959.0)</f>
        <v>84959</v>
      </c>
      <c r="B409" s="5">
        <f>IFERROR(__xludf.DUMMYFUNCTION("""COMPUTED_VALUE"""),44938.45569511574)</f>
        <v>44938.4557</v>
      </c>
      <c r="C409" s="1" t="str">
        <f>IFERROR(__xludf.DUMMYFUNCTION("""COMPUTED_VALUE"""),"SUAREZ PAEZ VICTORIA")</f>
        <v>SUAREZ PAEZ VICTORIA</v>
      </c>
      <c r="D409" s="1" t="str">
        <f>IFERROR(__xludf.DUMMYFUNCTION("""COMPUTED_VALUE"""),"Lentes de STOCK")</f>
        <v>Lentes de STOCK</v>
      </c>
      <c r="E409" s="1" t="str">
        <f>IFERROR(__xludf.DUMMYFUNCTION("""COMPUTED_VALUE"""),"ARTIGAS Cristian C.")</f>
        <v>ARTIGAS Cristian C.</v>
      </c>
      <c r="F409" s="1" t="str">
        <f t="shared" si="1"/>
        <v>ARTIGAS </v>
      </c>
      <c r="G409" s="1" t="str">
        <f t="shared" si="2"/>
        <v>Cristian C.</v>
      </c>
      <c r="H409" s="1" t="str">
        <f>IFERROR(__xludf.DUMMYFUNCTION("""COMPUTED_VALUE"""),"18/1/2023, 17:00:00")</f>
        <v>18/1/2023, 17:00:00</v>
      </c>
      <c r="I409" s="1" t="str">
        <f>IFERROR(__xludf.DUMMYFUNCTION("""COMPUTED_VALUE"""),"RETIRADO OK POR CLIENTE")</f>
        <v>RETIRADO OK POR CLIENTE</v>
      </c>
      <c r="J409" s="1">
        <f t="shared" si="3"/>
        <v>6</v>
      </c>
      <c r="K409" s="1" t="str">
        <f t="shared" si="4"/>
        <v>Entregamos tus lentes, que los disfrutes!</v>
      </c>
    </row>
    <row r="410">
      <c r="A410" s="1">
        <f>IFERROR(__xludf.DUMMYFUNCTION("""COMPUTED_VALUE"""),84960.0)</f>
        <v>84960</v>
      </c>
      <c r="B410" s="5">
        <f>IFERROR(__xludf.DUMMYFUNCTION("""COMPUTED_VALUE"""),44938.45924011574)</f>
        <v>44938.45924</v>
      </c>
      <c r="C410" s="1" t="str">
        <f>IFERROR(__xludf.DUMMYFUNCTION("""COMPUTED_VALUE"""),"CHAVEZ ANGELICA")</f>
        <v>CHAVEZ ANGELICA</v>
      </c>
      <c r="D410" s="1" t="str">
        <f>IFERROR(__xludf.DUMMYFUNCTION("""COMPUTED_VALUE"""),"Reparaciones/Otros")</f>
        <v>Reparaciones/Otros</v>
      </c>
      <c r="E410" s="1" t="str">
        <f>IFERROR(__xludf.DUMMYFUNCTION("""COMPUTED_VALUE"""),"ARTIGAS Cristian C.")</f>
        <v>ARTIGAS Cristian C.</v>
      </c>
      <c r="F410" s="1" t="str">
        <f t="shared" si="1"/>
        <v>ARTIGAS </v>
      </c>
      <c r="G410" s="1" t="str">
        <f t="shared" si="2"/>
        <v>Cristian C.</v>
      </c>
      <c r="H410" s="1" t="str">
        <f>IFERROR(__xludf.DUMMYFUNCTION("""COMPUTED_VALUE"""),"13/1/2023, 17:00:00")</f>
        <v>13/1/2023, 17:00:00</v>
      </c>
      <c r="I410" s="1" t="str">
        <f>IFERROR(__xludf.DUMMYFUNCTION("""COMPUTED_VALUE"""),"Completado en SUCURSAL")</f>
        <v>Completado en SUCURSAL</v>
      </c>
      <c r="J410" s="1">
        <f t="shared" si="3"/>
        <v>5</v>
      </c>
      <c r="K410" s="1" t="str">
        <f t="shared" si="4"/>
        <v>Tus Lentes estan LISTAS PARA ENTREGAR, te esperamos.</v>
      </c>
    </row>
    <row r="411">
      <c r="A411" s="1">
        <f>IFERROR(__xludf.DUMMYFUNCTION("""COMPUTED_VALUE"""),84961.0)</f>
        <v>84961</v>
      </c>
      <c r="B411" s="5">
        <f>IFERROR(__xludf.DUMMYFUNCTION("""COMPUTED_VALUE"""),44938.46086)</f>
        <v>44938.46086</v>
      </c>
      <c r="C411" s="1" t="str">
        <f>IFERROR(__xludf.DUMMYFUNCTION("""COMPUTED_VALUE"""),"CARBONELL DANIELA ")</f>
        <v>CARBONELL DANIELA </v>
      </c>
      <c r="D411" s="1" t="str">
        <f>IFERROR(__xludf.DUMMYFUNCTION("""COMPUTED_VALUE"""),"Lentes de STOCK")</f>
        <v>Lentes de STOCK</v>
      </c>
      <c r="E411" s="1" t="str">
        <f>IFERROR(__xludf.DUMMYFUNCTION("""COMPUTED_VALUE"""),"RIVADAVIA Marcela L")</f>
        <v>RIVADAVIA Marcela L</v>
      </c>
      <c r="F411" s="1" t="str">
        <f t="shared" si="1"/>
        <v>RIVADAVIA </v>
      </c>
      <c r="G411" s="1" t="str">
        <f t="shared" si="2"/>
        <v>Marcela L</v>
      </c>
      <c r="H411" s="1" t="str">
        <f>IFERROR(__xludf.DUMMYFUNCTION("""COMPUTED_VALUE"""),"16/1/2023, 17:00:00")</f>
        <v>16/1/2023, 17:00:00</v>
      </c>
      <c r="I411" s="1" t="str">
        <f>IFERROR(__xludf.DUMMYFUNCTION("""COMPUTED_VALUE"""),"RETIRADO OK POR CLIENTE")</f>
        <v>RETIRADO OK POR CLIENTE</v>
      </c>
      <c r="J411" s="1">
        <f t="shared" si="3"/>
        <v>6</v>
      </c>
      <c r="K411" s="1" t="str">
        <f t="shared" si="4"/>
        <v>Entregamos tus lentes, que los disfrutes!</v>
      </c>
    </row>
    <row r="412">
      <c r="A412" s="1">
        <f>IFERROR(__xludf.DUMMYFUNCTION("""COMPUTED_VALUE"""),84962.0)</f>
        <v>84962</v>
      </c>
      <c r="B412" s="5">
        <f>IFERROR(__xludf.DUMMYFUNCTION("""COMPUTED_VALUE"""),44938.46648744213)</f>
        <v>44938.46649</v>
      </c>
      <c r="C412" s="1" t="str">
        <f>IFERROR(__xludf.DUMMYFUNCTION("""COMPUTED_VALUE"""),"CUADRADO LUCIA")</f>
        <v>CUADRADO LUCIA</v>
      </c>
      <c r="D412" s="1" t="str">
        <f>IFERROR(__xludf.DUMMYFUNCTION("""COMPUTED_VALUE"""),"Lentes de STOCK")</f>
        <v>Lentes de STOCK</v>
      </c>
      <c r="E412" s="1" t="str">
        <f>IFERROR(__xludf.DUMMYFUNCTION("""COMPUTED_VALUE"""),"ARTIGAS Cristian C.")</f>
        <v>ARTIGAS Cristian C.</v>
      </c>
      <c r="F412" s="1" t="str">
        <f t="shared" si="1"/>
        <v>ARTIGAS </v>
      </c>
      <c r="G412" s="1" t="str">
        <f t="shared" si="2"/>
        <v>Cristian C.</v>
      </c>
      <c r="H412" s="1" t="str">
        <f>IFERROR(__xludf.DUMMYFUNCTION("""COMPUTED_VALUE"""),"18/1/2023, 17:00:00")</f>
        <v>18/1/2023, 17:00:00</v>
      </c>
      <c r="I412" s="1" t="str">
        <f>IFERROR(__xludf.DUMMYFUNCTION("""COMPUTED_VALUE"""),"Completado en SUCURSAL")</f>
        <v>Completado en SUCURSAL</v>
      </c>
      <c r="J412" s="1">
        <f t="shared" si="3"/>
        <v>5</v>
      </c>
      <c r="K412" s="1" t="str">
        <f t="shared" si="4"/>
        <v>Tus Lentes estan LISTAS PARA ENTREGAR, te esperamos.</v>
      </c>
    </row>
    <row r="413">
      <c r="A413" s="1">
        <f>IFERROR(__xludf.DUMMYFUNCTION("""COMPUTED_VALUE"""),84963.0)</f>
        <v>84963</v>
      </c>
      <c r="B413" s="5">
        <f>IFERROR(__xludf.DUMMYFUNCTION("""COMPUTED_VALUE"""),44938.46679922454)</f>
        <v>44938.4668</v>
      </c>
      <c r="C413" s="1" t="str">
        <f>IFERROR(__xludf.DUMMYFUNCTION("""COMPUTED_VALUE"""),"LOPEZ MARIA")</f>
        <v>LOPEZ MARIA</v>
      </c>
      <c r="D413" s="1" t="str">
        <f>IFERROR(__xludf.DUMMYFUNCTION("""COMPUTED_VALUE"""),"Reparaciones/Otros")</f>
        <v>Reparaciones/Otros</v>
      </c>
      <c r="E413" s="1" t="str">
        <f>IFERROR(__xludf.DUMMYFUNCTION("""COMPUTED_VALUE"""),"ARTIGAS Celina")</f>
        <v>ARTIGAS Celina</v>
      </c>
      <c r="F413" s="1" t="str">
        <f t="shared" si="1"/>
        <v>ARTIGAS </v>
      </c>
      <c r="G413" s="1" t="str">
        <f t="shared" si="2"/>
        <v>Celina</v>
      </c>
      <c r="H413" s="1" t="str">
        <f>IFERROR(__xludf.DUMMYFUNCTION("""COMPUTED_VALUE"""),"13/1/2023, 18:00:00")</f>
        <v>13/1/2023, 18:00:00</v>
      </c>
      <c r="I413" s="1" t="str">
        <f>IFERROR(__xludf.DUMMYFUNCTION("""COMPUTED_VALUE"""),"Completado en SUCURSAL")</f>
        <v>Completado en SUCURSAL</v>
      </c>
      <c r="J413" s="1">
        <f t="shared" si="3"/>
        <v>5</v>
      </c>
      <c r="K413" s="1" t="str">
        <f t="shared" si="4"/>
        <v>Tus Lentes estan LISTAS PARA ENTREGAR, te esperamos.</v>
      </c>
    </row>
    <row r="414">
      <c r="A414" s="1">
        <f>IFERROR(__xludf.DUMMYFUNCTION("""COMPUTED_VALUE"""),84964.0)</f>
        <v>84964</v>
      </c>
      <c r="B414" s="5">
        <f>IFERROR(__xludf.DUMMYFUNCTION("""COMPUTED_VALUE"""),44938.4683283912)</f>
        <v>44938.46833</v>
      </c>
      <c r="C414" s="1" t="str">
        <f>IFERROR(__xludf.DUMMYFUNCTION("""COMPUTED_VALUE"""),"OCHOA JOSE")</f>
        <v>OCHOA JOSE</v>
      </c>
      <c r="D414" s="1" t="str">
        <f>IFERROR(__xludf.DUMMYFUNCTION("""COMPUTED_VALUE"""),"Reparaciones/Otros")</f>
        <v>Reparaciones/Otros</v>
      </c>
      <c r="E414" s="1" t="str">
        <f>IFERROR(__xludf.DUMMYFUNCTION("""COMPUTED_VALUE"""),"ARTIGAS Ivana P.")</f>
        <v>ARTIGAS Ivana P.</v>
      </c>
      <c r="F414" s="1" t="str">
        <f t="shared" si="1"/>
        <v>ARTIGAS </v>
      </c>
      <c r="G414" s="1" t="str">
        <f t="shared" si="2"/>
        <v>Ivana P.</v>
      </c>
      <c r="H414" s="1" t="str">
        <f>IFERROR(__xludf.DUMMYFUNCTION("""COMPUTED_VALUE"""),"16/1/2023, 17:00:00")</f>
        <v>16/1/2023, 17:00:00</v>
      </c>
      <c r="I414" s="1" t="str">
        <f>IFERROR(__xludf.DUMMYFUNCTION("""COMPUTED_VALUE"""),"Completado en SUCURSAL")</f>
        <v>Completado en SUCURSAL</v>
      </c>
      <c r="J414" s="1">
        <f t="shared" si="3"/>
        <v>5</v>
      </c>
      <c r="K414" s="1" t="str">
        <f t="shared" si="4"/>
        <v>Tus Lentes estan LISTAS PARA ENTREGAR, te esperamos.</v>
      </c>
    </row>
    <row r="415">
      <c r="A415" s="1">
        <f>IFERROR(__xludf.DUMMYFUNCTION("""COMPUTED_VALUE"""),84965.0)</f>
        <v>84965</v>
      </c>
      <c r="B415" s="5">
        <f>IFERROR(__xludf.DUMMYFUNCTION("""COMPUTED_VALUE"""),44938.46941737269)</f>
        <v>44938.46942</v>
      </c>
      <c r="C415" s="1" t="str">
        <f>IFERROR(__xludf.DUMMYFUNCTION("""COMPUTED_VALUE"""),"Garay Nestor")</f>
        <v>Garay Nestor</v>
      </c>
      <c r="D415" s="1" t="str">
        <f>IFERROR(__xludf.DUMMYFUNCTION("""COMPUTED_VALUE"""),"Lentes de STOCK")</f>
        <v>Lentes de STOCK</v>
      </c>
      <c r="E415" s="1" t="str">
        <f>IFERROR(__xludf.DUMMYFUNCTION("""COMPUTED_VALUE"""),"RIVADAVIA Rocio B")</f>
        <v>RIVADAVIA Rocio B</v>
      </c>
      <c r="F415" s="1" t="str">
        <f t="shared" si="1"/>
        <v>RIVADAVIA </v>
      </c>
      <c r="G415" s="1" t="str">
        <f t="shared" si="2"/>
        <v>Rocio B</v>
      </c>
      <c r="H415" s="1" t="str">
        <f>IFERROR(__xludf.DUMMYFUNCTION("""COMPUTED_VALUE"""),"24/1/2023, 17:00:00")</f>
        <v>24/1/2023, 17:00:00</v>
      </c>
      <c r="I415" s="1" t="str">
        <f>IFERROR(__xludf.DUMMYFUNCTION("""COMPUTED_VALUE"""),"RETIRADO OK POR CLIENTE")</f>
        <v>RETIRADO OK POR CLIENTE</v>
      </c>
      <c r="J415" s="1">
        <f t="shared" si="3"/>
        <v>6</v>
      </c>
      <c r="K415" s="1" t="str">
        <f t="shared" si="4"/>
        <v>Entregamos tus lentes, que los disfrutes!</v>
      </c>
    </row>
    <row r="416">
      <c r="A416" s="1">
        <f>IFERROR(__xludf.DUMMYFUNCTION("""COMPUTED_VALUE"""),84966.0)</f>
        <v>84966</v>
      </c>
      <c r="B416" s="5">
        <f>IFERROR(__xludf.DUMMYFUNCTION("""COMPUTED_VALUE"""),44938.47430826389)</f>
        <v>44938.47431</v>
      </c>
      <c r="C416" s="1" t="str">
        <f>IFERROR(__xludf.DUMMYFUNCTION("""COMPUTED_VALUE"""),"PUERTAS IRMA LORENA")</f>
        <v>PUERTAS IRMA LORENA</v>
      </c>
      <c r="D416" s="1" t="str">
        <f>IFERROR(__xludf.DUMMYFUNCTION("""COMPUTED_VALUE"""),"Reparaciones/Otros")</f>
        <v>Reparaciones/Otros</v>
      </c>
      <c r="E416" s="1" t="str">
        <f>IFERROR(__xludf.DUMMYFUNCTION("""COMPUTED_VALUE"""),"RIVADAVIA Luciana")</f>
        <v>RIVADAVIA Luciana</v>
      </c>
      <c r="F416" s="1" t="str">
        <f t="shared" si="1"/>
        <v>RIVADAVIA </v>
      </c>
      <c r="G416" s="1" t="str">
        <f t="shared" si="2"/>
        <v>Luciana</v>
      </c>
      <c r="H416" s="1" t="str">
        <f>IFERROR(__xludf.DUMMYFUNCTION("""COMPUTED_VALUE"""),"14/1/2023, 12:00:00")</f>
        <v>14/1/2023, 12:00:00</v>
      </c>
      <c r="I416" s="1" t="str">
        <f>IFERROR(__xludf.DUMMYFUNCTION("""COMPUTED_VALUE"""),"Completado en SUCURSAL")</f>
        <v>Completado en SUCURSAL</v>
      </c>
      <c r="J416" s="1">
        <f t="shared" si="3"/>
        <v>5</v>
      </c>
      <c r="K416" s="1" t="str">
        <f t="shared" si="4"/>
        <v>Tus Lentes estan LISTAS PARA ENTREGAR, te esperamos.</v>
      </c>
    </row>
    <row r="417">
      <c r="A417" s="1">
        <f>IFERROR(__xludf.DUMMYFUNCTION("""COMPUTED_VALUE"""),84967.0)</f>
        <v>84967</v>
      </c>
      <c r="B417" s="5">
        <f>IFERROR(__xludf.DUMMYFUNCTION("""COMPUTED_VALUE"""),44938.48604606482)</f>
        <v>44938.48605</v>
      </c>
      <c r="C417" s="1" t="str">
        <f>IFERROR(__xludf.DUMMYFUNCTION("""COMPUTED_VALUE"""),"PRINCIPAL")</f>
        <v>PRINCIPAL</v>
      </c>
      <c r="D417" s="1" t="str">
        <f>IFERROR(__xludf.DUMMYFUNCTION("""COMPUTED_VALUE"""),"Reparaciones/Otros")</f>
        <v>Reparaciones/Otros</v>
      </c>
      <c r="E417" s="1" t="str">
        <f>IFERROR(__xludf.DUMMYFUNCTION("""COMPUTED_VALUE"""),"RIVADAVIA Daniel CM")</f>
        <v>RIVADAVIA Daniel CM</v>
      </c>
      <c r="F417" s="1" t="str">
        <f t="shared" si="1"/>
        <v>RIVADAVIA </v>
      </c>
      <c r="G417" s="1" t="str">
        <f t="shared" si="2"/>
        <v>Daniel CM</v>
      </c>
      <c r="H417" s="1" t="str">
        <f>IFERROR(__xludf.DUMMYFUNCTION("""COMPUTED_VALUE"""),"13/1/2023, 17:00:00")</f>
        <v>13/1/2023, 17:00:00</v>
      </c>
      <c r="I417" s="1" t="str">
        <f>IFERROR(__xludf.DUMMYFUNCTION("""COMPUTED_VALUE"""),"Completado en SUCURSAL")</f>
        <v>Completado en SUCURSAL</v>
      </c>
      <c r="J417" s="1">
        <f t="shared" si="3"/>
        <v>5</v>
      </c>
      <c r="K417" s="1" t="str">
        <f t="shared" si="4"/>
        <v>Tus Lentes estan LISTAS PARA ENTREGAR, te esperamos.</v>
      </c>
    </row>
    <row r="418">
      <c r="A418" s="1">
        <f>IFERROR(__xludf.DUMMYFUNCTION("""COMPUTED_VALUE"""),84968.0)</f>
        <v>84968</v>
      </c>
      <c r="B418" s="5">
        <f>IFERROR(__xludf.DUMMYFUNCTION("""COMPUTED_VALUE"""),44938.49653480324)</f>
        <v>44938.49653</v>
      </c>
      <c r="C418" s="1" t="str">
        <f>IFERROR(__xludf.DUMMYFUNCTION("""COMPUTED_VALUE"""),"MERCU MIRIAM")</f>
        <v>MERCU MIRIAM</v>
      </c>
      <c r="D418" s="1" t="str">
        <f>IFERROR(__xludf.DUMMYFUNCTION("""COMPUTED_VALUE"""),"Reparaciones/Otros")</f>
        <v>Reparaciones/Otros</v>
      </c>
      <c r="E418" s="1" t="str">
        <f>IFERROR(__xludf.DUMMYFUNCTION("""COMPUTED_VALUE"""),"RIVADAVIA Daniel CM")</f>
        <v>RIVADAVIA Daniel CM</v>
      </c>
      <c r="F418" s="1" t="str">
        <f t="shared" si="1"/>
        <v>RIVADAVIA </v>
      </c>
      <c r="G418" s="1" t="str">
        <f t="shared" si="2"/>
        <v>Daniel CM</v>
      </c>
      <c r="H418" s="1" t="str">
        <f>IFERROR(__xludf.DUMMYFUNCTION("""COMPUTED_VALUE"""),"13/1/2023, 17:00:00")</f>
        <v>13/1/2023, 17:00:00</v>
      </c>
      <c r="I418" s="1" t="str">
        <f>IFERROR(__xludf.DUMMYFUNCTION("""COMPUTED_VALUE"""),"Completado en SUCURSAL")</f>
        <v>Completado en SUCURSAL</v>
      </c>
      <c r="J418" s="1">
        <f t="shared" si="3"/>
        <v>5</v>
      </c>
      <c r="K418" s="1" t="str">
        <f t="shared" si="4"/>
        <v>Tus Lentes estan LISTAS PARA ENTREGAR, te esperamos.</v>
      </c>
    </row>
    <row r="419">
      <c r="A419" s="1">
        <f>IFERROR(__xludf.DUMMYFUNCTION("""COMPUTED_VALUE"""),84969.0)</f>
        <v>84969</v>
      </c>
      <c r="B419" s="5">
        <f>IFERROR(__xludf.DUMMYFUNCTION("""COMPUTED_VALUE"""),44938.497199398145)</f>
        <v>44938.4972</v>
      </c>
      <c r="C419" s="1" t="str">
        <f>IFERROR(__xludf.DUMMYFUNCTION("""COMPUTED_VALUE"""),"FUNES REYMUNDO DEL CARMEN")</f>
        <v>FUNES REYMUNDO DEL CARMEN</v>
      </c>
      <c r="D419" s="1" t="str">
        <f>IFERROR(__xludf.DUMMYFUNCTION("""COMPUTED_VALUE"""),"Lentes de STOCK")</f>
        <v>Lentes de STOCK</v>
      </c>
      <c r="E419" s="1" t="str">
        <f>IFERROR(__xludf.DUMMYFUNCTION("""COMPUTED_VALUE"""),"ARTIGAS Ivana P.")</f>
        <v>ARTIGAS Ivana P.</v>
      </c>
      <c r="F419" s="1" t="str">
        <f t="shared" si="1"/>
        <v>ARTIGAS </v>
      </c>
      <c r="G419" s="1" t="str">
        <f t="shared" si="2"/>
        <v>Ivana P.</v>
      </c>
      <c r="H419" s="1" t="str">
        <f>IFERROR(__xludf.DUMMYFUNCTION("""COMPUTED_VALUE"""),"17/1/2023, 17:00:00")</f>
        <v>17/1/2023, 17:00:00</v>
      </c>
      <c r="I419" s="1" t="str">
        <f>IFERROR(__xludf.DUMMYFUNCTION("""COMPUTED_VALUE"""),"Completado en SUCURSAL")</f>
        <v>Completado en SUCURSAL</v>
      </c>
      <c r="J419" s="1">
        <f t="shared" si="3"/>
        <v>5</v>
      </c>
      <c r="K419" s="1" t="str">
        <f t="shared" si="4"/>
        <v>Tus Lentes estan LISTAS PARA ENTREGAR, te esperamos.</v>
      </c>
    </row>
    <row r="420">
      <c r="A420" s="1">
        <f>IFERROR(__xludf.DUMMYFUNCTION("""COMPUTED_VALUE"""),84970.0)</f>
        <v>84970</v>
      </c>
      <c r="B420" s="5">
        <f>IFERROR(__xludf.DUMMYFUNCTION("""COMPUTED_VALUE"""),44938.499665069445)</f>
        <v>44938.49967</v>
      </c>
      <c r="C420" s="1" t="str">
        <f>IFERROR(__xludf.DUMMYFUNCTION("""COMPUTED_VALUE"""),"Parma Santiago")</f>
        <v>Parma Santiago</v>
      </c>
      <c r="D420" s="1" t="str">
        <f>IFERROR(__xludf.DUMMYFUNCTION("""COMPUTED_VALUE"""),"Reparaciones/Otros")</f>
        <v>Reparaciones/Otros</v>
      </c>
      <c r="E420" s="1" t="str">
        <f>IFERROR(__xludf.DUMMYFUNCTION("""COMPUTED_VALUE"""),"RIVADAVIA Rocio B")</f>
        <v>RIVADAVIA Rocio B</v>
      </c>
      <c r="F420" s="1" t="str">
        <f t="shared" si="1"/>
        <v>RIVADAVIA </v>
      </c>
      <c r="G420" s="1" t="str">
        <f t="shared" si="2"/>
        <v>Rocio B</v>
      </c>
      <c r="H420" s="1" t="str">
        <f>IFERROR(__xludf.DUMMYFUNCTION("""COMPUTED_VALUE"""),"13/1/2023, 17:00:00")</f>
        <v>13/1/2023, 17:00:00</v>
      </c>
      <c r="I420" s="1" t="str">
        <f>IFERROR(__xludf.DUMMYFUNCTION("""COMPUTED_VALUE"""),"Completado en SUCURSAL")</f>
        <v>Completado en SUCURSAL</v>
      </c>
      <c r="J420" s="1">
        <f t="shared" si="3"/>
        <v>5</v>
      </c>
      <c r="K420" s="1" t="str">
        <f t="shared" si="4"/>
        <v>Tus Lentes estan LISTAS PARA ENTREGAR, te esperamos.</v>
      </c>
    </row>
    <row r="421">
      <c r="A421" s="1">
        <f>IFERROR(__xludf.DUMMYFUNCTION("""COMPUTED_VALUE"""),84971.0)</f>
        <v>84971</v>
      </c>
      <c r="B421" s="5">
        <f>IFERROR(__xludf.DUMMYFUNCTION("""COMPUTED_VALUE"""),44938.50700557871)</f>
        <v>44938.50701</v>
      </c>
      <c r="C421" s="1" t="str">
        <f>IFERROR(__xludf.DUMMYFUNCTION("""COMPUTED_VALUE"""),"OROZCO NORMA")</f>
        <v>OROZCO NORMA</v>
      </c>
      <c r="D421" s="1" t="str">
        <f>IFERROR(__xludf.DUMMYFUNCTION("""COMPUTED_VALUE"""),"Lentes BIFOCALES")</f>
        <v>Lentes BIFOCALES</v>
      </c>
      <c r="E421" s="1" t="str">
        <f>IFERROR(__xludf.DUMMYFUNCTION("""COMPUTED_VALUE"""),"RIVADAVIA Santiago LOPEZ")</f>
        <v>RIVADAVIA Santiago LOPEZ</v>
      </c>
      <c r="F421" s="1" t="str">
        <f t="shared" si="1"/>
        <v>RIVADAVIA </v>
      </c>
      <c r="G421" s="1" t="str">
        <f t="shared" si="2"/>
        <v>Santiago LOPEZ</v>
      </c>
      <c r="H421" s="1" t="str">
        <f>IFERROR(__xludf.DUMMYFUNCTION("""COMPUTED_VALUE"""),"23/1/2023, 17:00:00")</f>
        <v>23/1/2023, 17:00:00</v>
      </c>
      <c r="I421" s="1" t="str">
        <f>IFERROR(__xludf.DUMMYFUNCTION("""COMPUTED_VALUE"""),"RETIRADO OK POR CLIENTE")</f>
        <v>RETIRADO OK POR CLIENTE</v>
      </c>
      <c r="J421" s="1">
        <f t="shared" si="3"/>
        <v>6</v>
      </c>
      <c r="K421" s="1" t="str">
        <f t="shared" si="4"/>
        <v>Entregamos tus lentes, que los disfrutes!</v>
      </c>
    </row>
    <row r="422">
      <c r="A422" s="1">
        <f>IFERROR(__xludf.DUMMYFUNCTION("""COMPUTED_VALUE"""),84972.0)</f>
        <v>84972</v>
      </c>
      <c r="B422" s="5">
        <f>IFERROR(__xludf.DUMMYFUNCTION("""COMPUTED_VALUE"""),44938.514685393515)</f>
        <v>44938.51469</v>
      </c>
      <c r="C422" s="1" t="str">
        <f>IFERROR(__xludf.DUMMYFUNCTION("""COMPUTED_VALUE"""),"PELLERITI MARIA CRISTINA")</f>
        <v>PELLERITI MARIA CRISTINA</v>
      </c>
      <c r="D422" s="1" t="str">
        <f>IFERROR(__xludf.DUMMYFUNCTION("""COMPUTED_VALUE"""),"Lentes de STOCK")</f>
        <v>Lentes de STOCK</v>
      </c>
      <c r="E422" s="1" t="str">
        <f>IFERROR(__xludf.DUMMYFUNCTION("""COMPUTED_VALUE"""),"RIVADAVIA Marcela L")</f>
        <v>RIVADAVIA Marcela L</v>
      </c>
      <c r="F422" s="1" t="str">
        <f t="shared" si="1"/>
        <v>RIVADAVIA </v>
      </c>
      <c r="G422" s="1" t="str">
        <f t="shared" si="2"/>
        <v>Marcela L</v>
      </c>
      <c r="H422" s="1" t="str">
        <f>IFERROR(__xludf.DUMMYFUNCTION("""COMPUTED_VALUE"""),"17/1/2023, 17:00:00")</f>
        <v>17/1/2023, 17:00:00</v>
      </c>
      <c r="I422" s="1" t="str">
        <f>IFERROR(__xludf.DUMMYFUNCTION("""COMPUTED_VALUE"""),"RETIRADO OK POR CLIENTE")</f>
        <v>RETIRADO OK POR CLIENTE</v>
      </c>
      <c r="J422" s="1">
        <f t="shared" si="3"/>
        <v>6</v>
      </c>
      <c r="K422" s="1" t="str">
        <f t="shared" si="4"/>
        <v>Entregamos tus lentes, que los disfrutes!</v>
      </c>
    </row>
    <row r="423">
      <c r="A423" s="1">
        <f>IFERROR(__xludf.DUMMYFUNCTION("""COMPUTED_VALUE"""),84973.0)</f>
        <v>84973</v>
      </c>
      <c r="B423" s="5">
        <f>IFERROR(__xludf.DUMMYFUNCTION("""COMPUTED_VALUE"""),44938.520803356485)</f>
        <v>44938.5208</v>
      </c>
      <c r="C423" s="1" t="str">
        <f>IFERROR(__xludf.DUMMYFUNCTION("""COMPUTED_VALUE"""),"BALLADORE CLAUDIA VANESA")</f>
        <v>BALLADORE CLAUDIA VANESA</v>
      </c>
      <c r="D423" s="1" t="str">
        <f>IFERROR(__xludf.DUMMYFUNCTION("""COMPUTED_VALUE"""),"Lentes de STOCK")</f>
        <v>Lentes de STOCK</v>
      </c>
      <c r="E423" s="1" t="str">
        <f>IFERROR(__xludf.DUMMYFUNCTION("""COMPUTED_VALUE"""),"RIVADAVIA Luciana")</f>
        <v>RIVADAVIA Luciana</v>
      </c>
      <c r="F423" s="1" t="str">
        <f t="shared" si="1"/>
        <v>RIVADAVIA </v>
      </c>
      <c r="G423" s="1" t="str">
        <f t="shared" si="2"/>
        <v>Luciana</v>
      </c>
      <c r="H423" s="1" t="str">
        <f>IFERROR(__xludf.DUMMYFUNCTION("""COMPUTED_VALUE"""),"18/1/2023, 17:00:00")</f>
        <v>18/1/2023, 17:00:00</v>
      </c>
      <c r="I423" s="1" t="str">
        <f>IFERROR(__xludf.DUMMYFUNCTION("""COMPUTED_VALUE"""),"RETIRADO OK POR CLIENTE")</f>
        <v>RETIRADO OK POR CLIENTE</v>
      </c>
      <c r="J423" s="1">
        <f t="shared" si="3"/>
        <v>6</v>
      </c>
      <c r="K423" s="1" t="str">
        <f t="shared" si="4"/>
        <v>Entregamos tus lentes, que los disfrutes!</v>
      </c>
    </row>
    <row r="424">
      <c r="A424" s="1">
        <f>IFERROR(__xludf.DUMMYFUNCTION("""COMPUTED_VALUE"""),84974.0)</f>
        <v>84974</v>
      </c>
      <c r="B424" s="5">
        <f>IFERROR(__xludf.DUMMYFUNCTION("""COMPUTED_VALUE"""),44938.523346041664)</f>
        <v>44938.52335</v>
      </c>
      <c r="C424" s="1" t="str">
        <f>IFERROR(__xludf.DUMMYFUNCTION("""COMPUTED_VALUE"""),"BOSSIO VIRGINIA")</f>
        <v>BOSSIO VIRGINIA</v>
      </c>
      <c r="D424" s="1" t="str">
        <f>IFERROR(__xludf.DUMMYFUNCTION("""COMPUTED_VALUE"""),"Lentes de STOCK")</f>
        <v>Lentes de STOCK</v>
      </c>
      <c r="E424" s="1" t="str">
        <f>IFERROR(__xludf.DUMMYFUNCTION("""COMPUTED_VALUE"""),"RIVADAVIA Daniel CM")</f>
        <v>RIVADAVIA Daniel CM</v>
      </c>
      <c r="F424" s="1" t="str">
        <f t="shared" si="1"/>
        <v>RIVADAVIA </v>
      </c>
      <c r="G424" s="1" t="str">
        <f t="shared" si="2"/>
        <v>Daniel CM</v>
      </c>
      <c r="H424" s="1" t="str">
        <f>IFERROR(__xludf.DUMMYFUNCTION("""COMPUTED_VALUE"""),"17/1/2023, 17:00:00")</f>
        <v>17/1/2023, 17:00:00</v>
      </c>
      <c r="I424" s="1" t="str">
        <f>IFERROR(__xludf.DUMMYFUNCTION("""COMPUTED_VALUE"""),"Enviado a Laboratorio")</f>
        <v>Enviado a Laboratorio</v>
      </c>
      <c r="J424" s="1">
        <f t="shared" si="3"/>
        <v>1</v>
      </c>
      <c r="K424" s="1" t="str">
        <f t="shared" si="4"/>
        <v>Tus lentes estan en camino a nuestro laboratorio para ponerlos en marcha.</v>
      </c>
    </row>
    <row r="425">
      <c r="A425" s="1">
        <f>IFERROR(__xludf.DUMMYFUNCTION("""COMPUTED_VALUE"""),84975.0)</f>
        <v>84975</v>
      </c>
      <c r="B425" s="5">
        <f>IFERROR(__xludf.DUMMYFUNCTION("""COMPUTED_VALUE"""),44938.5341353125)</f>
        <v>44938.53414</v>
      </c>
      <c r="C425" s="1" t="str">
        <f>IFERROR(__xludf.DUMMYFUNCTION("""COMPUTED_VALUE"""),"BECERRA GUSTAVO")</f>
        <v>BECERRA GUSTAVO</v>
      </c>
      <c r="D425" s="1" t="str">
        <f>IFERROR(__xludf.DUMMYFUNCTION("""COMPUTED_VALUE"""),"Lentes MULTIFOCALES")</f>
        <v>Lentes MULTIFOCALES</v>
      </c>
      <c r="E425" s="1" t="str">
        <f>IFERROR(__xludf.DUMMYFUNCTION("""COMPUTED_VALUE"""),"RIVADAVIA Santiago LOPEZ")</f>
        <v>RIVADAVIA Santiago LOPEZ</v>
      </c>
      <c r="F425" s="1" t="str">
        <f t="shared" si="1"/>
        <v>RIVADAVIA </v>
      </c>
      <c r="G425" s="1" t="str">
        <f t="shared" si="2"/>
        <v>Santiago LOPEZ</v>
      </c>
      <c r="H425" s="1" t="str">
        <f>IFERROR(__xludf.DUMMYFUNCTION("""COMPUTED_VALUE"""),"25/1/2023, 17:00:00")</f>
        <v>25/1/2023, 17:00:00</v>
      </c>
      <c r="I425" s="1" t="str">
        <f>IFERROR(__xludf.DUMMYFUNCTION("""COMPUTED_VALUE"""),"Completado en SUCURSAL")</f>
        <v>Completado en SUCURSAL</v>
      </c>
      <c r="J425" s="1">
        <f t="shared" si="3"/>
        <v>5</v>
      </c>
      <c r="K425" s="1" t="str">
        <f t="shared" si="4"/>
        <v>Tus Lentes estan LISTAS PARA ENTREGAR, te esperamos.</v>
      </c>
    </row>
    <row r="426">
      <c r="A426" s="1">
        <f>IFERROR(__xludf.DUMMYFUNCTION("""COMPUTED_VALUE"""),84976.0)</f>
        <v>84976</v>
      </c>
      <c r="B426" s="5">
        <f>IFERROR(__xludf.DUMMYFUNCTION("""COMPUTED_VALUE"""),44938.53532487269)</f>
        <v>44938.53532</v>
      </c>
      <c r="C426" s="1" t="str">
        <f>IFERROR(__xludf.DUMMYFUNCTION("""COMPUTED_VALUE"""),"AVERSA FRANCO")</f>
        <v>AVERSA FRANCO</v>
      </c>
      <c r="D426" s="1" t="str">
        <f>IFERROR(__xludf.DUMMYFUNCTION("""COMPUTED_VALUE"""),"Lentes de STOCK")</f>
        <v>Lentes de STOCK</v>
      </c>
      <c r="E426" s="1" t="str">
        <f>IFERROR(__xludf.DUMMYFUNCTION("""COMPUTED_VALUE"""),"ARTIGAS Ivana P.")</f>
        <v>ARTIGAS Ivana P.</v>
      </c>
      <c r="F426" s="1" t="str">
        <f t="shared" si="1"/>
        <v>ARTIGAS </v>
      </c>
      <c r="G426" s="1" t="str">
        <f t="shared" si="2"/>
        <v>Ivana P.</v>
      </c>
      <c r="H426" s="1" t="str">
        <f>IFERROR(__xludf.DUMMYFUNCTION("""COMPUTED_VALUE"""),"16/1/2023, 17:00:00")</f>
        <v>16/1/2023, 17:00:00</v>
      </c>
      <c r="I426" s="1" t="str">
        <f>IFERROR(__xludf.DUMMYFUNCTION("""COMPUTED_VALUE"""),"RETIRADO OK POR CLIENTE")</f>
        <v>RETIRADO OK POR CLIENTE</v>
      </c>
      <c r="J426" s="1">
        <f t="shared" si="3"/>
        <v>6</v>
      </c>
      <c r="K426" s="1" t="str">
        <f t="shared" si="4"/>
        <v>Entregamos tus lentes, que los disfrutes!</v>
      </c>
    </row>
    <row r="427">
      <c r="A427" s="1">
        <f>IFERROR(__xludf.DUMMYFUNCTION("""COMPUTED_VALUE"""),84977.0)</f>
        <v>84977</v>
      </c>
      <c r="B427" s="5">
        <f>IFERROR(__xludf.DUMMYFUNCTION("""COMPUTED_VALUE"""),44938.547327974535)</f>
        <v>44938.54733</v>
      </c>
      <c r="C427" s="1" t="str">
        <f>IFERROR(__xludf.DUMMYFUNCTION("""COMPUTED_VALUE"""),"FLORES DELIA ESTHER")</f>
        <v>FLORES DELIA ESTHER</v>
      </c>
      <c r="D427" s="1" t="str">
        <f>IFERROR(__xludf.DUMMYFUNCTION("""COMPUTED_VALUE"""),"Lentes BIFOCALES")</f>
        <v>Lentes BIFOCALES</v>
      </c>
      <c r="E427" s="1" t="str">
        <f>IFERROR(__xludf.DUMMYFUNCTION("""COMPUTED_VALUE"""),"RIVADAVIA Marcela L")</f>
        <v>RIVADAVIA Marcela L</v>
      </c>
      <c r="F427" s="1" t="str">
        <f t="shared" si="1"/>
        <v>RIVADAVIA </v>
      </c>
      <c r="G427" s="1" t="str">
        <f t="shared" si="2"/>
        <v>Marcela L</v>
      </c>
      <c r="H427" s="1" t="str">
        <f>IFERROR(__xludf.DUMMYFUNCTION("""COMPUTED_VALUE"""),"17/1/2023, 17:00:00")</f>
        <v>17/1/2023, 17:00:00</v>
      </c>
      <c r="I427" s="1" t="str">
        <f>IFERROR(__xludf.DUMMYFUNCTION("""COMPUTED_VALUE"""),"RETIRADO OK POR CLIENTE")</f>
        <v>RETIRADO OK POR CLIENTE</v>
      </c>
      <c r="J427" s="1">
        <f t="shared" si="3"/>
        <v>6</v>
      </c>
      <c r="K427" s="1" t="str">
        <f t="shared" si="4"/>
        <v>Entregamos tus lentes, que los disfrutes!</v>
      </c>
    </row>
    <row r="428">
      <c r="A428" s="1">
        <f>IFERROR(__xludf.DUMMYFUNCTION("""COMPUTED_VALUE"""),84978.0)</f>
        <v>84978</v>
      </c>
      <c r="B428" s="5">
        <f>IFERROR(__xludf.DUMMYFUNCTION("""COMPUTED_VALUE"""),44938.552544652775)</f>
        <v>44938.55254</v>
      </c>
      <c r="C428" s="1" t="str">
        <f>IFERROR(__xludf.DUMMYFUNCTION("""COMPUTED_VALUE"""),"ZURANO EDUARDO")</f>
        <v>ZURANO EDUARDO</v>
      </c>
      <c r="D428" s="1" t="str">
        <f>IFERROR(__xludf.DUMMYFUNCTION("""COMPUTED_VALUE"""),"Lentes de STOCK")</f>
        <v>Lentes de STOCK</v>
      </c>
      <c r="E428" s="1" t="str">
        <f>IFERROR(__xludf.DUMMYFUNCTION("""COMPUTED_VALUE"""),"RIVADAVIA Luciana")</f>
        <v>RIVADAVIA Luciana</v>
      </c>
      <c r="F428" s="1" t="str">
        <f t="shared" si="1"/>
        <v>RIVADAVIA </v>
      </c>
      <c r="G428" s="1" t="str">
        <f t="shared" si="2"/>
        <v>Luciana</v>
      </c>
      <c r="H428" s="1" t="str">
        <f>IFERROR(__xludf.DUMMYFUNCTION("""COMPUTED_VALUE"""),"16/1/2023, 17:00:00")</f>
        <v>16/1/2023, 17:00:00</v>
      </c>
      <c r="I428" s="1" t="str">
        <f>IFERROR(__xludf.DUMMYFUNCTION("""COMPUTED_VALUE"""),"RETIRADO OK POR CLIENTE")</f>
        <v>RETIRADO OK POR CLIENTE</v>
      </c>
      <c r="J428" s="1">
        <f t="shared" si="3"/>
        <v>6</v>
      </c>
      <c r="K428" s="1" t="str">
        <f t="shared" si="4"/>
        <v>Entregamos tus lentes, que los disfrutes!</v>
      </c>
    </row>
    <row r="429">
      <c r="A429" s="1">
        <f>IFERROR(__xludf.DUMMYFUNCTION("""COMPUTED_VALUE"""),84979.0)</f>
        <v>84979</v>
      </c>
      <c r="B429" s="5">
        <f>IFERROR(__xludf.DUMMYFUNCTION("""COMPUTED_VALUE"""),44938.554846886575)</f>
        <v>44938.55485</v>
      </c>
      <c r="C429" s="1" t="str">
        <f>IFERROR(__xludf.DUMMYFUNCTION("""COMPUTED_VALUE"""),"camargo juan marcelo")</f>
        <v>camargo juan marcelo</v>
      </c>
      <c r="D429" s="1" t="str">
        <f>IFERROR(__xludf.DUMMYFUNCTION("""COMPUTED_VALUE"""),"Lentes de STOCK")</f>
        <v>Lentes de STOCK</v>
      </c>
      <c r="E429" s="1" t="str">
        <f>IFERROR(__xludf.DUMMYFUNCTION("""COMPUTED_VALUE"""),"RIVADAVIA Daniel CM")</f>
        <v>RIVADAVIA Daniel CM</v>
      </c>
      <c r="F429" s="1" t="str">
        <f t="shared" si="1"/>
        <v>RIVADAVIA </v>
      </c>
      <c r="G429" s="1" t="str">
        <f t="shared" si="2"/>
        <v>Daniel CM</v>
      </c>
      <c r="H429" s="1" t="str">
        <f>IFERROR(__xludf.DUMMYFUNCTION("""COMPUTED_VALUE"""),"17/1/2023, 17:00:00")</f>
        <v>17/1/2023, 17:00:00</v>
      </c>
      <c r="I429" s="1" t="str">
        <f>IFERROR(__xludf.DUMMYFUNCTION("""COMPUTED_VALUE"""),"Enviado a Laboratorio")</f>
        <v>Enviado a Laboratorio</v>
      </c>
      <c r="J429" s="1">
        <f t="shared" si="3"/>
        <v>1</v>
      </c>
      <c r="K429" s="1" t="str">
        <f t="shared" si="4"/>
        <v>Tus lentes estan en camino a nuestro laboratorio para ponerlos en marcha.</v>
      </c>
    </row>
    <row r="430">
      <c r="A430" s="1">
        <f>IFERROR(__xludf.DUMMYFUNCTION("""COMPUTED_VALUE"""),84980.0)</f>
        <v>84980</v>
      </c>
      <c r="B430" s="5">
        <f>IFERROR(__xludf.DUMMYFUNCTION("""COMPUTED_VALUE"""),44938.55555046296)</f>
        <v>44938.55555</v>
      </c>
      <c r="C430" s="1" t="str">
        <f>IFERROR(__xludf.DUMMYFUNCTION("""COMPUTED_VALUE"""),"ZURANO EDUARDO")</f>
        <v>ZURANO EDUARDO</v>
      </c>
      <c r="D430" s="1" t="str">
        <f>IFERROR(__xludf.DUMMYFUNCTION("""COMPUTED_VALUE"""),"Lentes de STOCK")</f>
        <v>Lentes de STOCK</v>
      </c>
      <c r="E430" s="1" t="str">
        <f>IFERROR(__xludf.DUMMYFUNCTION("""COMPUTED_VALUE"""),"RIVADAVIA Luciana")</f>
        <v>RIVADAVIA Luciana</v>
      </c>
      <c r="F430" s="1" t="str">
        <f t="shared" si="1"/>
        <v>RIVADAVIA </v>
      </c>
      <c r="G430" s="1" t="str">
        <f t="shared" si="2"/>
        <v>Luciana</v>
      </c>
      <c r="H430" s="1" t="str">
        <f>IFERROR(__xludf.DUMMYFUNCTION("""COMPUTED_VALUE"""),"18/1/2023, 17:00:00")</f>
        <v>18/1/2023, 17:00:00</v>
      </c>
      <c r="I430" s="1" t="str">
        <f>IFERROR(__xludf.DUMMYFUNCTION("""COMPUTED_VALUE"""),"RETIRADO OK POR CLIENTE")</f>
        <v>RETIRADO OK POR CLIENTE</v>
      </c>
      <c r="J430" s="1">
        <f t="shared" si="3"/>
        <v>6</v>
      </c>
      <c r="K430" s="1" t="str">
        <f t="shared" si="4"/>
        <v>Entregamos tus lentes, que los disfrutes!</v>
      </c>
    </row>
    <row r="431">
      <c r="A431" s="1">
        <f>IFERROR(__xludf.DUMMYFUNCTION("""COMPUTED_VALUE"""),84981.0)</f>
        <v>84981</v>
      </c>
      <c r="B431" s="5">
        <f>IFERROR(__xludf.DUMMYFUNCTION("""COMPUTED_VALUE"""),44938.6889153125)</f>
        <v>44938.68892</v>
      </c>
      <c r="C431" s="1" t="str">
        <f>IFERROR(__xludf.DUMMYFUNCTION("""COMPUTED_VALUE"""),"LUCERO OSVALDO")</f>
        <v>LUCERO OSVALDO</v>
      </c>
      <c r="D431" s="1" t="str">
        <f>IFERROR(__xludf.DUMMYFUNCTION("""COMPUTED_VALUE"""),"Reparaciones/Otros")</f>
        <v>Reparaciones/Otros</v>
      </c>
      <c r="E431" s="1" t="str">
        <f>IFERROR(__xludf.DUMMYFUNCTION("""COMPUTED_VALUE"""),"ARTIGAS Ivana P.")</f>
        <v>ARTIGAS Ivana P.</v>
      </c>
      <c r="F431" s="1" t="str">
        <f t="shared" si="1"/>
        <v>ARTIGAS </v>
      </c>
      <c r="G431" s="1" t="str">
        <f t="shared" si="2"/>
        <v>Ivana P.</v>
      </c>
      <c r="H431" s="1" t="str">
        <f>IFERROR(__xludf.DUMMYFUNCTION("""COMPUTED_VALUE"""),"13/1/2023, 17:00:00")</f>
        <v>13/1/2023, 17:00:00</v>
      </c>
      <c r="I431" s="1" t="str">
        <f>IFERROR(__xludf.DUMMYFUNCTION("""COMPUTED_VALUE"""),"Completado en SUCURSAL")</f>
        <v>Completado en SUCURSAL</v>
      </c>
      <c r="J431" s="1">
        <f t="shared" si="3"/>
        <v>5</v>
      </c>
      <c r="K431" s="1" t="str">
        <f t="shared" si="4"/>
        <v>Tus Lentes estan LISTAS PARA ENTREGAR, te esperamos.</v>
      </c>
    </row>
    <row r="432">
      <c r="A432" s="1">
        <f>IFERROR(__xludf.DUMMYFUNCTION("""COMPUTED_VALUE"""),84982.0)</f>
        <v>84982</v>
      </c>
      <c r="B432" s="5">
        <f>IFERROR(__xludf.DUMMYFUNCTION("""COMPUTED_VALUE"""),44938.714943217594)</f>
        <v>44938.71494</v>
      </c>
      <c r="C432" s="1" t="str">
        <f>IFERROR(__xludf.DUMMYFUNCTION("""COMPUTED_VALUE"""),"HRABINA EDUARDO")</f>
        <v>HRABINA EDUARDO</v>
      </c>
      <c r="D432" s="1" t="str">
        <f>IFERROR(__xludf.DUMMYFUNCTION("""COMPUTED_VALUE"""),"Lentes de STOCK")</f>
        <v>Lentes de STOCK</v>
      </c>
      <c r="E432" s="1" t="str">
        <f>IFERROR(__xludf.DUMMYFUNCTION("""COMPUTED_VALUE"""),"ARTIGAS Ivana P.")</f>
        <v>ARTIGAS Ivana P.</v>
      </c>
      <c r="F432" s="1" t="str">
        <f t="shared" si="1"/>
        <v>ARTIGAS </v>
      </c>
      <c r="G432" s="1" t="str">
        <f t="shared" si="2"/>
        <v>Ivana P.</v>
      </c>
      <c r="H432" s="1" t="str">
        <f>IFERROR(__xludf.DUMMYFUNCTION("""COMPUTED_VALUE"""),"16/1/2023, 17:00:00")</f>
        <v>16/1/2023, 17:00:00</v>
      </c>
      <c r="I432" s="1" t="str">
        <f>IFERROR(__xludf.DUMMYFUNCTION("""COMPUTED_VALUE"""),"Completado en SUCURSAL")</f>
        <v>Completado en SUCURSAL</v>
      </c>
      <c r="J432" s="1">
        <f t="shared" si="3"/>
        <v>5</v>
      </c>
      <c r="K432" s="1" t="str">
        <f t="shared" si="4"/>
        <v>Tus Lentes estan LISTAS PARA ENTREGAR, te esperamos.</v>
      </c>
    </row>
    <row r="433">
      <c r="A433" s="1">
        <f>IFERROR(__xludf.DUMMYFUNCTION("""COMPUTED_VALUE"""),84983.0)</f>
        <v>84983</v>
      </c>
      <c r="B433" s="5">
        <f>IFERROR(__xludf.DUMMYFUNCTION("""COMPUTED_VALUE"""),44938.7151900926)</f>
        <v>44938.71519</v>
      </c>
      <c r="C433" s="1" t="str">
        <f>IFERROR(__xludf.DUMMYFUNCTION("""COMPUTED_VALUE"""),"RODRIGUEZ MARGARITA ESTER")</f>
        <v>RODRIGUEZ MARGARITA ESTER</v>
      </c>
      <c r="D433" s="1" t="str">
        <f>IFERROR(__xludf.DUMMYFUNCTION("""COMPUTED_VALUE"""),"Lentes de STOCK")</f>
        <v>Lentes de STOCK</v>
      </c>
      <c r="E433" s="1" t="str">
        <f>IFERROR(__xludf.DUMMYFUNCTION("""COMPUTED_VALUE"""),"RIVADAVIA Daniel CM")</f>
        <v>RIVADAVIA Daniel CM</v>
      </c>
      <c r="F433" s="1" t="str">
        <f t="shared" si="1"/>
        <v>RIVADAVIA </v>
      </c>
      <c r="G433" s="1" t="str">
        <f t="shared" si="2"/>
        <v>Daniel CM</v>
      </c>
      <c r="H433" s="1" t="str">
        <f>IFERROR(__xludf.DUMMYFUNCTION("""COMPUTED_VALUE"""),"18/1/2023, 17:00:00")</f>
        <v>18/1/2023, 17:00:00</v>
      </c>
      <c r="I433" s="1" t="str">
        <f>IFERROR(__xludf.DUMMYFUNCTION("""COMPUTED_VALUE"""),"RETIRADO OK POR CLIENTE")</f>
        <v>RETIRADO OK POR CLIENTE</v>
      </c>
      <c r="J433" s="1">
        <f t="shared" si="3"/>
        <v>6</v>
      </c>
      <c r="K433" s="1" t="str">
        <f t="shared" si="4"/>
        <v>Entregamos tus lentes, que los disfrutes!</v>
      </c>
    </row>
    <row r="434">
      <c r="A434" s="1">
        <f>IFERROR(__xludf.DUMMYFUNCTION("""COMPUTED_VALUE"""),84984.0)</f>
        <v>84984</v>
      </c>
      <c r="B434" s="5">
        <f>IFERROR(__xludf.DUMMYFUNCTION("""COMPUTED_VALUE"""),44938.73419069445)</f>
        <v>44938.73419</v>
      </c>
      <c r="C434" s="1" t="str">
        <f>IFERROR(__xludf.DUMMYFUNCTION("""COMPUTED_VALUE"""),"SEPULVEDA NESTOR ")</f>
        <v>SEPULVEDA NESTOR </v>
      </c>
      <c r="D434" s="1" t="str">
        <f>IFERROR(__xludf.DUMMYFUNCTION("""COMPUTED_VALUE"""),"Lentes de STOCK")</f>
        <v>Lentes de STOCK</v>
      </c>
      <c r="E434" s="1" t="str">
        <f>IFERROR(__xludf.DUMMYFUNCTION("""COMPUTED_VALUE"""),"ARTIGAS Cristian C.")</f>
        <v>ARTIGAS Cristian C.</v>
      </c>
      <c r="F434" s="1" t="str">
        <f t="shared" si="1"/>
        <v>ARTIGAS </v>
      </c>
      <c r="G434" s="1" t="str">
        <f t="shared" si="2"/>
        <v>Cristian C.</v>
      </c>
      <c r="H434" s="1" t="str">
        <f>IFERROR(__xludf.DUMMYFUNCTION("""COMPUTED_VALUE"""),"19/1/2023, 17:00:00")</f>
        <v>19/1/2023, 17:00:00</v>
      </c>
      <c r="I434" s="1" t="str">
        <f>IFERROR(__xludf.DUMMYFUNCTION("""COMPUTED_VALUE"""),"RETIRADO OK POR CLIENTE")</f>
        <v>RETIRADO OK POR CLIENTE</v>
      </c>
      <c r="J434" s="1">
        <f t="shared" si="3"/>
        <v>6</v>
      </c>
      <c r="K434" s="1" t="str">
        <f t="shared" si="4"/>
        <v>Entregamos tus lentes, que los disfrutes!</v>
      </c>
    </row>
    <row r="435">
      <c r="A435" s="1">
        <f>IFERROR(__xludf.DUMMYFUNCTION("""COMPUTED_VALUE"""),84985.0)</f>
        <v>84985</v>
      </c>
      <c r="B435" s="5">
        <f>IFERROR(__xludf.DUMMYFUNCTION("""COMPUTED_VALUE"""),44938.74245521991)</f>
        <v>44938.74246</v>
      </c>
      <c r="C435" s="1" t="str">
        <f>IFERROR(__xludf.DUMMYFUNCTION("""COMPUTED_VALUE"""),"BARZOLA NADIA")</f>
        <v>BARZOLA NADIA</v>
      </c>
      <c r="D435" s="1" t="str">
        <f>IFERROR(__xludf.DUMMYFUNCTION("""COMPUTED_VALUE"""),"Lentes de STOCK")</f>
        <v>Lentes de STOCK</v>
      </c>
      <c r="E435" s="1" t="str">
        <f>IFERROR(__xludf.DUMMYFUNCTION("""COMPUTED_VALUE"""),"ARTIGAS Ivana P.")</f>
        <v>ARTIGAS Ivana P.</v>
      </c>
      <c r="F435" s="1" t="str">
        <f t="shared" si="1"/>
        <v>ARTIGAS </v>
      </c>
      <c r="G435" s="1" t="str">
        <f t="shared" si="2"/>
        <v>Ivana P.</v>
      </c>
      <c r="H435" s="1" t="str">
        <f>IFERROR(__xludf.DUMMYFUNCTION("""COMPUTED_VALUE"""),"18/1/2023, 17:00:00")</f>
        <v>18/1/2023, 17:00:00</v>
      </c>
      <c r="I435" s="1" t="str">
        <f>IFERROR(__xludf.DUMMYFUNCTION("""COMPUTED_VALUE"""),"RETIRADO OK POR CLIENTE")</f>
        <v>RETIRADO OK POR CLIENTE</v>
      </c>
      <c r="J435" s="1">
        <f t="shared" si="3"/>
        <v>6</v>
      </c>
      <c r="K435" s="1" t="str">
        <f t="shared" si="4"/>
        <v>Entregamos tus lentes, que los disfrutes!</v>
      </c>
    </row>
    <row r="436">
      <c r="A436" s="1">
        <f>IFERROR(__xludf.DUMMYFUNCTION("""COMPUTED_VALUE"""),84986.0)</f>
        <v>84986</v>
      </c>
      <c r="B436" s="5">
        <f>IFERROR(__xludf.DUMMYFUNCTION("""COMPUTED_VALUE"""),44938.74787533565)</f>
        <v>44938.74788</v>
      </c>
      <c r="C436" s="1" t="str">
        <f>IFERROR(__xludf.DUMMYFUNCTION("""COMPUTED_VALUE"""),"BRIZUELA NICOLLE")</f>
        <v>BRIZUELA NICOLLE</v>
      </c>
      <c r="D436" s="1" t="str">
        <f>IFERROR(__xludf.DUMMYFUNCTION("""COMPUTED_VALUE"""),"Lentes de STOCK")</f>
        <v>Lentes de STOCK</v>
      </c>
      <c r="E436" s="1" t="str">
        <f>IFERROR(__xludf.DUMMYFUNCTION("""COMPUTED_VALUE"""),"ARTIGAS Cristian C.")</f>
        <v>ARTIGAS Cristian C.</v>
      </c>
      <c r="F436" s="1" t="str">
        <f t="shared" si="1"/>
        <v>ARTIGAS </v>
      </c>
      <c r="G436" s="1" t="str">
        <f t="shared" si="2"/>
        <v>Cristian C.</v>
      </c>
      <c r="H436" s="1" t="str">
        <f>IFERROR(__xludf.DUMMYFUNCTION("""COMPUTED_VALUE"""),"17/1/2023, 17:00:00")</f>
        <v>17/1/2023, 17:00:00</v>
      </c>
      <c r="I436" s="1" t="str">
        <f>IFERROR(__xludf.DUMMYFUNCTION("""COMPUTED_VALUE"""),"RETIRADO OK POR CLIENTE")</f>
        <v>RETIRADO OK POR CLIENTE</v>
      </c>
      <c r="J436" s="1">
        <f t="shared" si="3"/>
        <v>6</v>
      </c>
      <c r="K436" s="1" t="str">
        <f t="shared" si="4"/>
        <v>Entregamos tus lentes, que los disfrutes!</v>
      </c>
    </row>
    <row r="437">
      <c r="A437" s="1">
        <f>IFERROR(__xludf.DUMMYFUNCTION("""COMPUTED_VALUE"""),84987.0)</f>
        <v>84987</v>
      </c>
      <c r="B437" s="5">
        <f>IFERROR(__xludf.DUMMYFUNCTION("""COMPUTED_VALUE"""),44938.7505603125)</f>
        <v>44938.75056</v>
      </c>
      <c r="C437" s="1" t="str">
        <f>IFERROR(__xludf.DUMMYFUNCTION("""COMPUTED_VALUE"""),"herrera adrian")</f>
        <v>herrera adrian</v>
      </c>
      <c r="D437" s="1" t="str">
        <f>IFERROR(__xludf.DUMMYFUNCTION("""COMPUTED_VALUE"""),"Lentes de STOCK")</f>
        <v>Lentes de STOCK</v>
      </c>
      <c r="E437" s="1" t="str">
        <f>IFERROR(__xludf.DUMMYFUNCTION("""COMPUTED_VALUE"""),"RIVADAVIA Daniel CM")</f>
        <v>RIVADAVIA Daniel CM</v>
      </c>
      <c r="F437" s="1" t="str">
        <f t="shared" si="1"/>
        <v>RIVADAVIA </v>
      </c>
      <c r="G437" s="1" t="str">
        <f t="shared" si="2"/>
        <v>Daniel CM</v>
      </c>
      <c r="H437" s="1" t="str">
        <f>IFERROR(__xludf.DUMMYFUNCTION("""COMPUTED_VALUE"""),"17/1/2023, 17:00:00")</f>
        <v>17/1/2023, 17:00:00</v>
      </c>
      <c r="I437" s="1" t="str">
        <f>IFERROR(__xludf.DUMMYFUNCTION("""COMPUTED_VALUE"""),"RETIRADO OK POR CLIENTE")</f>
        <v>RETIRADO OK POR CLIENTE</v>
      </c>
      <c r="J437" s="1">
        <f t="shared" si="3"/>
        <v>6</v>
      </c>
      <c r="K437" s="1" t="str">
        <f t="shared" si="4"/>
        <v>Entregamos tus lentes, que los disfrutes!</v>
      </c>
    </row>
    <row r="438">
      <c r="A438" s="1">
        <f>IFERROR(__xludf.DUMMYFUNCTION("""COMPUTED_VALUE"""),84988.0)</f>
        <v>84988</v>
      </c>
      <c r="B438" s="5">
        <f>IFERROR(__xludf.DUMMYFUNCTION("""COMPUTED_VALUE"""),44938.75217248843)</f>
        <v>44938.75217</v>
      </c>
      <c r="C438" s="1" t="str">
        <f>IFERROR(__xludf.DUMMYFUNCTION("""COMPUTED_VALUE"""),"LUCERO VANESA ")</f>
        <v>LUCERO VANESA </v>
      </c>
      <c r="D438" s="1" t="str">
        <f>IFERROR(__xludf.DUMMYFUNCTION("""COMPUTED_VALUE"""),"Lentes de STOCK")</f>
        <v>Lentes de STOCK</v>
      </c>
      <c r="E438" s="1" t="str">
        <f>IFERROR(__xludf.DUMMYFUNCTION("""COMPUTED_VALUE"""),"RIVADAVIA Luciana")</f>
        <v>RIVADAVIA Luciana</v>
      </c>
      <c r="F438" s="1" t="str">
        <f t="shared" si="1"/>
        <v>RIVADAVIA </v>
      </c>
      <c r="G438" s="1" t="str">
        <f t="shared" si="2"/>
        <v>Luciana</v>
      </c>
      <c r="H438" s="1" t="str">
        <f>IFERROR(__xludf.DUMMYFUNCTION("""COMPUTED_VALUE"""),"18/1/2023, 17:00:00")</f>
        <v>18/1/2023, 17:00:00</v>
      </c>
      <c r="I438" s="1" t="str">
        <f>IFERROR(__xludf.DUMMYFUNCTION("""COMPUTED_VALUE"""),"RETIRADO OK POR CLIENTE")</f>
        <v>RETIRADO OK POR CLIENTE</v>
      </c>
      <c r="J438" s="1">
        <f t="shared" si="3"/>
        <v>6</v>
      </c>
      <c r="K438" s="1" t="str">
        <f t="shared" si="4"/>
        <v>Entregamos tus lentes, que los disfrutes!</v>
      </c>
    </row>
    <row r="439">
      <c r="A439" s="1">
        <f>IFERROR(__xludf.DUMMYFUNCTION("""COMPUTED_VALUE"""),84989.0)</f>
        <v>84989</v>
      </c>
      <c r="B439" s="5">
        <f>IFERROR(__xludf.DUMMYFUNCTION("""COMPUTED_VALUE"""),44938.76952122685)</f>
        <v>44938.76952</v>
      </c>
      <c r="C439" s="1" t="str">
        <f>IFERROR(__xludf.DUMMYFUNCTION("""COMPUTED_VALUE"""),"TORRES VERONICA ANDREA")</f>
        <v>TORRES VERONICA ANDREA</v>
      </c>
      <c r="D439" s="1" t="str">
        <f>IFERROR(__xludf.DUMMYFUNCTION("""COMPUTED_VALUE"""),"Lentes de STOCK")</f>
        <v>Lentes de STOCK</v>
      </c>
      <c r="E439" s="1" t="str">
        <f>IFERROR(__xludf.DUMMYFUNCTION("""COMPUTED_VALUE"""),"ARTIGAS Cristian C.")</f>
        <v>ARTIGAS Cristian C.</v>
      </c>
      <c r="F439" s="1" t="str">
        <f t="shared" si="1"/>
        <v>ARTIGAS </v>
      </c>
      <c r="G439" s="1" t="str">
        <f t="shared" si="2"/>
        <v>Cristian C.</v>
      </c>
      <c r="H439" s="1" t="str">
        <f>IFERROR(__xludf.DUMMYFUNCTION("""COMPUTED_VALUE"""),"18/1/2023, 17:00:00")</f>
        <v>18/1/2023, 17:00:00</v>
      </c>
      <c r="I439" s="1" t="str">
        <f>IFERROR(__xludf.DUMMYFUNCTION("""COMPUTED_VALUE"""),"Completado en SUCURSAL")</f>
        <v>Completado en SUCURSAL</v>
      </c>
      <c r="J439" s="1">
        <f t="shared" si="3"/>
        <v>5</v>
      </c>
      <c r="K439" s="1" t="str">
        <f t="shared" si="4"/>
        <v>Tus Lentes estan LISTAS PARA ENTREGAR, te esperamos.</v>
      </c>
    </row>
    <row r="440">
      <c r="A440" s="1">
        <f>IFERROR(__xludf.DUMMYFUNCTION("""COMPUTED_VALUE"""),84990.0)</f>
        <v>84990</v>
      </c>
      <c r="B440" s="5">
        <f>IFERROR(__xludf.DUMMYFUNCTION("""COMPUTED_VALUE"""),44938.770337939815)</f>
        <v>44938.77034</v>
      </c>
      <c r="C440" s="1" t="str">
        <f>IFERROR(__xludf.DUMMYFUNCTION("""COMPUTED_VALUE"""),"DIAZ JARA EMMA")</f>
        <v>DIAZ JARA EMMA</v>
      </c>
      <c r="D440" s="1" t="str">
        <f>IFERROR(__xludf.DUMMYFUNCTION("""COMPUTED_VALUE"""),"Lentes de STOCK")</f>
        <v>Lentes de STOCK</v>
      </c>
      <c r="E440" s="1" t="str">
        <f>IFERROR(__xludf.DUMMYFUNCTION("""COMPUTED_VALUE"""),"RIVADAVIA Javier")</f>
        <v>RIVADAVIA Javier</v>
      </c>
      <c r="F440" s="1" t="str">
        <f t="shared" si="1"/>
        <v>RIVADAVIA </v>
      </c>
      <c r="G440" s="1" t="str">
        <f t="shared" si="2"/>
        <v>Javier</v>
      </c>
      <c r="H440" s="1" t="str">
        <f>IFERROR(__xludf.DUMMYFUNCTION("""COMPUTED_VALUE"""),"17/1/2023, 17:00:00")</f>
        <v>17/1/2023, 17:00:00</v>
      </c>
      <c r="I440" s="1" t="str">
        <f>IFERROR(__xludf.DUMMYFUNCTION("""COMPUTED_VALUE"""),"RETIRADO OK POR CLIENTE")</f>
        <v>RETIRADO OK POR CLIENTE</v>
      </c>
      <c r="J440" s="1">
        <f t="shared" si="3"/>
        <v>6</v>
      </c>
      <c r="K440" s="1" t="str">
        <f t="shared" si="4"/>
        <v>Entregamos tus lentes, que los disfrutes!</v>
      </c>
    </row>
    <row r="441">
      <c r="A441" s="1">
        <f>IFERROR(__xludf.DUMMYFUNCTION("""COMPUTED_VALUE"""),84991.0)</f>
        <v>84991</v>
      </c>
      <c r="B441" s="5">
        <f>IFERROR(__xludf.DUMMYFUNCTION("""COMPUTED_VALUE"""),44938.77392960648)</f>
        <v>44938.77393</v>
      </c>
      <c r="C441" s="1" t="str">
        <f>IFERROR(__xludf.DUMMYFUNCTION("""COMPUTED_VALUE"""),"ESPINOZA LILIANA")</f>
        <v>ESPINOZA LILIANA</v>
      </c>
      <c r="D441" s="1" t="str">
        <f>IFERROR(__xludf.DUMMYFUNCTION("""COMPUTED_VALUE"""),"Lentes de STOCK")</f>
        <v>Lentes de STOCK</v>
      </c>
      <c r="E441" s="1" t="str">
        <f>IFERROR(__xludf.DUMMYFUNCTION("""COMPUTED_VALUE"""),"ARTIGAS Ivana P.")</f>
        <v>ARTIGAS Ivana P.</v>
      </c>
      <c r="F441" s="1" t="str">
        <f t="shared" si="1"/>
        <v>ARTIGAS </v>
      </c>
      <c r="G441" s="1" t="str">
        <f t="shared" si="2"/>
        <v>Ivana P.</v>
      </c>
      <c r="H441" s="1" t="str">
        <f>IFERROR(__xludf.DUMMYFUNCTION("""COMPUTED_VALUE"""),"14/1/2023, 17:00:00")</f>
        <v>14/1/2023, 17:00:00</v>
      </c>
      <c r="I441" s="1" t="str">
        <f>IFERROR(__xludf.DUMMYFUNCTION("""COMPUTED_VALUE"""),"RETIRADO OK POR CLIENTE")</f>
        <v>RETIRADO OK POR CLIENTE</v>
      </c>
      <c r="J441" s="1">
        <f t="shared" si="3"/>
        <v>6</v>
      </c>
      <c r="K441" s="1" t="str">
        <f t="shared" si="4"/>
        <v>Entregamos tus lentes, que los disfrutes!</v>
      </c>
    </row>
    <row r="442">
      <c r="A442" s="1">
        <f>IFERROR(__xludf.DUMMYFUNCTION("""COMPUTED_VALUE"""),84992.0)</f>
        <v>84992</v>
      </c>
      <c r="B442" s="5">
        <f>IFERROR(__xludf.DUMMYFUNCTION("""COMPUTED_VALUE"""),44938.7765437037)</f>
        <v>44938.77654</v>
      </c>
      <c r="C442" s="1" t="str">
        <f>IFERROR(__xludf.DUMMYFUNCTION("""COMPUTED_VALUE"""),"RIVERO PATRICIA")</f>
        <v>RIVERO PATRICIA</v>
      </c>
      <c r="D442" s="1" t="str">
        <f>IFERROR(__xludf.DUMMYFUNCTION("""COMPUTED_VALUE"""),"Lentes MULTIFOCALES")</f>
        <v>Lentes MULTIFOCALES</v>
      </c>
      <c r="E442" s="1" t="str">
        <f>IFERROR(__xludf.DUMMYFUNCTION("""COMPUTED_VALUE"""),"RIVADAVIA Luciana")</f>
        <v>RIVADAVIA Luciana</v>
      </c>
      <c r="F442" s="1" t="str">
        <f t="shared" si="1"/>
        <v>RIVADAVIA </v>
      </c>
      <c r="G442" s="1" t="str">
        <f t="shared" si="2"/>
        <v>Luciana</v>
      </c>
      <c r="H442" s="1" t="str">
        <f>IFERROR(__xludf.DUMMYFUNCTION("""COMPUTED_VALUE"""),"30/1/2023, 17:00:00")</f>
        <v>30/1/2023, 17:00:00</v>
      </c>
      <c r="I442" s="1" t="str">
        <f>IFERROR(__xludf.DUMMYFUNCTION("""COMPUTED_VALUE"""),"RETIRADO OK POR CLIENTE")</f>
        <v>RETIRADO OK POR CLIENTE</v>
      </c>
      <c r="J442" s="1">
        <f t="shared" si="3"/>
        <v>6</v>
      </c>
      <c r="K442" s="1" t="str">
        <f t="shared" si="4"/>
        <v>Entregamos tus lentes, que los disfrutes!</v>
      </c>
    </row>
    <row r="443">
      <c r="A443" s="1">
        <f>IFERROR(__xludf.DUMMYFUNCTION("""COMPUTED_VALUE"""),84993.0)</f>
        <v>84993</v>
      </c>
      <c r="B443" s="5">
        <f>IFERROR(__xludf.DUMMYFUNCTION("""COMPUTED_VALUE"""),44938.7768775)</f>
        <v>44938.77688</v>
      </c>
      <c r="C443" s="1" t="str">
        <f>IFERROR(__xludf.DUMMYFUNCTION("""COMPUTED_VALUE"""),"GILES OLGA")</f>
        <v>GILES OLGA</v>
      </c>
      <c r="D443" s="1" t="str">
        <f>IFERROR(__xludf.DUMMYFUNCTION("""COMPUTED_VALUE"""),"Lentes MULTIFOCALES")</f>
        <v>Lentes MULTIFOCALES</v>
      </c>
      <c r="E443" s="1" t="str">
        <f>IFERROR(__xludf.DUMMYFUNCTION("""COMPUTED_VALUE"""),"RIVADAVIA Santiago LOPEZ")</f>
        <v>RIVADAVIA Santiago LOPEZ</v>
      </c>
      <c r="F443" s="1" t="str">
        <f t="shared" si="1"/>
        <v>RIVADAVIA </v>
      </c>
      <c r="G443" s="1" t="str">
        <f t="shared" si="2"/>
        <v>Santiago LOPEZ</v>
      </c>
      <c r="H443" s="1" t="str">
        <f>IFERROR(__xludf.DUMMYFUNCTION("""COMPUTED_VALUE"""),"25/1/2023, 17:00:00")</f>
        <v>25/1/2023, 17:00:00</v>
      </c>
      <c r="I443" s="1" t="str">
        <f>IFERROR(__xludf.DUMMYFUNCTION("""COMPUTED_VALUE"""),"RETIRADO OK POR CLIENTE")</f>
        <v>RETIRADO OK POR CLIENTE</v>
      </c>
      <c r="J443" s="1">
        <f t="shared" si="3"/>
        <v>6</v>
      </c>
      <c r="K443" s="1" t="str">
        <f t="shared" si="4"/>
        <v>Entregamos tus lentes, que los disfrutes!</v>
      </c>
    </row>
    <row r="444">
      <c r="A444" s="1">
        <f>IFERROR(__xludf.DUMMYFUNCTION("""COMPUTED_VALUE"""),84994.0)</f>
        <v>84994</v>
      </c>
      <c r="B444" s="5">
        <f>IFERROR(__xludf.DUMMYFUNCTION("""COMPUTED_VALUE"""),44938.78540878472)</f>
        <v>44938.78541</v>
      </c>
      <c r="C444" s="1" t="str">
        <f>IFERROR(__xludf.DUMMYFUNCTION("""COMPUTED_VALUE"""),"Genovese Fernanda")</f>
        <v>Genovese Fernanda</v>
      </c>
      <c r="D444" s="1" t="str">
        <f>IFERROR(__xludf.DUMMYFUNCTION("""COMPUTED_VALUE"""),"Reparaciones/Otros")</f>
        <v>Reparaciones/Otros</v>
      </c>
      <c r="E444" s="1" t="str">
        <f>IFERROR(__xludf.DUMMYFUNCTION("""COMPUTED_VALUE"""),"RIVADAVIA Rocio B")</f>
        <v>RIVADAVIA Rocio B</v>
      </c>
      <c r="F444" s="1" t="str">
        <f t="shared" si="1"/>
        <v>RIVADAVIA </v>
      </c>
      <c r="G444" s="1" t="str">
        <f t="shared" si="2"/>
        <v>Rocio B</v>
      </c>
      <c r="H444" s="1" t="str">
        <f>IFERROR(__xludf.DUMMYFUNCTION("""COMPUTED_VALUE"""),"13/1/2023, 17:00:00")</f>
        <v>13/1/2023, 17:00:00</v>
      </c>
      <c r="I444" s="1" t="str">
        <f>IFERROR(__xludf.DUMMYFUNCTION("""COMPUTED_VALUE"""),"Completado en SUCURSAL")</f>
        <v>Completado en SUCURSAL</v>
      </c>
      <c r="J444" s="1">
        <f t="shared" si="3"/>
        <v>5</v>
      </c>
      <c r="K444" s="1" t="str">
        <f t="shared" si="4"/>
        <v>Tus Lentes estan LISTAS PARA ENTREGAR, te esperamos.</v>
      </c>
    </row>
    <row r="445">
      <c r="A445" s="1">
        <f>IFERROR(__xludf.DUMMYFUNCTION("""COMPUTED_VALUE"""),84995.0)</f>
        <v>84995</v>
      </c>
      <c r="B445" s="5">
        <f>IFERROR(__xludf.DUMMYFUNCTION("""COMPUTED_VALUE"""),44938.796649502314)</f>
        <v>44938.79665</v>
      </c>
      <c r="C445" s="1" t="str">
        <f>IFERROR(__xludf.DUMMYFUNCTION("""COMPUTED_VALUE"""),"PEDRAZA MARAI BELEN ")</f>
        <v>PEDRAZA MARAI BELEN </v>
      </c>
      <c r="D445" s="1" t="str">
        <f>IFERROR(__xludf.DUMMYFUNCTION("""COMPUTED_VALUE"""),"Lentes de STOCK")</f>
        <v>Lentes de STOCK</v>
      </c>
      <c r="E445" s="1" t="str">
        <f>IFERROR(__xludf.DUMMYFUNCTION("""COMPUTED_VALUE"""),"ARTIGAS Cristian C.")</f>
        <v>ARTIGAS Cristian C.</v>
      </c>
      <c r="F445" s="1" t="str">
        <f t="shared" si="1"/>
        <v>ARTIGAS </v>
      </c>
      <c r="G445" s="1" t="str">
        <f t="shared" si="2"/>
        <v>Cristian C.</v>
      </c>
      <c r="H445" s="1" t="str">
        <f>IFERROR(__xludf.DUMMYFUNCTION("""COMPUTED_VALUE"""),"20/1/2023, 17:00:00")</f>
        <v>20/1/2023, 17:00:00</v>
      </c>
      <c r="I445" s="1" t="str">
        <f>IFERROR(__xludf.DUMMYFUNCTION("""COMPUTED_VALUE"""),"En Armado Hoy")</f>
        <v>En Armado Hoy</v>
      </c>
      <c r="J445" s="1">
        <f t="shared" si="3"/>
        <v>3</v>
      </c>
      <c r="K445" s="1" t="str">
        <f t="shared" si="4"/>
        <v>Estamos terminando los ultimos detalles de tus lentes, los terminaremos el dia de hoy.</v>
      </c>
    </row>
    <row r="446">
      <c r="A446" s="1">
        <f>IFERROR(__xludf.DUMMYFUNCTION("""COMPUTED_VALUE"""),84996.0)</f>
        <v>84996</v>
      </c>
      <c r="B446" s="5">
        <f>IFERROR(__xludf.DUMMYFUNCTION("""COMPUTED_VALUE"""),44938.798900925925)</f>
        <v>44938.7989</v>
      </c>
      <c r="C446" s="1" t="str">
        <f>IFERROR(__xludf.DUMMYFUNCTION("""COMPUTED_VALUE"""),"SANCHEZ VICTOR")</f>
        <v>SANCHEZ VICTOR</v>
      </c>
      <c r="D446" s="1" t="str">
        <f>IFERROR(__xludf.DUMMYFUNCTION("""COMPUTED_VALUE"""),"Lentes de STOCK")</f>
        <v>Lentes de STOCK</v>
      </c>
      <c r="E446" s="1" t="str">
        <f>IFERROR(__xludf.DUMMYFUNCTION("""COMPUTED_VALUE"""),"ARTIGAS Ivana P.")</f>
        <v>ARTIGAS Ivana P.</v>
      </c>
      <c r="F446" s="1" t="str">
        <f t="shared" si="1"/>
        <v>ARTIGAS </v>
      </c>
      <c r="G446" s="1" t="str">
        <f t="shared" si="2"/>
        <v>Ivana P.</v>
      </c>
      <c r="H446" s="1" t="str">
        <f>IFERROR(__xludf.DUMMYFUNCTION("""COMPUTED_VALUE"""),"17/1/2023, 17:00:00")</f>
        <v>17/1/2023, 17:00:00</v>
      </c>
      <c r="I446" s="1" t="str">
        <f>IFERROR(__xludf.DUMMYFUNCTION("""COMPUTED_VALUE"""),"RETIRADO OK POR CLIENTE")</f>
        <v>RETIRADO OK POR CLIENTE</v>
      </c>
      <c r="J446" s="1">
        <f t="shared" si="3"/>
        <v>6</v>
      </c>
      <c r="K446" s="1" t="str">
        <f t="shared" si="4"/>
        <v>Entregamos tus lentes, que los disfrutes!</v>
      </c>
    </row>
    <row r="447">
      <c r="A447" s="1">
        <f>IFERROR(__xludf.DUMMYFUNCTION("""COMPUTED_VALUE"""),84997.0)</f>
        <v>84997</v>
      </c>
      <c r="B447" s="5">
        <f>IFERROR(__xludf.DUMMYFUNCTION("""COMPUTED_VALUE"""),44938.80012451389)</f>
        <v>44938.80012</v>
      </c>
      <c r="C447" s="1" t="str">
        <f>IFERROR(__xludf.DUMMYFUNCTION("""COMPUTED_VALUE"""),"quiroga esther")</f>
        <v>quiroga esther</v>
      </c>
      <c r="D447" s="1" t="str">
        <f>IFERROR(__xludf.DUMMYFUNCTION("""COMPUTED_VALUE"""),"Lentes BIFOCALES")</f>
        <v>Lentes BIFOCALES</v>
      </c>
      <c r="E447" s="1" t="str">
        <f>IFERROR(__xludf.DUMMYFUNCTION("""COMPUTED_VALUE"""),"RIVADAVIA Daniel CM")</f>
        <v>RIVADAVIA Daniel CM</v>
      </c>
      <c r="F447" s="1" t="str">
        <f t="shared" si="1"/>
        <v>RIVADAVIA </v>
      </c>
      <c r="G447" s="1" t="str">
        <f t="shared" si="2"/>
        <v>Daniel CM</v>
      </c>
      <c r="H447" s="1" t="str">
        <f>IFERROR(__xludf.DUMMYFUNCTION("""COMPUTED_VALUE"""),"23/1/2023, 17:00:00")</f>
        <v>23/1/2023, 17:00:00</v>
      </c>
      <c r="I447" s="1" t="str">
        <f>IFERROR(__xludf.DUMMYFUNCTION("""COMPUTED_VALUE"""),"Completado en SUCURSAL")</f>
        <v>Completado en SUCURSAL</v>
      </c>
      <c r="J447" s="1">
        <f t="shared" si="3"/>
        <v>5</v>
      </c>
      <c r="K447" s="1" t="str">
        <f t="shared" si="4"/>
        <v>Tus Lentes estan LISTAS PARA ENTREGAR, te esperamos.</v>
      </c>
    </row>
    <row r="448">
      <c r="A448" s="1">
        <f>IFERROR(__xludf.DUMMYFUNCTION("""COMPUTED_VALUE"""),84998.0)</f>
        <v>84998</v>
      </c>
      <c r="B448" s="5">
        <f>IFERROR(__xludf.DUMMYFUNCTION("""COMPUTED_VALUE"""),44938.80481262731)</f>
        <v>44938.80481</v>
      </c>
      <c r="C448" s="1" t="str">
        <f>IFERROR(__xludf.DUMMYFUNCTION("""COMPUTED_VALUE"""),"QUEVEDO GUADALUPE ")</f>
        <v>QUEVEDO GUADALUPE </v>
      </c>
      <c r="D448" s="1" t="str">
        <f>IFERROR(__xludf.DUMMYFUNCTION("""COMPUTED_VALUE"""),"Lentes de STOCK")</f>
        <v>Lentes de STOCK</v>
      </c>
      <c r="E448" s="1" t="str">
        <f>IFERROR(__xludf.DUMMYFUNCTION("""COMPUTED_VALUE"""),"RIVADAVIA Javier")</f>
        <v>RIVADAVIA Javier</v>
      </c>
      <c r="F448" s="1" t="str">
        <f t="shared" si="1"/>
        <v>RIVADAVIA </v>
      </c>
      <c r="G448" s="1" t="str">
        <f t="shared" si="2"/>
        <v>Javier</v>
      </c>
      <c r="H448" s="1" t="str">
        <f>IFERROR(__xludf.DUMMYFUNCTION("""COMPUTED_VALUE"""),"18/1/2023, 17:00:00")</f>
        <v>18/1/2023, 17:00:00</v>
      </c>
      <c r="I448" s="1" t="str">
        <f>IFERROR(__xludf.DUMMYFUNCTION("""COMPUTED_VALUE"""),"RETIRADO OK POR CLIENTE")</f>
        <v>RETIRADO OK POR CLIENTE</v>
      </c>
      <c r="J448" s="1">
        <f t="shared" si="3"/>
        <v>6</v>
      </c>
      <c r="K448" s="1" t="str">
        <f t="shared" si="4"/>
        <v>Entregamos tus lentes, que los disfrutes!</v>
      </c>
    </row>
    <row r="449">
      <c r="A449" s="1">
        <f>IFERROR(__xludf.DUMMYFUNCTION("""COMPUTED_VALUE"""),84999.0)</f>
        <v>84999</v>
      </c>
      <c r="B449" s="5">
        <f>IFERROR(__xludf.DUMMYFUNCTION("""COMPUTED_VALUE"""),44938.81445453704)</f>
        <v>44938.81445</v>
      </c>
      <c r="C449" s="1" t="str">
        <f>IFERROR(__xludf.DUMMYFUNCTION("""COMPUTED_VALUE"""),"VELAZQUEZ JUAN")</f>
        <v>VELAZQUEZ JUAN</v>
      </c>
      <c r="D449" s="1" t="str">
        <f>IFERROR(__xludf.DUMMYFUNCTION("""COMPUTED_VALUE"""),"Lentes de STOCK")</f>
        <v>Lentes de STOCK</v>
      </c>
      <c r="E449" s="1" t="str">
        <f>IFERROR(__xludf.DUMMYFUNCTION("""COMPUTED_VALUE"""),"RIVADAVIA Santiago LOPEZ")</f>
        <v>RIVADAVIA Santiago LOPEZ</v>
      </c>
      <c r="F449" s="1" t="str">
        <f t="shared" si="1"/>
        <v>RIVADAVIA </v>
      </c>
      <c r="G449" s="1" t="str">
        <f t="shared" si="2"/>
        <v>Santiago LOPEZ</v>
      </c>
      <c r="H449" s="1" t="str">
        <f>IFERROR(__xludf.DUMMYFUNCTION("""COMPUTED_VALUE"""),"17/1/2023, 17:00:00")</f>
        <v>17/1/2023, 17:00:00</v>
      </c>
      <c r="I449" s="1" t="str">
        <f>IFERROR(__xludf.DUMMYFUNCTION("""COMPUTED_VALUE"""),"RETIRADO OK POR CLIENTE")</f>
        <v>RETIRADO OK POR CLIENTE</v>
      </c>
      <c r="J449" s="1">
        <f t="shared" si="3"/>
        <v>6</v>
      </c>
      <c r="K449" s="1" t="str">
        <f t="shared" si="4"/>
        <v>Entregamos tus lentes, que los disfrutes!</v>
      </c>
    </row>
    <row r="450">
      <c r="A450" s="1">
        <f>IFERROR(__xludf.DUMMYFUNCTION("""COMPUTED_VALUE"""),85000.0)</f>
        <v>85000</v>
      </c>
      <c r="B450" s="5">
        <f>IFERROR(__xludf.DUMMYFUNCTION("""COMPUTED_VALUE"""),44938.81480354167)</f>
        <v>44938.8148</v>
      </c>
      <c r="C450" s="1" t="str">
        <f>IFERROR(__xludf.DUMMYFUNCTION("""COMPUTED_VALUE"""),"Funes Tiziana Shazmin")</f>
        <v>Funes Tiziana Shazmin</v>
      </c>
      <c r="D450" s="1" t="str">
        <f>IFERROR(__xludf.DUMMYFUNCTION("""COMPUTED_VALUE"""),"Reparaciones/Otros")</f>
        <v>Reparaciones/Otros</v>
      </c>
      <c r="E450" s="1" t="str">
        <f>IFERROR(__xludf.DUMMYFUNCTION("""COMPUTED_VALUE"""),"RIVADAVIA Rocio B")</f>
        <v>RIVADAVIA Rocio B</v>
      </c>
      <c r="F450" s="1" t="str">
        <f t="shared" si="1"/>
        <v>RIVADAVIA </v>
      </c>
      <c r="G450" s="1" t="str">
        <f t="shared" si="2"/>
        <v>Rocio B</v>
      </c>
      <c r="H450" s="1" t="str">
        <f>IFERROR(__xludf.DUMMYFUNCTION("""COMPUTED_VALUE"""),"13/1/2023, 17:00:00")</f>
        <v>13/1/2023, 17:00:00</v>
      </c>
      <c r="I450" s="1" t="str">
        <f>IFERROR(__xludf.DUMMYFUNCTION("""COMPUTED_VALUE"""),"Completado en SUCURSAL")</f>
        <v>Completado en SUCURSAL</v>
      </c>
      <c r="J450" s="1">
        <f t="shared" si="3"/>
        <v>5</v>
      </c>
      <c r="K450" s="1" t="str">
        <f t="shared" si="4"/>
        <v>Tus Lentes estan LISTAS PARA ENTREGAR, te esperamos.</v>
      </c>
    </row>
    <row r="451">
      <c r="A451" s="1">
        <f>IFERROR(__xludf.DUMMYFUNCTION("""COMPUTED_VALUE"""),85001.0)</f>
        <v>85001</v>
      </c>
      <c r="B451" s="5">
        <f>IFERROR(__xludf.DUMMYFUNCTION("""COMPUTED_VALUE"""),44938.819494247684)</f>
        <v>44938.81949</v>
      </c>
      <c r="C451" s="1" t="str">
        <f>IFERROR(__xludf.DUMMYFUNCTION("""COMPUTED_VALUE"""),"ESCUDERO GAUNA PRISCILA ")</f>
        <v>ESCUDERO GAUNA PRISCILA </v>
      </c>
      <c r="D451" s="1" t="str">
        <f>IFERROR(__xludf.DUMMYFUNCTION("""COMPUTED_VALUE"""),"Lentes de STOCK")</f>
        <v>Lentes de STOCK</v>
      </c>
      <c r="E451" s="1" t="str">
        <f>IFERROR(__xludf.DUMMYFUNCTION("""COMPUTED_VALUE"""),"ARTIGAS Cristian C.")</f>
        <v>ARTIGAS Cristian C.</v>
      </c>
      <c r="F451" s="1" t="str">
        <f t="shared" si="1"/>
        <v>ARTIGAS </v>
      </c>
      <c r="G451" s="1" t="str">
        <f t="shared" si="2"/>
        <v>Cristian C.</v>
      </c>
      <c r="H451" s="1" t="str">
        <f>IFERROR(__xludf.DUMMYFUNCTION("""COMPUTED_VALUE"""),"17/1/2023, 17:00:00")</f>
        <v>17/1/2023, 17:00:00</v>
      </c>
      <c r="I451" s="1" t="str">
        <f>IFERROR(__xludf.DUMMYFUNCTION("""COMPUTED_VALUE"""),"RETIRADO OK POR CLIENTE")</f>
        <v>RETIRADO OK POR CLIENTE</v>
      </c>
      <c r="J451" s="1">
        <f t="shared" si="3"/>
        <v>6</v>
      </c>
      <c r="K451" s="1" t="str">
        <f t="shared" si="4"/>
        <v>Entregamos tus lentes, que los disfrutes!</v>
      </c>
    </row>
    <row r="452">
      <c r="A452" s="1">
        <f>IFERROR(__xludf.DUMMYFUNCTION("""COMPUTED_VALUE"""),85002.0)</f>
        <v>85002</v>
      </c>
      <c r="B452" s="5">
        <f>IFERROR(__xludf.DUMMYFUNCTION("""COMPUTED_VALUE"""),44938.82522641204)</f>
        <v>44938.82523</v>
      </c>
      <c r="C452" s="1" t="str">
        <f>IFERROR(__xludf.DUMMYFUNCTION("""COMPUTED_VALUE"""),"CALLONI CLAUDIA")</f>
        <v>CALLONI CLAUDIA</v>
      </c>
      <c r="D452" s="1" t="str">
        <f>IFERROR(__xludf.DUMMYFUNCTION("""COMPUTED_VALUE"""),"Reparaciones/Otros")</f>
        <v>Reparaciones/Otros</v>
      </c>
      <c r="E452" s="1" t="str">
        <f>IFERROR(__xludf.DUMMYFUNCTION("""COMPUTED_VALUE"""),"ARTIGAS Ivana P.")</f>
        <v>ARTIGAS Ivana P.</v>
      </c>
      <c r="F452" s="1" t="str">
        <f t="shared" si="1"/>
        <v>ARTIGAS </v>
      </c>
      <c r="G452" s="1" t="str">
        <f t="shared" si="2"/>
        <v>Ivana P.</v>
      </c>
      <c r="H452" s="1" t="str">
        <f>IFERROR(__xludf.DUMMYFUNCTION("""COMPUTED_VALUE"""),"13/1/2023, 17:00:00")</f>
        <v>13/1/2023, 17:00:00</v>
      </c>
      <c r="I452" s="1" t="str">
        <f>IFERROR(__xludf.DUMMYFUNCTION("""COMPUTED_VALUE"""),"Completado en SUCURSAL")</f>
        <v>Completado en SUCURSAL</v>
      </c>
      <c r="J452" s="1">
        <f t="shared" si="3"/>
        <v>5</v>
      </c>
      <c r="K452" s="1" t="str">
        <f t="shared" si="4"/>
        <v>Tus Lentes estan LISTAS PARA ENTREGAR, te esperamos.</v>
      </c>
    </row>
    <row r="453">
      <c r="A453" s="1">
        <f>IFERROR(__xludf.DUMMYFUNCTION("""COMPUTED_VALUE"""),85003.0)</f>
        <v>85003</v>
      </c>
      <c r="B453" s="5">
        <f>IFERROR(__xludf.DUMMYFUNCTION("""COMPUTED_VALUE"""),44938.84735855324)</f>
        <v>44938.84736</v>
      </c>
      <c r="C453" s="1" t="str">
        <f>IFERROR(__xludf.DUMMYFUNCTION("""COMPUTED_VALUE"""),"escudero abel")</f>
        <v>escudero abel</v>
      </c>
      <c r="D453" s="1" t="str">
        <f>IFERROR(__xludf.DUMMYFUNCTION("""COMPUTED_VALUE"""),"Reparaciones/Otros")</f>
        <v>Reparaciones/Otros</v>
      </c>
      <c r="E453" s="1" t="str">
        <f>IFERROR(__xludf.DUMMYFUNCTION("""COMPUTED_VALUE"""),"RIVADAVIA Javier")</f>
        <v>RIVADAVIA Javier</v>
      </c>
      <c r="F453" s="1" t="str">
        <f t="shared" si="1"/>
        <v>RIVADAVIA </v>
      </c>
      <c r="G453" s="1" t="str">
        <f t="shared" si="2"/>
        <v>Javier</v>
      </c>
      <c r="H453" s="1" t="str">
        <f>IFERROR(__xludf.DUMMYFUNCTION("""COMPUTED_VALUE"""),"13/1/2023, 17:00:00")</f>
        <v>13/1/2023, 17:00:00</v>
      </c>
      <c r="I453" s="1" t="str">
        <f>IFERROR(__xludf.DUMMYFUNCTION("""COMPUTED_VALUE"""),"Completado en SUCURSAL")</f>
        <v>Completado en SUCURSAL</v>
      </c>
      <c r="J453" s="1">
        <f t="shared" si="3"/>
        <v>5</v>
      </c>
      <c r="K453" s="1" t="str">
        <f t="shared" si="4"/>
        <v>Tus Lentes estan LISTAS PARA ENTREGAR, te esperamos.</v>
      </c>
    </row>
    <row r="454">
      <c r="A454" s="1">
        <f>IFERROR(__xludf.DUMMYFUNCTION("""COMPUTED_VALUE"""),85004.0)</f>
        <v>85004</v>
      </c>
      <c r="B454" s="5">
        <f>IFERROR(__xludf.DUMMYFUNCTION("""COMPUTED_VALUE"""),44938.847394826385)</f>
        <v>44938.84739</v>
      </c>
      <c r="C454" s="1" t="str">
        <f>IFERROR(__xludf.DUMMYFUNCTION("""COMPUTED_VALUE"""),"ROCHA JONATHAN")</f>
        <v>ROCHA JONATHAN</v>
      </c>
      <c r="D454" s="1" t="str">
        <f>IFERROR(__xludf.DUMMYFUNCTION("""COMPUTED_VALUE"""),"Lentes de STOCK")</f>
        <v>Lentes de STOCK</v>
      </c>
      <c r="E454" s="1" t="str">
        <f>IFERROR(__xludf.DUMMYFUNCTION("""COMPUTED_VALUE"""),"ARTIGAS Cristian C.")</f>
        <v>ARTIGAS Cristian C.</v>
      </c>
      <c r="F454" s="1" t="str">
        <f t="shared" si="1"/>
        <v>ARTIGAS </v>
      </c>
      <c r="G454" s="1" t="str">
        <f t="shared" si="2"/>
        <v>Cristian C.</v>
      </c>
      <c r="H454" s="1" t="str">
        <f>IFERROR(__xludf.DUMMYFUNCTION("""COMPUTED_VALUE"""),"20/1/2023, 17:00:00")</f>
        <v>20/1/2023, 17:00:00</v>
      </c>
      <c r="I454" s="1" t="str">
        <f>IFERROR(__xludf.DUMMYFUNCTION("""COMPUTED_VALUE"""),"RETIRADO OK POR CLIENTE")</f>
        <v>RETIRADO OK POR CLIENTE</v>
      </c>
      <c r="J454" s="1">
        <f t="shared" si="3"/>
        <v>6</v>
      </c>
      <c r="K454" s="1" t="str">
        <f t="shared" si="4"/>
        <v>Entregamos tus lentes, que los disfrutes!</v>
      </c>
    </row>
    <row r="455">
      <c r="A455" s="1">
        <f>IFERROR(__xludf.DUMMYFUNCTION("""COMPUTED_VALUE"""),85005.0)</f>
        <v>85005</v>
      </c>
      <c r="B455" s="5">
        <f>IFERROR(__xludf.DUMMYFUNCTION("""COMPUTED_VALUE"""),44938.86576188657)</f>
        <v>44938.86576</v>
      </c>
      <c r="C455" s="1" t="str">
        <f>IFERROR(__xludf.DUMMYFUNCTION("""COMPUTED_VALUE"""),"Morales Thiago")</f>
        <v>Morales Thiago</v>
      </c>
      <c r="D455" s="1" t="str">
        <f>IFERROR(__xludf.DUMMYFUNCTION("""COMPUTED_VALUE"""),"Reparaciones/Otros")</f>
        <v>Reparaciones/Otros</v>
      </c>
      <c r="E455" s="1" t="str">
        <f>IFERROR(__xludf.DUMMYFUNCTION("""COMPUTED_VALUE"""),"RIVADAVIA Rocio B")</f>
        <v>RIVADAVIA Rocio B</v>
      </c>
      <c r="F455" s="1" t="str">
        <f t="shared" si="1"/>
        <v>RIVADAVIA </v>
      </c>
      <c r="G455" s="1" t="str">
        <f t="shared" si="2"/>
        <v>Rocio B</v>
      </c>
      <c r="H455" s="1" t="str">
        <f>IFERROR(__xludf.DUMMYFUNCTION("""COMPUTED_VALUE"""),"13/1/2023, 17:00:00")</f>
        <v>13/1/2023, 17:00:00</v>
      </c>
      <c r="I455" s="1" t="str">
        <f>IFERROR(__xludf.DUMMYFUNCTION("""COMPUTED_VALUE"""),"Completado en SUCURSAL")</f>
        <v>Completado en SUCURSAL</v>
      </c>
      <c r="J455" s="1">
        <f t="shared" si="3"/>
        <v>5</v>
      </c>
      <c r="K455" s="1" t="str">
        <f t="shared" si="4"/>
        <v>Tus Lentes estan LISTAS PARA ENTREGAR, te esperamos.</v>
      </c>
    </row>
    <row r="456">
      <c r="A456" s="1">
        <f>IFERROR(__xludf.DUMMYFUNCTION("""COMPUTED_VALUE"""),85006.0)</f>
        <v>85006</v>
      </c>
      <c r="B456" s="5">
        <f>IFERROR(__xludf.DUMMYFUNCTION("""COMPUTED_VALUE"""),44939.38264872685)</f>
        <v>44939.38265</v>
      </c>
      <c r="C456" s="1" t="str">
        <f>IFERROR(__xludf.DUMMYFUNCTION("""COMPUTED_VALUE"""),"BAZAN KIARA NAHIR")</f>
        <v>BAZAN KIARA NAHIR</v>
      </c>
      <c r="D456" s="1" t="str">
        <f>IFERROR(__xludf.DUMMYFUNCTION("""COMPUTED_VALUE"""),"Lentes de STOCK")</f>
        <v>Lentes de STOCK</v>
      </c>
      <c r="E456" s="1" t="str">
        <f>IFERROR(__xludf.DUMMYFUNCTION("""COMPUTED_VALUE"""),"RIVADAVIA Marcela L")</f>
        <v>RIVADAVIA Marcela L</v>
      </c>
      <c r="F456" s="1" t="str">
        <f t="shared" si="1"/>
        <v>RIVADAVIA </v>
      </c>
      <c r="G456" s="1" t="str">
        <f t="shared" si="2"/>
        <v>Marcela L</v>
      </c>
      <c r="H456" s="1" t="str">
        <f>IFERROR(__xludf.DUMMYFUNCTION("""COMPUTED_VALUE"""),"18/1/2023, 17:00:00")</f>
        <v>18/1/2023, 17:00:00</v>
      </c>
      <c r="I456" s="1" t="str">
        <f>IFERROR(__xludf.DUMMYFUNCTION("""COMPUTED_VALUE"""),"RETIRADO OK POR CLIENTE")</f>
        <v>RETIRADO OK POR CLIENTE</v>
      </c>
      <c r="J456" s="1">
        <f t="shared" si="3"/>
        <v>6</v>
      </c>
      <c r="K456" s="1" t="str">
        <f t="shared" si="4"/>
        <v>Entregamos tus lentes, que los disfrutes!</v>
      </c>
    </row>
    <row r="457">
      <c r="A457" s="1">
        <f>IFERROR(__xludf.DUMMYFUNCTION("""COMPUTED_VALUE"""),85007.0)</f>
        <v>85007</v>
      </c>
      <c r="B457" s="5">
        <f>IFERROR(__xludf.DUMMYFUNCTION("""COMPUTED_VALUE"""),44939.38860988426)</f>
        <v>44939.38861</v>
      </c>
      <c r="C457" s="1" t="str">
        <f>IFERROR(__xludf.DUMMYFUNCTION("""COMPUTED_VALUE"""),"Tobares Nestor Ariel")</f>
        <v>Tobares Nestor Ariel</v>
      </c>
      <c r="D457" s="1" t="str">
        <f>IFERROR(__xludf.DUMMYFUNCTION("""COMPUTED_VALUE"""),"Lentes BIFOCALES")</f>
        <v>Lentes BIFOCALES</v>
      </c>
      <c r="E457" s="1" t="str">
        <f>IFERROR(__xludf.DUMMYFUNCTION("""COMPUTED_VALUE"""),"RIVADAVIA Rocio B")</f>
        <v>RIVADAVIA Rocio B</v>
      </c>
      <c r="F457" s="1" t="str">
        <f t="shared" si="1"/>
        <v>RIVADAVIA </v>
      </c>
      <c r="G457" s="1" t="str">
        <f t="shared" si="2"/>
        <v>Rocio B</v>
      </c>
      <c r="H457" s="1" t="str">
        <f>IFERROR(__xludf.DUMMYFUNCTION("""COMPUTED_VALUE"""),"3/2/2023, 17:00:00")</f>
        <v>3/2/2023, 17:00:00</v>
      </c>
      <c r="I457" s="1" t="str">
        <f>IFERROR(__xludf.DUMMYFUNCTION("""COMPUTED_VALUE"""),"Completado en SUCURSAL")</f>
        <v>Completado en SUCURSAL</v>
      </c>
      <c r="J457" s="1">
        <f t="shared" si="3"/>
        <v>5</v>
      </c>
      <c r="K457" s="1" t="str">
        <f t="shared" si="4"/>
        <v>Tus Lentes estan LISTAS PARA ENTREGAR, te esperamos.</v>
      </c>
    </row>
    <row r="458">
      <c r="A458" s="1">
        <f>IFERROR(__xludf.DUMMYFUNCTION("""COMPUTED_VALUE"""),85008.0)</f>
        <v>85008</v>
      </c>
      <c r="B458" s="5">
        <f>IFERROR(__xludf.DUMMYFUNCTION("""COMPUTED_VALUE"""),44939.39533078704)</f>
        <v>44939.39533</v>
      </c>
      <c r="C458" s="1" t="str">
        <f>IFERROR(__xludf.DUMMYFUNCTION("""COMPUTED_VALUE"""),"BIAGGIO VERONICA")</f>
        <v>BIAGGIO VERONICA</v>
      </c>
      <c r="D458" s="1" t="str">
        <f>IFERROR(__xludf.DUMMYFUNCTION("""COMPUTED_VALUE"""),"Lentes de STOCK")</f>
        <v>Lentes de STOCK</v>
      </c>
      <c r="E458" s="1" t="str">
        <f>IFERROR(__xludf.DUMMYFUNCTION("""COMPUTED_VALUE"""),"ARTIGAS Ivana P.")</f>
        <v>ARTIGAS Ivana P.</v>
      </c>
      <c r="F458" s="1" t="str">
        <f t="shared" si="1"/>
        <v>ARTIGAS </v>
      </c>
      <c r="G458" s="1" t="str">
        <f t="shared" si="2"/>
        <v>Ivana P.</v>
      </c>
      <c r="H458" s="1" t="str">
        <f>IFERROR(__xludf.DUMMYFUNCTION("""COMPUTED_VALUE"""),"17/1/2023, 17:00:00")</f>
        <v>17/1/2023, 17:00:00</v>
      </c>
      <c r="I458" s="1" t="str">
        <f>IFERROR(__xludf.DUMMYFUNCTION("""COMPUTED_VALUE"""),"RETIRADO OK POR CLIENTE")</f>
        <v>RETIRADO OK POR CLIENTE</v>
      </c>
      <c r="J458" s="1">
        <f t="shared" si="3"/>
        <v>6</v>
      </c>
      <c r="K458" s="1" t="str">
        <f t="shared" si="4"/>
        <v>Entregamos tus lentes, que los disfrutes!</v>
      </c>
    </row>
    <row r="459">
      <c r="A459" s="1">
        <f>IFERROR(__xludf.DUMMYFUNCTION("""COMPUTED_VALUE"""),85009.0)</f>
        <v>85009</v>
      </c>
      <c r="B459" s="5">
        <f>IFERROR(__xludf.DUMMYFUNCTION("""COMPUTED_VALUE"""),44939.39691658565)</f>
        <v>44939.39692</v>
      </c>
      <c r="C459" s="1" t="str">
        <f>IFERROR(__xludf.DUMMYFUNCTION("""COMPUTED_VALUE"""),"SAAVEDRA JAVIER BAUDILIO")</f>
        <v>SAAVEDRA JAVIER BAUDILIO</v>
      </c>
      <c r="D459" s="1" t="str">
        <f>IFERROR(__xludf.DUMMYFUNCTION("""COMPUTED_VALUE"""),"Lentes de STOCK")</f>
        <v>Lentes de STOCK</v>
      </c>
      <c r="E459" s="1" t="str">
        <f>IFERROR(__xludf.DUMMYFUNCTION("""COMPUTED_VALUE"""),"RIVADAVIA Marcela L")</f>
        <v>RIVADAVIA Marcela L</v>
      </c>
      <c r="F459" s="1" t="str">
        <f t="shared" si="1"/>
        <v>RIVADAVIA </v>
      </c>
      <c r="G459" s="1" t="str">
        <f t="shared" si="2"/>
        <v>Marcela L</v>
      </c>
      <c r="H459" s="1" t="str">
        <f>IFERROR(__xludf.DUMMYFUNCTION("""COMPUTED_VALUE"""),"17/1/2023, 17:00:00")</f>
        <v>17/1/2023, 17:00:00</v>
      </c>
      <c r="I459" s="1" t="str">
        <f>IFERROR(__xludf.DUMMYFUNCTION("""COMPUTED_VALUE"""),"RETIRADO OK POR CLIENTE")</f>
        <v>RETIRADO OK POR CLIENTE</v>
      </c>
      <c r="J459" s="1">
        <f t="shared" si="3"/>
        <v>6</v>
      </c>
      <c r="K459" s="1" t="str">
        <f t="shared" si="4"/>
        <v>Entregamos tus lentes, que los disfrutes!</v>
      </c>
    </row>
    <row r="460">
      <c r="A460" s="1">
        <f>IFERROR(__xludf.DUMMYFUNCTION("""COMPUTED_VALUE"""),85010.0)</f>
        <v>85010</v>
      </c>
      <c r="B460" s="5">
        <f>IFERROR(__xludf.DUMMYFUNCTION("""COMPUTED_VALUE"""),44939.40907541667)</f>
        <v>44939.40908</v>
      </c>
      <c r="C460" s="1" t="str">
        <f>IFERROR(__xludf.DUMMYFUNCTION("""COMPUTED_VALUE"""),"Gil Bustos Luisina")</f>
        <v>Gil Bustos Luisina</v>
      </c>
      <c r="D460" s="1" t="str">
        <f>IFERROR(__xludf.DUMMYFUNCTION("""COMPUTED_VALUE"""),"Lentes de STOCK")</f>
        <v>Lentes de STOCK</v>
      </c>
      <c r="E460" s="1" t="str">
        <f>IFERROR(__xludf.DUMMYFUNCTION("""COMPUTED_VALUE"""),"RIVADAVIA Rocio B")</f>
        <v>RIVADAVIA Rocio B</v>
      </c>
      <c r="F460" s="1" t="str">
        <f t="shared" si="1"/>
        <v>RIVADAVIA </v>
      </c>
      <c r="G460" s="1" t="str">
        <f t="shared" si="2"/>
        <v>Rocio B</v>
      </c>
      <c r="H460" s="1" t="str">
        <f>IFERROR(__xludf.DUMMYFUNCTION("""COMPUTED_VALUE"""),"19/1/2023, 17:00:00")</f>
        <v>19/1/2023, 17:00:00</v>
      </c>
      <c r="I460" s="1" t="str">
        <f>IFERROR(__xludf.DUMMYFUNCTION("""COMPUTED_VALUE"""),"Completado en SUCURSAL")</f>
        <v>Completado en SUCURSAL</v>
      </c>
      <c r="J460" s="1">
        <f t="shared" si="3"/>
        <v>5</v>
      </c>
      <c r="K460" s="1" t="str">
        <f t="shared" si="4"/>
        <v>Tus Lentes estan LISTAS PARA ENTREGAR, te esperamos.</v>
      </c>
    </row>
    <row r="461">
      <c r="A461" s="1">
        <f>IFERROR(__xludf.DUMMYFUNCTION("""COMPUTED_VALUE"""),85011.0)</f>
        <v>85011</v>
      </c>
      <c r="B461" s="5">
        <f>IFERROR(__xludf.DUMMYFUNCTION("""COMPUTED_VALUE"""),44939.42058498843)</f>
        <v>44939.42058</v>
      </c>
      <c r="C461" s="1" t="str">
        <f>IFERROR(__xludf.DUMMYFUNCTION("""COMPUTED_VALUE"""),"rosales pedro domingo")</f>
        <v>rosales pedro domingo</v>
      </c>
      <c r="D461" s="1" t="str">
        <f>IFERROR(__xludf.DUMMYFUNCTION("""COMPUTED_VALUE"""),"Lentes de STOCK")</f>
        <v>Lentes de STOCK</v>
      </c>
      <c r="E461" s="1" t="str">
        <f>IFERROR(__xludf.DUMMYFUNCTION("""COMPUTED_VALUE"""),"RIVADAVIA Daniel CM")</f>
        <v>RIVADAVIA Daniel CM</v>
      </c>
      <c r="F461" s="1" t="str">
        <f t="shared" si="1"/>
        <v>RIVADAVIA </v>
      </c>
      <c r="G461" s="1" t="str">
        <f t="shared" si="2"/>
        <v>Daniel CM</v>
      </c>
      <c r="H461" s="1" t="str">
        <f>IFERROR(__xludf.DUMMYFUNCTION("""COMPUTED_VALUE"""),"18/1/2023, 17:00:00")</f>
        <v>18/1/2023, 17:00:00</v>
      </c>
      <c r="I461" s="1" t="str">
        <f>IFERROR(__xludf.DUMMYFUNCTION("""COMPUTED_VALUE"""),"RETIRADO OK POR CLIENTE")</f>
        <v>RETIRADO OK POR CLIENTE</v>
      </c>
      <c r="J461" s="1">
        <f t="shared" si="3"/>
        <v>6</v>
      </c>
      <c r="K461" s="1" t="str">
        <f t="shared" si="4"/>
        <v>Entregamos tus lentes, que los disfrutes!</v>
      </c>
    </row>
    <row r="462">
      <c r="A462" s="1">
        <f>IFERROR(__xludf.DUMMYFUNCTION("""COMPUTED_VALUE"""),85012.0)</f>
        <v>85012</v>
      </c>
      <c r="B462" s="5">
        <f>IFERROR(__xludf.DUMMYFUNCTION("""COMPUTED_VALUE"""),44939.42202225694)</f>
        <v>44939.42202</v>
      </c>
      <c r="C462" s="1" t="str">
        <f>IFERROR(__xludf.DUMMYFUNCTION("""COMPUTED_VALUE"""),"Avila Maria Rosa")</f>
        <v>Avila Maria Rosa</v>
      </c>
      <c r="D462" s="1" t="str">
        <f>IFERROR(__xludf.DUMMYFUNCTION("""COMPUTED_VALUE"""),"Lentes de STOCK")</f>
        <v>Lentes de STOCK</v>
      </c>
      <c r="E462" s="1" t="str">
        <f>IFERROR(__xludf.DUMMYFUNCTION("""COMPUTED_VALUE"""),"RIVADAVIA Rocio B")</f>
        <v>RIVADAVIA Rocio B</v>
      </c>
      <c r="F462" s="1" t="str">
        <f t="shared" si="1"/>
        <v>RIVADAVIA </v>
      </c>
      <c r="G462" s="1" t="str">
        <f t="shared" si="2"/>
        <v>Rocio B</v>
      </c>
      <c r="H462" s="1" t="str">
        <f>IFERROR(__xludf.DUMMYFUNCTION("""COMPUTED_VALUE"""),"26/1/2023, 17:00:00")</f>
        <v>26/1/2023, 17:00:00</v>
      </c>
      <c r="I462" s="1" t="str">
        <f>IFERROR(__xludf.DUMMYFUNCTION("""COMPUTED_VALUE"""),"RETIRADO OK POR CLIENTE")</f>
        <v>RETIRADO OK POR CLIENTE</v>
      </c>
      <c r="J462" s="1">
        <f t="shared" si="3"/>
        <v>6</v>
      </c>
      <c r="K462" s="1" t="str">
        <f t="shared" si="4"/>
        <v>Entregamos tus lentes, que los disfrutes!</v>
      </c>
    </row>
    <row r="463">
      <c r="A463" s="1">
        <f>IFERROR(__xludf.DUMMYFUNCTION("""COMPUTED_VALUE"""),85013.0)</f>
        <v>85013</v>
      </c>
      <c r="B463" s="5">
        <f>IFERROR(__xludf.DUMMYFUNCTION("""COMPUTED_VALUE"""),44939.42303790509)</f>
        <v>44939.42304</v>
      </c>
      <c r="C463" s="1" t="str">
        <f>IFERROR(__xludf.DUMMYFUNCTION("""COMPUTED_VALUE"""),"FINOCHIETTI ALBA")</f>
        <v>FINOCHIETTI ALBA</v>
      </c>
      <c r="D463" s="1" t="str">
        <f>IFERROR(__xludf.DUMMYFUNCTION("""COMPUTED_VALUE"""),"Reparaciones/Otros")</f>
        <v>Reparaciones/Otros</v>
      </c>
      <c r="E463" s="1" t="str">
        <f>IFERROR(__xludf.DUMMYFUNCTION("""COMPUTED_VALUE"""),"RIVADAVIA Santiago LOPEZ")</f>
        <v>RIVADAVIA Santiago LOPEZ</v>
      </c>
      <c r="F463" s="1" t="str">
        <f t="shared" si="1"/>
        <v>RIVADAVIA </v>
      </c>
      <c r="G463" s="1" t="str">
        <f t="shared" si="2"/>
        <v>Santiago LOPEZ</v>
      </c>
      <c r="H463" s="1" t="str">
        <f>IFERROR(__xludf.DUMMYFUNCTION("""COMPUTED_VALUE"""),"14/1/2023, 17:00:00")</f>
        <v>14/1/2023, 17:00:00</v>
      </c>
      <c r="I463" s="1" t="str">
        <f>IFERROR(__xludf.DUMMYFUNCTION("""COMPUTED_VALUE"""),"Completado en SUCURSAL")</f>
        <v>Completado en SUCURSAL</v>
      </c>
      <c r="J463" s="1">
        <f t="shared" si="3"/>
        <v>5</v>
      </c>
      <c r="K463" s="1" t="str">
        <f t="shared" si="4"/>
        <v>Tus Lentes estan LISTAS PARA ENTREGAR, te esperamos.</v>
      </c>
    </row>
    <row r="464">
      <c r="A464" s="1">
        <f>IFERROR(__xludf.DUMMYFUNCTION("""COMPUTED_VALUE"""),85014.0)</f>
        <v>85014</v>
      </c>
      <c r="B464" s="5">
        <f>IFERROR(__xludf.DUMMYFUNCTION("""COMPUTED_VALUE"""),44939.43555418981)</f>
        <v>44939.43555</v>
      </c>
      <c r="C464" s="1" t="str">
        <f>IFERROR(__xludf.DUMMYFUNCTION("""COMPUTED_VALUE"""),"VILLEGAS ORIANA")</f>
        <v>VILLEGAS ORIANA</v>
      </c>
      <c r="D464" s="1" t="str">
        <f>IFERROR(__xludf.DUMMYFUNCTION("""COMPUTED_VALUE"""),"Lentes de STOCK")</f>
        <v>Lentes de STOCK</v>
      </c>
      <c r="E464" s="1" t="str">
        <f>IFERROR(__xludf.DUMMYFUNCTION("""COMPUTED_VALUE"""),"RIVADAVIA Luciana")</f>
        <v>RIVADAVIA Luciana</v>
      </c>
      <c r="F464" s="1" t="str">
        <f t="shared" si="1"/>
        <v>RIVADAVIA </v>
      </c>
      <c r="G464" s="1" t="str">
        <f t="shared" si="2"/>
        <v>Luciana</v>
      </c>
      <c r="H464" s="1" t="str">
        <f>IFERROR(__xludf.DUMMYFUNCTION("""COMPUTED_VALUE"""),"19/1/2023, 17:00:00")</f>
        <v>19/1/2023, 17:00:00</v>
      </c>
      <c r="I464" s="1" t="str">
        <f>IFERROR(__xludf.DUMMYFUNCTION("""COMPUTED_VALUE"""),"RETIRADO OK POR CLIENTE")</f>
        <v>RETIRADO OK POR CLIENTE</v>
      </c>
      <c r="J464" s="1">
        <f t="shared" si="3"/>
        <v>6</v>
      </c>
      <c r="K464" s="1" t="str">
        <f t="shared" si="4"/>
        <v>Entregamos tus lentes, que los disfrutes!</v>
      </c>
    </row>
    <row r="465">
      <c r="A465" s="1">
        <f>IFERROR(__xludf.DUMMYFUNCTION("""COMPUTED_VALUE"""),85015.0)</f>
        <v>85015</v>
      </c>
      <c r="B465" s="5">
        <f>IFERROR(__xludf.DUMMYFUNCTION("""COMPUTED_VALUE"""),44939.43989849537)</f>
        <v>44939.4399</v>
      </c>
      <c r="C465" s="1" t="str">
        <f>IFERROR(__xludf.DUMMYFUNCTION("""COMPUTED_VALUE"""),"rosales valeria")</f>
        <v>rosales valeria</v>
      </c>
      <c r="D465" s="1" t="str">
        <f>IFERROR(__xludf.DUMMYFUNCTION("""COMPUTED_VALUE"""),"Reparaciones/Otros")</f>
        <v>Reparaciones/Otros</v>
      </c>
      <c r="E465" s="1" t="str">
        <f>IFERROR(__xludf.DUMMYFUNCTION("""COMPUTED_VALUE"""),"RIVADAVIA Rocio B")</f>
        <v>RIVADAVIA Rocio B</v>
      </c>
      <c r="F465" s="1" t="str">
        <f t="shared" si="1"/>
        <v>RIVADAVIA </v>
      </c>
      <c r="G465" s="1" t="str">
        <f t="shared" si="2"/>
        <v>Rocio B</v>
      </c>
      <c r="H465" s="1" t="str">
        <f>IFERROR(__xludf.DUMMYFUNCTION("""COMPUTED_VALUE"""),"14/1/2023, 17:00:00")</f>
        <v>14/1/2023, 17:00:00</v>
      </c>
      <c r="I465" s="1"/>
      <c r="J465" s="1">
        <f t="shared" si="3"/>
        <v>0</v>
      </c>
      <c r="K465" s="1" t="str">
        <f t="shared" si="4"/>
        <v/>
      </c>
    </row>
    <row r="466">
      <c r="A466" s="1">
        <f>IFERROR(__xludf.DUMMYFUNCTION("""COMPUTED_VALUE"""),85016.0)</f>
        <v>85016</v>
      </c>
      <c r="B466" s="5">
        <f>IFERROR(__xludf.DUMMYFUNCTION("""COMPUTED_VALUE"""),44939.4443140625)</f>
        <v>44939.44431</v>
      </c>
      <c r="C466" s="1" t="str">
        <f>IFERROR(__xludf.DUMMYFUNCTION("""COMPUTED_VALUE"""),"lezcano nayeli")</f>
        <v>lezcano nayeli</v>
      </c>
      <c r="D466" s="1" t="str">
        <f>IFERROR(__xludf.DUMMYFUNCTION("""COMPUTED_VALUE"""),"Lentes de LABORATORIO")</f>
        <v>Lentes de LABORATORIO</v>
      </c>
      <c r="E466" s="1" t="str">
        <f>IFERROR(__xludf.DUMMYFUNCTION("""COMPUTED_VALUE"""),"RIVADAVIA Rocio B")</f>
        <v>RIVADAVIA Rocio B</v>
      </c>
      <c r="F466" s="1" t="str">
        <f t="shared" si="1"/>
        <v>RIVADAVIA </v>
      </c>
      <c r="G466" s="1" t="str">
        <f t="shared" si="2"/>
        <v>Rocio B</v>
      </c>
      <c r="H466" s="1" t="str">
        <f>IFERROR(__xludf.DUMMYFUNCTION("""COMPUTED_VALUE"""),"28/1/2023, 17:00:00")</f>
        <v>28/1/2023, 17:00:00</v>
      </c>
      <c r="I466" s="1" t="str">
        <f>IFERROR(__xludf.DUMMYFUNCTION("""COMPUTED_VALUE"""),"RETIRADO OK POR CLIENTE")</f>
        <v>RETIRADO OK POR CLIENTE</v>
      </c>
      <c r="J466" s="1">
        <f t="shared" si="3"/>
        <v>6</v>
      </c>
      <c r="K466" s="1" t="str">
        <f t="shared" si="4"/>
        <v>Entregamos tus lentes, que los disfrutes!</v>
      </c>
    </row>
    <row r="467">
      <c r="A467" s="1">
        <f>IFERROR(__xludf.DUMMYFUNCTION("""COMPUTED_VALUE"""),85017.0)</f>
        <v>85017</v>
      </c>
      <c r="B467" s="5">
        <f>IFERROR(__xludf.DUMMYFUNCTION("""COMPUTED_VALUE"""),44939.44599559028)</f>
        <v>44939.446</v>
      </c>
      <c r="C467" s="1" t="str">
        <f>IFERROR(__xludf.DUMMYFUNCTION("""COMPUTED_VALUE"""),"lucero elma")</f>
        <v>lucero elma</v>
      </c>
      <c r="D467" s="1" t="str">
        <f>IFERROR(__xludf.DUMMYFUNCTION("""COMPUTED_VALUE"""),"Lentes de STOCK")</f>
        <v>Lentes de STOCK</v>
      </c>
      <c r="E467" s="1" t="str">
        <f>IFERROR(__xludf.DUMMYFUNCTION("""COMPUTED_VALUE"""),"RIVADAVIA Marcela L")</f>
        <v>RIVADAVIA Marcela L</v>
      </c>
      <c r="F467" s="1" t="str">
        <f t="shared" si="1"/>
        <v>RIVADAVIA </v>
      </c>
      <c r="G467" s="1" t="str">
        <f t="shared" si="2"/>
        <v>Marcela L</v>
      </c>
      <c r="H467" s="1" t="str">
        <f>IFERROR(__xludf.DUMMYFUNCTION("""COMPUTED_VALUE"""),"16/1/2023, 17:00:00")</f>
        <v>16/1/2023, 17:00:00</v>
      </c>
      <c r="I467" s="1" t="str">
        <f>IFERROR(__xludf.DUMMYFUNCTION("""COMPUTED_VALUE"""),"RETIRADO OK POR CLIENTE")</f>
        <v>RETIRADO OK POR CLIENTE</v>
      </c>
      <c r="J467" s="1">
        <f t="shared" si="3"/>
        <v>6</v>
      </c>
      <c r="K467" s="1" t="str">
        <f t="shared" si="4"/>
        <v>Entregamos tus lentes, que los disfrutes!</v>
      </c>
    </row>
    <row r="468">
      <c r="A468" s="1">
        <f>IFERROR(__xludf.DUMMYFUNCTION("""COMPUTED_VALUE"""),85018.0)</f>
        <v>85018</v>
      </c>
      <c r="B468" s="5">
        <f>IFERROR(__xludf.DUMMYFUNCTION("""COMPUTED_VALUE"""),44939.44863966435)</f>
        <v>44939.44864</v>
      </c>
      <c r="C468" s="1" t="str">
        <f>IFERROR(__xludf.DUMMYFUNCTION("""COMPUTED_VALUE"""),"CAMORIANO GINETTE")</f>
        <v>CAMORIANO GINETTE</v>
      </c>
      <c r="D468" s="1" t="str">
        <f>IFERROR(__xludf.DUMMYFUNCTION("""COMPUTED_VALUE"""),"Lentes de STOCK")</f>
        <v>Lentes de STOCK</v>
      </c>
      <c r="E468" s="1" t="str">
        <f>IFERROR(__xludf.DUMMYFUNCTION("""COMPUTED_VALUE"""),"ARTIGAS Ivana P.")</f>
        <v>ARTIGAS Ivana P.</v>
      </c>
      <c r="F468" s="1" t="str">
        <f t="shared" si="1"/>
        <v>ARTIGAS </v>
      </c>
      <c r="G468" s="1" t="str">
        <f t="shared" si="2"/>
        <v>Ivana P.</v>
      </c>
      <c r="H468" s="1" t="str">
        <f>IFERROR(__xludf.DUMMYFUNCTION("""COMPUTED_VALUE"""),"16/1/2023, 17:00:00")</f>
        <v>16/1/2023, 17:00:00</v>
      </c>
      <c r="I468" s="1" t="str">
        <f>IFERROR(__xludf.DUMMYFUNCTION("""COMPUTED_VALUE"""),"RETIRADO OK POR CLIENTE")</f>
        <v>RETIRADO OK POR CLIENTE</v>
      </c>
      <c r="J468" s="1">
        <f t="shared" si="3"/>
        <v>6</v>
      </c>
      <c r="K468" s="1" t="str">
        <f t="shared" si="4"/>
        <v>Entregamos tus lentes, que los disfrutes!</v>
      </c>
    </row>
    <row r="469">
      <c r="A469" s="1">
        <f>IFERROR(__xludf.DUMMYFUNCTION("""COMPUTED_VALUE"""),85019.0)</f>
        <v>85019</v>
      </c>
      <c r="B469" s="5">
        <f>IFERROR(__xludf.DUMMYFUNCTION("""COMPUTED_VALUE"""),44939.450432303245)</f>
        <v>44939.45043</v>
      </c>
      <c r="C469" s="1" t="str">
        <f>IFERROR(__xludf.DUMMYFUNCTION("""COMPUTED_VALUE"""),"CARRASCO MONICA ")</f>
        <v>CARRASCO MONICA </v>
      </c>
      <c r="D469" s="1" t="str">
        <f>IFERROR(__xludf.DUMMYFUNCTION("""COMPUTED_VALUE"""),"Lentes de STOCK")</f>
        <v>Lentes de STOCK</v>
      </c>
      <c r="E469" s="1" t="str">
        <f>IFERROR(__xludf.DUMMYFUNCTION("""COMPUTED_VALUE"""),"ARTIGAS Cristian C.")</f>
        <v>ARTIGAS Cristian C.</v>
      </c>
      <c r="F469" s="1" t="str">
        <f t="shared" si="1"/>
        <v>ARTIGAS </v>
      </c>
      <c r="G469" s="1" t="str">
        <f t="shared" si="2"/>
        <v>Cristian C.</v>
      </c>
      <c r="H469" s="1" t="str">
        <f>IFERROR(__xludf.DUMMYFUNCTION("""COMPUTED_VALUE"""),"19/1/2023, 17:00:00")</f>
        <v>19/1/2023, 17:00:00</v>
      </c>
      <c r="I469" s="1" t="str">
        <f>IFERROR(__xludf.DUMMYFUNCTION("""COMPUTED_VALUE"""),"RETIRADO OK POR CLIENTE")</f>
        <v>RETIRADO OK POR CLIENTE</v>
      </c>
      <c r="J469" s="1">
        <f t="shared" si="3"/>
        <v>6</v>
      </c>
      <c r="K469" s="1" t="str">
        <f t="shared" si="4"/>
        <v>Entregamos tus lentes, que los disfrutes!</v>
      </c>
    </row>
    <row r="470">
      <c r="A470" s="1">
        <f>IFERROR(__xludf.DUMMYFUNCTION("""COMPUTED_VALUE"""),85020.0)</f>
        <v>85020</v>
      </c>
      <c r="B470" s="5">
        <f>IFERROR(__xludf.DUMMYFUNCTION("""COMPUTED_VALUE"""),44939.45896164352)</f>
        <v>44939.45896</v>
      </c>
      <c r="C470" s="1" t="str">
        <f>IFERROR(__xludf.DUMMYFUNCTION("""COMPUTED_VALUE"""),"Fernandez Noelia")</f>
        <v>Fernandez Noelia</v>
      </c>
      <c r="D470" s="1" t="str">
        <f>IFERROR(__xludf.DUMMYFUNCTION("""COMPUTED_VALUE"""),"Reparaciones/Otros")</f>
        <v>Reparaciones/Otros</v>
      </c>
      <c r="E470" s="1" t="str">
        <f>IFERROR(__xludf.DUMMYFUNCTION("""COMPUTED_VALUE"""),"RIVADAVIA Rocio B")</f>
        <v>RIVADAVIA Rocio B</v>
      </c>
      <c r="F470" s="1" t="str">
        <f t="shared" si="1"/>
        <v>RIVADAVIA </v>
      </c>
      <c r="G470" s="1" t="str">
        <f t="shared" si="2"/>
        <v>Rocio B</v>
      </c>
      <c r="H470" s="1" t="str">
        <f>IFERROR(__xludf.DUMMYFUNCTION("""COMPUTED_VALUE"""),"16/1/2023, 17:00:00")</f>
        <v>16/1/2023, 17:00:00</v>
      </c>
      <c r="I470" s="1" t="str">
        <f>IFERROR(__xludf.DUMMYFUNCTION("""COMPUTED_VALUE"""),"Completado en SUCURSAL")</f>
        <v>Completado en SUCURSAL</v>
      </c>
      <c r="J470" s="1">
        <f t="shared" si="3"/>
        <v>5</v>
      </c>
      <c r="K470" s="1" t="str">
        <f t="shared" si="4"/>
        <v>Tus Lentes estan LISTAS PARA ENTREGAR, te esperamos.</v>
      </c>
    </row>
    <row r="471">
      <c r="A471" s="1">
        <f>IFERROR(__xludf.DUMMYFUNCTION("""COMPUTED_VALUE"""),85021.0)</f>
        <v>85021</v>
      </c>
      <c r="B471" s="5">
        <f>IFERROR(__xludf.DUMMYFUNCTION("""COMPUTED_VALUE"""),44939.45949828703)</f>
        <v>44939.4595</v>
      </c>
      <c r="C471" s="1" t="str">
        <f>IFERROR(__xludf.DUMMYFUNCTION("""COMPUTED_VALUE"""),"LOZANO AGUSTIN")</f>
        <v>LOZANO AGUSTIN</v>
      </c>
      <c r="D471" s="1" t="str">
        <f>IFERROR(__xludf.DUMMYFUNCTION("""COMPUTED_VALUE"""),"Lentes MULTIFOCALES")</f>
        <v>Lentes MULTIFOCALES</v>
      </c>
      <c r="E471" s="1" t="str">
        <f>IFERROR(__xludf.DUMMYFUNCTION("""COMPUTED_VALUE"""),"RIVADAVIA Marcela L")</f>
        <v>RIVADAVIA Marcela L</v>
      </c>
      <c r="F471" s="1" t="str">
        <f t="shared" si="1"/>
        <v>RIVADAVIA </v>
      </c>
      <c r="G471" s="1" t="str">
        <f t="shared" si="2"/>
        <v>Marcela L</v>
      </c>
      <c r="H471" s="1" t="str">
        <f>IFERROR(__xludf.DUMMYFUNCTION("""COMPUTED_VALUE"""),"24/1/2023, 17:00:00")</f>
        <v>24/1/2023, 17:00:00</v>
      </c>
      <c r="I471" s="1" t="str">
        <f>IFERROR(__xludf.DUMMYFUNCTION("""COMPUTED_VALUE"""),"RETIRADO OK POR CLIENTE")</f>
        <v>RETIRADO OK POR CLIENTE</v>
      </c>
      <c r="J471" s="1">
        <f t="shared" si="3"/>
        <v>6</v>
      </c>
      <c r="K471" s="1" t="str">
        <f t="shared" si="4"/>
        <v>Entregamos tus lentes, que los disfrutes!</v>
      </c>
    </row>
    <row r="472">
      <c r="A472" s="1">
        <f>IFERROR(__xludf.DUMMYFUNCTION("""COMPUTED_VALUE"""),85022.0)</f>
        <v>85022</v>
      </c>
      <c r="B472" s="5">
        <f>IFERROR(__xludf.DUMMYFUNCTION("""COMPUTED_VALUE"""),44939.462149467596)</f>
        <v>44939.46215</v>
      </c>
      <c r="C472" s="1" t="str">
        <f>IFERROR(__xludf.DUMMYFUNCTION("""COMPUTED_VALUE"""),"LUCERO LAUTARO")</f>
        <v>LUCERO LAUTARO</v>
      </c>
      <c r="D472" s="1" t="str">
        <f>IFERROR(__xludf.DUMMYFUNCTION("""COMPUTED_VALUE"""),"Lentes de STOCK")</f>
        <v>Lentes de STOCK</v>
      </c>
      <c r="E472" s="1" t="str">
        <f>IFERROR(__xludf.DUMMYFUNCTION("""COMPUTED_VALUE"""),"RIVADAVIA Santiago LOPEZ")</f>
        <v>RIVADAVIA Santiago LOPEZ</v>
      </c>
      <c r="F472" s="1" t="str">
        <f t="shared" si="1"/>
        <v>RIVADAVIA </v>
      </c>
      <c r="G472" s="1" t="str">
        <f t="shared" si="2"/>
        <v>Santiago LOPEZ</v>
      </c>
      <c r="H472" s="1" t="str">
        <f>IFERROR(__xludf.DUMMYFUNCTION("""COMPUTED_VALUE"""),"17/1/2023, 17:00:00")</f>
        <v>17/1/2023, 17:00:00</v>
      </c>
      <c r="I472" s="1" t="str">
        <f>IFERROR(__xludf.DUMMYFUNCTION("""COMPUTED_VALUE"""),"RETIRADO OK POR CLIENTE")</f>
        <v>RETIRADO OK POR CLIENTE</v>
      </c>
      <c r="J472" s="1">
        <f t="shared" si="3"/>
        <v>6</v>
      </c>
      <c r="K472" s="1" t="str">
        <f t="shared" si="4"/>
        <v>Entregamos tus lentes, que los disfrutes!</v>
      </c>
    </row>
    <row r="473">
      <c r="A473" s="1">
        <f>IFERROR(__xludf.DUMMYFUNCTION("""COMPUTED_VALUE"""),85023.0)</f>
        <v>85023</v>
      </c>
      <c r="B473" s="5">
        <f>IFERROR(__xludf.DUMMYFUNCTION("""COMPUTED_VALUE"""),44939.46460724537)</f>
        <v>44939.46461</v>
      </c>
      <c r="C473" s="1" t="str">
        <f>IFERROR(__xludf.DUMMYFUNCTION("""COMPUTED_VALUE"""),"ANTONIO JESICA LORENA")</f>
        <v>ANTONIO JESICA LORENA</v>
      </c>
      <c r="D473" s="1" t="str">
        <f>IFERROR(__xludf.DUMMYFUNCTION("""COMPUTED_VALUE"""),"Lentes de STOCK")</f>
        <v>Lentes de STOCK</v>
      </c>
      <c r="E473" s="1" t="str">
        <f>IFERROR(__xludf.DUMMYFUNCTION("""COMPUTED_VALUE"""),"ARTIGAS Cristian C.")</f>
        <v>ARTIGAS Cristian C.</v>
      </c>
      <c r="F473" s="1" t="str">
        <f t="shared" si="1"/>
        <v>ARTIGAS </v>
      </c>
      <c r="G473" s="1" t="str">
        <f t="shared" si="2"/>
        <v>Cristian C.</v>
      </c>
      <c r="H473" s="1" t="str">
        <f>IFERROR(__xludf.DUMMYFUNCTION("""COMPUTED_VALUE"""),"19/1/2023, 17:00:00")</f>
        <v>19/1/2023, 17:00:00</v>
      </c>
      <c r="I473" s="1" t="str">
        <f>IFERROR(__xludf.DUMMYFUNCTION("""COMPUTED_VALUE"""),"RETIRADO OK POR CLIENTE")</f>
        <v>RETIRADO OK POR CLIENTE</v>
      </c>
      <c r="J473" s="1">
        <f t="shared" si="3"/>
        <v>6</v>
      </c>
      <c r="K473" s="1" t="str">
        <f t="shared" si="4"/>
        <v>Entregamos tus lentes, que los disfrutes!</v>
      </c>
    </row>
    <row r="474">
      <c r="A474" s="1">
        <f>IFERROR(__xludf.DUMMYFUNCTION("""COMPUTED_VALUE"""),85024.0)</f>
        <v>85024</v>
      </c>
      <c r="B474" s="5">
        <f>IFERROR(__xludf.DUMMYFUNCTION("""COMPUTED_VALUE"""),44939.46522362268)</f>
        <v>44939.46522</v>
      </c>
      <c r="C474" s="1" t="str">
        <f>IFERROR(__xludf.DUMMYFUNCTION("""COMPUTED_VALUE"""),"PAEZ RAMIRO URIEL")</f>
        <v>PAEZ RAMIRO URIEL</v>
      </c>
      <c r="D474" s="1" t="str">
        <f>IFERROR(__xludf.DUMMYFUNCTION("""COMPUTED_VALUE"""),"Lentes de STOCK")</f>
        <v>Lentes de STOCK</v>
      </c>
      <c r="E474" s="1" t="str">
        <f>IFERROR(__xludf.DUMMYFUNCTION("""COMPUTED_VALUE"""),"RIVADAVIA Luciana")</f>
        <v>RIVADAVIA Luciana</v>
      </c>
      <c r="F474" s="1" t="str">
        <f t="shared" si="1"/>
        <v>RIVADAVIA </v>
      </c>
      <c r="G474" s="1" t="str">
        <f t="shared" si="2"/>
        <v>Luciana</v>
      </c>
      <c r="H474" s="1" t="str">
        <f>IFERROR(__xludf.DUMMYFUNCTION("""COMPUTED_VALUE"""),"19/1/2023, 17:00:00")</f>
        <v>19/1/2023, 17:00:00</v>
      </c>
      <c r="I474" s="1" t="str">
        <f>IFERROR(__xludf.DUMMYFUNCTION("""COMPUTED_VALUE"""),"RETIRADO OK POR CLIENTE")</f>
        <v>RETIRADO OK POR CLIENTE</v>
      </c>
      <c r="J474" s="1">
        <f t="shared" si="3"/>
        <v>6</v>
      </c>
      <c r="K474" s="1" t="str">
        <f t="shared" si="4"/>
        <v>Entregamos tus lentes, que los disfrutes!</v>
      </c>
    </row>
    <row r="475">
      <c r="A475" s="1">
        <f>IFERROR(__xludf.DUMMYFUNCTION("""COMPUTED_VALUE"""),85025.0)</f>
        <v>85025</v>
      </c>
      <c r="B475" s="5">
        <f>IFERROR(__xludf.DUMMYFUNCTION("""COMPUTED_VALUE"""),44939.4655360301)</f>
        <v>44939.46554</v>
      </c>
      <c r="C475" s="1" t="str">
        <f>IFERROR(__xludf.DUMMYFUNCTION("""COMPUTED_VALUE"""),"MARTINEZ MARIA")</f>
        <v>MARTINEZ MARIA</v>
      </c>
      <c r="D475" s="1" t="str">
        <f>IFERROR(__xludf.DUMMYFUNCTION("""COMPUTED_VALUE"""),"Lentes de STOCK")</f>
        <v>Lentes de STOCK</v>
      </c>
      <c r="E475" s="1" t="str">
        <f>IFERROR(__xludf.DUMMYFUNCTION("""COMPUTED_VALUE"""),"ARTIGAS Ivana P.")</f>
        <v>ARTIGAS Ivana P.</v>
      </c>
      <c r="F475" s="1" t="str">
        <f t="shared" si="1"/>
        <v>ARTIGAS </v>
      </c>
      <c r="G475" s="1" t="str">
        <f t="shared" si="2"/>
        <v>Ivana P.</v>
      </c>
      <c r="H475" s="1" t="str">
        <f>IFERROR(__xludf.DUMMYFUNCTION("""COMPUTED_VALUE"""),"17/1/2023, 17:00:00")</f>
        <v>17/1/2023, 17:00:00</v>
      </c>
      <c r="I475" s="1" t="str">
        <f>IFERROR(__xludf.DUMMYFUNCTION("""COMPUTED_VALUE"""),"RETIRADO OK POR CLIENTE")</f>
        <v>RETIRADO OK POR CLIENTE</v>
      </c>
      <c r="J475" s="1">
        <f t="shared" si="3"/>
        <v>6</v>
      </c>
      <c r="K475" s="1" t="str">
        <f t="shared" si="4"/>
        <v>Entregamos tus lentes, que los disfrutes!</v>
      </c>
    </row>
    <row r="476">
      <c r="A476" s="1">
        <f>IFERROR(__xludf.DUMMYFUNCTION("""COMPUTED_VALUE"""),85026.0)</f>
        <v>85026</v>
      </c>
      <c r="B476" s="5">
        <f>IFERROR(__xludf.DUMMYFUNCTION("""COMPUTED_VALUE"""),44939.46652267361)</f>
        <v>44939.46652</v>
      </c>
      <c r="C476" s="1" t="str">
        <f>IFERROR(__xludf.DUMMYFUNCTION("""COMPUTED_VALUE"""),"Maluf Victoria")</f>
        <v>Maluf Victoria</v>
      </c>
      <c r="D476" s="1" t="str">
        <f>IFERROR(__xludf.DUMMYFUNCTION("""COMPUTED_VALUE"""),"Lentes de STOCK")</f>
        <v>Lentes de STOCK</v>
      </c>
      <c r="E476" s="1" t="str">
        <f>IFERROR(__xludf.DUMMYFUNCTION("""COMPUTED_VALUE"""),"RIVADAVIA Rocio B")</f>
        <v>RIVADAVIA Rocio B</v>
      </c>
      <c r="F476" s="1" t="str">
        <f t="shared" si="1"/>
        <v>RIVADAVIA </v>
      </c>
      <c r="G476" s="1" t="str">
        <f t="shared" si="2"/>
        <v>Rocio B</v>
      </c>
      <c r="H476" s="1" t="str">
        <f>IFERROR(__xludf.DUMMYFUNCTION("""COMPUTED_VALUE"""),"19/1/2023, 17:00:00")</f>
        <v>19/1/2023, 17:00:00</v>
      </c>
      <c r="I476" s="1" t="str">
        <f>IFERROR(__xludf.DUMMYFUNCTION("""COMPUTED_VALUE"""),"RETIRADO OK POR CLIENTE")</f>
        <v>RETIRADO OK POR CLIENTE</v>
      </c>
      <c r="J476" s="1">
        <f t="shared" si="3"/>
        <v>6</v>
      </c>
      <c r="K476" s="1" t="str">
        <f t="shared" si="4"/>
        <v>Entregamos tus lentes, que los disfrutes!</v>
      </c>
    </row>
    <row r="477">
      <c r="A477" s="1">
        <f>IFERROR(__xludf.DUMMYFUNCTION("""COMPUTED_VALUE"""),85027.0)</f>
        <v>85027</v>
      </c>
      <c r="B477" s="5">
        <f>IFERROR(__xludf.DUMMYFUNCTION("""COMPUTED_VALUE"""),44939.47194534722)</f>
        <v>44939.47195</v>
      </c>
      <c r="C477" s="1" t="str">
        <f>IFERROR(__xludf.DUMMYFUNCTION("""COMPUTED_VALUE"""),"FERNANDEZ ALONDRA AINARA")</f>
        <v>FERNANDEZ ALONDRA AINARA</v>
      </c>
      <c r="D477" s="1" t="str">
        <f>IFERROR(__xludf.DUMMYFUNCTION("""COMPUTED_VALUE"""),"Lentes de STOCK")</f>
        <v>Lentes de STOCK</v>
      </c>
      <c r="E477" s="1" t="str">
        <f>IFERROR(__xludf.DUMMYFUNCTION("""COMPUTED_VALUE"""),"RIVADAVIA Marcela L")</f>
        <v>RIVADAVIA Marcela L</v>
      </c>
      <c r="F477" s="1" t="str">
        <f t="shared" si="1"/>
        <v>RIVADAVIA </v>
      </c>
      <c r="G477" s="1" t="str">
        <f t="shared" si="2"/>
        <v>Marcela L</v>
      </c>
      <c r="H477" s="1" t="str">
        <f>IFERROR(__xludf.DUMMYFUNCTION("""COMPUTED_VALUE"""),"17/1/2023, 17:00:00")</f>
        <v>17/1/2023, 17:00:00</v>
      </c>
      <c r="I477" s="1" t="str">
        <f>IFERROR(__xludf.DUMMYFUNCTION("""COMPUTED_VALUE"""),"RETIRADO OK POR CLIENTE")</f>
        <v>RETIRADO OK POR CLIENTE</v>
      </c>
      <c r="J477" s="1">
        <f t="shared" si="3"/>
        <v>6</v>
      </c>
      <c r="K477" s="1" t="str">
        <f t="shared" si="4"/>
        <v>Entregamos tus lentes, que los disfrutes!</v>
      </c>
    </row>
    <row r="478">
      <c r="A478" s="1">
        <f>IFERROR(__xludf.DUMMYFUNCTION("""COMPUTED_VALUE"""),85028.0)</f>
        <v>85028</v>
      </c>
      <c r="B478" s="5">
        <f>IFERROR(__xludf.DUMMYFUNCTION("""COMPUTED_VALUE"""),44939.47213766204)</f>
        <v>44939.47214</v>
      </c>
      <c r="C478" s="1" t="str">
        <f>IFERROR(__xludf.DUMMYFUNCTION("""COMPUTED_VALUE"""),"FUNES BABEITO DANILO")</f>
        <v>FUNES BABEITO DANILO</v>
      </c>
      <c r="D478" s="1" t="str">
        <f>IFERROR(__xludf.DUMMYFUNCTION("""COMPUTED_VALUE"""),"Lentes de STOCK")</f>
        <v>Lentes de STOCK</v>
      </c>
      <c r="E478" s="1" t="str">
        <f>IFERROR(__xludf.DUMMYFUNCTION("""COMPUTED_VALUE"""),"ARTIGAS Cristian C.")</f>
        <v>ARTIGAS Cristian C.</v>
      </c>
      <c r="F478" s="1" t="str">
        <f t="shared" si="1"/>
        <v>ARTIGAS </v>
      </c>
      <c r="G478" s="1" t="str">
        <f t="shared" si="2"/>
        <v>Cristian C.</v>
      </c>
      <c r="H478" s="1" t="str">
        <f>IFERROR(__xludf.DUMMYFUNCTION("""COMPUTED_VALUE"""),"20/1/2023, 17:00:00")</f>
        <v>20/1/2023, 17:00:00</v>
      </c>
      <c r="I478" s="1" t="str">
        <f>IFERROR(__xludf.DUMMYFUNCTION("""COMPUTED_VALUE"""),"RETIRADO OK POR CLIENTE")</f>
        <v>RETIRADO OK POR CLIENTE</v>
      </c>
      <c r="J478" s="1">
        <f t="shared" si="3"/>
        <v>6</v>
      </c>
      <c r="K478" s="1" t="str">
        <f t="shared" si="4"/>
        <v>Entregamos tus lentes, que los disfrutes!</v>
      </c>
    </row>
    <row r="479">
      <c r="A479" s="1">
        <f>IFERROR(__xludf.DUMMYFUNCTION("""COMPUTED_VALUE"""),85029.0)</f>
        <v>85029</v>
      </c>
      <c r="B479" s="5">
        <f>IFERROR(__xludf.DUMMYFUNCTION("""COMPUTED_VALUE"""),44939.475308333334)</f>
        <v>44939.47531</v>
      </c>
      <c r="C479" s="1" t="str">
        <f>IFERROR(__xludf.DUMMYFUNCTION("""COMPUTED_VALUE"""),"leyes olga")</f>
        <v>leyes olga</v>
      </c>
      <c r="D479" s="1" t="str">
        <f>IFERROR(__xludf.DUMMYFUNCTION("""COMPUTED_VALUE"""),"Reparaciones/Otros")</f>
        <v>Reparaciones/Otros</v>
      </c>
      <c r="E479" s="1" t="str">
        <f>IFERROR(__xludf.DUMMYFUNCTION("""COMPUTED_VALUE"""),"RIVADAVIA Daniel CM")</f>
        <v>RIVADAVIA Daniel CM</v>
      </c>
      <c r="F479" s="1" t="str">
        <f t="shared" si="1"/>
        <v>RIVADAVIA </v>
      </c>
      <c r="G479" s="1" t="str">
        <f t="shared" si="2"/>
        <v>Daniel CM</v>
      </c>
      <c r="H479" s="1" t="str">
        <f>IFERROR(__xludf.DUMMYFUNCTION("""COMPUTED_VALUE"""),"14/1/2023, 17:00:00")</f>
        <v>14/1/2023, 17:00:00</v>
      </c>
      <c r="I479" s="1" t="str">
        <f>IFERROR(__xludf.DUMMYFUNCTION("""COMPUTED_VALUE"""),"Completado en SUCURSAL")</f>
        <v>Completado en SUCURSAL</v>
      </c>
      <c r="J479" s="1">
        <f t="shared" si="3"/>
        <v>5</v>
      </c>
      <c r="K479" s="1" t="str">
        <f t="shared" si="4"/>
        <v>Tus Lentes estan LISTAS PARA ENTREGAR, te esperamos.</v>
      </c>
    </row>
    <row r="480">
      <c r="A480" s="1">
        <f>IFERROR(__xludf.DUMMYFUNCTION("""COMPUTED_VALUE"""),85030.0)</f>
        <v>85030</v>
      </c>
      <c r="B480" s="5">
        <f>IFERROR(__xludf.DUMMYFUNCTION("""COMPUTED_VALUE"""),44939.47581365741)</f>
        <v>44939.47581</v>
      </c>
      <c r="C480" s="1" t="str">
        <f>IFERROR(__xludf.DUMMYFUNCTION("""COMPUTED_VALUE"""),"ceballos ramon")</f>
        <v>ceballos ramon</v>
      </c>
      <c r="D480" s="1" t="str">
        <f>IFERROR(__xludf.DUMMYFUNCTION("""COMPUTED_VALUE"""),"Lentes de STOCK")</f>
        <v>Lentes de STOCK</v>
      </c>
      <c r="E480" s="1" t="str">
        <f>IFERROR(__xludf.DUMMYFUNCTION("""COMPUTED_VALUE"""),"RIVADAVIA Santiago LOPEZ")</f>
        <v>RIVADAVIA Santiago LOPEZ</v>
      </c>
      <c r="F480" s="1" t="str">
        <f t="shared" si="1"/>
        <v>RIVADAVIA </v>
      </c>
      <c r="G480" s="1" t="str">
        <f t="shared" si="2"/>
        <v>Santiago LOPEZ</v>
      </c>
      <c r="H480" s="1" t="str">
        <f>IFERROR(__xludf.DUMMYFUNCTION("""COMPUTED_VALUE"""),"17/1/2023, 17:00:00")</f>
        <v>17/1/2023, 17:00:00</v>
      </c>
      <c r="I480" s="1" t="str">
        <f>IFERROR(__xludf.DUMMYFUNCTION("""COMPUTED_VALUE"""),"RETIRADO OK POR CLIENTE")</f>
        <v>RETIRADO OK POR CLIENTE</v>
      </c>
      <c r="J480" s="1">
        <f t="shared" si="3"/>
        <v>6</v>
      </c>
      <c r="K480" s="1" t="str">
        <f t="shared" si="4"/>
        <v>Entregamos tus lentes, que los disfrutes!</v>
      </c>
    </row>
    <row r="481">
      <c r="A481" s="1">
        <f>IFERROR(__xludf.DUMMYFUNCTION("""COMPUTED_VALUE"""),85031.0)</f>
        <v>85031</v>
      </c>
      <c r="B481" s="5">
        <f>IFERROR(__xludf.DUMMYFUNCTION("""COMPUTED_VALUE"""),44939.47669819444)</f>
        <v>44939.4767</v>
      </c>
      <c r="C481" s="1" t="str">
        <f>IFERROR(__xludf.DUMMYFUNCTION("""COMPUTED_VALUE"""),"CARLOS CALDERON")</f>
        <v>CARLOS CALDERON</v>
      </c>
      <c r="D481" s="1" t="str">
        <f>IFERROR(__xludf.DUMMYFUNCTION("""COMPUTED_VALUE"""),"Reparaciones/Otros")</f>
        <v>Reparaciones/Otros</v>
      </c>
      <c r="E481" s="1" t="str">
        <f>IFERROR(__xludf.DUMMYFUNCTION("""COMPUTED_VALUE"""),"ARTIGAS Celina")</f>
        <v>ARTIGAS Celina</v>
      </c>
      <c r="F481" s="1" t="str">
        <f t="shared" si="1"/>
        <v>ARTIGAS </v>
      </c>
      <c r="G481" s="1" t="str">
        <f t="shared" si="2"/>
        <v>Celina</v>
      </c>
      <c r="H481" s="1" t="str">
        <f>IFERROR(__xludf.DUMMYFUNCTION("""COMPUTED_VALUE"""),"16/1/2023, 12:00:00")</f>
        <v>16/1/2023, 12:00:00</v>
      </c>
      <c r="I481" s="1" t="str">
        <f>IFERROR(__xludf.DUMMYFUNCTION("""COMPUTED_VALUE"""),"Completado en SUCURSAL")</f>
        <v>Completado en SUCURSAL</v>
      </c>
      <c r="J481" s="1">
        <f t="shared" si="3"/>
        <v>5</v>
      </c>
      <c r="K481" s="1" t="str">
        <f t="shared" si="4"/>
        <v>Tus Lentes estan LISTAS PARA ENTREGAR, te esperamos.</v>
      </c>
    </row>
    <row r="482">
      <c r="A482" s="1">
        <f>IFERROR(__xludf.DUMMYFUNCTION("""COMPUTED_VALUE"""),85032.0)</f>
        <v>85032</v>
      </c>
      <c r="B482" s="5">
        <f>IFERROR(__xludf.DUMMYFUNCTION("""COMPUTED_VALUE"""),44939.477793831014)</f>
        <v>44939.47779</v>
      </c>
      <c r="C482" s="1" t="str">
        <f>IFERROR(__xludf.DUMMYFUNCTION("""COMPUTED_VALUE"""),"RONDAN NORA MABEL")</f>
        <v>RONDAN NORA MABEL</v>
      </c>
      <c r="D482" s="1" t="str">
        <f>IFERROR(__xludf.DUMMYFUNCTION("""COMPUTED_VALUE"""),"Lentes de STOCK")</f>
        <v>Lentes de STOCK</v>
      </c>
      <c r="E482" s="1" t="str">
        <f>IFERROR(__xludf.DUMMYFUNCTION("""COMPUTED_VALUE"""),"RIVADAVIA Rocio B")</f>
        <v>RIVADAVIA Rocio B</v>
      </c>
      <c r="F482" s="1" t="str">
        <f t="shared" si="1"/>
        <v>RIVADAVIA </v>
      </c>
      <c r="G482" s="1" t="str">
        <f t="shared" si="2"/>
        <v>Rocio B</v>
      </c>
      <c r="H482" s="1" t="str">
        <f>IFERROR(__xludf.DUMMYFUNCTION("""COMPUTED_VALUE"""),"19/1/2023, 17:00:00")</f>
        <v>19/1/2023, 17:00:00</v>
      </c>
      <c r="I482" s="1"/>
      <c r="J482" s="1">
        <f t="shared" si="3"/>
        <v>0</v>
      </c>
      <c r="K482" s="1" t="str">
        <f t="shared" si="4"/>
        <v/>
      </c>
    </row>
    <row r="483">
      <c r="A483" s="1">
        <f>IFERROR(__xludf.DUMMYFUNCTION("""COMPUTED_VALUE"""),85033.0)</f>
        <v>85033</v>
      </c>
      <c r="B483" s="5">
        <f>IFERROR(__xludf.DUMMYFUNCTION("""COMPUTED_VALUE"""),44939.47910016203)</f>
        <v>44939.4791</v>
      </c>
      <c r="C483" s="1" t="str">
        <f>IFERROR(__xludf.DUMMYFUNCTION("""COMPUTED_VALUE"""),"Gatica Laura")</f>
        <v>Gatica Laura</v>
      </c>
      <c r="D483" s="1" t="str">
        <f>IFERROR(__xludf.DUMMYFUNCTION("""COMPUTED_VALUE"""),"Lentes de STOCK")</f>
        <v>Lentes de STOCK</v>
      </c>
      <c r="E483" s="1" t="str">
        <f>IFERROR(__xludf.DUMMYFUNCTION("""COMPUTED_VALUE"""),"RIVADAVIA Rocio B")</f>
        <v>RIVADAVIA Rocio B</v>
      </c>
      <c r="F483" s="1" t="str">
        <f t="shared" si="1"/>
        <v>RIVADAVIA </v>
      </c>
      <c r="G483" s="1" t="str">
        <f t="shared" si="2"/>
        <v>Rocio B</v>
      </c>
      <c r="H483" s="1" t="str">
        <f>IFERROR(__xludf.DUMMYFUNCTION("""COMPUTED_VALUE"""),"19/1/2023, 17:00:00")</f>
        <v>19/1/2023, 17:00:00</v>
      </c>
      <c r="I483" s="1" t="str">
        <f>IFERROR(__xludf.DUMMYFUNCTION("""COMPUTED_VALUE"""),"RETIRADO OK POR CLIENTE")</f>
        <v>RETIRADO OK POR CLIENTE</v>
      </c>
      <c r="J483" s="1">
        <f t="shared" si="3"/>
        <v>6</v>
      </c>
      <c r="K483" s="1" t="str">
        <f t="shared" si="4"/>
        <v>Entregamos tus lentes, que los disfrutes!</v>
      </c>
    </row>
    <row r="484">
      <c r="A484" s="1">
        <f>IFERROR(__xludf.DUMMYFUNCTION("""COMPUTED_VALUE"""),85034.0)</f>
        <v>85034</v>
      </c>
      <c r="B484" s="5">
        <f>IFERROR(__xludf.DUMMYFUNCTION("""COMPUTED_VALUE"""),44939.481682847225)</f>
        <v>44939.48168</v>
      </c>
      <c r="C484" s="1" t="str">
        <f>IFERROR(__xludf.DUMMYFUNCTION("""COMPUTED_VALUE"""),"TORRONTEGUI NATASHA")</f>
        <v>TORRONTEGUI NATASHA</v>
      </c>
      <c r="D484" s="1" t="str">
        <f>IFERROR(__xludf.DUMMYFUNCTION("""COMPUTED_VALUE"""),"Lentes de STOCK")</f>
        <v>Lentes de STOCK</v>
      </c>
      <c r="E484" s="1" t="str">
        <f>IFERROR(__xludf.DUMMYFUNCTION("""COMPUTED_VALUE"""),"ARTIGAS Ivana P.")</f>
        <v>ARTIGAS Ivana P.</v>
      </c>
      <c r="F484" s="1" t="str">
        <f t="shared" si="1"/>
        <v>ARTIGAS </v>
      </c>
      <c r="G484" s="1" t="str">
        <f t="shared" si="2"/>
        <v>Ivana P.</v>
      </c>
      <c r="H484" s="1" t="str">
        <f>IFERROR(__xludf.DUMMYFUNCTION("""COMPUTED_VALUE"""),"18/1/2023, 17:00:00")</f>
        <v>18/1/2023, 17:00:00</v>
      </c>
      <c r="I484" s="1" t="str">
        <f>IFERROR(__xludf.DUMMYFUNCTION("""COMPUTED_VALUE"""),"Completado en SUCURSAL")</f>
        <v>Completado en SUCURSAL</v>
      </c>
      <c r="J484" s="1">
        <f t="shared" si="3"/>
        <v>5</v>
      </c>
      <c r="K484" s="1" t="str">
        <f t="shared" si="4"/>
        <v>Tus Lentes estan LISTAS PARA ENTREGAR, te esperamos.</v>
      </c>
    </row>
    <row r="485">
      <c r="A485" s="1">
        <f>IFERROR(__xludf.DUMMYFUNCTION("""COMPUTED_VALUE"""),85035.0)</f>
        <v>85035</v>
      </c>
      <c r="B485" s="5">
        <f>IFERROR(__xludf.DUMMYFUNCTION("""COMPUTED_VALUE"""),44939.48384207176)</f>
        <v>44939.48384</v>
      </c>
      <c r="C485" s="1" t="str">
        <f>IFERROR(__xludf.DUMMYFUNCTION("""COMPUTED_VALUE"""),"WANZO JULIA ALEJANDRA")</f>
        <v>WANZO JULIA ALEJANDRA</v>
      </c>
      <c r="D485" s="1" t="str">
        <f>IFERROR(__xludf.DUMMYFUNCTION("""COMPUTED_VALUE"""),"Lentes MULTIFOCALES")</f>
        <v>Lentes MULTIFOCALES</v>
      </c>
      <c r="E485" s="1" t="str">
        <f>IFERROR(__xludf.DUMMYFUNCTION("""COMPUTED_VALUE"""),"RIVADAVIA Marcela L")</f>
        <v>RIVADAVIA Marcela L</v>
      </c>
      <c r="F485" s="1" t="str">
        <f t="shared" si="1"/>
        <v>RIVADAVIA </v>
      </c>
      <c r="G485" s="1" t="str">
        <f t="shared" si="2"/>
        <v>Marcela L</v>
      </c>
      <c r="H485" s="1" t="str">
        <f>IFERROR(__xludf.DUMMYFUNCTION("""COMPUTED_VALUE"""),"27/1/2023, 17:00:00")</f>
        <v>27/1/2023, 17:00:00</v>
      </c>
      <c r="I485" s="1" t="str">
        <f>IFERROR(__xludf.DUMMYFUNCTION("""COMPUTED_VALUE"""),"RETIRADO OK POR CLIENTE")</f>
        <v>RETIRADO OK POR CLIENTE</v>
      </c>
      <c r="J485" s="1">
        <f t="shared" si="3"/>
        <v>6</v>
      </c>
      <c r="K485" s="1" t="str">
        <f t="shared" si="4"/>
        <v>Entregamos tus lentes, que los disfrutes!</v>
      </c>
    </row>
    <row r="486">
      <c r="A486" s="1">
        <f>IFERROR(__xludf.DUMMYFUNCTION("""COMPUTED_VALUE"""),85036.0)</f>
        <v>85036</v>
      </c>
      <c r="B486" s="5">
        <f>IFERROR(__xludf.DUMMYFUNCTION("""COMPUTED_VALUE"""),44939.48498165509)</f>
        <v>44939.48498</v>
      </c>
      <c r="C486" s="1" t="str">
        <f>IFERROR(__xludf.DUMMYFUNCTION("""COMPUTED_VALUE"""),"WANZO JULIA ALEJANDRA")</f>
        <v>WANZO JULIA ALEJANDRA</v>
      </c>
      <c r="D486" s="1" t="str">
        <f>IFERROR(__xludf.DUMMYFUNCTION("""COMPUTED_VALUE"""),"Lentes de STOCK")</f>
        <v>Lentes de STOCK</v>
      </c>
      <c r="E486" s="1" t="str">
        <f>IFERROR(__xludf.DUMMYFUNCTION("""COMPUTED_VALUE"""),"RIVADAVIA Marcela L")</f>
        <v>RIVADAVIA Marcela L</v>
      </c>
      <c r="F486" s="1" t="str">
        <f t="shared" si="1"/>
        <v>RIVADAVIA </v>
      </c>
      <c r="G486" s="1" t="str">
        <f t="shared" si="2"/>
        <v>Marcela L</v>
      </c>
      <c r="H486" s="1" t="str">
        <f>IFERROR(__xludf.DUMMYFUNCTION("""COMPUTED_VALUE"""),"20/1/2023, 17:00:00")</f>
        <v>20/1/2023, 17:00:00</v>
      </c>
      <c r="I486" s="1" t="str">
        <f>IFERROR(__xludf.DUMMYFUNCTION("""COMPUTED_VALUE"""),"RETIRADO OK POR CLIENTE")</f>
        <v>RETIRADO OK POR CLIENTE</v>
      </c>
      <c r="J486" s="1">
        <f t="shared" si="3"/>
        <v>6</v>
      </c>
      <c r="K486" s="1" t="str">
        <f t="shared" si="4"/>
        <v>Entregamos tus lentes, que los disfrutes!</v>
      </c>
    </row>
    <row r="487">
      <c r="A487" s="1">
        <f>IFERROR(__xludf.DUMMYFUNCTION("""COMPUTED_VALUE"""),85037.0)</f>
        <v>85037</v>
      </c>
      <c r="B487" s="5">
        <f>IFERROR(__xludf.DUMMYFUNCTION("""COMPUTED_VALUE"""),44939.49725747685)</f>
        <v>44939.49726</v>
      </c>
      <c r="C487" s="1" t="str">
        <f>IFERROR(__xludf.DUMMYFUNCTION("""COMPUTED_VALUE"""),"MACRETT NICOLAS ")</f>
        <v>MACRETT NICOLAS </v>
      </c>
      <c r="D487" s="1" t="str">
        <f>IFERROR(__xludf.DUMMYFUNCTION("""COMPUTED_VALUE"""),"Lentes de LABORATORIO")</f>
        <v>Lentes de LABORATORIO</v>
      </c>
      <c r="E487" s="1" t="str">
        <f>IFERROR(__xludf.DUMMYFUNCTION("""COMPUTED_VALUE"""),"RIVADAVIA Luciana")</f>
        <v>RIVADAVIA Luciana</v>
      </c>
      <c r="F487" s="1" t="str">
        <f t="shared" si="1"/>
        <v>RIVADAVIA </v>
      </c>
      <c r="G487" s="1" t="str">
        <f t="shared" si="2"/>
        <v>Luciana</v>
      </c>
      <c r="H487" s="1" t="str">
        <f>IFERROR(__xludf.DUMMYFUNCTION("""COMPUTED_VALUE"""),"27/1/2023, 17:00:00")</f>
        <v>27/1/2023, 17:00:00</v>
      </c>
      <c r="I487" s="1" t="str">
        <f>IFERROR(__xludf.DUMMYFUNCTION("""COMPUTED_VALUE"""),"RETIRADO OK POR CLIENTE")</f>
        <v>RETIRADO OK POR CLIENTE</v>
      </c>
      <c r="J487" s="1">
        <f t="shared" si="3"/>
        <v>6</v>
      </c>
      <c r="K487" s="1" t="str">
        <f t="shared" si="4"/>
        <v>Entregamos tus lentes, que los disfrutes!</v>
      </c>
    </row>
    <row r="488">
      <c r="A488" s="1">
        <f>IFERROR(__xludf.DUMMYFUNCTION("""COMPUTED_VALUE"""),85038.0)</f>
        <v>85038</v>
      </c>
      <c r="B488" s="5">
        <f>IFERROR(__xludf.DUMMYFUNCTION("""COMPUTED_VALUE"""),44939.50126700231)</f>
        <v>44939.50127</v>
      </c>
      <c r="C488" s="1" t="str">
        <f>IFERROR(__xludf.DUMMYFUNCTION("""COMPUTED_VALUE"""),"audritto huber")</f>
        <v>audritto huber</v>
      </c>
      <c r="D488" s="1" t="str">
        <f>IFERROR(__xludf.DUMMYFUNCTION("""COMPUTED_VALUE"""),"Lentes de STOCK")</f>
        <v>Lentes de STOCK</v>
      </c>
      <c r="E488" s="1" t="str">
        <f>IFERROR(__xludf.DUMMYFUNCTION("""COMPUTED_VALUE"""),"ARTIGAS Cristian C.")</f>
        <v>ARTIGAS Cristian C.</v>
      </c>
      <c r="F488" s="1" t="str">
        <f t="shared" si="1"/>
        <v>ARTIGAS </v>
      </c>
      <c r="G488" s="1" t="str">
        <f t="shared" si="2"/>
        <v>Cristian C.</v>
      </c>
      <c r="H488" s="1" t="str">
        <f>IFERROR(__xludf.DUMMYFUNCTION("""COMPUTED_VALUE"""),"20/1/2023, 17:00:00")</f>
        <v>20/1/2023, 17:00:00</v>
      </c>
      <c r="I488" s="1" t="str">
        <f>IFERROR(__xludf.DUMMYFUNCTION("""COMPUTED_VALUE"""),"En Armado Hoy")</f>
        <v>En Armado Hoy</v>
      </c>
      <c r="J488" s="1">
        <f t="shared" si="3"/>
        <v>3</v>
      </c>
      <c r="K488" s="1" t="str">
        <f t="shared" si="4"/>
        <v>Estamos terminando los ultimos detalles de tus lentes, los terminaremos el dia de hoy.</v>
      </c>
    </row>
    <row r="489">
      <c r="A489" s="1">
        <f>IFERROR(__xludf.DUMMYFUNCTION("""COMPUTED_VALUE"""),85039.0)</f>
        <v>85039</v>
      </c>
      <c r="B489" s="5">
        <f>IFERROR(__xludf.DUMMYFUNCTION("""COMPUTED_VALUE"""),44939.50220991898)</f>
        <v>44939.50221</v>
      </c>
      <c r="C489" s="1" t="str">
        <f>IFERROR(__xludf.DUMMYFUNCTION("""COMPUTED_VALUE"""),"ZEBALLOS PEDRO")</f>
        <v>ZEBALLOS PEDRO</v>
      </c>
      <c r="D489" s="1" t="str">
        <f>IFERROR(__xludf.DUMMYFUNCTION("""COMPUTED_VALUE"""),"Lentes de STOCK")</f>
        <v>Lentes de STOCK</v>
      </c>
      <c r="E489" s="1" t="str">
        <f>IFERROR(__xludf.DUMMYFUNCTION("""COMPUTED_VALUE"""),"ARTIGAS Ivana P.")</f>
        <v>ARTIGAS Ivana P.</v>
      </c>
      <c r="F489" s="1" t="str">
        <f t="shared" si="1"/>
        <v>ARTIGAS </v>
      </c>
      <c r="G489" s="1" t="str">
        <f t="shared" si="2"/>
        <v>Ivana P.</v>
      </c>
      <c r="H489" s="1" t="str">
        <f>IFERROR(__xludf.DUMMYFUNCTION("""COMPUTED_VALUE"""),"17/1/2023, 17:00:00")</f>
        <v>17/1/2023, 17:00:00</v>
      </c>
      <c r="I489" s="1" t="str">
        <f>IFERROR(__xludf.DUMMYFUNCTION("""COMPUTED_VALUE"""),"RETIRADO OK POR CLIENTE")</f>
        <v>RETIRADO OK POR CLIENTE</v>
      </c>
      <c r="J489" s="1">
        <f t="shared" si="3"/>
        <v>6</v>
      </c>
      <c r="K489" s="1" t="str">
        <f t="shared" si="4"/>
        <v>Entregamos tus lentes, que los disfrutes!</v>
      </c>
    </row>
    <row r="490">
      <c r="A490" s="1">
        <f>IFERROR(__xludf.DUMMYFUNCTION("""COMPUTED_VALUE"""),85040.0)</f>
        <v>85040</v>
      </c>
      <c r="B490" s="5">
        <f>IFERROR(__xludf.DUMMYFUNCTION("""COMPUTED_VALUE"""),44939.508321851856)</f>
        <v>44939.50832</v>
      </c>
      <c r="C490" s="1" t="str">
        <f>IFERROR(__xludf.DUMMYFUNCTION("""COMPUTED_VALUE"""),"MADRID VIVIANA")</f>
        <v>MADRID VIVIANA</v>
      </c>
      <c r="D490" s="1" t="str">
        <f>IFERROR(__xludf.DUMMYFUNCTION("""COMPUTED_VALUE"""),"Lentes de STOCK")</f>
        <v>Lentes de STOCK</v>
      </c>
      <c r="E490" s="1" t="str">
        <f>IFERROR(__xludf.DUMMYFUNCTION("""COMPUTED_VALUE"""),"ARTIGAS Ivana P.")</f>
        <v>ARTIGAS Ivana P.</v>
      </c>
      <c r="F490" s="1" t="str">
        <f t="shared" si="1"/>
        <v>ARTIGAS </v>
      </c>
      <c r="G490" s="1" t="str">
        <f t="shared" si="2"/>
        <v>Ivana P.</v>
      </c>
      <c r="H490" s="1" t="str">
        <f>IFERROR(__xludf.DUMMYFUNCTION("""COMPUTED_VALUE"""),"18/1/2023, 17:00:00")</f>
        <v>18/1/2023, 17:00:00</v>
      </c>
      <c r="I490" s="1" t="str">
        <f>IFERROR(__xludf.DUMMYFUNCTION("""COMPUTED_VALUE"""),"Completado en SUCURSAL")</f>
        <v>Completado en SUCURSAL</v>
      </c>
      <c r="J490" s="1">
        <f t="shared" si="3"/>
        <v>5</v>
      </c>
      <c r="K490" s="1" t="str">
        <f t="shared" si="4"/>
        <v>Tus Lentes estan LISTAS PARA ENTREGAR, te esperamos.</v>
      </c>
    </row>
    <row r="491">
      <c r="A491" s="1">
        <f>IFERROR(__xludf.DUMMYFUNCTION("""COMPUTED_VALUE"""),85041.0)</f>
        <v>85041</v>
      </c>
      <c r="B491" s="5">
        <f>IFERROR(__xludf.DUMMYFUNCTION("""COMPUTED_VALUE"""),44939.50854123842)</f>
        <v>44939.50854</v>
      </c>
      <c r="C491" s="1" t="str">
        <f>IFERROR(__xludf.DUMMYFUNCTION("""COMPUTED_VALUE"""),"RONDAN NORA MABEL")</f>
        <v>RONDAN NORA MABEL</v>
      </c>
      <c r="D491" s="1" t="str">
        <f>IFERROR(__xludf.DUMMYFUNCTION("""COMPUTED_VALUE"""),"Lentes de STOCK")</f>
        <v>Lentes de STOCK</v>
      </c>
      <c r="E491" s="1" t="str">
        <f>IFERROR(__xludf.DUMMYFUNCTION("""COMPUTED_VALUE"""),"RIVADAVIA Rocio B")</f>
        <v>RIVADAVIA Rocio B</v>
      </c>
      <c r="F491" s="1" t="str">
        <f t="shared" si="1"/>
        <v>RIVADAVIA </v>
      </c>
      <c r="G491" s="1" t="str">
        <f t="shared" si="2"/>
        <v>Rocio B</v>
      </c>
      <c r="H491" s="1" t="str">
        <f>IFERROR(__xludf.DUMMYFUNCTION("""COMPUTED_VALUE"""),"19/1/2023, 17:00:00")</f>
        <v>19/1/2023, 17:00:00</v>
      </c>
      <c r="I491" s="1" t="str">
        <f>IFERROR(__xludf.DUMMYFUNCTION("""COMPUTED_VALUE"""),"Enviado a Sucursal")</f>
        <v>Enviado a Sucursal</v>
      </c>
      <c r="J491" s="1">
        <f t="shared" si="3"/>
        <v>4</v>
      </c>
      <c r="K491" s="1" t="str">
        <f t="shared" si="4"/>
        <v>Tus lentes estan viajando a la sucursal para su entrega.</v>
      </c>
    </row>
    <row r="492">
      <c r="A492" s="1">
        <f>IFERROR(__xludf.DUMMYFUNCTION("""COMPUTED_VALUE"""),85042.0)</f>
        <v>85042</v>
      </c>
      <c r="B492" s="5">
        <f>IFERROR(__xludf.DUMMYFUNCTION("""COMPUTED_VALUE"""),44939.50950425926)</f>
        <v>44939.5095</v>
      </c>
      <c r="C492" s="1" t="str">
        <f>IFERROR(__xludf.DUMMYFUNCTION("""COMPUTED_VALUE"""),"BARRIOS DAVID IAN")</f>
        <v>BARRIOS DAVID IAN</v>
      </c>
      <c r="D492" s="1" t="str">
        <f>IFERROR(__xludf.DUMMYFUNCTION("""COMPUTED_VALUE"""),"Lentes de STOCK")</f>
        <v>Lentes de STOCK</v>
      </c>
      <c r="E492" s="1" t="str">
        <f>IFERROR(__xludf.DUMMYFUNCTION("""COMPUTED_VALUE"""),"RIVADAVIA Marcela L")</f>
        <v>RIVADAVIA Marcela L</v>
      </c>
      <c r="F492" s="1" t="str">
        <f t="shared" si="1"/>
        <v>RIVADAVIA </v>
      </c>
      <c r="G492" s="1" t="str">
        <f t="shared" si="2"/>
        <v>Marcela L</v>
      </c>
      <c r="H492" s="1" t="str">
        <f>IFERROR(__xludf.DUMMYFUNCTION("""COMPUTED_VALUE"""),"18/1/2023, 17:00:00")</f>
        <v>18/1/2023, 17:00:00</v>
      </c>
      <c r="I492" s="1" t="str">
        <f>IFERROR(__xludf.DUMMYFUNCTION("""COMPUTED_VALUE"""),"Completado en SUCURSAL")</f>
        <v>Completado en SUCURSAL</v>
      </c>
      <c r="J492" s="1">
        <f t="shared" si="3"/>
        <v>5</v>
      </c>
      <c r="K492" s="1" t="str">
        <f t="shared" si="4"/>
        <v>Tus Lentes estan LISTAS PARA ENTREGAR, te esperamos.</v>
      </c>
    </row>
    <row r="493">
      <c r="A493" s="1">
        <f>IFERROR(__xludf.DUMMYFUNCTION("""COMPUTED_VALUE"""),85043.0)</f>
        <v>85043</v>
      </c>
      <c r="B493" s="5">
        <f>IFERROR(__xludf.DUMMYFUNCTION("""COMPUTED_VALUE"""),44939.51510309028)</f>
        <v>44939.5151</v>
      </c>
      <c r="C493" s="1" t="str">
        <f>IFERROR(__xludf.DUMMYFUNCTION("""COMPUTED_VALUE"""),"ALMADA FELIX")</f>
        <v>ALMADA FELIX</v>
      </c>
      <c r="D493" s="1" t="str">
        <f>IFERROR(__xludf.DUMMYFUNCTION("""COMPUTED_VALUE"""),"Lentes de STOCK")</f>
        <v>Lentes de STOCK</v>
      </c>
      <c r="E493" s="1" t="str">
        <f>IFERROR(__xludf.DUMMYFUNCTION("""COMPUTED_VALUE"""),"ARTIGAS Ivana P.")</f>
        <v>ARTIGAS Ivana P.</v>
      </c>
      <c r="F493" s="1" t="str">
        <f t="shared" si="1"/>
        <v>ARTIGAS </v>
      </c>
      <c r="G493" s="1" t="str">
        <f t="shared" si="2"/>
        <v>Ivana P.</v>
      </c>
      <c r="H493" s="1" t="str">
        <f>IFERROR(__xludf.DUMMYFUNCTION("""COMPUTED_VALUE"""),"18/1/2023, 17:00:00")</f>
        <v>18/1/2023, 17:00:00</v>
      </c>
      <c r="I493" s="1" t="str">
        <f>IFERROR(__xludf.DUMMYFUNCTION("""COMPUTED_VALUE"""),"RETIRADO OK POR CLIENTE")</f>
        <v>RETIRADO OK POR CLIENTE</v>
      </c>
      <c r="J493" s="1">
        <f t="shared" si="3"/>
        <v>6</v>
      </c>
      <c r="K493" s="1" t="str">
        <f t="shared" si="4"/>
        <v>Entregamos tus lentes, que los disfrutes!</v>
      </c>
    </row>
    <row r="494">
      <c r="A494" s="1">
        <f>IFERROR(__xludf.DUMMYFUNCTION("""COMPUTED_VALUE"""),85044.0)</f>
        <v>85044</v>
      </c>
      <c r="B494" s="5">
        <f>IFERROR(__xludf.DUMMYFUNCTION("""COMPUTED_VALUE"""),44939.531101967594)</f>
        <v>44939.5311</v>
      </c>
      <c r="C494" s="1" t="str">
        <f>IFERROR(__xludf.DUMMYFUNCTION("""COMPUTED_VALUE"""),"Aguado Giuliana ")</f>
        <v>Aguado Giuliana </v>
      </c>
      <c r="D494" s="1" t="str">
        <f>IFERROR(__xludf.DUMMYFUNCTION("""COMPUTED_VALUE"""),"Lentes de STOCK")</f>
        <v>Lentes de STOCK</v>
      </c>
      <c r="E494" s="1" t="str">
        <f>IFERROR(__xludf.DUMMYFUNCTION("""COMPUTED_VALUE"""),"RIVADAVIA Rocio B")</f>
        <v>RIVADAVIA Rocio B</v>
      </c>
      <c r="F494" s="1" t="str">
        <f t="shared" si="1"/>
        <v>RIVADAVIA </v>
      </c>
      <c r="G494" s="1" t="str">
        <f t="shared" si="2"/>
        <v>Rocio B</v>
      </c>
      <c r="H494" s="1" t="str">
        <f>IFERROR(__xludf.DUMMYFUNCTION("""COMPUTED_VALUE"""),"19/1/2023, 17:00:00")</f>
        <v>19/1/2023, 17:00:00</v>
      </c>
      <c r="I494" s="1" t="str">
        <f>IFERROR(__xludf.DUMMYFUNCTION("""COMPUTED_VALUE"""),"RETIRADO OK POR CLIENTE")</f>
        <v>RETIRADO OK POR CLIENTE</v>
      </c>
      <c r="J494" s="1">
        <f t="shared" si="3"/>
        <v>6</v>
      </c>
      <c r="K494" s="1" t="str">
        <f t="shared" si="4"/>
        <v>Entregamos tus lentes, que los disfrutes!</v>
      </c>
    </row>
    <row r="495">
      <c r="A495" s="1">
        <f>IFERROR(__xludf.DUMMYFUNCTION("""COMPUTED_VALUE"""),85045.0)</f>
        <v>85045</v>
      </c>
      <c r="B495" s="5">
        <f>IFERROR(__xludf.DUMMYFUNCTION("""COMPUTED_VALUE"""),44939.532050243055)</f>
        <v>44939.53205</v>
      </c>
      <c r="C495" s="1" t="str">
        <f>IFERROR(__xludf.DUMMYFUNCTION("""COMPUTED_VALUE"""),"LUCERO ALKFREDO ")</f>
        <v>LUCERO ALKFREDO </v>
      </c>
      <c r="D495" s="1" t="str">
        <f>IFERROR(__xludf.DUMMYFUNCTION("""COMPUTED_VALUE"""),"Reparaciones/Otros")</f>
        <v>Reparaciones/Otros</v>
      </c>
      <c r="E495" s="1" t="str">
        <f>IFERROR(__xludf.DUMMYFUNCTION("""COMPUTED_VALUE"""),"ARTIGAS Cristian C.")</f>
        <v>ARTIGAS Cristian C.</v>
      </c>
      <c r="F495" s="1" t="str">
        <f t="shared" si="1"/>
        <v>ARTIGAS </v>
      </c>
      <c r="G495" s="1" t="str">
        <f t="shared" si="2"/>
        <v>Cristian C.</v>
      </c>
      <c r="H495" s="1" t="str">
        <f>IFERROR(__xludf.DUMMYFUNCTION("""COMPUTED_VALUE"""),"14/1/2023, 17:00:00")</f>
        <v>14/1/2023, 17:00:00</v>
      </c>
      <c r="I495" s="1" t="str">
        <f>IFERROR(__xludf.DUMMYFUNCTION("""COMPUTED_VALUE"""),"Recibido en Laboratorio")</f>
        <v>Recibido en Laboratorio</v>
      </c>
      <c r="J495" s="1">
        <f t="shared" si="3"/>
        <v>2</v>
      </c>
      <c r="K495" s="1" t="str">
        <f t="shared" si="4"/>
        <v>Nuestro Laboratorio esta trabajando en tus lentes, los entregaremos en la fecha acordada.</v>
      </c>
    </row>
    <row r="496">
      <c r="A496" s="1">
        <f>IFERROR(__xludf.DUMMYFUNCTION("""COMPUTED_VALUE"""),85046.0)</f>
        <v>85046</v>
      </c>
      <c r="B496" s="5">
        <f>IFERROR(__xludf.DUMMYFUNCTION("""COMPUTED_VALUE"""),44939.533901319446)</f>
        <v>44939.5339</v>
      </c>
      <c r="C496" s="1" t="str">
        <f>IFERROR(__xludf.DUMMYFUNCTION("""COMPUTED_VALUE"""),"MARTINEZ CLAUDIA")</f>
        <v>MARTINEZ CLAUDIA</v>
      </c>
      <c r="D496" s="1" t="str">
        <f>IFERROR(__xludf.DUMMYFUNCTION("""COMPUTED_VALUE"""),"Reparaciones/Otros")</f>
        <v>Reparaciones/Otros</v>
      </c>
      <c r="E496" s="1" t="str">
        <f>IFERROR(__xludf.DUMMYFUNCTION("""COMPUTED_VALUE"""),"RIVADAVIA Marcela L")</f>
        <v>RIVADAVIA Marcela L</v>
      </c>
      <c r="F496" s="1" t="str">
        <f t="shared" si="1"/>
        <v>RIVADAVIA </v>
      </c>
      <c r="G496" s="1" t="str">
        <f t="shared" si="2"/>
        <v>Marcela L</v>
      </c>
      <c r="H496" s="1" t="str">
        <f>IFERROR(__xludf.DUMMYFUNCTION("""COMPUTED_VALUE"""),"14/1/2023, 17:00:00")</f>
        <v>14/1/2023, 17:00:00</v>
      </c>
      <c r="I496" s="1" t="str">
        <f>IFERROR(__xludf.DUMMYFUNCTION("""COMPUTED_VALUE"""),"Completado en SUCURSAL")</f>
        <v>Completado en SUCURSAL</v>
      </c>
      <c r="J496" s="1">
        <f t="shared" si="3"/>
        <v>5</v>
      </c>
      <c r="K496" s="1" t="str">
        <f t="shared" si="4"/>
        <v>Tus Lentes estan LISTAS PARA ENTREGAR, te esperamos.</v>
      </c>
    </row>
    <row r="497">
      <c r="A497" s="1">
        <f>IFERROR(__xludf.DUMMYFUNCTION("""COMPUTED_VALUE"""),85047.0)</f>
        <v>85047</v>
      </c>
      <c r="B497" s="5">
        <f>IFERROR(__xludf.DUMMYFUNCTION("""COMPUTED_VALUE"""),44939.53625517361)</f>
        <v>44939.53626</v>
      </c>
      <c r="C497" s="1" t="str">
        <f>IFERROR(__xludf.DUMMYFUNCTION("""COMPUTED_VALUE"""),"GUILERA TIZIANA")</f>
        <v>GUILERA TIZIANA</v>
      </c>
      <c r="D497" s="1" t="str">
        <f>IFERROR(__xludf.DUMMYFUNCTION("""COMPUTED_VALUE"""),"Lentes de STOCK")</f>
        <v>Lentes de STOCK</v>
      </c>
      <c r="E497" s="1" t="str">
        <f>IFERROR(__xludf.DUMMYFUNCTION("""COMPUTED_VALUE"""),"ARTIGAS Ivana P.")</f>
        <v>ARTIGAS Ivana P.</v>
      </c>
      <c r="F497" s="1" t="str">
        <f t="shared" si="1"/>
        <v>ARTIGAS </v>
      </c>
      <c r="G497" s="1" t="str">
        <f t="shared" si="2"/>
        <v>Ivana P.</v>
      </c>
      <c r="H497" s="1" t="str">
        <f>IFERROR(__xludf.DUMMYFUNCTION("""COMPUTED_VALUE"""),"17/1/2023, 17:00:00")</f>
        <v>17/1/2023, 17:00:00</v>
      </c>
      <c r="I497" s="1" t="str">
        <f>IFERROR(__xludf.DUMMYFUNCTION("""COMPUTED_VALUE"""),"RETIRADO OK POR CLIENTE")</f>
        <v>RETIRADO OK POR CLIENTE</v>
      </c>
      <c r="J497" s="1">
        <f t="shared" si="3"/>
        <v>6</v>
      </c>
      <c r="K497" s="1" t="str">
        <f t="shared" si="4"/>
        <v>Entregamos tus lentes, que los disfrutes!</v>
      </c>
    </row>
    <row r="498">
      <c r="A498" s="1">
        <f>IFERROR(__xludf.DUMMYFUNCTION("""COMPUTED_VALUE"""),85048.0)</f>
        <v>85048</v>
      </c>
      <c r="B498" s="5">
        <f>IFERROR(__xludf.DUMMYFUNCTION("""COMPUTED_VALUE"""),44939.53800734953)</f>
        <v>44939.53801</v>
      </c>
      <c r="C498" s="1" t="str">
        <f>IFERROR(__xludf.DUMMYFUNCTION("""COMPUTED_VALUE"""),"FLORES ALEXANDER OSCAR")</f>
        <v>FLORES ALEXANDER OSCAR</v>
      </c>
      <c r="D498" s="1" t="str">
        <f>IFERROR(__xludf.DUMMYFUNCTION("""COMPUTED_VALUE"""),"Lentes de STOCK")</f>
        <v>Lentes de STOCK</v>
      </c>
      <c r="E498" s="1" t="str">
        <f>IFERROR(__xludf.DUMMYFUNCTION("""COMPUTED_VALUE"""),"RIVADAVIA Santiago LOPEZ")</f>
        <v>RIVADAVIA Santiago LOPEZ</v>
      </c>
      <c r="F498" s="1" t="str">
        <f t="shared" si="1"/>
        <v>RIVADAVIA </v>
      </c>
      <c r="G498" s="1" t="str">
        <f t="shared" si="2"/>
        <v>Santiago LOPEZ</v>
      </c>
      <c r="H498" s="1" t="str">
        <f>IFERROR(__xludf.DUMMYFUNCTION("""COMPUTED_VALUE"""),"16/1/2023, 17:00:00")</f>
        <v>16/1/2023, 17:00:00</v>
      </c>
      <c r="I498" s="1" t="str">
        <f>IFERROR(__xludf.DUMMYFUNCTION("""COMPUTED_VALUE"""),"RETIRADO OK POR CLIENTE")</f>
        <v>RETIRADO OK POR CLIENTE</v>
      </c>
      <c r="J498" s="1">
        <f t="shared" si="3"/>
        <v>6</v>
      </c>
      <c r="K498" s="1" t="str">
        <f t="shared" si="4"/>
        <v>Entregamos tus lentes, que los disfrutes!</v>
      </c>
    </row>
    <row r="499">
      <c r="A499" s="1">
        <f>IFERROR(__xludf.DUMMYFUNCTION("""COMPUTED_VALUE"""),85049.0)</f>
        <v>85049</v>
      </c>
      <c r="B499" s="5">
        <f>IFERROR(__xludf.DUMMYFUNCTION("""COMPUTED_VALUE"""),44939.55123165509)</f>
        <v>44939.55123</v>
      </c>
      <c r="C499" s="1" t="str">
        <f>IFERROR(__xludf.DUMMYFUNCTION("""COMPUTED_VALUE"""),"Chacon Olga Noemi")</f>
        <v>Chacon Olga Noemi</v>
      </c>
      <c r="D499" s="1" t="str">
        <f>IFERROR(__xludf.DUMMYFUNCTION("""COMPUTED_VALUE"""),"Lentes de STOCK")</f>
        <v>Lentes de STOCK</v>
      </c>
      <c r="E499" s="1" t="str">
        <f>IFERROR(__xludf.DUMMYFUNCTION("""COMPUTED_VALUE"""),"RIVADAVIA Rocio B")</f>
        <v>RIVADAVIA Rocio B</v>
      </c>
      <c r="F499" s="1" t="str">
        <f t="shared" si="1"/>
        <v>RIVADAVIA </v>
      </c>
      <c r="G499" s="1" t="str">
        <f t="shared" si="2"/>
        <v>Rocio B</v>
      </c>
      <c r="H499" s="1" t="str">
        <f>IFERROR(__xludf.DUMMYFUNCTION("""COMPUTED_VALUE"""),"19/1/2023, 17:00:00")</f>
        <v>19/1/2023, 17:00:00</v>
      </c>
      <c r="I499" s="1" t="str">
        <f>IFERROR(__xludf.DUMMYFUNCTION("""COMPUTED_VALUE"""),"RETIRADO OK POR CLIENTE")</f>
        <v>RETIRADO OK POR CLIENTE</v>
      </c>
      <c r="J499" s="1">
        <f t="shared" si="3"/>
        <v>6</v>
      </c>
      <c r="K499" s="1" t="str">
        <f t="shared" si="4"/>
        <v>Entregamos tus lentes, que los disfrutes!</v>
      </c>
    </row>
    <row r="500">
      <c r="A500" s="1">
        <f>IFERROR(__xludf.DUMMYFUNCTION("""COMPUTED_VALUE"""),85050.0)</f>
        <v>85050</v>
      </c>
      <c r="B500" s="5">
        <f>IFERROR(__xludf.DUMMYFUNCTION("""COMPUTED_VALUE"""),44939.56947947916)</f>
        <v>44939.56948</v>
      </c>
      <c r="C500" s="1" t="str">
        <f>IFERROR(__xludf.DUMMYFUNCTION("""COMPUTED_VALUE"""),"VILLALOBOS RUBEN CRISTIAN")</f>
        <v>VILLALOBOS RUBEN CRISTIAN</v>
      </c>
      <c r="D500" s="1" t="str">
        <f>IFERROR(__xludf.DUMMYFUNCTION("""COMPUTED_VALUE"""),"Lentes de STOCK")</f>
        <v>Lentes de STOCK</v>
      </c>
      <c r="E500" s="1" t="str">
        <f>IFERROR(__xludf.DUMMYFUNCTION("""COMPUTED_VALUE"""),"RIVADAVIA Marcela L")</f>
        <v>RIVADAVIA Marcela L</v>
      </c>
      <c r="F500" s="1" t="str">
        <f t="shared" si="1"/>
        <v>RIVADAVIA </v>
      </c>
      <c r="G500" s="1" t="str">
        <f t="shared" si="2"/>
        <v>Marcela L</v>
      </c>
      <c r="H500" s="1" t="str">
        <f>IFERROR(__xludf.DUMMYFUNCTION("""COMPUTED_VALUE"""),"17/1/2023, 17:00:00")</f>
        <v>17/1/2023, 17:00:00</v>
      </c>
      <c r="I500" s="1" t="str">
        <f>IFERROR(__xludf.DUMMYFUNCTION("""COMPUTED_VALUE"""),"RETIRADO OK POR CLIENTE")</f>
        <v>RETIRADO OK POR CLIENTE</v>
      </c>
      <c r="J500" s="1">
        <f t="shared" si="3"/>
        <v>6</v>
      </c>
      <c r="K500" s="1" t="str">
        <f t="shared" si="4"/>
        <v>Entregamos tus lentes, que los disfrutes!</v>
      </c>
    </row>
    <row r="501">
      <c r="A501" s="1">
        <f>IFERROR(__xludf.DUMMYFUNCTION("""COMPUTED_VALUE"""),85051.0)</f>
        <v>85051</v>
      </c>
      <c r="B501" s="5">
        <f>IFERROR(__xludf.DUMMYFUNCTION("""COMPUTED_VALUE"""),44939.6978052662)</f>
        <v>44939.69781</v>
      </c>
      <c r="C501" s="1" t="str">
        <f>IFERROR(__xludf.DUMMYFUNCTION("""COMPUTED_VALUE"""),"CELIZ MARA ")</f>
        <v>CELIZ MARA </v>
      </c>
      <c r="D501" s="1" t="str">
        <f>IFERROR(__xludf.DUMMYFUNCTION("""COMPUTED_VALUE"""),"Lentes de STOCK")</f>
        <v>Lentes de STOCK</v>
      </c>
      <c r="E501" s="1" t="str">
        <f>IFERROR(__xludf.DUMMYFUNCTION("""COMPUTED_VALUE"""),"ARTIGAS Cristian C.")</f>
        <v>ARTIGAS Cristian C.</v>
      </c>
      <c r="F501" s="1" t="str">
        <f t="shared" si="1"/>
        <v>ARTIGAS </v>
      </c>
      <c r="G501" s="1" t="str">
        <f t="shared" si="2"/>
        <v>Cristian C.</v>
      </c>
      <c r="H501" s="1" t="str">
        <f>IFERROR(__xludf.DUMMYFUNCTION("""COMPUTED_VALUE"""),"18/1/2023, 17:00:00")</f>
        <v>18/1/2023, 17:00:00</v>
      </c>
      <c r="I501" s="1" t="str">
        <f>IFERROR(__xludf.DUMMYFUNCTION("""COMPUTED_VALUE"""),"RETIRADO OK POR CLIENTE")</f>
        <v>RETIRADO OK POR CLIENTE</v>
      </c>
      <c r="J501" s="1">
        <f t="shared" si="3"/>
        <v>6</v>
      </c>
      <c r="K501" s="1" t="str">
        <f t="shared" si="4"/>
        <v>Entregamos tus lentes, que los disfrutes!</v>
      </c>
    </row>
    <row r="502">
      <c r="A502" s="1">
        <f>IFERROR(__xludf.DUMMYFUNCTION("""COMPUTED_VALUE"""),85052.0)</f>
        <v>85052</v>
      </c>
      <c r="B502" s="5">
        <f>IFERROR(__xludf.DUMMYFUNCTION("""COMPUTED_VALUE"""),44939.71622103009)</f>
        <v>44939.71622</v>
      </c>
      <c r="C502" s="1" t="str">
        <f>IFERROR(__xludf.DUMMYFUNCTION("""COMPUTED_VALUE"""),"SOLOA DAFNE")</f>
        <v>SOLOA DAFNE</v>
      </c>
      <c r="D502" s="1" t="str">
        <f>IFERROR(__xludf.DUMMYFUNCTION("""COMPUTED_VALUE"""),"Lentes de STOCK")</f>
        <v>Lentes de STOCK</v>
      </c>
      <c r="E502" s="1" t="str">
        <f>IFERROR(__xludf.DUMMYFUNCTION("""COMPUTED_VALUE"""),"ARTIGAS Cristian C.")</f>
        <v>ARTIGAS Cristian C.</v>
      </c>
      <c r="F502" s="1" t="str">
        <f t="shared" si="1"/>
        <v>ARTIGAS </v>
      </c>
      <c r="G502" s="1" t="str">
        <f t="shared" si="2"/>
        <v>Cristian C.</v>
      </c>
      <c r="H502" s="1" t="str">
        <f>IFERROR(__xludf.DUMMYFUNCTION("""COMPUTED_VALUE"""),"20/1/2023, 17:00:00")</f>
        <v>20/1/2023, 17:00:00</v>
      </c>
      <c r="I502" s="1" t="str">
        <f>IFERROR(__xludf.DUMMYFUNCTION("""COMPUTED_VALUE"""),"RETIRADO OK POR CLIENTE")</f>
        <v>RETIRADO OK POR CLIENTE</v>
      </c>
      <c r="J502" s="1">
        <f t="shared" si="3"/>
        <v>6</v>
      </c>
      <c r="K502" s="1" t="str">
        <f t="shared" si="4"/>
        <v>Entregamos tus lentes, que los disfrutes!</v>
      </c>
    </row>
    <row r="503">
      <c r="A503" s="1">
        <f>IFERROR(__xludf.DUMMYFUNCTION("""COMPUTED_VALUE"""),85053.0)</f>
        <v>85053</v>
      </c>
      <c r="B503" s="5">
        <f>IFERROR(__xludf.DUMMYFUNCTION("""COMPUTED_VALUE"""),44939.71975268518)</f>
        <v>44939.71975</v>
      </c>
      <c r="C503" s="1" t="str">
        <f>IFERROR(__xludf.DUMMYFUNCTION("""COMPUTED_VALUE"""),"CONTRERAS NAHIARA")</f>
        <v>CONTRERAS NAHIARA</v>
      </c>
      <c r="D503" s="1" t="str">
        <f>IFERROR(__xludf.DUMMYFUNCTION("""COMPUTED_VALUE"""),"Lentes de STOCK")</f>
        <v>Lentes de STOCK</v>
      </c>
      <c r="E503" s="1" t="str">
        <f>IFERROR(__xludf.DUMMYFUNCTION("""COMPUTED_VALUE"""),"ARTIGAS Ivana P.")</f>
        <v>ARTIGAS Ivana P.</v>
      </c>
      <c r="F503" s="1" t="str">
        <f t="shared" si="1"/>
        <v>ARTIGAS </v>
      </c>
      <c r="G503" s="1" t="str">
        <f t="shared" si="2"/>
        <v>Ivana P.</v>
      </c>
      <c r="H503" s="1" t="str">
        <f>IFERROR(__xludf.DUMMYFUNCTION("""COMPUTED_VALUE"""),"18/1/2023, 17:00:00")</f>
        <v>18/1/2023, 17:00:00</v>
      </c>
      <c r="I503" s="1" t="str">
        <f>IFERROR(__xludf.DUMMYFUNCTION("""COMPUTED_VALUE"""),"RETIRADO OK POR CLIENTE")</f>
        <v>RETIRADO OK POR CLIENTE</v>
      </c>
      <c r="J503" s="1">
        <f t="shared" si="3"/>
        <v>6</v>
      </c>
      <c r="K503" s="1" t="str">
        <f t="shared" si="4"/>
        <v>Entregamos tus lentes, que los disfrutes!</v>
      </c>
    </row>
    <row r="504">
      <c r="A504" s="1">
        <f>IFERROR(__xludf.DUMMYFUNCTION("""COMPUTED_VALUE"""),85054.0)</f>
        <v>85054</v>
      </c>
      <c r="B504" s="5">
        <f>IFERROR(__xludf.DUMMYFUNCTION("""COMPUTED_VALUE"""),44939.73677040509)</f>
        <v>44939.73677</v>
      </c>
      <c r="C504" s="1" t="str">
        <f>IFERROR(__xludf.DUMMYFUNCTION("""COMPUTED_VALUE"""),"GARRO MARCELO")</f>
        <v>GARRO MARCELO</v>
      </c>
      <c r="D504" s="1" t="str">
        <f>IFERROR(__xludf.DUMMYFUNCTION("""COMPUTED_VALUE"""),"Lentes de STOCK")</f>
        <v>Lentes de STOCK</v>
      </c>
      <c r="E504" s="1" t="str">
        <f>IFERROR(__xludf.DUMMYFUNCTION("""COMPUTED_VALUE"""),"Otro (JORGE )")</f>
        <v>Otro (JORGE )</v>
      </c>
      <c r="F504" s="1" t="str">
        <f t="shared" si="1"/>
        <v>Otro </v>
      </c>
      <c r="G504" s="1" t="str">
        <f t="shared" si="2"/>
        <v>(JORGE )</v>
      </c>
      <c r="H504" s="1" t="str">
        <f>IFERROR(__xludf.DUMMYFUNCTION("""COMPUTED_VALUE"""),"16/1/2023, 17:00:00")</f>
        <v>16/1/2023, 17:00:00</v>
      </c>
      <c r="I504" s="1" t="str">
        <f>IFERROR(__xludf.DUMMYFUNCTION("""COMPUTED_VALUE"""),"Completado en SUCURSAL")</f>
        <v>Completado en SUCURSAL</v>
      </c>
      <c r="J504" s="1">
        <f t="shared" si="3"/>
        <v>5</v>
      </c>
      <c r="K504" s="1" t="str">
        <f t="shared" si="4"/>
        <v>Tus Lentes estan LISTAS PARA ENTREGAR, te esperamos.</v>
      </c>
    </row>
    <row r="505">
      <c r="A505" s="1">
        <f>IFERROR(__xludf.DUMMYFUNCTION("""COMPUTED_VALUE"""),85055.0)</f>
        <v>85055</v>
      </c>
      <c r="B505" s="5">
        <f>IFERROR(__xludf.DUMMYFUNCTION("""COMPUTED_VALUE"""),44939.742671053245)</f>
        <v>44939.74267</v>
      </c>
      <c r="C505" s="1" t="str">
        <f>IFERROR(__xludf.DUMMYFUNCTION("""COMPUTED_VALUE"""),"FARIAS CARMEN")</f>
        <v>FARIAS CARMEN</v>
      </c>
      <c r="D505" s="1" t="str">
        <f>IFERROR(__xludf.DUMMYFUNCTION("""COMPUTED_VALUE"""),"Lentes de STOCK")</f>
        <v>Lentes de STOCK</v>
      </c>
      <c r="E505" s="1" t="str">
        <f>IFERROR(__xludf.DUMMYFUNCTION("""COMPUTED_VALUE"""),"RIVADAVIA Daniel CM")</f>
        <v>RIVADAVIA Daniel CM</v>
      </c>
      <c r="F505" s="1" t="str">
        <f t="shared" si="1"/>
        <v>RIVADAVIA </v>
      </c>
      <c r="G505" s="1" t="str">
        <f t="shared" si="2"/>
        <v>Daniel CM</v>
      </c>
      <c r="H505" s="1" t="str">
        <f>IFERROR(__xludf.DUMMYFUNCTION("""COMPUTED_VALUE"""),"18/1/2023, 17:00:00")</f>
        <v>18/1/2023, 17:00:00</v>
      </c>
      <c r="I505" s="1" t="str">
        <f>IFERROR(__xludf.DUMMYFUNCTION("""COMPUTED_VALUE"""),"RETIRADO OK POR CLIENTE")</f>
        <v>RETIRADO OK POR CLIENTE</v>
      </c>
      <c r="J505" s="1">
        <f t="shared" si="3"/>
        <v>6</v>
      </c>
      <c r="K505" s="1" t="str">
        <f t="shared" si="4"/>
        <v>Entregamos tus lentes, que los disfrutes!</v>
      </c>
    </row>
    <row r="506">
      <c r="A506" s="1">
        <f>IFERROR(__xludf.DUMMYFUNCTION("""COMPUTED_VALUE"""),85056.0)</f>
        <v>85056</v>
      </c>
      <c r="B506" s="5">
        <f>IFERROR(__xludf.DUMMYFUNCTION("""COMPUTED_VALUE"""),44939.75521827546)</f>
        <v>44939.75522</v>
      </c>
      <c r="C506" s="1" t="str">
        <f>IFERROR(__xludf.DUMMYFUNCTION("""COMPUTED_VALUE"""),"LUCERO BIRGIINIA")</f>
        <v>LUCERO BIRGIINIA</v>
      </c>
      <c r="D506" s="1" t="str">
        <f>IFERROR(__xludf.DUMMYFUNCTION("""COMPUTED_VALUE"""),"Lentes de STOCK")</f>
        <v>Lentes de STOCK</v>
      </c>
      <c r="E506" s="1" t="str">
        <f>IFERROR(__xludf.DUMMYFUNCTION("""COMPUTED_VALUE"""),"ARTIGAS Ivana P.")</f>
        <v>ARTIGAS Ivana P.</v>
      </c>
      <c r="F506" s="1" t="str">
        <f t="shared" si="1"/>
        <v>ARTIGAS </v>
      </c>
      <c r="G506" s="1" t="str">
        <f t="shared" si="2"/>
        <v>Ivana P.</v>
      </c>
      <c r="H506" s="1" t="str">
        <f>IFERROR(__xludf.DUMMYFUNCTION("""COMPUTED_VALUE"""),"18/1/2023, 17:00:00")</f>
        <v>18/1/2023, 17:00:00</v>
      </c>
      <c r="I506" s="1" t="str">
        <f>IFERROR(__xludf.DUMMYFUNCTION("""COMPUTED_VALUE"""),"RETIRADO OK POR CLIENTE")</f>
        <v>RETIRADO OK POR CLIENTE</v>
      </c>
      <c r="J506" s="1">
        <f t="shared" si="3"/>
        <v>6</v>
      </c>
      <c r="K506" s="1" t="str">
        <f t="shared" si="4"/>
        <v>Entregamos tus lentes, que los disfrutes!</v>
      </c>
    </row>
    <row r="507">
      <c r="A507" s="1">
        <f>IFERROR(__xludf.DUMMYFUNCTION("""COMPUTED_VALUE"""),85057.0)</f>
        <v>85057</v>
      </c>
      <c r="B507" s="5">
        <f>IFERROR(__xludf.DUMMYFUNCTION("""COMPUTED_VALUE"""),44939.76154461806)</f>
        <v>44939.76154</v>
      </c>
      <c r="C507" s="1" t="str">
        <f>IFERROR(__xludf.DUMMYFUNCTION("""COMPUTED_VALUE"""),"QUIROGA EULALIA")</f>
        <v>QUIROGA EULALIA</v>
      </c>
      <c r="D507" s="1" t="str">
        <f>IFERROR(__xludf.DUMMYFUNCTION("""COMPUTED_VALUE"""),"Lentes BIFOCALES")</f>
        <v>Lentes BIFOCALES</v>
      </c>
      <c r="E507" s="1" t="str">
        <f>IFERROR(__xludf.DUMMYFUNCTION("""COMPUTED_VALUE"""),"ARTIGAS Cristian C.")</f>
        <v>ARTIGAS Cristian C.</v>
      </c>
      <c r="F507" s="1" t="str">
        <f t="shared" si="1"/>
        <v>ARTIGAS </v>
      </c>
      <c r="G507" s="1" t="str">
        <f t="shared" si="2"/>
        <v>Cristian C.</v>
      </c>
      <c r="H507" s="1" t="str">
        <f>IFERROR(__xludf.DUMMYFUNCTION("""COMPUTED_VALUE"""),"19/1/2023, 17:00:00")</f>
        <v>19/1/2023, 17:00:00</v>
      </c>
      <c r="I507" s="1" t="str">
        <f>IFERROR(__xludf.DUMMYFUNCTION("""COMPUTED_VALUE"""),"RETIRADO OK POR CLIENTE")</f>
        <v>RETIRADO OK POR CLIENTE</v>
      </c>
      <c r="J507" s="1">
        <f t="shared" si="3"/>
        <v>6</v>
      </c>
      <c r="K507" s="1" t="str">
        <f t="shared" si="4"/>
        <v>Entregamos tus lentes, que los disfrutes!</v>
      </c>
    </row>
    <row r="508">
      <c r="A508" s="1">
        <f>IFERROR(__xludf.DUMMYFUNCTION("""COMPUTED_VALUE"""),85058.0)</f>
        <v>85058</v>
      </c>
      <c r="B508" s="5">
        <f>IFERROR(__xludf.DUMMYFUNCTION("""COMPUTED_VALUE"""),44939.76925622685)</f>
        <v>44939.76926</v>
      </c>
      <c r="C508" s="1" t="str">
        <f>IFERROR(__xludf.DUMMYFUNCTION("""COMPUTED_VALUE"""),"Aguero Micaela")</f>
        <v>Aguero Micaela</v>
      </c>
      <c r="D508" s="1" t="str">
        <f>IFERROR(__xludf.DUMMYFUNCTION("""COMPUTED_VALUE"""),"Lentes de STOCK")</f>
        <v>Lentes de STOCK</v>
      </c>
      <c r="E508" s="1" t="str">
        <f>IFERROR(__xludf.DUMMYFUNCTION("""COMPUTED_VALUE"""),"RIVADAVIA Rocio B")</f>
        <v>RIVADAVIA Rocio B</v>
      </c>
      <c r="F508" s="1" t="str">
        <f t="shared" si="1"/>
        <v>RIVADAVIA </v>
      </c>
      <c r="G508" s="1" t="str">
        <f t="shared" si="2"/>
        <v>Rocio B</v>
      </c>
      <c r="H508" s="1" t="str">
        <f>IFERROR(__xludf.DUMMYFUNCTION("""COMPUTED_VALUE"""),"20/1/2023, 17:00:00")</f>
        <v>20/1/2023, 17:00:00</v>
      </c>
      <c r="I508" s="1" t="str">
        <f>IFERROR(__xludf.DUMMYFUNCTION("""COMPUTED_VALUE"""),"RETIRADO OK POR CLIENTE")</f>
        <v>RETIRADO OK POR CLIENTE</v>
      </c>
      <c r="J508" s="1">
        <f t="shared" si="3"/>
        <v>6</v>
      </c>
      <c r="K508" s="1" t="str">
        <f t="shared" si="4"/>
        <v>Entregamos tus lentes, que los disfrutes!</v>
      </c>
    </row>
    <row r="509">
      <c r="A509" s="1">
        <f>IFERROR(__xludf.DUMMYFUNCTION("""COMPUTED_VALUE"""),85059.0)</f>
        <v>85059</v>
      </c>
      <c r="B509" s="5">
        <f>IFERROR(__xludf.DUMMYFUNCTION("""COMPUTED_VALUE"""),44939.77388006945)</f>
        <v>44939.77388</v>
      </c>
      <c r="C509" s="1" t="str">
        <f>IFERROR(__xludf.DUMMYFUNCTION("""COMPUTED_VALUE"""),"BASSIN FRANCISCO JUAN")</f>
        <v>BASSIN FRANCISCO JUAN</v>
      </c>
      <c r="D509" s="1" t="str">
        <f>IFERROR(__xludf.DUMMYFUNCTION("""COMPUTED_VALUE"""),"Lentes de STOCK")</f>
        <v>Lentes de STOCK</v>
      </c>
      <c r="E509" s="1" t="str">
        <f>IFERROR(__xludf.DUMMYFUNCTION("""COMPUTED_VALUE"""),"ARTIGAS Cristian C.")</f>
        <v>ARTIGAS Cristian C.</v>
      </c>
      <c r="F509" s="1" t="str">
        <f t="shared" si="1"/>
        <v>ARTIGAS </v>
      </c>
      <c r="G509" s="1" t="str">
        <f t="shared" si="2"/>
        <v>Cristian C.</v>
      </c>
      <c r="H509" s="1" t="str">
        <f>IFERROR(__xludf.DUMMYFUNCTION("""COMPUTED_VALUE"""),"19/1/2023, 17:00:00")</f>
        <v>19/1/2023, 17:00:00</v>
      </c>
      <c r="I509" s="1" t="str">
        <f>IFERROR(__xludf.DUMMYFUNCTION("""COMPUTED_VALUE"""),"RETIRADO OK POR CLIENTE")</f>
        <v>RETIRADO OK POR CLIENTE</v>
      </c>
      <c r="J509" s="1">
        <f t="shared" si="3"/>
        <v>6</v>
      </c>
      <c r="K509" s="1" t="str">
        <f t="shared" si="4"/>
        <v>Entregamos tus lentes, que los disfrutes!</v>
      </c>
    </row>
    <row r="510">
      <c r="A510" s="1">
        <f>IFERROR(__xludf.DUMMYFUNCTION("""COMPUTED_VALUE"""),85060.0)</f>
        <v>85060</v>
      </c>
      <c r="B510" s="5">
        <f>IFERROR(__xludf.DUMMYFUNCTION("""COMPUTED_VALUE"""),44939.775107361114)</f>
        <v>44939.77511</v>
      </c>
      <c r="C510" s="1" t="str">
        <f>IFERROR(__xludf.DUMMYFUNCTION("""COMPUTED_VALUE"""),"SAN MARTIN CARLOS")</f>
        <v>SAN MARTIN CARLOS</v>
      </c>
      <c r="D510" s="1" t="str">
        <f>IFERROR(__xludf.DUMMYFUNCTION("""COMPUTED_VALUE"""),"Lentes de STOCK")</f>
        <v>Lentes de STOCK</v>
      </c>
      <c r="E510" s="1" t="str">
        <f>IFERROR(__xludf.DUMMYFUNCTION("""COMPUTED_VALUE"""),"RIVADAVIA Santiago LOPEZ")</f>
        <v>RIVADAVIA Santiago LOPEZ</v>
      </c>
      <c r="F510" s="1" t="str">
        <f t="shared" si="1"/>
        <v>RIVADAVIA </v>
      </c>
      <c r="G510" s="1" t="str">
        <f t="shared" si="2"/>
        <v>Santiago LOPEZ</v>
      </c>
      <c r="H510" s="1" t="str">
        <f>IFERROR(__xludf.DUMMYFUNCTION("""COMPUTED_VALUE"""),"17/1/2023, 17:00:00")</f>
        <v>17/1/2023, 17:00:00</v>
      </c>
      <c r="I510" s="1" t="str">
        <f>IFERROR(__xludf.DUMMYFUNCTION("""COMPUTED_VALUE"""),"RETIRADO OK POR CLIENTE")</f>
        <v>RETIRADO OK POR CLIENTE</v>
      </c>
      <c r="J510" s="1">
        <f t="shared" si="3"/>
        <v>6</v>
      </c>
      <c r="K510" s="1" t="str">
        <f t="shared" si="4"/>
        <v>Entregamos tus lentes, que los disfrutes!</v>
      </c>
    </row>
    <row r="511">
      <c r="A511" s="1">
        <f>IFERROR(__xludf.DUMMYFUNCTION("""COMPUTED_VALUE"""),85061.0)</f>
        <v>85061</v>
      </c>
      <c r="B511" s="5">
        <f>IFERROR(__xludf.DUMMYFUNCTION("""COMPUTED_VALUE"""),44939.784969942135)</f>
        <v>44939.78497</v>
      </c>
      <c r="C511" s="1" t="str">
        <f>IFERROR(__xludf.DUMMYFUNCTION("""COMPUTED_VALUE"""),"JOFRE MARIA ELIZABETH")</f>
        <v>JOFRE MARIA ELIZABETH</v>
      </c>
      <c r="D511" s="1" t="str">
        <f>IFERROR(__xludf.DUMMYFUNCTION("""COMPUTED_VALUE"""),"Lentes de STOCK")</f>
        <v>Lentes de STOCK</v>
      </c>
      <c r="E511" s="1" t="str">
        <f>IFERROR(__xludf.DUMMYFUNCTION("""COMPUTED_VALUE"""),"ARTIGAS Cristian C.")</f>
        <v>ARTIGAS Cristian C.</v>
      </c>
      <c r="F511" s="1" t="str">
        <f t="shared" si="1"/>
        <v>ARTIGAS </v>
      </c>
      <c r="G511" s="1" t="str">
        <f t="shared" si="2"/>
        <v>Cristian C.</v>
      </c>
      <c r="H511" s="1" t="str">
        <f>IFERROR(__xludf.DUMMYFUNCTION("""COMPUTED_VALUE"""),"19/1/2023, 17:00:00")</f>
        <v>19/1/2023, 17:00:00</v>
      </c>
      <c r="I511" s="1" t="str">
        <f>IFERROR(__xludf.DUMMYFUNCTION("""COMPUTED_VALUE"""),"RETIRADO OK POR CLIENTE")</f>
        <v>RETIRADO OK POR CLIENTE</v>
      </c>
      <c r="J511" s="1">
        <f t="shared" si="3"/>
        <v>6</v>
      </c>
      <c r="K511" s="1" t="str">
        <f t="shared" si="4"/>
        <v>Entregamos tus lentes, que los disfrutes!</v>
      </c>
    </row>
    <row r="512">
      <c r="A512" s="1">
        <f>IFERROR(__xludf.DUMMYFUNCTION("""COMPUTED_VALUE"""),85062.0)</f>
        <v>85062</v>
      </c>
      <c r="B512" s="5">
        <f>IFERROR(__xludf.DUMMYFUNCTION("""COMPUTED_VALUE"""),44939.79028128472)</f>
        <v>44939.79028</v>
      </c>
      <c r="C512" s="1" t="str">
        <f>IFERROR(__xludf.DUMMYFUNCTION("""COMPUTED_VALUE""")," ")</f>
        <v> </v>
      </c>
      <c r="D512" s="1" t="str">
        <f>IFERROR(__xludf.DUMMYFUNCTION("""COMPUTED_VALUE"""),"Lentes de STOCK")</f>
        <v>Lentes de STOCK</v>
      </c>
      <c r="E512" s="1" t="str">
        <f>IFERROR(__xludf.DUMMYFUNCTION("""COMPUTED_VALUE"""),"ARTIGAS Ivana P.")</f>
        <v>ARTIGAS Ivana P.</v>
      </c>
      <c r="F512" s="1" t="str">
        <f t="shared" si="1"/>
        <v>ARTIGAS </v>
      </c>
      <c r="G512" s="1" t="str">
        <f t="shared" si="2"/>
        <v>Ivana P.</v>
      </c>
      <c r="H512" s="1" t="str">
        <f>IFERROR(__xludf.DUMMYFUNCTION("""COMPUTED_VALUE"""),"18/1/2023, 17:00:00")</f>
        <v>18/1/2023, 17:00:00</v>
      </c>
      <c r="I512" s="1" t="str">
        <f>IFERROR(__xludf.DUMMYFUNCTION("""COMPUTED_VALUE"""),"RETIRADO OK POR CLIENTE")</f>
        <v>RETIRADO OK POR CLIENTE</v>
      </c>
      <c r="J512" s="1">
        <f t="shared" si="3"/>
        <v>6</v>
      </c>
      <c r="K512" s="1" t="str">
        <f t="shared" si="4"/>
        <v>Entregamos tus lentes, que los disfrutes!</v>
      </c>
    </row>
    <row r="513">
      <c r="A513" s="1">
        <f>IFERROR(__xludf.DUMMYFUNCTION("""COMPUTED_VALUE"""),85063.0)</f>
        <v>85063</v>
      </c>
      <c r="B513" s="5">
        <f>IFERROR(__xludf.DUMMYFUNCTION("""COMPUTED_VALUE"""),44939.801478877314)</f>
        <v>44939.80148</v>
      </c>
      <c r="C513" s="1" t="str">
        <f>IFERROR(__xludf.DUMMYFUNCTION("""COMPUTED_VALUE"""),"QUIROGA BLANCA JULIA")</f>
        <v>QUIROGA BLANCA JULIA</v>
      </c>
      <c r="D513" s="1" t="str">
        <f>IFERROR(__xludf.DUMMYFUNCTION("""COMPUTED_VALUE"""),"Lentes de STOCK")</f>
        <v>Lentes de STOCK</v>
      </c>
      <c r="E513" s="1" t="str">
        <f>IFERROR(__xludf.DUMMYFUNCTION("""COMPUTED_VALUE"""),"RIVADAVIA Rocio B")</f>
        <v>RIVADAVIA Rocio B</v>
      </c>
      <c r="F513" s="1" t="str">
        <f t="shared" si="1"/>
        <v>RIVADAVIA </v>
      </c>
      <c r="G513" s="1" t="str">
        <f t="shared" si="2"/>
        <v>Rocio B</v>
      </c>
      <c r="H513" s="1" t="str">
        <f>IFERROR(__xludf.DUMMYFUNCTION("""COMPUTED_VALUE"""),"19/1/2023, 17:00:00")</f>
        <v>19/1/2023, 17:00:00</v>
      </c>
      <c r="I513" s="1" t="str">
        <f>IFERROR(__xludf.DUMMYFUNCTION("""COMPUTED_VALUE"""),"RETIRADO OK POR CLIENTE")</f>
        <v>RETIRADO OK POR CLIENTE</v>
      </c>
      <c r="J513" s="1">
        <f t="shared" si="3"/>
        <v>6</v>
      </c>
      <c r="K513" s="1" t="str">
        <f t="shared" si="4"/>
        <v>Entregamos tus lentes, que los disfrutes!</v>
      </c>
    </row>
    <row r="514">
      <c r="A514" s="1">
        <f>IFERROR(__xludf.DUMMYFUNCTION("""COMPUTED_VALUE"""),85064.0)</f>
        <v>85064</v>
      </c>
      <c r="B514" s="5">
        <f>IFERROR(__xludf.DUMMYFUNCTION("""COMPUTED_VALUE"""),44939.80275657408)</f>
        <v>44939.80276</v>
      </c>
      <c r="C514" s="1" t="str">
        <f>IFERROR(__xludf.DUMMYFUNCTION("""COMPUTED_VALUE"""),"OROPEL FABRICIO")</f>
        <v>OROPEL FABRICIO</v>
      </c>
      <c r="D514" s="1" t="str">
        <f>IFERROR(__xludf.DUMMYFUNCTION("""COMPUTED_VALUE"""),"Lentes de STOCK")</f>
        <v>Lentes de STOCK</v>
      </c>
      <c r="E514" s="1" t="str">
        <f>IFERROR(__xludf.DUMMYFUNCTION("""COMPUTED_VALUE"""),"RIVADAVIA Javier")</f>
        <v>RIVADAVIA Javier</v>
      </c>
      <c r="F514" s="1" t="str">
        <f t="shared" si="1"/>
        <v>RIVADAVIA </v>
      </c>
      <c r="G514" s="1" t="str">
        <f t="shared" si="2"/>
        <v>Javier</v>
      </c>
      <c r="H514" s="1" t="str">
        <f>IFERROR(__xludf.DUMMYFUNCTION("""COMPUTED_VALUE"""),"16/1/2023, 17:00:00")</f>
        <v>16/1/2023, 17:00:00</v>
      </c>
      <c r="I514" s="1" t="str">
        <f>IFERROR(__xludf.DUMMYFUNCTION("""COMPUTED_VALUE"""),"RETIRADO OK POR CLIENTE")</f>
        <v>RETIRADO OK POR CLIENTE</v>
      </c>
      <c r="J514" s="1">
        <f t="shared" si="3"/>
        <v>6</v>
      </c>
      <c r="K514" s="1" t="str">
        <f t="shared" si="4"/>
        <v>Entregamos tus lentes, que los disfrutes!</v>
      </c>
    </row>
    <row r="515">
      <c r="A515" s="1">
        <f>IFERROR(__xludf.DUMMYFUNCTION("""COMPUTED_VALUE"""),85065.0)</f>
        <v>85065</v>
      </c>
      <c r="B515" s="5">
        <f>IFERROR(__xludf.DUMMYFUNCTION("""COMPUTED_VALUE"""),44939.811864351854)</f>
        <v>44939.81186</v>
      </c>
      <c r="C515" s="1" t="str">
        <f>IFERROR(__xludf.DUMMYFUNCTION("""COMPUTED_VALUE"""),"LEAL ANDREA DANA")</f>
        <v>LEAL ANDREA DANA</v>
      </c>
      <c r="D515" s="1" t="str">
        <f>IFERROR(__xludf.DUMMYFUNCTION("""COMPUTED_VALUE"""),"Lentes de STOCK")</f>
        <v>Lentes de STOCK</v>
      </c>
      <c r="E515" s="1" t="str">
        <f>IFERROR(__xludf.DUMMYFUNCTION("""COMPUTED_VALUE"""),"ARTIGAS Cristian C.")</f>
        <v>ARTIGAS Cristian C.</v>
      </c>
      <c r="F515" s="1" t="str">
        <f t="shared" si="1"/>
        <v>ARTIGAS </v>
      </c>
      <c r="G515" s="1" t="str">
        <f t="shared" si="2"/>
        <v>Cristian C.</v>
      </c>
      <c r="H515" s="1" t="str">
        <f>IFERROR(__xludf.DUMMYFUNCTION("""COMPUTED_VALUE"""),"19/1/2023, 17:00:00")</f>
        <v>19/1/2023, 17:00:00</v>
      </c>
      <c r="I515" s="1" t="str">
        <f>IFERROR(__xludf.DUMMYFUNCTION("""COMPUTED_VALUE"""),"RETIRADO OK POR CLIENTE")</f>
        <v>RETIRADO OK POR CLIENTE</v>
      </c>
      <c r="J515" s="1">
        <f t="shared" si="3"/>
        <v>6</v>
      </c>
      <c r="K515" s="1" t="str">
        <f t="shared" si="4"/>
        <v>Entregamos tus lentes, que los disfrutes!</v>
      </c>
    </row>
    <row r="516">
      <c r="A516" s="1">
        <f>IFERROR(__xludf.DUMMYFUNCTION("""COMPUTED_VALUE"""),85066.0)</f>
        <v>85066</v>
      </c>
      <c r="B516" s="5">
        <f>IFERROR(__xludf.DUMMYFUNCTION("""COMPUTED_VALUE"""),44939.81817601852)</f>
        <v>44939.81818</v>
      </c>
      <c r="C516" s="1" t="str">
        <f>IFERROR(__xludf.DUMMYFUNCTION("""COMPUTED_VALUE"""),"LONGAR MARIA BELEN")</f>
        <v>LONGAR MARIA BELEN</v>
      </c>
      <c r="D516" s="1" t="str">
        <f>IFERROR(__xludf.DUMMYFUNCTION("""COMPUTED_VALUE"""),"Lentes de STOCK")</f>
        <v>Lentes de STOCK</v>
      </c>
      <c r="E516" s="1" t="str">
        <f>IFERROR(__xludf.DUMMYFUNCTION("""COMPUTED_VALUE"""),"RIVADAVIA Rocio B")</f>
        <v>RIVADAVIA Rocio B</v>
      </c>
      <c r="F516" s="1" t="str">
        <f t="shared" si="1"/>
        <v>RIVADAVIA </v>
      </c>
      <c r="G516" s="1" t="str">
        <f t="shared" si="2"/>
        <v>Rocio B</v>
      </c>
      <c r="H516" s="1" t="str">
        <f>IFERROR(__xludf.DUMMYFUNCTION("""COMPUTED_VALUE"""),"20/1/2023, 17:00:00")</f>
        <v>20/1/2023, 17:00:00</v>
      </c>
      <c r="I516" s="1" t="str">
        <f>IFERROR(__xludf.DUMMYFUNCTION("""COMPUTED_VALUE"""),"Completado en SUCURSAL")</f>
        <v>Completado en SUCURSAL</v>
      </c>
      <c r="J516" s="1">
        <f t="shared" si="3"/>
        <v>5</v>
      </c>
      <c r="K516" s="1" t="str">
        <f t="shared" si="4"/>
        <v>Tus Lentes estan LISTAS PARA ENTREGAR, te esperamos.</v>
      </c>
    </row>
    <row r="517">
      <c r="A517" s="1">
        <f>IFERROR(__xludf.DUMMYFUNCTION("""COMPUTED_VALUE"""),85067.0)</f>
        <v>85067</v>
      </c>
      <c r="B517" s="5">
        <f>IFERROR(__xludf.DUMMYFUNCTION("""COMPUTED_VALUE"""),44939.82725731481)</f>
        <v>44939.82726</v>
      </c>
      <c r="C517" s="1" t="str">
        <f>IFERROR(__xludf.DUMMYFUNCTION("""COMPUTED_VALUE"""),"MIRANDA ALEJANDRA")</f>
        <v>MIRANDA ALEJANDRA</v>
      </c>
      <c r="D517" s="1" t="str">
        <f>IFERROR(__xludf.DUMMYFUNCTION("""COMPUTED_VALUE"""),"Lentes de STOCK")</f>
        <v>Lentes de STOCK</v>
      </c>
      <c r="E517" s="1" t="str">
        <f>IFERROR(__xludf.DUMMYFUNCTION("""COMPUTED_VALUE"""),"ARTIGAS Cristian C.")</f>
        <v>ARTIGAS Cristian C.</v>
      </c>
      <c r="F517" s="1" t="str">
        <f t="shared" si="1"/>
        <v>ARTIGAS </v>
      </c>
      <c r="G517" s="1" t="str">
        <f t="shared" si="2"/>
        <v>Cristian C.</v>
      </c>
      <c r="H517" s="1" t="str">
        <f>IFERROR(__xludf.DUMMYFUNCTION("""COMPUTED_VALUE"""),"19/1/2023, 17:00:00")</f>
        <v>19/1/2023, 17:00:00</v>
      </c>
      <c r="I517" s="1" t="str">
        <f>IFERROR(__xludf.DUMMYFUNCTION("""COMPUTED_VALUE"""),"RETIRADO OK POR CLIENTE")</f>
        <v>RETIRADO OK POR CLIENTE</v>
      </c>
      <c r="J517" s="1">
        <f t="shared" si="3"/>
        <v>6</v>
      </c>
      <c r="K517" s="1" t="str">
        <f t="shared" si="4"/>
        <v>Entregamos tus lentes, que los disfrutes!</v>
      </c>
    </row>
    <row r="518">
      <c r="A518" s="1">
        <f>IFERROR(__xludf.DUMMYFUNCTION("""COMPUTED_VALUE"""),85068.0)</f>
        <v>85068</v>
      </c>
      <c r="B518" s="5">
        <f>IFERROR(__xludf.DUMMYFUNCTION("""COMPUTED_VALUE"""),44939.83143961805)</f>
        <v>44939.83144</v>
      </c>
      <c r="C518" s="1" t="str">
        <f>IFERROR(__xludf.DUMMYFUNCTION("""COMPUTED_VALUE"""),"PEDERNERA DORA")</f>
        <v>PEDERNERA DORA</v>
      </c>
      <c r="D518" s="1" t="str">
        <f>IFERROR(__xludf.DUMMYFUNCTION("""COMPUTED_VALUE"""),"Lentes de STOCK")</f>
        <v>Lentes de STOCK</v>
      </c>
      <c r="E518" s="1" t="str">
        <f>IFERROR(__xludf.DUMMYFUNCTION("""COMPUTED_VALUE"""),"ARTIGAS Ivana P.")</f>
        <v>ARTIGAS Ivana P.</v>
      </c>
      <c r="F518" s="1" t="str">
        <f t="shared" si="1"/>
        <v>ARTIGAS </v>
      </c>
      <c r="G518" s="1" t="str">
        <f t="shared" si="2"/>
        <v>Ivana P.</v>
      </c>
      <c r="H518" s="1" t="str">
        <f>IFERROR(__xludf.DUMMYFUNCTION("""COMPUTED_VALUE"""),"18/1/2023, 17:00:00")</f>
        <v>18/1/2023, 17:00:00</v>
      </c>
      <c r="I518" s="1" t="str">
        <f>IFERROR(__xludf.DUMMYFUNCTION("""COMPUTED_VALUE"""),"RETIRADO OK POR CLIENTE")</f>
        <v>RETIRADO OK POR CLIENTE</v>
      </c>
      <c r="J518" s="1">
        <f t="shared" si="3"/>
        <v>6</v>
      </c>
      <c r="K518" s="1" t="str">
        <f t="shared" si="4"/>
        <v>Entregamos tus lentes, que los disfrutes!</v>
      </c>
    </row>
    <row r="519">
      <c r="A519" s="1">
        <f>IFERROR(__xludf.DUMMYFUNCTION("""COMPUTED_VALUE"""),85069.0)</f>
        <v>85069</v>
      </c>
      <c r="B519" s="5">
        <f>IFERROR(__xludf.DUMMYFUNCTION("""COMPUTED_VALUE"""),44939.83215540509)</f>
        <v>44939.83216</v>
      </c>
      <c r="C519" s="1" t="str">
        <f>IFERROR(__xludf.DUMMYFUNCTION("""COMPUTED_VALUE"""),"FRIEDEMAN ALEJANDRO")</f>
        <v>FRIEDEMAN ALEJANDRO</v>
      </c>
      <c r="D519" s="1" t="str">
        <f>IFERROR(__xludf.DUMMYFUNCTION("""COMPUTED_VALUE"""),"Lentes MULTIFOCALES")</f>
        <v>Lentes MULTIFOCALES</v>
      </c>
      <c r="E519" s="1" t="str">
        <f>IFERROR(__xludf.DUMMYFUNCTION("""COMPUTED_VALUE"""),"RIVADAVIA Santiago LOPEZ")</f>
        <v>RIVADAVIA Santiago LOPEZ</v>
      </c>
      <c r="F519" s="1" t="str">
        <f t="shared" si="1"/>
        <v>RIVADAVIA </v>
      </c>
      <c r="G519" s="1" t="str">
        <f t="shared" si="2"/>
        <v>Santiago LOPEZ</v>
      </c>
      <c r="H519" s="1" t="str">
        <f>IFERROR(__xludf.DUMMYFUNCTION("""COMPUTED_VALUE"""),"27/1/2023, 17:00:00")</f>
        <v>27/1/2023, 17:00:00</v>
      </c>
      <c r="I519" s="1" t="str">
        <f>IFERROR(__xludf.DUMMYFUNCTION("""COMPUTED_VALUE"""),"RETIRADO OK POR CLIENTE")</f>
        <v>RETIRADO OK POR CLIENTE</v>
      </c>
      <c r="J519" s="1">
        <f t="shared" si="3"/>
        <v>6</v>
      </c>
      <c r="K519" s="1" t="str">
        <f t="shared" si="4"/>
        <v>Entregamos tus lentes, que los disfrutes!</v>
      </c>
    </row>
    <row r="520">
      <c r="A520" s="1">
        <f>IFERROR(__xludf.DUMMYFUNCTION("""COMPUTED_VALUE"""),85070.0)</f>
        <v>85070</v>
      </c>
      <c r="B520" s="5">
        <f>IFERROR(__xludf.DUMMYFUNCTION("""COMPUTED_VALUE"""),44939.83973100694)</f>
        <v>44939.83973</v>
      </c>
      <c r="C520" s="1" t="str">
        <f>IFERROR(__xludf.DUMMYFUNCTION("""COMPUTED_VALUE"""),"Maiolino Silvia")</f>
        <v>Maiolino Silvia</v>
      </c>
      <c r="D520" s="1" t="str">
        <f>IFERROR(__xludf.DUMMYFUNCTION("""COMPUTED_VALUE"""),"Reparaciones/Otros")</f>
        <v>Reparaciones/Otros</v>
      </c>
      <c r="E520" s="1" t="str">
        <f>IFERROR(__xludf.DUMMYFUNCTION("""COMPUTED_VALUE"""),"RIVADAVIA Rocio B")</f>
        <v>RIVADAVIA Rocio B</v>
      </c>
      <c r="F520" s="1" t="str">
        <f t="shared" si="1"/>
        <v>RIVADAVIA </v>
      </c>
      <c r="G520" s="1" t="str">
        <f t="shared" si="2"/>
        <v>Rocio B</v>
      </c>
      <c r="H520" s="1" t="str">
        <f>IFERROR(__xludf.DUMMYFUNCTION("""COMPUTED_VALUE"""),"16/1/2023, 17:00:00")</f>
        <v>16/1/2023, 17:00:00</v>
      </c>
      <c r="I520" s="1" t="str">
        <f>IFERROR(__xludf.DUMMYFUNCTION("""COMPUTED_VALUE"""),"Enviado a Sucursal")</f>
        <v>Enviado a Sucursal</v>
      </c>
      <c r="J520" s="1">
        <f t="shared" si="3"/>
        <v>4</v>
      </c>
      <c r="K520" s="1" t="str">
        <f t="shared" si="4"/>
        <v>Tus lentes estan viajando a la sucursal para su entrega.</v>
      </c>
    </row>
    <row r="521">
      <c r="A521" s="1">
        <f>IFERROR(__xludf.DUMMYFUNCTION("""COMPUTED_VALUE"""),85071.0)</f>
        <v>85071</v>
      </c>
      <c r="B521" s="5">
        <f>IFERROR(__xludf.DUMMYFUNCTION("""COMPUTED_VALUE"""),44939.852558032406)</f>
        <v>44939.85256</v>
      </c>
      <c r="C521" s="1" t="str">
        <f>IFERROR(__xludf.DUMMYFUNCTION("""COMPUTED_VALUE"""),"COLOMBERO OSCAR JUAN")</f>
        <v>COLOMBERO OSCAR JUAN</v>
      </c>
      <c r="D521" s="1" t="str">
        <f>IFERROR(__xludf.DUMMYFUNCTION("""COMPUTED_VALUE"""),"Lentes de STOCK")</f>
        <v>Lentes de STOCK</v>
      </c>
      <c r="E521" s="1" t="str">
        <f>IFERROR(__xludf.DUMMYFUNCTION("""COMPUTED_VALUE"""),"ARTIGAS Cristian C.")</f>
        <v>ARTIGAS Cristian C.</v>
      </c>
      <c r="F521" s="1" t="str">
        <f t="shared" si="1"/>
        <v>ARTIGAS </v>
      </c>
      <c r="G521" s="1" t="str">
        <f t="shared" si="2"/>
        <v>Cristian C.</v>
      </c>
      <c r="H521" s="1" t="str">
        <f>IFERROR(__xludf.DUMMYFUNCTION("""COMPUTED_VALUE"""),"16/1/2023, 17:00:00")</f>
        <v>16/1/2023, 17:00:00</v>
      </c>
      <c r="I521" s="1" t="str">
        <f>IFERROR(__xludf.DUMMYFUNCTION("""COMPUTED_VALUE"""),"Completado en SUCURSAL")</f>
        <v>Completado en SUCURSAL</v>
      </c>
      <c r="J521" s="1">
        <f t="shared" si="3"/>
        <v>5</v>
      </c>
      <c r="K521" s="1" t="str">
        <f t="shared" si="4"/>
        <v>Tus Lentes estan LISTAS PARA ENTREGAR, te esperamos.</v>
      </c>
    </row>
    <row r="522">
      <c r="A522" s="1">
        <f>IFERROR(__xludf.DUMMYFUNCTION("""COMPUTED_VALUE"""),85072.0)</f>
        <v>85072</v>
      </c>
      <c r="B522" s="5">
        <f>IFERROR(__xludf.DUMMYFUNCTION("""COMPUTED_VALUE"""),44939.85782340278)</f>
        <v>44939.85782</v>
      </c>
      <c r="C522" s="1" t="str">
        <f>IFERROR(__xludf.DUMMYFUNCTION("""COMPUTED_VALUE"""),"QUIROGA MARIA BELEN")</f>
        <v>QUIROGA MARIA BELEN</v>
      </c>
      <c r="D522" s="1" t="str">
        <f>IFERROR(__xludf.DUMMYFUNCTION("""COMPUTED_VALUE"""),"Lentes de STOCK")</f>
        <v>Lentes de STOCK</v>
      </c>
      <c r="E522" s="1" t="str">
        <f>IFERROR(__xludf.DUMMYFUNCTION("""COMPUTED_VALUE"""),"RIVADAVIA Marcela L")</f>
        <v>RIVADAVIA Marcela L</v>
      </c>
      <c r="F522" s="1" t="str">
        <f t="shared" si="1"/>
        <v>RIVADAVIA </v>
      </c>
      <c r="G522" s="1" t="str">
        <f t="shared" si="2"/>
        <v>Marcela L</v>
      </c>
      <c r="H522" s="1" t="str">
        <f>IFERROR(__xludf.DUMMYFUNCTION("""COMPUTED_VALUE"""),"18/1/2023, 17:00:00")</f>
        <v>18/1/2023, 17:00:00</v>
      </c>
      <c r="I522" s="1" t="str">
        <f>IFERROR(__xludf.DUMMYFUNCTION("""COMPUTED_VALUE"""),"RETIRADO OK POR CLIENTE")</f>
        <v>RETIRADO OK POR CLIENTE</v>
      </c>
      <c r="J522" s="1">
        <f t="shared" si="3"/>
        <v>6</v>
      </c>
      <c r="K522" s="1" t="str">
        <f t="shared" si="4"/>
        <v>Entregamos tus lentes, que los disfrutes!</v>
      </c>
    </row>
    <row r="523">
      <c r="A523" s="1">
        <f>IFERROR(__xludf.DUMMYFUNCTION("""COMPUTED_VALUE"""),85073.0)</f>
        <v>85073</v>
      </c>
      <c r="B523" s="5">
        <f>IFERROR(__xludf.DUMMYFUNCTION("""COMPUTED_VALUE"""),44939.8600816088)</f>
        <v>44939.86008</v>
      </c>
      <c r="C523" s="1" t="str">
        <f>IFERROR(__xludf.DUMMYFUNCTION("""COMPUTED_VALUE"""),"Herrera Andrea Vanesa")</f>
        <v>Herrera Andrea Vanesa</v>
      </c>
      <c r="D523" s="1" t="str">
        <f>IFERROR(__xludf.DUMMYFUNCTION("""COMPUTED_VALUE"""),"Reparaciones/Otros")</f>
        <v>Reparaciones/Otros</v>
      </c>
      <c r="E523" s="1" t="str">
        <f>IFERROR(__xludf.DUMMYFUNCTION("""COMPUTED_VALUE"""),"RIVADAVIA Rocio B")</f>
        <v>RIVADAVIA Rocio B</v>
      </c>
      <c r="F523" s="1" t="str">
        <f t="shared" si="1"/>
        <v>RIVADAVIA </v>
      </c>
      <c r="G523" s="1" t="str">
        <f t="shared" si="2"/>
        <v>Rocio B</v>
      </c>
      <c r="H523" s="1" t="str">
        <f>IFERROR(__xludf.DUMMYFUNCTION("""COMPUTED_VALUE"""),"16/1/2023, 17:00:00")</f>
        <v>16/1/2023, 17:00:00</v>
      </c>
      <c r="I523" s="1" t="str">
        <f>IFERROR(__xludf.DUMMYFUNCTION("""COMPUTED_VALUE"""),"Completado en SUCURSAL")</f>
        <v>Completado en SUCURSAL</v>
      </c>
      <c r="J523" s="1">
        <f t="shared" si="3"/>
        <v>5</v>
      </c>
      <c r="K523" s="1" t="str">
        <f t="shared" si="4"/>
        <v>Tus Lentes estan LISTAS PARA ENTREGAR, te esperamos.</v>
      </c>
    </row>
    <row r="524">
      <c r="A524" s="1">
        <f>IFERROR(__xludf.DUMMYFUNCTION("""COMPUTED_VALUE"""),85074.0)</f>
        <v>85074</v>
      </c>
      <c r="B524" s="5">
        <f>IFERROR(__xludf.DUMMYFUNCTION("""COMPUTED_VALUE"""),44940.3931281713)</f>
        <v>44940.39313</v>
      </c>
      <c r="C524" s="1" t="str">
        <f>IFERROR(__xludf.DUMMYFUNCTION("""COMPUTED_VALUE"""),"martini LUIS")</f>
        <v>martini LUIS</v>
      </c>
      <c r="D524" s="1" t="str">
        <f>IFERROR(__xludf.DUMMYFUNCTION("""COMPUTED_VALUE"""),"Reparaciones/Otros")</f>
        <v>Reparaciones/Otros</v>
      </c>
      <c r="E524" s="1" t="str">
        <f>IFERROR(__xludf.DUMMYFUNCTION("""COMPUTED_VALUE"""),"ARTIGAS Celina")</f>
        <v>ARTIGAS Celina</v>
      </c>
      <c r="F524" s="1" t="str">
        <f t="shared" si="1"/>
        <v>ARTIGAS </v>
      </c>
      <c r="G524" s="1" t="str">
        <f t="shared" si="2"/>
        <v>Celina</v>
      </c>
      <c r="H524" s="1" t="str">
        <f>IFERROR(__xludf.DUMMYFUNCTION("""COMPUTED_VALUE"""),"16/1/2023, 17:00:00")</f>
        <v>16/1/2023, 17:00:00</v>
      </c>
      <c r="I524" s="1" t="str">
        <f>IFERROR(__xludf.DUMMYFUNCTION("""COMPUTED_VALUE"""),"Completado en SUCURSAL")</f>
        <v>Completado en SUCURSAL</v>
      </c>
      <c r="J524" s="1">
        <f t="shared" si="3"/>
        <v>5</v>
      </c>
      <c r="K524" s="1" t="str">
        <f t="shared" si="4"/>
        <v>Tus Lentes estan LISTAS PARA ENTREGAR, te esperamos.</v>
      </c>
    </row>
    <row r="525">
      <c r="A525" s="1">
        <f>IFERROR(__xludf.DUMMYFUNCTION("""COMPUTED_VALUE"""),85075.0)</f>
        <v>85075</v>
      </c>
      <c r="B525" s="5">
        <f>IFERROR(__xludf.DUMMYFUNCTION("""COMPUTED_VALUE"""),44940.39365533565)</f>
        <v>44940.39366</v>
      </c>
      <c r="C525" s="1" t="str">
        <f>IFERROR(__xludf.DUMMYFUNCTION("""COMPUTED_VALUE"""),"SOSA JAQUELINA")</f>
        <v>SOSA JAQUELINA</v>
      </c>
      <c r="D525" s="1" t="str">
        <f>IFERROR(__xludf.DUMMYFUNCTION("""COMPUTED_VALUE"""),"Reparaciones/Otros")</f>
        <v>Reparaciones/Otros</v>
      </c>
      <c r="E525" s="1" t="str">
        <f>IFERROR(__xludf.DUMMYFUNCTION("""COMPUTED_VALUE"""),"ARTIGAS Ivana P.")</f>
        <v>ARTIGAS Ivana P.</v>
      </c>
      <c r="F525" s="1" t="str">
        <f t="shared" si="1"/>
        <v>ARTIGAS </v>
      </c>
      <c r="G525" s="1" t="str">
        <f t="shared" si="2"/>
        <v>Ivana P.</v>
      </c>
      <c r="H525" s="1" t="str">
        <f>IFERROR(__xludf.DUMMYFUNCTION("""COMPUTED_VALUE"""),"16/1/2023, 17:00:00")</f>
        <v>16/1/2023, 17:00:00</v>
      </c>
      <c r="I525" s="1" t="str">
        <f>IFERROR(__xludf.DUMMYFUNCTION("""COMPUTED_VALUE"""),"Completado en SUCURSAL")</f>
        <v>Completado en SUCURSAL</v>
      </c>
      <c r="J525" s="1">
        <f t="shared" si="3"/>
        <v>5</v>
      </c>
      <c r="K525" s="1" t="str">
        <f t="shared" si="4"/>
        <v>Tus Lentes estan LISTAS PARA ENTREGAR, te esperamos.</v>
      </c>
    </row>
    <row r="526">
      <c r="A526" s="1">
        <f>IFERROR(__xludf.DUMMYFUNCTION("""COMPUTED_VALUE"""),85076.0)</f>
        <v>85076</v>
      </c>
      <c r="B526" s="5">
        <f>IFERROR(__xludf.DUMMYFUNCTION("""COMPUTED_VALUE"""),44940.40854559028)</f>
        <v>44940.40855</v>
      </c>
      <c r="C526" s="1" t="str">
        <f>IFERROR(__xludf.DUMMYFUNCTION("""COMPUTED_VALUE"""),"PEDERNERA SILVIA DEL VALLE")</f>
        <v>PEDERNERA SILVIA DEL VALLE</v>
      </c>
      <c r="D526" s="1" t="str">
        <f>IFERROR(__xludf.DUMMYFUNCTION("""COMPUTED_VALUE"""),"Lentes de STOCK")</f>
        <v>Lentes de STOCK</v>
      </c>
      <c r="E526" s="1" t="str">
        <f>IFERROR(__xludf.DUMMYFUNCTION("""COMPUTED_VALUE"""),"ARTIGAS Cristian C.")</f>
        <v>ARTIGAS Cristian C.</v>
      </c>
      <c r="F526" s="1" t="str">
        <f t="shared" si="1"/>
        <v>ARTIGAS </v>
      </c>
      <c r="G526" s="1" t="str">
        <f t="shared" si="2"/>
        <v>Cristian C.</v>
      </c>
      <c r="H526" s="1" t="str">
        <f>IFERROR(__xludf.DUMMYFUNCTION("""COMPUTED_VALUE"""),"20/1/2023, 17:00:00")</f>
        <v>20/1/2023, 17:00:00</v>
      </c>
      <c r="I526" s="1" t="str">
        <f>IFERROR(__xludf.DUMMYFUNCTION("""COMPUTED_VALUE"""),"En Armado Hoy")</f>
        <v>En Armado Hoy</v>
      </c>
      <c r="J526" s="1">
        <f t="shared" si="3"/>
        <v>3</v>
      </c>
      <c r="K526" s="1" t="str">
        <f t="shared" si="4"/>
        <v>Estamos terminando los ultimos detalles de tus lentes, los terminaremos el dia de hoy.</v>
      </c>
    </row>
    <row r="527">
      <c r="A527" s="1">
        <f>IFERROR(__xludf.DUMMYFUNCTION("""COMPUTED_VALUE"""),85077.0)</f>
        <v>85077</v>
      </c>
      <c r="B527" s="5">
        <f>IFERROR(__xludf.DUMMYFUNCTION("""COMPUTED_VALUE"""),44940.43325004629)</f>
        <v>44940.43325</v>
      </c>
      <c r="C527" s="1" t="str">
        <f>IFERROR(__xludf.DUMMYFUNCTION("""COMPUTED_VALUE"""),"funes MARCELO")</f>
        <v>funes MARCELO</v>
      </c>
      <c r="D527" s="1" t="str">
        <f>IFERROR(__xludf.DUMMYFUNCTION("""COMPUTED_VALUE"""),"Reparaciones/Otros")</f>
        <v>Reparaciones/Otros</v>
      </c>
      <c r="E527" s="1" t="str">
        <f>IFERROR(__xludf.DUMMYFUNCTION("""COMPUTED_VALUE"""),"ARTIGAS Celina")</f>
        <v>ARTIGAS Celina</v>
      </c>
      <c r="F527" s="1" t="str">
        <f t="shared" si="1"/>
        <v>ARTIGAS </v>
      </c>
      <c r="G527" s="1" t="str">
        <f t="shared" si="2"/>
        <v>Celina</v>
      </c>
      <c r="H527" s="1" t="str">
        <f>IFERROR(__xludf.DUMMYFUNCTION("""COMPUTED_VALUE"""),"16/1/2023, 17:00:00")</f>
        <v>16/1/2023, 17:00:00</v>
      </c>
      <c r="I527" s="1" t="str">
        <f>IFERROR(__xludf.DUMMYFUNCTION("""COMPUTED_VALUE"""),"Completado en SUCURSAL")</f>
        <v>Completado en SUCURSAL</v>
      </c>
      <c r="J527" s="1">
        <f t="shared" si="3"/>
        <v>5</v>
      </c>
      <c r="K527" s="1" t="str">
        <f t="shared" si="4"/>
        <v>Tus Lentes estan LISTAS PARA ENTREGAR, te esperamos.</v>
      </c>
    </row>
    <row r="528">
      <c r="A528" s="1">
        <f>IFERROR(__xludf.DUMMYFUNCTION("""COMPUTED_VALUE"""),85078.0)</f>
        <v>85078</v>
      </c>
      <c r="B528" s="5">
        <f>IFERROR(__xludf.DUMMYFUNCTION("""COMPUTED_VALUE"""),44940.4419287037)</f>
        <v>44940.44193</v>
      </c>
      <c r="C528" s="1" t="str">
        <f>IFERROR(__xludf.DUMMYFUNCTION("""COMPUTED_VALUE"""),"GONZALEZ MARIA")</f>
        <v>GONZALEZ MARIA</v>
      </c>
      <c r="D528" s="1" t="str">
        <f>IFERROR(__xludf.DUMMYFUNCTION("""COMPUTED_VALUE"""),"Lentes de STOCK")</f>
        <v>Lentes de STOCK</v>
      </c>
      <c r="E528" s="1" t="str">
        <f>IFERROR(__xludf.DUMMYFUNCTION("""COMPUTED_VALUE"""),"RIVADAVIA Luciana")</f>
        <v>RIVADAVIA Luciana</v>
      </c>
      <c r="F528" s="1" t="str">
        <f t="shared" si="1"/>
        <v>RIVADAVIA </v>
      </c>
      <c r="G528" s="1" t="str">
        <f t="shared" si="2"/>
        <v>Luciana</v>
      </c>
      <c r="H528" s="1" t="str">
        <f>IFERROR(__xludf.DUMMYFUNCTION("""COMPUTED_VALUE"""),"17/1/2023, 17:00:00")</f>
        <v>17/1/2023, 17:00:00</v>
      </c>
      <c r="I528" s="1" t="str">
        <f>IFERROR(__xludf.DUMMYFUNCTION("""COMPUTED_VALUE"""),"RETIRADO OK POR CLIENTE")</f>
        <v>RETIRADO OK POR CLIENTE</v>
      </c>
      <c r="J528" s="1">
        <f t="shared" si="3"/>
        <v>6</v>
      </c>
      <c r="K528" s="1" t="str">
        <f t="shared" si="4"/>
        <v>Entregamos tus lentes, que los disfrutes!</v>
      </c>
    </row>
    <row r="529">
      <c r="A529" s="1">
        <f>IFERROR(__xludf.DUMMYFUNCTION("""COMPUTED_VALUE"""),85079.0)</f>
        <v>85079</v>
      </c>
      <c r="B529" s="5">
        <f>IFERROR(__xludf.DUMMYFUNCTION("""COMPUTED_VALUE"""),44940.47175678241)</f>
        <v>44940.47176</v>
      </c>
      <c r="C529" s="1" t="str">
        <f>IFERROR(__xludf.DUMMYFUNCTION("""COMPUTED_VALUE"""),"QUIROGA CARMEN LUCIA")</f>
        <v>QUIROGA CARMEN LUCIA</v>
      </c>
      <c r="D529" s="1" t="str">
        <f>IFERROR(__xludf.DUMMYFUNCTION("""COMPUTED_VALUE"""),"Lentes de STOCK")</f>
        <v>Lentes de STOCK</v>
      </c>
      <c r="E529" s="1" t="str">
        <f>IFERROR(__xludf.DUMMYFUNCTION("""COMPUTED_VALUE"""),"ARTIGAS Cristian C.")</f>
        <v>ARTIGAS Cristian C.</v>
      </c>
      <c r="F529" s="1" t="str">
        <f t="shared" si="1"/>
        <v>ARTIGAS </v>
      </c>
      <c r="G529" s="1" t="str">
        <f t="shared" si="2"/>
        <v>Cristian C.</v>
      </c>
      <c r="H529" s="1" t="str">
        <f>IFERROR(__xludf.DUMMYFUNCTION("""COMPUTED_VALUE"""),"20/1/2023, 17:00:00")</f>
        <v>20/1/2023, 17:00:00</v>
      </c>
      <c r="I529" s="1" t="str">
        <f>IFERROR(__xludf.DUMMYFUNCTION("""COMPUTED_VALUE"""),"RETIRADO OK POR CLIENTE")</f>
        <v>RETIRADO OK POR CLIENTE</v>
      </c>
      <c r="J529" s="1">
        <f t="shared" si="3"/>
        <v>6</v>
      </c>
      <c r="K529" s="1" t="str">
        <f t="shared" si="4"/>
        <v>Entregamos tus lentes, que los disfrutes!</v>
      </c>
    </row>
    <row r="530">
      <c r="A530" s="1">
        <f>IFERROR(__xludf.DUMMYFUNCTION("""COMPUTED_VALUE"""),85080.0)</f>
        <v>85080</v>
      </c>
      <c r="B530" s="5">
        <f>IFERROR(__xludf.DUMMYFUNCTION("""COMPUTED_VALUE"""),44940.47354144676)</f>
        <v>44940.47354</v>
      </c>
      <c r="C530" s="1" t="str">
        <f>IFERROR(__xludf.DUMMYFUNCTION("""COMPUTED_VALUE"""),"GOMEZ FLAVIA")</f>
        <v>GOMEZ FLAVIA</v>
      </c>
      <c r="D530" s="1" t="str">
        <f>IFERROR(__xludf.DUMMYFUNCTION("""COMPUTED_VALUE"""),"Reparaciones/Otros")</f>
        <v>Reparaciones/Otros</v>
      </c>
      <c r="E530" s="1" t="str">
        <f>IFERROR(__xludf.DUMMYFUNCTION("""COMPUTED_VALUE"""),"ARTIGAS Ivana P.")</f>
        <v>ARTIGAS Ivana P.</v>
      </c>
      <c r="F530" s="1" t="str">
        <f t="shared" si="1"/>
        <v>ARTIGAS </v>
      </c>
      <c r="G530" s="1" t="str">
        <f t="shared" si="2"/>
        <v>Ivana P.</v>
      </c>
      <c r="H530" s="1" t="str">
        <f>IFERROR(__xludf.DUMMYFUNCTION("""COMPUTED_VALUE"""),"16/1/2023, 17:00:00")</f>
        <v>16/1/2023, 17:00:00</v>
      </c>
      <c r="I530" s="1" t="str">
        <f>IFERROR(__xludf.DUMMYFUNCTION("""COMPUTED_VALUE"""),"Completado en SUCURSAL")</f>
        <v>Completado en SUCURSAL</v>
      </c>
      <c r="J530" s="1">
        <f t="shared" si="3"/>
        <v>5</v>
      </c>
      <c r="K530" s="1" t="str">
        <f t="shared" si="4"/>
        <v>Tus Lentes estan LISTAS PARA ENTREGAR, te esperamos.</v>
      </c>
    </row>
    <row r="531">
      <c r="A531" s="1">
        <f>IFERROR(__xludf.DUMMYFUNCTION("""COMPUTED_VALUE"""),85081.0)</f>
        <v>85081</v>
      </c>
      <c r="B531" s="5">
        <f>IFERROR(__xludf.DUMMYFUNCTION("""COMPUTED_VALUE"""),44940.48053104167)</f>
        <v>44940.48053</v>
      </c>
      <c r="C531" s="1" t="str">
        <f>IFERROR(__xludf.DUMMYFUNCTION("""COMPUTED_VALUE"""),"NAHUELANA ANDREA")</f>
        <v>NAHUELANA ANDREA</v>
      </c>
      <c r="D531" s="1" t="str">
        <f>IFERROR(__xludf.DUMMYFUNCTION("""COMPUTED_VALUE"""),"Lentes de STOCK")</f>
        <v>Lentes de STOCK</v>
      </c>
      <c r="E531" s="1" t="str">
        <f>IFERROR(__xludf.DUMMYFUNCTION("""COMPUTED_VALUE"""),"RIVADAVIA Santiago LOPEZ")</f>
        <v>RIVADAVIA Santiago LOPEZ</v>
      </c>
      <c r="F531" s="1" t="str">
        <f t="shared" si="1"/>
        <v>RIVADAVIA </v>
      </c>
      <c r="G531" s="1" t="str">
        <f t="shared" si="2"/>
        <v>Santiago LOPEZ</v>
      </c>
      <c r="H531" s="1" t="str">
        <f>IFERROR(__xludf.DUMMYFUNCTION("""COMPUTED_VALUE"""),"17/1/2023, 17:00:00")</f>
        <v>17/1/2023, 17:00:00</v>
      </c>
      <c r="I531" s="1" t="str">
        <f>IFERROR(__xludf.DUMMYFUNCTION("""COMPUTED_VALUE"""),"RETIRADO OK POR CLIENTE")</f>
        <v>RETIRADO OK POR CLIENTE</v>
      </c>
      <c r="J531" s="1">
        <f t="shared" si="3"/>
        <v>6</v>
      </c>
      <c r="K531" s="1" t="str">
        <f t="shared" si="4"/>
        <v>Entregamos tus lentes, que los disfrutes!</v>
      </c>
    </row>
    <row r="532">
      <c r="A532" s="1">
        <f>IFERROR(__xludf.DUMMYFUNCTION("""COMPUTED_VALUE"""),85082.0)</f>
        <v>85082</v>
      </c>
      <c r="B532" s="5">
        <f>IFERROR(__xludf.DUMMYFUNCTION("""COMPUTED_VALUE"""),44940.48501178241)</f>
        <v>44940.48501</v>
      </c>
      <c r="C532" s="1" t="str">
        <f>IFERROR(__xludf.DUMMYFUNCTION("""COMPUTED_VALUE"""),"Garro Nilda Haydee")</f>
        <v>Garro Nilda Haydee</v>
      </c>
      <c r="D532" s="1" t="str">
        <f>IFERROR(__xludf.DUMMYFUNCTION("""COMPUTED_VALUE"""),"Lentes de STOCK")</f>
        <v>Lentes de STOCK</v>
      </c>
      <c r="E532" s="1" t="str">
        <f>IFERROR(__xludf.DUMMYFUNCTION("""COMPUTED_VALUE"""),"RIVADAVIA Rocio B")</f>
        <v>RIVADAVIA Rocio B</v>
      </c>
      <c r="F532" s="1" t="str">
        <f t="shared" si="1"/>
        <v>RIVADAVIA </v>
      </c>
      <c r="G532" s="1" t="str">
        <f t="shared" si="2"/>
        <v>Rocio B</v>
      </c>
      <c r="H532" s="1" t="str">
        <f>IFERROR(__xludf.DUMMYFUNCTION("""COMPUTED_VALUE"""),"20/1/2023, 17:00:00")</f>
        <v>20/1/2023, 17:00:00</v>
      </c>
      <c r="I532" s="1" t="str">
        <f>IFERROR(__xludf.DUMMYFUNCTION("""COMPUTED_VALUE"""),"Completado en SUCURSAL")</f>
        <v>Completado en SUCURSAL</v>
      </c>
      <c r="J532" s="1">
        <f t="shared" si="3"/>
        <v>5</v>
      </c>
      <c r="K532" s="1" t="str">
        <f t="shared" si="4"/>
        <v>Tus Lentes estan LISTAS PARA ENTREGAR, te esperamos.</v>
      </c>
    </row>
    <row r="533">
      <c r="A533" s="1">
        <f>IFERROR(__xludf.DUMMYFUNCTION("""COMPUTED_VALUE"""),85083.0)</f>
        <v>85083</v>
      </c>
      <c r="B533" s="5">
        <f>IFERROR(__xludf.DUMMYFUNCTION("""COMPUTED_VALUE"""),44940.490540300925)</f>
        <v>44940.49054</v>
      </c>
      <c r="C533" s="1" t="str">
        <f>IFERROR(__xludf.DUMMYFUNCTION("""COMPUTED_VALUE"""),"BUNINO ERICK")</f>
        <v>BUNINO ERICK</v>
      </c>
      <c r="D533" s="1" t="str">
        <f>IFERROR(__xludf.DUMMYFUNCTION("""COMPUTED_VALUE"""),"Reparaciones/Otros")</f>
        <v>Reparaciones/Otros</v>
      </c>
      <c r="E533" s="1" t="str">
        <f>IFERROR(__xludf.DUMMYFUNCTION("""COMPUTED_VALUE"""),"RIVADAVIA Daniel CM")</f>
        <v>RIVADAVIA Daniel CM</v>
      </c>
      <c r="F533" s="1" t="str">
        <f t="shared" si="1"/>
        <v>RIVADAVIA </v>
      </c>
      <c r="G533" s="1" t="str">
        <f t="shared" si="2"/>
        <v>Daniel CM</v>
      </c>
      <c r="H533" s="1" t="str">
        <f>IFERROR(__xludf.DUMMYFUNCTION("""COMPUTED_VALUE"""),"16/1/2023, 17:00:00")</f>
        <v>16/1/2023, 17:00:00</v>
      </c>
      <c r="I533" s="1" t="str">
        <f>IFERROR(__xludf.DUMMYFUNCTION("""COMPUTED_VALUE"""),"Completado en SUCURSAL")</f>
        <v>Completado en SUCURSAL</v>
      </c>
      <c r="J533" s="1">
        <f t="shared" si="3"/>
        <v>5</v>
      </c>
      <c r="K533" s="1" t="str">
        <f t="shared" si="4"/>
        <v>Tus Lentes estan LISTAS PARA ENTREGAR, te esperamos.</v>
      </c>
    </row>
    <row r="534">
      <c r="A534" s="1">
        <f>IFERROR(__xludf.DUMMYFUNCTION("""COMPUTED_VALUE"""),85084.0)</f>
        <v>85084</v>
      </c>
      <c r="B534" s="5">
        <f>IFERROR(__xludf.DUMMYFUNCTION("""COMPUTED_VALUE"""),44940.49335211806)</f>
        <v>44940.49335</v>
      </c>
      <c r="C534" s="1" t="str">
        <f>IFERROR(__xludf.DUMMYFUNCTION("""COMPUTED_VALUE"""),"Lucero Adriana Maria")</f>
        <v>Lucero Adriana Maria</v>
      </c>
      <c r="D534" s="1" t="str">
        <f>IFERROR(__xludf.DUMMYFUNCTION("""COMPUTED_VALUE"""),"Lentes de STOCK")</f>
        <v>Lentes de STOCK</v>
      </c>
      <c r="E534" s="1" t="str">
        <f>IFERROR(__xludf.DUMMYFUNCTION("""COMPUTED_VALUE"""),"RIVADAVIA Rocio B")</f>
        <v>RIVADAVIA Rocio B</v>
      </c>
      <c r="F534" s="1" t="str">
        <f t="shared" si="1"/>
        <v>RIVADAVIA </v>
      </c>
      <c r="G534" s="1" t="str">
        <f t="shared" si="2"/>
        <v>Rocio B</v>
      </c>
      <c r="H534" s="1" t="str">
        <f>IFERROR(__xludf.DUMMYFUNCTION("""COMPUTED_VALUE"""),"20/1/2023, 17:00:00")</f>
        <v>20/1/2023, 17:00:00</v>
      </c>
      <c r="I534" s="1" t="str">
        <f>IFERROR(__xludf.DUMMYFUNCTION("""COMPUTED_VALUE"""),"RETIRADO OK POR CLIENTE")</f>
        <v>RETIRADO OK POR CLIENTE</v>
      </c>
      <c r="J534" s="1">
        <f t="shared" si="3"/>
        <v>6</v>
      </c>
      <c r="K534" s="1" t="str">
        <f t="shared" si="4"/>
        <v>Entregamos tus lentes, que los disfrutes!</v>
      </c>
    </row>
    <row r="535">
      <c r="A535" s="1">
        <f>IFERROR(__xludf.DUMMYFUNCTION("""COMPUTED_VALUE"""),85085.0)</f>
        <v>85085</v>
      </c>
      <c r="B535" s="5">
        <f>IFERROR(__xludf.DUMMYFUNCTION("""COMPUTED_VALUE"""),44940.4967541088)</f>
        <v>44940.49675</v>
      </c>
      <c r="C535" s="1" t="str">
        <f>IFERROR(__xludf.DUMMYFUNCTION("""COMPUTED_VALUE"""),"Gil Ernesto Aurelio")</f>
        <v>Gil Ernesto Aurelio</v>
      </c>
      <c r="D535" s="1" t="str">
        <f>IFERROR(__xludf.DUMMYFUNCTION("""COMPUTED_VALUE"""),"Reparaciones/Otros")</f>
        <v>Reparaciones/Otros</v>
      </c>
      <c r="E535" s="1" t="str">
        <f>IFERROR(__xludf.DUMMYFUNCTION("""COMPUTED_VALUE"""),"RIVADAVIA Rocio B")</f>
        <v>RIVADAVIA Rocio B</v>
      </c>
      <c r="F535" s="1" t="str">
        <f t="shared" si="1"/>
        <v>RIVADAVIA </v>
      </c>
      <c r="G535" s="1" t="str">
        <f t="shared" si="2"/>
        <v>Rocio B</v>
      </c>
      <c r="H535" s="1" t="str">
        <f>IFERROR(__xludf.DUMMYFUNCTION("""COMPUTED_VALUE"""),"16/1/2023, 17:00:00")</f>
        <v>16/1/2023, 17:00:00</v>
      </c>
      <c r="I535" s="1" t="str">
        <f>IFERROR(__xludf.DUMMYFUNCTION("""COMPUTED_VALUE"""),"Completado en SUCURSAL")</f>
        <v>Completado en SUCURSAL</v>
      </c>
      <c r="J535" s="1">
        <f t="shared" si="3"/>
        <v>5</v>
      </c>
      <c r="K535" s="1" t="str">
        <f t="shared" si="4"/>
        <v>Tus Lentes estan LISTAS PARA ENTREGAR, te esperamos.</v>
      </c>
    </row>
    <row r="536">
      <c r="A536" s="1">
        <f>IFERROR(__xludf.DUMMYFUNCTION("""COMPUTED_VALUE"""),85086.0)</f>
        <v>85086</v>
      </c>
      <c r="B536" s="5">
        <f>IFERROR(__xludf.DUMMYFUNCTION("""COMPUTED_VALUE"""),44940.50828480324)</f>
        <v>44940.50828</v>
      </c>
      <c r="C536" s="1" t="str">
        <f>IFERROR(__xludf.DUMMYFUNCTION("""COMPUTED_VALUE"""),"CURIZZI HORACIO")</f>
        <v>CURIZZI HORACIO</v>
      </c>
      <c r="D536" s="1" t="str">
        <f>IFERROR(__xludf.DUMMYFUNCTION("""COMPUTED_VALUE"""),"Lentes MULTIFOCALES")</f>
        <v>Lentes MULTIFOCALES</v>
      </c>
      <c r="E536" s="1" t="str">
        <f>IFERROR(__xludf.DUMMYFUNCTION("""COMPUTED_VALUE"""),"RIVADAVIA Santiago LOPEZ")</f>
        <v>RIVADAVIA Santiago LOPEZ</v>
      </c>
      <c r="F536" s="1" t="str">
        <f t="shared" si="1"/>
        <v>RIVADAVIA </v>
      </c>
      <c r="G536" s="1" t="str">
        <f t="shared" si="2"/>
        <v>Santiago LOPEZ</v>
      </c>
      <c r="H536" s="1" t="str">
        <f>IFERROR(__xludf.DUMMYFUNCTION("""COMPUTED_VALUE"""),"27/1/2023, 17:00:00")</f>
        <v>27/1/2023, 17:00:00</v>
      </c>
      <c r="I536" s="1" t="str">
        <f>IFERROR(__xludf.DUMMYFUNCTION("""COMPUTED_VALUE"""),"Completado en SUCURSAL")</f>
        <v>Completado en SUCURSAL</v>
      </c>
      <c r="J536" s="1">
        <f t="shared" si="3"/>
        <v>5</v>
      </c>
      <c r="K536" s="1" t="str">
        <f t="shared" si="4"/>
        <v>Tus Lentes estan LISTAS PARA ENTREGAR, te esperamos.</v>
      </c>
    </row>
    <row r="537">
      <c r="A537" s="1">
        <f>IFERROR(__xludf.DUMMYFUNCTION("""COMPUTED_VALUE"""),85087.0)</f>
        <v>85087</v>
      </c>
      <c r="B537" s="5">
        <f>IFERROR(__xludf.DUMMYFUNCTION("""COMPUTED_VALUE"""),44940.5143321875)</f>
        <v>44940.51433</v>
      </c>
      <c r="C537" s="1" t="str">
        <f>IFERROR(__xludf.DUMMYFUNCTION("""COMPUTED_VALUE"""),"Andrada Juanita Alicia")</f>
        <v>Andrada Juanita Alicia</v>
      </c>
      <c r="D537" s="1" t="str">
        <f>IFERROR(__xludf.DUMMYFUNCTION("""COMPUTED_VALUE"""),"Lentes BIFOCALES")</f>
        <v>Lentes BIFOCALES</v>
      </c>
      <c r="E537" s="1" t="str">
        <f>IFERROR(__xludf.DUMMYFUNCTION("""COMPUTED_VALUE"""),"RIVADAVIA Rocio B")</f>
        <v>RIVADAVIA Rocio B</v>
      </c>
      <c r="F537" s="1" t="str">
        <f t="shared" si="1"/>
        <v>RIVADAVIA </v>
      </c>
      <c r="G537" s="1" t="str">
        <f t="shared" si="2"/>
        <v>Rocio B</v>
      </c>
      <c r="H537" s="1" t="str">
        <f>IFERROR(__xludf.DUMMYFUNCTION("""COMPUTED_VALUE"""),"20/1/2023, 17:00:00")</f>
        <v>20/1/2023, 17:00:00</v>
      </c>
      <c r="I537" s="1" t="str">
        <f>IFERROR(__xludf.DUMMYFUNCTION("""COMPUTED_VALUE"""),"Completado en SUCURSAL")</f>
        <v>Completado en SUCURSAL</v>
      </c>
      <c r="J537" s="1">
        <f t="shared" si="3"/>
        <v>5</v>
      </c>
      <c r="K537" s="1" t="str">
        <f t="shared" si="4"/>
        <v>Tus Lentes estan LISTAS PARA ENTREGAR, te esperamos.</v>
      </c>
    </row>
    <row r="538">
      <c r="A538" s="1">
        <f>IFERROR(__xludf.DUMMYFUNCTION("""COMPUTED_VALUE"""),85088.0)</f>
        <v>85088</v>
      </c>
      <c r="B538" s="5">
        <f>IFERROR(__xludf.DUMMYFUNCTION("""COMPUTED_VALUE"""),44940.5265121875)</f>
        <v>44940.52651</v>
      </c>
      <c r="C538" s="1" t="str">
        <f>IFERROR(__xludf.DUMMYFUNCTION("""COMPUTED_VALUE"""),"DOMINGUEZ CARLOS SERGIO")</f>
        <v>DOMINGUEZ CARLOS SERGIO</v>
      </c>
      <c r="D538" s="1" t="str">
        <f>IFERROR(__xludf.DUMMYFUNCTION("""COMPUTED_VALUE"""),"Lentes de STOCK")</f>
        <v>Lentes de STOCK</v>
      </c>
      <c r="E538" s="1" t="str">
        <f>IFERROR(__xludf.DUMMYFUNCTION("""COMPUTED_VALUE"""),"RIVADAVIA Daniel CM")</f>
        <v>RIVADAVIA Daniel CM</v>
      </c>
      <c r="F538" s="1" t="str">
        <f t="shared" si="1"/>
        <v>RIVADAVIA </v>
      </c>
      <c r="G538" s="1" t="str">
        <f t="shared" si="2"/>
        <v>Daniel CM</v>
      </c>
      <c r="H538" s="1" t="str">
        <f>IFERROR(__xludf.DUMMYFUNCTION("""COMPUTED_VALUE"""),"18/1/2023, 17:00:00")</f>
        <v>18/1/2023, 17:00:00</v>
      </c>
      <c r="I538" s="1" t="str">
        <f>IFERROR(__xludf.DUMMYFUNCTION("""COMPUTED_VALUE"""),"RETIRADO OK POR CLIENTE")</f>
        <v>RETIRADO OK POR CLIENTE</v>
      </c>
      <c r="J538" s="1">
        <f t="shared" si="3"/>
        <v>6</v>
      </c>
      <c r="K538" s="1" t="str">
        <f t="shared" si="4"/>
        <v>Entregamos tus lentes, que los disfrutes!</v>
      </c>
    </row>
    <row r="539">
      <c r="A539" s="1">
        <f>IFERROR(__xludf.DUMMYFUNCTION("""COMPUTED_VALUE"""),85089.0)</f>
        <v>85089</v>
      </c>
      <c r="B539" s="5">
        <f>IFERROR(__xludf.DUMMYFUNCTION("""COMPUTED_VALUE"""),44940.53545943287)</f>
        <v>44940.53546</v>
      </c>
      <c r="C539" s="1" t="str">
        <f>IFERROR(__xludf.DUMMYFUNCTION("""COMPUTED_VALUE"""),"Fernandez Mario Alberto")</f>
        <v>Fernandez Mario Alberto</v>
      </c>
      <c r="D539" s="1" t="str">
        <f>IFERROR(__xludf.DUMMYFUNCTION("""COMPUTED_VALUE"""),"Lentes de LABORATORIO")</f>
        <v>Lentes de LABORATORIO</v>
      </c>
      <c r="E539" s="1" t="str">
        <f>IFERROR(__xludf.DUMMYFUNCTION("""COMPUTED_VALUE"""),"RIVADAVIA Javier")</f>
        <v>RIVADAVIA Javier</v>
      </c>
      <c r="F539" s="1" t="str">
        <f t="shared" si="1"/>
        <v>RIVADAVIA </v>
      </c>
      <c r="G539" s="1" t="str">
        <f t="shared" si="2"/>
        <v>Javier</v>
      </c>
      <c r="H539" s="1" t="str">
        <f>IFERROR(__xludf.DUMMYFUNCTION("""COMPUTED_VALUE"""),"3/2/2023, 17:00:00")</f>
        <v>3/2/2023, 17:00:00</v>
      </c>
      <c r="I539" s="1" t="str">
        <f>IFERROR(__xludf.DUMMYFUNCTION("""COMPUTED_VALUE"""),"Completado en SUCURSAL")</f>
        <v>Completado en SUCURSAL</v>
      </c>
      <c r="J539" s="1">
        <f t="shared" si="3"/>
        <v>5</v>
      </c>
      <c r="K539" s="1" t="str">
        <f t="shared" si="4"/>
        <v>Tus Lentes estan LISTAS PARA ENTREGAR, te esperamos.</v>
      </c>
    </row>
    <row r="540">
      <c r="A540" s="1">
        <f>IFERROR(__xludf.DUMMYFUNCTION("""COMPUTED_VALUE"""),85090.0)</f>
        <v>85090</v>
      </c>
      <c r="B540" s="5">
        <f>IFERROR(__xludf.DUMMYFUNCTION("""COMPUTED_VALUE"""),44942.3884828588)</f>
        <v>44942.38848</v>
      </c>
      <c r="C540" s="1" t="str">
        <f>IFERROR(__xludf.DUMMYFUNCTION("""COMPUTED_VALUE"""),"GIMENEZ ELVA")</f>
        <v>GIMENEZ ELVA</v>
      </c>
      <c r="D540" s="1" t="str">
        <f>IFERROR(__xludf.DUMMYFUNCTION("""COMPUTED_VALUE"""),"Reparaciones/Otros")</f>
        <v>Reparaciones/Otros</v>
      </c>
      <c r="E540" s="1" t="str">
        <f>IFERROR(__xludf.DUMMYFUNCTION("""COMPUTED_VALUE"""),"RIVADAVIA Santiago LOPEZ")</f>
        <v>RIVADAVIA Santiago LOPEZ</v>
      </c>
      <c r="F540" s="1" t="str">
        <f t="shared" si="1"/>
        <v>RIVADAVIA </v>
      </c>
      <c r="G540" s="1" t="str">
        <f t="shared" si="2"/>
        <v>Santiago LOPEZ</v>
      </c>
      <c r="H540" s="1" t="str">
        <f>IFERROR(__xludf.DUMMYFUNCTION("""COMPUTED_VALUE"""),"17/1/2023, 17:00:00")</f>
        <v>17/1/2023, 17:00:00</v>
      </c>
      <c r="I540" s="1" t="str">
        <f>IFERROR(__xludf.DUMMYFUNCTION("""COMPUTED_VALUE"""),"Completado en SUCURSAL")</f>
        <v>Completado en SUCURSAL</v>
      </c>
      <c r="J540" s="1">
        <f t="shared" si="3"/>
        <v>5</v>
      </c>
      <c r="K540" s="1" t="str">
        <f t="shared" si="4"/>
        <v>Tus Lentes estan LISTAS PARA ENTREGAR, te esperamos.</v>
      </c>
    </row>
    <row r="541">
      <c r="A541" s="1">
        <f>IFERROR(__xludf.DUMMYFUNCTION("""COMPUTED_VALUE"""),85091.0)</f>
        <v>85091</v>
      </c>
      <c r="B541" s="5">
        <f>IFERROR(__xludf.DUMMYFUNCTION("""COMPUTED_VALUE"""),44942.40163060185)</f>
        <v>44942.40163</v>
      </c>
      <c r="C541" s="1" t="str">
        <f>IFERROR(__xludf.DUMMYFUNCTION("""COMPUTED_VALUE"""),"FERREYRA CLAUDIO/ VARTECO")</f>
        <v>FERREYRA CLAUDIO/ VARTECO</v>
      </c>
      <c r="D541" s="1" t="str">
        <f>IFERROR(__xludf.DUMMYFUNCTION("""COMPUTED_VALUE"""),"Lentes de LABORATORIO")</f>
        <v>Lentes de LABORATORIO</v>
      </c>
      <c r="E541" s="1" t="str">
        <f>IFERROR(__xludf.DUMMYFUNCTION("""COMPUTED_VALUE"""),"ARTIGAS Ivana P.")</f>
        <v>ARTIGAS Ivana P.</v>
      </c>
      <c r="F541" s="1" t="str">
        <f t="shared" si="1"/>
        <v>ARTIGAS </v>
      </c>
      <c r="G541" s="1" t="str">
        <f t="shared" si="2"/>
        <v>Ivana P.</v>
      </c>
      <c r="H541" s="1" t="str">
        <f>IFERROR(__xludf.DUMMYFUNCTION("""COMPUTED_VALUE"""),"23/1/2023, 17:00:00")</f>
        <v>23/1/2023, 17:00:00</v>
      </c>
      <c r="I541" s="1" t="str">
        <f>IFERROR(__xludf.DUMMYFUNCTION("""COMPUTED_VALUE"""),"RETIRADO OK POR CLIENTE")</f>
        <v>RETIRADO OK POR CLIENTE</v>
      </c>
      <c r="J541" s="1">
        <f t="shared" si="3"/>
        <v>6</v>
      </c>
      <c r="K541" s="1" t="str">
        <f t="shared" si="4"/>
        <v>Entregamos tus lentes, que los disfrutes!</v>
      </c>
    </row>
    <row r="542">
      <c r="A542" s="1">
        <f>IFERROR(__xludf.DUMMYFUNCTION("""COMPUTED_VALUE"""),85092.0)</f>
        <v>85092</v>
      </c>
      <c r="B542" s="5">
        <f>IFERROR(__xludf.DUMMYFUNCTION("""COMPUTED_VALUE"""),44942.405461284725)</f>
        <v>44942.40546</v>
      </c>
      <c r="C542" s="1" t="str">
        <f>IFERROR(__xludf.DUMMYFUNCTION("""COMPUTED_VALUE"""),"MARIA OLGA")</f>
        <v>MARIA OLGA</v>
      </c>
      <c r="D542" s="1" t="str">
        <f>IFERROR(__xludf.DUMMYFUNCTION("""COMPUTED_VALUE"""),"Reparaciones/Otros")</f>
        <v>Reparaciones/Otros</v>
      </c>
      <c r="E542" s="1" t="str">
        <f>IFERROR(__xludf.DUMMYFUNCTION("""COMPUTED_VALUE"""),"ARTIGAS Celina")</f>
        <v>ARTIGAS Celina</v>
      </c>
      <c r="F542" s="1" t="str">
        <f t="shared" si="1"/>
        <v>ARTIGAS </v>
      </c>
      <c r="G542" s="1" t="str">
        <f t="shared" si="2"/>
        <v>Celina</v>
      </c>
      <c r="H542" s="1" t="str">
        <f>IFERROR(__xludf.DUMMYFUNCTION("""COMPUTED_VALUE"""),"17/1/2023, 17:00:00")</f>
        <v>17/1/2023, 17:00:00</v>
      </c>
      <c r="I542" s="1" t="str">
        <f>IFERROR(__xludf.DUMMYFUNCTION("""COMPUTED_VALUE"""),"Recibido en Laboratorio")</f>
        <v>Recibido en Laboratorio</v>
      </c>
      <c r="J542" s="1">
        <f t="shared" si="3"/>
        <v>2</v>
      </c>
      <c r="K542" s="1" t="str">
        <f t="shared" si="4"/>
        <v>Nuestro Laboratorio esta trabajando en tus lentes, los entregaremos en la fecha acordada.</v>
      </c>
    </row>
    <row r="543">
      <c r="A543" s="1">
        <f>IFERROR(__xludf.DUMMYFUNCTION("""COMPUTED_VALUE"""),85093.0)</f>
        <v>85093</v>
      </c>
      <c r="B543" s="5">
        <f>IFERROR(__xludf.DUMMYFUNCTION("""COMPUTED_VALUE"""),44942.405766041666)</f>
        <v>44942.40577</v>
      </c>
      <c r="C543" s="1" t="str">
        <f>IFERROR(__xludf.DUMMYFUNCTION("""COMPUTED_VALUE"""),"RODRIGUEZ RAUL")</f>
        <v>RODRIGUEZ RAUL</v>
      </c>
      <c r="D543" s="1" t="str">
        <f>IFERROR(__xludf.DUMMYFUNCTION("""COMPUTED_VALUE"""),"Lentes de STOCK")</f>
        <v>Lentes de STOCK</v>
      </c>
      <c r="E543" s="1" t="str">
        <f>IFERROR(__xludf.DUMMYFUNCTION("""COMPUTED_VALUE"""),"ARTIGAS Ivana P.")</f>
        <v>ARTIGAS Ivana P.</v>
      </c>
      <c r="F543" s="1" t="str">
        <f t="shared" si="1"/>
        <v>ARTIGAS </v>
      </c>
      <c r="G543" s="1" t="str">
        <f t="shared" si="2"/>
        <v>Ivana P.</v>
      </c>
      <c r="H543" s="1" t="str">
        <f>IFERROR(__xludf.DUMMYFUNCTION("""COMPUTED_VALUE"""),"18/1/2023, 17:00:00")</f>
        <v>18/1/2023, 17:00:00</v>
      </c>
      <c r="I543" s="1" t="str">
        <f>IFERROR(__xludf.DUMMYFUNCTION("""COMPUTED_VALUE"""),"RETIRADO OK POR CLIENTE")</f>
        <v>RETIRADO OK POR CLIENTE</v>
      </c>
      <c r="J543" s="1">
        <f t="shared" si="3"/>
        <v>6</v>
      </c>
      <c r="K543" s="1" t="str">
        <f t="shared" si="4"/>
        <v>Entregamos tus lentes, que los disfrutes!</v>
      </c>
    </row>
    <row r="544">
      <c r="A544" s="1">
        <f>IFERROR(__xludf.DUMMYFUNCTION("""COMPUTED_VALUE"""),85094.0)</f>
        <v>85094</v>
      </c>
      <c r="B544" s="5">
        <f>IFERROR(__xludf.DUMMYFUNCTION("""COMPUTED_VALUE"""),44942.40675708333)</f>
        <v>44942.40676</v>
      </c>
      <c r="C544" s="1" t="str">
        <f>IFERROR(__xludf.DUMMYFUNCTION("""COMPUTED_VALUE"""),"GARCIA MIGUEL ANGEL")</f>
        <v>GARCIA MIGUEL ANGEL</v>
      </c>
      <c r="D544" s="1" t="str">
        <f>IFERROR(__xludf.DUMMYFUNCTION("""COMPUTED_VALUE"""),"Lentes de STOCK")</f>
        <v>Lentes de STOCK</v>
      </c>
      <c r="E544" s="1" t="str">
        <f>IFERROR(__xludf.DUMMYFUNCTION("""COMPUTED_VALUE"""),"RIVADAVIA Marcela L")</f>
        <v>RIVADAVIA Marcela L</v>
      </c>
      <c r="F544" s="1" t="str">
        <f t="shared" si="1"/>
        <v>RIVADAVIA </v>
      </c>
      <c r="G544" s="1" t="str">
        <f t="shared" si="2"/>
        <v>Marcela L</v>
      </c>
      <c r="H544" s="1" t="str">
        <f>IFERROR(__xludf.DUMMYFUNCTION("""COMPUTED_VALUE"""),"20/1/2023, 17:00:00")</f>
        <v>20/1/2023, 17:00:00</v>
      </c>
      <c r="I544" s="1" t="str">
        <f>IFERROR(__xludf.DUMMYFUNCTION("""COMPUTED_VALUE"""),"RETIRADO OK POR CLIENTE")</f>
        <v>RETIRADO OK POR CLIENTE</v>
      </c>
      <c r="J544" s="1">
        <f t="shared" si="3"/>
        <v>6</v>
      </c>
      <c r="K544" s="1" t="str">
        <f t="shared" si="4"/>
        <v>Entregamos tus lentes, que los disfrutes!</v>
      </c>
    </row>
    <row r="545">
      <c r="A545" s="1">
        <f>IFERROR(__xludf.DUMMYFUNCTION("""COMPUTED_VALUE"""),85095.0)</f>
        <v>85095</v>
      </c>
      <c r="B545" s="5">
        <f>IFERROR(__xludf.DUMMYFUNCTION("""COMPUTED_VALUE"""),44942.40922152778)</f>
        <v>44942.40922</v>
      </c>
      <c r="C545" s="1" t="str">
        <f>IFERROR(__xludf.DUMMYFUNCTION("""COMPUTED_VALUE"""),"GARCIA MARTIN")</f>
        <v>GARCIA MARTIN</v>
      </c>
      <c r="D545" s="1" t="str">
        <f>IFERROR(__xludf.DUMMYFUNCTION("""COMPUTED_VALUE"""),"Lentes de STOCK")</f>
        <v>Lentes de STOCK</v>
      </c>
      <c r="E545" s="1" t="str">
        <f>IFERROR(__xludf.DUMMYFUNCTION("""COMPUTED_VALUE"""),"ARTIGAS Celina")</f>
        <v>ARTIGAS Celina</v>
      </c>
      <c r="F545" s="1" t="str">
        <f t="shared" si="1"/>
        <v>ARTIGAS </v>
      </c>
      <c r="G545" s="1" t="str">
        <f t="shared" si="2"/>
        <v>Celina</v>
      </c>
      <c r="H545" s="1" t="str">
        <f>IFERROR(__xludf.DUMMYFUNCTION("""COMPUTED_VALUE"""),"23/1/2023, 17:00:00")</f>
        <v>23/1/2023, 17:00:00</v>
      </c>
      <c r="I545" s="1" t="str">
        <f>IFERROR(__xludf.DUMMYFUNCTION("""COMPUTED_VALUE"""),"RETIRADO OK POR CLIENTE")</f>
        <v>RETIRADO OK POR CLIENTE</v>
      </c>
      <c r="J545" s="1">
        <f t="shared" si="3"/>
        <v>6</v>
      </c>
      <c r="K545" s="1" t="str">
        <f t="shared" si="4"/>
        <v>Entregamos tus lentes, que los disfrutes!</v>
      </c>
    </row>
    <row r="546">
      <c r="A546" s="1">
        <f>IFERROR(__xludf.DUMMYFUNCTION("""COMPUTED_VALUE"""),85096.0)</f>
        <v>85096</v>
      </c>
      <c r="B546" s="5">
        <f>IFERROR(__xludf.DUMMYFUNCTION("""COMPUTED_VALUE"""),44942.41008883102)</f>
        <v>44942.41009</v>
      </c>
      <c r="C546" s="1" t="str">
        <f>IFERROR(__xludf.DUMMYFUNCTION("""COMPUTED_VALUE"""),"Ocaña Lara")</f>
        <v>Ocaña Lara</v>
      </c>
      <c r="D546" s="1" t="str">
        <f>IFERROR(__xludf.DUMMYFUNCTION("""COMPUTED_VALUE"""),"Reparaciones/Otros")</f>
        <v>Reparaciones/Otros</v>
      </c>
      <c r="E546" s="1" t="str">
        <f>IFERROR(__xludf.DUMMYFUNCTION("""COMPUTED_VALUE"""),"RIVADAVIA Rocio B")</f>
        <v>RIVADAVIA Rocio B</v>
      </c>
      <c r="F546" s="1" t="str">
        <f t="shared" si="1"/>
        <v>RIVADAVIA </v>
      </c>
      <c r="G546" s="1" t="str">
        <f t="shared" si="2"/>
        <v>Rocio B</v>
      </c>
      <c r="H546" s="1" t="str">
        <f>IFERROR(__xludf.DUMMYFUNCTION("""COMPUTED_VALUE"""),"17/1/2023, 17:00:00")</f>
        <v>17/1/2023, 17:00:00</v>
      </c>
      <c r="I546" s="1" t="str">
        <f>IFERROR(__xludf.DUMMYFUNCTION("""COMPUTED_VALUE"""),"Recibido en Laboratorio")</f>
        <v>Recibido en Laboratorio</v>
      </c>
      <c r="J546" s="1">
        <f t="shared" si="3"/>
        <v>2</v>
      </c>
      <c r="K546" s="1" t="str">
        <f t="shared" si="4"/>
        <v>Nuestro Laboratorio esta trabajando en tus lentes, los entregaremos en la fecha acordada.</v>
      </c>
    </row>
    <row r="547">
      <c r="A547" s="1">
        <f>IFERROR(__xludf.DUMMYFUNCTION("""COMPUTED_VALUE"""),85097.0)</f>
        <v>85097</v>
      </c>
      <c r="B547" s="5">
        <f>IFERROR(__xludf.DUMMYFUNCTION("""COMPUTED_VALUE"""),44942.41560709491)</f>
        <v>44942.41561</v>
      </c>
      <c r="C547" s="1" t="str">
        <f>IFERROR(__xludf.DUMMYFUNCTION("""COMPUTED_VALUE"""),"SPAT MARIA GABRIELA")</f>
        <v>SPAT MARIA GABRIELA</v>
      </c>
      <c r="D547" s="1" t="str">
        <f>IFERROR(__xludf.DUMMYFUNCTION("""COMPUTED_VALUE"""),"Lentes de STOCK")</f>
        <v>Lentes de STOCK</v>
      </c>
      <c r="E547" s="1" t="str">
        <f>IFERROR(__xludf.DUMMYFUNCTION("""COMPUTED_VALUE"""),"ARTIGAS Cristian C.")</f>
        <v>ARTIGAS Cristian C.</v>
      </c>
      <c r="F547" s="1" t="str">
        <f t="shared" si="1"/>
        <v>ARTIGAS </v>
      </c>
      <c r="G547" s="1" t="str">
        <f t="shared" si="2"/>
        <v>Cristian C.</v>
      </c>
      <c r="H547" s="1" t="str">
        <f>IFERROR(__xludf.DUMMYFUNCTION("""COMPUTED_VALUE"""),"21/1/2023, 17:00:00")</f>
        <v>21/1/2023, 17:00:00</v>
      </c>
      <c r="I547" s="1" t="str">
        <f>IFERROR(__xludf.DUMMYFUNCTION("""COMPUTED_VALUE"""),"En Armado Hoy")</f>
        <v>En Armado Hoy</v>
      </c>
      <c r="J547" s="1">
        <f t="shared" si="3"/>
        <v>3</v>
      </c>
      <c r="K547" s="1" t="str">
        <f t="shared" si="4"/>
        <v>Estamos terminando los ultimos detalles de tus lentes, los terminaremos el dia de hoy.</v>
      </c>
    </row>
    <row r="548">
      <c r="A548" s="1">
        <f>IFERROR(__xludf.DUMMYFUNCTION("""COMPUTED_VALUE"""),85098.0)</f>
        <v>85098</v>
      </c>
      <c r="B548" s="5">
        <f>IFERROR(__xludf.DUMMYFUNCTION("""COMPUTED_VALUE"""),44942.41638148148)</f>
        <v>44942.41638</v>
      </c>
      <c r="C548" s="1" t="str">
        <f>IFERROR(__xludf.DUMMYFUNCTION("""COMPUTED_VALUE"""),"ROBERTO CARMON")</f>
        <v>ROBERTO CARMON</v>
      </c>
      <c r="D548" s="1" t="str">
        <f>IFERROR(__xludf.DUMMYFUNCTION("""COMPUTED_VALUE"""),"Reparaciones/Otros")</f>
        <v>Reparaciones/Otros</v>
      </c>
      <c r="E548" s="1" t="str">
        <f>IFERROR(__xludf.DUMMYFUNCTION("""COMPUTED_VALUE"""),"ARTIGAS Celina")</f>
        <v>ARTIGAS Celina</v>
      </c>
      <c r="F548" s="1" t="str">
        <f t="shared" si="1"/>
        <v>ARTIGAS </v>
      </c>
      <c r="G548" s="1" t="str">
        <f t="shared" si="2"/>
        <v>Celina</v>
      </c>
      <c r="H548" s="1" t="str">
        <f>IFERROR(__xludf.DUMMYFUNCTION("""COMPUTED_VALUE"""),"17/1/2023, 17:00:00")</f>
        <v>17/1/2023, 17:00:00</v>
      </c>
      <c r="I548" s="1" t="str">
        <f>IFERROR(__xludf.DUMMYFUNCTION("""COMPUTED_VALUE"""),"Recibido en Laboratorio")</f>
        <v>Recibido en Laboratorio</v>
      </c>
      <c r="J548" s="1">
        <f t="shared" si="3"/>
        <v>2</v>
      </c>
      <c r="K548" s="1" t="str">
        <f t="shared" si="4"/>
        <v>Nuestro Laboratorio esta trabajando en tus lentes, los entregaremos en la fecha acordada.</v>
      </c>
    </row>
    <row r="549">
      <c r="A549" s="1">
        <f>IFERROR(__xludf.DUMMYFUNCTION("""COMPUTED_VALUE"""),85099.0)</f>
        <v>85099</v>
      </c>
      <c r="B549" s="5">
        <f>IFERROR(__xludf.DUMMYFUNCTION("""COMPUTED_VALUE"""),44942.4180122338)</f>
        <v>44942.41801</v>
      </c>
      <c r="C549" s="1" t="str">
        <f>IFERROR(__xludf.DUMMYFUNCTION("""COMPUTED_VALUE"""),"GONZALEZ QUINTANA MARIA FRANCESCA")</f>
        <v>GONZALEZ QUINTANA MARIA FRANCESCA</v>
      </c>
      <c r="D549" s="1" t="str">
        <f>IFERROR(__xludf.DUMMYFUNCTION("""COMPUTED_VALUE"""),"Reparaciones/Otros")</f>
        <v>Reparaciones/Otros</v>
      </c>
      <c r="E549" s="1" t="str">
        <f>IFERROR(__xludf.DUMMYFUNCTION("""COMPUTED_VALUE"""),"ARTIGAS Cristian C.")</f>
        <v>ARTIGAS Cristian C.</v>
      </c>
      <c r="F549" s="1" t="str">
        <f t="shared" si="1"/>
        <v>ARTIGAS </v>
      </c>
      <c r="G549" s="1" t="str">
        <f t="shared" si="2"/>
        <v>Cristian C.</v>
      </c>
      <c r="H549" s="1" t="str">
        <f>IFERROR(__xludf.DUMMYFUNCTION("""COMPUTED_VALUE"""),"17/1/2023, 17:00:00")</f>
        <v>17/1/2023, 17:00:00</v>
      </c>
      <c r="I549" s="1" t="str">
        <f>IFERROR(__xludf.DUMMYFUNCTION("""COMPUTED_VALUE"""),"Completado en SUCURSAL")</f>
        <v>Completado en SUCURSAL</v>
      </c>
      <c r="J549" s="1">
        <f t="shared" si="3"/>
        <v>5</v>
      </c>
      <c r="K549" s="1" t="str">
        <f t="shared" si="4"/>
        <v>Tus Lentes estan LISTAS PARA ENTREGAR, te esperamos.</v>
      </c>
    </row>
    <row r="550">
      <c r="A550" s="1">
        <f>IFERROR(__xludf.DUMMYFUNCTION("""COMPUTED_VALUE"""),85100.0)</f>
        <v>85100</v>
      </c>
      <c r="B550" s="5">
        <f>IFERROR(__xludf.DUMMYFUNCTION("""COMPUTED_VALUE"""),44942.419630000004)</f>
        <v>44942.41963</v>
      </c>
      <c r="C550" s="1" t="str">
        <f>IFERROR(__xludf.DUMMYFUNCTION("""COMPUTED_VALUE"""),"ivan silvestre ")</f>
        <v>ivan silvestre </v>
      </c>
      <c r="D550" s="1" t="str">
        <f>IFERROR(__xludf.DUMMYFUNCTION("""COMPUTED_VALUE"""),"Reparaciones/Otros")</f>
        <v>Reparaciones/Otros</v>
      </c>
      <c r="E550" s="1" t="str">
        <f>IFERROR(__xludf.DUMMYFUNCTION("""COMPUTED_VALUE"""),"ARTIGAS Celina")</f>
        <v>ARTIGAS Celina</v>
      </c>
      <c r="F550" s="1" t="str">
        <f t="shared" si="1"/>
        <v>ARTIGAS </v>
      </c>
      <c r="G550" s="1" t="str">
        <f t="shared" si="2"/>
        <v>Celina</v>
      </c>
      <c r="H550" s="1" t="str">
        <f>IFERROR(__xludf.DUMMYFUNCTION("""COMPUTED_VALUE"""),"17/1/2023, 17:00:00")</f>
        <v>17/1/2023, 17:00:00</v>
      </c>
      <c r="I550" s="1" t="str">
        <f>IFERROR(__xludf.DUMMYFUNCTION("""COMPUTED_VALUE"""),"Completado en SUCURSAL")</f>
        <v>Completado en SUCURSAL</v>
      </c>
      <c r="J550" s="1">
        <f t="shared" si="3"/>
        <v>5</v>
      </c>
      <c r="K550" s="1" t="str">
        <f t="shared" si="4"/>
        <v>Tus Lentes estan LISTAS PARA ENTREGAR, te esperamos.</v>
      </c>
    </row>
    <row r="551">
      <c r="A551" s="1">
        <f>IFERROR(__xludf.DUMMYFUNCTION("""COMPUTED_VALUE"""),85101.0)</f>
        <v>85101</v>
      </c>
      <c r="B551" s="5">
        <f>IFERROR(__xludf.DUMMYFUNCTION("""COMPUTED_VALUE"""),44942.4273768287)</f>
        <v>44942.42738</v>
      </c>
      <c r="C551" s="1" t="str">
        <f>IFERROR(__xludf.DUMMYFUNCTION("""COMPUTED_VALUE"""),"ARRIETA GRACIELA")</f>
        <v>ARRIETA GRACIELA</v>
      </c>
      <c r="D551" s="1" t="str">
        <f>IFERROR(__xludf.DUMMYFUNCTION("""COMPUTED_VALUE"""),"Lentes de STOCK")</f>
        <v>Lentes de STOCK</v>
      </c>
      <c r="E551" s="1" t="str">
        <f>IFERROR(__xludf.DUMMYFUNCTION("""COMPUTED_VALUE"""),"ARTIGAS Ivana P.")</f>
        <v>ARTIGAS Ivana P.</v>
      </c>
      <c r="F551" s="1" t="str">
        <f t="shared" si="1"/>
        <v>ARTIGAS </v>
      </c>
      <c r="G551" s="1" t="str">
        <f t="shared" si="2"/>
        <v>Ivana P.</v>
      </c>
      <c r="H551" s="1" t="str">
        <f>IFERROR(__xludf.DUMMYFUNCTION("""COMPUTED_VALUE"""),"18/1/2023, 17:00:00")</f>
        <v>18/1/2023, 17:00:00</v>
      </c>
      <c r="I551" s="1" t="str">
        <f>IFERROR(__xludf.DUMMYFUNCTION("""COMPUTED_VALUE"""),"Completado en SUCURSAL")</f>
        <v>Completado en SUCURSAL</v>
      </c>
      <c r="J551" s="1">
        <f t="shared" si="3"/>
        <v>5</v>
      </c>
      <c r="K551" s="1" t="str">
        <f t="shared" si="4"/>
        <v>Tus Lentes estan LISTAS PARA ENTREGAR, te esperamos.</v>
      </c>
    </row>
    <row r="552">
      <c r="A552" s="1">
        <f>IFERROR(__xludf.DUMMYFUNCTION("""COMPUTED_VALUE"""),85102.0)</f>
        <v>85102</v>
      </c>
      <c r="B552" s="5">
        <f>IFERROR(__xludf.DUMMYFUNCTION("""COMPUTED_VALUE"""),44942.42834244213)</f>
        <v>44942.42834</v>
      </c>
      <c r="C552" s="1" t="str">
        <f>IFERROR(__xludf.DUMMYFUNCTION("""COMPUTED_VALUE"""),"CICCOLELLA JESSICA")</f>
        <v>CICCOLELLA JESSICA</v>
      </c>
      <c r="D552" s="1" t="str">
        <f>IFERROR(__xludf.DUMMYFUNCTION("""COMPUTED_VALUE"""),"Lentes de STOCK")</f>
        <v>Lentes de STOCK</v>
      </c>
      <c r="E552" s="1" t="str">
        <f>IFERROR(__xludf.DUMMYFUNCTION("""COMPUTED_VALUE"""),"RIVADAVIA Daniel CM")</f>
        <v>RIVADAVIA Daniel CM</v>
      </c>
      <c r="F552" s="1" t="str">
        <f t="shared" si="1"/>
        <v>RIVADAVIA </v>
      </c>
      <c r="G552" s="1" t="str">
        <f t="shared" si="2"/>
        <v>Daniel CM</v>
      </c>
      <c r="H552" s="1" t="str">
        <f>IFERROR(__xludf.DUMMYFUNCTION("""COMPUTED_VALUE"""),"18/1/2023, 17:00:00")</f>
        <v>18/1/2023, 17:00:00</v>
      </c>
      <c r="I552" s="1" t="str">
        <f>IFERROR(__xludf.DUMMYFUNCTION("""COMPUTED_VALUE"""),"RETIRADO OK POR CLIENTE")</f>
        <v>RETIRADO OK POR CLIENTE</v>
      </c>
      <c r="J552" s="1">
        <f t="shared" si="3"/>
        <v>6</v>
      </c>
      <c r="K552" s="1" t="str">
        <f t="shared" si="4"/>
        <v>Entregamos tus lentes, que los disfrutes!</v>
      </c>
    </row>
    <row r="553">
      <c r="A553" s="1">
        <f>IFERROR(__xludf.DUMMYFUNCTION("""COMPUTED_VALUE"""),85103.0)</f>
        <v>85103</v>
      </c>
      <c r="B553" s="5">
        <f>IFERROR(__xludf.DUMMYFUNCTION("""COMPUTED_VALUE"""),44942.44285497685)</f>
        <v>44942.44285</v>
      </c>
      <c r="C553" s="1" t="str">
        <f>IFERROR(__xludf.DUMMYFUNCTION("""COMPUTED_VALUE"""),"VALDEZ ALEJANDRA")</f>
        <v>VALDEZ ALEJANDRA</v>
      </c>
      <c r="D553" s="1" t="str">
        <f>IFERROR(__xludf.DUMMYFUNCTION("""COMPUTED_VALUE"""),"Reparaciones/Otros")</f>
        <v>Reparaciones/Otros</v>
      </c>
      <c r="E553" s="1" t="str">
        <f>IFERROR(__xludf.DUMMYFUNCTION("""COMPUTED_VALUE"""),"RIVADAVIA Luciana")</f>
        <v>RIVADAVIA Luciana</v>
      </c>
      <c r="F553" s="1" t="str">
        <f t="shared" si="1"/>
        <v>RIVADAVIA </v>
      </c>
      <c r="G553" s="1" t="str">
        <f t="shared" si="2"/>
        <v>Luciana</v>
      </c>
      <c r="H553" s="1" t="str">
        <f>IFERROR(__xludf.DUMMYFUNCTION("""COMPUTED_VALUE"""),"17/1/2023, 17:00:00")</f>
        <v>17/1/2023, 17:00:00</v>
      </c>
      <c r="I553" s="1" t="str">
        <f>IFERROR(__xludf.DUMMYFUNCTION("""COMPUTED_VALUE"""),"Completado en SUCURSAL")</f>
        <v>Completado en SUCURSAL</v>
      </c>
      <c r="J553" s="1">
        <f t="shared" si="3"/>
        <v>5</v>
      </c>
      <c r="K553" s="1" t="str">
        <f t="shared" si="4"/>
        <v>Tus Lentes estan LISTAS PARA ENTREGAR, te esperamos.</v>
      </c>
    </row>
    <row r="554">
      <c r="A554" s="1">
        <f>IFERROR(__xludf.DUMMYFUNCTION("""COMPUTED_VALUE"""),85104.0)</f>
        <v>85104</v>
      </c>
      <c r="B554" s="5">
        <f>IFERROR(__xludf.DUMMYFUNCTION("""COMPUTED_VALUE"""),44942.445217870365)</f>
        <v>44942.44522</v>
      </c>
      <c r="C554" s="1" t="str">
        <f>IFERROR(__xludf.DUMMYFUNCTION("""COMPUTED_VALUE"""),"RIOS MARIA")</f>
        <v>RIOS MARIA</v>
      </c>
      <c r="D554" s="1" t="str">
        <f>IFERROR(__xludf.DUMMYFUNCTION("""COMPUTED_VALUE"""),"Lentes de STOCK")</f>
        <v>Lentes de STOCK</v>
      </c>
      <c r="E554" s="1" t="str">
        <f>IFERROR(__xludf.DUMMYFUNCTION("""COMPUTED_VALUE"""),"ARTIGAS Ivana P.")</f>
        <v>ARTIGAS Ivana P.</v>
      </c>
      <c r="F554" s="1" t="str">
        <f t="shared" si="1"/>
        <v>ARTIGAS </v>
      </c>
      <c r="G554" s="1" t="str">
        <f t="shared" si="2"/>
        <v>Ivana P.</v>
      </c>
      <c r="H554" s="1" t="str">
        <f>IFERROR(__xludf.DUMMYFUNCTION("""COMPUTED_VALUE"""),"19/1/2023, 17:00:00")</f>
        <v>19/1/2023, 17:00:00</v>
      </c>
      <c r="I554" s="1" t="str">
        <f>IFERROR(__xludf.DUMMYFUNCTION("""COMPUTED_VALUE"""),"RETIRADO OK POR CLIENTE")</f>
        <v>RETIRADO OK POR CLIENTE</v>
      </c>
      <c r="J554" s="1">
        <f t="shared" si="3"/>
        <v>6</v>
      </c>
      <c r="K554" s="1" t="str">
        <f t="shared" si="4"/>
        <v>Entregamos tus lentes, que los disfrutes!</v>
      </c>
    </row>
    <row r="555">
      <c r="A555" s="1">
        <f>IFERROR(__xludf.DUMMYFUNCTION("""COMPUTED_VALUE"""),85105.0)</f>
        <v>85105</v>
      </c>
      <c r="B555" s="5">
        <f>IFERROR(__xludf.DUMMYFUNCTION("""COMPUTED_VALUE"""),44942.44673831019)</f>
        <v>44942.44674</v>
      </c>
      <c r="C555" s="1" t="str">
        <f>IFERROR(__xludf.DUMMYFUNCTION("""COMPUTED_VALUE"""),"OCAÑA HIPOLITA")</f>
        <v>OCAÑA HIPOLITA</v>
      </c>
      <c r="D555" s="1" t="str">
        <f>IFERROR(__xludf.DUMMYFUNCTION("""COMPUTED_VALUE"""),"Lentes de STOCK")</f>
        <v>Lentes de STOCK</v>
      </c>
      <c r="E555" s="1" t="str">
        <f>IFERROR(__xludf.DUMMYFUNCTION("""COMPUTED_VALUE"""),"ARTIGAS Cristian C.")</f>
        <v>ARTIGAS Cristian C.</v>
      </c>
      <c r="F555" s="1" t="str">
        <f t="shared" si="1"/>
        <v>ARTIGAS </v>
      </c>
      <c r="G555" s="1" t="str">
        <f t="shared" si="2"/>
        <v>Cristian C.</v>
      </c>
      <c r="H555" s="1" t="str">
        <f>IFERROR(__xludf.DUMMYFUNCTION("""COMPUTED_VALUE"""),"23/1/2023, 17:00:00")</f>
        <v>23/1/2023, 17:00:00</v>
      </c>
      <c r="I555" s="1" t="str">
        <f>IFERROR(__xludf.DUMMYFUNCTION("""COMPUTED_VALUE"""),"En Armado Hoy")</f>
        <v>En Armado Hoy</v>
      </c>
      <c r="J555" s="1">
        <f t="shared" si="3"/>
        <v>3</v>
      </c>
      <c r="K555" s="1" t="str">
        <f t="shared" si="4"/>
        <v>Estamos terminando los ultimos detalles de tus lentes, los terminaremos el dia de hoy.</v>
      </c>
    </row>
    <row r="556">
      <c r="A556" s="1">
        <f>IFERROR(__xludf.DUMMYFUNCTION("""COMPUTED_VALUE"""),85106.0)</f>
        <v>85106</v>
      </c>
      <c r="B556" s="5">
        <f>IFERROR(__xludf.DUMMYFUNCTION("""COMPUTED_VALUE"""),44942.448888796294)</f>
        <v>44942.44889</v>
      </c>
      <c r="C556" s="1" t="str">
        <f>IFERROR(__xludf.DUMMYFUNCTION("""COMPUTED_VALUE"""),"MOYANO MARCOS ")</f>
        <v>MOYANO MARCOS </v>
      </c>
      <c r="D556" s="1" t="str">
        <f>IFERROR(__xludf.DUMMYFUNCTION("""COMPUTED_VALUE"""),"Reparaciones/Otros")</f>
        <v>Reparaciones/Otros</v>
      </c>
      <c r="E556" s="1" t="str">
        <f>IFERROR(__xludf.DUMMYFUNCTION("""COMPUTED_VALUE"""),"ARTIGAS Cristian C.")</f>
        <v>ARTIGAS Cristian C.</v>
      </c>
      <c r="F556" s="1" t="str">
        <f t="shared" si="1"/>
        <v>ARTIGAS </v>
      </c>
      <c r="G556" s="1" t="str">
        <f t="shared" si="2"/>
        <v>Cristian C.</v>
      </c>
      <c r="H556" s="1" t="str">
        <f>IFERROR(__xludf.DUMMYFUNCTION("""COMPUTED_VALUE"""),"17/1/2023, 17:00:00")</f>
        <v>17/1/2023, 17:00:00</v>
      </c>
      <c r="I556" s="1" t="str">
        <f>IFERROR(__xludf.DUMMYFUNCTION("""COMPUTED_VALUE"""),"Completado en SUCURSAL")</f>
        <v>Completado en SUCURSAL</v>
      </c>
      <c r="J556" s="1">
        <f t="shared" si="3"/>
        <v>5</v>
      </c>
      <c r="K556" s="1" t="str">
        <f t="shared" si="4"/>
        <v>Tus Lentes estan LISTAS PARA ENTREGAR, te esperamos.</v>
      </c>
    </row>
    <row r="557">
      <c r="A557" s="1">
        <f>IFERROR(__xludf.DUMMYFUNCTION("""COMPUTED_VALUE"""),85107.0)</f>
        <v>85107</v>
      </c>
      <c r="B557" s="5">
        <f>IFERROR(__xludf.DUMMYFUNCTION("""COMPUTED_VALUE"""),44942.454373217595)</f>
        <v>44942.45437</v>
      </c>
      <c r="C557" s="1" t="str">
        <f>IFERROR(__xludf.DUMMYFUNCTION("""COMPUTED_VALUE"""),"Carrizo Florencia")</f>
        <v>Carrizo Florencia</v>
      </c>
      <c r="D557" s="1" t="str">
        <f>IFERROR(__xludf.DUMMYFUNCTION("""COMPUTED_VALUE"""),"Lentes de STOCK")</f>
        <v>Lentes de STOCK</v>
      </c>
      <c r="E557" s="1" t="str">
        <f>IFERROR(__xludf.DUMMYFUNCTION("""COMPUTED_VALUE"""),"RIVADAVIA Rocio B")</f>
        <v>RIVADAVIA Rocio B</v>
      </c>
      <c r="F557" s="1" t="str">
        <f t="shared" si="1"/>
        <v>RIVADAVIA </v>
      </c>
      <c r="G557" s="1" t="str">
        <f t="shared" si="2"/>
        <v>Rocio B</v>
      </c>
      <c r="H557" s="1" t="str">
        <f>IFERROR(__xludf.DUMMYFUNCTION("""COMPUTED_VALUE"""),"20/1/2023, 17:00:00")</f>
        <v>20/1/2023, 17:00:00</v>
      </c>
      <c r="I557" s="1" t="str">
        <f>IFERROR(__xludf.DUMMYFUNCTION("""COMPUTED_VALUE"""),"RETIRADO OK POR CLIENTE")</f>
        <v>RETIRADO OK POR CLIENTE</v>
      </c>
      <c r="J557" s="1">
        <f t="shared" si="3"/>
        <v>6</v>
      </c>
      <c r="K557" s="1" t="str">
        <f t="shared" si="4"/>
        <v>Entregamos tus lentes, que los disfrutes!</v>
      </c>
    </row>
    <row r="558">
      <c r="A558" s="1">
        <f>IFERROR(__xludf.DUMMYFUNCTION("""COMPUTED_VALUE"""),85108.0)</f>
        <v>85108</v>
      </c>
      <c r="B558" s="5">
        <f>IFERROR(__xludf.DUMMYFUNCTION("""COMPUTED_VALUE"""),44942.457345613424)</f>
        <v>44942.45735</v>
      </c>
      <c r="C558" s="1" t="str">
        <f>IFERROR(__xludf.DUMMYFUNCTION("""COMPUTED_VALUE"""),"LIMA LOREN A")</f>
        <v>LIMA LOREN A</v>
      </c>
      <c r="D558" s="1" t="str">
        <f>IFERROR(__xludf.DUMMYFUNCTION("""COMPUTED_VALUE"""),"Lentes de STOCK")</f>
        <v>Lentes de STOCK</v>
      </c>
      <c r="E558" s="1" t="str">
        <f>IFERROR(__xludf.DUMMYFUNCTION("""COMPUTED_VALUE"""),"ARTIGAS Cristian C.")</f>
        <v>ARTIGAS Cristian C.</v>
      </c>
      <c r="F558" s="1" t="str">
        <f t="shared" si="1"/>
        <v>ARTIGAS </v>
      </c>
      <c r="G558" s="1" t="str">
        <f t="shared" si="2"/>
        <v>Cristian C.</v>
      </c>
      <c r="H558" s="1" t="str">
        <f>IFERROR(__xludf.DUMMYFUNCTION("""COMPUTED_VALUE"""),"19/1/2023, 17:00:00")</f>
        <v>19/1/2023, 17:00:00</v>
      </c>
      <c r="I558" s="1" t="str">
        <f>IFERROR(__xludf.DUMMYFUNCTION("""COMPUTED_VALUE"""),"RETIRADO OK POR CLIENTE")</f>
        <v>RETIRADO OK POR CLIENTE</v>
      </c>
      <c r="J558" s="1">
        <f t="shared" si="3"/>
        <v>6</v>
      </c>
      <c r="K558" s="1" t="str">
        <f t="shared" si="4"/>
        <v>Entregamos tus lentes, que los disfrutes!</v>
      </c>
    </row>
    <row r="559">
      <c r="A559" s="1">
        <f>IFERROR(__xludf.DUMMYFUNCTION("""COMPUTED_VALUE"""),85109.0)</f>
        <v>85109</v>
      </c>
      <c r="B559" s="5">
        <f>IFERROR(__xludf.DUMMYFUNCTION("""COMPUTED_VALUE"""),44942.46767945602)</f>
        <v>44942.46768</v>
      </c>
      <c r="C559" s="1" t="str">
        <f>IFERROR(__xludf.DUMMYFUNCTION("""COMPUTED_VALUE"""),"Z¨/:8:")</f>
        <v>Z¨/:8:</v>
      </c>
      <c r="D559" s="1" t="str">
        <f>IFERROR(__xludf.DUMMYFUNCTION("""COMPUTED_VALUE"""),"Lentes de STOCK")</f>
        <v>Lentes de STOCK</v>
      </c>
      <c r="E559" s="1" t="str">
        <f>IFERROR(__xludf.DUMMYFUNCTION("""COMPUTED_VALUE"""),"RIVADAVIA Rocio B")</f>
        <v>RIVADAVIA Rocio B</v>
      </c>
      <c r="F559" s="1" t="str">
        <f t="shared" si="1"/>
        <v>RIVADAVIA </v>
      </c>
      <c r="G559" s="1" t="str">
        <f t="shared" si="2"/>
        <v>Rocio B</v>
      </c>
      <c r="H559" s="1" t="str">
        <f>IFERROR(__xludf.DUMMYFUNCTION("""COMPUTED_VALUE"""),"20/1/2023, 17:00:00")</f>
        <v>20/1/2023, 17:00:00</v>
      </c>
      <c r="I559" s="1" t="str">
        <f>IFERROR(__xludf.DUMMYFUNCTION("""COMPUTED_VALUE"""),"RETIRADO OK POR CLIENTE")</f>
        <v>RETIRADO OK POR CLIENTE</v>
      </c>
      <c r="J559" s="1">
        <f t="shared" si="3"/>
        <v>6</v>
      </c>
      <c r="K559" s="1" t="str">
        <f t="shared" si="4"/>
        <v>Entregamos tus lentes, que los disfrutes!</v>
      </c>
    </row>
    <row r="560">
      <c r="A560" s="1">
        <f>IFERROR(__xludf.DUMMYFUNCTION("""COMPUTED_VALUE"""),85110.0)</f>
        <v>85110</v>
      </c>
      <c r="B560" s="5">
        <f>IFERROR(__xludf.DUMMYFUNCTION("""COMPUTED_VALUE"""),44942.472800497686)</f>
        <v>44942.4728</v>
      </c>
      <c r="C560" s="1" t="str">
        <f>IFERROR(__xludf.DUMMYFUNCTION("""COMPUTED_VALUE"""),"CECILIA TORRANZO")</f>
        <v>CECILIA TORRANZO</v>
      </c>
      <c r="D560" s="1" t="str">
        <f>IFERROR(__xludf.DUMMYFUNCTION("""COMPUTED_VALUE"""),"Reparaciones/Otros")</f>
        <v>Reparaciones/Otros</v>
      </c>
      <c r="E560" s="1" t="str">
        <f>IFERROR(__xludf.DUMMYFUNCTION("""COMPUTED_VALUE"""),"ARTIGAS Celina")</f>
        <v>ARTIGAS Celina</v>
      </c>
      <c r="F560" s="1" t="str">
        <f t="shared" si="1"/>
        <v>ARTIGAS </v>
      </c>
      <c r="G560" s="1" t="str">
        <f t="shared" si="2"/>
        <v>Celina</v>
      </c>
      <c r="H560" s="1" t="str">
        <f>IFERROR(__xludf.DUMMYFUNCTION("""COMPUTED_VALUE"""),"17/1/2023, 17:00:00")</f>
        <v>17/1/2023, 17:00:00</v>
      </c>
      <c r="I560" s="1" t="str">
        <f>IFERROR(__xludf.DUMMYFUNCTION("""COMPUTED_VALUE"""),"Enviado a Sucursal")</f>
        <v>Enviado a Sucursal</v>
      </c>
      <c r="J560" s="1">
        <f t="shared" si="3"/>
        <v>4</v>
      </c>
      <c r="K560" s="1" t="str">
        <f t="shared" si="4"/>
        <v>Tus lentes estan viajando a la sucursal para su entrega.</v>
      </c>
    </row>
    <row r="561">
      <c r="A561" s="1">
        <f>IFERROR(__xludf.DUMMYFUNCTION("""COMPUTED_VALUE"""),85111.0)</f>
        <v>85111</v>
      </c>
      <c r="B561" s="5">
        <f>IFERROR(__xludf.DUMMYFUNCTION("""COMPUTED_VALUE"""),44942.47781590278)</f>
        <v>44942.47782</v>
      </c>
      <c r="C561" s="1" t="str">
        <f>IFERROR(__xludf.DUMMYFUNCTION("""COMPUTED_VALUE"""),"OROZCO CRISTINA ANTONIETA")</f>
        <v>OROZCO CRISTINA ANTONIETA</v>
      </c>
      <c r="D561" s="1" t="str">
        <f>IFERROR(__xludf.DUMMYFUNCTION("""COMPUTED_VALUE"""),"Lentes de STOCK")</f>
        <v>Lentes de STOCK</v>
      </c>
      <c r="E561" s="1" t="str">
        <f>IFERROR(__xludf.DUMMYFUNCTION("""COMPUTED_VALUE"""),"ARTIGAS Cristian C.")</f>
        <v>ARTIGAS Cristian C.</v>
      </c>
      <c r="F561" s="1" t="str">
        <f t="shared" si="1"/>
        <v>ARTIGAS </v>
      </c>
      <c r="G561" s="1" t="str">
        <f t="shared" si="2"/>
        <v>Cristian C.</v>
      </c>
      <c r="H561" s="1" t="str">
        <f>IFERROR(__xludf.DUMMYFUNCTION("""COMPUTED_VALUE"""),"24/1/2023, 17:00:00")</f>
        <v>24/1/2023, 17:00:00</v>
      </c>
      <c r="I561" s="1" t="str">
        <f>IFERROR(__xludf.DUMMYFUNCTION("""COMPUTED_VALUE"""),"RETIRADO OK POR CLIENTE")</f>
        <v>RETIRADO OK POR CLIENTE</v>
      </c>
      <c r="J561" s="1">
        <f t="shared" si="3"/>
        <v>6</v>
      </c>
      <c r="K561" s="1" t="str">
        <f t="shared" si="4"/>
        <v>Entregamos tus lentes, que los disfrutes!</v>
      </c>
    </row>
    <row r="562">
      <c r="A562" s="1">
        <f>IFERROR(__xludf.DUMMYFUNCTION("""COMPUTED_VALUE"""),85112.0)</f>
        <v>85112</v>
      </c>
      <c r="B562" s="5">
        <f>IFERROR(__xludf.DUMMYFUNCTION("""COMPUTED_VALUE"""),44942.47912855324)</f>
        <v>44942.47913</v>
      </c>
      <c r="C562" s="1" t="str">
        <f>IFERROR(__xludf.DUMMYFUNCTION("""COMPUTED_VALUE"""),"cravero adriana")</f>
        <v>cravero adriana</v>
      </c>
      <c r="D562" s="1" t="str">
        <f>IFERROR(__xludf.DUMMYFUNCTION("""COMPUTED_VALUE"""),"Lentes de STOCK")</f>
        <v>Lentes de STOCK</v>
      </c>
      <c r="E562" s="1" t="str">
        <f>IFERROR(__xludf.DUMMYFUNCTION("""COMPUTED_VALUE"""),"RIVADAVIA Santiago N")</f>
        <v>RIVADAVIA Santiago N</v>
      </c>
      <c r="F562" s="1" t="str">
        <f t="shared" si="1"/>
        <v>RIVADAVIA </v>
      </c>
      <c r="G562" s="1" t="str">
        <f t="shared" si="2"/>
        <v>Santiago N</v>
      </c>
      <c r="H562" s="1" t="str">
        <f>IFERROR(__xludf.DUMMYFUNCTION("""COMPUTED_VALUE"""),"18/1/2023, 17:00:00")</f>
        <v>18/1/2023, 17:00:00</v>
      </c>
      <c r="I562" s="1" t="str">
        <f>IFERROR(__xludf.DUMMYFUNCTION("""COMPUTED_VALUE"""),"RETIRADO OK POR CLIENTE")</f>
        <v>RETIRADO OK POR CLIENTE</v>
      </c>
      <c r="J562" s="1">
        <f t="shared" si="3"/>
        <v>6</v>
      </c>
      <c r="K562" s="1" t="str">
        <f t="shared" si="4"/>
        <v>Entregamos tus lentes, que los disfrutes!</v>
      </c>
    </row>
    <row r="563">
      <c r="A563" s="1">
        <f>IFERROR(__xludf.DUMMYFUNCTION("""COMPUTED_VALUE"""),85113.0)</f>
        <v>85113</v>
      </c>
      <c r="B563" s="5">
        <f>IFERROR(__xludf.DUMMYFUNCTION("""COMPUTED_VALUE"""),44942.479755381944)</f>
        <v>44942.47976</v>
      </c>
      <c r="C563" s="1" t="str">
        <f>IFERROR(__xludf.DUMMYFUNCTION("""COMPUTED_VALUE"""),"RAMOS MARIELA")</f>
        <v>RAMOS MARIELA</v>
      </c>
      <c r="D563" s="1" t="str">
        <f>IFERROR(__xludf.DUMMYFUNCTION("""COMPUTED_VALUE"""),"Lentes MULTIFOCALES")</f>
        <v>Lentes MULTIFOCALES</v>
      </c>
      <c r="E563" s="1" t="str">
        <f>IFERROR(__xludf.DUMMYFUNCTION("""COMPUTED_VALUE"""),"ARTIGAS Ivana P.")</f>
        <v>ARTIGAS Ivana P.</v>
      </c>
      <c r="F563" s="1" t="str">
        <f t="shared" si="1"/>
        <v>ARTIGAS </v>
      </c>
      <c r="G563" s="1" t="str">
        <f t="shared" si="2"/>
        <v>Ivana P.</v>
      </c>
      <c r="H563" s="1" t="str">
        <f>IFERROR(__xludf.DUMMYFUNCTION("""COMPUTED_VALUE"""),"30/1/2023, 17:00:00")</f>
        <v>30/1/2023, 17:00:00</v>
      </c>
      <c r="I563" s="1" t="str">
        <f>IFERROR(__xludf.DUMMYFUNCTION("""COMPUTED_VALUE"""),"RETIRADO OK POR CLIENTE")</f>
        <v>RETIRADO OK POR CLIENTE</v>
      </c>
      <c r="J563" s="1">
        <f t="shared" si="3"/>
        <v>6</v>
      </c>
      <c r="K563" s="1" t="str">
        <f t="shared" si="4"/>
        <v>Entregamos tus lentes, que los disfrutes!</v>
      </c>
    </row>
    <row r="564">
      <c r="A564" s="1">
        <f>IFERROR(__xludf.DUMMYFUNCTION("""COMPUTED_VALUE"""),85114.0)</f>
        <v>85114</v>
      </c>
      <c r="B564" s="5">
        <f>IFERROR(__xludf.DUMMYFUNCTION("""COMPUTED_VALUE"""),44942.48002376157)</f>
        <v>44942.48002</v>
      </c>
      <c r="C564" s="1" t="str">
        <f>IFERROR(__xludf.DUMMYFUNCTION("""COMPUTED_VALUE"""),"TORRES MARTA")</f>
        <v>TORRES MARTA</v>
      </c>
      <c r="D564" s="1" t="str">
        <f>IFERROR(__xludf.DUMMYFUNCTION("""COMPUTED_VALUE"""),"Lentes MULTIFOCALES")</f>
        <v>Lentes MULTIFOCALES</v>
      </c>
      <c r="E564" s="1" t="str">
        <f>IFERROR(__xludf.DUMMYFUNCTION("""COMPUTED_VALUE"""),"RIVADAVIA Luciana")</f>
        <v>RIVADAVIA Luciana</v>
      </c>
      <c r="F564" s="1" t="str">
        <f t="shared" si="1"/>
        <v>RIVADAVIA </v>
      </c>
      <c r="G564" s="1" t="str">
        <f t="shared" si="2"/>
        <v>Luciana</v>
      </c>
      <c r="H564" s="1" t="str">
        <f>IFERROR(__xludf.DUMMYFUNCTION("""COMPUTED_VALUE"""),"30/1/2023, 17:00:00")</f>
        <v>30/1/2023, 17:00:00</v>
      </c>
      <c r="I564" s="1" t="str">
        <f>IFERROR(__xludf.DUMMYFUNCTION("""COMPUTED_VALUE"""),"RETIRADO OK POR CLIENTE")</f>
        <v>RETIRADO OK POR CLIENTE</v>
      </c>
      <c r="J564" s="1">
        <f t="shared" si="3"/>
        <v>6</v>
      </c>
      <c r="K564" s="1" t="str">
        <f t="shared" si="4"/>
        <v>Entregamos tus lentes, que los disfrutes!</v>
      </c>
    </row>
    <row r="565">
      <c r="A565" s="1">
        <f>IFERROR(__xludf.DUMMYFUNCTION("""COMPUTED_VALUE"""),85115.0)</f>
        <v>85115</v>
      </c>
      <c r="B565" s="5">
        <f>IFERROR(__xludf.DUMMYFUNCTION("""COMPUTED_VALUE"""),44942.48178630787)</f>
        <v>44942.48179</v>
      </c>
      <c r="C565" s="1" t="str">
        <f>IFERROR(__xludf.DUMMYFUNCTION("""COMPUTED_VALUE"""),"ORTEGA SILVINA CARMEN")</f>
        <v>ORTEGA SILVINA CARMEN</v>
      </c>
      <c r="D565" s="1" t="str">
        <f>IFERROR(__xludf.DUMMYFUNCTION("""COMPUTED_VALUE"""),"Reparaciones/Otros")</f>
        <v>Reparaciones/Otros</v>
      </c>
      <c r="E565" s="1" t="str">
        <f>IFERROR(__xludf.DUMMYFUNCTION("""COMPUTED_VALUE"""),"RIVADAVIA Marcela L")</f>
        <v>RIVADAVIA Marcela L</v>
      </c>
      <c r="F565" s="1" t="str">
        <f t="shared" si="1"/>
        <v>RIVADAVIA </v>
      </c>
      <c r="G565" s="1" t="str">
        <f t="shared" si="2"/>
        <v>Marcela L</v>
      </c>
      <c r="H565" s="1" t="str">
        <f>IFERROR(__xludf.DUMMYFUNCTION("""COMPUTED_VALUE"""),"17/1/2023, 17:00:00")</f>
        <v>17/1/2023, 17:00:00</v>
      </c>
      <c r="I565" s="1" t="str">
        <f>IFERROR(__xludf.DUMMYFUNCTION("""COMPUTED_VALUE"""),"Completado en SUCURSAL")</f>
        <v>Completado en SUCURSAL</v>
      </c>
      <c r="J565" s="1">
        <f t="shared" si="3"/>
        <v>5</v>
      </c>
      <c r="K565" s="1" t="str">
        <f t="shared" si="4"/>
        <v>Tus Lentes estan LISTAS PARA ENTREGAR, te esperamos.</v>
      </c>
    </row>
    <row r="566">
      <c r="A566" s="1">
        <f>IFERROR(__xludf.DUMMYFUNCTION("""COMPUTED_VALUE"""),85116.0)</f>
        <v>85116</v>
      </c>
      <c r="B566" s="5">
        <f>IFERROR(__xludf.DUMMYFUNCTION("""COMPUTED_VALUE"""),44942.48798677084)</f>
        <v>44942.48799</v>
      </c>
      <c r="C566" s="1" t="str">
        <f>IFERROR(__xludf.DUMMYFUNCTION("""COMPUTED_VALUE"""),"Chen Emilia")</f>
        <v>Chen Emilia</v>
      </c>
      <c r="D566" s="1" t="str">
        <f>IFERROR(__xludf.DUMMYFUNCTION("""COMPUTED_VALUE"""),"Lentes MULTIFOCALES")</f>
        <v>Lentes MULTIFOCALES</v>
      </c>
      <c r="E566" s="1" t="str">
        <f>IFERROR(__xludf.DUMMYFUNCTION("""COMPUTED_VALUE"""),"RIVADAVIA Rocio B")</f>
        <v>RIVADAVIA Rocio B</v>
      </c>
      <c r="F566" s="1" t="str">
        <f t="shared" si="1"/>
        <v>RIVADAVIA </v>
      </c>
      <c r="G566" s="1" t="str">
        <f t="shared" si="2"/>
        <v>Rocio B</v>
      </c>
      <c r="H566" s="1" t="str">
        <f>IFERROR(__xludf.DUMMYFUNCTION("""COMPUTED_VALUE"""),"1/2/2023, 17:00:00")</f>
        <v>1/2/2023, 17:00:00</v>
      </c>
      <c r="I566" s="1" t="str">
        <f>IFERROR(__xludf.DUMMYFUNCTION("""COMPUTED_VALUE"""),"RETIRADO OK POR CLIENTE")</f>
        <v>RETIRADO OK POR CLIENTE</v>
      </c>
      <c r="J566" s="1">
        <f t="shared" si="3"/>
        <v>6</v>
      </c>
      <c r="K566" s="1" t="str">
        <f t="shared" si="4"/>
        <v>Entregamos tus lentes, que los disfrutes!</v>
      </c>
    </row>
    <row r="567">
      <c r="A567" s="1">
        <f>IFERROR(__xludf.DUMMYFUNCTION("""COMPUTED_VALUE"""),85117.0)</f>
        <v>85117</v>
      </c>
      <c r="B567" s="5">
        <f>IFERROR(__xludf.DUMMYFUNCTION("""COMPUTED_VALUE"""),44942.49043533565)</f>
        <v>44942.49044</v>
      </c>
      <c r="C567" s="1" t="str">
        <f>IFERROR(__xludf.DUMMYFUNCTION("""COMPUTED_VALUE"""),"PEDERNERA VANINA")</f>
        <v>PEDERNERA VANINA</v>
      </c>
      <c r="D567" s="1" t="str">
        <f>IFERROR(__xludf.DUMMYFUNCTION("""COMPUTED_VALUE"""),"Lentes MULTIFOCALES")</f>
        <v>Lentes MULTIFOCALES</v>
      </c>
      <c r="E567" s="1" t="str">
        <f>IFERROR(__xludf.DUMMYFUNCTION("""COMPUTED_VALUE"""),"ARTIGAS Ivana P.")</f>
        <v>ARTIGAS Ivana P.</v>
      </c>
      <c r="F567" s="1" t="str">
        <f t="shared" si="1"/>
        <v>ARTIGAS </v>
      </c>
      <c r="G567" s="1" t="str">
        <f t="shared" si="2"/>
        <v>Ivana P.</v>
      </c>
      <c r="H567" s="1" t="str">
        <f>IFERROR(__xludf.DUMMYFUNCTION("""COMPUTED_VALUE"""),"30/1/2023, 17:00:00")</f>
        <v>30/1/2023, 17:00:00</v>
      </c>
      <c r="I567" s="1" t="str">
        <f>IFERROR(__xludf.DUMMYFUNCTION("""COMPUTED_VALUE"""),"RETIRADO OK POR CLIENTE")</f>
        <v>RETIRADO OK POR CLIENTE</v>
      </c>
      <c r="J567" s="1">
        <f t="shared" si="3"/>
        <v>6</v>
      </c>
      <c r="K567" s="1" t="str">
        <f t="shared" si="4"/>
        <v>Entregamos tus lentes, que los disfrutes!</v>
      </c>
    </row>
    <row r="568">
      <c r="A568" s="1">
        <f>IFERROR(__xludf.DUMMYFUNCTION("""COMPUTED_VALUE"""),85118.0)</f>
        <v>85118</v>
      </c>
      <c r="B568" s="5">
        <f>IFERROR(__xludf.DUMMYFUNCTION("""COMPUTED_VALUE"""),44942.4931758912)</f>
        <v>44942.49318</v>
      </c>
      <c r="C568" s="1" t="str">
        <f>IFERROR(__xludf.DUMMYFUNCTION("""COMPUTED_VALUE"""),"FERNANDEZ MIRTA GLADYS")</f>
        <v>FERNANDEZ MIRTA GLADYS</v>
      </c>
      <c r="D568" s="1" t="str">
        <f>IFERROR(__xludf.DUMMYFUNCTION("""COMPUTED_VALUE"""),"Lentes BIFOCALES")</f>
        <v>Lentes BIFOCALES</v>
      </c>
      <c r="E568" s="1" t="str">
        <f>IFERROR(__xludf.DUMMYFUNCTION("""COMPUTED_VALUE"""),"ARTIGAS Cristian C.")</f>
        <v>ARTIGAS Cristian C.</v>
      </c>
      <c r="F568" s="1" t="str">
        <f t="shared" si="1"/>
        <v>ARTIGAS </v>
      </c>
      <c r="G568" s="1" t="str">
        <f t="shared" si="2"/>
        <v>Cristian C.</v>
      </c>
      <c r="H568" s="1" t="str">
        <f>IFERROR(__xludf.DUMMYFUNCTION("""COMPUTED_VALUE"""),"27/1/2023, 17:00:00")</f>
        <v>27/1/2023, 17:00:00</v>
      </c>
      <c r="I568" s="1" t="str">
        <f>IFERROR(__xludf.DUMMYFUNCTION("""COMPUTED_VALUE"""),"RETIRADO OK POR CLIENTE")</f>
        <v>RETIRADO OK POR CLIENTE</v>
      </c>
      <c r="J568" s="1">
        <f t="shared" si="3"/>
        <v>6</v>
      </c>
      <c r="K568" s="1" t="str">
        <f t="shared" si="4"/>
        <v>Entregamos tus lentes, que los disfrutes!</v>
      </c>
    </row>
    <row r="569">
      <c r="A569" s="1">
        <f>IFERROR(__xludf.DUMMYFUNCTION("""COMPUTED_VALUE"""),85119.0)</f>
        <v>85119</v>
      </c>
      <c r="B569" s="5">
        <f>IFERROR(__xludf.DUMMYFUNCTION("""COMPUTED_VALUE"""),44942.49649828704)</f>
        <v>44942.4965</v>
      </c>
      <c r="C569" s="1" t="str">
        <f>IFERROR(__xludf.DUMMYFUNCTION("""COMPUTED_VALUE"""),"ROSALES MARIA CECILIA")</f>
        <v>ROSALES MARIA CECILIA</v>
      </c>
      <c r="D569" s="1" t="str">
        <f>IFERROR(__xludf.DUMMYFUNCTION("""COMPUTED_VALUE"""),"Lentes de STOCK")</f>
        <v>Lentes de STOCK</v>
      </c>
      <c r="E569" s="1" t="str">
        <f>IFERROR(__xludf.DUMMYFUNCTION("""COMPUTED_VALUE"""),"ARTIGAS Ivana P.")</f>
        <v>ARTIGAS Ivana P.</v>
      </c>
      <c r="F569" s="1" t="str">
        <f t="shared" si="1"/>
        <v>ARTIGAS </v>
      </c>
      <c r="G569" s="1" t="str">
        <f t="shared" si="2"/>
        <v>Ivana P.</v>
      </c>
      <c r="H569" s="1" t="str">
        <f>IFERROR(__xludf.DUMMYFUNCTION("""COMPUTED_VALUE"""),"19/1/2023, 17:00:00")</f>
        <v>19/1/2023, 17:00:00</v>
      </c>
      <c r="I569" s="1" t="str">
        <f>IFERROR(__xludf.DUMMYFUNCTION("""COMPUTED_VALUE"""),"RETIRADO OK POR CLIENTE")</f>
        <v>RETIRADO OK POR CLIENTE</v>
      </c>
      <c r="J569" s="1">
        <f t="shared" si="3"/>
        <v>6</v>
      </c>
      <c r="K569" s="1" t="str">
        <f t="shared" si="4"/>
        <v>Entregamos tus lentes, que los disfrutes!</v>
      </c>
    </row>
    <row r="570">
      <c r="A570" s="1">
        <f>IFERROR(__xludf.DUMMYFUNCTION("""COMPUTED_VALUE"""),85120.0)</f>
        <v>85120</v>
      </c>
      <c r="B570" s="5">
        <f>IFERROR(__xludf.DUMMYFUNCTION("""COMPUTED_VALUE"""),44942.49656533565)</f>
        <v>44942.49657</v>
      </c>
      <c r="C570" s="1" t="str">
        <f>IFERROR(__xludf.DUMMYFUNCTION("""COMPUTED_VALUE"""),"SOSA MILAGROS")</f>
        <v>SOSA MILAGROS</v>
      </c>
      <c r="D570" s="1" t="str">
        <f>IFERROR(__xludf.DUMMYFUNCTION("""COMPUTED_VALUE"""),"Reparaciones/Otros")</f>
        <v>Reparaciones/Otros</v>
      </c>
      <c r="E570" s="1" t="str">
        <f>IFERROR(__xludf.DUMMYFUNCTION("""COMPUTED_VALUE"""),"ARTIGAS Celina")</f>
        <v>ARTIGAS Celina</v>
      </c>
      <c r="F570" s="1" t="str">
        <f t="shared" si="1"/>
        <v>ARTIGAS </v>
      </c>
      <c r="G570" s="1" t="str">
        <f t="shared" si="2"/>
        <v>Celina</v>
      </c>
      <c r="H570" s="1" t="str">
        <f>IFERROR(__xludf.DUMMYFUNCTION("""COMPUTED_VALUE"""),"17/1/2023, 17:00:00")</f>
        <v>17/1/2023, 17:00:00</v>
      </c>
      <c r="I570" s="1" t="str">
        <f>IFERROR(__xludf.DUMMYFUNCTION("""COMPUTED_VALUE"""),"Completado en SUCURSAL")</f>
        <v>Completado en SUCURSAL</v>
      </c>
      <c r="J570" s="1">
        <f t="shared" si="3"/>
        <v>5</v>
      </c>
      <c r="K570" s="1" t="str">
        <f t="shared" si="4"/>
        <v>Tus Lentes estan LISTAS PARA ENTREGAR, te esperamos.</v>
      </c>
    </row>
    <row r="571">
      <c r="A571" s="1">
        <f>IFERROR(__xludf.DUMMYFUNCTION("""COMPUTED_VALUE"""),85121.0)</f>
        <v>85121</v>
      </c>
      <c r="B571" s="5">
        <f>IFERROR(__xludf.DUMMYFUNCTION("""COMPUTED_VALUE"""),44942.50403534722)</f>
        <v>44942.50404</v>
      </c>
      <c r="C571" s="1" t="str">
        <f>IFERROR(__xludf.DUMMYFUNCTION("""COMPUTED_VALUE"""),"MALDONADO BEATRIZ")</f>
        <v>MALDONADO BEATRIZ</v>
      </c>
      <c r="D571" s="1" t="str">
        <f>IFERROR(__xludf.DUMMYFUNCTION("""COMPUTED_VALUE"""),"Lentes de STOCK")</f>
        <v>Lentes de STOCK</v>
      </c>
      <c r="E571" s="1" t="str">
        <f>IFERROR(__xludf.DUMMYFUNCTION("""COMPUTED_VALUE"""),"ARTIGAS Ivana P.")</f>
        <v>ARTIGAS Ivana P.</v>
      </c>
      <c r="F571" s="1" t="str">
        <f t="shared" si="1"/>
        <v>ARTIGAS </v>
      </c>
      <c r="G571" s="1" t="str">
        <f t="shared" si="2"/>
        <v>Ivana P.</v>
      </c>
      <c r="H571" s="1" t="str">
        <f>IFERROR(__xludf.DUMMYFUNCTION("""COMPUTED_VALUE"""),"19/1/2023, 17:00:00")</f>
        <v>19/1/2023, 17:00:00</v>
      </c>
      <c r="I571" s="1" t="str">
        <f>IFERROR(__xludf.DUMMYFUNCTION("""COMPUTED_VALUE"""),"RETIRADO OK POR CLIENTE")</f>
        <v>RETIRADO OK POR CLIENTE</v>
      </c>
      <c r="J571" s="1">
        <f t="shared" si="3"/>
        <v>6</v>
      </c>
      <c r="K571" s="1" t="str">
        <f t="shared" si="4"/>
        <v>Entregamos tus lentes, que los disfrutes!</v>
      </c>
    </row>
    <row r="572">
      <c r="A572" s="1">
        <f>IFERROR(__xludf.DUMMYFUNCTION("""COMPUTED_VALUE"""),85122.0)</f>
        <v>85122</v>
      </c>
      <c r="B572" s="5">
        <f>IFERROR(__xludf.DUMMYFUNCTION("""COMPUTED_VALUE"""),44942.50422099537)</f>
        <v>44942.50422</v>
      </c>
      <c r="C572" s="1" t="str">
        <f>IFERROR(__xludf.DUMMYFUNCTION("""COMPUTED_VALUE"""),"LEIVA MIRTA ISABEL")</f>
        <v>LEIVA MIRTA ISABEL</v>
      </c>
      <c r="D572" s="1" t="str">
        <f>IFERROR(__xludf.DUMMYFUNCTION("""COMPUTED_VALUE"""),"Lentes de STOCK")</f>
        <v>Lentes de STOCK</v>
      </c>
      <c r="E572" s="1" t="str">
        <f>IFERROR(__xludf.DUMMYFUNCTION("""COMPUTED_VALUE"""),"RIVADAVIA Marcela L")</f>
        <v>RIVADAVIA Marcela L</v>
      </c>
      <c r="F572" s="1" t="str">
        <f t="shared" si="1"/>
        <v>RIVADAVIA </v>
      </c>
      <c r="G572" s="1" t="str">
        <f t="shared" si="2"/>
        <v>Marcela L</v>
      </c>
      <c r="H572" s="1" t="str">
        <f>IFERROR(__xludf.DUMMYFUNCTION("""COMPUTED_VALUE"""),"18/1/2023, 17:00:00")</f>
        <v>18/1/2023, 17:00:00</v>
      </c>
      <c r="I572" s="1" t="str">
        <f>IFERROR(__xludf.DUMMYFUNCTION("""COMPUTED_VALUE"""),"RETIRADO OK POR CLIENTE")</f>
        <v>RETIRADO OK POR CLIENTE</v>
      </c>
      <c r="J572" s="1">
        <f t="shared" si="3"/>
        <v>6</v>
      </c>
      <c r="K572" s="1" t="str">
        <f t="shared" si="4"/>
        <v>Entregamos tus lentes, que los disfrutes!</v>
      </c>
    </row>
    <row r="573">
      <c r="A573" s="1">
        <f>IFERROR(__xludf.DUMMYFUNCTION("""COMPUTED_VALUE"""),85123.0)</f>
        <v>85123</v>
      </c>
      <c r="B573" s="5">
        <f>IFERROR(__xludf.DUMMYFUNCTION("""COMPUTED_VALUE"""),44942.50961155092)</f>
        <v>44942.50961</v>
      </c>
      <c r="C573" s="1" t="str">
        <f>IFERROR(__xludf.DUMMYFUNCTION("""COMPUTED_VALUE"""),"JOFRE ALEXIS")</f>
        <v>JOFRE ALEXIS</v>
      </c>
      <c r="D573" s="1" t="str">
        <f>IFERROR(__xludf.DUMMYFUNCTION("""COMPUTED_VALUE"""),"Lentes de STOCK")</f>
        <v>Lentes de STOCK</v>
      </c>
      <c r="E573" s="1" t="str">
        <f>IFERROR(__xludf.DUMMYFUNCTION("""COMPUTED_VALUE"""),"ARTIGAS Ivana P.")</f>
        <v>ARTIGAS Ivana P.</v>
      </c>
      <c r="F573" s="1" t="str">
        <f t="shared" si="1"/>
        <v>ARTIGAS </v>
      </c>
      <c r="G573" s="1" t="str">
        <f t="shared" si="2"/>
        <v>Ivana P.</v>
      </c>
      <c r="H573" s="1" t="str">
        <f>IFERROR(__xludf.DUMMYFUNCTION("""COMPUTED_VALUE"""),"19/1/2023, 17:00:00")</f>
        <v>19/1/2023, 17:00:00</v>
      </c>
      <c r="I573" s="1" t="str">
        <f>IFERROR(__xludf.DUMMYFUNCTION("""COMPUTED_VALUE"""),"En Armado Hoy")</f>
        <v>En Armado Hoy</v>
      </c>
      <c r="J573" s="1">
        <f t="shared" si="3"/>
        <v>3</v>
      </c>
      <c r="K573" s="1" t="str">
        <f t="shared" si="4"/>
        <v>Estamos terminando los ultimos detalles de tus lentes, los terminaremos el dia de hoy.</v>
      </c>
    </row>
    <row r="574">
      <c r="A574" s="1">
        <f>IFERROR(__xludf.DUMMYFUNCTION("""COMPUTED_VALUE"""),85124.0)</f>
        <v>85124</v>
      </c>
      <c r="B574" s="5">
        <f>IFERROR(__xludf.DUMMYFUNCTION("""COMPUTED_VALUE"""),44942.51530309027)</f>
        <v>44942.5153</v>
      </c>
      <c r="C574" s="1" t="str">
        <f>IFERROR(__xludf.DUMMYFUNCTION("""COMPUTED_VALUE"""),"Mazzoni Paola")</f>
        <v>Mazzoni Paola</v>
      </c>
      <c r="D574" s="1" t="str">
        <f>IFERROR(__xludf.DUMMYFUNCTION("""COMPUTED_VALUE"""),"Lentes de STOCK")</f>
        <v>Lentes de STOCK</v>
      </c>
      <c r="E574" s="1" t="str">
        <f>IFERROR(__xludf.DUMMYFUNCTION("""COMPUTED_VALUE"""),"RIVADAVIA Rocio B")</f>
        <v>RIVADAVIA Rocio B</v>
      </c>
      <c r="F574" s="1" t="str">
        <f t="shared" si="1"/>
        <v>RIVADAVIA </v>
      </c>
      <c r="G574" s="1" t="str">
        <f t="shared" si="2"/>
        <v>Rocio B</v>
      </c>
      <c r="H574" s="1" t="str">
        <f>IFERROR(__xludf.DUMMYFUNCTION("""COMPUTED_VALUE"""),"20/1/2023, 17:00:00")</f>
        <v>20/1/2023, 17:00:00</v>
      </c>
      <c r="I574" s="1" t="str">
        <f>IFERROR(__xludf.DUMMYFUNCTION("""COMPUTED_VALUE"""),"Completado en SUCURSAL")</f>
        <v>Completado en SUCURSAL</v>
      </c>
      <c r="J574" s="1">
        <f t="shared" si="3"/>
        <v>5</v>
      </c>
      <c r="K574" s="1" t="str">
        <f t="shared" si="4"/>
        <v>Tus Lentes estan LISTAS PARA ENTREGAR, te esperamos.</v>
      </c>
    </row>
    <row r="575">
      <c r="A575" s="1">
        <f>IFERROR(__xludf.DUMMYFUNCTION("""COMPUTED_VALUE"""),85125.0)</f>
        <v>85125</v>
      </c>
      <c r="B575" s="5">
        <f>IFERROR(__xludf.DUMMYFUNCTION("""COMPUTED_VALUE"""),44942.518505405096)</f>
        <v>44942.51851</v>
      </c>
      <c r="C575" s="1" t="str">
        <f>IFERROR(__xludf.DUMMYFUNCTION("""COMPUTED_VALUE"""),"HU ELIOT AGUSTIN")</f>
        <v>HU ELIOT AGUSTIN</v>
      </c>
      <c r="D575" s="1" t="str">
        <f>IFERROR(__xludf.DUMMYFUNCTION("""COMPUTED_VALUE"""),"Reparaciones/Otros")</f>
        <v>Reparaciones/Otros</v>
      </c>
      <c r="E575" s="1" t="str">
        <f>IFERROR(__xludf.DUMMYFUNCTION("""COMPUTED_VALUE"""),"RIVADAVIA Santiago LOPEZ")</f>
        <v>RIVADAVIA Santiago LOPEZ</v>
      </c>
      <c r="F575" s="1" t="str">
        <f t="shared" si="1"/>
        <v>RIVADAVIA </v>
      </c>
      <c r="G575" s="1" t="str">
        <f t="shared" si="2"/>
        <v>Santiago LOPEZ</v>
      </c>
      <c r="H575" s="1" t="str">
        <f>IFERROR(__xludf.DUMMYFUNCTION("""COMPUTED_VALUE"""),"17/1/2023, 17:00:00")</f>
        <v>17/1/2023, 17:00:00</v>
      </c>
      <c r="I575" s="1" t="str">
        <f>IFERROR(__xludf.DUMMYFUNCTION("""COMPUTED_VALUE"""),"Completado en SUCURSAL")</f>
        <v>Completado en SUCURSAL</v>
      </c>
      <c r="J575" s="1">
        <f t="shared" si="3"/>
        <v>5</v>
      </c>
      <c r="K575" s="1" t="str">
        <f t="shared" si="4"/>
        <v>Tus Lentes estan LISTAS PARA ENTREGAR, te esperamos.</v>
      </c>
    </row>
    <row r="576">
      <c r="A576" s="1">
        <f>IFERROR(__xludf.DUMMYFUNCTION("""COMPUTED_VALUE"""),85126.0)</f>
        <v>85126</v>
      </c>
      <c r="B576" s="5">
        <f>IFERROR(__xludf.DUMMYFUNCTION("""COMPUTED_VALUE"""),44942.52160479166)</f>
        <v>44942.5216</v>
      </c>
      <c r="C576" s="1" t="str">
        <f>IFERROR(__xludf.DUMMYFUNCTION("""COMPUTED_VALUE"""),"GUZMAN ERICA")</f>
        <v>GUZMAN ERICA</v>
      </c>
      <c r="D576" s="1" t="str">
        <f>IFERROR(__xludf.DUMMYFUNCTION("""COMPUTED_VALUE"""),"Reparaciones/Otros")</f>
        <v>Reparaciones/Otros</v>
      </c>
      <c r="E576" s="1" t="str">
        <f>IFERROR(__xludf.DUMMYFUNCTION("""COMPUTED_VALUE"""),"RIVADAVIA Daniel CM")</f>
        <v>RIVADAVIA Daniel CM</v>
      </c>
      <c r="F576" s="1" t="str">
        <f t="shared" si="1"/>
        <v>RIVADAVIA </v>
      </c>
      <c r="G576" s="1" t="str">
        <f t="shared" si="2"/>
        <v>Daniel CM</v>
      </c>
      <c r="H576" s="1" t="str">
        <f>IFERROR(__xludf.DUMMYFUNCTION("""COMPUTED_VALUE"""),"17/1/2023, 17:00:00")</f>
        <v>17/1/2023, 17:00:00</v>
      </c>
      <c r="I576" s="1" t="str">
        <f>IFERROR(__xludf.DUMMYFUNCTION("""COMPUTED_VALUE"""),"Completado en SUCURSAL")</f>
        <v>Completado en SUCURSAL</v>
      </c>
      <c r="J576" s="1">
        <f t="shared" si="3"/>
        <v>5</v>
      </c>
      <c r="K576" s="1" t="str">
        <f t="shared" si="4"/>
        <v>Tus Lentes estan LISTAS PARA ENTREGAR, te esperamos.</v>
      </c>
    </row>
    <row r="577">
      <c r="A577" s="1">
        <f>IFERROR(__xludf.DUMMYFUNCTION("""COMPUTED_VALUE"""),85127.0)</f>
        <v>85127</v>
      </c>
      <c r="B577" s="5">
        <f>IFERROR(__xludf.DUMMYFUNCTION("""COMPUTED_VALUE"""),44942.526535937504)</f>
        <v>44942.52654</v>
      </c>
      <c r="C577" s="1" t="str">
        <f>IFERROR(__xludf.DUMMYFUNCTION("""COMPUTED_VALUE"""),"SUAREZ GUSTAVO ANDRES")</f>
        <v>SUAREZ GUSTAVO ANDRES</v>
      </c>
      <c r="D577" s="1" t="str">
        <f>IFERROR(__xludf.DUMMYFUNCTION("""COMPUTED_VALUE"""),"Lentes de STOCK")</f>
        <v>Lentes de STOCK</v>
      </c>
      <c r="E577" s="1" t="str">
        <f>IFERROR(__xludf.DUMMYFUNCTION("""COMPUTED_VALUE"""),"RIVADAVIA Marcela L")</f>
        <v>RIVADAVIA Marcela L</v>
      </c>
      <c r="F577" s="1" t="str">
        <f t="shared" si="1"/>
        <v>RIVADAVIA </v>
      </c>
      <c r="G577" s="1" t="str">
        <f t="shared" si="2"/>
        <v>Marcela L</v>
      </c>
      <c r="H577" s="1" t="str">
        <f>IFERROR(__xludf.DUMMYFUNCTION("""COMPUTED_VALUE"""),"19/1/2023, 17:00:00")</f>
        <v>19/1/2023, 17:00:00</v>
      </c>
      <c r="I577" s="1" t="str">
        <f>IFERROR(__xludf.DUMMYFUNCTION("""COMPUTED_VALUE"""),"Completado en SUCURSAL")</f>
        <v>Completado en SUCURSAL</v>
      </c>
      <c r="J577" s="1">
        <f t="shared" si="3"/>
        <v>5</v>
      </c>
      <c r="K577" s="1" t="str">
        <f t="shared" si="4"/>
        <v>Tus Lentes estan LISTAS PARA ENTREGAR, te esperamos.</v>
      </c>
    </row>
    <row r="578">
      <c r="A578" s="1">
        <f>IFERROR(__xludf.DUMMYFUNCTION("""COMPUTED_VALUE"""),85128.0)</f>
        <v>85128</v>
      </c>
      <c r="B578" s="5">
        <f>IFERROR(__xludf.DUMMYFUNCTION("""COMPUTED_VALUE"""),44942.5276984838)</f>
        <v>44942.5277</v>
      </c>
      <c r="C578" s="1" t="str">
        <f>IFERROR(__xludf.DUMMYFUNCTION("""COMPUTED_VALUE"""),"Lucero Fatima")</f>
        <v>Lucero Fatima</v>
      </c>
      <c r="D578" s="1" t="str">
        <f>IFERROR(__xludf.DUMMYFUNCTION("""COMPUTED_VALUE"""),"Reparaciones/Otros")</f>
        <v>Reparaciones/Otros</v>
      </c>
      <c r="E578" s="1" t="str">
        <f>IFERROR(__xludf.DUMMYFUNCTION("""COMPUTED_VALUE"""),"RIVADAVIA Rocio B")</f>
        <v>RIVADAVIA Rocio B</v>
      </c>
      <c r="F578" s="1" t="str">
        <f t="shared" si="1"/>
        <v>RIVADAVIA </v>
      </c>
      <c r="G578" s="1" t="str">
        <f t="shared" si="2"/>
        <v>Rocio B</v>
      </c>
      <c r="H578" s="1" t="str">
        <f>IFERROR(__xludf.DUMMYFUNCTION("""COMPUTED_VALUE"""),"17/1/2023, 17:00:00")</f>
        <v>17/1/2023, 17:00:00</v>
      </c>
      <c r="I578" s="1" t="str">
        <f>IFERROR(__xludf.DUMMYFUNCTION("""COMPUTED_VALUE"""),"Completado en SUCURSAL")</f>
        <v>Completado en SUCURSAL</v>
      </c>
      <c r="J578" s="1">
        <f t="shared" si="3"/>
        <v>5</v>
      </c>
      <c r="K578" s="1" t="str">
        <f t="shared" si="4"/>
        <v>Tus Lentes estan LISTAS PARA ENTREGAR, te esperamos.</v>
      </c>
    </row>
    <row r="579">
      <c r="A579" s="1">
        <f>IFERROR(__xludf.DUMMYFUNCTION("""COMPUTED_VALUE"""),85129.0)</f>
        <v>85129</v>
      </c>
      <c r="B579" s="5">
        <f>IFERROR(__xludf.DUMMYFUNCTION("""COMPUTED_VALUE"""),44942.532844664354)</f>
        <v>44942.53284</v>
      </c>
      <c r="C579" s="1" t="str">
        <f>IFERROR(__xludf.DUMMYFUNCTION("""COMPUTED_VALUE"""),"LUCERO DAMIAN")</f>
        <v>LUCERO DAMIAN</v>
      </c>
      <c r="D579" s="1" t="str">
        <f>IFERROR(__xludf.DUMMYFUNCTION("""COMPUTED_VALUE"""),"Reparaciones/Otros")</f>
        <v>Reparaciones/Otros</v>
      </c>
      <c r="E579" s="1" t="str">
        <f>IFERROR(__xludf.DUMMYFUNCTION("""COMPUTED_VALUE"""),"ARTIGAS Cristian C.")</f>
        <v>ARTIGAS Cristian C.</v>
      </c>
      <c r="F579" s="1" t="str">
        <f t="shared" si="1"/>
        <v>ARTIGAS </v>
      </c>
      <c r="G579" s="1" t="str">
        <f t="shared" si="2"/>
        <v>Cristian C.</v>
      </c>
      <c r="H579" s="1" t="str">
        <f>IFERROR(__xludf.DUMMYFUNCTION("""COMPUTED_VALUE"""),"18/1/2023, 17:00:00")</f>
        <v>18/1/2023, 17:00:00</v>
      </c>
      <c r="I579" s="1" t="str">
        <f>IFERROR(__xludf.DUMMYFUNCTION("""COMPUTED_VALUE"""),"Completado en SUCURSAL")</f>
        <v>Completado en SUCURSAL</v>
      </c>
      <c r="J579" s="1">
        <f t="shared" si="3"/>
        <v>5</v>
      </c>
      <c r="K579" s="1" t="str">
        <f t="shared" si="4"/>
        <v>Tus Lentes estan LISTAS PARA ENTREGAR, te esperamos.</v>
      </c>
    </row>
    <row r="580">
      <c r="A580" s="1">
        <f>IFERROR(__xludf.DUMMYFUNCTION("""COMPUTED_VALUE"""),85130.0)</f>
        <v>85130</v>
      </c>
      <c r="B580" s="5">
        <f>IFERROR(__xludf.DUMMYFUNCTION("""COMPUTED_VALUE"""),44942.53987289352)</f>
        <v>44942.53987</v>
      </c>
      <c r="C580" s="1" t="str">
        <f>IFERROR(__xludf.DUMMYFUNCTION("""COMPUTED_VALUE"""),"DONAIRE ANTONELLA")</f>
        <v>DONAIRE ANTONELLA</v>
      </c>
      <c r="D580" s="1" t="str">
        <f>IFERROR(__xludf.DUMMYFUNCTION("""COMPUTED_VALUE"""),"Lentes de LABORATORIO")</f>
        <v>Lentes de LABORATORIO</v>
      </c>
      <c r="E580" s="1" t="str">
        <f>IFERROR(__xludf.DUMMYFUNCTION("""COMPUTED_VALUE"""),"ARTIGAS Ivana P.")</f>
        <v>ARTIGAS Ivana P.</v>
      </c>
      <c r="F580" s="1" t="str">
        <f t="shared" si="1"/>
        <v>ARTIGAS </v>
      </c>
      <c r="G580" s="1" t="str">
        <f t="shared" si="2"/>
        <v>Ivana P.</v>
      </c>
      <c r="H580" s="1" t="str">
        <f>IFERROR(__xludf.DUMMYFUNCTION("""COMPUTED_VALUE"""),"23/1/2023, 17:00:00")</f>
        <v>23/1/2023, 17:00:00</v>
      </c>
      <c r="I580" s="1" t="str">
        <f>IFERROR(__xludf.DUMMYFUNCTION("""COMPUTED_VALUE"""),"RETIRADO OK POR CLIENTE")</f>
        <v>RETIRADO OK POR CLIENTE</v>
      </c>
      <c r="J580" s="1">
        <f t="shared" si="3"/>
        <v>6</v>
      </c>
      <c r="K580" s="1" t="str">
        <f t="shared" si="4"/>
        <v>Entregamos tus lentes, que los disfrutes!</v>
      </c>
    </row>
    <row r="581">
      <c r="A581" s="1">
        <f>IFERROR(__xludf.DUMMYFUNCTION("""COMPUTED_VALUE"""),85131.0)</f>
        <v>85131</v>
      </c>
      <c r="B581" s="5">
        <f>IFERROR(__xludf.DUMMYFUNCTION("""COMPUTED_VALUE"""),44942.54330336806)</f>
        <v>44942.5433</v>
      </c>
      <c r="C581" s="1" t="str">
        <f>IFERROR(__xludf.DUMMYFUNCTION("""COMPUTED_VALUE"""),"BUSTO MALDONADO MARTIN")</f>
        <v>BUSTO MALDONADO MARTIN</v>
      </c>
      <c r="D581" s="1" t="str">
        <f>IFERROR(__xludf.DUMMYFUNCTION("""COMPUTED_VALUE"""),"Lentes de STOCK")</f>
        <v>Lentes de STOCK</v>
      </c>
      <c r="E581" s="1" t="str">
        <f>IFERROR(__xludf.DUMMYFUNCTION("""COMPUTED_VALUE"""),"RIVADAVIA Santiago LOPEZ")</f>
        <v>RIVADAVIA Santiago LOPEZ</v>
      </c>
      <c r="F581" s="1" t="str">
        <f t="shared" si="1"/>
        <v>RIVADAVIA </v>
      </c>
      <c r="G581" s="1" t="str">
        <f t="shared" si="2"/>
        <v>Santiago LOPEZ</v>
      </c>
      <c r="H581" s="1" t="str">
        <f>IFERROR(__xludf.DUMMYFUNCTION("""COMPUTED_VALUE"""),"19/1/2023, 17:00:00")</f>
        <v>19/1/2023, 17:00:00</v>
      </c>
      <c r="I581" s="1" t="str">
        <f>IFERROR(__xludf.DUMMYFUNCTION("""COMPUTED_VALUE"""),"RETIRADO OK POR CLIENTE")</f>
        <v>RETIRADO OK POR CLIENTE</v>
      </c>
      <c r="J581" s="1">
        <f t="shared" si="3"/>
        <v>6</v>
      </c>
      <c r="K581" s="1" t="str">
        <f t="shared" si="4"/>
        <v>Entregamos tus lentes, que los disfrutes!</v>
      </c>
    </row>
    <row r="582">
      <c r="A582" s="1">
        <f>IFERROR(__xludf.DUMMYFUNCTION("""COMPUTED_VALUE"""),85132.0)</f>
        <v>85132</v>
      </c>
      <c r="B582" s="5">
        <f>IFERROR(__xludf.DUMMYFUNCTION("""COMPUTED_VALUE"""),44942.543814178236)</f>
        <v>44942.54381</v>
      </c>
      <c r="C582" s="1" t="str">
        <f>IFERROR(__xludf.DUMMYFUNCTION("""COMPUTED_VALUE"""),"CARRERA BEATRIZ DEL CARMEN")</f>
        <v>CARRERA BEATRIZ DEL CARMEN</v>
      </c>
      <c r="D582" s="1" t="str">
        <f>IFERROR(__xludf.DUMMYFUNCTION("""COMPUTED_VALUE"""),"Lentes de LABORATORIO")</f>
        <v>Lentes de LABORATORIO</v>
      </c>
      <c r="E582" s="1" t="str">
        <f>IFERROR(__xludf.DUMMYFUNCTION("""COMPUTED_VALUE"""),"RIVADAVIA Marcela L")</f>
        <v>RIVADAVIA Marcela L</v>
      </c>
      <c r="F582" s="1" t="str">
        <f t="shared" si="1"/>
        <v>RIVADAVIA </v>
      </c>
      <c r="G582" s="1" t="str">
        <f t="shared" si="2"/>
        <v>Marcela L</v>
      </c>
      <c r="H582" s="1" t="str">
        <f>IFERROR(__xludf.DUMMYFUNCTION("""COMPUTED_VALUE"""),"23/1/2023, 17:00:00")</f>
        <v>23/1/2023, 17:00:00</v>
      </c>
      <c r="I582" s="1" t="str">
        <f>IFERROR(__xludf.DUMMYFUNCTION("""COMPUTED_VALUE"""),"Completado en SUCURSAL")</f>
        <v>Completado en SUCURSAL</v>
      </c>
      <c r="J582" s="1">
        <f t="shared" si="3"/>
        <v>5</v>
      </c>
      <c r="K582" s="1" t="str">
        <f t="shared" si="4"/>
        <v>Tus Lentes estan LISTAS PARA ENTREGAR, te esperamos.</v>
      </c>
    </row>
    <row r="583">
      <c r="A583" s="1">
        <f>IFERROR(__xludf.DUMMYFUNCTION("""COMPUTED_VALUE"""),85133.0)</f>
        <v>85133</v>
      </c>
      <c r="B583" s="5">
        <f>IFERROR(__xludf.DUMMYFUNCTION("""COMPUTED_VALUE"""),44942.54836313658)</f>
        <v>44942.54836</v>
      </c>
      <c r="C583" s="1" t="str">
        <f>IFERROR(__xludf.DUMMYFUNCTION("""COMPUTED_VALUE"""),"MIRANDA ARDEMIA")</f>
        <v>MIRANDA ARDEMIA</v>
      </c>
      <c r="D583" s="1" t="str">
        <f>IFERROR(__xludf.DUMMYFUNCTION("""COMPUTED_VALUE"""),"Lentes de STOCK")</f>
        <v>Lentes de STOCK</v>
      </c>
      <c r="E583" s="1" t="str">
        <f>IFERROR(__xludf.DUMMYFUNCTION("""COMPUTED_VALUE"""),"RIVADAVIA Santiago N")</f>
        <v>RIVADAVIA Santiago N</v>
      </c>
      <c r="F583" s="1" t="str">
        <f t="shared" si="1"/>
        <v>RIVADAVIA </v>
      </c>
      <c r="G583" s="1" t="str">
        <f t="shared" si="2"/>
        <v>Santiago N</v>
      </c>
      <c r="H583" s="1" t="str">
        <f>IFERROR(__xludf.DUMMYFUNCTION("""COMPUTED_VALUE"""),"18/1/2023, 17:00:00")</f>
        <v>18/1/2023, 17:00:00</v>
      </c>
      <c r="I583" s="1" t="str">
        <f>IFERROR(__xludf.DUMMYFUNCTION("""COMPUTED_VALUE"""),"RETIRADO OK POR CLIENTE")</f>
        <v>RETIRADO OK POR CLIENTE</v>
      </c>
      <c r="J583" s="1">
        <f t="shared" si="3"/>
        <v>6</v>
      </c>
      <c r="K583" s="1" t="str">
        <f t="shared" si="4"/>
        <v>Entregamos tus lentes, que los disfrutes!</v>
      </c>
    </row>
    <row r="584">
      <c r="A584" s="1">
        <f>IFERROR(__xludf.DUMMYFUNCTION("""COMPUTED_VALUE"""),85134.0)</f>
        <v>85134</v>
      </c>
      <c r="B584" s="5">
        <f>IFERROR(__xludf.DUMMYFUNCTION("""COMPUTED_VALUE"""),44942.555745983795)</f>
        <v>44942.55575</v>
      </c>
      <c r="C584" s="1" t="str">
        <f>IFERROR(__xludf.DUMMYFUNCTION("""COMPUTED_VALUE"""),"REYES RICARDO")</f>
        <v>REYES RICARDO</v>
      </c>
      <c r="D584" s="1" t="str">
        <f>IFERROR(__xludf.DUMMYFUNCTION("""COMPUTED_VALUE"""),"Lentes de STOCK")</f>
        <v>Lentes de STOCK</v>
      </c>
      <c r="E584" s="1" t="str">
        <f>IFERROR(__xludf.DUMMYFUNCTION("""COMPUTED_VALUE"""),"RIVADAVIA Luciana")</f>
        <v>RIVADAVIA Luciana</v>
      </c>
      <c r="F584" s="1" t="str">
        <f t="shared" si="1"/>
        <v>RIVADAVIA </v>
      </c>
      <c r="G584" s="1" t="str">
        <f t="shared" si="2"/>
        <v>Luciana</v>
      </c>
      <c r="H584" s="1" t="str">
        <f>IFERROR(__xludf.DUMMYFUNCTION("""COMPUTED_VALUE"""),"19/1/2023, 17:00:00")</f>
        <v>19/1/2023, 17:00:00</v>
      </c>
      <c r="I584" s="1" t="str">
        <f>IFERROR(__xludf.DUMMYFUNCTION("""COMPUTED_VALUE"""),"Enviado a Sucursal")</f>
        <v>Enviado a Sucursal</v>
      </c>
      <c r="J584" s="1">
        <f t="shared" si="3"/>
        <v>4</v>
      </c>
      <c r="K584" s="1" t="str">
        <f t="shared" si="4"/>
        <v>Tus lentes estan viajando a la sucursal para su entrega.</v>
      </c>
    </row>
    <row r="585">
      <c r="A585" s="1">
        <f>IFERROR(__xludf.DUMMYFUNCTION("""COMPUTED_VALUE"""),85135.0)</f>
        <v>85135</v>
      </c>
      <c r="B585" s="5">
        <f>IFERROR(__xludf.DUMMYFUNCTION("""COMPUTED_VALUE"""),44942.55893868055)</f>
        <v>44942.55894</v>
      </c>
      <c r="C585" s="1" t="str">
        <f>IFERROR(__xludf.DUMMYFUNCTION("""COMPUTED_VALUE"""),"CACERES MATIAS")</f>
        <v>CACERES MATIAS</v>
      </c>
      <c r="D585" s="1" t="str">
        <f>IFERROR(__xludf.DUMMYFUNCTION("""COMPUTED_VALUE"""),"Reparaciones/Otros")</f>
        <v>Reparaciones/Otros</v>
      </c>
      <c r="E585" s="1" t="str">
        <f>IFERROR(__xludf.DUMMYFUNCTION("""COMPUTED_VALUE"""),"RIVADAVIA Daniel CM")</f>
        <v>RIVADAVIA Daniel CM</v>
      </c>
      <c r="F585" s="1" t="str">
        <f t="shared" si="1"/>
        <v>RIVADAVIA </v>
      </c>
      <c r="G585" s="1" t="str">
        <f t="shared" si="2"/>
        <v>Daniel CM</v>
      </c>
      <c r="H585" s="1" t="str">
        <f>IFERROR(__xludf.DUMMYFUNCTION("""COMPUTED_VALUE"""),"17/1/2023, 17:00:00")</f>
        <v>17/1/2023, 17:00:00</v>
      </c>
      <c r="I585" s="1"/>
      <c r="J585" s="1">
        <f t="shared" si="3"/>
        <v>0</v>
      </c>
      <c r="K585" s="1" t="str">
        <f t="shared" si="4"/>
        <v/>
      </c>
    </row>
    <row r="586">
      <c r="A586" s="1">
        <f>IFERROR(__xludf.DUMMYFUNCTION("""COMPUTED_VALUE"""),85136.0)</f>
        <v>85136</v>
      </c>
      <c r="B586" s="5">
        <f>IFERROR(__xludf.DUMMYFUNCTION("""COMPUTED_VALUE"""),44942.692653935184)</f>
        <v>44942.69265</v>
      </c>
      <c r="C586" s="1" t="str">
        <f>IFERROR(__xludf.DUMMYFUNCTION("""COMPUTED_VALUE"""),"FLORES ADRIANA ")</f>
        <v>FLORES ADRIANA </v>
      </c>
      <c r="D586" s="1" t="str">
        <f>IFERROR(__xludf.DUMMYFUNCTION("""COMPUTED_VALUE"""),"Reparaciones/Otros")</f>
        <v>Reparaciones/Otros</v>
      </c>
      <c r="E586" s="1" t="str">
        <f>IFERROR(__xludf.DUMMYFUNCTION("""COMPUTED_VALUE"""),"ARTIGAS Celina")</f>
        <v>ARTIGAS Celina</v>
      </c>
      <c r="F586" s="1" t="str">
        <f t="shared" si="1"/>
        <v>ARTIGAS </v>
      </c>
      <c r="G586" s="1" t="str">
        <f t="shared" si="2"/>
        <v>Celina</v>
      </c>
      <c r="H586" s="1" t="str">
        <f>IFERROR(__xludf.DUMMYFUNCTION("""COMPUTED_VALUE"""),"17/1/2023, 17:00:00")</f>
        <v>17/1/2023, 17:00:00</v>
      </c>
      <c r="I586" s="1" t="str">
        <f>IFERROR(__xludf.DUMMYFUNCTION("""COMPUTED_VALUE"""),"Recibido en Laboratorio")</f>
        <v>Recibido en Laboratorio</v>
      </c>
      <c r="J586" s="1">
        <f t="shared" si="3"/>
        <v>2</v>
      </c>
      <c r="K586" s="1" t="str">
        <f t="shared" si="4"/>
        <v>Nuestro Laboratorio esta trabajando en tus lentes, los entregaremos en la fecha acordada.</v>
      </c>
    </row>
    <row r="587">
      <c r="A587" s="1">
        <f>IFERROR(__xludf.DUMMYFUNCTION("""COMPUTED_VALUE"""),85137.0)</f>
        <v>85137</v>
      </c>
      <c r="B587" s="5">
        <f>IFERROR(__xludf.DUMMYFUNCTION("""COMPUTED_VALUE"""),44942.71650083333)</f>
        <v>44942.7165</v>
      </c>
      <c r="C587" s="1" t="str">
        <f>IFERROR(__xludf.DUMMYFUNCTION("""COMPUTED_VALUE"""),"OJEDA DOMINGO")</f>
        <v>OJEDA DOMINGO</v>
      </c>
      <c r="D587" s="1" t="str">
        <f>IFERROR(__xludf.DUMMYFUNCTION("""COMPUTED_VALUE"""),"Lentes de STOCK")</f>
        <v>Lentes de STOCK</v>
      </c>
      <c r="E587" s="1" t="str">
        <f>IFERROR(__xludf.DUMMYFUNCTION("""COMPUTED_VALUE"""),"ARTIGAS Ivana P.")</f>
        <v>ARTIGAS Ivana P.</v>
      </c>
      <c r="F587" s="1" t="str">
        <f t="shared" si="1"/>
        <v>ARTIGAS </v>
      </c>
      <c r="G587" s="1" t="str">
        <f t="shared" si="2"/>
        <v>Ivana P.</v>
      </c>
      <c r="H587" s="1" t="str">
        <f>IFERROR(__xludf.DUMMYFUNCTION("""COMPUTED_VALUE"""),"23/1/2023, 17:00:00")</f>
        <v>23/1/2023, 17:00:00</v>
      </c>
      <c r="I587" s="1" t="str">
        <f>IFERROR(__xludf.DUMMYFUNCTION("""COMPUTED_VALUE"""),"En Armado Hoy")</f>
        <v>En Armado Hoy</v>
      </c>
      <c r="J587" s="1">
        <f t="shared" si="3"/>
        <v>3</v>
      </c>
      <c r="K587" s="1" t="str">
        <f t="shared" si="4"/>
        <v>Estamos terminando los ultimos detalles de tus lentes, los terminaremos el dia de hoy.</v>
      </c>
    </row>
    <row r="588">
      <c r="A588" s="1">
        <f>IFERROR(__xludf.DUMMYFUNCTION("""COMPUTED_VALUE"""),85138.0)</f>
        <v>85138</v>
      </c>
      <c r="B588" s="5">
        <f>IFERROR(__xludf.DUMMYFUNCTION("""COMPUTED_VALUE"""),44942.71993739583)</f>
        <v>44942.71994</v>
      </c>
      <c r="C588" s="1" t="str">
        <f>IFERROR(__xludf.DUMMYFUNCTION("""COMPUTED_VALUE"""),"BARRIONUEVO MIGUEL")</f>
        <v>BARRIONUEVO MIGUEL</v>
      </c>
      <c r="D588" s="1" t="str">
        <f>IFERROR(__xludf.DUMMYFUNCTION("""COMPUTED_VALUE"""),"Lentes MULTIFOCALES")</f>
        <v>Lentes MULTIFOCALES</v>
      </c>
      <c r="E588" s="1" t="str">
        <f>IFERROR(__xludf.DUMMYFUNCTION("""COMPUTED_VALUE"""),"ARTIGAS Cristian C.")</f>
        <v>ARTIGAS Cristian C.</v>
      </c>
      <c r="F588" s="1" t="str">
        <f t="shared" si="1"/>
        <v>ARTIGAS </v>
      </c>
      <c r="G588" s="1" t="str">
        <f t="shared" si="2"/>
        <v>Cristian C.</v>
      </c>
      <c r="H588" s="1" t="str">
        <f>IFERROR(__xludf.DUMMYFUNCTION("""COMPUTED_VALUE"""),"2/2/2023, 17:00:00")</f>
        <v>2/2/2023, 17:00:00</v>
      </c>
      <c r="I588" s="1" t="str">
        <f>IFERROR(__xludf.DUMMYFUNCTION("""COMPUTED_VALUE"""),"Completado en SUCURSAL")</f>
        <v>Completado en SUCURSAL</v>
      </c>
      <c r="J588" s="1">
        <f t="shared" si="3"/>
        <v>5</v>
      </c>
      <c r="K588" s="1" t="str">
        <f t="shared" si="4"/>
        <v>Tus Lentes estan LISTAS PARA ENTREGAR, te esperamos.</v>
      </c>
    </row>
    <row r="589">
      <c r="A589" s="1">
        <f>IFERROR(__xludf.DUMMYFUNCTION("""COMPUTED_VALUE"""),85139.0)</f>
        <v>85139</v>
      </c>
      <c r="B589" s="5">
        <f>IFERROR(__xludf.DUMMYFUNCTION("""COMPUTED_VALUE"""),44942.72259240741)</f>
        <v>44942.72259</v>
      </c>
      <c r="C589" s="1" t="str">
        <f>IFERROR(__xludf.DUMMYFUNCTION("""COMPUTED_VALUE"""),"VALDIVIA FABIAN")</f>
        <v>VALDIVIA FABIAN</v>
      </c>
      <c r="D589" s="1" t="str">
        <f>IFERROR(__xludf.DUMMYFUNCTION("""COMPUTED_VALUE"""),"Reparaciones/Otros")</f>
        <v>Reparaciones/Otros</v>
      </c>
      <c r="E589" s="1" t="str">
        <f>IFERROR(__xludf.DUMMYFUNCTION("""COMPUTED_VALUE"""),"RIVADAVIA Santiago N")</f>
        <v>RIVADAVIA Santiago N</v>
      </c>
      <c r="F589" s="1" t="str">
        <f t="shared" si="1"/>
        <v>RIVADAVIA </v>
      </c>
      <c r="G589" s="1" t="str">
        <f t="shared" si="2"/>
        <v>Santiago N</v>
      </c>
      <c r="H589" s="1" t="str">
        <f>IFERROR(__xludf.DUMMYFUNCTION("""COMPUTED_VALUE"""),"17/1/2023, 17:00:00")</f>
        <v>17/1/2023, 17:00:00</v>
      </c>
      <c r="I589" s="1" t="str">
        <f>IFERROR(__xludf.DUMMYFUNCTION("""COMPUTED_VALUE"""),"Enviado a Sucursal")</f>
        <v>Enviado a Sucursal</v>
      </c>
      <c r="J589" s="1">
        <f t="shared" si="3"/>
        <v>4</v>
      </c>
      <c r="K589" s="1" t="str">
        <f t="shared" si="4"/>
        <v>Tus lentes estan viajando a la sucursal para su entrega.</v>
      </c>
    </row>
    <row r="590">
      <c r="A590" s="1">
        <f>IFERROR(__xludf.DUMMYFUNCTION("""COMPUTED_VALUE"""),85140.0)</f>
        <v>85140</v>
      </c>
      <c r="B590" s="5">
        <f>IFERROR(__xludf.DUMMYFUNCTION("""COMPUTED_VALUE"""),44942.7358484838)</f>
        <v>44942.73585</v>
      </c>
      <c r="C590" s="1" t="str">
        <f>IFERROR(__xludf.DUMMYFUNCTION("""COMPUTED_VALUE"""),"TASSARA HECTOR")</f>
        <v>TASSARA HECTOR</v>
      </c>
      <c r="D590" s="1" t="str">
        <f>IFERROR(__xludf.DUMMYFUNCTION("""COMPUTED_VALUE"""),"Reparaciones/Otros")</f>
        <v>Reparaciones/Otros</v>
      </c>
      <c r="E590" s="1" t="str">
        <f>IFERROR(__xludf.DUMMYFUNCTION("""COMPUTED_VALUE"""),"RIVADAVIA Javier")</f>
        <v>RIVADAVIA Javier</v>
      </c>
      <c r="F590" s="1" t="str">
        <f t="shared" si="1"/>
        <v>RIVADAVIA </v>
      </c>
      <c r="G590" s="1" t="str">
        <f t="shared" si="2"/>
        <v>Javier</v>
      </c>
      <c r="H590" s="1" t="str">
        <f>IFERROR(__xludf.DUMMYFUNCTION("""COMPUTED_VALUE"""),"17/1/2023, 17:00:00")</f>
        <v>17/1/2023, 17:00:00</v>
      </c>
      <c r="I590" s="1" t="str">
        <f>IFERROR(__xludf.DUMMYFUNCTION("""COMPUTED_VALUE"""),"Completado en SUCURSAL")</f>
        <v>Completado en SUCURSAL</v>
      </c>
      <c r="J590" s="1">
        <f t="shared" si="3"/>
        <v>5</v>
      </c>
      <c r="K590" s="1" t="str">
        <f t="shared" si="4"/>
        <v>Tus Lentes estan LISTAS PARA ENTREGAR, te esperamos.</v>
      </c>
    </row>
    <row r="591">
      <c r="A591" s="1">
        <f>IFERROR(__xludf.DUMMYFUNCTION("""COMPUTED_VALUE"""),85141.0)</f>
        <v>85141</v>
      </c>
      <c r="B591" s="5">
        <f>IFERROR(__xludf.DUMMYFUNCTION("""COMPUTED_VALUE"""),44942.740388923616)</f>
        <v>44942.74039</v>
      </c>
      <c r="C591" s="1" t="str">
        <f>IFERROR(__xludf.DUMMYFUNCTION("""COMPUTED_VALUE"""),"JOFRE JUAN CARLOS")</f>
        <v>JOFRE JUAN CARLOS</v>
      </c>
      <c r="D591" s="1" t="str">
        <f>IFERROR(__xludf.DUMMYFUNCTION("""COMPUTED_VALUE"""),"Lentes de STOCK")</f>
        <v>Lentes de STOCK</v>
      </c>
      <c r="E591" s="1" t="str">
        <f>IFERROR(__xludf.DUMMYFUNCTION("""COMPUTED_VALUE"""),"ARTIGAS Ivana P.")</f>
        <v>ARTIGAS Ivana P.</v>
      </c>
      <c r="F591" s="1" t="str">
        <f t="shared" si="1"/>
        <v>ARTIGAS </v>
      </c>
      <c r="G591" s="1" t="str">
        <f t="shared" si="2"/>
        <v>Ivana P.</v>
      </c>
      <c r="H591" s="1" t="str">
        <f>IFERROR(__xludf.DUMMYFUNCTION("""COMPUTED_VALUE"""),"20/1/2023, 17:00:00")</f>
        <v>20/1/2023, 17:00:00</v>
      </c>
      <c r="I591" s="1" t="str">
        <f>IFERROR(__xludf.DUMMYFUNCTION("""COMPUTED_VALUE"""),"RETIRADO OK POR CLIENTE")</f>
        <v>RETIRADO OK POR CLIENTE</v>
      </c>
      <c r="J591" s="1">
        <f t="shared" si="3"/>
        <v>6</v>
      </c>
      <c r="K591" s="1" t="str">
        <f t="shared" si="4"/>
        <v>Entregamos tus lentes, que los disfrutes!</v>
      </c>
    </row>
    <row r="592">
      <c r="A592" s="1">
        <f>IFERROR(__xludf.DUMMYFUNCTION("""COMPUTED_VALUE"""),85142.0)</f>
        <v>85142</v>
      </c>
      <c r="B592" s="5">
        <f>IFERROR(__xludf.DUMMYFUNCTION("""COMPUTED_VALUE"""),44942.75947755787)</f>
        <v>44942.75948</v>
      </c>
      <c r="C592" s="1" t="str">
        <f>IFERROR(__xludf.DUMMYFUNCTION("""COMPUTED_VALUE"""),"PALLERO AGUSTIN")</f>
        <v>PALLERO AGUSTIN</v>
      </c>
      <c r="D592" s="1" t="str">
        <f>IFERROR(__xludf.DUMMYFUNCTION("""COMPUTED_VALUE"""),"Lentes de STOCK")</f>
        <v>Lentes de STOCK</v>
      </c>
      <c r="E592" s="1" t="str">
        <f>IFERROR(__xludf.DUMMYFUNCTION("""COMPUTED_VALUE"""),"ARTIGAS Ivana P.")</f>
        <v>ARTIGAS Ivana P.</v>
      </c>
      <c r="F592" s="1" t="str">
        <f t="shared" si="1"/>
        <v>ARTIGAS </v>
      </c>
      <c r="G592" s="1" t="str">
        <f t="shared" si="2"/>
        <v>Ivana P.</v>
      </c>
      <c r="H592" s="1" t="str">
        <f>IFERROR(__xludf.DUMMYFUNCTION("""COMPUTED_VALUE"""),"20/1/2023, 17:00:00")</f>
        <v>20/1/2023, 17:00:00</v>
      </c>
      <c r="I592" s="1" t="str">
        <f>IFERROR(__xludf.DUMMYFUNCTION("""COMPUTED_VALUE"""),"RETIRADO OK POR CLIENTE")</f>
        <v>RETIRADO OK POR CLIENTE</v>
      </c>
      <c r="J592" s="1">
        <f t="shared" si="3"/>
        <v>6</v>
      </c>
      <c r="K592" s="1" t="str">
        <f t="shared" si="4"/>
        <v>Entregamos tus lentes, que los disfrutes!</v>
      </c>
    </row>
    <row r="593">
      <c r="A593" s="1">
        <f>IFERROR(__xludf.DUMMYFUNCTION("""COMPUTED_VALUE"""),85143.0)</f>
        <v>85143</v>
      </c>
      <c r="B593" s="5">
        <f>IFERROR(__xludf.DUMMYFUNCTION("""COMPUTED_VALUE"""),44942.76302920139)</f>
        <v>44942.76303</v>
      </c>
      <c r="C593" s="1" t="str">
        <f>IFERROR(__xludf.DUMMYFUNCTION("""COMPUTED_VALUE"""),"CASTRO OCHOA JUAN ANDRES")</f>
        <v>CASTRO OCHOA JUAN ANDRES</v>
      </c>
      <c r="D593" s="1" t="str">
        <f>IFERROR(__xludf.DUMMYFUNCTION("""COMPUTED_VALUE"""),"Lentes de LABORATORIO")</f>
        <v>Lentes de LABORATORIO</v>
      </c>
      <c r="E593" s="1" t="str">
        <f>IFERROR(__xludf.DUMMYFUNCTION("""COMPUTED_VALUE"""),"RIVADAVIA Rocio B")</f>
        <v>RIVADAVIA Rocio B</v>
      </c>
      <c r="F593" s="1" t="str">
        <f t="shared" si="1"/>
        <v>RIVADAVIA </v>
      </c>
      <c r="G593" s="1" t="str">
        <f t="shared" si="2"/>
        <v>Rocio B</v>
      </c>
      <c r="H593" s="1" t="str">
        <f>IFERROR(__xludf.DUMMYFUNCTION("""COMPUTED_VALUE"""),"9/2/2023, 17:00:00")</f>
        <v>9/2/2023, 17:00:00</v>
      </c>
      <c r="I593" s="1" t="str">
        <f>IFERROR(__xludf.DUMMYFUNCTION("""COMPUTED_VALUE"""),"Recibido en Laboratorio")</f>
        <v>Recibido en Laboratorio</v>
      </c>
      <c r="J593" s="1">
        <f t="shared" si="3"/>
        <v>2</v>
      </c>
      <c r="K593" s="1" t="str">
        <f t="shared" si="4"/>
        <v>Nuestro Laboratorio esta trabajando en tus lentes, los entregaremos en la fecha acordada.</v>
      </c>
    </row>
    <row r="594">
      <c r="A594" s="1">
        <f>IFERROR(__xludf.DUMMYFUNCTION("""COMPUTED_VALUE"""),85144.0)</f>
        <v>85144</v>
      </c>
      <c r="B594" s="5">
        <f>IFERROR(__xludf.DUMMYFUNCTION("""COMPUTED_VALUE"""),44942.77015143519)</f>
        <v>44942.77015</v>
      </c>
      <c r="C594" s="1" t="str">
        <f>IFERROR(__xludf.DUMMYFUNCTION("""COMPUTED_VALUE"""),"BRUNO GABRIELA")</f>
        <v>BRUNO GABRIELA</v>
      </c>
      <c r="D594" s="1" t="str">
        <f>IFERROR(__xludf.DUMMYFUNCTION("""COMPUTED_VALUE"""),"Reparaciones/Otros")</f>
        <v>Reparaciones/Otros</v>
      </c>
      <c r="E594" s="1" t="str">
        <f>IFERROR(__xludf.DUMMYFUNCTION("""COMPUTED_VALUE"""),"RIVADAVIA Javier")</f>
        <v>RIVADAVIA Javier</v>
      </c>
      <c r="F594" s="1" t="str">
        <f t="shared" si="1"/>
        <v>RIVADAVIA </v>
      </c>
      <c r="G594" s="1" t="str">
        <f t="shared" si="2"/>
        <v>Javier</v>
      </c>
      <c r="H594" s="1" t="str">
        <f>IFERROR(__xludf.DUMMYFUNCTION("""COMPUTED_VALUE"""),"18/1/2023, 17:00:00")</f>
        <v>18/1/2023, 17:00:00</v>
      </c>
      <c r="I594" s="1" t="str">
        <f>IFERROR(__xludf.DUMMYFUNCTION("""COMPUTED_VALUE"""),"Completado en SUCURSAL")</f>
        <v>Completado en SUCURSAL</v>
      </c>
      <c r="J594" s="1">
        <f t="shared" si="3"/>
        <v>5</v>
      </c>
      <c r="K594" s="1" t="str">
        <f t="shared" si="4"/>
        <v>Tus Lentes estan LISTAS PARA ENTREGAR, te esperamos.</v>
      </c>
    </row>
    <row r="595">
      <c r="A595" s="1">
        <f>IFERROR(__xludf.DUMMYFUNCTION("""COMPUTED_VALUE"""),85145.0)</f>
        <v>85145</v>
      </c>
      <c r="B595" s="5">
        <f>IFERROR(__xludf.DUMMYFUNCTION("""COMPUTED_VALUE"""),44942.77028907408)</f>
        <v>44942.77029</v>
      </c>
      <c r="C595" s="1" t="str">
        <f>IFERROR(__xludf.DUMMYFUNCTION("""COMPUTED_VALUE"""),"JOFRE SILVANA / PAPELERIA JUNIN")</f>
        <v>JOFRE SILVANA / PAPELERIA JUNIN</v>
      </c>
      <c r="D595" s="1" t="str">
        <f>IFERROR(__xludf.DUMMYFUNCTION("""COMPUTED_VALUE"""),"Lentes de STOCK")</f>
        <v>Lentes de STOCK</v>
      </c>
      <c r="E595" s="1" t="str">
        <f>IFERROR(__xludf.DUMMYFUNCTION("""COMPUTED_VALUE"""),"ARTIGAS Ivana P.")</f>
        <v>ARTIGAS Ivana P.</v>
      </c>
      <c r="F595" s="1" t="str">
        <f t="shared" si="1"/>
        <v>ARTIGAS </v>
      </c>
      <c r="G595" s="1" t="str">
        <f t="shared" si="2"/>
        <v>Ivana P.</v>
      </c>
      <c r="H595" s="1" t="str">
        <f>IFERROR(__xludf.DUMMYFUNCTION("""COMPUTED_VALUE"""),"20/1/2023, 17:00:00")</f>
        <v>20/1/2023, 17:00:00</v>
      </c>
      <c r="I595" s="1" t="str">
        <f>IFERROR(__xludf.DUMMYFUNCTION("""COMPUTED_VALUE"""),"RETIRADO OK POR CLIENTE")</f>
        <v>RETIRADO OK POR CLIENTE</v>
      </c>
      <c r="J595" s="1">
        <f t="shared" si="3"/>
        <v>6</v>
      </c>
      <c r="K595" s="1" t="str">
        <f t="shared" si="4"/>
        <v>Entregamos tus lentes, que los disfrutes!</v>
      </c>
    </row>
    <row r="596">
      <c r="A596" s="1">
        <f>IFERROR(__xludf.DUMMYFUNCTION("""COMPUTED_VALUE"""),85146.0)</f>
        <v>85146</v>
      </c>
      <c r="B596" s="5">
        <f>IFERROR(__xludf.DUMMYFUNCTION("""COMPUTED_VALUE"""),44942.77452497685)</f>
        <v>44942.77452</v>
      </c>
      <c r="C596" s="1" t="str">
        <f>IFERROR(__xludf.DUMMYFUNCTION("""COMPUTED_VALUE"""),"rodriguez furnari guillermina")</f>
        <v>rodriguez furnari guillermina</v>
      </c>
      <c r="D596" s="1" t="str">
        <f>IFERROR(__xludf.DUMMYFUNCTION("""COMPUTED_VALUE"""),"Lentes de STOCK")</f>
        <v>Lentes de STOCK</v>
      </c>
      <c r="E596" s="1" t="str">
        <f>IFERROR(__xludf.DUMMYFUNCTION("""COMPUTED_VALUE"""),"RIVADAVIA Daniel CM")</f>
        <v>RIVADAVIA Daniel CM</v>
      </c>
      <c r="F596" s="1" t="str">
        <f t="shared" si="1"/>
        <v>RIVADAVIA </v>
      </c>
      <c r="G596" s="1" t="str">
        <f t="shared" si="2"/>
        <v>Daniel CM</v>
      </c>
      <c r="H596" s="1" t="str">
        <f>IFERROR(__xludf.DUMMYFUNCTION("""COMPUTED_VALUE"""),"20/1/2023, 17:00:00")</f>
        <v>20/1/2023, 17:00:00</v>
      </c>
      <c r="I596" s="1" t="str">
        <f>IFERROR(__xludf.DUMMYFUNCTION("""COMPUTED_VALUE"""),"Completado en SUCURSAL")</f>
        <v>Completado en SUCURSAL</v>
      </c>
      <c r="J596" s="1">
        <f t="shared" si="3"/>
        <v>5</v>
      </c>
      <c r="K596" s="1" t="str">
        <f t="shared" si="4"/>
        <v>Tus Lentes estan LISTAS PARA ENTREGAR, te esperamos.</v>
      </c>
    </row>
    <row r="597">
      <c r="A597" s="1">
        <f>IFERROR(__xludf.DUMMYFUNCTION("""COMPUTED_VALUE"""),85147.0)</f>
        <v>85147</v>
      </c>
      <c r="B597" s="5">
        <f>IFERROR(__xludf.DUMMYFUNCTION("""COMPUTED_VALUE"""),44942.780913553244)</f>
        <v>44942.78091</v>
      </c>
      <c r="C597" s="1" t="str">
        <f>IFERROR(__xludf.DUMMYFUNCTION("""COMPUTED_VALUE"""),"formento osvaldo")</f>
        <v>formento osvaldo</v>
      </c>
      <c r="D597" s="1" t="str">
        <f>IFERROR(__xludf.DUMMYFUNCTION("""COMPUTED_VALUE"""),"Reparaciones/Otros")</f>
        <v>Reparaciones/Otros</v>
      </c>
      <c r="E597" s="1" t="str">
        <f>IFERROR(__xludf.DUMMYFUNCTION("""COMPUTED_VALUE"""),"RIVADAVIA Daniel CM")</f>
        <v>RIVADAVIA Daniel CM</v>
      </c>
      <c r="F597" s="1" t="str">
        <f t="shared" si="1"/>
        <v>RIVADAVIA </v>
      </c>
      <c r="G597" s="1" t="str">
        <f t="shared" si="2"/>
        <v>Daniel CM</v>
      </c>
      <c r="H597" s="1" t="str">
        <f>IFERROR(__xludf.DUMMYFUNCTION("""COMPUTED_VALUE"""),"17/1/2023, 17:00:00")</f>
        <v>17/1/2023, 17:00:00</v>
      </c>
      <c r="I597" s="1" t="str">
        <f>IFERROR(__xludf.DUMMYFUNCTION("""COMPUTED_VALUE"""),"Completado en SUCURSAL")</f>
        <v>Completado en SUCURSAL</v>
      </c>
      <c r="J597" s="1">
        <f t="shared" si="3"/>
        <v>5</v>
      </c>
      <c r="K597" s="1" t="str">
        <f t="shared" si="4"/>
        <v>Tus Lentes estan LISTAS PARA ENTREGAR, te esperamos.</v>
      </c>
    </row>
    <row r="598">
      <c r="A598" s="1">
        <f>IFERROR(__xludf.DUMMYFUNCTION("""COMPUTED_VALUE"""),85148.0)</f>
        <v>85148</v>
      </c>
      <c r="B598" s="5">
        <f>IFERROR(__xludf.DUMMYFUNCTION("""COMPUTED_VALUE"""),44942.78174673612)</f>
        <v>44942.78175</v>
      </c>
      <c r="C598" s="1" t="str">
        <f>IFERROR(__xludf.DUMMYFUNCTION("""COMPUTED_VALUE"""),"marin cynthia")</f>
        <v>marin cynthia</v>
      </c>
      <c r="D598" s="1" t="str">
        <f>IFERROR(__xludf.DUMMYFUNCTION("""COMPUTED_VALUE"""),"Reparaciones/Otros")</f>
        <v>Reparaciones/Otros</v>
      </c>
      <c r="E598" s="1" t="str">
        <f>IFERROR(__xludf.DUMMYFUNCTION("""COMPUTED_VALUE"""),"RIVADAVIA Santiago LOPEZ")</f>
        <v>RIVADAVIA Santiago LOPEZ</v>
      </c>
      <c r="F598" s="1" t="str">
        <f t="shared" si="1"/>
        <v>RIVADAVIA </v>
      </c>
      <c r="G598" s="1" t="str">
        <f t="shared" si="2"/>
        <v>Santiago LOPEZ</v>
      </c>
      <c r="H598" s="1" t="str">
        <f>IFERROR(__xludf.DUMMYFUNCTION("""COMPUTED_VALUE"""),"17/1/2023, 17:00:00")</f>
        <v>17/1/2023, 17:00:00</v>
      </c>
      <c r="I598" s="1" t="str">
        <f>IFERROR(__xludf.DUMMYFUNCTION("""COMPUTED_VALUE"""),"Completado en SUCURSAL")</f>
        <v>Completado en SUCURSAL</v>
      </c>
      <c r="J598" s="1">
        <f t="shared" si="3"/>
        <v>5</v>
      </c>
      <c r="K598" s="1" t="str">
        <f t="shared" si="4"/>
        <v>Tus Lentes estan LISTAS PARA ENTREGAR, te esperamos.</v>
      </c>
    </row>
    <row r="599">
      <c r="A599" s="1">
        <f>IFERROR(__xludf.DUMMYFUNCTION("""COMPUTED_VALUE"""),85149.0)</f>
        <v>85149</v>
      </c>
      <c r="B599" s="5">
        <f>IFERROR(__xludf.DUMMYFUNCTION("""COMPUTED_VALUE"""),44942.78964524306)</f>
        <v>44942.78965</v>
      </c>
      <c r="C599" s="1" t="str">
        <f>IFERROR(__xludf.DUMMYFUNCTION("""COMPUTED_VALUE"""),"LUCERO FEDERICO")</f>
        <v>LUCERO FEDERICO</v>
      </c>
      <c r="D599" s="1" t="str">
        <f>IFERROR(__xludf.DUMMYFUNCTION("""COMPUTED_VALUE"""),"Lentes de STOCK")</f>
        <v>Lentes de STOCK</v>
      </c>
      <c r="E599" s="1" t="str">
        <f>IFERROR(__xludf.DUMMYFUNCTION("""COMPUTED_VALUE"""),"ARTIGAS Ivana P.")</f>
        <v>ARTIGAS Ivana P.</v>
      </c>
      <c r="F599" s="1" t="str">
        <f t="shared" si="1"/>
        <v>ARTIGAS </v>
      </c>
      <c r="G599" s="1" t="str">
        <f t="shared" si="2"/>
        <v>Ivana P.</v>
      </c>
      <c r="H599" s="1" t="str">
        <f>IFERROR(__xludf.DUMMYFUNCTION("""COMPUTED_VALUE"""),"23/1/2023, 17:00:00")</f>
        <v>23/1/2023, 17:00:00</v>
      </c>
      <c r="I599" s="1" t="str">
        <f>IFERROR(__xludf.DUMMYFUNCTION("""COMPUTED_VALUE"""),"RETIRADO OK POR CLIENTE")</f>
        <v>RETIRADO OK POR CLIENTE</v>
      </c>
      <c r="J599" s="1">
        <f t="shared" si="3"/>
        <v>6</v>
      </c>
      <c r="K599" s="1" t="str">
        <f t="shared" si="4"/>
        <v>Entregamos tus lentes, que los disfrutes!</v>
      </c>
    </row>
    <row r="600">
      <c r="A600" s="1">
        <f>IFERROR(__xludf.DUMMYFUNCTION("""COMPUTED_VALUE"""),85150.0)</f>
        <v>85150</v>
      </c>
      <c r="B600" s="5">
        <f>IFERROR(__xludf.DUMMYFUNCTION("""COMPUTED_VALUE"""),44942.79134303241)</f>
        <v>44942.79134</v>
      </c>
      <c r="C600" s="1" t="str">
        <f>IFERROR(__xludf.DUMMYFUNCTION("""COMPUTED_VALUE"""),"FLORES DANIELA")</f>
        <v>FLORES DANIELA</v>
      </c>
      <c r="D600" s="1" t="str">
        <f>IFERROR(__xludf.DUMMYFUNCTION("""COMPUTED_VALUE"""),"Lentes de STOCK")</f>
        <v>Lentes de STOCK</v>
      </c>
      <c r="E600" s="1" t="str">
        <f>IFERROR(__xludf.DUMMYFUNCTION("""COMPUTED_VALUE"""),"ARTIGAS Ivana P.")</f>
        <v>ARTIGAS Ivana P.</v>
      </c>
      <c r="F600" s="1" t="str">
        <f t="shared" si="1"/>
        <v>ARTIGAS </v>
      </c>
      <c r="G600" s="1" t="str">
        <f t="shared" si="2"/>
        <v>Ivana P.</v>
      </c>
      <c r="H600" s="1" t="str">
        <f>IFERROR(__xludf.DUMMYFUNCTION("""COMPUTED_VALUE"""),"23/1/2023, 17:00:00")</f>
        <v>23/1/2023, 17:00:00</v>
      </c>
      <c r="I600" s="1" t="str">
        <f>IFERROR(__xludf.DUMMYFUNCTION("""COMPUTED_VALUE"""),"En Armado Hoy")</f>
        <v>En Armado Hoy</v>
      </c>
      <c r="J600" s="1">
        <f t="shared" si="3"/>
        <v>3</v>
      </c>
      <c r="K600" s="1" t="str">
        <f t="shared" si="4"/>
        <v>Estamos terminando los ultimos detalles de tus lentes, los terminaremos el dia de hoy.</v>
      </c>
    </row>
    <row r="601">
      <c r="A601" s="1">
        <f>IFERROR(__xludf.DUMMYFUNCTION("""COMPUTED_VALUE"""),85151.0)</f>
        <v>85151</v>
      </c>
      <c r="B601" s="5">
        <f>IFERROR(__xludf.DUMMYFUNCTION("""COMPUTED_VALUE"""),44942.7968068287)</f>
        <v>44942.79681</v>
      </c>
      <c r="C601" s="1" t="str">
        <f>IFERROR(__xludf.DUMMYFUNCTION("""COMPUTED_VALUE"""),"DIAZ MARIO")</f>
        <v>DIAZ MARIO</v>
      </c>
      <c r="D601" s="1" t="str">
        <f>IFERROR(__xludf.DUMMYFUNCTION("""COMPUTED_VALUE"""),"Lentes de STOCK")</f>
        <v>Lentes de STOCK</v>
      </c>
      <c r="E601" s="1" t="str">
        <f>IFERROR(__xludf.DUMMYFUNCTION("""COMPUTED_VALUE"""),"RIVADAVIA Santiago LOPEZ")</f>
        <v>RIVADAVIA Santiago LOPEZ</v>
      </c>
      <c r="F601" s="1" t="str">
        <f t="shared" si="1"/>
        <v>RIVADAVIA </v>
      </c>
      <c r="G601" s="1" t="str">
        <f t="shared" si="2"/>
        <v>Santiago LOPEZ</v>
      </c>
      <c r="H601" s="1" t="str">
        <f>IFERROR(__xludf.DUMMYFUNCTION("""COMPUTED_VALUE"""),"20/1/2023, 17:00:00")</f>
        <v>20/1/2023, 17:00:00</v>
      </c>
      <c r="I601" s="1" t="str">
        <f>IFERROR(__xludf.DUMMYFUNCTION("""COMPUTED_VALUE"""),"RETIRADO OK POR CLIENTE")</f>
        <v>RETIRADO OK POR CLIENTE</v>
      </c>
      <c r="J601" s="1">
        <f t="shared" si="3"/>
        <v>6</v>
      </c>
      <c r="K601" s="1" t="str">
        <f t="shared" si="4"/>
        <v>Entregamos tus lentes, que los disfrutes!</v>
      </c>
    </row>
    <row r="602">
      <c r="A602" s="1">
        <f>IFERROR(__xludf.DUMMYFUNCTION("""COMPUTED_VALUE"""),85152.0)</f>
        <v>85152</v>
      </c>
      <c r="B602" s="5">
        <f>IFERROR(__xludf.DUMMYFUNCTION("""COMPUTED_VALUE"""),44942.79858472222)</f>
        <v>44942.79858</v>
      </c>
      <c r="C602" s="1" t="str">
        <f>IFERROR(__xludf.DUMMYFUNCTION("""COMPUTED_VALUE"""),"AMAYA PRISCILA")</f>
        <v>AMAYA PRISCILA</v>
      </c>
      <c r="D602" s="1" t="str">
        <f>IFERROR(__xludf.DUMMYFUNCTION("""COMPUTED_VALUE"""),"Lentes de STOCK")</f>
        <v>Lentes de STOCK</v>
      </c>
      <c r="E602" s="1" t="str">
        <f>IFERROR(__xludf.DUMMYFUNCTION("""COMPUTED_VALUE"""),"ARTIGAS Ivana P.")</f>
        <v>ARTIGAS Ivana P.</v>
      </c>
      <c r="F602" s="1" t="str">
        <f t="shared" si="1"/>
        <v>ARTIGAS </v>
      </c>
      <c r="G602" s="1" t="str">
        <f t="shared" si="2"/>
        <v>Ivana P.</v>
      </c>
      <c r="H602" s="1" t="str">
        <f>IFERROR(__xludf.DUMMYFUNCTION("""COMPUTED_VALUE"""),"20/1/2023, 17:00:00")</f>
        <v>20/1/2023, 17:00:00</v>
      </c>
      <c r="I602" s="1" t="str">
        <f>IFERROR(__xludf.DUMMYFUNCTION("""COMPUTED_VALUE"""),"RETIRADO OK POR CLIENTE")</f>
        <v>RETIRADO OK POR CLIENTE</v>
      </c>
      <c r="J602" s="1">
        <f t="shared" si="3"/>
        <v>6</v>
      </c>
      <c r="K602" s="1" t="str">
        <f t="shared" si="4"/>
        <v>Entregamos tus lentes, que los disfrutes!</v>
      </c>
    </row>
    <row r="603">
      <c r="A603" s="1">
        <f>IFERROR(__xludf.DUMMYFUNCTION("""COMPUTED_VALUE"""),85153.0)</f>
        <v>85153</v>
      </c>
      <c r="B603" s="5">
        <f>IFERROR(__xludf.DUMMYFUNCTION("""COMPUTED_VALUE"""),44942.80152366898)</f>
        <v>44942.80152</v>
      </c>
      <c r="C603" s="1" t="str">
        <f>IFERROR(__xludf.DUMMYFUNCTION("""COMPUTED_VALUE"""),"AMAYA GIOVANNA")</f>
        <v>AMAYA GIOVANNA</v>
      </c>
      <c r="D603" s="1" t="str">
        <f>IFERROR(__xludf.DUMMYFUNCTION("""COMPUTED_VALUE"""),"Lentes de STOCK")</f>
        <v>Lentes de STOCK</v>
      </c>
      <c r="E603" s="1" t="str">
        <f>IFERROR(__xludf.DUMMYFUNCTION("""COMPUTED_VALUE"""),"ARTIGAS Ivana P.")</f>
        <v>ARTIGAS Ivana P.</v>
      </c>
      <c r="F603" s="1" t="str">
        <f t="shared" si="1"/>
        <v>ARTIGAS </v>
      </c>
      <c r="G603" s="1" t="str">
        <f t="shared" si="2"/>
        <v>Ivana P.</v>
      </c>
      <c r="H603" s="1" t="str">
        <f>IFERROR(__xludf.DUMMYFUNCTION("""COMPUTED_VALUE"""),"20/1/2023, 17:00:00")</f>
        <v>20/1/2023, 17:00:00</v>
      </c>
      <c r="I603" s="1" t="str">
        <f>IFERROR(__xludf.DUMMYFUNCTION("""COMPUTED_VALUE"""),"RETIRADO OK POR CLIENTE")</f>
        <v>RETIRADO OK POR CLIENTE</v>
      </c>
      <c r="J603" s="1">
        <f t="shared" si="3"/>
        <v>6</v>
      </c>
      <c r="K603" s="1" t="str">
        <f t="shared" si="4"/>
        <v>Entregamos tus lentes, que los disfrutes!</v>
      </c>
    </row>
    <row r="604">
      <c r="A604" s="1">
        <f>IFERROR(__xludf.DUMMYFUNCTION("""COMPUTED_VALUE"""),85154.0)</f>
        <v>85154</v>
      </c>
      <c r="B604" s="5">
        <f>IFERROR(__xludf.DUMMYFUNCTION("""COMPUTED_VALUE"""),44942.819158032406)</f>
        <v>44942.81916</v>
      </c>
      <c r="C604" s="1" t="str">
        <f>IFERROR(__xludf.DUMMYFUNCTION("""COMPUTED_VALUE"""),"QUIROGA CLAUDIA")</f>
        <v>QUIROGA CLAUDIA</v>
      </c>
      <c r="D604" s="1" t="str">
        <f>IFERROR(__xludf.DUMMYFUNCTION("""COMPUTED_VALUE"""),"Lentes de STOCK")</f>
        <v>Lentes de STOCK</v>
      </c>
      <c r="E604" s="1" t="str">
        <f>IFERROR(__xludf.DUMMYFUNCTION("""COMPUTED_VALUE"""),"ARTIGAS Cristian C.")</f>
        <v>ARTIGAS Cristian C.</v>
      </c>
      <c r="F604" s="1" t="str">
        <f t="shared" si="1"/>
        <v>ARTIGAS </v>
      </c>
      <c r="G604" s="1" t="str">
        <f t="shared" si="2"/>
        <v>Cristian C.</v>
      </c>
      <c r="H604" s="1" t="str">
        <f>IFERROR(__xludf.DUMMYFUNCTION("""COMPUTED_VALUE"""),"20/1/2023, 17:00:00")</f>
        <v>20/1/2023, 17:00:00</v>
      </c>
      <c r="I604" s="1" t="str">
        <f>IFERROR(__xludf.DUMMYFUNCTION("""COMPUTED_VALUE"""),"En Armado Hoy")</f>
        <v>En Armado Hoy</v>
      </c>
      <c r="J604" s="1">
        <f t="shared" si="3"/>
        <v>3</v>
      </c>
      <c r="K604" s="1" t="str">
        <f t="shared" si="4"/>
        <v>Estamos terminando los ultimos detalles de tus lentes, los terminaremos el dia de hoy.</v>
      </c>
    </row>
    <row r="605">
      <c r="A605" s="1">
        <f>IFERROR(__xludf.DUMMYFUNCTION("""COMPUTED_VALUE"""),85155.0)</f>
        <v>85155</v>
      </c>
      <c r="B605" s="5">
        <f>IFERROR(__xludf.DUMMYFUNCTION("""COMPUTED_VALUE"""),44942.82142262731)</f>
        <v>44942.82142</v>
      </c>
      <c r="C605" s="1" t="str">
        <f>IFERROR(__xludf.DUMMYFUNCTION("""COMPUTED_VALUE"""),"LOPEZ THIAGO")</f>
        <v>LOPEZ THIAGO</v>
      </c>
      <c r="D605" s="1" t="str">
        <f>IFERROR(__xludf.DUMMYFUNCTION("""COMPUTED_VALUE"""),"Lentes de STOCK")</f>
        <v>Lentes de STOCK</v>
      </c>
      <c r="E605" s="1" t="str">
        <f>IFERROR(__xludf.DUMMYFUNCTION("""COMPUTED_VALUE"""),"ARTIGAS Ivana P.")</f>
        <v>ARTIGAS Ivana P.</v>
      </c>
      <c r="F605" s="1" t="str">
        <f t="shared" si="1"/>
        <v>ARTIGAS </v>
      </c>
      <c r="G605" s="1" t="str">
        <f t="shared" si="2"/>
        <v>Ivana P.</v>
      </c>
      <c r="H605" s="1" t="str">
        <f>IFERROR(__xludf.DUMMYFUNCTION("""COMPUTED_VALUE"""),"18/1/2023, 17:00:00")</f>
        <v>18/1/2023, 17:00:00</v>
      </c>
      <c r="I605" s="1" t="str">
        <f>IFERROR(__xludf.DUMMYFUNCTION("""COMPUTED_VALUE"""),"RETIRADO OK POR CLIENTE")</f>
        <v>RETIRADO OK POR CLIENTE</v>
      </c>
      <c r="J605" s="1">
        <f t="shared" si="3"/>
        <v>6</v>
      </c>
      <c r="K605" s="1" t="str">
        <f t="shared" si="4"/>
        <v>Entregamos tus lentes, que los disfrutes!</v>
      </c>
    </row>
    <row r="606">
      <c r="A606" s="1">
        <f>IFERROR(__xludf.DUMMYFUNCTION("""COMPUTED_VALUE"""),85156.0)</f>
        <v>85156</v>
      </c>
      <c r="B606" s="5">
        <f>IFERROR(__xludf.DUMMYFUNCTION("""COMPUTED_VALUE"""),44942.835556736114)</f>
        <v>44942.83556</v>
      </c>
      <c r="C606" s="1" t="str">
        <f>IFERROR(__xludf.DUMMYFUNCTION("""COMPUTED_VALUE"""),"AMITRANO MARIELA")</f>
        <v>AMITRANO MARIELA</v>
      </c>
      <c r="D606" s="1" t="str">
        <f>IFERROR(__xludf.DUMMYFUNCTION("""COMPUTED_VALUE"""),"Reparaciones/Otros")</f>
        <v>Reparaciones/Otros</v>
      </c>
      <c r="E606" s="1" t="str">
        <f>IFERROR(__xludf.DUMMYFUNCTION("""COMPUTED_VALUE"""),"RIVADAVIA Santiago LOPEZ")</f>
        <v>RIVADAVIA Santiago LOPEZ</v>
      </c>
      <c r="F606" s="1" t="str">
        <f t="shared" si="1"/>
        <v>RIVADAVIA </v>
      </c>
      <c r="G606" s="1" t="str">
        <f t="shared" si="2"/>
        <v>Santiago LOPEZ</v>
      </c>
      <c r="H606" s="1" t="str">
        <f>IFERROR(__xludf.DUMMYFUNCTION("""COMPUTED_VALUE"""),"17/1/2023, 17:00:00")</f>
        <v>17/1/2023, 17:00:00</v>
      </c>
      <c r="I606" s="1" t="str">
        <f>IFERROR(__xludf.DUMMYFUNCTION("""COMPUTED_VALUE"""),"Completado en SUCURSAL")</f>
        <v>Completado en SUCURSAL</v>
      </c>
      <c r="J606" s="1">
        <f t="shared" si="3"/>
        <v>5</v>
      </c>
      <c r="K606" s="1" t="str">
        <f t="shared" si="4"/>
        <v>Tus Lentes estan LISTAS PARA ENTREGAR, te esperamos.</v>
      </c>
    </row>
    <row r="607">
      <c r="A607" s="1">
        <f>IFERROR(__xludf.DUMMYFUNCTION("""COMPUTED_VALUE"""),85157.0)</f>
        <v>85157</v>
      </c>
      <c r="B607" s="5">
        <f>IFERROR(__xludf.DUMMYFUNCTION("""COMPUTED_VALUE"""),44942.84099040509)</f>
        <v>44942.84099</v>
      </c>
      <c r="C607" s="1" t="str">
        <f>IFERROR(__xludf.DUMMYFUNCTION("""COMPUTED_VALUE"""),"GOMEZ MILAGROS")</f>
        <v>GOMEZ MILAGROS</v>
      </c>
      <c r="D607" s="1" t="str">
        <f>IFERROR(__xludf.DUMMYFUNCTION("""COMPUTED_VALUE"""),"Lentes de LABORATORIO")</f>
        <v>Lentes de LABORATORIO</v>
      </c>
      <c r="E607" s="1" t="str">
        <f>IFERROR(__xludf.DUMMYFUNCTION("""COMPUTED_VALUE"""),"RIVADAVIA Luciana")</f>
        <v>RIVADAVIA Luciana</v>
      </c>
      <c r="F607" s="1" t="str">
        <f t="shared" si="1"/>
        <v>RIVADAVIA </v>
      </c>
      <c r="G607" s="1" t="str">
        <f t="shared" si="2"/>
        <v>Luciana</v>
      </c>
      <c r="H607" s="1" t="str">
        <f>IFERROR(__xludf.DUMMYFUNCTION("""COMPUTED_VALUE"""),"30/1/2023, 17:00:00")</f>
        <v>30/1/2023, 17:00:00</v>
      </c>
      <c r="I607" s="1" t="str">
        <f>IFERROR(__xludf.DUMMYFUNCTION("""COMPUTED_VALUE"""),"RETIRADO OK POR CLIENTE")</f>
        <v>RETIRADO OK POR CLIENTE</v>
      </c>
      <c r="J607" s="1">
        <f t="shared" si="3"/>
        <v>6</v>
      </c>
      <c r="K607" s="1" t="str">
        <f t="shared" si="4"/>
        <v>Entregamos tus lentes, que los disfrutes!</v>
      </c>
    </row>
    <row r="608">
      <c r="A608" s="1">
        <f>IFERROR(__xludf.DUMMYFUNCTION("""COMPUTED_VALUE"""),85158.0)</f>
        <v>85158</v>
      </c>
      <c r="B608" s="5">
        <f>IFERROR(__xludf.DUMMYFUNCTION("""COMPUTED_VALUE"""),44942.85454739584)</f>
        <v>44942.85455</v>
      </c>
      <c r="C608" s="1" t="str">
        <f>IFERROR(__xludf.DUMMYFUNCTION("""COMPUTED_VALUE"""),"quiroga tobias")</f>
        <v>quiroga tobias</v>
      </c>
      <c r="D608" s="1" t="str">
        <f>IFERROR(__xludf.DUMMYFUNCTION("""COMPUTED_VALUE"""),"Lentes de STOCK")</f>
        <v>Lentes de STOCK</v>
      </c>
      <c r="E608" s="1" t="str">
        <f>IFERROR(__xludf.DUMMYFUNCTION("""COMPUTED_VALUE"""),"RIVADAVIA Daniel CM")</f>
        <v>RIVADAVIA Daniel CM</v>
      </c>
      <c r="F608" s="1" t="str">
        <f t="shared" si="1"/>
        <v>RIVADAVIA </v>
      </c>
      <c r="G608" s="1" t="str">
        <f t="shared" si="2"/>
        <v>Daniel CM</v>
      </c>
      <c r="H608" s="1" t="str">
        <f>IFERROR(__xludf.DUMMYFUNCTION("""COMPUTED_VALUE"""),"20/1/2023, 17:00:00")</f>
        <v>20/1/2023, 17:00:00</v>
      </c>
      <c r="I608" s="1" t="str">
        <f>IFERROR(__xludf.DUMMYFUNCTION("""COMPUTED_VALUE"""),"RETIRADO OK POR CLIENTE")</f>
        <v>RETIRADO OK POR CLIENTE</v>
      </c>
      <c r="J608" s="1">
        <f t="shared" si="3"/>
        <v>6</v>
      </c>
      <c r="K608" s="1" t="str">
        <f t="shared" si="4"/>
        <v>Entregamos tus lentes, que los disfrutes!</v>
      </c>
    </row>
    <row r="609">
      <c r="A609" s="1">
        <f>IFERROR(__xludf.DUMMYFUNCTION("""COMPUTED_VALUE"""),85159.0)</f>
        <v>85159</v>
      </c>
      <c r="B609" s="5">
        <f>IFERROR(__xludf.DUMMYFUNCTION("""COMPUTED_VALUE"""),44943.38695163194)</f>
        <v>44943.38695</v>
      </c>
      <c r="C609" s="1" t="str">
        <f>IFERROR(__xludf.DUMMYFUNCTION("""COMPUTED_VALUE"""),"MOIGUER JOS E")</f>
        <v>MOIGUER JOS E</v>
      </c>
      <c r="D609" s="1" t="str">
        <f>IFERROR(__xludf.DUMMYFUNCTION("""COMPUTED_VALUE"""),"Lentes de STOCK")</f>
        <v>Lentes de STOCK</v>
      </c>
      <c r="E609" s="1" t="str">
        <f>IFERROR(__xludf.DUMMYFUNCTION("""COMPUTED_VALUE"""),"ARTIGAS Cristian C.")</f>
        <v>ARTIGAS Cristian C.</v>
      </c>
      <c r="F609" s="1" t="str">
        <f t="shared" si="1"/>
        <v>ARTIGAS </v>
      </c>
      <c r="G609" s="1" t="str">
        <f t="shared" si="2"/>
        <v>Cristian C.</v>
      </c>
      <c r="H609" s="1" t="str">
        <f>IFERROR(__xludf.DUMMYFUNCTION("""COMPUTED_VALUE"""),"24/1/2023, 17:00:00")</f>
        <v>24/1/2023, 17:00:00</v>
      </c>
      <c r="I609" s="1" t="str">
        <f>IFERROR(__xludf.DUMMYFUNCTION("""COMPUTED_VALUE"""),"RETIRADO OK POR CLIENTE")</f>
        <v>RETIRADO OK POR CLIENTE</v>
      </c>
      <c r="J609" s="1">
        <f t="shared" si="3"/>
        <v>6</v>
      </c>
      <c r="K609" s="1" t="str">
        <f t="shared" si="4"/>
        <v>Entregamos tus lentes, que los disfrutes!</v>
      </c>
    </row>
    <row r="610">
      <c r="A610" s="1">
        <f>IFERROR(__xludf.DUMMYFUNCTION("""COMPUTED_VALUE"""),85160.0)</f>
        <v>85160</v>
      </c>
      <c r="B610" s="5">
        <f>IFERROR(__xludf.DUMMYFUNCTION("""COMPUTED_VALUE"""),44943.38740753473)</f>
        <v>44943.38741</v>
      </c>
      <c r="C610" s="1" t="str">
        <f>IFERROR(__xludf.DUMMYFUNCTION("""COMPUTED_VALUE"""),"PEDERNERA AGUSTINA")</f>
        <v>PEDERNERA AGUSTINA</v>
      </c>
      <c r="D610" s="1" t="str">
        <f>IFERROR(__xludf.DUMMYFUNCTION("""COMPUTED_VALUE"""),"Lentes BIFOCALES")</f>
        <v>Lentes BIFOCALES</v>
      </c>
      <c r="E610" s="1" t="str">
        <f>IFERROR(__xludf.DUMMYFUNCTION("""COMPUTED_VALUE"""),"ARTIGAS Ivana P.")</f>
        <v>ARTIGAS Ivana P.</v>
      </c>
      <c r="F610" s="1" t="str">
        <f t="shared" si="1"/>
        <v>ARTIGAS </v>
      </c>
      <c r="G610" s="1" t="str">
        <f t="shared" si="2"/>
        <v>Ivana P.</v>
      </c>
      <c r="H610" s="1" t="str">
        <f>IFERROR(__xludf.DUMMYFUNCTION("""COMPUTED_VALUE"""),"24/1/2023, 17:00:00")</f>
        <v>24/1/2023, 17:00:00</v>
      </c>
      <c r="I610" s="1" t="str">
        <f>IFERROR(__xludf.DUMMYFUNCTION("""COMPUTED_VALUE"""),"RETIRADO OK POR CLIENTE")</f>
        <v>RETIRADO OK POR CLIENTE</v>
      </c>
      <c r="J610" s="1">
        <f t="shared" si="3"/>
        <v>6</v>
      </c>
      <c r="K610" s="1" t="str">
        <f t="shared" si="4"/>
        <v>Entregamos tus lentes, que los disfrutes!</v>
      </c>
    </row>
    <row r="611">
      <c r="A611" s="1">
        <f>IFERROR(__xludf.DUMMYFUNCTION("""COMPUTED_VALUE"""),85161.0)</f>
        <v>85161</v>
      </c>
      <c r="B611" s="5">
        <f>IFERROR(__xludf.DUMMYFUNCTION("""COMPUTED_VALUE"""),44943.39825561343)</f>
        <v>44943.39826</v>
      </c>
      <c r="C611" s="1" t="str">
        <f>IFERROR(__xludf.DUMMYFUNCTION("""COMPUTED_VALUE"""),"BOSCO ALEJANDRO")</f>
        <v>BOSCO ALEJANDRO</v>
      </c>
      <c r="D611" s="1" t="str">
        <f>IFERROR(__xludf.DUMMYFUNCTION("""COMPUTED_VALUE"""),"Reparaciones/Otros")</f>
        <v>Reparaciones/Otros</v>
      </c>
      <c r="E611" s="1" t="str">
        <f>IFERROR(__xludf.DUMMYFUNCTION("""COMPUTED_VALUE"""),"ARTIGAS Cristian C.")</f>
        <v>ARTIGAS Cristian C.</v>
      </c>
      <c r="F611" s="1" t="str">
        <f t="shared" si="1"/>
        <v>ARTIGAS </v>
      </c>
      <c r="G611" s="1" t="str">
        <f t="shared" si="2"/>
        <v>Cristian C.</v>
      </c>
      <c r="H611" s="1" t="str">
        <f>IFERROR(__xludf.DUMMYFUNCTION("""COMPUTED_VALUE"""),"18/1/2023, 17:00:00")</f>
        <v>18/1/2023, 17:00:00</v>
      </c>
      <c r="I611" s="1" t="str">
        <f>IFERROR(__xludf.DUMMYFUNCTION("""COMPUTED_VALUE"""),"Completado en SUCURSAL")</f>
        <v>Completado en SUCURSAL</v>
      </c>
      <c r="J611" s="1">
        <f t="shared" si="3"/>
        <v>5</v>
      </c>
      <c r="K611" s="1" t="str">
        <f t="shared" si="4"/>
        <v>Tus Lentes estan LISTAS PARA ENTREGAR, te esperamos.</v>
      </c>
    </row>
    <row r="612">
      <c r="A612" s="1">
        <f>IFERROR(__xludf.DUMMYFUNCTION("""COMPUTED_VALUE"""),85162.0)</f>
        <v>85162</v>
      </c>
      <c r="B612" s="5">
        <f>IFERROR(__xludf.DUMMYFUNCTION("""COMPUTED_VALUE"""),44943.41333758102)</f>
        <v>44943.41334</v>
      </c>
      <c r="C612" s="1" t="str">
        <f>IFERROR(__xludf.DUMMYFUNCTION("""COMPUTED_VALUE"""),"sanchez facundo")</f>
        <v>sanchez facundo</v>
      </c>
      <c r="D612" s="1" t="str">
        <f>IFERROR(__xludf.DUMMYFUNCTION("""COMPUTED_VALUE"""),"Reparaciones/Otros")</f>
        <v>Reparaciones/Otros</v>
      </c>
      <c r="E612" s="1" t="str">
        <f>IFERROR(__xludf.DUMMYFUNCTION("""COMPUTED_VALUE"""),"ARTIGAS Celina")</f>
        <v>ARTIGAS Celina</v>
      </c>
      <c r="F612" s="1" t="str">
        <f t="shared" si="1"/>
        <v>ARTIGAS </v>
      </c>
      <c r="G612" s="1" t="str">
        <f t="shared" si="2"/>
        <v>Celina</v>
      </c>
      <c r="H612" s="1" t="str">
        <f>IFERROR(__xludf.DUMMYFUNCTION("""COMPUTED_VALUE"""),"18/1/2023, 17:00:00")</f>
        <v>18/1/2023, 17:00:00</v>
      </c>
      <c r="I612" s="1"/>
      <c r="J612" s="1">
        <f t="shared" si="3"/>
        <v>0</v>
      </c>
      <c r="K612" s="1" t="str">
        <f t="shared" si="4"/>
        <v/>
      </c>
    </row>
    <row r="613">
      <c r="A613" s="1">
        <f>IFERROR(__xludf.DUMMYFUNCTION("""COMPUTED_VALUE"""),85163.0)</f>
        <v>85163</v>
      </c>
      <c r="B613" s="5">
        <f>IFERROR(__xludf.DUMMYFUNCTION("""COMPUTED_VALUE"""),44943.41513165509)</f>
        <v>44943.41513</v>
      </c>
      <c r="C613" s="1" t="str">
        <f>IFERROR(__xludf.DUMMYFUNCTION("""COMPUTED_VALUE"""),"LESCANO FELISA")</f>
        <v>LESCANO FELISA</v>
      </c>
      <c r="D613" s="1" t="str">
        <f>IFERROR(__xludf.DUMMYFUNCTION("""COMPUTED_VALUE"""),"Lentes de STOCK")</f>
        <v>Lentes de STOCK</v>
      </c>
      <c r="E613" s="1" t="str">
        <f>IFERROR(__xludf.DUMMYFUNCTION("""COMPUTED_VALUE"""),"RIVADAVIA Santiago LOPEZ")</f>
        <v>RIVADAVIA Santiago LOPEZ</v>
      </c>
      <c r="F613" s="1" t="str">
        <f t="shared" si="1"/>
        <v>RIVADAVIA </v>
      </c>
      <c r="G613" s="1" t="str">
        <f t="shared" si="2"/>
        <v>Santiago LOPEZ</v>
      </c>
      <c r="H613" s="1" t="str">
        <f>IFERROR(__xludf.DUMMYFUNCTION("""COMPUTED_VALUE"""),"20/1/2023, 17:00:00")</f>
        <v>20/1/2023, 17:00:00</v>
      </c>
      <c r="I613" s="1" t="str">
        <f>IFERROR(__xludf.DUMMYFUNCTION("""COMPUTED_VALUE"""),"Completado en SUCURSAL")</f>
        <v>Completado en SUCURSAL</v>
      </c>
      <c r="J613" s="1">
        <f t="shared" si="3"/>
        <v>5</v>
      </c>
      <c r="K613" s="1" t="str">
        <f t="shared" si="4"/>
        <v>Tus Lentes estan LISTAS PARA ENTREGAR, te esperamos.</v>
      </c>
    </row>
    <row r="614">
      <c r="A614" s="1">
        <f>IFERROR(__xludf.DUMMYFUNCTION("""COMPUTED_VALUE"""),85164.0)</f>
        <v>85164</v>
      </c>
      <c r="B614" s="5">
        <f>IFERROR(__xludf.DUMMYFUNCTION("""COMPUTED_VALUE"""),44943.41772631944)</f>
        <v>44943.41773</v>
      </c>
      <c r="C614" s="1" t="str">
        <f>IFERROR(__xludf.DUMMYFUNCTION("""COMPUTED_VALUE"""),"MARTINEZ AILEN SOFIA")</f>
        <v>MARTINEZ AILEN SOFIA</v>
      </c>
      <c r="D614" s="1" t="str">
        <f>IFERROR(__xludf.DUMMYFUNCTION("""COMPUTED_VALUE"""),"Lentes de STOCK")</f>
        <v>Lentes de STOCK</v>
      </c>
      <c r="E614" s="1" t="str">
        <f>IFERROR(__xludf.DUMMYFUNCTION("""COMPUTED_VALUE"""),"RIVADAVIA Marcela L")</f>
        <v>RIVADAVIA Marcela L</v>
      </c>
      <c r="F614" s="1" t="str">
        <f t="shared" si="1"/>
        <v>RIVADAVIA </v>
      </c>
      <c r="G614" s="1" t="str">
        <f t="shared" si="2"/>
        <v>Marcela L</v>
      </c>
      <c r="H614" s="1" t="str">
        <f>IFERROR(__xludf.DUMMYFUNCTION("""COMPUTED_VALUE"""),"20/1/2023, 17:00:00")</f>
        <v>20/1/2023, 17:00:00</v>
      </c>
      <c r="I614" s="1" t="str">
        <f>IFERROR(__xludf.DUMMYFUNCTION("""COMPUTED_VALUE"""),"RETIRADO OK POR CLIENTE")</f>
        <v>RETIRADO OK POR CLIENTE</v>
      </c>
      <c r="J614" s="1">
        <f t="shared" si="3"/>
        <v>6</v>
      </c>
      <c r="K614" s="1" t="str">
        <f t="shared" si="4"/>
        <v>Entregamos tus lentes, que los disfrutes!</v>
      </c>
    </row>
    <row r="615">
      <c r="A615" s="1">
        <f>IFERROR(__xludf.DUMMYFUNCTION("""COMPUTED_VALUE"""),85165.0)</f>
        <v>85165</v>
      </c>
      <c r="B615" s="5">
        <f>IFERROR(__xludf.DUMMYFUNCTION("""COMPUTED_VALUE"""),44943.42353467592)</f>
        <v>44943.42353</v>
      </c>
      <c r="C615" s="1" t="str">
        <f>IFERROR(__xludf.DUMMYFUNCTION("""COMPUTED_VALUE"""),"RODONI ALEJANDRO EBERTO")</f>
        <v>RODONI ALEJANDRO EBERTO</v>
      </c>
      <c r="D615" s="1" t="str">
        <f>IFERROR(__xludf.DUMMYFUNCTION("""COMPUTED_VALUE"""),"Lentes de STOCK")</f>
        <v>Lentes de STOCK</v>
      </c>
      <c r="E615" s="1" t="str">
        <f>IFERROR(__xludf.DUMMYFUNCTION("""COMPUTED_VALUE"""),"ARTIGAS Cristian C.")</f>
        <v>ARTIGAS Cristian C.</v>
      </c>
      <c r="F615" s="1" t="str">
        <f t="shared" si="1"/>
        <v>ARTIGAS </v>
      </c>
      <c r="G615" s="1" t="str">
        <f t="shared" si="2"/>
        <v>Cristian C.</v>
      </c>
      <c r="H615" s="1" t="str">
        <f>IFERROR(__xludf.DUMMYFUNCTION("""COMPUTED_VALUE"""),"24/1/2023, 17:00:00")</f>
        <v>24/1/2023, 17:00:00</v>
      </c>
      <c r="I615" s="1" t="str">
        <f>IFERROR(__xludf.DUMMYFUNCTION("""COMPUTED_VALUE"""),"Completado en SUCURSAL")</f>
        <v>Completado en SUCURSAL</v>
      </c>
      <c r="J615" s="1">
        <f t="shared" si="3"/>
        <v>5</v>
      </c>
      <c r="K615" s="1" t="str">
        <f t="shared" si="4"/>
        <v>Tus Lentes estan LISTAS PARA ENTREGAR, te esperamos.</v>
      </c>
    </row>
    <row r="616">
      <c r="A616" s="1">
        <f>IFERROR(__xludf.DUMMYFUNCTION("""COMPUTED_VALUE"""),85166.0)</f>
        <v>85166</v>
      </c>
      <c r="B616" s="5">
        <f>IFERROR(__xludf.DUMMYFUNCTION("""COMPUTED_VALUE"""),44943.4335231713)</f>
        <v>44943.43352</v>
      </c>
      <c r="C616" s="1" t="str">
        <f>IFERROR(__xludf.DUMMYFUNCTION("""COMPUTED_VALUE"""),"SASSO EVA")</f>
        <v>SASSO EVA</v>
      </c>
      <c r="D616" s="1" t="str">
        <f>IFERROR(__xludf.DUMMYFUNCTION("""COMPUTED_VALUE"""),"Reparaciones/Otros")</f>
        <v>Reparaciones/Otros</v>
      </c>
      <c r="E616" s="1" t="str">
        <f>IFERROR(__xludf.DUMMYFUNCTION("""COMPUTED_VALUE"""),"RIVADAVIA Marcela L")</f>
        <v>RIVADAVIA Marcela L</v>
      </c>
      <c r="F616" s="1" t="str">
        <f t="shared" si="1"/>
        <v>RIVADAVIA </v>
      </c>
      <c r="G616" s="1" t="str">
        <f t="shared" si="2"/>
        <v>Marcela L</v>
      </c>
      <c r="H616" s="1" t="str">
        <f>IFERROR(__xludf.DUMMYFUNCTION("""COMPUTED_VALUE"""),"18/1/2023, 17:00:00")</f>
        <v>18/1/2023, 17:00:00</v>
      </c>
      <c r="I616" s="1" t="str">
        <f>IFERROR(__xludf.DUMMYFUNCTION("""COMPUTED_VALUE"""),"Completado en SUCURSAL")</f>
        <v>Completado en SUCURSAL</v>
      </c>
      <c r="J616" s="1">
        <f t="shared" si="3"/>
        <v>5</v>
      </c>
      <c r="K616" s="1" t="str">
        <f t="shared" si="4"/>
        <v>Tus Lentes estan LISTAS PARA ENTREGAR, te esperamos.</v>
      </c>
    </row>
    <row r="617">
      <c r="A617" s="1">
        <f>IFERROR(__xludf.DUMMYFUNCTION("""COMPUTED_VALUE"""),85167.0)</f>
        <v>85167</v>
      </c>
      <c r="B617" s="5">
        <f>IFERROR(__xludf.DUMMYFUNCTION("""COMPUTED_VALUE"""),44943.439085763894)</f>
        <v>44943.43909</v>
      </c>
      <c r="C617" s="1" t="str">
        <f>IFERROR(__xludf.DUMMYFUNCTION("""COMPUTED_VALUE"""),"VILCHEZ LAUTARO")</f>
        <v>VILCHEZ LAUTARO</v>
      </c>
      <c r="D617" s="1" t="str">
        <f>IFERROR(__xludf.DUMMYFUNCTION("""COMPUTED_VALUE"""),"Lentes de STOCK")</f>
        <v>Lentes de STOCK</v>
      </c>
      <c r="E617" s="1" t="str">
        <f>IFERROR(__xludf.DUMMYFUNCTION("""COMPUTED_VALUE"""),"RIVADAVIA Santiago LOPEZ")</f>
        <v>RIVADAVIA Santiago LOPEZ</v>
      </c>
      <c r="F617" s="1" t="str">
        <f t="shared" si="1"/>
        <v>RIVADAVIA </v>
      </c>
      <c r="G617" s="1" t="str">
        <f t="shared" si="2"/>
        <v>Santiago LOPEZ</v>
      </c>
      <c r="H617" s="1" t="str">
        <f>IFERROR(__xludf.DUMMYFUNCTION("""COMPUTED_VALUE"""),"20/1/2023, 17:00:00")</f>
        <v>20/1/2023, 17:00:00</v>
      </c>
      <c r="I617" s="1" t="str">
        <f>IFERROR(__xludf.DUMMYFUNCTION("""COMPUTED_VALUE"""),"RETIRADO OK POR CLIENTE")</f>
        <v>RETIRADO OK POR CLIENTE</v>
      </c>
      <c r="J617" s="1">
        <f t="shared" si="3"/>
        <v>6</v>
      </c>
      <c r="K617" s="1" t="str">
        <f t="shared" si="4"/>
        <v>Entregamos tus lentes, que los disfrutes!</v>
      </c>
    </row>
    <row r="618">
      <c r="A618" s="1">
        <f>IFERROR(__xludf.DUMMYFUNCTION("""COMPUTED_VALUE"""),85168.0)</f>
        <v>85168</v>
      </c>
      <c r="B618" s="5">
        <f>IFERROR(__xludf.DUMMYFUNCTION("""COMPUTED_VALUE"""),44943.453134456024)</f>
        <v>44943.45313</v>
      </c>
      <c r="C618" s="1" t="str">
        <f>IFERROR(__xludf.DUMMYFUNCTION("""COMPUTED_VALUE"""),"Lugo Valentin")</f>
        <v>Lugo Valentin</v>
      </c>
      <c r="D618" s="1" t="str">
        <f>IFERROR(__xludf.DUMMYFUNCTION("""COMPUTED_VALUE"""),"Lentes BIFOCALES")</f>
        <v>Lentes BIFOCALES</v>
      </c>
      <c r="E618" s="1" t="str">
        <f>IFERROR(__xludf.DUMMYFUNCTION("""COMPUTED_VALUE"""),"RIVADAVIA Rocio B")</f>
        <v>RIVADAVIA Rocio B</v>
      </c>
      <c r="F618" s="1" t="str">
        <f t="shared" si="1"/>
        <v>RIVADAVIA </v>
      </c>
      <c r="G618" s="1" t="str">
        <f t="shared" si="2"/>
        <v>Rocio B</v>
      </c>
      <c r="H618" s="1" t="str">
        <f>IFERROR(__xludf.DUMMYFUNCTION("""COMPUTED_VALUE"""),"23/1/2023, 17:00:00")</f>
        <v>23/1/2023, 17:00:00</v>
      </c>
      <c r="I618" s="1" t="str">
        <f>IFERROR(__xludf.DUMMYFUNCTION("""COMPUTED_VALUE"""),"Completado en SUCURSAL")</f>
        <v>Completado en SUCURSAL</v>
      </c>
      <c r="J618" s="1">
        <f t="shared" si="3"/>
        <v>5</v>
      </c>
      <c r="K618" s="1" t="str">
        <f t="shared" si="4"/>
        <v>Tus Lentes estan LISTAS PARA ENTREGAR, te esperamos.</v>
      </c>
    </row>
    <row r="619">
      <c r="A619" s="1">
        <f>IFERROR(__xludf.DUMMYFUNCTION("""COMPUTED_VALUE"""),85169.0)</f>
        <v>85169</v>
      </c>
      <c r="B619" s="5">
        <f>IFERROR(__xludf.DUMMYFUNCTION("""COMPUTED_VALUE"""),44943.45745622685)</f>
        <v>44943.45746</v>
      </c>
      <c r="C619" s="1" t="str">
        <f>IFERROR(__xludf.DUMMYFUNCTION("""COMPUTED_VALUE"""),"OROZCO CARINA")</f>
        <v>OROZCO CARINA</v>
      </c>
      <c r="D619" s="1" t="str">
        <f>IFERROR(__xludf.DUMMYFUNCTION("""COMPUTED_VALUE"""),"Lentes de STOCK")</f>
        <v>Lentes de STOCK</v>
      </c>
      <c r="E619" s="1" t="str">
        <f>IFERROR(__xludf.DUMMYFUNCTION("""COMPUTED_VALUE"""),"ARTIGAS Ivana P.")</f>
        <v>ARTIGAS Ivana P.</v>
      </c>
      <c r="F619" s="1" t="str">
        <f t="shared" si="1"/>
        <v>ARTIGAS </v>
      </c>
      <c r="G619" s="1" t="str">
        <f t="shared" si="2"/>
        <v>Ivana P.</v>
      </c>
      <c r="H619" s="1" t="str">
        <f>IFERROR(__xludf.DUMMYFUNCTION("""COMPUTED_VALUE"""),"21/1/2023, 17:00:00")</f>
        <v>21/1/2023, 17:00:00</v>
      </c>
      <c r="I619" s="1" t="str">
        <f>IFERROR(__xludf.DUMMYFUNCTION("""COMPUTED_VALUE"""),"En Armado Hoy")</f>
        <v>En Armado Hoy</v>
      </c>
      <c r="J619" s="1">
        <f t="shared" si="3"/>
        <v>3</v>
      </c>
      <c r="K619" s="1" t="str">
        <f t="shared" si="4"/>
        <v>Estamos terminando los ultimos detalles de tus lentes, los terminaremos el dia de hoy.</v>
      </c>
    </row>
    <row r="620">
      <c r="A620" s="1">
        <f>IFERROR(__xludf.DUMMYFUNCTION("""COMPUTED_VALUE"""),85170.0)</f>
        <v>85170</v>
      </c>
      <c r="B620" s="5">
        <f>IFERROR(__xludf.DUMMYFUNCTION("""COMPUTED_VALUE"""),44943.4640468287)</f>
        <v>44943.46405</v>
      </c>
      <c r="C620" s="1" t="str">
        <f>IFERROR(__xludf.DUMMYFUNCTION("""COMPUTED_VALUE"""),"CASTRO LARRONDO JAVIERA")</f>
        <v>CASTRO LARRONDO JAVIERA</v>
      </c>
      <c r="D620" s="1" t="str">
        <f>IFERROR(__xludf.DUMMYFUNCTION("""COMPUTED_VALUE"""),"Lentes MULTIFOCALES")</f>
        <v>Lentes MULTIFOCALES</v>
      </c>
      <c r="E620" s="1" t="str">
        <f>IFERROR(__xludf.DUMMYFUNCTION("""COMPUTED_VALUE"""),"RIVADAVIA Santiago LOPEZ")</f>
        <v>RIVADAVIA Santiago LOPEZ</v>
      </c>
      <c r="F620" s="1" t="str">
        <f t="shared" si="1"/>
        <v>RIVADAVIA </v>
      </c>
      <c r="G620" s="1" t="str">
        <f t="shared" si="2"/>
        <v>Santiago LOPEZ</v>
      </c>
      <c r="H620" s="1" t="str">
        <f>IFERROR(__xludf.DUMMYFUNCTION("""COMPUTED_VALUE"""),"30/1/2023, 17:00:00")</f>
        <v>30/1/2023, 17:00:00</v>
      </c>
      <c r="I620" s="1" t="str">
        <f>IFERROR(__xludf.DUMMYFUNCTION("""COMPUTED_VALUE"""),"RETIRADO OK POR CLIENTE")</f>
        <v>RETIRADO OK POR CLIENTE</v>
      </c>
      <c r="J620" s="1">
        <f t="shared" si="3"/>
        <v>6</v>
      </c>
      <c r="K620" s="1" t="str">
        <f t="shared" si="4"/>
        <v>Entregamos tus lentes, que los disfrutes!</v>
      </c>
    </row>
    <row r="621">
      <c r="A621" s="1">
        <f>IFERROR(__xludf.DUMMYFUNCTION("""COMPUTED_VALUE"""),85171.0)</f>
        <v>85171</v>
      </c>
      <c r="B621" s="5">
        <f>IFERROR(__xludf.DUMMYFUNCTION("""COMPUTED_VALUE"""),44943.46580929398)</f>
        <v>44943.46581</v>
      </c>
      <c r="C621" s="1" t="str">
        <f>IFERROR(__xludf.DUMMYFUNCTION("""COMPUTED_VALUE"""),"CASTILLO OMAR")</f>
        <v>CASTILLO OMAR</v>
      </c>
      <c r="D621" s="1" t="str">
        <f>IFERROR(__xludf.DUMMYFUNCTION("""COMPUTED_VALUE"""),"Lentes de STOCK")</f>
        <v>Lentes de STOCK</v>
      </c>
      <c r="E621" s="1" t="str">
        <f>IFERROR(__xludf.DUMMYFUNCTION("""COMPUTED_VALUE"""),"ARTIGAS Cristian C.")</f>
        <v>ARTIGAS Cristian C.</v>
      </c>
      <c r="F621" s="1" t="str">
        <f t="shared" si="1"/>
        <v>ARTIGAS </v>
      </c>
      <c r="G621" s="1" t="str">
        <f t="shared" si="2"/>
        <v>Cristian C.</v>
      </c>
      <c r="H621" s="1" t="str">
        <f>IFERROR(__xludf.DUMMYFUNCTION("""COMPUTED_VALUE"""),"25/1/2023, 17:00:00")</f>
        <v>25/1/2023, 17:00:00</v>
      </c>
      <c r="I621" s="1" t="str">
        <f>IFERROR(__xludf.DUMMYFUNCTION("""COMPUTED_VALUE"""),"RETIRADO OK POR CLIENTE")</f>
        <v>RETIRADO OK POR CLIENTE</v>
      </c>
      <c r="J621" s="1">
        <f t="shared" si="3"/>
        <v>6</v>
      </c>
      <c r="K621" s="1" t="str">
        <f t="shared" si="4"/>
        <v>Entregamos tus lentes, que los disfrutes!</v>
      </c>
    </row>
    <row r="622">
      <c r="A622" s="1">
        <f>IFERROR(__xludf.DUMMYFUNCTION("""COMPUTED_VALUE"""),85172.0)</f>
        <v>85172</v>
      </c>
      <c r="B622" s="5">
        <f>IFERROR(__xludf.DUMMYFUNCTION("""COMPUTED_VALUE"""),44943.4708071412)</f>
        <v>44943.47081</v>
      </c>
      <c r="C622" s="1" t="str">
        <f>IFERROR(__xludf.DUMMYFUNCTION("""COMPUTED_VALUE"""),"RODRIGUEZ NOEMI")</f>
        <v>RODRIGUEZ NOEMI</v>
      </c>
      <c r="D622" s="1" t="str">
        <f>IFERROR(__xludf.DUMMYFUNCTION("""COMPUTED_VALUE"""),"Lentes de STOCK")</f>
        <v>Lentes de STOCK</v>
      </c>
      <c r="E622" s="1" t="str">
        <f>IFERROR(__xludf.DUMMYFUNCTION("""COMPUTED_VALUE"""),"RIVADAVIA Marcela L")</f>
        <v>RIVADAVIA Marcela L</v>
      </c>
      <c r="F622" s="1" t="str">
        <f t="shared" si="1"/>
        <v>RIVADAVIA </v>
      </c>
      <c r="G622" s="1" t="str">
        <f t="shared" si="2"/>
        <v>Marcela L</v>
      </c>
      <c r="H622" s="1" t="str">
        <f>IFERROR(__xludf.DUMMYFUNCTION("""COMPUTED_VALUE"""),"23/1/2023, 17:00:00")</f>
        <v>23/1/2023, 17:00:00</v>
      </c>
      <c r="I622" s="1" t="str">
        <f>IFERROR(__xludf.DUMMYFUNCTION("""COMPUTED_VALUE"""),"RETIRADO OK POR CLIENTE")</f>
        <v>RETIRADO OK POR CLIENTE</v>
      </c>
      <c r="J622" s="1">
        <f t="shared" si="3"/>
        <v>6</v>
      </c>
      <c r="K622" s="1" t="str">
        <f t="shared" si="4"/>
        <v>Entregamos tus lentes, que los disfrutes!</v>
      </c>
    </row>
    <row r="623">
      <c r="A623" s="1">
        <f>IFERROR(__xludf.DUMMYFUNCTION("""COMPUTED_VALUE"""),85173.0)</f>
        <v>85173</v>
      </c>
      <c r="B623" s="5">
        <f>IFERROR(__xludf.DUMMYFUNCTION("""COMPUTED_VALUE"""),44943.475221608795)</f>
        <v>44943.47522</v>
      </c>
      <c r="C623" s="1" t="str">
        <f>IFERROR(__xludf.DUMMYFUNCTION("""COMPUTED_VALUE"""),"MERLINO CRISTIAN ")</f>
        <v>MERLINO CRISTIAN </v>
      </c>
      <c r="D623" s="1" t="str">
        <f>IFERROR(__xludf.DUMMYFUNCTION("""COMPUTED_VALUE"""),"Lentes de STOCK")</f>
        <v>Lentes de STOCK</v>
      </c>
      <c r="E623" s="1" t="str">
        <f>IFERROR(__xludf.DUMMYFUNCTION("""COMPUTED_VALUE"""),"RIVADAVIA Luciana")</f>
        <v>RIVADAVIA Luciana</v>
      </c>
      <c r="F623" s="1" t="str">
        <f t="shared" si="1"/>
        <v>RIVADAVIA </v>
      </c>
      <c r="G623" s="1" t="str">
        <f t="shared" si="2"/>
        <v>Luciana</v>
      </c>
      <c r="H623" s="1" t="str">
        <f>IFERROR(__xludf.DUMMYFUNCTION("""COMPUTED_VALUE"""),"23/1/2023, 17:00:00")</f>
        <v>23/1/2023, 17:00:00</v>
      </c>
      <c r="I623" s="1" t="str">
        <f>IFERROR(__xludf.DUMMYFUNCTION("""COMPUTED_VALUE"""),"Completado en SUCURSAL")</f>
        <v>Completado en SUCURSAL</v>
      </c>
      <c r="J623" s="1">
        <f t="shared" si="3"/>
        <v>5</v>
      </c>
      <c r="K623" s="1" t="str">
        <f t="shared" si="4"/>
        <v>Tus Lentes estan LISTAS PARA ENTREGAR, te esperamos.</v>
      </c>
    </row>
    <row r="624">
      <c r="A624" s="1">
        <f>IFERROR(__xludf.DUMMYFUNCTION("""COMPUTED_VALUE"""),85174.0)</f>
        <v>85174</v>
      </c>
      <c r="B624" s="5">
        <f>IFERROR(__xludf.DUMMYFUNCTION("""COMPUTED_VALUE"""),44943.48182231482)</f>
        <v>44943.48182</v>
      </c>
      <c r="C624" s="1" t="str">
        <f>IFERROR(__xludf.DUMMYFUNCTION("""COMPUTED_VALUE"""),"PEPA ROBERTO")</f>
        <v>PEPA ROBERTO</v>
      </c>
      <c r="D624" s="1" t="str">
        <f>IFERROR(__xludf.DUMMYFUNCTION("""COMPUTED_VALUE"""),"Lentes de STOCK")</f>
        <v>Lentes de STOCK</v>
      </c>
      <c r="E624" s="1" t="str">
        <f>IFERROR(__xludf.DUMMYFUNCTION("""COMPUTED_VALUE"""),"ARTIGAS Cristian C.")</f>
        <v>ARTIGAS Cristian C.</v>
      </c>
      <c r="F624" s="1" t="str">
        <f t="shared" si="1"/>
        <v>ARTIGAS </v>
      </c>
      <c r="G624" s="1" t="str">
        <f t="shared" si="2"/>
        <v>Cristian C.</v>
      </c>
      <c r="H624" s="1" t="str">
        <f>IFERROR(__xludf.DUMMYFUNCTION("""COMPUTED_VALUE"""),"24/1/2023, 17:00:00")</f>
        <v>24/1/2023, 17:00:00</v>
      </c>
      <c r="I624" s="1" t="str">
        <f>IFERROR(__xludf.DUMMYFUNCTION("""COMPUTED_VALUE"""),"Completado en SUCURSAL")</f>
        <v>Completado en SUCURSAL</v>
      </c>
      <c r="J624" s="1">
        <f t="shared" si="3"/>
        <v>5</v>
      </c>
      <c r="K624" s="1" t="str">
        <f t="shared" si="4"/>
        <v>Tus Lentes estan LISTAS PARA ENTREGAR, te esperamos.</v>
      </c>
    </row>
    <row r="625">
      <c r="A625" s="1">
        <f>IFERROR(__xludf.DUMMYFUNCTION("""COMPUTED_VALUE"""),85175.0)</f>
        <v>85175</v>
      </c>
      <c r="B625" s="5">
        <f>IFERROR(__xludf.DUMMYFUNCTION("""COMPUTED_VALUE"""),44943.486476527774)</f>
        <v>44943.48648</v>
      </c>
      <c r="C625" s="1" t="str">
        <f>IFERROR(__xludf.DUMMYFUNCTION("""COMPUTED_VALUE"""),"SANJURJO ENRIQUE")</f>
        <v>SANJURJO ENRIQUE</v>
      </c>
      <c r="D625" s="1" t="str">
        <f>IFERROR(__xludf.DUMMYFUNCTION("""COMPUTED_VALUE"""),"Lentes de STOCK")</f>
        <v>Lentes de STOCK</v>
      </c>
      <c r="E625" s="1" t="str">
        <f>IFERROR(__xludf.DUMMYFUNCTION("""COMPUTED_VALUE"""),"ARTIGAS Ivana P.")</f>
        <v>ARTIGAS Ivana P.</v>
      </c>
      <c r="F625" s="1" t="str">
        <f t="shared" si="1"/>
        <v>ARTIGAS </v>
      </c>
      <c r="G625" s="1" t="str">
        <f t="shared" si="2"/>
        <v>Ivana P.</v>
      </c>
      <c r="H625" s="1" t="str">
        <f>IFERROR(__xludf.DUMMYFUNCTION("""COMPUTED_VALUE"""),"21/1/2023, 17:00:00")</f>
        <v>21/1/2023, 17:00:00</v>
      </c>
      <c r="I625" s="1" t="str">
        <f>IFERROR(__xludf.DUMMYFUNCTION("""COMPUTED_VALUE"""),"En Armado Hoy")</f>
        <v>En Armado Hoy</v>
      </c>
      <c r="J625" s="1">
        <f t="shared" si="3"/>
        <v>3</v>
      </c>
      <c r="K625" s="1" t="str">
        <f t="shared" si="4"/>
        <v>Estamos terminando los ultimos detalles de tus lentes, los terminaremos el dia de hoy.</v>
      </c>
    </row>
    <row r="626">
      <c r="A626" s="1">
        <f>IFERROR(__xludf.DUMMYFUNCTION("""COMPUTED_VALUE"""),85176.0)</f>
        <v>85176</v>
      </c>
      <c r="B626" s="5">
        <f>IFERROR(__xludf.DUMMYFUNCTION("""COMPUTED_VALUE"""),44943.49824615741)</f>
        <v>44943.49825</v>
      </c>
      <c r="C626" s="1" t="str">
        <f>IFERROR(__xludf.DUMMYFUNCTION("""COMPUTED_VALUE"""),"SOSA MILO")</f>
        <v>SOSA MILO</v>
      </c>
      <c r="D626" s="1" t="str">
        <f>IFERROR(__xludf.DUMMYFUNCTION("""COMPUTED_VALUE"""),"Lentes de STOCK")</f>
        <v>Lentes de STOCK</v>
      </c>
      <c r="E626" s="1" t="str">
        <f>IFERROR(__xludf.DUMMYFUNCTION("""COMPUTED_VALUE"""),"ARTIGAS Ivana P.")</f>
        <v>ARTIGAS Ivana P.</v>
      </c>
      <c r="F626" s="1" t="str">
        <f t="shared" si="1"/>
        <v>ARTIGAS </v>
      </c>
      <c r="G626" s="1" t="str">
        <f t="shared" si="2"/>
        <v>Ivana P.</v>
      </c>
      <c r="H626" s="1" t="str">
        <f>IFERROR(__xludf.DUMMYFUNCTION("""COMPUTED_VALUE"""),"24/1/2023, 17:00:00")</f>
        <v>24/1/2023, 17:00:00</v>
      </c>
      <c r="I626" s="1" t="str">
        <f>IFERROR(__xludf.DUMMYFUNCTION("""COMPUTED_VALUE"""),"En Armado Hoy")</f>
        <v>En Armado Hoy</v>
      </c>
      <c r="J626" s="1">
        <f t="shared" si="3"/>
        <v>3</v>
      </c>
      <c r="K626" s="1" t="str">
        <f t="shared" si="4"/>
        <v>Estamos terminando los ultimos detalles de tus lentes, los terminaremos el dia de hoy.</v>
      </c>
    </row>
    <row r="627">
      <c r="A627" s="1">
        <f>IFERROR(__xludf.DUMMYFUNCTION("""COMPUTED_VALUE"""),85177.0)</f>
        <v>85177</v>
      </c>
      <c r="B627" s="5">
        <f>IFERROR(__xludf.DUMMYFUNCTION("""COMPUTED_VALUE"""),44943.50112699074)</f>
        <v>44943.50113</v>
      </c>
      <c r="C627" s="1" t="str">
        <f>IFERROR(__xludf.DUMMYFUNCTION("""COMPUTED_VALUE"""),"Perez Ramon")</f>
        <v>Perez Ramon</v>
      </c>
      <c r="D627" s="1" t="str">
        <f>IFERROR(__xludf.DUMMYFUNCTION("""COMPUTED_VALUE"""),"Reparaciones/Otros")</f>
        <v>Reparaciones/Otros</v>
      </c>
      <c r="E627" s="1" t="str">
        <f>IFERROR(__xludf.DUMMYFUNCTION("""COMPUTED_VALUE"""),"RIVADAVIA Rocio B")</f>
        <v>RIVADAVIA Rocio B</v>
      </c>
      <c r="F627" s="1" t="str">
        <f t="shared" si="1"/>
        <v>RIVADAVIA </v>
      </c>
      <c r="G627" s="1" t="str">
        <f t="shared" si="2"/>
        <v>Rocio B</v>
      </c>
      <c r="H627" s="1" t="str">
        <f>IFERROR(__xludf.DUMMYFUNCTION("""COMPUTED_VALUE"""),"18/1/2023, 17:00:00")</f>
        <v>18/1/2023, 17:00:00</v>
      </c>
      <c r="I627" s="1" t="str">
        <f>IFERROR(__xludf.DUMMYFUNCTION("""COMPUTED_VALUE"""),"Completado en SUCURSAL")</f>
        <v>Completado en SUCURSAL</v>
      </c>
      <c r="J627" s="1">
        <f t="shared" si="3"/>
        <v>5</v>
      </c>
      <c r="K627" s="1" t="str">
        <f t="shared" si="4"/>
        <v>Tus Lentes estan LISTAS PARA ENTREGAR, te esperamos.</v>
      </c>
    </row>
    <row r="628">
      <c r="A628" s="1">
        <f>IFERROR(__xludf.DUMMYFUNCTION("""COMPUTED_VALUE"""),85178.0)</f>
        <v>85178</v>
      </c>
      <c r="B628" s="5">
        <f>IFERROR(__xludf.DUMMYFUNCTION("""COMPUTED_VALUE"""),44943.508696006946)</f>
        <v>44943.5087</v>
      </c>
      <c r="C628" s="1" t="str">
        <f>IFERROR(__xludf.DUMMYFUNCTION("""COMPUTED_VALUE"""),"OROS MARISOL")</f>
        <v>OROS MARISOL</v>
      </c>
      <c r="D628" s="1" t="str">
        <f>IFERROR(__xludf.DUMMYFUNCTION("""COMPUTED_VALUE"""),"Reparaciones/Otros")</f>
        <v>Reparaciones/Otros</v>
      </c>
      <c r="E628" s="1" t="str">
        <f>IFERROR(__xludf.DUMMYFUNCTION("""COMPUTED_VALUE"""),"RIVADAVIA Santiago LOPEZ")</f>
        <v>RIVADAVIA Santiago LOPEZ</v>
      </c>
      <c r="F628" s="1" t="str">
        <f t="shared" si="1"/>
        <v>RIVADAVIA </v>
      </c>
      <c r="G628" s="1" t="str">
        <f t="shared" si="2"/>
        <v>Santiago LOPEZ</v>
      </c>
      <c r="H628" s="1" t="str">
        <f>IFERROR(__xludf.DUMMYFUNCTION("""COMPUTED_VALUE"""),"18/1/2023, 17:00:00")</f>
        <v>18/1/2023, 17:00:00</v>
      </c>
      <c r="I628" s="1" t="str">
        <f>IFERROR(__xludf.DUMMYFUNCTION("""COMPUTED_VALUE"""),"Completado en SUCURSAL")</f>
        <v>Completado en SUCURSAL</v>
      </c>
      <c r="J628" s="1">
        <f t="shared" si="3"/>
        <v>5</v>
      </c>
      <c r="K628" s="1" t="str">
        <f t="shared" si="4"/>
        <v>Tus Lentes estan LISTAS PARA ENTREGAR, te esperamos.</v>
      </c>
    </row>
    <row r="629">
      <c r="A629" s="1">
        <f>IFERROR(__xludf.DUMMYFUNCTION("""COMPUTED_VALUE"""),85179.0)</f>
        <v>85179</v>
      </c>
      <c r="B629" s="5">
        <f>IFERROR(__xludf.DUMMYFUNCTION("""COMPUTED_VALUE"""),44943.513286747686)</f>
        <v>44943.51329</v>
      </c>
      <c r="C629" s="1" t="str">
        <f>IFERROR(__xludf.DUMMYFUNCTION("""COMPUTED_VALUE"""),"AVERSA FRANCO")</f>
        <v>AVERSA FRANCO</v>
      </c>
      <c r="D629" s="1" t="str">
        <f>IFERROR(__xludf.DUMMYFUNCTION("""COMPUTED_VALUE"""),"Lentes de STOCK")</f>
        <v>Lentes de STOCK</v>
      </c>
      <c r="E629" s="1" t="str">
        <f>IFERROR(__xludf.DUMMYFUNCTION("""COMPUTED_VALUE"""),"ARTIGAS Ivana P.")</f>
        <v>ARTIGAS Ivana P.</v>
      </c>
      <c r="F629" s="1" t="str">
        <f t="shared" si="1"/>
        <v>ARTIGAS </v>
      </c>
      <c r="G629" s="1" t="str">
        <f t="shared" si="2"/>
        <v>Ivana P.</v>
      </c>
      <c r="H629" s="1" t="str">
        <f>IFERROR(__xludf.DUMMYFUNCTION("""COMPUTED_VALUE"""),"24/1/2023, 17:00:00")</f>
        <v>24/1/2023, 17:00:00</v>
      </c>
      <c r="I629" s="1" t="str">
        <f>IFERROR(__xludf.DUMMYFUNCTION("""COMPUTED_VALUE"""),"RETIRADO OK POR CLIENTE")</f>
        <v>RETIRADO OK POR CLIENTE</v>
      </c>
      <c r="J629" s="1">
        <f t="shared" si="3"/>
        <v>6</v>
      </c>
      <c r="K629" s="1" t="str">
        <f t="shared" si="4"/>
        <v>Entregamos tus lentes, que los disfrutes!</v>
      </c>
    </row>
    <row r="630">
      <c r="A630" s="1">
        <f>IFERROR(__xludf.DUMMYFUNCTION("""COMPUTED_VALUE"""),85180.0)</f>
        <v>85180</v>
      </c>
      <c r="B630" s="5">
        <f>IFERROR(__xludf.DUMMYFUNCTION("""COMPUTED_VALUE"""),44943.5209506713)</f>
        <v>44943.52095</v>
      </c>
      <c r="C630" s="1" t="str">
        <f>IFERROR(__xludf.DUMMYFUNCTION("""COMPUTED_VALUE"""),"PEREYRA MARIA CELESTE")</f>
        <v>PEREYRA MARIA CELESTE</v>
      </c>
      <c r="D630" s="1" t="str">
        <f>IFERROR(__xludf.DUMMYFUNCTION("""COMPUTED_VALUE"""),"Reparaciones/Otros")</f>
        <v>Reparaciones/Otros</v>
      </c>
      <c r="E630" s="1" t="str">
        <f>IFERROR(__xludf.DUMMYFUNCTION("""COMPUTED_VALUE"""),"RIVADAVIA Marcela L")</f>
        <v>RIVADAVIA Marcela L</v>
      </c>
      <c r="F630" s="1" t="str">
        <f t="shared" si="1"/>
        <v>RIVADAVIA </v>
      </c>
      <c r="G630" s="1" t="str">
        <f t="shared" si="2"/>
        <v>Marcela L</v>
      </c>
      <c r="H630" s="1" t="str">
        <f>IFERROR(__xludf.DUMMYFUNCTION("""COMPUTED_VALUE"""),"18/1/2023, 17:00:00")</f>
        <v>18/1/2023, 17:00:00</v>
      </c>
      <c r="I630" s="1" t="str">
        <f>IFERROR(__xludf.DUMMYFUNCTION("""COMPUTED_VALUE"""),"Completado en SUCURSAL")</f>
        <v>Completado en SUCURSAL</v>
      </c>
      <c r="J630" s="1">
        <f t="shared" si="3"/>
        <v>5</v>
      </c>
      <c r="K630" s="1" t="str">
        <f t="shared" si="4"/>
        <v>Tus Lentes estan LISTAS PARA ENTREGAR, te esperamos.</v>
      </c>
    </row>
    <row r="631">
      <c r="A631" s="1">
        <f>IFERROR(__xludf.DUMMYFUNCTION("""COMPUTED_VALUE"""),85181.0)</f>
        <v>85181</v>
      </c>
      <c r="B631" s="5">
        <f>IFERROR(__xludf.DUMMYFUNCTION("""COMPUTED_VALUE"""),44943.53750681713)</f>
        <v>44943.53751</v>
      </c>
      <c r="C631" s="1" t="str">
        <f>IFERROR(__xludf.DUMMYFUNCTION("""COMPUTED_VALUE"""),"MUÑOZ MARCELA")</f>
        <v>MUÑOZ MARCELA</v>
      </c>
      <c r="D631" s="1" t="str">
        <f>IFERROR(__xludf.DUMMYFUNCTION("""COMPUTED_VALUE"""),"Lentes de STOCK")</f>
        <v>Lentes de STOCK</v>
      </c>
      <c r="E631" s="1" t="str">
        <f>IFERROR(__xludf.DUMMYFUNCTION("""COMPUTED_VALUE"""),"ARTIGAS Ivana P.")</f>
        <v>ARTIGAS Ivana P.</v>
      </c>
      <c r="F631" s="1" t="str">
        <f t="shared" si="1"/>
        <v>ARTIGAS </v>
      </c>
      <c r="G631" s="1" t="str">
        <f t="shared" si="2"/>
        <v>Ivana P.</v>
      </c>
      <c r="H631" s="1" t="str">
        <f>IFERROR(__xludf.DUMMYFUNCTION("""COMPUTED_VALUE"""),"23/1/2023, 17:00:00")</f>
        <v>23/1/2023, 17:00:00</v>
      </c>
      <c r="I631" s="1" t="str">
        <f>IFERROR(__xludf.DUMMYFUNCTION("""COMPUTED_VALUE"""),"RETIRADO OK POR CLIENTE")</f>
        <v>RETIRADO OK POR CLIENTE</v>
      </c>
      <c r="J631" s="1">
        <f t="shared" si="3"/>
        <v>6</v>
      </c>
      <c r="K631" s="1" t="str">
        <f t="shared" si="4"/>
        <v>Entregamos tus lentes, que los disfrutes!</v>
      </c>
    </row>
    <row r="632">
      <c r="A632" s="1">
        <f>IFERROR(__xludf.DUMMYFUNCTION("""COMPUTED_VALUE"""),85182.0)</f>
        <v>85182</v>
      </c>
      <c r="B632" s="5">
        <f>IFERROR(__xludf.DUMMYFUNCTION("""COMPUTED_VALUE"""),44943.54335633102)</f>
        <v>44943.54336</v>
      </c>
      <c r="C632" s="1" t="str">
        <f>IFERROR(__xludf.DUMMYFUNCTION("""COMPUTED_VALUE"""),"lucero cabrera agela")</f>
        <v>lucero cabrera agela</v>
      </c>
      <c r="D632" s="1" t="str">
        <f>IFERROR(__xludf.DUMMYFUNCTION("""COMPUTED_VALUE"""),"Reparaciones/Otros")</f>
        <v>Reparaciones/Otros</v>
      </c>
      <c r="E632" s="1" t="str">
        <f>IFERROR(__xludf.DUMMYFUNCTION("""COMPUTED_VALUE"""),"RIVADAVIA Daniel CM")</f>
        <v>RIVADAVIA Daniel CM</v>
      </c>
      <c r="F632" s="1" t="str">
        <f t="shared" si="1"/>
        <v>RIVADAVIA </v>
      </c>
      <c r="G632" s="1" t="str">
        <f t="shared" si="2"/>
        <v>Daniel CM</v>
      </c>
      <c r="H632" s="1" t="str">
        <f>IFERROR(__xludf.DUMMYFUNCTION("""COMPUTED_VALUE"""),"18/1/2023, 17:00:00")</f>
        <v>18/1/2023, 17:00:00</v>
      </c>
      <c r="I632" s="1" t="str">
        <f>IFERROR(__xludf.DUMMYFUNCTION("""COMPUTED_VALUE"""),"Completado en SUCURSAL")</f>
        <v>Completado en SUCURSAL</v>
      </c>
      <c r="J632" s="1">
        <f t="shared" si="3"/>
        <v>5</v>
      </c>
      <c r="K632" s="1" t="str">
        <f t="shared" si="4"/>
        <v>Tus Lentes estan LISTAS PARA ENTREGAR, te esperamos.</v>
      </c>
    </row>
    <row r="633">
      <c r="A633" s="1">
        <f>IFERROR(__xludf.DUMMYFUNCTION("""COMPUTED_VALUE"""),85183.0)</f>
        <v>85183</v>
      </c>
      <c r="B633" s="5">
        <f>IFERROR(__xludf.DUMMYFUNCTION("""COMPUTED_VALUE"""),44943.54790613426)</f>
        <v>44943.54791</v>
      </c>
      <c r="C633" s="1" t="str">
        <f>IFERROR(__xludf.DUMMYFUNCTION("""COMPUTED_VALUE"""),"gomez hugo")</f>
        <v>gomez hugo</v>
      </c>
      <c r="D633" s="1" t="str">
        <f>IFERROR(__xludf.DUMMYFUNCTION("""COMPUTED_VALUE"""),"Reparaciones/Otros")</f>
        <v>Reparaciones/Otros</v>
      </c>
      <c r="E633" s="1" t="str">
        <f>IFERROR(__xludf.DUMMYFUNCTION("""COMPUTED_VALUE"""),"RIVADAVIA Daniel CM")</f>
        <v>RIVADAVIA Daniel CM</v>
      </c>
      <c r="F633" s="1" t="str">
        <f t="shared" si="1"/>
        <v>RIVADAVIA </v>
      </c>
      <c r="G633" s="1" t="str">
        <f t="shared" si="2"/>
        <v>Daniel CM</v>
      </c>
      <c r="H633" s="1" t="str">
        <f>IFERROR(__xludf.DUMMYFUNCTION("""COMPUTED_VALUE"""),"18/1/2023, 17:00:00")</f>
        <v>18/1/2023, 17:00:00</v>
      </c>
      <c r="I633" s="1" t="str">
        <f>IFERROR(__xludf.DUMMYFUNCTION("""COMPUTED_VALUE"""),"Completado en SUCURSAL")</f>
        <v>Completado en SUCURSAL</v>
      </c>
      <c r="J633" s="1">
        <f t="shared" si="3"/>
        <v>5</v>
      </c>
      <c r="K633" s="1" t="str">
        <f t="shared" si="4"/>
        <v>Tus Lentes estan LISTAS PARA ENTREGAR, te esperamos.</v>
      </c>
    </row>
    <row r="634">
      <c r="A634" s="1">
        <f>IFERROR(__xludf.DUMMYFUNCTION("""COMPUTED_VALUE"""),85184.0)</f>
        <v>85184</v>
      </c>
      <c r="B634" s="5">
        <f>IFERROR(__xludf.DUMMYFUNCTION("""COMPUTED_VALUE"""),44943.561962685184)</f>
        <v>44943.56196</v>
      </c>
      <c r="C634" s="1" t="str">
        <f>IFERROR(__xludf.DUMMYFUNCTION("""COMPUTED_VALUE"""),"RALLO ANA MARIA")</f>
        <v>RALLO ANA MARIA</v>
      </c>
      <c r="D634" s="1" t="str">
        <f>IFERROR(__xludf.DUMMYFUNCTION("""COMPUTED_VALUE"""),"Lentes de STOCK")</f>
        <v>Lentes de STOCK</v>
      </c>
      <c r="E634" s="1" t="str">
        <f>IFERROR(__xludf.DUMMYFUNCTION("""COMPUTED_VALUE"""),"ARTIGAS Ivana P.")</f>
        <v>ARTIGAS Ivana P.</v>
      </c>
      <c r="F634" s="1" t="str">
        <f t="shared" si="1"/>
        <v>ARTIGAS </v>
      </c>
      <c r="G634" s="1" t="str">
        <f t="shared" si="2"/>
        <v>Ivana P.</v>
      </c>
      <c r="H634" s="1" t="str">
        <f>IFERROR(__xludf.DUMMYFUNCTION("""COMPUTED_VALUE"""),"31/1/2023, 17:00:00")</f>
        <v>31/1/2023, 17:00:00</v>
      </c>
      <c r="I634" s="1" t="str">
        <f>IFERROR(__xludf.DUMMYFUNCTION("""COMPUTED_VALUE"""),"RETIRADO OK POR CLIENTE")</f>
        <v>RETIRADO OK POR CLIENTE</v>
      </c>
      <c r="J634" s="1">
        <f t="shared" si="3"/>
        <v>6</v>
      </c>
      <c r="K634" s="1" t="str">
        <f t="shared" si="4"/>
        <v>Entregamos tus lentes, que los disfrutes!</v>
      </c>
    </row>
    <row r="635">
      <c r="A635" s="1">
        <f>IFERROR(__xludf.DUMMYFUNCTION("""COMPUTED_VALUE"""),85185.0)</f>
        <v>85185</v>
      </c>
      <c r="B635" s="5">
        <f>IFERROR(__xludf.DUMMYFUNCTION("""COMPUTED_VALUE"""),44943.68940967592)</f>
        <v>44943.68941</v>
      </c>
      <c r="C635" s="1" t="str">
        <f>IFERROR(__xludf.DUMMYFUNCTION("""COMPUTED_VALUE"""),"MEDERO GRACIELA")</f>
        <v>MEDERO GRACIELA</v>
      </c>
      <c r="D635" s="1" t="str">
        <f>IFERROR(__xludf.DUMMYFUNCTION("""COMPUTED_VALUE"""),"Reparaciones/Otros")</f>
        <v>Reparaciones/Otros</v>
      </c>
      <c r="E635" s="1" t="str">
        <f>IFERROR(__xludf.DUMMYFUNCTION("""COMPUTED_VALUE"""),"ARTIGAS Ivana P.")</f>
        <v>ARTIGAS Ivana P.</v>
      </c>
      <c r="F635" s="1" t="str">
        <f t="shared" si="1"/>
        <v>ARTIGAS </v>
      </c>
      <c r="G635" s="1" t="str">
        <f t="shared" si="2"/>
        <v>Ivana P.</v>
      </c>
      <c r="H635" s="1" t="str">
        <f>IFERROR(__xludf.DUMMYFUNCTION("""COMPUTED_VALUE"""),"18/1/2023, 17:00:00")</f>
        <v>18/1/2023, 17:00:00</v>
      </c>
      <c r="I635" s="1" t="str">
        <f>IFERROR(__xludf.DUMMYFUNCTION("""COMPUTED_VALUE"""),"Recibido en Laboratorio")</f>
        <v>Recibido en Laboratorio</v>
      </c>
      <c r="J635" s="1">
        <f t="shared" si="3"/>
        <v>2</v>
      </c>
      <c r="K635" s="1" t="str">
        <f t="shared" si="4"/>
        <v>Nuestro Laboratorio esta trabajando en tus lentes, los entregaremos en la fecha acordada.</v>
      </c>
    </row>
    <row r="636">
      <c r="A636" s="1">
        <f>IFERROR(__xludf.DUMMYFUNCTION("""COMPUTED_VALUE"""),85186.0)</f>
        <v>85186</v>
      </c>
      <c r="B636" s="5">
        <f>IFERROR(__xludf.DUMMYFUNCTION("""COMPUTED_VALUE"""),44943.7027328125)</f>
        <v>44943.70273</v>
      </c>
      <c r="C636" s="1" t="str">
        <f>IFERROR(__xludf.DUMMYFUNCTION("""COMPUTED_VALUE"""),"MONTIEL AUDELINA")</f>
        <v>MONTIEL AUDELINA</v>
      </c>
      <c r="D636" s="1" t="str">
        <f>IFERROR(__xludf.DUMMYFUNCTION("""COMPUTED_VALUE"""),"Lentes de STOCK")</f>
        <v>Lentes de STOCK</v>
      </c>
      <c r="E636" s="1" t="str">
        <f>IFERROR(__xludf.DUMMYFUNCTION("""COMPUTED_VALUE"""),"ARTIGAS Cristian C.")</f>
        <v>ARTIGAS Cristian C.</v>
      </c>
      <c r="F636" s="1" t="str">
        <f t="shared" si="1"/>
        <v>ARTIGAS </v>
      </c>
      <c r="G636" s="1" t="str">
        <f t="shared" si="2"/>
        <v>Cristian C.</v>
      </c>
      <c r="H636" s="1" t="str">
        <f>IFERROR(__xludf.DUMMYFUNCTION("""COMPUTED_VALUE"""),"21/1/2023, 17:00:00")</f>
        <v>21/1/2023, 17:00:00</v>
      </c>
      <c r="I636" s="1" t="str">
        <f>IFERROR(__xludf.DUMMYFUNCTION("""COMPUTED_VALUE"""),"RETIRADO OK POR CLIENTE")</f>
        <v>RETIRADO OK POR CLIENTE</v>
      </c>
      <c r="J636" s="1">
        <f t="shared" si="3"/>
        <v>6</v>
      </c>
      <c r="K636" s="1" t="str">
        <f t="shared" si="4"/>
        <v>Entregamos tus lentes, que los disfrutes!</v>
      </c>
    </row>
    <row r="637">
      <c r="A637" s="1">
        <f>IFERROR(__xludf.DUMMYFUNCTION("""COMPUTED_VALUE"""),85187.0)</f>
        <v>85187</v>
      </c>
      <c r="B637" s="5">
        <f>IFERROR(__xludf.DUMMYFUNCTION("""COMPUTED_VALUE"""),44943.70549594908)</f>
        <v>44943.7055</v>
      </c>
      <c r="C637" s="1" t="str">
        <f>IFERROR(__xludf.DUMMYFUNCTION("""COMPUTED_VALUE"""),"FIGUEROA MARCELA")</f>
        <v>FIGUEROA MARCELA</v>
      </c>
      <c r="D637" s="1" t="str">
        <f>IFERROR(__xludf.DUMMYFUNCTION("""COMPUTED_VALUE"""),"Lentes de LABORATORIO")</f>
        <v>Lentes de LABORATORIO</v>
      </c>
      <c r="E637" s="1" t="str">
        <f>IFERROR(__xludf.DUMMYFUNCTION("""COMPUTED_VALUE"""),"ARTIGAS Ivana P.")</f>
        <v>ARTIGAS Ivana P.</v>
      </c>
      <c r="F637" s="1" t="str">
        <f t="shared" si="1"/>
        <v>ARTIGAS </v>
      </c>
      <c r="G637" s="1" t="str">
        <f t="shared" si="2"/>
        <v>Ivana P.</v>
      </c>
      <c r="H637" s="1" t="str">
        <f>IFERROR(__xludf.DUMMYFUNCTION("""COMPUTED_VALUE"""),"27/1/2023, 17:00:00")</f>
        <v>27/1/2023, 17:00:00</v>
      </c>
      <c r="I637" s="1" t="str">
        <f>IFERROR(__xludf.DUMMYFUNCTION("""COMPUTED_VALUE"""),"RETIRADO OK POR CLIENTE")</f>
        <v>RETIRADO OK POR CLIENTE</v>
      </c>
      <c r="J637" s="1">
        <f t="shared" si="3"/>
        <v>6</v>
      </c>
      <c r="K637" s="1" t="str">
        <f t="shared" si="4"/>
        <v>Entregamos tus lentes, que los disfrutes!</v>
      </c>
    </row>
    <row r="638">
      <c r="A638" s="1">
        <f>IFERROR(__xludf.DUMMYFUNCTION("""COMPUTED_VALUE"""),85188.0)</f>
        <v>85188</v>
      </c>
      <c r="B638" s="5">
        <f>IFERROR(__xludf.DUMMYFUNCTION("""COMPUTED_VALUE"""),44943.72169928241)</f>
        <v>44943.7217</v>
      </c>
      <c r="C638" s="1" t="str">
        <f>IFERROR(__xludf.DUMMYFUNCTION("""COMPUTED_VALUE"""),"GIL BUSTOS FAUTINA")</f>
        <v>GIL BUSTOS FAUTINA</v>
      </c>
      <c r="D638" s="1" t="str">
        <f>IFERROR(__xludf.DUMMYFUNCTION("""COMPUTED_VALUE"""),"Lentes de STOCK")</f>
        <v>Lentes de STOCK</v>
      </c>
      <c r="E638" s="1" t="str">
        <f>IFERROR(__xludf.DUMMYFUNCTION("""COMPUTED_VALUE"""),"RIVADAVIA Santiago N")</f>
        <v>RIVADAVIA Santiago N</v>
      </c>
      <c r="F638" s="1" t="str">
        <f t="shared" si="1"/>
        <v>RIVADAVIA </v>
      </c>
      <c r="G638" s="1" t="str">
        <f t="shared" si="2"/>
        <v>Santiago N</v>
      </c>
      <c r="H638" s="1" t="str">
        <f>IFERROR(__xludf.DUMMYFUNCTION("""COMPUTED_VALUE"""),"21/1/2023, 17:00:00")</f>
        <v>21/1/2023, 17:00:00</v>
      </c>
      <c r="I638" s="1" t="str">
        <f>IFERROR(__xludf.DUMMYFUNCTION("""COMPUTED_VALUE"""),"Completado en SUCURSAL")</f>
        <v>Completado en SUCURSAL</v>
      </c>
      <c r="J638" s="1">
        <f t="shared" si="3"/>
        <v>5</v>
      </c>
      <c r="K638" s="1" t="str">
        <f t="shared" si="4"/>
        <v>Tus Lentes estan LISTAS PARA ENTREGAR, te esperamos.</v>
      </c>
    </row>
    <row r="639">
      <c r="A639" s="1">
        <f>IFERROR(__xludf.DUMMYFUNCTION("""COMPUTED_VALUE"""),85189.0)</f>
        <v>85189</v>
      </c>
      <c r="B639" s="5">
        <f>IFERROR(__xludf.DUMMYFUNCTION("""COMPUTED_VALUE"""),44943.72451717593)</f>
        <v>44943.72452</v>
      </c>
      <c r="C639" s="1" t="str">
        <f>IFERROR(__xludf.DUMMYFUNCTION("""COMPUTED_VALUE"""),"RAMIREZ, SARA")</f>
        <v>RAMIREZ, SARA</v>
      </c>
      <c r="D639" s="1" t="str">
        <f>IFERROR(__xludf.DUMMYFUNCTION("""COMPUTED_VALUE"""),"Lentes de LABORATORIO")</f>
        <v>Lentes de LABORATORIO</v>
      </c>
      <c r="E639" s="1" t="str">
        <f>IFERROR(__xludf.DUMMYFUNCTION("""COMPUTED_VALUE"""),"RIVADAVIA Santiago LOPEZ")</f>
        <v>RIVADAVIA Santiago LOPEZ</v>
      </c>
      <c r="F639" s="1" t="str">
        <f t="shared" si="1"/>
        <v>RIVADAVIA </v>
      </c>
      <c r="G639" s="1" t="str">
        <f t="shared" si="2"/>
        <v>Santiago LOPEZ</v>
      </c>
      <c r="H639" s="1" t="str">
        <f>IFERROR(__xludf.DUMMYFUNCTION("""COMPUTED_VALUE"""),"1/2/2023, 17:00:00")</f>
        <v>1/2/2023, 17:00:00</v>
      </c>
      <c r="I639" s="1" t="str">
        <f>IFERROR(__xludf.DUMMYFUNCTION("""COMPUTED_VALUE"""),"Completado en SUCURSAL")</f>
        <v>Completado en SUCURSAL</v>
      </c>
      <c r="J639" s="1">
        <f t="shared" si="3"/>
        <v>5</v>
      </c>
      <c r="K639" s="1" t="str">
        <f t="shared" si="4"/>
        <v>Tus Lentes estan LISTAS PARA ENTREGAR, te esperamos.</v>
      </c>
    </row>
    <row r="640">
      <c r="A640" s="1">
        <f>IFERROR(__xludf.DUMMYFUNCTION("""COMPUTED_VALUE"""),85190.0)</f>
        <v>85190</v>
      </c>
      <c r="B640" s="5">
        <f>IFERROR(__xludf.DUMMYFUNCTION("""COMPUTED_VALUE"""),44943.726588680554)</f>
        <v>44943.72659</v>
      </c>
      <c r="C640" s="1" t="str">
        <f>IFERROR(__xludf.DUMMYFUNCTION("""COMPUTED_VALUE"""),"GIL GARRO LUIS MARCELO")</f>
        <v>GIL GARRO LUIS MARCELO</v>
      </c>
      <c r="D640" s="1" t="str">
        <f>IFERROR(__xludf.DUMMYFUNCTION("""COMPUTED_VALUE"""),"Lentes de STOCK")</f>
        <v>Lentes de STOCK</v>
      </c>
      <c r="E640" s="1" t="str">
        <f>IFERROR(__xludf.DUMMYFUNCTION("""COMPUTED_VALUE"""),"RIVADAVIA Santiago N")</f>
        <v>RIVADAVIA Santiago N</v>
      </c>
      <c r="F640" s="1" t="str">
        <f t="shared" si="1"/>
        <v>RIVADAVIA </v>
      </c>
      <c r="G640" s="1" t="str">
        <f t="shared" si="2"/>
        <v>Santiago N</v>
      </c>
      <c r="H640" s="1" t="str">
        <f>IFERROR(__xludf.DUMMYFUNCTION("""COMPUTED_VALUE"""),"21/1/2023, 17:00:00")</f>
        <v>21/1/2023, 17:00:00</v>
      </c>
      <c r="I640" s="1" t="str">
        <f>IFERROR(__xludf.DUMMYFUNCTION("""COMPUTED_VALUE"""),"Completado en SUCURSAL")</f>
        <v>Completado en SUCURSAL</v>
      </c>
      <c r="J640" s="1">
        <f t="shared" si="3"/>
        <v>5</v>
      </c>
      <c r="K640" s="1" t="str">
        <f t="shared" si="4"/>
        <v>Tus Lentes estan LISTAS PARA ENTREGAR, te esperamos.</v>
      </c>
    </row>
    <row r="641">
      <c r="A641" s="1">
        <f>IFERROR(__xludf.DUMMYFUNCTION("""COMPUTED_VALUE"""),85191.0)</f>
        <v>85191</v>
      </c>
      <c r="B641" s="5">
        <f>IFERROR(__xludf.DUMMYFUNCTION("""COMPUTED_VALUE"""),44943.737645127316)</f>
        <v>44943.73765</v>
      </c>
      <c r="C641" s="1" t="str">
        <f>IFERROR(__xludf.DUMMYFUNCTION("""COMPUTED_VALUE"""),"SORIA NATALIA")</f>
        <v>SORIA NATALIA</v>
      </c>
      <c r="D641" s="1" t="str">
        <f>IFERROR(__xludf.DUMMYFUNCTION("""COMPUTED_VALUE"""),"Lentes de STOCK")</f>
        <v>Lentes de STOCK</v>
      </c>
      <c r="E641" s="1" t="str">
        <f>IFERROR(__xludf.DUMMYFUNCTION("""COMPUTED_VALUE"""),"ARTIGAS Ivana P.")</f>
        <v>ARTIGAS Ivana P.</v>
      </c>
      <c r="F641" s="1" t="str">
        <f t="shared" si="1"/>
        <v>ARTIGAS </v>
      </c>
      <c r="G641" s="1" t="str">
        <f t="shared" si="2"/>
        <v>Ivana P.</v>
      </c>
      <c r="H641" s="1" t="str">
        <f>IFERROR(__xludf.DUMMYFUNCTION("""COMPUTED_VALUE"""),"23/1/2023, 17:00:00")</f>
        <v>23/1/2023, 17:00:00</v>
      </c>
      <c r="I641" s="1" t="str">
        <f>IFERROR(__xludf.DUMMYFUNCTION("""COMPUTED_VALUE"""),"En Armado Hoy")</f>
        <v>En Armado Hoy</v>
      </c>
      <c r="J641" s="1">
        <f t="shared" si="3"/>
        <v>3</v>
      </c>
      <c r="K641" s="1" t="str">
        <f t="shared" si="4"/>
        <v>Estamos terminando los ultimos detalles de tus lentes, los terminaremos el dia de hoy.</v>
      </c>
    </row>
    <row r="642">
      <c r="A642" s="1">
        <f>IFERROR(__xludf.DUMMYFUNCTION("""COMPUTED_VALUE"""),85192.0)</f>
        <v>85192</v>
      </c>
      <c r="B642" s="5">
        <f>IFERROR(__xludf.DUMMYFUNCTION("""COMPUTED_VALUE"""),44943.74145394676)</f>
        <v>44943.74145</v>
      </c>
      <c r="C642" s="1" t="str">
        <f>IFERROR(__xludf.DUMMYFUNCTION("""COMPUTED_VALUE"""),"ZUNIGA FLORENCIA ")</f>
        <v>ZUNIGA FLORENCIA </v>
      </c>
      <c r="D642" s="1" t="str">
        <f>IFERROR(__xludf.DUMMYFUNCTION("""COMPUTED_VALUE"""),"Lentes de STOCK")</f>
        <v>Lentes de STOCK</v>
      </c>
      <c r="E642" s="1" t="str">
        <f>IFERROR(__xludf.DUMMYFUNCTION("""COMPUTED_VALUE"""),"ARTIGAS Cristian C.")</f>
        <v>ARTIGAS Cristian C.</v>
      </c>
      <c r="F642" s="1" t="str">
        <f t="shared" si="1"/>
        <v>ARTIGAS </v>
      </c>
      <c r="G642" s="1" t="str">
        <f t="shared" si="2"/>
        <v>Cristian C.</v>
      </c>
      <c r="H642" s="1" t="str">
        <f>IFERROR(__xludf.DUMMYFUNCTION("""COMPUTED_VALUE"""),"24/1/2023, 17:00:00")</f>
        <v>24/1/2023, 17:00:00</v>
      </c>
      <c r="I642" s="1" t="str">
        <f>IFERROR(__xludf.DUMMYFUNCTION("""COMPUTED_VALUE"""),"En Armado Hoy")</f>
        <v>En Armado Hoy</v>
      </c>
      <c r="J642" s="1">
        <f t="shared" si="3"/>
        <v>3</v>
      </c>
      <c r="K642" s="1" t="str">
        <f t="shared" si="4"/>
        <v>Estamos terminando los ultimos detalles de tus lentes, los terminaremos el dia de hoy.</v>
      </c>
    </row>
    <row r="643">
      <c r="A643" s="1">
        <f>IFERROR(__xludf.DUMMYFUNCTION("""COMPUTED_VALUE"""),85193.0)</f>
        <v>85193</v>
      </c>
      <c r="B643" s="5">
        <f>IFERROR(__xludf.DUMMYFUNCTION("""COMPUTED_VALUE"""),44943.74434127315)</f>
        <v>44943.74434</v>
      </c>
      <c r="C643" s="1" t="str">
        <f>IFERROR(__xludf.DUMMYFUNCTION("""COMPUTED_VALUE"""),"VERA SILVANA")</f>
        <v>VERA SILVANA</v>
      </c>
      <c r="D643" s="1" t="str">
        <f>IFERROR(__xludf.DUMMYFUNCTION("""COMPUTED_VALUE"""),"Lentes MULTIFOCALES")</f>
        <v>Lentes MULTIFOCALES</v>
      </c>
      <c r="E643" s="1" t="str">
        <f>IFERROR(__xludf.DUMMYFUNCTION("""COMPUTED_VALUE"""),"ARTIGAS Cristian C.")</f>
        <v>ARTIGAS Cristian C.</v>
      </c>
      <c r="F643" s="1" t="str">
        <f t="shared" si="1"/>
        <v>ARTIGAS </v>
      </c>
      <c r="G643" s="1" t="str">
        <f t="shared" si="2"/>
        <v>Cristian C.</v>
      </c>
      <c r="H643" s="1" t="str">
        <f>IFERROR(__xludf.DUMMYFUNCTION("""COMPUTED_VALUE"""),"3/2/2023, 17:00:00")</f>
        <v>3/2/2023, 17:00:00</v>
      </c>
      <c r="I643" s="1" t="str">
        <f>IFERROR(__xludf.DUMMYFUNCTION("""COMPUTED_VALUE"""),"RETIRADO OK POR CLIENTE")</f>
        <v>RETIRADO OK POR CLIENTE</v>
      </c>
      <c r="J643" s="1">
        <f t="shared" si="3"/>
        <v>6</v>
      </c>
      <c r="K643" s="1" t="str">
        <f t="shared" si="4"/>
        <v>Entregamos tus lentes, que los disfrutes!</v>
      </c>
    </row>
    <row r="644">
      <c r="A644" s="1">
        <f>IFERROR(__xludf.DUMMYFUNCTION("""COMPUTED_VALUE"""),85194.0)</f>
        <v>85194</v>
      </c>
      <c r="B644" s="5">
        <f>IFERROR(__xludf.DUMMYFUNCTION("""COMPUTED_VALUE"""),44943.75983809028)</f>
        <v>44943.75984</v>
      </c>
      <c r="C644" s="1" t="str">
        <f>IFERROR(__xludf.DUMMYFUNCTION("""COMPUTED_VALUE"""),"ESCUDERO CARLOS")</f>
        <v>ESCUDERO CARLOS</v>
      </c>
      <c r="D644" s="1" t="str">
        <f>IFERROR(__xludf.DUMMYFUNCTION("""COMPUTED_VALUE"""),"Lentes de STOCK")</f>
        <v>Lentes de STOCK</v>
      </c>
      <c r="E644" s="1" t="str">
        <f>IFERROR(__xludf.DUMMYFUNCTION("""COMPUTED_VALUE"""),"RIVADAVIA Javier")</f>
        <v>RIVADAVIA Javier</v>
      </c>
      <c r="F644" s="1" t="str">
        <f t="shared" si="1"/>
        <v>RIVADAVIA </v>
      </c>
      <c r="G644" s="1" t="str">
        <f t="shared" si="2"/>
        <v>Javier</v>
      </c>
      <c r="H644" s="1" t="str">
        <f>IFERROR(__xludf.DUMMYFUNCTION("""COMPUTED_VALUE"""),"21/1/2023, 17:00:00")</f>
        <v>21/1/2023, 17:00:00</v>
      </c>
      <c r="I644" s="1" t="str">
        <f>IFERROR(__xludf.DUMMYFUNCTION("""COMPUTED_VALUE"""),"RETIRADO OK POR CLIENTE")</f>
        <v>RETIRADO OK POR CLIENTE</v>
      </c>
      <c r="J644" s="1">
        <f t="shared" si="3"/>
        <v>6</v>
      </c>
      <c r="K644" s="1" t="str">
        <f t="shared" si="4"/>
        <v>Entregamos tus lentes, que los disfrutes!</v>
      </c>
    </row>
    <row r="645">
      <c r="A645" s="1">
        <f>IFERROR(__xludf.DUMMYFUNCTION("""COMPUTED_VALUE"""),85195.0)</f>
        <v>85195</v>
      </c>
      <c r="B645" s="5">
        <f>IFERROR(__xludf.DUMMYFUNCTION("""COMPUTED_VALUE"""),44943.771201435186)</f>
        <v>44943.7712</v>
      </c>
      <c r="C645" s="1" t="str">
        <f>IFERROR(__xludf.DUMMYFUNCTION("""COMPUTED_VALUE"""),"SOLIS DANIEL")</f>
        <v>SOLIS DANIEL</v>
      </c>
      <c r="D645" s="1" t="str">
        <f>IFERROR(__xludf.DUMMYFUNCTION("""COMPUTED_VALUE"""),"Reparaciones/Otros")</f>
        <v>Reparaciones/Otros</v>
      </c>
      <c r="E645" s="1" t="str">
        <f>IFERROR(__xludf.DUMMYFUNCTION("""COMPUTED_VALUE"""),"RIVADAVIA Javier")</f>
        <v>RIVADAVIA Javier</v>
      </c>
      <c r="F645" s="1" t="str">
        <f t="shared" si="1"/>
        <v>RIVADAVIA </v>
      </c>
      <c r="G645" s="1" t="str">
        <f t="shared" si="2"/>
        <v>Javier</v>
      </c>
      <c r="H645" s="1" t="str">
        <f>IFERROR(__xludf.DUMMYFUNCTION("""COMPUTED_VALUE"""),"18/1/2023, 17:00:00")</f>
        <v>18/1/2023, 17:00:00</v>
      </c>
      <c r="I645" s="1"/>
      <c r="J645" s="1">
        <f t="shared" si="3"/>
        <v>0</v>
      </c>
      <c r="K645" s="1" t="str">
        <f t="shared" si="4"/>
        <v/>
      </c>
    </row>
    <row r="646">
      <c r="A646" s="1">
        <f>IFERROR(__xludf.DUMMYFUNCTION("""COMPUTED_VALUE"""),85196.0)</f>
        <v>85196</v>
      </c>
      <c r="B646" s="5">
        <f>IFERROR(__xludf.DUMMYFUNCTION("""COMPUTED_VALUE"""),44943.775333391204)</f>
        <v>44943.77533</v>
      </c>
      <c r="C646" s="1" t="str">
        <f>IFERROR(__xludf.DUMMYFUNCTION("""COMPUTED_VALUE"""),"MORALES ANA")</f>
        <v>MORALES ANA</v>
      </c>
      <c r="D646" s="1" t="str">
        <f>IFERROR(__xludf.DUMMYFUNCTION("""COMPUTED_VALUE"""),"Lentes de STOCK")</f>
        <v>Lentes de STOCK</v>
      </c>
      <c r="E646" s="1" t="str">
        <f>IFERROR(__xludf.DUMMYFUNCTION("""COMPUTED_VALUE"""),"RIVADAVIA Luciana")</f>
        <v>RIVADAVIA Luciana</v>
      </c>
      <c r="F646" s="1" t="str">
        <f t="shared" si="1"/>
        <v>RIVADAVIA </v>
      </c>
      <c r="G646" s="1" t="str">
        <f t="shared" si="2"/>
        <v>Luciana</v>
      </c>
      <c r="H646" s="1" t="str">
        <f>IFERROR(__xludf.DUMMYFUNCTION("""COMPUTED_VALUE"""),"23/1/2023, 17:00:00")</f>
        <v>23/1/2023, 17:00:00</v>
      </c>
      <c r="I646" s="1" t="str">
        <f>IFERROR(__xludf.DUMMYFUNCTION("""COMPUTED_VALUE"""),"Completado en SUCURSAL")</f>
        <v>Completado en SUCURSAL</v>
      </c>
      <c r="J646" s="1">
        <f t="shared" si="3"/>
        <v>5</v>
      </c>
      <c r="K646" s="1" t="str">
        <f t="shared" si="4"/>
        <v>Tus Lentes estan LISTAS PARA ENTREGAR, te esperamos.</v>
      </c>
    </row>
    <row r="647">
      <c r="A647" s="1">
        <f>IFERROR(__xludf.DUMMYFUNCTION("""COMPUTED_VALUE"""),85197.0)</f>
        <v>85197</v>
      </c>
      <c r="B647" s="5">
        <f>IFERROR(__xludf.DUMMYFUNCTION("""COMPUTED_VALUE"""),44943.77941952547)</f>
        <v>44943.77942</v>
      </c>
      <c r="C647" s="1" t="str">
        <f>IFERROR(__xludf.DUMMYFUNCTION("""COMPUTED_VALUE"""),"MORALES MIRIAM")</f>
        <v>MORALES MIRIAM</v>
      </c>
      <c r="D647" s="1" t="str">
        <f>IFERROR(__xludf.DUMMYFUNCTION("""COMPUTED_VALUE"""),"Lentes de STOCK")</f>
        <v>Lentes de STOCK</v>
      </c>
      <c r="E647" s="1" t="str">
        <f>IFERROR(__xludf.DUMMYFUNCTION("""COMPUTED_VALUE"""),"RIVADAVIA Luciana")</f>
        <v>RIVADAVIA Luciana</v>
      </c>
      <c r="F647" s="1" t="str">
        <f t="shared" si="1"/>
        <v>RIVADAVIA </v>
      </c>
      <c r="G647" s="1" t="str">
        <f t="shared" si="2"/>
        <v>Luciana</v>
      </c>
      <c r="H647" s="1" t="str">
        <f>IFERROR(__xludf.DUMMYFUNCTION("""COMPUTED_VALUE"""),"23/1/2023, 17:00:00")</f>
        <v>23/1/2023, 17:00:00</v>
      </c>
      <c r="I647" s="1" t="str">
        <f>IFERROR(__xludf.DUMMYFUNCTION("""COMPUTED_VALUE"""),"Completado en SUCURSAL")</f>
        <v>Completado en SUCURSAL</v>
      </c>
      <c r="J647" s="1">
        <f t="shared" si="3"/>
        <v>5</v>
      </c>
      <c r="K647" s="1" t="str">
        <f t="shared" si="4"/>
        <v>Tus Lentes estan LISTAS PARA ENTREGAR, te esperamos.</v>
      </c>
    </row>
    <row r="648">
      <c r="A648" s="1">
        <f>IFERROR(__xludf.DUMMYFUNCTION("""COMPUTED_VALUE"""),85198.0)</f>
        <v>85198</v>
      </c>
      <c r="B648" s="5">
        <f>IFERROR(__xludf.DUMMYFUNCTION("""COMPUTED_VALUE"""),44943.779755717595)</f>
        <v>44943.77976</v>
      </c>
      <c r="C648" s="1" t="str">
        <f>IFERROR(__xludf.DUMMYFUNCTION("""COMPUTED_VALUE"""),"BECERRA MARIO")</f>
        <v>BECERRA MARIO</v>
      </c>
      <c r="D648" s="1" t="str">
        <f>IFERROR(__xludf.DUMMYFUNCTION("""COMPUTED_VALUE"""),"Lentes de STOCK")</f>
        <v>Lentes de STOCK</v>
      </c>
      <c r="E648" s="1" t="str">
        <f>IFERROR(__xludf.DUMMYFUNCTION("""COMPUTED_VALUE"""),"RIVADAVIA Javier")</f>
        <v>RIVADAVIA Javier</v>
      </c>
      <c r="F648" s="1" t="str">
        <f t="shared" si="1"/>
        <v>RIVADAVIA </v>
      </c>
      <c r="G648" s="1" t="str">
        <f t="shared" si="2"/>
        <v>Javier</v>
      </c>
      <c r="H648" s="1" t="str">
        <f>IFERROR(__xludf.DUMMYFUNCTION("""COMPUTED_VALUE"""),"21/1/2023, 17:00:00")</f>
        <v>21/1/2023, 17:00:00</v>
      </c>
      <c r="I648" s="1" t="str">
        <f>IFERROR(__xludf.DUMMYFUNCTION("""COMPUTED_VALUE"""),"RETIRADO OK POR CLIENTE")</f>
        <v>RETIRADO OK POR CLIENTE</v>
      </c>
      <c r="J648" s="1">
        <f t="shared" si="3"/>
        <v>6</v>
      </c>
      <c r="K648" s="1" t="str">
        <f t="shared" si="4"/>
        <v>Entregamos tus lentes, que los disfrutes!</v>
      </c>
    </row>
    <row r="649">
      <c r="A649" s="1">
        <f>IFERROR(__xludf.DUMMYFUNCTION("""COMPUTED_VALUE"""),85199.0)</f>
        <v>85199</v>
      </c>
      <c r="B649" s="5">
        <f>IFERROR(__xludf.DUMMYFUNCTION("""COMPUTED_VALUE"""),44943.788866840274)</f>
        <v>44943.78887</v>
      </c>
      <c r="C649" s="1" t="str">
        <f>IFERROR(__xludf.DUMMYFUNCTION("""COMPUTED_VALUE"""),"SORIA MAXIMA")</f>
        <v>SORIA MAXIMA</v>
      </c>
      <c r="D649" s="1" t="str">
        <f>IFERROR(__xludf.DUMMYFUNCTION("""COMPUTED_VALUE"""),"Reparaciones/Otros")</f>
        <v>Reparaciones/Otros</v>
      </c>
      <c r="E649" s="1" t="str">
        <f>IFERROR(__xludf.DUMMYFUNCTION("""COMPUTED_VALUE"""),"RIVADAVIA Luciana")</f>
        <v>RIVADAVIA Luciana</v>
      </c>
      <c r="F649" s="1" t="str">
        <f t="shared" si="1"/>
        <v>RIVADAVIA </v>
      </c>
      <c r="G649" s="1" t="str">
        <f t="shared" si="2"/>
        <v>Luciana</v>
      </c>
      <c r="H649" s="1" t="str">
        <f>IFERROR(__xludf.DUMMYFUNCTION("""COMPUTED_VALUE"""),"21/1/2023, 12:00:00")</f>
        <v>21/1/2023, 12:00:00</v>
      </c>
      <c r="I649" s="1" t="str">
        <f>IFERROR(__xludf.DUMMYFUNCTION("""COMPUTED_VALUE"""),"Enviado a Sucursal")</f>
        <v>Enviado a Sucursal</v>
      </c>
      <c r="J649" s="1">
        <f t="shared" si="3"/>
        <v>4</v>
      </c>
      <c r="K649" s="1" t="str">
        <f t="shared" si="4"/>
        <v>Tus lentes estan viajando a la sucursal para su entrega.</v>
      </c>
    </row>
    <row r="650">
      <c r="A650" s="1">
        <f>IFERROR(__xludf.DUMMYFUNCTION("""COMPUTED_VALUE"""),85200.0)</f>
        <v>85200</v>
      </c>
      <c r="B650" s="5">
        <f>IFERROR(__xludf.DUMMYFUNCTION("""COMPUTED_VALUE"""),44943.801741585645)</f>
        <v>44943.80174</v>
      </c>
      <c r="C650" s="1" t="str">
        <f>IFERROR(__xludf.DUMMYFUNCTION("""COMPUTED_VALUE"""),"ANZORENA MARIANA")</f>
        <v>ANZORENA MARIANA</v>
      </c>
      <c r="D650" s="1" t="str">
        <f>IFERROR(__xludf.DUMMYFUNCTION("""COMPUTED_VALUE"""),"Lentes MULTIFOCALES")</f>
        <v>Lentes MULTIFOCALES</v>
      </c>
      <c r="E650" s="1" t="str">
        <f>IFERROR(__xludf.DUMMYFUNCTION("""COMPUTED_VALUE"""),"RIVADAVIA Santiago LOPEZ")</f>
        <v>RIVADAVIA Santiago LOPEZ</v>
      </c>
      <c r="F650" s="1" t="str">
        <f t="shared" si="1"/>
        <v>RIVADAVIA </v>
      </c>
      <c r="G650" s="1" t="str">
        <f t="shared" si="2"/>
        <v>Santiago LOPEZ</v>
      </c>
      <c r="H650" s="1" t="str">
        <f>IFERROR(__xludf.DUMMYFUNCTION("""COMPUTED_VALUE"""),"30/1/2023, 17:00:00")</f>
        <v>30/1/2023, 17:00:00</v>
      </c>
      <c r="I650" s="1" t="str">
        <f>IFERROR(__xludf.DUMMYFUNCTION("""COMPUTED_VALUE"""),"Completado en SUCURSAL")</f>
        <v>Completado en SUCURSAL</v>
      </c>
      <c r="J650" s="1">
        <f t="shared" si="3"/>
        <v>5</v>
      </c>
      <c r="K650" s="1" t="str">
        <f t="shared" si="4"/>
        <v>Tus Lentes estan LISTAS PARA ENTREGAR, te esperamos.</v>
      </c>
    </row>
    <row r="651">
      <c r="A651" s="1">
        <f>IFERROR(__xludf.DUMMYFUNCTION("""COMPUTED_VALUE"""),85201.0)</f>
        <v>85201</v>
      </c>
      <c r="B651" s="5">
        <f>IFERROR(__xludf.DUMMYFUNCTION("""COMPUTED_VALUE"""),44943.80340771991)</f>
        <v>44943.80341</v>
      </c>
      <c r="C651" s="1" t="str">
        <f>IFERROR(__xludf.DUMMYFUNCTION("""COMPUTED_VALUE"""),"cialone yamila")</f>
        <v>cialone yamila</v>
      </c>
      <c r="D651" s="1" t="str">
        <f>IFERROR(__xludf.DUMMYFUNCTION("""COMPUTED_VALUE"""),"Lentes de STOCK")</f>
        <v>Lentes de STOCK</v>
      </c>
      <c r="E651" s="1" t="str">
        <f>IFERROR(__xludf.DUMMYFUNCTION("""COMPUTED_VALUE"""),"RIVADAVIA Daniel CM")</f>
        <v>RIVADAVIA Daniel CM</v>
      </c>
      <c r="F651" s="1" t="str">
        <f t="shared" si="1"/>
        <v>RIVADAVIA </v>
      </c>
      <c r="G651" s="1" t="str">
        <f t="shared" si="2"/>
        <v>Daniel CM</v>
      </c>
      <c r="H651" s="1" t="str">
        <f>IFERROR(__xludf.DUMMYFUNCTION("""COMPUTED_VALUE"""),"21/1/2023, 17:00:00")</f>
        <v>21/1/2023, 17:00:00</v>
      </c>
      <c r="I651" s="1" t="str">
        <f>IFERROR(__xludf.DUMMYFUNCTION("""COMPUTED_VALUE"""),"Completado en SUCURSAL")</f>
        <v>Completado en SUCURSAL</v>
      </c>
      <c r="J651" s="1">
        <f t="shared" si="3"/>
        <v>5</v>
      </c>
      <c r="K651" s="1" t="str">
        <f t="shared" si="4"/>
        <v>Tus Lentes estan LISTAS PARA ENTREGAR, te esperamos.</v>
      </c>
    </row>
    <row r="652">
      <c r="A652" s="1">
        <f>IFERROR(__xludf.DUMMYFUNCTION("""COMPUTED_VALUE"""),85202.0)</f>
        <v>85202</v>
      </c>
      <c r="B652" s="5">
        <f>IFERROR(__xludf.DUMMYFUNCTION("""COMPUTED_VALUE"""),44943.80508086806)</f>
        <v>44943.80508</v>
      </c>
      <c r="C652" s="1" t="str">
        <f>IFERROR(__xludf.DUMMYFUNCTION("""COMPUTED_VALUE"""),"JAQUELINE DE LA MERDECES ESPINOSA")</f>
        <v>JAQUELINE DE LA MERDECES ESPINOSA</v>
      </c>
      <c r="D652" s="1" t="str">
        <f>IFERROR(__xludf.DUMMYFUNCTION("""COMPUTED_VALUE"""),"Lentes de STOCK")</f>
        <v>Lentes de STOCK</v>
      </c>
      <c r="E652" s="1" t="str">
        <f>IFERROR(__xludf.DUMMYFUNCTION("""COMPUTED_VALUE"""),"RIVADAVIA Javier")</f>
        <v>RIVADAVIA Javier</v>
      </c>
      <c r="F652" s="1" t="str">
        <f t="shared" si="1"/>
        <v>RIVADAVIA </v>
      </c>
      <c r="G652" s="1" t="str">
        <f t="shared" si="2"/>
        <v>Javier</v>
      </c>
      <c r="H652" s="1" t="str">
        <f>IFERROR(__xludf.DUMMYFUNCTION("""COMPUTED_VALUE"""),"21/1/2023, 17:00:00")</f>
        <v>21/1/2023, 17:00:00</v>
      </c>
      <c r="I652" s="1" t="str">
        <f>IFERROR(__xludf.DUMMYFUNCTION("""COMPUTED_VALUE"""),"Enviado a Sucursal")</f>
        <v>Enviado a Sucursal</v>
      </c>
      <c r="J652" s="1">
        <f t="shared" si="3"/>
        <v>4</v>
      </c>
      <c r="K652" s="1" t="str">
        <f t="shared" si="4"/>
        <v>Tus lentes estan viajando a la sucursal para su entrega.</v>
      </c>
    </row>
    <row r="653">
      <c r="A653" s="1">
        <f>IFERROR(__xludf.DUMMYFUNCTION("""COMPUTED_VALUE"""),85203.0)</f>
        <v>85203</v>
      </c>
      <c r="B653" s="5">
        <f>IFERROR(__xludf.DUMMYFUNCTION("""COMPUTED_VALUE"""),44943.81781112269)</f>
        <v>44943.81781</v>
      </c>
      <c r="C653" s="1" t="str">
        <f>IFERROR(__xludf.DUMMYFUNCTION("""COMPUTED_VALUE"""),"SORIA MAXIMA")</f>
        <v>SORIA MAXIMA</v>
      </c>
      <c r="D653" s="1" t="str">
        <f>IFERROR(__xludf.DUMMYFUNCTION("""COMPUTED_VALUE"""),"Reparaciones/Otros")</f>
        <v>Reparaciones/Otros</v>
      </c>
      <c r="E653" s="1" t="str">
        <f>IFERROR(__xludf.DUMMYFUNCTION("""COMPUTED_VALUE"""),"RIVADAVIA Luciana")</f>
        <v>RIVADAVIA Luciana</v>
      </c>
      <c r="F653" s="1" t="str">
        <f t="shared" si="1"/>
        <v>RIVADAVIA </v>
      </c>
      <c r="G653" s="1" t="str">
        <f t="shared" si="2"/>
        <v>Luciana</v>
      </c>
      <c r="H653" s="1" t="str">
        <f>IFERROR(__xludf.DUMMYFUNCTION("""COMPUTED_VALUE"""),"21/1/2023, 12:00:00")</f>
        <v>21/1/2023, 12:00:00</v>
      </c>
      <c r="I653" s="1" t="str">
        <f>IFERROR(__xludf.DUMMYFUNCTION("""COMPUTED_VALUE"""),"Completado en SUCURSAL")</f>
        <v>Completado en SUCURSAL</v>
      </c>
      <c r="J653" s="1">
        <f t="shared" si="3"/>
        <v>5</v>
      </c>
      <c r="K653" s="1" t="str">
        <f t="shared" si="4"/>
        <v>Tus Lentes estan LISTAS PARA ENTREGAR, te esperamos.</v>
      </c>
    </row>
    <row r="654">
      <c r="A654" s="1">
        <f>IFERROR(__xludf.DUMMYFUNCTION("""COMPUTED_VALUE"""),85204.0)</f>
        <v>85204</v>
      </c>
      <c r="B654" s="5">
        <f>IFERROR(__xludf.DUMMYFUNCTION("""COMPUTED_VALUE"""),44943.82277322917)</f>
        <v>44943.82277</v>
      </c>
      <c r="C654" s="1" t="str">
        <f>IFERROR(__xludf.DUMMYFUNCTION("""COMPUTED_VALUE"""),"ALFONSO FRANCISCO")</f>
        <v>ALFONSO FRANCISCO</v>
      </c>
      <c r="D654" s="1" t="str">
        <f>IFERROR(__xludf.DUMMYFUNCTION("""COMPUTED_VALUE"""),"Reparaciones/Otros")</f>
        <v>Reparaciones/Otros</v>
      </c>
      <c r="E654" s="1" t="str">
        <f>IFERROR(__xludf.DUMMYFUNCTION("""COMPUTED_VALUE"""),"ARTIGAS Celina")</f>
        <v>ARTIGAS Celina</v>
      </c>
      <c r="F654" s="1" t="str">
        <f t="shared" si="1"/>
        <v>ARTIGAS </v>
      </c>
      <c r="G654" s="1" t="str">
        <f t="shared" si="2"/>
        <v>Celina</v>
      </c>
      <c r="H654" s="1" t="str">
        <f>IFERROR(__xludf.DUMMYFUNCTION("""COMPUTED_VALUE"""),"18/1/2023, 17:00:00")</f>
        <v>18/1/2023, 17:00:00</v>
      </c>
      <c r="I654" s="1" t="str">
        <f>IFERROR(__xludf.DUMMYFUNCTION("""COMPUTED_VALUE"""),"Completado en SUCURSAL")</f>
        <v>Completado en SUCURSAL</v>
      </c>
      <c r="J654" s="1">
        <f t="shared" si="3"/>
        <v>5</v>
      </c>
      <c r="K654" s="1" t="str">
        <f t="shared" si="4"/>
        <v>Tus Lentes estan LISTAS PARA ENTREGAR, te esperamos.</v>
      </c>
    </row>
    <row r="655">
      <c r="A655" s="1">
        <f>IFERROR(__xludf.DUMMYFUNCTION("""COMPUTED_VALUE"""),85205.0)</f>
        <v>85205</v>
      </c>
      <c r="B655" s="5">
        <f>IFERROR(__xludf.DUMMYFUNCTION("""COMPUTED_VALUE"""),44943.82350184028)</f>
        <v>44943.8235</v>
      </c>
      <c r="C655" s="1" t="str">
        <f>IFERROR(__xludf.DUMMYFUNCTION("""COMPUTED_VALUE"""),"ledezma julian")</f>
        <v>ledezma julian</v>
      </c>
      <c r="D655" s="1" t="str">
        <f>IFERROR(__xludf.DUMMYFUNCTION("""COMPUTED_VALUE"""),"Lentes de STOCK")</f>
        <v>Lentes de STOCK</v>
      </c>
      <c r="E655" s="1" t="str">
        <f>IFERROR(__xludf.DUMMYFUNCTION("""COMPUTED_VALUE"""),"RIVADAVIA Daniel CM")</f>
        <v>RIVADAVIA Daniel CM</v>
      </c>
      <c r="F655" s="1" t="str">
        <f t="shared" si="1"/>
        <v>RIVADAVIA </v>
      </c>
      <c r="G655" s="1" t="str">
        <f t="shared" si="2"/>
        <v>Daniel CM</v>
      </c>
      <c r="H655" s="1" t="str">
        <f>IFERROR(__xludf.DUMMYFUNCTION("""COMPUTED_VALUE"""),"21/1/2023, 17:00:00")</f>
        <v>21/1/2023, 17:00:00</v>
      </c>
      <c r="I655" s="1" t="str">
        <f>IFERROR(__xludf.DUMMYFUNCTION("""COMPUTED_VALUE"""),"RETIRADO OK POR CLIENTE")</f>
        <v>RETIRADO OK POR CLIENTE</v>
      </c>
      <c r="J655" s="1">
        <f t="shared" si="3"/>
        <v>6</v>
      </c>
      <c r="K655" s="1" t="str">
        <f t="shared" si="4"/>
        <v>Entregamos tus lentes, que los disfrutes!</v>
      </c>
    </row>
    <row r="656">
      <c r="A656" s="1">
        <f>IFERROR(__xludf.DUMMYFUNCTION("""COMPUTED_VALUE"""),85206.0)</f>
        <v>85206</v>
      </c>
      <c r="B656" s="5">
        <f>IFERROR(__xludf.DUMMYFUNCTION("""COMPUTED_VALUE"""),44943.831880729165)</f>
        <v>44943.83188</v>
      </c>
      <c r="C656" s="1" t="str">
        <f>IFERROR(__xludf.DUMMYFUNCTION("""COMPUTED_VALUE"""),"GROVES ROMINA")</f>
        <v>GROVES ROMINA</v>
      </c>
      <c r="D656" s="1" t="str">
        <f>IFERROR(__xludf.DUMMYFUNCTION("""COMPUTED_VALUE"""),"Lentes de STOCK")</f>
        <v>Lentes de STOCK</v>
      </c>
      <c r="E656" s="1" t="str">
        <f>IFERROR(__xludf.DUMMYFUNCTION("""COMPUTED_VALUE"""),"RIVADAVIA Javier")</f>
        <v>RIVADAVIA Javier</v>
      </c>
      <c r="F656" s="1" t="str">
        <f t="shared" si="1"/>
        <v>RIVADAVIA </v>
      </c>
      <c r="G656" s="1" t="str">
        <f t="shared" si="2"/>
        <v>Javier</v>
      </c>
      <c r="H656" s="1" t="str">
        <f>IFERROR(__xludf.DUMMYFUNCTION("""COMPUTED_VALUE"""),"23/1/2023, 17:00:00")</f>
        <v>23/1/2023, 17:00:00</v>
      </c>
      <c r="I656" s="1" t="str">
        <f>IFERROR(__xludf.DUMMYFUNCTION("""COMPUTED_VALUE"""),"RETIRADO OK POR CLIENTE")</f>
        <v>RETIRADO OK POR CLIENTE</v>
      </c>
      <c r="J656" s="1">
        <f t="shared" si="3"/>
        <v>6</v>
      </c>
      <c r="K656" s="1" t="str">
        <f t="shared" si="4"/>
        <v>Entregamos tus lentes, que los disfrutes!</v>
      </c>
    </row>
    <row r="657">
      <c r="A657" s="1">
        <f>IFERROR(__xludf.DUMMYFUNCTION("""COMPUTED_VALUE"""),85207.0)</f>
        <v>85207</v>
      </c>
      <c r="B657" s="5">
        <f>IFERROR(__xludf.DUMMYFUNCTION("""COMPUTED_VALUE"""),44943.84451964121)</f>
        <v>44943.84452</v>
      </c>
      <c r="C657" s="1" t="str">
        <f>IFERROR(__xludf.DUMMYFUNCTION("""COMPUTED_VALUE"""),"BILDOSO ANDREA")</f>
        <v>BILDOSO ANDREA</v>
      </c>
      <c r="D657" s="1" t="str">
        <f>IFERROR(__xludf.DUMMYFUNCTION("""COMPUTED_VALUE"""),"Lentes de STOCK")</f>
        <v>Lentes de STOCK</v>
      </c>
      <c r="E657" s="1" t="str">
        <f>IFERROR(__xludf.DUMMYFUNCTION("""COMPUTED_VALUE"""),"RIVADAVIA Santiago LOPEZ")</f>
        <v>RIVADAVIA Santiago LOPEZ</v>
      </c>
      <c r="F657" s="1" t="str">
        <f t="shared" si="1"/>
        <v>RIVADAVIA </v>
      </c>
      <c r="G657" s="1" t="str">
        <f t="shared" si="2"/>
        <v>Santiago LOPEZ</v>
      </c>
      <c r="H657" s="1" t="str">
        <f>IFERROR(__xludf.DUMMYFUNCTION("""COMPUTED_VALUE"""),"23/1/2023, 17:00:00")</f>
        <v>23/1/2023, 17:00:00</v>
      </c>
      <c r="I657" s="1"/>
      <c r="J657" s="1">
        <f t="shared" si="3"/>
        <v>0</v>
      </c>
      <c r="K657" s="1" t="str">
        <f t="shared" si="4"/>
        <v/>
      </c>
    </row>
    <row r="658">
      <c r="A658" s="1">
        <f>IFERROR(__xludf.DUMMYFUNCTION("""COMPUTED_VALUE"""),85208.0)</f>
        <v>85208</v>
      </c>
      <c r="B658" s="5">
        <f>IFERROR(__xludf.DUMMYFUNCTION("""COMPUTED_VALUE"""),44944.39081106482)</f>
        <v>44944.39081</v>
      </c>
      <c r="C658" s="1" t="str">
        <f>IFERROR(__xludf.DUMMYFUNCTION("""COMPUTED_VALUE"""),"TORRES MARTIN")</f>
        <v>TORRES MARTIN</v>
      </c>
      <c r="D658" s="1" t="str">
        <f>IFERROR(__xludf.DUMMYFUNCTION("""COMPUTED_VALUE"""),"Lentes de STOCK")</f>
        <v>Lentes de STOCK</v>
      </c>
      <c r="E658" s="1" t="str">
        <f>IFERROR(__xludf.DUMMYFUNCTION("""COMPUTED_VALUE"""),"ARTIGAS Ivana P.")</f>
        <v>ARTIGAS Ivana P.</v>
      </c>
      <c r="F658" s="1" t="str">
        <f t="shared" si="1"/>
        <v>ARTIGAS </v>
      </c>
      <c r="G658" s="1" t="str">
        <f t="shared" si="2"/>
        <v>Ivana P.</v>
      </c>
      <c r="H658" s="1" t="str">
        <f>IFERROR(__xludf.DUMMYFUNCTION("""COMPUTED_VALUE"""),"23/1/2023, 17:00:00")</f>
        <v>23/1/2023, 17:00:00</v>
      </c>
      <c r="I658" s="1" t="str">
        <f>IFERROR(__xludf.DUMMYFUNCTION("""COMPUTED_VALUE"""),"En Armado Hoy")</f>
        <v>En Armado Hoy</v>
      </c>
      <c r="J658" s="1">
        <f t="shared" si="3"/>
        <v>3</v>
      </c>
      <c r="K658" s="1" t="str">
        <f t="shared" si="4"/>
        <v>Estamos terminando los ultimos detalles de tus lentes, los terminaremos el dia de hoy.</v>
      </c>
    </row>
    <row r="659">
      <c r="A659" s="1">
        <f>IFERROR(__xludf.DUMMYFUNCTION("""COMPUTED_VALUE"""),85209.0)</f>
        <v>85209</v>
      </c>
      <c r="B659" s="5">
        <f>IFERROR(__xludf.DUMMYFUNCTION("""COMPUTED_VALUE"""),44944.391909618054)</f>
        <v>44944.39191</v>
      </c>
      <c r="C659" s="1" t="str">
        <f>IFERROR(__xludf.DUMMYFUNCTION("""COMPUTED_VALUE"""),"LUCERO SILVINA MACARENA")</f>
        <v>LUCERO SILVINA MACARENA</v>
      </c>
      <c r="D659" s="1" t="str">
        <f>IFERROR(__xludf.DUMMYFUNCTION("""COMPUTED_VALUE"""),"Lentes de STOCK")</f>
        <v>Lentes de STOCK</v>
      </c>
      <c r="E659" s="1" t="str">
        <f>IFERROR(__xludf.DUMMYFUNCTION("""COMPUTED_VALUE"""),"ARTIGAS Cristian C.")</f>
        <v>ARTIGAS Cristian C.</v>
      </c>
      <c r="F659" s="1" t="str">
        <f t="shared" si="1"/>
        <v>ARTIGAS </v>
      </c>
      <c r="G659" s="1" t="str">
        <f t="shared" si="2"/>
        <v>Cristian C.</v>
      </c>
      <c r="H659" s="1" t="str">
        <f>IFERROR(__xludf.DUMMYFUNCTION("""COMPUTED_VALUE"""),"25/1/2023, 17:00:00")</f>
        <v>25/1/2023, 17:00:00</v>
      </c>
      <c r="I659" s="1" t="str">
        <f>IFERROR(__xludf.DUMMYFUNCTION("""COMPUTED_VALUE"""),"RETIRADO OK POR CLIENTE")</f>
        <v>RETIRADO OK POR CLIENTE</v>
      </c>
      <c r="J659" s="1">
        <f t="shared" si="3"/>
        <v>6</v>
      </c>
      <c r="K659" s="1" t="str">
        <f t="shared" si="4"/>
        <v>Entregamos tus lentes, que los disfrutes!</v>
      </c>
    </row>
    <row r="660">
      <c r="A660" s="1">
        <f>IFERROR(__xludf.DUMMYFUNCTION("""COMPUTED_VALUE"""),85210.0)</f>
        <v>85210</v>
      </c>
      <c r="B660" s="5">
        <f>IFERROR(__xludf.DUMMYFUNCTION("""COMPUTED_VALUE"""),44944.394333923614)</f>
        <v>44944.39433</v>
      </c>
      <c r="C660" s="1" t="str">
        <f>IFERROR(__xludf.DUMMYFUNCTION("""COMPUTED_VALUE"""),"DIAZ HUGO")</f>
        <v>DIAZ HUGO</v>
      </c>
      <c r="D660" s="1" t="str">
        <f>IFERROR(__xludf.DUMMYFUNCTION("""COMPUTED_VALUE"""),"Lentes de STOCK")</f>
        <v>Lentes de STOCK</v>
      </c>
      <c r="E660" s="1" t="str">
        <f>IFERROR(__xludf.DUMMYFUNCTION("""COMPUTED_VALUE"""),"ARTIGAS Ivana P.")</f>
        <v>ARTIGAS Ivana P.</v>
      </c>
      <c r="F660" s="1" t="str">
        <f t="shared" si="1"/>
        <v>ARTIGAS </v>
      </c>
      <c r="G660" s="1" t="str">
        <f t="shared" si="2"/>
        <v>Ivana P.</v>
      </c>
      <c r="H660" s="1" t="str">
        <f>IFERROR(__xludf.DUMMYFUNCTION("""COMPUTED_VALUE"""),"23/1/2023, 17:00:00")</f>
        <v>23/1/2023, 17:00:00</v>
      </c>
      <c r="I660" s="1" t="str">
        <f>IFERROR(__xludf.DUMMYFUNCTION("""COMPUTED_VALUE"""),"Completado en SUCURSAL")</f>
        <v>Completado en SUCURSAL</v>
      </c>
      <c r="J660" s="1">
        <f t="shared" si="3"/>
        <v>5</v>
      </c>
      <c r="K660" s="1" t="str">
        <f t="shared" si="4"/>
        <v>Tus Lentes estan LISTAS PARA ENTREGAR, te esperamos.</v>
      </c>
    </row>
    <row r="661">
      <c r="A661" s="1">
        <f>IFERROR(__xludf.DUMMYFUNCTION("""COMPUTED_VALUE"""),85211.0)</f>
        <v>85211</v>
      </c>
      <c r="B661" s="5">
        <f>IFERROR(__xludf.DUMMYFUNCTION("""COMPUTED_VALUE"""),44944.401036041665)</f>
        <v>44944.40104</v>
      </c>
      <c r="C661" s="1" t="str">
        <f>IFERROR(__xludf.DUMMYFUNCTION("""COMPUTED_VALUE"""),"BAIGORRIA ADRIANA")</f>
        <v>BAIGORRIA ADRIANA</v>
      </c>
      <c r="D661" s="1" t="str">
        <f>IFERROR(__xludf.DUMMYFUNCTION("""COMPUTED_VALUE"""),"Reparaciones/Otros")</f>
        <v>Reparaciones/Otros</v>
      </c>
      <c r="E661" s="1" t="str">
        <f>IFERROR(__xludf.DUMMYFUNCTION("""COMPUTED_VALUE"""),"RIVADAVIA Marcela L")</f>
        <v>RIVADAVIA Marcela L</v>
      </c>
      <c r="F661" s="1" t="str">
        <f t="shared" si="1"/>
        <v>RIVADAVIA </v>
      </c>
      <c r="G661" s="1" t="str">
        <f t="shared" si="2"/>
        <v>Marcela L</v>
      </c>
      <c r="H661" s="1" t="str">
        <f>IFERROR(__xludf.DUMMYFUNCTION("""COMPUTED_VALUE"""),"21/1/2023, 17:00:00")</f>
        <v>21/1/2023, 17:00:00</v>
      </c>
      <c r="I661" s="1" t="str">
        <f>IFERROR(__xludf.DUMMYFUNCTION("""COMPUTED_VALUE"""),"Completado en SUCURSAL")</f>
        <v>Completado en SUCURSAL</v>
      </c>
      <c r="J661" s="1">
        <f t="shared" si="3"/>
        <v>5</v>
      </c>
      <c r="K661" s="1" t="str">
        <f t="shared" si="4"/>
        <v>Tus Lentes estan LISTAS PARA ENTREGAR, te esperamos.</v>
      </c>
    </row>
    <row r="662">
      <c r="A662" s="1">
        <f>IFERROR(__xludf.DUMMYFUNCTION("""COMPUTED_VALUE"""),85212.0)</f>
        <v>85212</v>
      </c>
      <c r="B662" s="5">
        <f>IFERROR(__xludf.DUMMYFUNCTION("""COMPUTED_VALUE"""),44944.40760872685)</f>
        <v>44944.40761</v>
      </c>
      <c r="C662" s="1" t="str">
        <f>IFERROR(__xludf.DUMMYFUNCTION("""COMPUTED_VALUE"""),"RETA JOSE ANTONIO")</f>
        <v>RETA JOSE ANTONIO</v>
      </c>
      <c r="D662" s="1" t="str">
        <f>IFERROR(__xludf.DUMMYFUNCTION("""COMPUTED_VALUE"""),"Lentes de STOCK")</f>
        <v>Lentes de STOCK</v>
      </c>
      <c r="E662" s="1" t="str">
        <f>IFERROR(__xludf.DUMMYFUNCTION("""COMPUTED_VALUE"""),"RIVADAVIA Marcela L")</f>
        <v>RIVADAVIA Marcela L</v>
      </c>
      <c r="F662" s="1" t="str">
        <f t="shared" si="1"/>
        <v>RIVADAVIA </v>
      </c>
      <c r="G662" s="1" t="str">
        <f t="shared" si="2"/>
        <v>Marcela L</v>
      </c>
      <c r="H662" s="1" t="str">
        <f>IFERROR(__xludf.DUMMYFUNCTION("""COMPUTED_VALUE"""),"23/1/2023, 17:00:00")</f>
        <v>23/1/2023, 17:00:00</v>
      </c>
      <c r="I662" s="1" t="str">
        <f>IFERROR(__xludf.DUMMYFUNCTION("""COMPUTED_VALUE"""),"Enviado a Sucursal")</f>
        <v>Enviado a Sucursal</v>
      </c>
      <c r="J662" s="1">
        <f t="shared" si="3"/>
        <v>4</v>
      </c>
      <c r="K662" s="1" t="str">
        <f t="shared" si="4"/>
        <v>Tus lentes estan viajando a la sucursal para su entrega.</v>
      </c>
    </row>
    <row r="663">
      <c r="A663" s="1">
        <f>IFERROR(__xludf.DUMMYFUNCTION("""COMPUTED_VALUE"""),85213.0)</f>
        <v>85213</v>
      </c>
      <c r="B663" s="5">
        <f>IFERROR(__xludf.DUMMYFUNCTION("""COMPUTED_VALUE"""),44944.41400831018)</f>
        <v>44944.41401</v>
      </c>
      <c r="C663" s="1" t="str">
        <f>IFERROR(__xludf.DUMMYFUNCTION("""COMPUTED_VALUE"""),"RIOS FEDERICO")</f>
        <v>RIOS FEDERICO</v>
      </c>
      <c r="D663" s="1" t="str">
        <f>IFERROR(__xludf.DUMMYFUNCTION("""COMPUTED_VALUE"""),"Lentes de STOCK")</f>
        <v>Lentes de STOCK</v>
      </c>
      <c r="E663" s="1" t="str">
        <f>IFERROR(__xludf.DUMMYFUNCTION("""COMPUTED_VALUE"""),"RIVADAVIA Santiago N")</f>
        <v>RIVADAVIA Santiago N</v>
      </c>
      <c r="F663" s="1" t="str">
        <f t="shared" si="1"/>
        <v>RIVADAVIA </v>
      </c>
      <c r="G663" s="1" t="str">
        <f t="shared" si="2"/>
        <v>Santiago N</v>
      </c>
      <c r="H663" s="1" t="str">
        <f>IFERROR(__xludf.DUMMYFUNCTION("""COMPUTED_VALUE"""),"23/1/2023, 17:00:00")</f>
        <v>23/1/2023, 17:00:00</v>
      </c>
      <c r="I663" s="1" t="str">
        <f>IFERROR(__xludf.DUMMYFUNCTION("""COMPUTED_VALUE"""),"RETIRADO OK POR CLIENTE")</f>
        <v>RETIRADO OK POR CLIENTE</v>
      </c>
      <c r="J663" s="1">
        <f t="shared" si="3"/>
        <v>6</v>
      </c>
      <c r="K663" s="1" t="str">
        <f t="shared" si="4"/>
        <v>Entregamos tus lentes, que los disfrutes!</v>
      </c>
    </row>
    <row r="664">
      <c r="A664" s="1">
        <f>IFERROR(__xludf.DUMMYFUNCTION("""COMPUTED_VALUE"""),85214.0)</f>
        <v>85214</v>
      </c>
      <c r="B664" s="5">
        <f>IFERROR(__xludf.DUMMYFUNCTION("""COMPUTED_VALUE"""),44944.414907592596)</f>
        <v>44944.41491</v>
      </c>
      <c r="C664" s="1" t="str">
        <f>IFERROR(__xludf.DUMMYFUNCTION("""COMPUTED_VALUE"""),"FRIAZ SUSANA")</f>
        <v>FRIAZ SUSANA</v>
      </c>
      <c r="D664" s="1" t="str">
        <f>IFERROR(__xludf.DUMMYFUNCTION("""COMPUTED_VALUE"""),"Lentes de STOCK")</f>
        <v>Lentes de STOCK</v>
      </c>
      <c r="E664" s="1" t="str">
        <f>IFERROR(__xludf.DUMMYFUNCTION("""COMPUTED_VALUE"""),"RIVADAVIA Daniel CM")</f>
        <v>RIVADAVIA Daniel CM</v>
      </c>
      <c r="F664" s="1" t="str">
        <f t="shared" si="1"/>
        <v>RIVADAVIA </v>
      </c>
      <c r="G664" s="1" t="str">
        <f t="shared" si="2"/>
        <v>Daniel CM</v>
      </c>
      <c r="H664" s="1" t="str">
        <f>IFERROR(__xludf.DUMMYFUNCTION("""COMPUTED_VALUE"""),"23/1/2023, 17:00:00")</f>
        <v>23/1/2023, 17:00:00</v>
      </c>
      <c r="I664" s="1" t="str">
        <f>IFERROR(__xludf.DUMMYFUNCTION("""COMPUTED_VALUE"""),"Completado en SUCURSAL")</f>
        <v>Completado en SUCURSAL</v>
      </c>
      <c r="J664" s="1">
        <f t="shared" si="3"/>
        <v>5</v>
      </c>
      <c r="K664" s="1" t="str">
        <f t="shared" si="4"/>
        <v>Tus Lentes estan LISTAS PARA ENTREGAR, te esperamos.</v>
      </c>
    </row>
    <row r="665">
      <c r="A665" s="1">
        <f>IFERROR(__xludf.DUMMYFUNCTION("""COMPUTED_VALUE"""),85215.0)</f>
        <v>85215</v>
      </c>
      <c r="B665" s="5">
        <f>IFERROR(__xludf.DUMMYFUNCTION("""COMPUTED_VALUE"""),44944.41816427083)</f>
        <v>44944.41816</v>
      </c>
      <c r="C665" s="1" t="str">
        <f>IFERROR(__xludf.DUMMYFUNCTION("""COMPUTED_VALUE"""),"GOMEZ MARTA")</f>
        <v>GOMEZ MARTA</v>
      </c>
      <c r="D665" s="1" t="str">
        <f>IFERROR(__xludf.DUMMYFUNCTION("""COMPUTED_VALUE"""),"Reparaciones/Otros")</f>
        <v>Reparaciones/Otros</v>
      </c>
      <c r="E665" s="1" t="str">
        <f>IFERROR(__xludf.DUMMYFUNCTION("""COMPUTED_VALUE"""),"ARTIGAS Ivana P.")</f>
        <v>ARTIGAS Ivana P.</v>
      </c>
      <c r="F665" s="1" t="str">
        <f t="shared" si="1"/>
        <v>ARTIGAS </v>
      </c>
      <c r="G665" s="1" t="str">
        <f t="shared" si="2"/>
        <v>Ivana P.</v>
      </c>
      <c r="H665" s="1" t="str">
        <f>IFERROR(__xludf.DUMMYFUNCTION("""COMPUTED_VALUE"""),"21/1/2023, 17:00:00")</f>
        <v>21/1/2023, 17:00:00</v>
      </c>
      <c r="I665" s="1" t="str">
        <f>IFERROR(__xludf.DUMMYFUNCTION("""COMPUTED_VALUE"""),"Completado en SUCURSAL")</f>
        <v>Completado en SUCURSAL</v>
      </c>
      <c r="J665" s="1">
        <f t="shared" si="3"/>
        <v>5</v>
      </c>
      <c r="K665" s="1" t="str">
        <f t="shared" si="4"/>
        <v>Tus Lentes estan LISTAS PARA ENTREGAR, te esperamos.</v>
      </c>
    </row>
    <row r="666">
      <c r="A666" s="1">
        <f>IFERROR(__xludf.DUMMYFUNCTION("""COMPUTED_VALUE"""),85216.0)</f>
        <v>85216</v>
      </c>
      <c r="B666" s="5">
        <f>IFERROR(__xludf.DUMMYFUNCTION("""COMPUTED_VALUE"""),44944.41939325232)</f>
        <v>44944.41939</v>
      </c>
      <c r="C666" s="1" t="str">
        <f>IFERROR(__xludf.DUMMYFUNCTION("""COMPUTED_VALUE"""),"gajardo oscar")</f>
        <v>gajardo oscar</v>
      </c>
      <c r="D666" s="1" t="str">
        <f>IFERROR(__xludf.DUMMYFUNCTION("""COMPUTED_VALUE"""),"Reparaciones/Otros")</f>
        <v>Reparaciones/Otros</v>
      </c>
      <c r="E666" s="1" t="str">
        <f>IFERROR(__xludf.DUMMYFUNCTION("""COMPUTED_VALUE"""),"RIVADAVIA Santiago N")</f>
        <v>RIVADAVIA Santiago N</v>
      </c>
      <c r="F666" s="1" t="str">
        <f t="shared" si="1"/>
        <v>RIVADAVIA </v>
      </c>
      <c r="G666" s="1" t="str">
        <f t="shared" si="2"/>
        <v>Santiago N</v>
      </c>
      <c r="H666" s="1" t="str">
        <f>IFERROR(__xludf.DUMMYFUNCTION("""COMPUTED_VALUE"""),"21/1/2023, 17:00:00")</f>
        <v>21/1/2023, 17:00:00</v>
      </c>
      <c r="I666" s="1" t="str">
        <f>IFERROR(__xludf.DUMMYFUNCTION("""COMPUTED_VALUE"""),"Completado en SUCURSAL")</f>
        <v>Completado en SUCURSAL</v>
      </c>
      <c r="J666" s="1">
        <f t="shared" si="3"/>
        <v>5</v>
      </c>
      <c r="K666" s="1" t="str">
        <f t="shared" si="4"/>
        <v>Tus Lentes estan LISTAS PARA ENTREGAR, te esperamos.</v>
      </c>
    </row>
    <row r="667">
      <c r="A667" s="1">
        <f>IFERROR(__xludf.DUMMYFUNCTION("""COMPUTED_VALUE"""),85217.0)</f>
        <v>85217</v>
      </c>
      <c r="B667" s="5">
        <f>IFERROR(__xludf.DUMMYFUNCTION("""COMPUTED_VALUE"""),44944.419978136575)</f>
        <v>44944.41998</v>
      </c>
      <c r="C667" s="1" t="str">
        <f>IFERROR(__xludf.DUMMYFUNCTION("""COMPUTED_VALUE"""),"VELAZQUEZ ALICIA")</f>
        <v>VELAZQUEZ ALICIA</v>
      </c>
      <c r="D667" s="1" t="str">
        <f>IFERROR(__xludf.DUMMYFUNCTION("""COMPUTED_VALUE"""),"Reparaciones/Otros")</f>
        <v>Reparaciones/Otros</v>
      </c>
      <c r="E667" s="1" t="str">
        <f>IFERROR(__xludf.DUMMYFUNCTION("""COMPUTED_VALUE"""),"RIVADAVIA Luciana")</f>
        <v>RIVADAVIA Luciana</v>
      </c>
      <c r="F667" s="1" t="str">
        <f t="shared" si="1"/>
        <v>RIVADAVIA </v>
      </c>
      <c r="G667" s="1" t="str">
        <f t="shared" si="2"/>
        <v>Luciana</v>
      </c>
      <c r="H667" s="1" t="str">
        <f>IFERROR(__xludf.DUMMYFUNCTION("""COMPUTED_VALUE"""),"23/1/2023, 17:00:00")</f>
        <v>23/1/2023, 17:00:00</v>
      </c>
      <c r="I667" s="1" t="str">
        <f>IFERROR(__xludf.DUMMYFUNCTION("""COMPUTED_VALUE"""),"Enviado a Sucursal")</f>
        <v>Enviado a Sucursal</v>
      </c>
      <c r="J667" s="1">
        <f t="shared" si="3"/>
        <v>4</v>
      </c>
      <c r="K667" s="1" t="str">
        <f t="shared" si="4"/>
        <v>Tus lentes estan viajando a la sucursal para su entrega.</v>
      </c>
    </row>
    <row r="668">
      <c r="A668" s="1">
        <f>IFERROR(__xludf.DUMMYFUNCTION("""COMPUTED_VALUE"""),85218.0)</f>
        <v>85218</v>
      </c>
      <c r="B668" s="5">
        <f>IFERROR(__xludf.DUMMYFUNCTION("""COMPUTED_VALUE"""),44944.425637430555)</f>
        <v>44944.42564</v>
      </c>
      <c r="C668" s="1" t="str">
        <f>IFERROR(__xludf.DUMMYFUNCTION("""COMPUTED_VALUE"""),"SPERANZA GABRIEL AGUSTIN")</f>
        <v>SPERANZA GABRIEL AGUSTIN</v>
      </c>
      <c r="D668" s="1" t="str">
        <f>IFERROR(__xludf.DUMMYFUNCTION("""COMPUTED_VALUE"""),"Lentes de STOCK")</f>
        <v>Lentes de STOCK</v>
      </c>
      <c r="E668" s="1" t="str">
        <f>IFERROR(__xludf.DUMMYFUNCTION("""COMPUTED_VALUE"""),"ARTIGAS Cristian C.")</f>
        <v>ARTIGAS Cristian C.</v>
      </c>
      <c r="F668" s="1" t="str">
        <f t="shared" si="1"/>
        <v>ARTIGAS </v>
      </c>
      <c r="G668" s="1" t="str">
        <f t="shared" si="2"/>
        <v>Cristian C.</v>
      </c>
      <c r="H668" s="1" t="str">
        <f>IFERROR(__xludf.DUMMYFUNCTION("""COMPUTED_VALUE"""),"23/1/2023, 17:00:00")</f>
        <v>23/1/2023, 17:00:00</v>
      </c>
      <c r="I668" s="1" t="str">
        <f>IFERROR(__xludf.DUMMYFUNCTION("""COMPUTED_VALUE"""),"En Armado Hoy")</f>
        <v>En Armado Hoy</v>
      </c>
      <c r="J668" s="1">
        <f t="shared" si="3"/>
        <v>3</v>
      </c>
      <c r="K668" s="1" t="str">
        <f t="shared" si="4"/>
        <v>Estamos terminando los ultimos detalles de tus lentes, los terminaremos el dia de hoy.</v>
      </c>
    </row>
    <row r="669">
      <c r="A669" s="1">
        <f>IFERROR(__xludf.DUMMYFUNCTION("""COMPUTED_VALUE"""),85219.0)</f>
        <v>85219</v>
      </c>
      <c r="B669" s="5">
        <f>IFERROR(__xludf.DUMMYFUNCTION("""COMPUTED_VALUE"""),44944.42918228009)</f>
        <v>44944.42918</v>
      </c>
      <c r="C669" s="1" t="str">
        <f>IFERROR(__xludf.DUMMYFUNCTION("""COMPUTED_VALUE"""),"ALANIZ MARIA DEL CARMEN")</f>
        <v>ALANIZ MARIA DEL CARMEN</v>
      </c>
      <c r="D669" s="1" t="str">
        <f>IFERROR(__xludf.DUMMYFUNCTION("""COMPUTED_VALUE"""),"Lentes BIFOCALES")</f>
        <v>Lentes BIFOCALES</v>
      </c>
      <c r="E669" s="1" t="str">
        <f>IFERROR(__xludf.DUMMYFUNCTION("""COMPUTED_VALUE"""),"ARTIGAS Ivana P.")</f>
        <v>ARTIGAS Ivana P.</v>
      </c>
      <c r="F669" s="1" t="str">
        <f t="shared" si="1"/>
        <v>ARTIGAS </v>
      </c>
      <c r="G669" s="1" t="str">
        <f t="shared" si="2"/>
        <v>Ivana P.</v>
      </c>
      <c r="H669" s="1" t="str">
        <f>IFERROR(__xludf.DUMMYFUNCTION("""COMPUTED_VALUE"""),"24/1/2023, 17:00:00")</f>
        <v>24/1/2023, 17:00:00</v>
      </c>
      <c r="I669" s="1" t="str">
        <f>IFERROR(__xludf.DUMMYFUNCTION("""COMPUTED_VALUE"""),"Completado en SUCURSAL")</f>
        <v>Completado en SUCURSAL</v>
      </c>
      <c r="J669" s="1">
        <f t="shared" si="3"/>
        <v>5</v>
      </c>
      <c r="K669" s="1" t="str">
        <f t="shared" si="4"/>
        <v>Tus Lentes estan LISTAS PARA ENTREGAR, te esperamos.</v>
      </c>
    </row>
    <row r="670">
      <c r="A670" s="1">
        <f>IFERROR(__xludf.DUMMYFUNCTION("""COMPUTED_VALUE"""),85220.0)</f>
        <v>85220</v>
      </c>
      <c r="B670" s="5">
        <f>IFERROR(__xludf.DUMMYFUNCTION("""COMPUTED_VALUE"""),44944.435634560185)</f>
        <v>44944.43563</v>
      </c>
      <c r="C670" s="1" t="str">
        <f>IFERROR(__xludf.DUMMYFUNCTION("""COMPUTED_VALUE"""),"GOMEZ AMANDA")</f>
        <v>GOMEZ AMANDA</v>
      </c>
      <c r="D670" s="1" t="str">
        <f>IFERROR(__xludf.DUMMYFUNCTION("""COMPUTED_VALUE"""),"Lentes BIFOCALES")</f>
        <v>Lentes BIFOCALES</v>
      </c>
      <c r="E670" s="1" t="str">
        <f>IFERROR(__xludf.DUMMYFUNCTION("""COMPUTED_VALUE"""),"RIVADAVIA Marcela L")</f>
        <v>RIVADAVIA Marcela L</v>
      </c>
      <c r="F670" s="1" t="str">
        <f t="shared" si="1"/>
        <v>RIVADAVIA </v>
      </c>
      <c r="G670" s="1" t="str">
        <f t="shared" si="2"/>
        <v>Marcela L</v>
      </c>
      <c r="H670" s="1" t="str">
        <f>IFERROR(__xludf.DUMMYFUNCTION("""COMPUTED_VALUE"""),"27/1/2023, 17:00:00")</f>
        <v>27/1/2023, 17:00:00</v>
      </c>
      <c r="I670" s="1" t="str">
        <f>IFERROR(__xludf.DUMMYFUNCTION("""COMPUTED_VALUE"""),"RETIRADO OK POR CLIENTE")</f>
        <v>RETIRADO OK POR CLIENTE</v>
      </c>
      <c r="J670" s="1">
        <f t="shared" si="3"/>
        <v>6</v>
      </c>
      <c r="K670" s="1" t="str">
        <f t="shared" si="4"/>
        <v>Entregamos tus lentes, que los disfrutes!</v>
      </c>
    </row>
    <row r="671">
      <c r="A671" s="1">
        <f>IFERROR(__xludf.DUMMYFUNCTION("""COMPUTED_VALUE"""),85221.0)</f>
        <v>85221</v>
      </c>
      <c r="B671" s="5">
        <f>IFERROR(__xludf.DUMMYFUNCTION("""COMPUTED_VALUE"""),44944.4404672338)</f>
        <v>44944.44047</v>
      </c>
      <c r="C671" s="1" t="str">
        <f>IFERROR(__xludf.DUMMYFUNCTION("""COMPUTED_VALUE"""),"PISONI ANGEL")</f>
        <v>PISONI ANGEL</v>
      </c>
      <c r="D671" s="1" t="str">
        <f>IFERROR(__xludf.DUMMYFUNCTION("""COMPUTED_VALUE"""),"Lentes de STOCK")</f>
        <v>Lentes de STOCK</v>
      </c>
      <c r="E671" s="1" t="str">
        <f>IFERROR(__xludf.DUMMYFUNCTION("""COMPUTED_VALUE"""),"RIVADAVIA Santiago LOPEZ")</f>
        <v>RIVADAVIA Santiago LOPEZ</v>
      </c>
      <c r="F671" s="1" t="str">
        <f t="shared" si="1"/>
        <v>RIVADAVIA </v>
      </c>
      <c r="G671" s="1" t="str">
        <f t="shared" si="2"/>
        <v>Santiago LOPEZ</v>
      </c>
      <c r="H671" s="1" t="str">
        <f>IFERROR(__xludf.DUMMYFUNCTION("""COMPUTED_VALUE"""),"23/1/2023, 17:00:00")</f>
        <v>23/1/2023, 17:00:00</v>
      </c>
      <c r="I671" s="1" t="str">
        <f>IFERROR(__xludf.DUMMYFUNCTION("""COMPUTED_VALUE"""),"Enviado a Sucursal")</f>
        <v>Enviado a Sucursal</v>
      </c>
      <c r="J671" s="1">
        <f t="shared" si="3"/>
        <v>4</v>
      </c>
      <c r="K671" s="1" t="str">
        <f t="shared" si="4"/>
        <v>Tus lentes estan viajando a la sucursal para su entrega.</v>
      </c>
    </row>
    <row r="672">
      <c r="A672" s="1">
        <f>IFERROR(__xludf.DUMMYFUNCTION("""COMPUTED_VALUE"""),85222.0)</f>
        <v>85222</v>
      </c>
      <c r="B672" s="5">
        <f>IFERROR(__xludf.DUMMYFUNCTION("""COMPUTED_VALUE"""),44944.441786932875)</f>
        <v>44944.44179</v>
      </c>
      <c r="C672" s="1" t="str">
        <f>IFERROR(__xludf.DUMMYFUNCTION("""COMPUTED_VALUE"""),"LOPEZ ALBERTO / KC")</f>
        <v>LOPEZ ALBERTO / KC</v>
      </c>
      <c r="D672" s="1" t="str">
        <f>IFERROR(__xludf.DUMMYFUNCTION("""COMPUTED_VALUE"""),"Lentes de STOCK")</f>
        <v>Lentes de STOCK</v>
      </c>
      <c r="E672" s="1" t="str">
        <f>IFERROR(__xludf.DUMMYFUNCTION("""COMPUTED_VALUE"""),"ARTIGAS Ivana P.")</f>
        <v>ARTIGAS Ivana P.</v>
      </c>
      <c r="F672" s="1" t="str">
        <f t="shared" si="1"/>
        <v>ARTIGAS </v>
      </c>
      <c r="G672" s="1" t="str">
        <f t="shared" si="2"/>
        <v>Ivana P.</v>
      </c>
      <c r="H672" s="1" t="str">
        <f>IFERROR(__xludf.DUMMYFUNCTION("""COMPUTED_VALUE"""),"21/1/2023, 17:00:00")</f>
        <v>21/1/2023, 17:00:00</v>
      </c>
      <c r="I672" s="1" t="str">
        <f>IFERROR(__xludf.DUMMYFUNCTION("""COMPUTED_VALUE"""),"RETIRADO OK POR CLIENTE")</f>
        <v>RETIRADO OK POR CLIENTE</v>
      </c>
      <c r="J672" s="1">
        <f t="shared" si="3"/>
        <v>6</v>
      </c>
      <c r="K672" s="1" t="str">
        <f t="shared" si="4"/>
        <v>Entregamos tus lentes, que los disfrutes!</v>
      </c>
    </row>
    <row r="673">
      <c r="A673" s="1">
        <f>IFERROR(__xludf.DUMMYFUNCTION("""COMPUTED_VALUE"""),85223.0)</f>
        <v>85223</v>
      </c>
      <c r="B673" s="5">
        <f>IFERROR(__xludf.DUMMYFUNCTION("""COMPUTED_VALUE"""),44944.443555474536)</f>
        <v>44944.44356</v>
      </c>
      <c r="C673" s="1" t="str">
        <f>IFERROR(__xludf.DUMMYFUNCTION("""COMPUTED_VALUE"""),"AVILA MARIA CELIA")</f>
        <v>AVILA MARIA CELIA</v>
      </c>
      <c r="D673" s="1" t="str">
        <f>IFERROR(__xludf.DUMMYFUNCTION("""COMPUTED_VALUE"""),"Lentes de STOCK")</f>
        <v>Lentes de STOCK</v>
      </c>
      <c r="E673" s="1" t="str">
        <f>IFERROR(__xludf.DUMMYFUNCTION("""COMPUTED_VALUE"""),"RIVADAVIA Daniel CM")</f>
        <v>RIVADAVIA Daniel CM</v>
      </c>
      <c r="F673" s="1" t="str">
        <f t="shared" si="1"/>
        <v>RIVADAVIA </v>
      </c>
      <c r="G673" s="1" t="str">
        <f t="shared" si="2"/>
        <v>Daniel CM</v>
      </c>
      <c r="H673" s="1" t="str">
        <f>IFERROR(__xludf.DUMMYFUNCTION("""COMPUTED_VALUE"""),"23/1/2023, 17:00:00")</f>
        <v>23/1/2023, 17:00:00</v>
      </c>
      <c r="I673" s="1" t="str">
        <f>IFERROR(__xludf.DUMMYFUNCTION("""COMPUTED_VALUE"""),"Completado en SUCURSAL")</f>
        <v>Completado en SUCURSAL</v>
      </c>
      <c r="J673" s="1">
        <f t="shared" si="3"/>
        <v>5</v>
      </c>
      <c r="K673" s="1" t="str">
        <f t="shared" si="4"/>
        <v>Tus Lentes estan LISTAS PARA ENTREGAR, te esperamos.</v>
      </c>
    </row>
    <row r="674">
      <c r="A674" s="1">
        <f>IFERROR(__xludf.DUMMYFUNCTION("""COMPUTED_VALUE"""),85224.0)</f>
        <v>85224</v>
      </c>
      <c r="B674" s="5">
        <f>IFERROR(__xludf.DUMMYFUNCTION("""COMPUTED_VALUE"""),44944.446405509254)</f>
        <v>44944.44641</v>
      </c>
      <c r="C674" s="1" t="str">
        <f>IFERROR(__xludf.DUMMYFUNCTION("""COMPUTED_VALUE"""),"VILLEGAS MIRTA")</f>
        <v>VILLEGAS MIRTA</v>
      </c>
      <c r="D674" s="1" t="str">
        <f>IFERROR(__xludf.DUMMYFUNCTION("""COMPUTED_VALUE"""),"Reparaciones/Otros")</f>
        <v>Reparaciones/Otros</v>
      </c>
      <c r="E674" s="1" t="str">
        <f>IFERROR(__xludf.DUMMYFUNCTION("""COMPUTED_VALUE"""),"ARTIGAS Celina")</f>
        <v>ARTIGAS Celina</v>
      </c>
      <c r="F674" s="1" t="str">
        <f t="shared" si="1"/>
        <v>ARTIGAS </v>
      </c>
      <c r="G674" s="1" t="str">
        <f t="shared" si="2"/>
        <v>Celina</v>
      </c>
      <c r="H674" s="1" t="str">
        <f>IFERROR(__xludf.DUMMYFUNCTION("""COMPUTED_VALUE"""),"21/1/2023, 17:00:00")</f>
        <v>21/1/2023, 17:00:00</v>
      </c>
      <c r="I674" s="1" t="str">
        <f>IFERROR(__xludf.DUMMYFUNCTION("""COMPUTED_VALUE"""),"Completado en SUCURSAL")</f>
        <v>Completado en SUCURSAL</v>
      </c>
      <c r="J674" s="1">
        <f t="shared" si="3"/>
        <v>5</v>
      </c>
      <c r="K674" s="1" t="str">
        <f t="shared" si="4"/>
        <v>Tus Lentes estan LISTAS PARA ENTREGAR, te esperamos.</v>
      </c>
    </row>
    <row r="675">
      <c r="A675" s="1">
        <f>IFERROR(__xludf.DUMMYFUNCTION("""COMPUTED_VALUE"""),85225.0)</f>
        <v>85225</v>
      </c>
      <c r="B675" s="5">
        <f>IFERROR(__xludf.DUMMYFUNCTION("""COMPUTED_VALUE"""),44944.44826273149)</f>
        <v>44944.44826</v>
      </c>
      <c r="C675" s="1" t="str">
        <f>IFERROR(__xludf.DUMMYFUNCTION("""COMPUTED_VALUE"""),"PALMA MAURICIO")</f>
        <v>PALMA MAURICIO</v>
      </c>
      <c r="D675" s="1" t="str">
        <f>IFERROR(__xludf.DUMMYFUNCTION("""COMPUTED_VALUE"""),"Lentes de STOCK")</f>
        <v>Lentes de STOCK</v>
      </c>
      <c r="E675" s="1" t="str">
        <f>IFERROR(__xludf.DUMMYFUNCTION("""COMPUTED_VALUE"""),"ARTIGAS Ivana P.")</f>
        <v>ARTIGAS Ivana P.</v>
      </c>
      <c r="F675" s="1" t="str">
        <f t="shared" si="1"/>
        <v>ARTIGAS </v>
      </c>
      <c r="G675" s="1" t="str">
        <f t="shared" si="2"/>
        <v>Ivana P.</v>
      </c>
      <c r="H675" s="1" t="str">
        <f>IFERROR(__xludf.DUMMYFUNCTION("""COMPUTED_VALUE"""),"23/1/2023, 17:00:00")</f>
        <v>23/1/2023, 17:00:00</v>
      </c>
      <c r="I675" s="1" t="str">
        <f>IFERROR(__xludf.DUMMYFUNCTION("""COMPUTED_VALUE"""),"RETIRADO OK POR CLIENTE")</f>
        <v>RETIRADO OK POR CLIENTE</v>
      </c>
      <c r="J675" s="1">
        <f t="shared" si="3"/>
        <v>6</v>
      </c>
      <c r="K675" s="1" t="str">
        <f t="shared" si="4"/>
        <v>Entregamos tus lentes, que los disfrutes!</v>
      </c>
    </row>
    <row r="676">
      <c r="A676" s="1">
        <f>IFERROR(__xludf.DUMMYFUNCTION("""COMPUTED_VALUE"""),85226.0)</f>
        <v>85226</v>
      </c>
      <c r="B676" s="5">
        <f>IFERROR(__xludf.DUMMYFUNCTION("""COMPUTED_VALUE"""),44944.44947170139)</f>
        <v>44944.44947</v>
      </c>
      <c r="C676" s="1" t="str">
        <f>IFERROR(__xludf.DUMMYFUNCTION("""COMPUTED_VALUE"""),"GARCIA LAUTARO JOSUE")</f>
        <v>GARCIA LAUTARO JOSUE</v>
      </c>
      <c r="D676" s="1" t="str">
        <f>IFERROR(__xludf.DUMMYFUNCTION("""COMPUTED_VALUE"""),"Lentes de STOCK")</f>
        <v>Lentes de STOCK</v>
      </c>
      <c r="E676" s="1" t="str">
        <f>IFERROR(__xludf.DUMMYFUNCTION("""COMPUTED_VALUE"""),"RIVADAVIA Marcela L")</f>
        <v>RIVADAVIA Marcela L</v>
      </c>
      <c r="F676" s="1" t="str">
        <f t="shared" si="1"/>
        <v>RIVADAVIA </v>
      </c>
      <c r="G676" s="1" t="str">
        <f t="shared" si="2"/>
        <v>Marcela L</v>
      </c>
      <c r="H676" s="1" t="str">
        <f>IFERROR(__xludf.DUMMYFUNCTION("""COMPUTED_VALUE"""),"24/1/2023, 17:00:00")</f>
        <v>24/1/2023, 17:00:00</v>
      </c>
      <c r="I676" s="1" t="str">
        <f>IFERROR(__xludf.DUMMYFUNCTION("""COMPUTED_VALUE"""),"Completado en SUCURSAL")</f>
        <v>Completado en SUCURSAL</v>
      </c>
      <c r="J676" s="1">
        <f t="shared" si="3"/>
        <v>5</v>
      </c>
      <c r="K676" s="1" t="str">
        <f t="shared" si="4"/>
        <v>Tus Lentes estan LISTAS PARA ENTREGAR, te esperamos.</v>
      </c>
    </row>
    <row r="677">
      <c r="A677" s="1">
        <f>IFERROR(__xludf.DUMMYFUNCTION("""COMPUTED_VALUE"""),85227.0)</f>
        <v>85227</v>
      </c>
      <c r="B677" s="5">
        <f>IFERROR(__xludf.DUMMYFUNCTION("""COMPUTED_VALUE"""),44944.451788148144)</f>
        <v>44944.45179</v>
      </c>
      <c r="C677" s="1" t="str">
        <f>IFERROR(__xludf.DUMMYFUNCTION("""COMPUTED_VALUE"""),"PEREYRA MARIANO ")</f>
        <v>PEREYRA MARIANO </v>
      </c>
      <c r="D677" s="1" t="str">
        <f>IFERROR(__xludf.DUMMYFUNCTION("""COMPUTED_VALUE"""),"Lentes de STOCK")</f>
        <v>Lentes de STOCK</v>
      </c>
      <c r="E677" s="1" t="str">
        <f>IFERROR(__xludf.DUMMYFUNCTION("""COMPUTED_VALUE"""),"RIVADAVIA Luciana")</f>
        <v>RIVADAVIA Luciana</v>
      </c>
      <c r="F677" s="1" t="str">
        <f t="shared" si="1"/>
        <v>RIVADAVIA </v>
      </c>
      <c r="G677" s="1" t="str">
        <f t="shared" si="2"/>
        <v>Luciana</v>
      </c>
      <c r="H677" s="1" t="str">
        <f>IFERROR(__xludf.DUMMYFUNCTION("""COMPUTED_VALUE"""),"24/1/2023, 17:00:00")</f>
        <v>24/1/2023, 17:00:00</v>
      </c>
      <c r="I677" s="1" t="str">
        <f>IFERROR(__xludf.DUMMYFUNCTION("""COMPUTED_VALUE"""),"Completado en SUCURSAL")</f>
        <v>Completado en SUCURSAL</v>
      </c>
      <c r="J677" s="1">
        <f t="shared" si="3"/>
        <v>5</v>
      </c>
      <c r="K677" s="1" t="str">
        <f t="shared" si="4"/>
        <v>Tus Lentes estan LISTAS PARA ENTREGAR, te esperamos.</v>
      </c>
    </row>
    <row r="678">
      <c r="A678" s="1">
        <f>IFERROR(__xludf.DUMMYFUNCTION("""COMPUTED_VALUE"""),85228.0)</f>
        <v>85228</v>
      </c>
      <c r="B678" s="5">
        <f>IFERROR(__xludf.DUMMYFUNCTION("""COMPUTED_VALUE"""),44944.45289571759)</f>
        <v>44944.4529</v>
      </c>
      <c r="C678" s="1" t="str">
        <f>IFERROR(__xludf.DUMMYFUNCTION("""COMPUTED_VALUE"""),"ALCARAZ ROXANA")</f>
        <v>ALCARAZ ROXANA</v>
      </c>
      <c r="D678" s="1" t="str">
        <f>IFERROR(__xludf.DUMMYFUNCTION("""COMPUTED_VALUE"""),"Lentes de STOCK")</f>
        <v>Lentes de STOCK</v>
      </c>
      <c r="E678" s="1" t="str">
        <f>IFERROR(__xludf.DUMMYFUNCTION("""COMPUTED_VALUE"""),"ARTIGAS Cristian C.")</f>
        <v>ARTIGAS Cristian C.</v>
      </c>
      <c r="F678" s="1" t="str">
        <f t="shared" si="1"/>
        <v>ARTIGAS </v>
      </c>
      <c r="G678" s="1" t="str">
        <f t="shared" si="2"/>
        <v>Cristian C.</v>
      </c>
      <c r="H678" s="1" t="str">
        <f>IFERROR(__xludf.DUMMYFUNCTION("""COMPUTED_VALUE"""),"25/1/2023, 17:00:00")</f>
        <v>25/1/2023, 17:00:00</v>
      </c>
      <c r="I678" s="1" t="str">
        <f>IFERROR(__xludf.DUMMYFUNCTION("""COMPUTED_VALUE"""),"RETIRADO OK POR CLIENTE")</f>
        <v>RETIRADO OK POR CLIENTE</v>
      </c>
      <c r="J678" s="1">
        <f t="shared" si="3"/>
        <v>6</v>
      </c>
      <c r="K678" s="1" t="str">
        <f t="shared" si="4"/>
        <v>Entregamos tus lentes, que los disfrutes!</v>
      </c>
    </row>
    <row r="679">
      <c r="A679" s="1">
        <f>IFERROR(__xludf.DUMMYFUNCTION("""COMPUTED_VALUE"""),85229.0)</f>
        <v>85229</v>
      </c>
      <c r="B679" s="5">
        <f>IFERROR(__xludf.DUMMYFUNCTION("""COMPUTED_VALUE"""),44944.45305928241)</f>
        <v>44944.45306</v>
      </c>
      <c r="C679" s="1" t="str">
        <f>IFERROR(__xludf.DUMMYFUNCTION("""COMPUTED_VALUE"""),"GERVASONI SANDRA")</f>
        <v>GERVASONI SANDRA</v>
      </c>
      <c r="D679" s="1" t="str">
        <f>IFERROR(__xludf.DUMMYFUNCTION("""COMPUTED_VALUE"""),"Lentes de STOCK")</f>
        <v>Lentes de STOCK</v>
      </c>
      <c r="E679" s="1" t="str">
        <f>IFERROR(__xludf.DUMMYFUNCTION("""COMPUTED_VALUE"""),"ARTIGAS Ivana P.")</f>
        <v>ARTIGAS Ivana P.</v>
      </c>
      <c r="F679" s="1" t="str">
        <f t="shared" si="1"/>
        <v>ARTIGAS </v>
      </c>
      <c r="G679" s="1" t="str">
        <f t="shared" si="2"/>
        <v>Ivana P.</v>
      </c>
      <c r="H679" s="1" t="str">
        <f>IFERROR(__xludf.DUMMYFUNCTION("""COMPUTED_VALUE"""),"23/1/2023, 17:00:00")</f>
        <v>23/1/2023, 17:00:00</v>
      </c>
      <c r="I679" s="1" t="str">
        <f>IFERROR(__xludf.DUMMYFUNCTION("""COMPUTED_VALUE"""),"RETIRADO OK POR CLIENTE")</f>
        <v>RETIRADO OK POR CLIENTE</v>
      </c>
      <c r="J679" s="1">
        <f t="shared" si="3"/>
        <v>6</v>
      </c>
      <c r="K679" s="1" t="str">
        <f t="shared" si="4"/>
        <v>Entregamos tus lentes, que los disfrutes!</v>
      </c>
    </row>
    <row r="680">
      <c r="A680" s="1">
        <f>IFERROR(__xludf.DUMMYFUNCTION("""COMPUTED_VALUE"""),85230.0)</f>
        <v>85230</v>
      </c>
      <c r="B680" s="5">
        <f>IFERROR(__xludf.DUMMYFUNCTION("""COMPUTED_VALUE"""),44944.45502258102)</f>
        <v>44944.45502</v>
      </c>
      <c r="C680" s="1" t="str">
        <f>IFERROR(__xludf.DUMMYFUNCTION("""COMPUTED_VALUE"""),"BARROSO ELISA MARILU")</f>
        <v>BARROSO ELISA MARILU</v>
      </c>
      <c r="D680" s="1" t="str">
        <f>IFERROR(__xludf.DUMMYFUNCTION("""COMPUTED_VALUE"""),"Lentes de STOCK")</f>
        <v>Lentes de STOCK</v>
      </c>
      <c r="E680" s="1" t="str">
        <f>IFERROR(__xludf.DUMMYFUNCTION("""COMPUTED_VALUE"""),"RIVADAVIA Marcela L")</f>
        <v>RIVADAVIA Marcela L</v>
      </c>
      <c r="F680" s="1" t="str">
        <f t="shared" si="1"/>
        <v>RIVADAVIA </v>
      </c>
      <c r="G680" s="1" t="str">
        <f t="shared" si="2"/>
        <v>Marcela L</v>
      </c>
      <c r="H680" s="1" t="str">
        <f>IFERROR(__xludf.DUMMYFUNCTION("""COMPUTED_VALUE"""),"23/1/2023, 17:00:00")</f>
        <v>23/1/2023, 17:00:00</v>
      </c>
      <c r="I680" s="1" t="str">
        <f>IFERROR(__xludf.DUMMYFUNCTION("""COMPUTED_VALUE"""),"RETIRADO OK POR CLIENTE")</f>
        <v>RETIRADO OK POR CLIENTE</v>
      </c>
      <c r="J680" s="1">
        <f t="shared" si="3"/>
        <v>6</v>
      </c>
      <c r="K680" s="1" t="str">
        <f t="shared" si="4"/>
        <v>Entregamos tus lentes, que los disfrutes!</v>
      </c>
    </row>
    <row r="681">
      <c r="A681" s="1">
        <f>IFERROR(__xludf.DUMMYFUNCTION("""COMPUTED_VALUE"""),85231.0)</f>
        <v>85231</v>
      </c>
      <c r="B681" s="5">
        <f>IFERROR(__xludf.DUMMYFUNCTION("""COMPUTED_VALUE"""),44944.45621741898)</f>
        <v>44944.45622</v>
      </c>
      <c r="C681" s="1" t="str">
        <f>IFERROR(__xludf.DUMMYFUNCTION("""COMPUTED_VALUE"""),"MALUFF HILDA")</f>
        <v>MALUFF HILDA</v>
      </c>
      <c r="D681" s="1" t="str">
        <f>IFERROR(__xludf.DUMMYFUNCTION("""COMPUTED_VALUE"""),"Lentes de STOCK")</f>
        <v>Lentes de STOCK</v>
      </c>
      <c r="E681" s="1" t="str">
        <f>IFERROR(__xludf.DUMMYFUNCTION("""COMPUTED_VALUE"""),"RIVADAVIA Daniel CM")</f>
        <v>RIVADAVIA Daniel CM</v>
      </c>
      <c r="F681" s="1" t="str">
        <f t="shared" si="1"/>
        <v>RIVADAVIA </v>
      </c>
      <c r="G681" s="1" t="str">
        <f t="shared" si="2"/>
        <v>Daniel CM</v>
      </c>
      <c r="H681" s="1" t="str">
        <f>IFERROR(__xludf.DUMMYFUNCTION("""COMPUTED_VALUE"""),"27/1/2023, 17:00:00")</f>
        <v>27/1/2023, 17:00:00</v>
      </c>
      <c r="I681" s="1" t="str">
        <f>IFERROR(__xludf.DUMMYFUNCTION("""COMPUTED_VALUE"""),"RETIRADO OK POR CLIENTE")</f>
        <v>RETIRADO OK POR CLIENTE</v>
      </c>
      <c r="J681" s="1">
        <f t="shared" si="3"/>
        <v>6</v>
      </c>
      <c r="K681" s="1" t="str">
        <f t="shared" si="4"/>
        <v>Entregamos tus lentes, que los disfrutes!</v>
      </c>
    </row>
    <row r="682">
      <c r="A682" s="1">
        <f>IFERROR(__xludf.DUMMYFUNCTION("""COMPUTED_VALUE"""),85232.0)</f>
        <v>85232</v>
      </c>
      <c r="B682" s="5">
        <f>IFERROR(__xludf.DUMMYFUNCTION("""COMPUTED_VALUE"""),44944.465094837964)</f>
        <v>44944.46509</v>
      </c>
      <c r="C682" s="1" t="str">
        <f>IFERROR(__xludf.DUMMYFUNCTION("""COMPUTED_VALUE"""),"GUZMAN JAIRO")</f>
        <v>GUZMAN JAIRO</v>
      </c>
      <c r="D682" s="1" t="str">
        <f>IFERROR(__xludf.DUMMYFUNCTION("""COMPUTED_VALUE"""),"Reparaciones/Otros")</f>
        <v>Reparaciones/Otros</v>
      </c>
      <c r="E682" s="1" t="str">
        <f>IFERROR(__xludf.DUMMYFUNCTION("""COMPUTED_VALUE"""),"RIVADAVIA Daniel CM")</f>
        <v>RIVADAVIA Daniel CM</v>
      </c>
      <c r="F682" s="1" t="str">
        <f t="shared" si="1"/>
        <v>RIVADAVIA </v>
      </c>
      <c r="G682" s="1" t="str">
        <f t="shared" si="2"/>
        <v>Daniel CM</v>
      </c>
      <c r="H682" s="1" t="str">
        <f>IFERROR(__xludf.DUMMYFUNCTION("""COMPUTED_VALUE"""),"21/1/2023, 17:00:00")</f>
        <v>21/1/2023, 17:00:00</v>
      </c>
      <c r="I682" s="1" t="str">
        <f>IFERROR(__xludf.DUMMYFUNCTION("""COMPUTED_VALUE"""),"Completado en SUCURSAL")</f>
        <v>Completado en SUCURSAL</v>
      </c>
      <c r="J682" s="1">
        <f t="shared" si="3"/>
        <v>5</v>
      </c>
      <c r="K682" s="1" t="str">
        <f t="shared" si="4"/>
        <v>Tus Lentes estan LISTAS PARA ENTREGAR, te esperamos.</v>
      </c>
    </row>
    <row r="683">
      <c r="A683" s="1">
        <f>IFERROR(__xludf.DUMMYFUNCTION("""COMPUTED_VALUE"""),85233.0)</f>
        <v>85233</v>
      </c>
      <c r="B683" s="5">
        <f>IFERROR(__xludf.DUMMYFUNCTION("""COMPUTED_VALUE"""),44944.468165196755)</f>
        <v>44944.46817</v>
      </c>
      <c r="C683" s="1" t="str">
        <f>IFERROR(__xludf.DUMMYFUNCTION("""COMPUTED_VALUE"""),"AGUERA LUCIANO ")</f>
        <v>AGUERA LUCIANO </v>
      </c>
      <c r="D683" s="1" t="str">
        <f>IFERROR(__xludf.DUMMYFUNCTION("""COMPUTED_VALUE"""),"Reparaciones/Otros")</f>
        <v>Reparaciones/Otros</v>
      </c>
      <c r="E683" s="1" t="str">
        <f>IFERROR(__xludf.DUMMYFUNCTION("""COMPUTED_VALUE"""),"RIVADAVIA Luciana")</f>
        <v>RIVADAVIA Luciana</v>
      </c>
      <c r="F683" s="1" t="str">
        <f t="shared" si="1"/>
        <v>RIVADAVIA </v>
      </c>
      <c r="G683" s="1" t="str">
        <f t="shared" si="2"/>
        <v>Luciana</v>
      </c>
      <c r="H683" s="1" t="str">
        <f>IFERROR(__xludf.DUMMYFUNCTION("""COMPUTED_VALUE"""),"21/1/2023, 17:00:00")</f>
        <v>21/1/2023, 17:00:00</v>
      </c>
      <c r="I683" s="1" t="str">
        <f>IFERROR(__xludf.DUMMYFUNCTION("""COMPUTED_VALUE"""),"Completado en SUCURSAL")</f>
        <v>Completado en SUCURSAL</v>
      </c>
      <c r="J683" s="1">
        <f t="shared" si="3"/>
        <v>5</v>
      </c>
      <c r="K683" s="1" t="str">
        <f t="shared" si="4"/>
        <v>Tus Lentes estan LISTAS PARA ENTREGAR, te esperamos.</v>
      </c>
    </row>
    <row r="684">
      <c r="A684" s="1">
        <f>IFERROR(__xludf.DUMMYFUNCTION("""COMPUTED_VALUE"""),85234.0)</f>
        <v>85234</v>
      </c>
      <c r="B684" s="5">
        <f>IFERROR(__xludf.DUMMYFUNCTION("""COMPUTED_VALUE"""),44944.47202753472)</f>
        <v>44944.47203</v>
      </c>
      <c r="C684" s="1" t="str">
        <f>IFERROR(__xludf.DUMMYFUNCTION("""COMPUTED_VALUE"""),"SOSA NATALIA")</f>
        <v>SOSA NATALIA</v>
      </c>
      <c r="D684" s="1" t="str">
        <f>IFERROR(__xludf.DUMMYFUNCTION("""COMPUTED_VALUE"""),"Reparaciones/Otros")</f>
        <v>Reparaciones/Otros</v>
      </c>
      <c r="E684" s="1" t="str">
        <f>IFERROR(__xludf.DUMMYFUNCTION("""COMPUTED_VALUE"""),"ARTIGAS Celina")</f>
        <v>ARTIGAS Celina</v>
      </c>
      <c r="F684" s="1" t="str">
        <f t="shared" si="1"/>
        <v>ARTIGAS </v>
      </c>
      <c r="G684" s="1" t="str">
        <f t="shared" si="2"/>
        <v>Celina</v>
      </c>
      <c r="H684" s="1" t="str">
        <f>IFERROR(__xludf.DUMMYFUNCTION("""COMPUTED_VALUE"""),"21/1/2023, 17:00:00")</f>
        <v>21/1/2023, 17:00:00</v>
      </c>
      <c r="I684" s="1" t="str">
        <f>IFERROR(__xludf.DUMMYFUNCTION("""COMPUTED_VALUE"""),"Recibido en Laboratorio")</f>
        <v>Recibido en Laboratorio</v>
      </c>
      <c r="J684" s="1">
        <f t="shared" si="3"/>
        <v>2</v>
      </c>
      <c r="K684" s="1" t="str">
        <f t="shared" si="4"/>
        <v>Nuestro Laboratorio esta trabajando en tus lentes, los entregaremos en la fecha acordada.</v>
      </c>
    </row>
    <row r="685">
      <c r="A685" s="1">
        <f>IFERROR(__xludf.DUMMYFUNCTION("""COMPUTED_VALUE"""),85235.0)</f>
        <v>85235</v>
      </c>
      <c r="B685" s="5">
        <f>IFERROR(__xludf.DUMMYFUNCTION("""COMPUTED_VALUE"""),44944.4773005787)</f>
        <v>44944.4773</v>
      </c>
      <c r="C685" s="1" t="str">
        <f>IFERROR(__xludf.DUMMYFUNCTION("""COMPUTED_VALUE"""),"RIVAROLA MARISA")</f>
        <v>RIVAROLA MARISA</v>
      </c>
      <c r="D685" s="1" t="str">
        <f>IFERROR(__xludf.DUMMYFUNCTION("""COMPUTED_VALUE"""),"Lentes de STOCK")</f>
        <v>Lentes de STOCK</v>
      </c>
      <c r="E685" s="1" t="str">
        <f>IFERROR(__xludf.DUMMYFUNCTION("""COMPUTED_VALUE"""),"ARTIGAS Ivana P.")</f>
        <v>ARTIGAS Ivana P.</v>
      </c>
      <c r="F685" s="1" t="str">
        <f t="shared" si="1"/>
        <v>ARTIGAS </v>
      </c>
      <c r="G685" s="1" t="str">
        <f t="shared" si="2"/>
        <v>Ivana P.</v>
      </c>
      <c r="H685" s="1" t="str">
        <f>IFERROR(__xludf.DUMMYFUNCTION("""COMPUTED_VALUE"""),"24/1/2023, 17:00:00")</f>
        <v>24/1/2023, 17:00:00</v>
      </c>
      <c r="I685" s="1" t="str">
        <f>IFERROR(__xludf.DUMMYFUNCTION("""COMPUTED_VALUE"""),"RETIRADO OK POR CLIENTE")</f>
        <v>RETIRADO OK POR CLIENTE</v>
      </c>
      <c r="J685" s="1">
        <f t="shared" si="3"/>
        <v>6</v>
      </c>
      <c r="K685" s="1" t="str">
        <f t="shared" si="4"/>
        <v>Entregamos tus lentes, que los disfrutes!</v>
      </c>
    </row>
    <row r="686">
      <c r="A686" s="1">
        <f>IFERROR(__xludf.DUMMYFUNCTION("""COMPUTED_VALUE"""),85236.0)</f>
        <v>85236</v>
      </c>
      <c r="B686" s="5">
        <f>IFERROR(__xludf.DUMMYFUNCTION("""COMPUTED_VALUE"""),44944.49195430556)</f>
        <v>44944.49195</v>
      </c>
      <c r="C686" s="1" t="str">
        <f>IFERROR(__xludf.DUMMYFUNCTION("""COMPUTED_VALUE"""),"FERNANDEZ CANDELARIA")</f>
        <v>FERNANDEZ CANDELARIA</v>
      </c>
      <c r="D686" s="1" t="str">
        <f>IFERROR(__xludf.DUMMYFUNCTION("""COMPUTED_VALUE"""),"Lentes de STOCK")</f>
        <v>Lentes de STOCK</v>
      </c>
      <c r="E686" s="1" t="str">
        <f>IFERROR(__xludf.DUMMYFUNCTION("""COMPUTED_VALUE"""),"RIVADAVIA Santiago LOPEZ")</f>
        <v>RIVADAVIA Santiago LOPEZ</v>
      </c>
      <c r="F686" s="1" t="str">
        <f t="shared" si="1"/>
        <v>RIVADAVIA </v>
      </c>
      <c r="G686" s="1" t="str">
        <f t="shared" si="2"/>
        <v>Santiago LOPEZ</v>
      </c>
      <c r="H686" s="1" t="str">
        <f>IFERROR(__xludf.DUMMYFUNCTION("""COMPUTED_VALUE"""),"23/1/2023, 17:00:00")</f>
        <v>23/1/2023, 17:00:00</v>
      </c>
      <c r="I686" s="1" t="str">
        <f>IFERROR(__xludf.DUMMYFUNCTION("""COMPUTED_VALUE"""),"RETIRADO OK POR CLIENTE")</f>
        <v>RETIRADO OK POR CLIENTE</v>
      </c>
      <c r="J686" s="1">
        <f t="shared" si="3"/>
        <v>6</v>
      </c>
      <c r="K686" s="1" t="str">
        <f t="shared" si="4"/>
        <v>Entregamos tus lentes, que los disfrutes!</v>
      </c>
    </row>
    <row r="687">
      <c r="A687" s="1">
        <f>IFERROR(__xludf.DUMMYFUNCTION("""COMPUTED_VALUE"""),85237.0)</f>
        <v>85237</v>
      </c>
      <c r="B687" s="5">
        <f>IFERROR(__xludf.DUMMYFUNCTION("""COMPUTED_VALUE"""),44944.49200096064)</f>
        <v>44944.492</v>
      </c>
      <c r="C687" s="1" t="str">
        <f>IFERROR(__xludf.DUMMYFUNCTION("""COMPUTED_VALUE"""),"TORRES ARIADNA MACARENA")</f>
        <v>TORRES ARIADNA MACARENA</v>
      </c>
      <c r="D687" s="1" t="str">
        <f>IFERROR(__xludf.DUMMYFUNCTION("""COMPUTED_VALUE"""),"Lentes de STOCK")</f>
        <v>Lentes de STOCK</v>
      </c>
      <c r="E687" s="1" t="str">
        <f>IFERROR(__xludf.DUMMYFUNCTION("""COMPUTED_VALUE"""),"RIVADAVIA Marcela L")</f>
        <v>RIVADAVIA Marcela L</v>
      </c>
      <c r="F687" s="1" t="str">
        <f t="shared" si="1"/>
        <v>RIVADAVIA </v>
      </c>
      <c r="G687" s="1" t="str">
        <f t="shared" si="2"/>
        <v>Marcela L</v>
      </c>
      <c r="H687" s="1" t="str">
        <f>IFERROR(__xludf.DUMMYFUNCTION("""COMPUTED_VALUE"""),"23/1/2023, 17:00:00")</f>
        <v>23/1/2023, 17:00:00</v>
      </c>
      <c r="I687" s="1" t="str">
        <f>IFERROR(__xludf.DUMMYFUNCTION("""COMPUTED_VALUE"""),"Completado en SUCURSAL")</f>
        <v>Completado en SUCURSAL</v>
      </c>
      <c r="J687" s="1">
        <f t="shared" si="3"/>
        <v>5</v>
      </c>
      <c r="K687" s="1" t="str">
        <f t="shared" si="4"/>
        <v>Tus Lentes estan LISTAS PARA ENTREGAR, te esperamos.</v>
      </c>
    </row>
    <row r="688">
      <c r="A688" s="1">
        <f>IFERROR(__xludf.DUMMYFUNCTION("""COMPUTED_VALUE"""),85238.0)</f>
        <v>85238</v>
      </c>
      <c r="B688" s="5">
        <f>IFERROR(__xludf.DUMMYFUNCTION("""COMPUTED_VALUE"""),44944.49627278935)</f>
        <v>44944.49627</v>
      </c>
      <c r="C688" s="1" t="str">
        <f>IFERROR(__xludf.DUMMYFUNCTION("""COMPUTED_VALUE"""),"SALINAS JESUS DEL ROSARIO")</f>
        <v>SALINAS JESUS DEL ROSARIO</v>
      </c>
      <c r="D688" s="1" t="str">
        <f>IFERROR(__xludf.DUMMYFUNCTION("""COMPUTED_VALUE"""),"Lentes de STOCK")</f>
        <v>Lentes de STOCK</v>
      </c>
      <c r="E688" s="1" t="str">
        <f>IFERROR(__xludf.DUMMYFUNCTION("""COMPUTED_VALUE"""),"RIVADAVIA Santiago LOPEZ")</f>
        <v>RIVADAVIA Santiago LOPEZ</v>
      </c>
      <c r="F688" s="1" t="str">
        <f t="shared" si="1"/>
        <v>RIVADAVIA </v>
      </c>
      <c r="G688" s="1" t="str">
        <f t="shared" si="2"/>
        <v>Santiago LOPEZ</v>
      </c>
      <c r="H688" s="1" t="str">
        <f>IFERROR(__xludf.DUMMYFUNCTION("""COMPUTED_VALUE"""),"23/1/2023, 17:00:00")</f>
        <v>23/1/2023, 17:00:00</v>
      </c>
      <c r="I688" s="1" t="str">
        <f>IFERROR(__xludf.DUMMYFUNCTION("""COMPUTED_VALUE"""),"RETIRADO OK POR CLIENTE")</f>
        <v>RETIRADO OK POR CLIENTE</v>
      </c>
      <c r="J688" s="1">
        <f t="shared" si="3"/>
        <v>6</v>
      </c>
      <c r="K688" s="1" t="str">
        <f t="shared" si="4"/>
        <v>Entregamos tus lentes, que los disfrutes!</v>
      </c>
    </row>
    <row r="689">
      <c r="A689" s="1">
        <f>IFERROR(__xludf.DUMMYFUNCTION("""COMPUTED_VALUE"""),85239.0)</f>
        <v>85239</v>
      </c>
      <c r="B689" s="5">
        <f>IFERROR(__xludf.DUMMYFUNCTION("""COMPUTED_VALUE"""),44944.50023009259)</f>
        <v>44944.50023</v>
      </c>
      <c r="C689" s="1" t="str">
        <f>IFERROR(__xludf.DUMMYFUNCTION("""COMPUTED_VALUE"""),"MANCHON MELINA")</f>
        <v>MANCHON MELINA</v>
      </c>
      <c r="D689" s="1" t="str">
        <f>IFERROR(__xludf.DUMMYFUNCTION("""COMPUTED_VALUE"""),"Lentes de STOCK")</f>
        <v>Lentes de STOCK</v>
      </c>
      <c r="E689" s="1" t="str">
        <f>IFERROR(__xludf.DUMMYFUNCTION("""COMPUTED_VALUE"""),"ARTIGAS Ivana P.")</f>
        <v>ARTIGAS Ivana P.</v>
      </c>
      <c r="F689" s="1" t="str">
        <f t="shared" si="1"/>
        <v>ARTIGAS </v>
      </c>
      <c r="G689" s="1" t="str">
        <f t="shared" si="2"/>
        <v>Ivana P.</v>
      </c>
      <c r="H689" s="1" t="str">
        <f>IFERROR(__xludf.DUMMYFUNCTION("""COMPUTED_VALUE"""),"23/1/2023, 17:00:00")</f>
        <v>23/1/2023, 17:00:00</v>
      </c>
      <c r="I689" s="1" t="str">
        <f>IFERROR(__xludf.DUMMYFUNCTION("""COMPUTED_VALUE"""),"En Armado Hoy")</f>
        <v>En Armado Hoy</v>
      </c>
      <c r="J689" s="1">
        <f t="shared" si="3"/>
        <v>3</v>
      </c>
      <c r="K689" s="1" t="str">
        <f t="shared" si="4"/>
        <v>Estamos terminando los ultimos detalles de tus lentes, los terminaremos el dia de hoy.</v>
      </c>
    </row>
    <row r="690">
      <c r="A690" s="1">
        <f>IFERROR(__xludf.DUMMYFUNCTION("""COMPUTED_VALUE"""),85240.0)</f>
        <v>85240</v>
      </c>
      <c r="B690" s="5">
        <f>IFERROR(__xludf.DUMMYFUNCTION("""COMPUTED_VALUE"""),44944.50328013889)</f>
        <v>44944.50328</v>
      </c>
      <c r="C690" s="1" t="str">
        <f>IFERROR(__xludf.DUMMYFUNCTION("""COMPUTED_VALUE"""),"AVACA NANCY BEATRIZ")</f>
        <v>AVACA NANCY BEATRIZ</v>
      </c>
      <c r="D690" s="1" t="str">
        <f>IFERROR(__xludf.DUMMYFUNCTION("""COMPUTED_VALUE"""),"Reparaciones/Otros")</f>
        <v>Reparaciones/Otros</v>
      </c>
      <c r="E690" s="1" t="str">
        <f>IFERROR(__xludf.DUMMYFUNCTION("""COMPUTED_VALUE"""),"RIVADAVIA Marcela L")</f>
        <v>RIVADAVIA Marcela L</v>
      </c>
      <c r="F690" s="1" t="str">
        <f t="shared" si="1"/>
        <v>RIVADAVIA </v>
      </c>
      <c r="G690" s="1" t="str">
        <f t="shared" si="2"/>
        <v>Marcela L</v>
      </c>
      <c r="H690" s="1" t="str">
        <f>IFERROR(__xludf.DUMMYFUNCTION("""COMPUTED_VALUE"""),"21/1/2023, 17:00:00")</f>
        <v>21/1/2023, 17:00:00</v>
      </c>
      <c r="I690" s="1"/>
      <c r="J690" s="1">
        <f t="shared" si="3"/>
        <v>0</v>
      </c>
      <c r="K690" s="1" t="str">
        <f t="shared" si="4"/>
        <v/>
      </c>
    </row>
    <row r="691">
      <c r="A691" s="1">
        <f>IFERROR(__xludf.DUMMYFUNCTION("""COMPUTED_VALUE"""),85241.0)</f>
        <v>85241</v>
      </c>
      <c r="B691" s="5">
        <f>IFERROR(__xludf.DUMMYFUNCTION("""COMPUTED_VALUE"""),44944.50622506945)</f>
        <v>44944.50623</v>
      </c>
      <c r="C691" s="1" t="str">
        <f>IFERROR(__xludf.DUMMYFUNCTION("""COMPUTED_VALUE"""),"CLARENC ELEONOR")</f>
        <v>CLARENC ELEONOR</v>
      </c>
      <c r="D691" s="1" t="str">
        <f>IFERROR(__xludf.DUMMYFUNCTION("""COMPUTED_VALUE"""),"Lentes de STOCK")</f>
        <v>Lentes de STOCK</v>
      </c>
      <c r="E691" s="1" t="str">
        <f>IFERROR(__xludf.DUMMYFUNCTION("""COMPUTED_VALUE"""),"RIVADAVIA Luciana")</f>
        <v>RIVADAVIA Luciana</v>
      </c>
      <c r="F691" s="1" t="str">
        <f t="shared" si="1"/>
        <v>RIVADAVIA </v>
      </c>
      <c r="G691" s="1" t="str">
        <f t="shared" si="2"/>
        <v>Luciana</v>
      </c>
      <c r="H691" s="1" t="str">
        <f>IFERROR(__xludf.DUMMYFUNCTION("""COMPUTED_VALUE"""),"27/1/2023, 17:00:00")</f>
        <v>27/1/2023, 17:00:00</v>
      </c>
      <c r="I691" s="1" t="str">
        <f>IFERROR(__xludf.DUMMYFUNCTION("""COMPUTED_VALUE"""),"RETIRADO OK POR CLIENTE")</f>
        <v>RETIRADO OK POR CLIENTE</v>
      </c>
      <c r="J691" s="1">
        <f t="shared" si="3"/>
        <v>6</v>
      </c>
      <c r="K691" s="1" t="str">
        <f t="shared" si="4"/>
        <v>Entregamos tus lentes, que los disfrutes!</v>
      </c>
    </row>
    <row r="692">
      <c r="A692" s="1">
        <f>IFERROR(__xludf.DUMMYFUNCTION("""COMPUTED_VALUE"""),85242.0)</f>
        <v>85242</v>
      </c>
      <c r="B692" s="5">
        <f>IFERROR(__xludf.DUMMYFUNCTION("""COMPUTED_VALUE"""),44944.51457310186)</f>
        <v>44944.51457</v>
      </c>
      <c r="C692" s="1" t="str">
        <f>IFERROR(__xludf.DUMMYFUNCTION("""COMPUTED_VALUE"""),"QUIROGA ELENA")</f>
        <v>QUIROGA ELENA</v>
      </c>
      <c r="D692" s="1" t="str">
        <f>IFERROR(__xludf.DUMMYFUNCTION("""COMPUTED_VALUE"""),"Lentes de STOCK")</f>
        <v>Lentes de STOCK</v>
      </c>
      <c r="E692" s="1" t="str">
        <f>IFERROR(__xludf.DUMMYFUNCTION("""COMPUTED_VALUE"""),"ARTIGAS Ivana P.")</f>
        <v>ARTIGAS Ivana P.</v>
      </c>
      <c r="F692" s="1" t="str">
        <f t="shared" si="1"/>
        <v>ARTIGAS </v>
      </c>
      <c r="G692" s="1" t="str">
        <f t="shared" si="2"/>
        <v>Ivana P.</v>
      </c>
      <c r="H692" s="1" t="str">
        <f>IFERROR(__xludf.DUMMYFUNCTION("""COMPUTED_VALUE"""),"24/1/2023, 17:00:00")</f>
        <v>24/1/2023, 17:00:00</v>
      </c>
      <c r="I692" s="1" t="str">
        <f>IFERROR(__xludf.DUMMYFUNCTION("""COMPUTED_VALUE"""),"Completado en SUCURSAL")</f>
        <v>Completado en SUCURSAL</v>
      </c>
      <c r="J692" s="1">
        <f t="shared" si="3"/>
        <v>5</v>
      </c>
      <c r="K692" s="1" t="str">
        <f t="shared" si="4"/>
        <v>Tus Lentes estan LISTAS PARA ENTREGAR, te esperamos.</v>
      </c>
    </row>
    <row r="693">
      <c r="A693" s="1">
        <f>IFERROR(__xludf.DUMMYFUNCTION("""COMPUTED_VALUE"""),85243.0)</f>
        <v>85243</v>
      </c>
      <c r="B693" s="5">
        <f>IFERROR(__xludf.DUMMYFUNCTION("""COMPUTED_VALUE"""),44944.51965149306)</f>
        <v>44944.51965</v>
      </c>
      <c r="C693" s="1" t="str">
        <f>IFERROR(__xludf.DUMMYFUNCTION("""COMPUTED_VALUE"""),"BUSTOS CELIA")</f>
        <v>BUSTOS CELIA</v>
      </c>
      <c r="D693" s="1" t="str">
        <f>IFERROR(__xludf.DUMMYFUNCTION("""COMPUTED_VALUE"""),"Lentes de STOCK")</f>
        <v>Lentes de STOCK</v>
      </c>
      <c r="E693" s="1" t="str">
        <f>IFERROR(__xludf.DUMMYFUNCTION("""COMPUTED_VALUE"""),"RIVADAVIA Santiago LOPEZ")</f>
        <v>RIVADAVIA Santiago LOPEZ</v>
      </c>
      <c r="F693" s="1" t="str">
        <f t="shared" si="1"/>
        <v>RIVADAVIA </v>
      </c>
      <c r="G693" s="1" t="str">
        <f t="shared" si="2"/>
        <v>Santiago LOPEZ</v>
      </c>
      <c r="H693" s="1" t="str">
        <f>IFERROR(__xludf.DUMMYFUNCTION("""COMPUTED_VALUE"""),"23/1/2023, 17:00:00")</f>
        <v>23/1/2023, 17:00:00</v>
      </c>
      <c r="I693" s="1" t="str">
        <f>IFERROR(__xludf.DUMMYFUNCTION("""COMPUTED_VALUE"""),"RETIRADO OK POR CLIENTE")</f>
        <v>RETIRADO OK POR CLIENTE</v>
      </c>
      <c r="J693" s="1">
        <f t="shared" si="3"/>
        <v>6</v>
      </c>
      <c r="K693" s="1" t="str">
        <f t="shared" si="4"/>
        <v>Entregamos tus lentes, que los disfrutes!</v>
      </c>
    </row>
    <row r="694">
      <c r="A694" s="1">
        <f>IFERROR(__xludf.DUMMYFUNCTION("""COMPUTED_VALUE"""),85244.0)</f>
        <v>85244</v>
      </c>
      <c r="B694" s="5">
        <f>IFERROR(__xludf.DUMMYFUNCTION("""COMPUTED_VALUE"""),44944.52228391204)</f>
        <v>44944.52228</v>
      </c>
      <c r="C694" s="1" t="str">
        <f>IFERROR(__xludf.DUMMYFUNCTION("""COMPUTED_VALUE"""),"SEPULVEDA CANDELA ")</f>
        <v>SEPULVEDA CANDELA </v>
      </c>
      <c r="D694" s="1" t="str">
        <f>IFERROR(__xludf.DUMMYFUNCTION("""COMPUTED_VALUE"""),"Lentes de STOCK")</f>
        <v>Lentes de STOCK</v>
      </c>
      <c r="E694" s="1" t="str">
        <f>IFERROR(__xludf.DUMMYFUNCTION("""COMPUTED_VALUE"""),"ARTIGAS Cristian C.")</f>
        <v>ARTIGAS Cristian C.</v>
      </c>
      <c r="F694" s="1" t="str">
        <f t="shared" si="1"/>
        <v>ARTIGAS </v>
      </c>
      <c r="G694" s="1" t="str">
        <f t="shared" si="2"/>
        <v>Cristian C.</v>
      </c>
      <c r="H694" s="1" t="str">
        <f>IFERROR(__xludf.DUMMYFUNCTION("""COMPUTED_VALUE"""),"25/1/2023, 17:00:00")</f>
        <v>25/1/2023, 17:00:00</v>
      </c>
      <c r="I694" s="1" t="str">
        <f>IFERROR(__xludf.DUMMYFUNCTION("""COMPUTED_VALUE"""),"RETIRADO OK POR CLIENTE")</f>
        <v>RETIRADO OK POR CLIENTE</v>
      </c>
      <c r="J694" s="1">
        <f t="shared" si="3"/>
        <v>6</v>
      </c>
      <c r="K694" s="1" t="str">
        <f t="shared" si="4"/>
        <v>Entregamos tus lentes, que los disfrutes!</v>
      </c>
    </row>
    <row r="695">
      <c r="A695" s="1">
        <f>IFERROR(__xludf.DUMMYFUNCTION("""COMPUTED_VALUE"""),85245.0)</f>
        <v>85245</v>
      </c>
      <c r="B695" s="5">
        <f>IFERROR(__xludf.DUMMYFUNCTION("""COMPUTED_VALUE"""),44944.536979826386)</f>
        <v>44944.53698</v>
      </c>
      <c r="C695" s="1" t="str">
        <f>IFERROR(__xludf.DUMMYFUNCTION("""COMPUTED_VALUE"""),"SOSA AMIEVA JESICA")</f>
        <v>SOSA AMIEVA JESICA</v>
      </c>
      <c r="D695" s="1" t="str">
        <f>IFERROR(__xludf.DUMMYFUNCTION("""COMPUTED_VALUE"""),"Lentes de STOCK")</f>
        <v>Lentes de STOCK</v>
      </c>
      <c r="E695" s="1" t="str">
        <f>IFERROR(__xludf.DUMMYFUNCTION("""COMPUTED_VALUE"""),"RIVADAVIA Santiago LOPEZ")</f>
        <v>RIVADAVIA Santiago LOPEZ</v>
      </c>
      <c r="F695" s="1" t="str">
        <f t="shared" si="1"/>
        <v>RIVADAVIA </v>
      </c>
      <c r="G695" s="1" t="str">
        <f t="shared" si="2"/>
        <v>Santiago LOPEZ</v>
      </c>
      <c r="H695" s="1" t="str">
        <f>IFERROR(__xludf.DUMMYFUNCTION("""COMPUTED_VALUE"""),"23/1/2023, 17:00:00")</f>
        <v>23/1/2023, 17:00:00</v>
      </c>
      <c r="I695" s="1" t="str">
        <f>IFERROR(__xludf.DUMMYFUNCTION("""COMPUTED_VALUE"""),"RETIRADO OK POR CLIENTE")</f>
        <v>RETIRADO OK POR CLIENTE</v>
      </c>
      <c r="J695" s="1">
        <f t="shared" si="3"/>
        <v>6</v>
      </c>
      <c r="K695" s="1" t="str">
        <f t="shared" si="4"/>
        <v>Entregamos tus lentes, que los disfrutes!</v>
      </c>
    </row>
    <row r="696">
      <c r="A696" s="1">
        <f>IFERROR(__xludf.DUMMYFUNCTION("""COMPUTED_VALUE"""),85246.0)</f>
        <v>85246</v>
      </c>
      <c r="B696" s="5">
        <f>IFERROR(__xludf.DUMMYFUNCTION("""COMPUTED_VALUE"""),44944.537504328706)</f>
        <v>44944.5375</v>
      </c>
      <c r="C696" s="1" t="str">
        <f>IFERROR(__xludf.DUMMYFUNCTION("""COMPUTED_VALUE"""),"IVARVA CARLA SOLEDAD")</f>
        <v>IVARVA CARLA SOLEDAD</v>
      </c>
      <c r="D696" s="1" t="str">
        <f>IFERROR(__xludf.DUMMYFUNCTION("""COMPUTED_VALUE"""),"Lentes de STOCK")</f>
        <v>Lentes de STOCK</v>
      </c>
      <c r="E696" s="1" t="str">
        <f>IFERROR(__xludf.DUMMYFUNCTION("""COMPUTED_VALUE"""),"RIVADAVIA Marcela L")</f>
        <v>RIVADAVIA Marcela L</v>
      </c>
      <c r="F696" s="1" t="str">
        <f t="shared" si="1"/>
        <v>RIVADAVIA </v>
      </c>
      <c r="G696" s="1" t="str">
        <f t="shared" si="2"/>
        <v>Marcela L</v>
      </c>
      <c r="H696" s="1" t="str">
        <f>IFERROR(__xludf.DUMMYFUNCTION("""COMPUTED_VALUE"""),"24/1/2023, 17:00:00")</f>
        <v>24/1/2023, 17:00:00</v>
      </c>
      <c r="I696" s="1" t="str">
        <f>IFERROR(__xludf.DUMMYFUNCTION("""COMPUTED_VALUE"""),"Completado en SUCURSAL")</f>
        <v>Completado en SUCURSAL</v>
      </c>
      <c r="J696" s="1">
        <f t="shared" si="3"/>
        <v>5</v>
      </c>
      <c r="K696" s="1" t="str">
        <f t="shared" si="4"/>
        <v>Tus Lentes estan LISTAS PARA ENTREGAR, te esperamos.</v>
      </c>
    </row>
    <row r="697">
      <c r="A697" s="1">
        <f>IFERROR(__xludf.DUMMYFUNCTION("""COMPUTED_VALUE"""),85247.0)</f>
        <v>85247</v>
      </c>
      <c r="B697" s="5">
        <f>IFERROR(__xludf.DUMMYFUNCTION("""COMPUTED_VALUE"""),44944.53786730324)</f>
        <v>44944.53787</v>
      </c>
      <c r="C697" s="1" t="str">
        <f>IFERROR(__xludf.DUMMYFUNCTION("""COMPUTED_VALUE"""),"aguiar cristian")</f>
        <v>aguiar cristian</v>
      </c>
      <c r="D697" s="1" t="str">
        <f>IFERROR(__xludf.DUMMYFUNCTION("""COMPUTED_VALUE"""),"Reparaciones/Otros")</f>
        <v>Reparaciones/Otros</v>
      </c>
      <c r="E697" s="1" t="str">
        <f>IFERROR(__xludf.DUMMYFUNCTION("""COMPUTED_VALUE"""),"RIVADAVIA Santiago N")</f>
        <v>RIVADAVIA Santiago N</v>
      </c>
      <c r="F697" s="1" t="str">
        <f t="shared" si="1"/>
        <v>RIVADAVIA </v>
      </c>
      <c r="G697" s="1" t="str">
        <f t="shared" si="2"/>
        <v>Santiago N</v>
      </c>
      <c r="H697" s="1" t="str">
        <f>IFERROR(__xludf.DUMMYFUNCTION("""COMPUTED_VALUE"""),"21/1/2023, 17:00:00")</f>
        <v>21/1/2023, 17:00:00</v>
      </c>
      <c r="I697" s="1" t="str">
        <f>IFERROR(__xludf.DUMMYFUNCTION("""COMPUTED_VALUE"""),"Completado en SUCURSAL")</f>
        <v>Completado en SUCURSAL</v>
      </c>
      <c r="J697" s="1">
        <f t="shared" si="3"/>
        <v>5</v>
      </c>
      <c r="K697" s="1" t="str">
        <f t="shared" si="4"/>
        <v>Tus Lentes estan LISTAS PARA ENTREGAR, te esperamos.</v>
      </c>
    </row>
    <row r="698">
      <c r="A698" s="1">
        <f>IFERROR(__xludf.DUMMYFUNCTION("""COMPUTED_VALUE"""),85248.0)</f>
        <v>85248</v>
      </c>
      <c r="B698" s="5">
        <f>IFERROR(__xludf.DUMMYFUNCTION("""COMPUTED_VALUE"""),44944.5480403125)</f>
        <v>44944.54804</v>
      </c>
      <c r="C698" s="1" t="str">
        <f>IFERROR(__xludf.DUMMYFUNCTION("""COMPUTED_VALUE"""),"FARIAS FABIANA ANDREA")</f>
        <v>FARIAS FABIANA ANDREA</v>
      </c>
      <c r="D698" s="1" t="str">
        <f>IFERROR(__xludf.DUMMYFUNCTION("""COMPUTED_VALUE"""),"Reparaciones/Otros")</f>
        <v>Reparaciones/Otros</v>
      </c>
      <c r="E698" s="1" t="str">
        <f>IFERROR(__xludf.DUMMYFUNCTION("""COMPUTED_VALUE"""),"RIVADAVIA Luciana")</f>
        <v>RIVADAVIA Luciana</v>
      </c>
      <c r="F698" s="1" t="str">
        <f t="shared" si="1"/>
        <v>RIVADAVIA </v>
      </c>
      <c r="G698" s="1" t="str">
        <f t="shared" si="2"/>
        <v>Luciana</v>
      </c>
      <c r="H698" s="1" t="str">
        <f>IFERROR(__xludf.DUMMYFUNCTION("""COMPUTED_VALUE"""),"24/1/2023, 17:05:00")</f>
        <v>24/1/2023, 17:05:00</v>
      </c>
      <c r="I698" s="1" t="str">
        <f>IFERROR(__xludf.DUMMYFUNCTION("""COMPUTED_VALUE"""),"Completado en SUCURSAL")</f>
        <v>Completado en SUCURSAL</v>
      </c>
      <c r="J698" s="1">
        <f t="shared" si="3"/>
        <v>5</v>
      </c>
      <c r="K698" s="1" t="str">
        <f t="shared" si="4"/>
        <v>Tus Lentes estan LISTAS PARA ENTREGAR, te esperamos.</v>
      </c>
    </row>
    <row r="699">
      <c r="A699" s="1">
        <f>IFERROR(__xludf.DUMMYFUNCTION("""COMPUTED_VALUE"""),85249.0)</f>
        <v>85249</v>
      </c>
      <c r="B699" s="5">
        <f>IFERROR(__xludf.DUMMYFUNCTION("""COMPUTED_VALUE"""),44944.55523680555)</f>
        <v>44944.55524</v>
      </c>
      <c r="C699" s="1" t="str">
        <f>IFERROR(__xludf.DUMMYFUNCTION("""COMPUTED_VALUE"""),"SANCHEZ ANA")</f>
        <v>SANCHEZ ANA</v>
      </c>
      <c r="D699" s="1" t="str">
        <f>IFERROR(__xludf.DUMMYFUNCTION("""COMPUTED_VALUE"""),"Lentes de STOCK")</f>
        <v>Lentes de STOCK</v>
      </c>
      <c r="E699" s="1" t="str">
        <f>IFERROR(__xludf.DUMMYFUNCTION("""COMPUTED_VALUE"""),"ARTIGAS Cristian C.")</f>
        <v>ARTIGAS Cristian C.</v>
      </c>
      <c r="F699" s="1" t="str">
        <f t="shared" si="1"/>
        <v>ARTIGAS </v>
      </c>
      <c r="G699" s="1" t="str">
        <f t="shared" si="2"/>
        <v>Cristian C.</v>
      </c>
      <c r="H699" s="1" t="str">
        <f>IFERROR(__xludf.DUMMYFUNCTION("""COMPUTED_VALUE"""),"25/1/2023, 17:00:00")</f>
        <v>25/1/2023, 17:00:00</v>
      </c>
      <c r="I699" s="1" t="str">
        <f>IFERROR(__xludf.DUMMYFUNCTION("""COMPUTED_VALUE"""),"RETIRADO OK POR CLIENTE")</f>
        <v>RETIRADO OK POR CLIENTE</v>
      </c>
      <c r="J699" s="1">
        <f t="shared" si="3"/>
        <v>6</v>
      </c>
      <c r="K699" s="1" t="str">
        <f t="shared" si="4"/>
        <v>Entregamos tus lentes, que los disfrutes!</v>
      </c>
    </row>
    <row r="700">
      <c r="A700" s="1">
        <f>IFERROR(__xludf.DUMMYFUNCTION("""COMPUTED_VALUE"""),85250.0)</f>
        <v>85250</v>
      </c>
      <c r="B700" s="5">
        <f>IFERROR(__xludf.DUMMYFUNCTION("""COMPUTED_VALUE"""),44944.56010400463)</f>
        <v>44944.5601</v>
      </c>
      <c r="C700" s="1" t="str">
        <f>IFERROR(__xludf.DUMMYFUNCTION("""COMPUTED_VALUE"""),"rufino gabriela")</f>
        <v>rufino gabriela</v>
      </c>
      <c r="D700" s="1" t="str">
        <f>IFERROR(__xludf.DUMMYFUNCTION("""COMPUTED_VALUE"""),"Lentes de STOCK")</f>
        <v>Lentes de STOCK</v>
      </c>
      <c r="E700" s="1" t="str">
        <f>IFERROR(__xludf.DUMMYFUNCTION("""COMPUTED_VALUE"""),"RIVADAVIA Santiago N")</f>
        <v>RIVADAVIA Santiago N</v>
      </c>
      <c r="F700" s="1" t="str">
        <f t="shared" si="1"/>
        <v>RIVADAVIA </v>
      </c>
      <c r="G700" s="1" t="str">
        <f t="shared" si="2"/>
        <v>Santiago N</v>
      </c>
      <c r="H700" s="1" t="str">
        <f>IFERROR(__xludf.DUMMYFUNCTION("""COMPUTED_VALUE"""),"23/1/2023, 17:00:00")</f>
        <v>23/1/2023, 17:00:00</v>
      </c>
      <c r="I700" s="1" t="str">
        <f>IFERROR(__xludf.DUMMYFUNCTION("""COMPUTED_VALUE"""),"Completado en SUCURSAL")</f>
        <v>Completado en SUCURSAL</v>
      </c>
      <c r="J700" s="1">
        <f t="shared" si="3"/>
        <v>5</v>
      </c>
      <c r="K700" s="1" t="str">
        <f t="shared" si="4"/>
        <v>Tus Lentes estan LISTAS PARA ENTREGAR, te esperamos.</v>
      </c>
    </row>
    <row r="701">
      <c r="A701" s="1">
        <f>IFERROR(__xludf.DUMMYFUNCTION("""COMPUTED_VALUE"""),85251.0)</f>
        <v>85251</v>
      </c>
      <c r="B701" s="5">
        <f>IFERROR(__xludf.DUMMYFUNCTION("""COMPUTED_VALUE"""),44944.56061233796)</f>
        <v>44944.56061</v>
      </c>
      <c r="C701" s="1" t="str">
        <f>IFERROR(__xludf.DUMMYFUNCTION("""COMPUTED_VALUE"""),"CALDRON OLGA NELLY")</f>
        <v>CALDRON OLGA NELLY</v>
      </c>
      <c r="D701" s="1" t="str">
        <f>IFERROR(__xludf.DUMMYFUNCTION("""COMPUTED_VALUE"""),"Lentes BIFOCALES")</f>
        <v>Lentes BIFOCALES</v>
      </c>
      <c r="E701" s="1" t="str">
        <f>IFERROR(__xludf.DUMMYFUNCTION("""COMPUTED_VALUE"""),"RIVADAVIA Marcela L")</f>
        <v>RIVADAVIA Marcela L</v>
      </c>
      <c r="F701" s="1" t="str">
        <f t="shared" si="1"/>
        <v>RIVADAVIA </v>
      </c>
      <c r="G701" s="1" t="str">
        <f t="shared" si="2"/>
        <v>Marcela L</v>
      </c>
      <c r="H701" s="1" t="str">
        <f>IFERROR(__xludf.DUMMYFUNCTION("""COMPUTED_VALUE"""),"25/1/2023, 17:00:00")</f>
        <v>25/1/2023, 17:00:00</v>
      </c>
      <c r="I701" s="1" t="str">
        <f>IFERROR(__xludf.DUMMYFUNCTION("""COMPUTED_VALUE"""),"Completado en SUCURSAL")</f>
        <v>Completado en SUCURSAL</v>
      </c>
      <c r="J701" s="1">
        <f t="shared" si="3"/>
        <v>5</v>
      </c>
      <c r="K701" s="1" t="str">
        <f t="shared" si="4"/>
        <v>Tus Lentes estan LISTAS PARA ENTREGAR, te esperamos.</v>
      </c>
    </row>
    <row r="702">
      <c r="A702" s="1">
        <f>IFERROR(__xludf.DUMMYFUNCTION("""COMPUTED_VALUE"""),85252.0)</f>
        <v>85252</v>
      </c>
      <c r="B702" s="5">
        <f>IFERROR(__xludf.DUMMYFUNCTION("""COMPUTED_VALUE"""),44944.56404298611)</f>
        <v>44944.56404</v>
      </c>
      <c r="C702" s="1" t="str">
        <f>IFERROR(__xludf.DUMMYFUNCTION("""COMPUTED_VALUE"""),"SCHVAGER JOSE")</f>
        <v>SCHVAGER JOSE</v>
      </c>
      <c r="D702" s="1" t="str">
        <f>IFERROR(__xludf.DUMMYFUNCTION("""COMPUTED_VALUE"""),"Reparaciones/Otros")</f>
        <v>Reparaciones/Otros</v>
      </c>
      <c r="E702" s="1" t="str">
        <f>IFERROR(__xludf.DUMMYFUNCTION("""COMPUTED_VALUE"""),"RIVADAVIA Santiago LOPEZ")</f>
        <v>RIVADAVIA Santiago LOPEZ</v>
      </c>
      <c r="F702" s="1" t="str">
        <f t="shared" si="1"/>
        <v>RIVADAVIA </v>
      </c>
      <c r="G702" s="1" t="str">
        <f t="shared" si="2"/>
        <v>Santiago LOPEZ</v>
      </c>
      <c r="H702" s="1" t="str">
        <f>IFERROR(__xludf.DUMMYFUNCTION("""COMPUTED_VALUE"""),"21/1/2023, 17:00:00")</f>
        <v>21/1/2023, 17:00:00</v>
      </c>
      <c r="I702" s="1" t="str">
        <f>IFERROR(__xludf.DUMMYFUNCTION("""COMPUTED_VALUE"""),"Completado en SUCURSAL")</f>
        <v>Completado en SUCURSAL</v>
      </c>
      <c r="J702" s="1">
        <f t="shared" si="3"/>
        <v>5</v>
      </c>
      <c r="K702" s="1" t="str">
        <f t="shared" si="4"/>
        <v>Tus Lentes estan LISTAS PARA ENTREGAR, te esperamos.</v>
      </c>
    </row>
    <row r="703">
      <c r="A703" s="1">
        <f>IFERROR(__xludf.DUMMYFUNCTION("""COMPUTED_VALUE"""),85253.0)</f>
        <v>85253</v>
      </c>
      <c r="B703" s="5">
        <f>IFERROR(__xludf.DUMMYFUNCTION("""COMPUTED_VALUE"""),44944.56794673611)</f>
        <v>44944.56795</v>
      </c>
      <c r="C703" s="1" t="str">
        <f>IFERROR(__xludf.DUMMYFUNCTION("""COMPUTED_VALUE"""),"DAMATO BERNAL JORGE MARCELO")</f>
        <v>DAMATO BERNAL JORGE MARCELO</v>
      </c>
      <c r="D703" s="1" t="str">
        <f>IFERROR(__xludf.DUMMYFUNCTION("""COMPUTED_VALUE"""),"Lentes de STOCK")</f>
        <v>Lentes de STOCK</v>
      </c>
      <c r="E703" s="1" t="str">
        <f>IFERROR(__xludf.DUMMYFUNCTION("""COMPUTED_VALUE"""),"RIVADAVIA Santiago LOPEZ")</f>
        <v>RIVADAVIA Santiago LOPEZ</v>
      </c>
      <c r="F703" s="1" t="str">
        <f t="shared" si="1"/>
        <v>RIVADAVIA </v>
      </c>
      <c r="G703" s="1" t="str">
        <f t="shared" si="2"/>
        <v>Santiago LOPEZ</v>
      </c>
      <c r="H703" s="1" t="str">
        <f>IFERROR(__xludf.DUMMYFUNCTION("""COMPUTED_VALUE"""),"24/1/2023, 17:00:00")</f>
        <v>24/1/2023, 17:00:00</v>
      </c>
      <c r="I703" s="1" t="str">
        <f>IFERROR(__xludf.DUMMYFUNCTION("""COMPUTED_VALUE"""),"RETIRADO OK POR CLIENTE")</f>
        <v>RETIRADO OK POR CLIENTE</v>
      </c>
      <c r="J703" s="1">
        <f t="shared" si="3"/>
        <v>6</v>
      </c>
      <c r="K703" s="1" t="str">
        <f t="shared" si="4"/>
        <v>Entregamos tus lentes, que los disfrutes!</v>
      </c>
    </row>
    <row r="704">
      <c r="A704" s="1">
        <f>IFERROR(__xludf.DUMMYFUNCTION("""COMPUTED_VALUE"""),85254.0)</f>
        <v>85254</v>
      </c>
      <c r="B704" s="5">
        <f>IFERROR(__xludf.DUMMYFUNCTION("""COMPUTED_VALUE"""),44944.71570454861)</f>
        <v>44944.7157</v>
      </c>
      <c r="C704" s="1" t="str">
        <f>IFERROR(__xludf.DUMMYFUNCTION("""COMPUTED_VALUE"""),"RIVERO JOSE ATAULFO")</f>
        <v>RIVERO JOSE ATAULFO</v>
      </c>
      <c r="D704" s="1" t="str">
        <f>IFERROR(__xludf.DUMMYFUNCTION("""COMPUTED_VALUE"""),"Lentes de STOCK")</f>
        <v>Lentes de STOCK</v>
      </c>
      <c r="E704" s="1" t="str">
        <f>IFERROR(__xludf.DUMMYFUNCTION("""COMPUTED_VALUE"""),"RIVADAVIA Javier")</f>
        <v>RIVADAVIA Javier</v>
      </c>
      <c r="F704" s="1" t="str">
        <f t="shared" si="1"/>
        <v>RIVADAVIA </v>
      </c>
      <c r="G704" s="1" t="str">
        <f t="shared" si="2"/>
        <v>Javier</v>
      </c>
      <c r="H704" s="1" t="str">
        <f>IFERROR(__xludf.DUMMYFUNCTION("""COMPUTED_VALUE"""),"23/1/2023, 17:00:00")</f>
        <v>23/1/2023, 17:00:00</v>
      </c>
      <c r="I704" s="1" t="str">
        <f>IFERROR(__xludf.DUMMYFUNCTION("""COMPUTED_VALUE"""),"RETIRADO OK POR CLIENTE")</f>
        <v>RETIRADO OK POR CLIENTE</v>
      </c>
      <c r="J704" s="1">
        <f t="shared" si="3"/>
        <v>6</v>
      </c>
      <c r="K704" s="1" t="str">
        <f t="shared" si="4"/>
        <v>Entregamos tus lentes, que los disfrutes!</v>
      </c>
    </row>
    <row r="705">
      <c r="A705" s="1">
        <f>IFERROR(__xludf.DUMMYFUNCTION("""COMPUTED_VALUE"""),85255.0)</f>
        <v>85255</v>
      </c>
      <c r="B705" s="5">
        <f>IFERROR(__xludf.DUMMYFUNCTION("""COMPUTED_VALUE"""),44944.72165416667)</f>
        <v>44944.72165</v>
      </c>
      <c r="C705" s="1" t="str">
        <f>IFERROR(__xludf.DUMMYFUNCTION("""COMPUTED_VALUE"""),"LODOS MARIA ALEJANDRA")</f>
        <v>LODOS MARIA ALEJANDRA</v>
      </c>
      <c r="D705" s="1" t="str">
        <f>IFERROR(__xludf.DUMMYFUNCTION("""COMPUTED_VALUE"""),"Lentes de STOCK")</f>
        <v>Lentes de STOCK</v>
      </c>
      <c r="E705" s="1" t="str">
        <f>IFERROR(__xludf.DUMMYFUNCTION("""COMPUTED_VALUE"""),"RIVADAVIA Javier")</f>
        <v>RIVADAVIA Javier</v>
      </c>
      <c r="F705" s="1" t="str">
        <f t="shared" si="1"/>
        <v>RIVADAVIA </v>
      </c>
      <c r="G705" s="1" t="str">
        <f t="shared" si="2"/>
        <v>Javier</v>
      </c>
      <c r="H705" s="1" t="str">
        <f>IFERROR(__xludf.DUMMYFUNCTION("""COMPUTED_VALUE"""),"26/1/2023, 17:00:00")</f>
        <v>26/1/2023, 17:00:00</v>
      </c>
      <c r="I705" s="1" t="str">
        <f>IFERROR(__xludf.DUMMYFUNCTION("""COMPUTED_VALUE"""),"Completado en SUCURSAL")</f>
        <v>Completado en SUCURSAL</v>
      </c>
      <c r="J705" s="1">
        <f t="shared" si="3"/>
        <v>5</v>
      </c>
      <c r="K705" s="1" t="str">
        <f t="shared" si="4"/>
        <v>Tus Lentes estan LISTAS PARA ENTREGAR, te esperamos.</v>
      </c>
    </row>
    <row r="706">
      <c r="A706" s="1">
        <f>IFERROR(__xludf.DUMMYFUNCTION("""COMPUTED_VALUE"""),85256.0)</f>
        <v>85256</v>
      </c>
      <c r="B706" s="5">
        <f>IFERROR(__xludf.DUMMYFUNCTION("""COMPUTED_VALUE"""),44944.742233287034)</f>
        <v>44944.74223</v>
      </c>
      <c r="C706" s="1" t="str">
        <f>IFERROR(__xludf.DUMMYFUNCTION("""COMPUTED_VALUE"""),"CORREA GABRIELA")</f>
        <v>CORREA GABRIELA</v>
      </c>
      <c r="D706" s="1" t="str">
        <f>IFERROR(__xludf.DUMMYFUNCTION("""COMPUTED_VALUE"""),"Reparaciones/Otros")</f>
        <v>Reparaciones/Otros</v>
      </c>
      <c r="E706" s="1" t="str">
        <f>IFERROR(__xludf.DUMMYFUNCTION("""COMPUTED_VALUE"""),"ARTIGAS Cristian C.")</f>
        <v>ARTIGAS Cristian C.</v>
      </c>
      <c r="F706" s="1" t="str">
        <f t="shared" si="1"/>
        <v>ARTIGAS </v>
      </c>
      <c r="G706" s="1" t="str">
        <f t="shared" si="2"/>
        <v>Cristian C.</v>
      </c>
      <c r="H706" s="1" t="str">
        <f>IFERROR(__xludf.DUMMYFUNCTION("""COMPUTED_VALUE"""),"25/1/2023, 17:00:00")</f>
        <v>25/1/2023, 17:00:00</v>
      </c>
      <c r="I706" s="1" t="str">
        <f>IFERROR(__xludf.DUMMYFUNCTION("""COMPUTED_VALUE"""),"Recibido en Laboratorio")</f>
        <v>Recibido en Laboratorio</v>
      </c>
      <c r="J706" s="1">
        <f t="shared" si="3"/>
        <v>2</v>
      </c>
      <c r="K706" s="1" t="str">
        <f t="shared" si="4"/>
        <v>Nuestro Laboratorio esta trabajando en tus lentes, los entregaremos en la fecha acordada.</v>
      </c>
    </row>
    <row r="707">
      <c r="A707" s="1">
        <f>IFERROR(__xludf.DUMMYFUNCTION("""COMPUTED_VALUE"""),85257.0)</f>
        <v>85257</v>
      </c>
      <c r="B707" s="5">
        <f>IFERROR(__xludf.DUMMYFUNCTION("""COMPUTED_VALUE"""),44944.752794768516)</f>
        <v>44944.75279</v>
      </c>
      <c r="C707" s="1" t="str">
        <f>IFERROR(__xludf.DUMMYFUNCTION("""COMPUTED_VALUE"""),"menendez vanina")</f>
        <v>menendez vanina</v>
      </c>
      <c r="D707" s="1" t="str">
        <f>IFERROR(__xludf.DUMMYFUNCTION("""COMPUTED_VALUE"""),"Lentes de STOCK")</f>
        <v>Lentes de STOCK</v>
      </c>
      <c r="E707" s="1" t="str">
        <f>IFERROR(__xludf.DUMMYFUNCTION("""COMPUTED_VALUE"""),"RIVADAVIA Daniel CM")</f>
        <v>RIVADAVIA Daniel CM</v>
      </c>
      <c r="F707" s="1" t="str">
        <f t="shared" si="1"/>
        <v>RIVADAVIA </v>
      </c>
      <c r="G707" s="1" t="str">
        <f t="shared" si="2"/>
        <v>Daniel CM</v>
      </c>
      <c r="H707" s="1" t="str">
        <f>IFERROR(__xludf.DUMMYFUNCTION("""COMPUTED_VALUE"""),"25/1/2023, 17:00:00")</f>
        <v>25/1/2023, 17:00:00</v>
      </c>
      <c r="I707" s="1" t="str">
        <f>IFERROR(__xludf.DUMMYFUNCTION("""COMPUTED_VALUE"""),"Completado en SUCURSAL")</f>
        <v>Completado en SUCURSAL</v>
      </c>
      <c r="J707" s="1">
        <f t="shared" si="3"/>
        <v>5</v>
      </c>
      <c r="K707" s="1" t="str">
        <f t="shared" si="4"/>
        <v>Tus Lentes estan LISTAS PARA ENTREGAR, te esperamos.</v>
      </c>
    </row>
    <row r="708">
      <c r="A708" s="1">
        <f>IFERROR(__xludf.DUMMYFUNCTION("""COMPUTED_VALUE"""),85258.0)</f>
        <v>85258</v>
      </c>
      <c r="B708" s="5">
        <f>IFERROR(__xludf.DUMMYFUNCTION("""COMPUTED_VALUE"""),44944.75495434028)</f>
        <v>44944.75495</v>
      </c>
      <c r="C708" s="1" t="str">
        <f>IFERROR(__xludf.DUMMYFUNCTION("""COMPUTED_VALUE"""),"KRAMER MACARENA")</f>
        <v>KRAMER MACARENA</v>
      </c>
      <c r="D708" s="1" t="str">
        <f>IFERROR(__xludf.DUMMYFUNCTION("""COMPUTED_VALUE"""),"Reparaciones/Otros")</f>
        <v>Reparaciones/Otros</v>
      </c>
      <c r="E708" s="1" t="str">
        <f>IFERROR(__xludf.DUMMYFUNCTION("""COMPUTED_VALUE"""),"RIVADAVIA Santiago LOPEZ")</f>
        <v>RIVADAVIA Santiago LOPEZ</v>
      </c>
      <c r="F708" s="1" t="str">
        <f t="shared" si="1"/>
        <v>RIVADAVIA </v>
      </c>
      <c r="G708" s="1" t="str">
        <f t="shared" si="2"/>
        <v>Santiago LOPEZ</v>
      </c>
      <c r="H708" s="1" t="str">
        <f>IFERROR(__xludf.DUMMYFUNCTION("""COMPUTED_VALUE"""),"21/1/2023, 17:00:00")</f>
        <v>21/1/2023, 17:00:00</v>
      </c>
      <c r="I708" s="1" t="str">
        <f>IFERROR(__xludf.DUMMYFUNCTION("""COMPUTED_VALUE"""),"Completado en SUCURSAL")</f>
        <v>Completado en SUCURSAL</v>
      </c>
      <c r="J708" s="1">
        <f t="shared" si="3"/>
        <v>5</v>
      </c>
      <c r="K708" s="1" t="str">
        <f t="shared" si="4"/>
        <v>Tus Lentes estan LISTAS PARA ENTREGAR, te esperamos.</v>
      </c>
    </row>
    <row r="709">
      <c r="A709" s="1">
        <f>IFERROR(__xludf.DUMMYFUNCTION("""COMPUTED_VALUE"""),85259.0)</f>
        <v>85259</v>
      </c>
      <c r="B709" s="5">
        <f>IFERROR(__xludf.DUMMYFUNCTION("""COMPUTED_VALUE"""),44944.755354918976)</f>
        <v>44944.75535</v>
      </c>
      <c r="C709" s="1" t="str">
        <f>IFERROR(__xludf.DUMMYFUNCTION("""COMPUTED_VALUE"""),"TORRES LORENA")</f>
        <v>TORRES LORENA</v>
      </c>
      <c r="D709" s="1" t="str">
        <f>IFERROR(__xludf.DUMMYFUNCTION("""COMPUTED_VALUE"""),"Reparaciones/Otros")</f>
        <v>Reparaciones/Otros</v>
      </c>
      <c r="E709" s="1" t="str">
        <f>IFERROR(__xludf.DUMMYFUNCTION("""COMPUTED_VALUE"""),"ARTIGAS Cristian C.")</f>
        <v>ARTIGAS Cristian C.</v>
      </c>
      <c r="F709" s="1" t="str">
        <f t="shared" si="1"/>
        <v>ARTIGAS </v>
      </c>
      <c r="G709" s="1" t="str">
        <f t="shared" si="2"/>
        <v>Cristian C.</v>
      </c>
      <c r="H709" s="1" t="str">
        <f>IFERROR(__xludf.DUMMYFUNCTION("""COMPUTED_VALUE"""),"30/1/2023, 17:00:00")</f>
        <v>30/1/2023, 17:00:00</v>
      </c>
      <c r="I709" s="1" t="str">
        <f>IFERROR(__xludf.DUMMYFUNCTION("""COMPUTED_VALUE"""),"Completado en SUCURSAL")</f>
        <v>Completado en SUCURSAL</v>
      </c>
      <c r="J709" s="1">
        <f t="shared" si="3"/>
        <v>5</v>
      </c>
      <c r="K709" s="1" t="str">
        <f t="shared" si="4"/>
        <v>Tus Lentes estan LISTAS PARA ENTREGAR, te esperamos.</v>
      </c>
    </row>
    <row r="710">
      <c r="A710" s="1">
        <f>IFERROR(__xludf.DUMMYFUNCTION("""COMPUTED_VALUE"""),85260.0)</f>
        <v>85260</v>
      </c>
      <c r="B710" s="5">
        <f>IFERROR(__xludf.DUMMYFUNCTION("""COMPUTED_VALUE"""),44944.755613981484)</f>
        <v>44944.75561</v>
      </c>
      <c r="C710" s="1" t="str">
        <f>IFERROR(__xludf.DUMMYFUNCTION("""COMPUTED_VALUE"""),"AGUERO TANIA MICAELA")</f>
        <v>AGUERO TANIA MICAELA</v>
      </c>
      <c r="D710" s="1" t="str">
        <f>IFERROR(__xludf.DUMMYFUNCTION("""COMPUTED_VALUE"""),"Lentes de STOCK")</f>
        <v>Lentes de STOCK</v>
      </c>
      <c r="E710" s="1" t="str">
        <f>IFERROR(__xludf.DUMMYFUNCTION("""COMPUTED_VALUE"""),"RIVADAVIA Javier")</f>
        <v>RIVADAVIA Javier</v>
      </c>
      <c r="F710" s="1" t="str">
        <f t="shared" si="1"/>
        <v>RIVADAVIA </v>
      </c>
      <c r="G710" s="1" t="str">
        <f t="shared" si="2"/>
        <v>Javier</v>
      </c>
      <c r="H710" s="1" t="str">
        <f>IFERROR(__xludf.DUMMYFUNCTION("""COMPUTED_VALUE"""),"25/1/2023, 17:00:00")</f>
        <v>25/1/2023, 17:00:00</v>
      </c>
      <c r="I710" s="1" t="str">
        <f>IFERROR(__xludf.DUMMYFUNCTION("""COMPUTED_VALUE"""),"RETIRADO OK POR CLIENTE")</f>
        <v>RETIRADO OK POR CLIENTE</v>
      </c>
      <c r="J710" s="1">
        <f t="shared" si="3"/>
        <v>6</v>
      </c>
      <c r="K710" s="1" t="str">
        <f t="shared" si="4"/>
        <v>Entregamos tus lentes, que los disfrutes!</v>
      </c>
    </row>
    <row r="711">
      <c r="A711" s="1">
        <f>IFERROR(__xludf.DUMMYFUNCTION("""COMPUTED_VALUE"""),85261.0)</f>
        <v>85261</v>
      </c>
      <c r="B711" s="5">
        <f>IFERROR(__xludf.DUMMYFUNCTION("""COMPUTED_VALUE"""),44944.77996893518)</f>
        <v>44944.77997</v>
      </c>
      <c r="C711" s="1" t="str">
        <f>IFERROR(__xludf.DUMMYFUNCTION("""COMPUTED_VALUE"""),"MIRANDA DIEGO")</f>
        <v>MIRANDA DIEGO</v>
      </c>
      <c r="D711" s="1" t="str">
        <f>IFERROR(__xludf.DUMMYFUNCTION("""COMPUTED_VALUE"""),"Lentes de STOCK")</f>
        <v>Lentes de STOCK</v>
      </c>
      <c r="E711" s="1" t="str">
        <f>IFERROR(__xludf.DUMMYFUNCTION("""COMPUTED_VALUE"""),"RIVADAVIA Luciana")</f>
        <v>RIVADAVIA Luciana</v>
      </c>
      <c r="F711" s="1" t="str">
        <f t="shared" si="1"/>
        <v>RIVADAVIA </v>
      </c>
      <c r="G711" s="1" t="str">
        <f t="shared" si="2"/>
        <v>Luciana</v>
      </c>
      <c r="H711" s="1" t="str">
        <f>IFERROR(__xludf.DUMMYFUNCTION("""COMPUTED_VALUE"""),"25/1/2023, 17:00:00")</f>
        <v>25/1/2023, 17:00:00</v>
      </c>
      <c r="I711" s="1" t="str">
        <f>IFERROR(__xludf.DUMMYFUNCTION("""COMPUTED_VALUE"""),"RETIRADO OK POR CLIENTE")</f>
        <v>RETIRADO OK POR CLIENTE</v>
      </c>
      <c r="J711" s="1">
        <f t="shared" si="3"/>
        <v>6</v>
      </c>
      <c r="K711" s="1" t="str">
        <f t="shared" si="4"/>
        <v>Entregamos tus lentes, que los disfrutes!</v>
      </c>
    </row>
    <row r="712">
      <c r="A712" s="1">
        <f>IFERROR(__xludf.DUMMYFUNCTION("""COMPUTED_VALUE"""),85262.0)</f>
        <v>85262</v>
      </c>
      <c r="B712" s="5">
        <f>IFERROR(__xludf.DUMMYFUNCTION("""COMPUTED_VALUE"""),44944.78237840278)</f>
        <v>44944.78238</v>
      </c>
      <c r="C712" s="1" t="str">
        <f>IFERROR(__xludf.DUMMYFUNCTION("""COMPUTED_VALUE"""),"BECERRA ANAHI")</f>
        <v>BECERRA ANAHI</v>
      </c>
      <c r="D712" s="1" t="str">
        <f>IFERROR(__xludf.DUMMYFUNCTION("""COMPUTED_VALUE"""),"Lentes de STOCK")</f>
        <v>Lentes de STOCK</v>
      </c>
      <c r="E712" s="1" t="str">
        <f>IFERROR(__xludf.DUMMYFUNCTION("""COMPUTED_VALUE"""),"RIVADAVIA Luciana")</f>
        <v>RIVADAVIA Luciana</v>
      </c>
      <c r="F712" s="1" t="str">
        <f t="shared" si="1"/>
        <v>RIVADAVIA </v>
      </c>
      <c r="G712" s="1" t="str">
        <f t="shared" si="2"/>
        <v>Luciana</v>
      </c>
      <c r="H712" s="1" t="str">
        <f>IFERROR(__xludf.DUMMYFUNCTION("""COMPUTED_VALUE"""),"25/1/2023, 17:00:00")</f>
        <v>25/1/2023, 17:00:00</v>
      </c>
      <c r="I712" s="1" t="str">
        <f>IFERROR(__xludf.DUMMYFUNCTION("""COMPUTED_VALUE"""),"RETIRADO OK POR CLIENTE")</f>
        <v>RETIRADO OK POR CLIENTE</v>
      </c>
      <c r="J712" s="1">
        <f t="shared" si="3"/>
        <v>6</v>
      </c>
      <c r="K712" s="1" t="str">
        <f t="shared" si="4"/>
        <v>Entregamos tus lentes, que los disfrutes!</v>
      </c>
    </row>
    <row r="713">
      <c r="A713" s="1">
        <f>IFERROR(__xludf.DUMMYFUNCTION("""COMPUTED_VALUE"""),85263.0)</f>
        <v>85263</v>
      </c>
      <c r="B713" s="5">
        <f>IFERROR(__xludf.DUMMYFUNCTION("""COMPUTED_VALUE"""),44944.78533622685)</f>
        <v>44944.78534</v>
      </c>
      <c r="C713" s="1" t="str">
        <f>IFERROR(__xludf.DUMMYFUNCTION("""COMPUTED_VALUE"""),"LOPEZ MARIA DEL ROSARIO")</f>
        <v>LOPEZ MARIA DEL ROSARIO</v>
      </c>
      <c r="D713" s="1" t="str">
        <f>IFERROR(__xludf.DUMMYFUNCTION("""COMPUTED_VALUE"""),"Lentes de STOCK")</f>
        <v>Lentes de STOCK</v>
      </c>
      <c r="E713" s="1" t="str">
        <f>IFERROR(__xludf.DUMMYFUNCTION("""COMPUTED_VALUE"""),"RIVADAVIA Javier")</f>
        <v>RIVADAVIA Javier</v>
      </c>
      <c r="F713" s="1" t="str">
        <f t="shared" si="1"/>
        <v>RIVADAVIA </v>
      </c>
      <c r="G713" s="1" t="str">
        <f t="shared" si="2"/>
        <v>Javier</v>
      </c>
      <c r="H713" s="1" t="str">
        <f>IFERROR(__xludf.DUMMYFUNCTION("""COMPUTED_VALUE"""),"24/1/2023, 17:00:00")</f>
        <v>24/1/2023, 17:00:00</v>
      </c>
      <c r="I713" s="1" t="str">
        <f>IFERROR(__xludf.DUMMYFUNCTION("""COMPUTED_VALUE"""),"Completado en SUCURSAL")</f>
        <v>Completado en SUCURSAL</v>
      </c>
      <c r="J713" s="1">
        <f t="shared" si="3"/>
        <v>5</v>
      </c>
      <c r="K713" s="1" t="str">
        <f t="shared" si="4"/>
        <v>Tus Lentes estan LISTAS PARA ENTREGAR, te esperamos.</v>
      </c>
    </row>
    <row r="714">
      <c r="A714" s="1">
        <f>IFERROR(__xludf.DUMMYFUNCTION("""COMPUTED_VALUE"""),85264.0)</f>
        <v>85264</v>
      </c>
      <c r="B714" s="5">
        <f>IFERROR(__xludf.DUMMYFUNCTION("""COMPUTED_VALUE"""),44944.79285628472)</f>
        <v>44944.79286</v>
      </c>
      <c r="C714" s="1" t="str">
        <f>IFERROR(__xludf.DUMMYFUNCTION("""COMPUTED_VALUE"""),"MIRANDA MARIA EMILIA")</f>
        <v>MIRANDA MARIA EMILIA</v>
      </c>
      <c r="D714" s="1" t="str">
        <f>IFERROR(__xludf.DUMMYFUNCTION("""COMPUTED_VALUE"""),"Lentes de STOCK")</f>
        <v>Lentes de STOCK</v>
      </c>
      <c r="E714" s="1" t="str">
        <f>IFERROR(__xludf.DUMMYFUNCTION("""COMPUTED_VALUE"""),"RIVADAVIA Santiago N")</f>
        <v>RIVADAVIA Santiago N</v>
      </c>
      <c r="F714" s="1" t="str">
        <f t="shared" si="1"/>
        <v>RIVADAVIA </v>
      </c>
      <c r="G714" s="1" t="str">
        <f t="shared" si="2"/>
        <v>Santiago N</v>
      </c>
      <c r="H714" s="1" t="str">
        <f>IFERROR(__xludf.DUMMYFUNCTION("""COMPUTED_VALUE"""),"21/1/2023, 17:00:00")</f>
        <v>21/1/2023, 17:00:00</v>
      </c>
      <c r="I714" s="1" t="str">
        <f>IFERROR(__xludf.DUMMYFUNCTION("""COMPUTED_VALUE"""),"Completado en SUCURSAL")</f>
        <v>Completado en SUCURSAL</v>
      </c>
      <c r="J714" s="1">
        <f t="shared" si="3"/>
        <v>5</v>
      </c>
      <c r="K714" s="1" t="str">
        <f t="shared" si="4"/>
        <v>Tus Lentes estan LISTAS PARA ENTREGAR, te esperamos.</v>
      </c>
    </row>
    <row r="715">
      <c r="A715" s="1">
        <f>IFERROR(__xludf.DUMMYFUNCTION("""COMPUTED_VALUE"""),85265.0)</f>
        <v>85265</v>
      </c>
      <c r="B715" s="5">
        <f>IFERROR(__xludf.DUMMYFUNCTION("""COMPUTED_VALUE"""),44944.79872760417)</f>
        <v>44944.79873</v>
      </c>
      <c r="C715" s="1" t="str">
        <f>IFERROR(__xludf.DUMMYFUNCTION("""COMPUTED_VALUE"""),"MERCAU RAMONA ROSA")</f>
        <v>MERCAU RAMONA ROSA</v>
      </c>
      <c r="D715" s="1" t="str">
        <f>IFERROR(__xludf.DUMMYFUNCTION("""COMPUTED_VALUE"""),"Lentes de STOCK")</f>
        <v>Lentes de STOCK</v>
      </c>
      <c r="E715" s="1" t="str">
        <f>IFERROR(__xludf.DUMMYFUNCTION("""COMPUTED_VALUE"""),"ARTIGAS Cristian C.")</f>
        <v>ARTIGAS Cristian C.</v>
      </c>
      <c r="F715" s="1" t="str">
        <f t="shared" si="1"/>
        <v>ARTIGAS </v>
      </c>
      <c r="G715" s="1" t="str">
        <f t="shared" si="2"/>
        <v>Cristian C.</v>
      </c>
      <c r="H715" s="1" t="str">
        <f>IFERROR(__xludf.DUMMYFUNCTION("""COMPUTED_VALUE"""),"21/1/2023, 17:00:00")</f>
        <v>21/1/2023, 17:00:00</v>
      </c>
      <c r="I715" s="1" t="str">
        <f>IFERROR(__xludf.DUMMYFUNCTION("""COMPUTED_VALUE"""),"En Armado Hoy")</f>
        <v>En Armado Hoy</v>
      </c>
      <c r="J715" s="1">
        <f t="shared" si="3"/>
        <v>3</v>
      </c>
      <c r="K715" s="1" t="str">
        <f t="shared" si="4"/>
        <v>Estamos terminando los ultimos detalles de tus lentes, los terminaremos el dia de hoy.</v>
      </c>
    </row>
    <row r="716">
      <c r="A716" s="1">
        <f>IFERROR(__xludf.DUMMYFUNCTION("""COMPUTED_VALUE"""),85266.0)</f>
        <v>85266</v>
      </c>
      <c r="B716" s="5">
        <f>IFERROR(__xludf.DUMMYFUNCTION("""COMPUTED_VALUE"""),44944.79918672454)</f>
        <v>44944.79919</v>
      </c>
      <c r="C716" s="1" t="str">
        <f>IFERROR(__xludf.DUMMYFUNCTION("""COMPUTED_VALUE"""),"MUSUMESSI PATRICIA")</f>
        <v>MUSUMESSI PATRICIA</v>
      </c>
      <c r="D716" s="1" t="str">
        <f>IFERROR(__xludf.DUMMYFUNCTION("""COMPUTED_VALUE"""),"Reparaciones/Otros")</f>
        <v>Reparaciones/Otros</v>
      </c>
      <c r="E716" s="1" t="str">
        <f>IFERROR(__xludf.DUMMYFUNCTION("""COMPUTED_VALUE"""),"RIVADAVIA Javier")</f>
        <v>RIVADAVIA Javier</v>
      </c>
      <c r="F716" s="1" t="str">
        <f t="shared" si="1"/>
        <v>RIVADAVIA </v>
      </c>
      <c r="G716" s="1" t="str">
        <f t="shared" si="2"/>
        <v>Javier</v>
      </c>
      <c r="H716" s="1" t="str">
        <f>IFERROR(__xludf.DUMMYFUNCTION("""COMPUTED_VALUE"""),"25/1/2023, 17:00:00")</f>
        <v>25/1/2023, 17:00:00</v>
      </c>
      <c r="I716" s="1" t="str">
        <f>IFERROR(__xludf.DUMMYFUNCTION("""COMPUTED_VALUE"""),"Completado en SUCURSAL")</f>
        <v>Completado en SUCURSAL</v>
      </c>
      <c r="J716" s="1">
        <f t="shared" si="3"/>
        <v>5</v>
      </c>
      <c r="K716" s="1" t="str">
        <f t="shared" si="4"/>
        <v>Tus Lentes estan LISTAS PARA ENTREGAR, te esperamos.</v>
      </c>
    </row>
    <row r="717">
      <c r="A717" s="1">
        <f>IFERROR(__xludf.DUMMYFUNCTION("""COMPUTED_VALUE"""),85267.0)</f>
        <v>85267</v>
      </c>
      <c r="B717" s="5">
        <f>IFERROR(__xludf.DUMMYFUNCTION("""COMPUTED_VALUE"""),44944.801517071755)</f>
        <v>44944.80152</v>
      </c>
      <c r="C717" s="1" t="str">
        <f>IFERROR(__xludf.DUMMYFUNCTION("""COMPUTED_VALUE"""),"JUAREZ MARIO")</f>
        <v>JUAREZ MARIO</v>
      </c>
      <c r="D717" s="1" t="str">
        <f>IFERROR(__xludf.DUMMYFUNCTION("""COMPUTED_VALUE"""),"Lentes de STOCK")</f>
        <v>Lentes de STOCK</v>
      </c>
      <c r="E717" s="1" t="str">
        <f>IFERROR(__xludf.DUMMYFUNCTION("""COMPUTED_VALUE"""),"ARTIGAS Ivana P.")</f>
        <v>ARTIGAS Ivana P.</v>
      </c>
      <c r="F717" s="1" t="str">
        <f t="shared" si="1"/>
        <v>ARTIGAS </v>
      </c>
      <c r="G717" s="1" t="str">
        <f t="shared" si="2"/>
        <v>Ivana P.</v>
      </c>
      <c r="H717" s="1" t="str">
        <f>IFERROR(__xludf.DUMMYFUNCTION("""COMPUTED_VALUE"""),"23/1/2023, 17:00:00")</f>
        <v>23/1/2023, 17:00:00</v>
      </c>
      <c r="I717" s="1" t="str">
        <f>IFERROR(__xludf.DUMMYFUNCTION("""COMPUTED_VALUE"""),"RETIRADO OK POR CLIENTE")</f>
        <v>RETIRADO OK POR CLIENTE</v>
      </c>
      <c r="J717" s="1">
        <f t="shared" si="3"/>
        <v>6</v>
      </c>
      <c r="K717" s="1" t="str">
        <f t="shared" si="4"/>
        <v>Entregamos tus lentes, que los disfrutes!</v>
      </c>
    </row>
    <row r="718">
      <c r="A718" s="1">
        <f>IFERROR(__xludf.DUMMYFUNCTION("""COMPUTED_VALUE"""),85268.0)</f>
        <v>85268</v>
      </c>
      <c r="B718" s="5">
        <f>IFERROR(__xludf.DUMMYFUNCTION("""COMPUTED_VALUE"""),44944.80442946759)</f>
        <v>44944.80443</v>
      </c>
      <c r="C718" s="1" t="str">
        <f>IFERROR(__xludf.DUMMYFUNCTION("""COMPUTED_VALUE"""),"LESCANO GRACIELA")</f>
        <v>LESCANO GRACIELA</v>
      </c>
      <c r="D718" s="1" t="str">
        <f>IFERROR(__xludf.DUMMYFUNCTION("""COMPUTED_VALUE"""),"Lentes de STOCK")</f>
        <v>Lentes de STOCK</v>
      </c>
      <c r="E718" s="1" t="str">
        <f>IFERROR(__xludf.DUMMYFUNCTION("""COMPUTED_VALUE"""),"ARTIGAS Cristian C.")</f>
        <v>ARTIGAS Cristian C.</v>
      </c>
      <c r="F718" s="1" t="str">
        <f t="shared" si="1"/>
        <v>ARTIGAS </v>
      </c>
      <c r="G718" s="1" t="str">
        <f t="shared" si="2"/>
        <v>Cristian C.</v>
      </c>
      <c r="H718" s="1" t="str">
        <f>IFERROR(__xludf.DUMMYFUNCTION("""COMPUTED_VALUE"""),"26/1/2023, 17:00:00")</f>
        <v>26/1/2023, 17:00:00</v>
      </c>
      <c r="I718" s="1" t="str">
        <f>IFERROR(__xludf.DUMMYFUNCTION("""COMPUTED_VALUE"""),"En Armado Hoy")</f>
        <v>En Armado Hoy</v>
      </c>
      <c r="J718" s="1">
        <f t="shared" si="3"/>
        <v>3</v>
      </c>
      <c r="K718" s="1" t="str">
        <f t="shared" si="4"/>
        <v>Estamos terminando los ultimos detalles de tus lentes, los terminaremos el dia de hoy.</v>
      </c>
    </row>
    <row r="719">
      <c r="A719" s="1">
        <f>IFERROR(__xludf.DUMMYFUNCTION("""COMPUTED_VALUE"""),85269.0)</f>
        <v>85269</v>
      </c>
      <c r="B719" s="5">
        <f>IFERROR(__xludf.DUMMYFUNCTION("""COMPUTED_VALUE"""),44944.81181748843)</f>
        <v>44944.81182</v>
      </c>
      <c r="C719" s="1" t="str">
        <f>IFERROR(__xludf.DUMMYFUNCTION("""COMPUTED_VALUE"""),"TELLO JORGE")</f>
        <v>TELLO JORGE</v>
      </c>
      <c r="D719" s="1" t="str">
        <f>IFERROR(__xludf.DUMMYFUNCTION("""COMPUTED_VALUE"""),"Reparaciones/Otros")</f>
        <v>Reparaciones/Otros</v>
      </c>
      <c r="E719" s="1" t="str">
        <f>IFERROR(__xludf.DUMMYFUNCTION("""COMPUTED_VALUE"""),"RIVADAVIA Santiago LOPEZ")</f>
        <v>RIVADAVIA Santiago LOPEZ</v>
      </c>
      <c r="F719" s="1" t="str">
        <f t="shared" si="1"/>
        <v>RIVADAVIA </v>
      </c>
      <c r="G719" s="1" t="str">
        <f t="shared" si="2"/>
        <v>Santiago LOPEZ</v>
      </c>
      <c r="H719" s="1" t="str">
        <f>IFERROR(__xludf.DUMMYFUNCTION("""COMPUTED_VALUE"""),"21/1/2023, 17:00:00")</f>
        <v>21/1/2023, 17:00:00</v>
      </c>
      <c r="I719" s="1" t="str">
        <f>IFERROR(__xludf.DUMMYFUNCTION("""COMPUTED_VALUE"""),"Recibido en Laboratorio")</f>
        <v>Recibido en Laboratorio</v>
      </c>
      <c r="J719" s="1">
        <f t="shared" si="3"/>
        <v>2</v>
      </c>
      <c r="K719" s="1" t="str">
        <f t="shared" si="4"/>
        <v>Nuestro Laboratorio esta trabajando en tus lentes, los entregaremos en la fecha acordada.</v>
      </c>
    </row>
    <row r="720">
      <c r="A720" s="1">
        <f>IFERROR(__xludf.DUMMYFUNCTION("""COMPUTED_VALUE"""),85270.0)</f>
        <v>85270</v>
      </c>
      <c r="B720" s="5">
        <f>IFERROR(__xludf.DUMMYFUNCTION("""COMPUTED_VALUE"""),44944.81182715278)</f>
        <v>44944.81183</v>
      </c>
      <c r="C720" s="1" t="str">
        <f>IFERROR(__xludf.DUMMYFUNCTION("""COMPUTED_VALUE"""),"CARRIZO ANABEL")</f>
        <v>CARRIZO ANABEL</v>
      </c>
      <c r="D720" s="1" t="str">
        <f>IFERROR(__xludf.DUMMYFUNCTION("""COMPUTED_VALUE"""),"Lentes de STOCK")</f>
        <v>Lentes de STOCK</v>
      </c>
      <c r="E720" s="1" t="str">
        <f>IFERROR(__xludf.DUMMYFUNCTION("""COMPUTED_VALUE"""),"RIVADAVIA Javier")</f>
        <v>RIVADAVIA Javier</v>
      </c>
      <c r="F720" s="1" t="str">
        <f t="shared" si="1"/>
        <v>RIVADAVIA </v>
      </c>
      <c r="G720" s="1" t="str">
        <f t="shared" si="2"/>
        <v>Javier</v>
      </c>
      <c r="H720" s="1" t="str">
        <f>IFERROR(__xludf.DUMMYFUNCTION("""COMPUTED_VALUE"""),"25/1/2023, 17:00:00")</f>
        <v>25/1/2023, 17:00:00</v>
      </c>
      <c r="I720" s="1" t="str">
        <f>IFERROR(__xludf.DUMMYFUNCTION("""COMPUTED_VALUE"""),"RETIRADO OK POR CLIENTE")</f>
        <v>RETIRADO OK POR CLIENTE</v>
      </c>
      <c r="J720" s="1">
        <f t="shared" si="3"/>
        <v>6</v>
      </c>
      <c r="K720" s="1" t="str">
        <f t="shared" si="4"/>
        <v>Entregamos tus lentes, que los disfrutes!</v>
      </c>
    </row>
    <row r="721">
      <c r="A721" s="1">
        <f>IFERROR(__xludf.DUMMYFUNCTION("""COMPUTED_VALUE"""),85271.0)</f>
        <v>85271</v>
      </c>
      <c r="B721" s="5">
        <f>IFERROR(__xludf.DUMMYFUNCTION("""COMPUTED_VALUE"""),44944.82289747686)</f>
        <v>44944.8229</v>
      </c>
      <c r="C721" s="1" t="str">
        <f>IFERROR(__xludf.DUMMYFUNCTION("""COMPUTED_VALUE"""),"AHUMADA ERICA")</f>
        <v>AHUMADA ERICA</v>
      </c>
      <c r="D721" s="1" t="str">
        <f>IFERROR(__xludf.DUMMYFUNCTION("""COMPUTED_VALUE"""),"Lentes de STOCK")</f>
        <v>Lentes de STOCK</v>
      </c>
      <c r="E721" s="1" t="str">
        <f>IFERROR(__xludf.DUMMYFUNCTION("""COMPUTED_VALUE"""),"ARTIGAS Ivana P.")</f>
        <v>ARTIGAS Ivana P.</v>
      </c>
      <c r="F721" s="1" t="str">
        <f t="shared" si="1"/>
        <v>ARTIGAS </v>
      </c>
      <c r="G721" s="1" t="str">
        <f t="shared" si="2"/>
        <v>Ivana P.</v>
      </c>
      <c r="H721" s="1" t="str">
        <f>IFERROR(__xludf.DUMMYFUNCTION("""COMPUTED_VALUE"""),"24/1/2023, 17:00:00")</f>
        <v>24/1/2023, 17:00:00</v>
      </c>
      <c r="I721" s="1" t="str">
        <f>IFERROR(__xludf.DUMMYFUNCTION("""COMPUTED_VALUE"""),"Enviado a Sucursal")</f>
        <v>Enviado a Sucursal</v>
      </c>
      <c r="J721" s="1">
        <f t="shared" si="3"/>
        <v>4</v>
      </c>
      <c r="K721" s="1" t="str">
        <f t="shared" si="4"/>
        <v>Tus lentes estan viajando a la sucursal para su entrega.</v>
      </c>
    </row>
    <row r="722">
      <c r="A722" s="1">
        <f>IFERROR(__xludf.DUMMYFUNCTION("""COMPUTED_VALUE"""),85272.0)</f>
        <v>85272</v>
      </c>
      <c r="B722" s="5">
        <f>IFERROR(__xludf.DUMMYFUNCTION("""COMPUTED_VALUE"""),44944.84103214121)</f>
        <v>44944.84103</v>
      </c>
      <c r="C722" s="1" t="str">
        <f>IFERROR(__xludf.DUMMYFUNCTION("""COMPUTED_VALUE"""),"gutierrez ana")</f>
        <v>gutierrez ana</v>
      </c>
      <c r="D722" s="1" t="str">
        <f>IFERROR(__xludf.DUMMYFUNCTION("""COMPUTED_VALUE"""),"Lentes de STOCK")</f>
        <v>Lentes de STOCK</v>
      </c>
      <c r="E722" s="1" t="str">
        <f>IFERROR(__xludf.DUMMYFUNCTION("""COMPUTED_VALUE"""),"RIVADAVIA Santiago N")</f>
        <v>RIVADAVIA Santiago N</v>
      </c>
      <c r="F722" s="1" t="str">
        <f t="shared" si="1"/>
        <v>RIVADAVIA </v>
      </c>
      <c r="G722" s="1" t="str">
        <f t="shared" si="2"/>
        <v>Santiago N</v>
      </c>
      <c r="H722" s="1" t="str">
        <f>IFERROR(__xludf.DUMMYFUNCTION("""COMPUTED_VALUE"""),"24/1/2023, 17:00:00")</f>
        <v>24/1/2023, 17:00:00</v>
      </c>
      <c r="I722" s="1" t="str">
        <f>IFERROR(__xludf.DUMMYFUNCTION("""COMPUTED_VALUE"""),"Completado en SUCURSAL")</f>
        <v>Completado en SUCURSAL</v>
      </c>
      <c r="J722" s="1">
        <f t="shared" si="3"/>
        <v>5</v>
      </c>
      <c r="K722" s="1" t="str">
        <f t="shared" si="4"/>
        <v>Tus Lentes estan LISTAS PARA ENTREGAR, te esperamos.</v>
      </c>
    </row>
    <row r="723">
      <c r="A723" s="1">
        <f>IFERROR(__xludf.DUMMYFUNCTION("""COMPUTED_VALUE"""),85273.0)</f>
        <v>85273</v>
      </c>
      <c r="B723" s="5">
        <f>IFERROR(__xludf.DUMMYFUNCTION("""COMPUTED_VALUE"""),44944.84126891204)</f>
        <v>44944.84127</v>
      </c>
      <c r="C723" s="1" t="str">
        <f>IFERROR(__xludf.DUMMYFUNCTION("""COMPUTED_VALUE"""),"ORMEÑO AGUSTIN")</f>
        <v>ORMEÑO AGUSTIN</v>
      </c>
      <c r="D723" s="1" t="str">
        <f>IFERROR(__xludf.DUMMYFUNCTION("""COMPUTED_VALUE"""),"Lentes de STOCK")</f>
        <v>Lentes de STOCK</v>
      </c>
      <c r="E723" s="1" t="str">
        <f>IFERROR(__xludf.DUMMYFUNCTION("""COMPUTED_VALUE"""),"RIVADAVIA Luciana")</f>
        <v>RIVADAVIA Luciana</v>
      </c>
      <c r="F723" s="1" t="str">
        <f t="shared" si="1"/>
        <v>RIVADAVIA </v>
      </c>
      <c r="G723" s="1" t="str">
        <f t="shared" si="2"/>
        <v>Luciana</v>
      </c>
      <c r="H723" s="1" t="str">
        <f>IFERROR(__xludf.DUMMYFUNCTION("""COMPUTED_VALUE"""),"26/1/2023, 17:00:00")</f>
        <v>26/1/2023, 17:00:00</v>
      </c>
      <c r="I723" s="1" t="str">
        <f>IFERROR(__xludf.DUMMYFUNCTION("""COMPUTED_VALUE"""),"RETIRADO OK POR CLIENTE")</f>
        <v>RETIRADO OK POR CLIENTE</v>
      </c>
      <c r="J723" s="1">
        <f t="shared" si="3"/>
        <v>6</v>
      </c>
      <c r="K723" s="1" t="str">
        <f t="shared" si="4"/>
        <v>Entregamos tus lentes, que los disfrutes!</v>
      </c>
    </row>
    <row r="724">
      <c r="A724" s="1">
        <f>IFERROR(__xludf.DUMMYFUNCTION("""COMPUTED_VALUE"""),85274.0)</f>
        <v>85274</v>
      </c>
      <c r="B724" s="5">
        <f>IFERROR(__xludf.DUMMYFUNCTION("""COMPUTED_VALUE"""),44944.84389902778)</f>
        <v>44944.8439</v>
      </c>
      <c r="C724" s="1" t="str">
        <f>IFERROR(__xludf.DUMMYFUNCTION("""COMPUTED_VALUE"""),"ARRIAGADA MATIAS LEONEL")</f>
        <v>ARRIAGADA MATIAS LEONEL</v>
      </c>
      <c r="D724" s="1" t="str">
        <f>IFERROR(__xludf.DUMMYFUNCTION("""COMPUTED_VALUE"""),"Lentes de STOCK")</f>
        <v>Lentes de STOCK</v>
      </c>
      <c r="E724" s="1" t="str">
        <f>IFERROR(__xludf.DUMMYFUNCTION("""COMPUTED_VALUE"""),"RIVADAVIA Javier")</f>
        <v>RIVADAVIA Javier</v>
      </c>
      <c r="F724" s="1" t="str">
        <f t="shared" si="1"/>
        <v>RIVADAVIA </v>
      </c>
      <c r="G724" s="1" t="str">
        <f t="shared" si="2"/>
        <v>Javier</v>
      </c>
      <c r="H724" s="1" t="str">
        <f>IFERROR(__xludf.DUMMYFUNCTION("""COMPUTED_VALUE"""),"25/1/2023, 17:00:00")</f>
        <v>25/1/2023, 17:00:00</v>
      </c>
      <c r="I724" s="1" t="str">
        <f>IFERROR(__xludf.DUMMYFUNCTION("""COMPUTED_VALUE"""),"RETIRADO OK POR CLIENTE")</f>
        <v>RETIRADO OK POR CLIENTE</v>
      </c>
      <c r="J724" s="1">
        <f t="shared" si="3"/>
        <v>6</v>
      </c>
      <c r="K724" s="1" t="str">
        <f t="shared" si="4"/>
        <v>Entregamos tus lentes, que los disfrutes!</v>
      </c>
    </row>
    <row r="725">
      <c r="A725" s="1">
        <f>IFERROR(__xludf.DUMMYFUNCTION("""COMPUTED_VALUE"""),85275.0)</f>
        <v>85275</v>
      </c>
      <c r="B725" s="5">
        <f>IFERROR(__xludf.DUMMYFUNCTION("""COMPUTED_VALUE"""),44944.845072951386)</f>
        <v>44944.84507</v>
      </c>
      <c r="C725" s="1" t="str">
        <f>IFERROR(__xludf.DUMMYFUNCTION("""COMPUTED_VALUE"""),"BELZUNCE RUBEN")</f>
        <v>BELZUNCE RUBEN</v>
      </c>
      <c r="D725" s="1" t="str">
        <f>IFERROR(__xludf.DUMMYFUNCTION("""COMPUTED_VALUE"""),"Lentes de STOCK")</f>
        <v>Lentes de STOCK</v>
      </c>
      <c r="E725" s="1" t="str">
        <f>IFERROR(__xludf.DUMMYFUNCTION("""COMPUTED_VALUE"""),"RIVADAVIA Santiago N")</f>
        <v>RIVADAVIA Santiago N</v>
      </c>
      <c r="F725" s="1" t="str">
        <f t="shared" si="1"/>
        <v>RIVADAVIA </v>
      </c>
      <c r="G725" s="1" t="str">
        <f t="shared" si="2"/>
        <v>Santiago N</v>
      </c>
      <c r="H725" s="1" t="str">
        <f>IFERROR(__xludf.DUMMYFUNCTION("""COMPUTED_VALUE"""),"24/1/2023, 17:00:00")</f>
        <v>24/1/2023, 17:00:00</v>
      </c>
      <c r="I725" s="1" t="str">
        <f>IFERROR(__xludf.DUMMYFUNCTION("""COMPUTED_VALUE"""),"RETIRADO OK POR CLIENTE")</f>
        <v>RETIRADO OK POR CLIENTE</v>
      </c>
      <c r="J725" s="1">
        <f t="shared" si="3"/>
        <v>6</v>
      </c>
      <c r="K725" s="1" t="str">
        <f t="shared" si="4"/>
        <v>Entregamos tus lentes, que los disfrutes!</v>
      </c>
    </row>
    <row r="726">
      <c r="A726" s="1">
        <f>IFERROR(__xludf.DUMMYFUNCTION("""COMPUTED_VALUE"""),85276.0)</f>
        <v>85276</v>
      </c>
      <c r="B726" s="5">
        <f>IFERROR(__xludf.DUMMYFUNCTION("""COMPUTED_VALUE"""),44944.848597766206)</f>
        <v>44944.8486</v>
      </c>
      <c r="C726" s="1" t="str">
        <f>IFERROR(__xludf.DUMMYFUNCTION("""COMPUTED_VALUE"""),"BALLERINO ESTELA")</f>
        <v>BALLERINO ESTELA</v>
      </c>
      <c r="D726" s="1" t="str">
        <f>IFERROR(__xludf.DUMMYFUNCTION("""COMPUTED_VALUE"""),"Reparaciones/Otros")</f>
        <v>Reparaciones/Otros</v>
      </c>
      <c r="E726" s="1" t="str">
        <f>IFERROR(__xludf.DUMMYFUNCTION("""COMPUTED_VALUE"""),"RIVADAVIA Luciana")</f>
        <v>RIVADAVIA Luciana</v>
      </c>
      <c r="F726" s="1" t="str">
        <f t="shared" si="1"/>
        <v>RIVADAVIA </v>
      </c>
      <c r="G726" s="1" t="str">
        <f t="shared" si="2"/>
        <v>Luciana</v>
      </c>
      <c r="H726" s="1" t="str">
        <f>IFERROR(__xludf.DUMMYFUNCTION("""COMPUTED_VALUE"""),"23/1/2023, 17:00:00")</f>
        <v>23/1/2023, 17:00:00</v>
      </c>
      <c r="I726" s="1" t="str">
        <f>IFERROR(__xludf.DUMMYFUNCTION("""COMPUTED_VALUE"""),"Completado en SUCURSAL")</f>
        <v>Completado en SUCURSAL</v>
      </c>
      <c r="J726" s="1">
        <f t="shared" si="3"/>
        <v>5</v>
      </c>
      <c r="K726" s="1" t="str">
        <f t="shared" si="4"/>
        <v>Tus Lentes estan LISTAS PARA ENTREGAR, te esperamos.</v>
      </c>
    </row>
    <row r="727">
      <c r="A727" s="1">
        <f>IFERROR(__xludf.DUMMYFUNCTION("""COMPUTED_VALUE"""),85277.0)</f>
        <v>85277</v>
      </c>
      <c r="B727" s="5">
        <f>IFERROR(__xludf.DUMMYFUNCTION("""COMPUTED_VALUE"""),44944.851815497685)</f>
        <v>44944.85182</v>
      </c>
      <c r="C727" s="1" t="str">
        <f>IFERROR(__xludf.DUMMYFUNCTION("""COMPUTED_VALUE"""),"CELIZ MONICA")</f>
        <v>CELIZ MONICA</v>
      </c>
      <c r="D727" s="1" t="str">
        <f>IFERROR(__xludf.DUMMYFUNCTION("""COMPUTED_VALUE"""),"Lentes MULTIFOCALES")</f>
        <v>Lentes MULTIFOCALES</v>
      </c>
      <c r="E727" s="1" t="str">
        <f>IFERROR(__xludf.DUMMYFUNCTION("""COMPUTED_VALUE"""),"RIVADAVIA Santiago LOPEZ")</f>
        <v>RIVADAVIA Santiago LOPEZ</v>
      </c>
      <c r="F727" s="1" t="str">
        <f t="shared" si="1"/>
        <v>RIVADAVIA </v>
      </c>
      <c r="G727" s="1" t="str">
        <f t="shared" si="2"/>
        <v>Santiago LOPEZ</v>
      </c>
      <c r="H727" s="1" t="str">
        <f>IFERROR(__xludf.DUMMYFUNCTION("""COMPUTED_VALUE"""),"1/2/2023, 17:00:00")</f>
        <v>1/2/2023, 17:00:00</v>
      </c>
      <c r="I727" s="1" t="str">
        <f>IFERROR(__xludf.DUMMYFUNCTION("""COMPUTED_VALUE"""),"Recibido en Laboratorio")</f>
        <v>Recibido en Laboratorio</v>
      </c>
      <c r="J727" s="1">
        <f t="shared" si="3"/>
        <v>2</v>
      </c>
      <c r="K727" s="1" t="str">
        <f t="shared" si="4"/>
        <v>Nuestro Laboratorio esta trabajando en tus lentes, los entregaremos en la fecha acordada.</v>
      </c>
    </row>
    <row r="728">
      <c r="A728" s="1">
        <f>IFERROR(__xludf.DUMMYFUNCTION("""COMPUTED_VALUE"""),85278.0)</f>
        <v>85278</v>
      </c>
      <c r="B728" s="5">
        <f>IFERROR(__xludf.DUMMYFUNCTION("""COMPUTED_VALUE"""),44944.85868258102)</f>
        <v>44944.85868</v>
      </c>
      <c r="C728" s="1" t="str">
        <f>IFERROR(__xludf.DUMMYFUNCTION("""COMPUTED_VALUE"""),"ALANIZ CARLOS")</f>
        <v>ALANIZ CARLOS</v>
      </c>
      <c r="D728" s="1" t="str">
        <f>IFERROR(__xludf.DUMMYFUNCTION("""COMPUTED_VALUE"""),"Lentes de STOCK")</f>
        <v>Lentes de STOCK</v>
      </c>
      <c r="E728" s="1" t="str">
        <f>IFERROR(__xludf.DUMMYFUNCTION("""COMPUTED_VALUE"""),"RIVADAVIA Luciana")</f>
        <v>RIVADAVIA Luciana</v>
      </c>
      <c r="F728" s="1" t="str">
        <f t="shared" si="1"/>
        <v>RIVADAVIA </v>
      </c>
      <c r="G728" s="1" t="str">
        <f t="shared" si="2"/>
        <v>Luciana</v>
      </c>
      <c r="H728" s="1" t="str">
        <f>IFERROR(__xludf.DUMMYFUNCTION("""COMPUTED_VALUE"""),"26/1/2023, 17:00:00")</f>
        <v>26/1/2023, 17:00:00</v>
      </c>
      <c r="I728" s="1" t="str">
        <f>IFERROR(__xludf.DUMMYFUNCTION("""COMPUTED_VALUE"""),"RETIRADO OK POR CLIENTE")</f>
        <v>RETIRADO OK POR CLIENTE</v>
      </c>
      <c r="J728" s="1">
        <f t="shared" si="3"/>
        <v>6</v>
      </c>
      <c r="K728" s="1" t="str">
        <f t="shared" si="4"/>
        <v>Entregamos tus lentes, que los disfrutes!</v>
      </c>
    </row>
    <row r="729">
      <c r="A729" s="1">
        <f>IFERROR(__xludf.DUMMYFUNCTION("""COMPUTED_VALUE"""),85279.0)</f>
        <v>85279</v>
      </c>
      <c r="B729" s="5">
        <f>IFERROR(__xludf.DUMMYFUNCTION("""COMPUTED_VALUE"""),44944.86070228009)</f>
        <v>44944.8607</v>
      </c>
      <c r="C729" s="1" t="str">
        <f>IFERROR(__xludf.DUMMYFUNCTION("""COMPUTED_VALUE"""),"VALLEJOS MARINA")</f>
        <v>VALLEJOS MARINA</v>
      </c>
      <c r="D729" s="1" t="str">
        <f>IFERROR(__xludf.DUMMYFUNCTION("""COMPUTED_VALUE"""),"Lentes de STOCK")</f>
        <v>Lentes de STOCK</v>
      </c>
      <c r="E729" s="1" t="str">
        <f>IFERROR(__xludf.DUMMYFUNCTION("""COMPUTED_VALUE"""),"RIVADAVIA Luciana")</f>
        <v>RIVADAVIA Luciana</v>
      </c>
      <c r="F729" s="1" t="str">
        <f t="shared" si="1"/>
        <v>RIVADAVIA </v>
      </c>
      <c r="G729" s="1" t="str">
        <f t="shared" si="2"/>
        <v>Luciana</v>
      </c>
      <c r="H729" s="1" t="str">
        <f>IFERROR(__xludf.DUMMYFUNCTION("""COMPUTED_VALUE"""),"26/1/2023, 17:00:00")</f>
        <v>26/1/2023, 17:00:00</v>
      </c>
      <c r="I729" s="1"/>
      <c r="J729" s="1">
        <f t="shared" si="3"/>
        <v>0</v>
      </c>
      <c r="K729" s="1" t="str">
        <f t="shared" si="4"/>
        <v/>
      </c>
    </row>
    <row r="730">
      <c r="A730" s="1">
        <f>IFERROR(__xludf.DUMMYFUNCTION("""COMPUTED_VALUE"""),85280.0)</f>
        <v>85280</v>
      </c>
      <c r="B730" s="5">
        <f>IFERROR(__xludf.DUMMYFUNCTION("""COMPUTED_VALUE"""),44945.373774224536)</f>
        <v>44945.37377</v>
      </c>
      <c r="C730" s="1" t="str">
        <f>IFERROR(__xludf.DUMMYFUNCTION("""COMPUTED_VALUE"""),"valdez vanesa")</f>
        <v>valdez vanesa</v>
      </c>
      <c r="D730" s="1" t="str">
        <f>IFERROR(__xludf.DUMMYFUNCTION("""COMPUTED_VALUE"""),"Reparaciones/Otros")</f>
        <v>Reparaciones/Otros</v>
      </c>
      <c r="E730" s="1" t="str">
        <f>IFERROR(__xludf.DUMMYFUNCTION("""COMPUTED_VALUE"""),"Otro (vaneza)")</f>
        <v>Otro (vaneza)</v>
      </c>
      <c r="F730" s="1" t="str">
        <f t="shared" si="1"/>
        <v>Otro </v>
      </c>
      <c r="G730" s="1" t="str">
        <f t="shared" si="2"/>
        <v>(vaneza)</v>
      </c>
      <c r="H730" s="1" t="str">
        <f>IFERROR(__xludf.DUMMYFUNCTION("""COMPUTED_VALUE"""),"21/1/2023, 17:00:00")</f>
        <v>21/1/2023, 17:00:00</v>
      </c>
      <c r="I730" s="1" t="str">
        <f>IFERROR(__xludf.DUMMYFUNCTION("""COMPUTED_VALUE"""),"Completado en SUCURSAL")</f>
        <v>Completado en SUCURSAL</v>
      </c>
      <c r="J730" s="1">
        <f t="shared" si="3"/>
        <v>5</v>
      </c>
      <c r="K730" s="1" t="str">
        <f t="shared" si="4"/>
        <v>Tus Lentes estan LISTAS PARA ENTREGAR, te esperamos.</v>
      </c>
    </row>
    <row r="731">
      <c r="A731" s="1">
        <f>IFERROR(__xludf.DUMMYFUNCTION("""COMPUTED_VALUE"""),85281.0)</f>
        <v>85281</v>
      </c>
      <c r="B731" s="5">
        <f>IFERROR(__xludf.DUMMYFUNCTION("""COMPUTED_VALUE"""),44945.3912524537)</f>
        <v>44945.39125</v>
      </c>
      <c r="C731" s="1" t="str">
        <f>IFERROR(__xludf.DUMMYFUNCTION("""COMPUTED_VALUE"""),"CARRANZA AIDE")</f>
        <v>CARRANZA AIDE</v>
      </c>
      <c r="D731" s="1" t="str">
        <f>IFERROR(__xludf.DUMMYFUNCTION("""COMPUTED_VALUE"""),"Reparaciones/Otros")</f>
        <v>Reparaciones/Otros</v>
      </c>
      <c r="E731" s="1" t="str">
        <f>IFERROR(__xludf.DUMMYFUNCTION("""COMPUTED_VALUE"""),"ARTIGAS Cristian C.")</f>
        <v>ARTIGAS Cristian C.</v>
      </c>
      <c r="F731" s="1" t="str">
        <f t="shared" si="1"/>
        <v>ARTIGAS </v>
      </c>
      <c r="G731" s="1" t="str">
        <f t="shared" si="2"/>
        <v>Cristian C.</v>
      </c>
      <c r="H731" s="1" t="str">
        <f>IFERROR(__xludf.DUMMYFUNCTION("""COMPUTED_VALUE"""),"21/1/2023, 17:00:00")</f>
        <v>21/1/2023, 17:00:00</v>
      </c>
      <c r="I731" s="1" t="str">
        <f>IFERROR(__xludf.DUMMYFUNCTION("""COMPUTED_VALUE"""),"Recibido en Laboratorio")</f>
        <v>Recibido en Laboratorio</v>
      </c>
      <c r="J731" s="1">
        <f t="shared" si="3"/>
        <v>2</v>
      </c>
      <c r="K731" s="1" t="str">
        <f t="shared" si="4"/>
        <v>Nuestro Laboratorio esta trabajando en tus lentes, los entregaremos en la fecha acordada.</v>
      </c>
    </row>
    <row r="732">
      <c r="A732" s="1">
        <f>IFERROR(__xludf.DUMMYFUNCTION("""COMPUTED_VALUE"""),85282.0)</f>
        <v>85282</v>
      </c>
      <c r="B732" s="5">
        <f>IFERROR(__xludf.DUMMYFUNCTION("""COMPUTED_VALUE"""),44945.40209675926)</f>
        <v>44945.4021</v>
      </c>
      <c r="C732" s="1" t="str">
        <f>IFERROR(__xludf.DUMMYFUNCTION("""COMPUTED_VALUE"""),"JURI AYUB MAXIMILIANO")</f>
        <v>JURI AYUB MAXIMILIANO</v>
      </c>
      <c r="D732" s="1" t="str">
        <f>IFERROR(__xludf.DUMMYFUNCTION("""COMPUTED_VALUE"""),"Lentes de STOCK")</f>
        <v>Lentes de STOCK</v>
      </c>
      <c r="E732" s="1" t="str">
        <f>IFERROR(__xludf.DUMMYFUNCTION("""COMPUTED_VALUE"""),"RIVADAVIA Luciana")</f>
        <v>RIVADAVIA Luciana</v>
      </c>
      <c r="F732" s="1" t="str">
        <f t="shared" si="1"/>
        <v>RIVADAVIA </v>
      </c>
      <c r="G732" s="1" t="str">
        <f t="shared" si="2"/>
        <v>Luciana</v>
      </c>
      <c r="H732" s="1" t="str">
        <f>IFERROR(__xludf.DUMMYFUNCTION("""COMPUTED_VALUE"""),"27/1/2023, 17:00:00")</f>
        <v>27/1/2023, 17:00:00</v>
      </c>
      <c r="I732" s="1" t="str">
        <f>IFERROR(__xludf.DUMMYFUNCTION("""COMPUTED_VALUE"""),"RETIRADO OK POR CLIENTE")</f>
        <v>RETIRADO OK POR CLIENTE</v>
      </c>
      <c r="J732" s="1">
        <f t="shared" si="3"/>
        <v>6</v>
      </c>
      <c r="K732" s="1" t="str">
        <f t="shared" si="4"/>
        <v>Entregamos tus lentes, que los disfrutes!</v>
      </c>
    </row>
    <row r="733">
      <c r="A733" s="1">
        <f>IFERROR(__xludf.DUMMYFUNCTION("""COMPUTED_VALUE"""),85283.0)</f>
        <v>85283</v>
      </c>
      <c r="B733" s="5">
        <f>IFERROR(__xludf.DUMMYFUNCTION("""COMPUTED_VALUE"""),44945.40605261574)</f>
        <v>44945.40605</v>
      </c>
      <c r="C733" s="1" t="str">
        <f>IFERROR(__xludf.DUMMYFUNCTION("""COMPUTED_VALUE"""),"PEROSSA FERNANDEZ ORNELLA IVANA")</f>
        <v>PEROSSA FERNANDEZ ORNELLA IVANA</v>
      </c>
      <c r="D733" s="1" t="str">
        <f>IFERROR(__xludf.DUMMYFUNCTION("""COMPUTED_VALUE"""),"Lentes de STOCK")</f>
        <v>Lentes de STOCK</v>
      </c>
      <c r="E733" s="1" t="str">
        <f>IFERROR(__xludf.DUMMYFUNCTION("""COMPUTED_VALUE"""),"RIVADAVIA Marcela L")</f>
        <v>RIVADAVIA Marcela L</v>
      </c>
      <c r="F733" s="1" t="str">
        <f t="shared" si="1"/>
        <v>RIVADAVIA </v>
      </c>
      <c r="G733" s="1" t="str">
        <f t="shared" si="2"/>
        <v>Marcela L</v>
      </c>
      <c r="H733" s="1" t="str">
        <f>IFERROR(__xludf.DUMMYFUNCTION("""COMPUTED_VALUE"""),"27/1/2023, 17:00:00")</f>
        <v>27/1/2023, 17:00:00</v>
      </c>
      <c r="I733" s="1" t="str">
        <f>IFERROR(__xludf.DUMMYFUNCTION("""COMPUTED_VALUE"""),"RETIRADO OK POR CLIENTE")</f>
        <v>RETIRADO OK POR CLIENTE</v>
      </c>
      <c r="J733" s="1">
        <f t="shared" si="3"/>
        <v>6</v>
      </c>
      <c r="K733" s="1" t="str">
        <f t="shared" si="4"/>
        <v>Entregamos tus lentes, que los disfrutes!</v>
      </c>
    </row>
    <row r="734">
      <c r="A734" s="1">
        <f>IFERROR(__xludf.DUMMYFUNCTION("""COMPUTED_VALUE"""),85284.0)</f>
        <v>85284</v>
      </c>
      <c r="B734" s="5">
        <f>IFERROR(__xludf.DUMMYFUNCTION("""COMPUTED_VALUE"""),44945.40700869213)</f>
        <v>44945.40701</v>
      </c>
      <c r="C734" s="1" t="str">
        <f>IFERROR(__xludf.DUMMYFUNCTION("""COMPUTED_VALUE"""),"GIORGIS ROSENDO")</f>
        <v>GIORGIS ROSENDO</v>
      </c>
      <c r="D734" s="1" t="str">
        <f>IFERROR(__xludf.DUMMYFUNCTION("""COMPUTED_VALUE"""),"Lentes de STOCK")</f>
        <v>Lentes de STOCK</v>
      </c>
      <c r="E734" s="1" t="str">
        <f>IFERROR(__xludf.DUMMYFUNCTION("""COMPUTED_VALUE"""),"RIVADAVIA Santiago LOPEZ")</f>
        <v>RIVADAVIA Santiago LOPEZ</v>
      </c>
      <c r="F734" s="1" t="str">
        <f t="shared" si="1"/>
        <v>RIVADAVIA </v>
      </c>
      <c r="G734" s="1" t="str">
        <f t="shared" si="2"/>
        <v>Santiago LOPEZ</v>
      </c>
      <c r="H734" s="1" t="str">
        <f>IFERROR(__xludf.DUMMYFUNCTION("""COMPUTED_VALUE"""),"23/1/2023, 17:00:00")</f>
        <v>23/1/2023, 17:00:00</v>
      </c>
      <c r="I734" s="1" t="str">
        <f>IFERROR(__xludf.DUMMYFUNCTION("""COMPUTED_VALUE"""),"Completado en SUCURSAL")</f>
        <v>Completado en SUCURSAL</v>
      </c>
      <c r="J734" s="1">
        <f t="shared" si="3"/>
        <v>5</v>
      </c>
      <c r="K734" s="1" t="str">
        <f t="shared" si="4"/>
        <v>Tus Lentes estan LISTAS PARA ENTREGAR, te esperamos.</v>
      </c>
    </row>
    <row r="735">
      <c r="A735" s="1">
        <f>IFERROR(__xludf.DUMMYFUNCTION("""COMPUTED_VALUE"""),85285.0)</f>
        <v>85285</v>
      </c>
      <c r="B735" s="5">
        <f>IFERROR(__xludf.DUMMYFUNCTION("""COMPUTED_VALUE"""),44945.41099310185)</f>
        <v>44945.41099</v>
      </c>
      <c r="C735" s="1" t="str">
        <f>IFERROR(__xludf.DUMMYFUNCTION("""COMPUTED_VALUE"""),"FERNANDEZ ANA ADELINA")</f>
        <v>FERNANDEZ ANA ADELINA</v>
      </c>
      <c r="D735" s="1" t="str">
        <f>IFERROR(__xludf.DUMMYFUNCTION("""COMPUTED_VALUE"""),"Reparaciones/Otros")</f>
        <v>Reparaciones/Otros</v>
      </c>
      <c r="E735" s="1" t="str">
        <f>IFERROR(__xludf.DUMMYFUNCTION("""COMPUTED_VALUE"""),"RIVADAVIA Marcela L")</f>
        <v>RIVADAVIA Marcela L</v>
      </c>
      <c r="F735" s="1" t="str">
        <f t="shared" si="1"/>
        <v>RIVADAVIA </v>
      </c>
      <c r="G735" s="1" t="str">
        <f t="shared" si="2"/>
        <v>Marcela L</v>
      </c>
      <c r="H735" s="1" t="str">
        <f>IFERROR(__xludf.DUMMYFUNCTION("""COMPUTED_VALUE"""),"25/1/2023, 17:00:00")</f>
        <v>25/1/2023, 17:00:00</v>
      </c>
      <c r="I735" s="1" t="str">
        <f>IFERROR(__xludf.DUMMYFUNCTION("""COMPUTED_VALUE"""),"Completado en SUCURSAL")</f>
        <v>Completado en SUCURSAL</v>
      </c>
      <c r="J735" s="1">
        <f t="shared" si="3"/>
        <v>5</v>
      </c>
      <c r="K735" s="1" t="str">
        <f t="shared" si="4"/>
        <v>Tus Lentes estan LISTAS PARA ENTREGAR, te esperamos.</v>
      </c>
    </row>
    <row r="736">
      <c r="A736" s="1">
        <f>IFERROR(__xludf.DUMMYFUNCTION("""COMPUTED_VALUE"""),85286.0)</f>
        <v>85286</v>
      </c>
      <c r="B736" s="5">
        <f>IFERROR(__xludf.DUMMYFUNCTION("""COMPUTED_VALUE"""),44945.415926643516)</f>
        <v>44945.41593</v>
      </c>
      <c r="C736" s="1" t="str">
        <f>IFERROR(__xludf.DUMMYFUNCTION("""COMPUTED_VALUE"""),"ACCARDI ADRIANA NOEMI")</f>
        <v>ACCARDI ADRIANA NOEMI</v>
      </c>
      <c r="D736" s="1" t="str">
        <f>IFERROR(__xludf.DUMMYFUNCTION("""COMPUTED_VALUE"""),"Lentes de STOCK")</f>
        <v>Lentes de STOCK</v>
      </c>
      <c r="E736" s="1" t="str">
        <f>IFERROR(__xludf.DUMMYFUNCTION("""COMPUTED_VALUE"""),"ARTIGAS Cristian C.")</f>
        <v>ARTIGAS Cristian C.</v>
      </c>
      <c r="F736" s="1" t="str">
        <f t="shared" si="1"/>
        <v>ARTIGAS </v>
      </c>
      <c r="G736" s="1" t="str">
        <f t="shared" si="2"/>
        <v>Cristian C.</v>
      </c>
      <c r="H736" s="1" t="str">
        <f>IFERROR(__xludf.DUMMYFUNCTION("""COMPUTED_VALUE"""),"26/1/2023, 17:00:00")</f>
        <v>26/1/2023, 17:00:00</v>
      </c>
      <c r="I736" s="1" t="str">
        <f>IFERROR(__xludf.DUMMYFUNCTION("""COMPUTED_VALUE"""),"RETIRADO OK POR CLIENTE")</f>
        <v>RETIRADO OK POR CLIENTE</v>
      </c>
      <c r="J736" s="1">
        <f t="shared" si="3"/>
        <v>6</v>
      </c>
      <c r="K736" s="1" t="str">
        <f t="shared" si="4"/>
        <v>Entregamos tus lentes, que los disfrutes!</v>
      </c>
    </row>
    <row r="737">
      <c r="A737" s="1">
        <f>IFERROR(__xludf.DUMMYFUNCTION("""COMPUTED_VALUE"""),85287.0)</f>
        <v>85287</v>
      </c>
      <c r="B737" s="5">
        <f>IFERROR(__xludf.DUMMYFUNCTION("""COMPUTED_VALUE"""),44945.41758765046)</f>
        <v>44945.41759</v>
      </c>
      <c r="C737" s="1" t="str">
        <f>IFERROR(__xludf.DUMMYFUNCTION("""COMPUTED_VALUE"""),"VILLEGAS JULIO NOEL")</f>
        <v>VILLEGAS JULIO NOEL</v>
      </c>
      <c r="D737" s="1" t="str">
        <f>IFERROR(__xludf.DUMMYFUNCTION("""COMPUTED_VALUE"""),"Lentes de STOCK")</f>
        <v>Lentes de STOCK</v>
      </c>
      <c r="E737" s="1" t="str">
        <f>IFERROR(__xludf.DUMMYFUNCTION("""COMPUTED_VALUE"""),"RIVADAVIA Marcela L")</f>
        <v>RIVADAVIA Marcela L</v>
      </c>
      <c r="F737" s="1" t="str">
        <f t="shared" si="1"/>
        <v>RIVADAVIA </v>
      </c>
      <c r="G737" s="1" t="str">
        <f t="shared" si="2"/>
        <v>Marcela L</v>
      </c>
      <c r="H737" s="1" t="str">
        <f>IFERROR(__xludf.DUMMYFUNCTION("""COMPUTED_VALUE"""),"25/1/2023, 17:00:00")</f>
        <v>25/1/2023, 17:00:00</v>
      </c>
      <c r="I737" s="1" t="str">
        <f>IFERROR(__xludf.DUMMYFUNCTION("""COMPUTED_VALUE"""),"RETIRADO OK POR CLIENTE")</f>
        <v>RETIRADO OK POR CLIENTE</v>
      </c>
      <c r="J737" s="1">
        <f t="shared" si="3"/>
        <v>6</v>
      </c>
      <c r="K737" s="1" t="str">
        <f t="shared" si="4"/>
        <v>Entregamos tus lentes, que los disfrutes!</v>
      </c>
    </row>
    <row r="738">
      <c r="A738" s="1">
        <f>IFERROR(__xludf.DUMMYFUNCTION("""COMPUTED_VALUE"""),85288.0)</f>
        <v>85288</v>
      </c>
      <c r="B738" s="5">
        <f>IFERROR(__xludf.DUMMYFUNCTION("""COMPUTED_VALUE"""),44945.44366099537)</f>
        <v>44945.44366</v>
      </c>
      <c r="C738" s="1" t="str">
        <f>IFERROR(__xludf.DUMMYFUNCTION("""COMPUTED_VALUE"""),"ACOSTA SANDRA")</f>
        <v>ACOSTA SANDRA</v>
      </c>
      <c r="D738" s="1" t="str">
        <f>IFERROR(__xludf.DUMMYFUNCTION("""COMPUTED_VALUE"""),"Reparaciones/Otros")</f>
        <v>Reparaciones/Otros</v>
      </c>
      <c r="E738" s="1" t="str">
        <f>IFERROR(__xludf.DUMMYFUNCTION("""COMPUTED_VALUE"""),"RIVADAVIA Santiago LOPEZ")</f>
        <v>RIVADAVIA Santiago LOPEZ</v>
      </c>
      <c r="F738" s="1" t="str">
        <f t="shared" si="1"/>
        <v>RIVADAVIA </v>
      </c>
      <c r="G738" s="1" t="str">
        <f t="shared" si="2"/>
        <v>Santiago LOPEZ</v>
      </c>
      <c r="H738" s="1" t="str">
        <f>IFERROR(__xludf.DUMMYFUNCTION("""COMPUTED_VALUE"""),"21/1/2023, 17:00:00")</f>
        <v>21/1/2023, 17:00:00</v>
      </c>
      <c r="I738" s="1" t="str">
        <f>IFERROR(__xludf.DUMMYFUNCTION("""COMPUTED_VALUE"""),"Completado en SUCURSAL")</f>
        <v>Completado en SUCURSAL</v>
      </c>
      <c r="J738" s="1">
        <f t="shared" si="3"/>
        <v>5</v>
      </c>
      <c r="K738" s="1" t="str">
        <f t="shared" si="4"/>
        <v>Tus Lentes estan LISTAS PARA ENTREGAR, te esperamos.</v>
      </c>
    </row>
    <row r="739">
      <c r="A739" s="1">
        <f>IFERROR(__xludf.DUMMYFUNCTION("""COMPUTED_VALUE"""),85289.0)</f>
        <v>85289</v>
      </c>
      <c r="B739" s="5">
        <f>IFERROR(__xludf.DUMMYFUNCTION("""COMPUTED_VALUE"""),44945.445067928245)</f>
        <v>44945.44507</v>
      </c>
      <c r="C739" s="1" t="str">
        <f>IFERROR(__xludf.DUMMYFUNCTION("""COMPUTED_VALUE"""),"ROSALES JULIO CESAR")</f>
        <v>ROSALES JULIO CESAR</v>
      </c>
      <c r="D739" s="1" t="str">
        <f>IFERROR(__xludf.DUMMYFUNCTION("""COMPUTED_VALUE"""),"Lentes BIFOCALES")</f>
        <v>Lentes BIFOCALES</v>
      </c>
      <c r="E739" s="1" t="str">
        <f>IFERROR(__xludf.DUMMYFUNCTION("""COMPUTED_VALUE"""),"RIVADAVIA Luciana")</f>
        <v>RIVADAVIA Luciana</v>
      </c>
      <c r="F739" s="1" t="str">
        <f t="shared" si="1"/>
        <v>RIVADAVIA </v>
      </c>
      <c r="G739" s="1" t="str">
        <f t="shared" si="2"/>
        <v>Luciana</v>
      </c>
      <c r="H739" s="1" t="str">
        <f>IFERROR(__xludf.DUMMYFUNCTION("""COMPUTED_VALUE"""),"26/1/2023, 17:00:00")</f>
        <v>26/1/2023, 17:00:00</v>
      </c>
      <c r="I739" s="1" t="str">
        <f>IFERROR(__xludf.DUMMYFUNCTION("""COMPUTED_VALUE"""),"RETIRADO OK POR CLIENTE")</f>
        <v>RETIRADO OK POR CLIENTE</v>
      </c>
      <c r="J739" s="1">
        <f t="shared" si="3"/>
        <v>6</v>
      </c>
      <c r="K739" s="1" t="str">
        <f t="shared" si="4"/>
        <v>Entregamos tus lentes, que los disfrutes!</v>
      </c>
    </row>
    <row r="740">
      <c r="A740" s="1">
        <f>IFERROR(__xludf.DUMMYFUNCTION("""COMPUTED_VALUE"""),85290.0)</f>
        <v>85290</v>
      </c>
      <c r="B740" s="5">
        <f>IFERROR(__xludf.DUMMYFUNCTION("""COMPUTED_VALUE"""),44945.44878381945)</f>
        <v>44945.44878</v>
      </c>
      <c r="C740" s="1" t="str">
        <f>IFERROR(__xludf.DUMMYFUNCTION("""COMPUTED_VALUE"""),"NAVARRO BELLO JUANA ROSA")</f>
        <v>NAVARRO BELLO JUANA ROSA</v>
      </c>
      <c r="D740" s="1" t="str">
        <f>IFERROR(__xludf.DUMMYFUNCTION("""COMPUTED_VALUE"""),"Lentes BIFOCALES")</f>
        <v>Lentes BIFOCALES</v>
      </c>
      <c r="E740" s="1" t="str">
        <f>IFERROR(__xludf.DUMMYFUNCTION("""COMPUTED_VALUE"""),"RIVADAVIA Santiago LOPEZ")</f>
        <v>RIVADAVIA Santiago LOPEZ</v>
      </c>
      <c r="F740" s="1" t="str">
        <f t="shared" si="1"/>
        <v>RIVADAVIA </v>
      </c>
      <c r="G740" s="1" t="str">
        <f t="shared" si="2"/>
        <v>Santiago LOPEZ</v>
      </c>
      <c r="H740" s="1" t="str">
        <f>IFERROR(__xludf.DUMMYFUNCTION("""COMPUTED_VALUE"""),"25/1/2023, 17:00:00")</f>
        <v>25/1/2023, 17:00:00</v>
      </c>
      <c r="I740" s="1" t="str">
        <f>IFERROR(__xludf.DUMMYFUNCTION("""COMPUTED_VALUE"""),"RETIRADO OK POR CLIENTE")</f>
        <v>RETIRADO OK POR CLIENTE</v>
      </c>
      <c r="J740" s="1">
        <f t="shared" si="3"/>
        <v>6</v>
      </c>
      <c r="K740" s="1" t="str">
        <f t="shared" si="4"/>
        <v>Entregamos tus lentes, que los disfrutes!</v>
      </c>
    </row>
    <row r="741">
      <c r="A741" s="1">
        <f>IFERROR(__xludf.DUMMYFUNCTION("""COMPUTED_VALUE"""),85291.0)</f>
        <v>85291</v>
      </c>
      <c r="B741" s="5">
        <f>IFERROR(__xludf.DUMMYFUNCTION("""COMPUTED_VALUE"""),44945.451663761574)</f>
        <v>44945.45166</v>
      </c>
      <c r="C741" s="1" t="str">
        <f>IFERROR(__xludf.DUMMYFUNCTION("""COMPUTED_VALUE"""),"SOSA JIMENA")</f>
        <v>SOSA JIMENA</v>
      </c>
      <c r="D741" s="1" t="str">
        <f>IFERROR(__xludf.DUMMYFUNCTION("""COMPUTED_VALUE"""),"Lentes de STOCK")</f>
        <v>Lentes de STOCK</v>
      </c>
      <c r="E741" s="1" t="str">
        <f>IFERROR(__xludf.DUMMYFUNCTION("""COMPUTED_VALUE"""),"RIVADAVIA Luciana")</f>
        <v>RIVADAVIA Luciana</v>
      </c>
      <c r="F741" s="1" t="str">
        <f t="shared" si="1"/>
        <v>RIVADAVIA </v>
      </c>
      <c r="G741" s="1" t="str">
        <f t="shared" si="2"/>
        <v>Luciana</v>
      </c>
      <c r="H741" s="1" t="str">
        <f>IFERROR(__xludf.DUMMYFUNCTION("""COMPUTED_VALUE"""),"26/1/2023, 17:00:00")</f>
        <v>26/1/2023, 17:00:00</v>
      </c>
      <c r="I741" s="1" t="str">
        <f>IFERROR(__xludf.DUMMYFUNCTION("""COMPUTED_VALUE"""),"RETIRADO OK POR CLIENTE")</f>
        <v>RETIRADO OK POR CLIENTE</v>
      </c>
      <c r="J741" s="1">
        <f t="shared" si="3"/>
        <v>6</v>
      </c>
      <c r="K741" s="1" t="str">
        <f t="shared" si="4"/>
        <v>Entregamos tus lentes, que los disfrutes!</v>
      </c>
    </row>
    <row r="742">
      <c r="A742" s="1">
        <f>IFERROR(__xludf.DUMMYFUNCTION("""COMPUTED_VALUE"""),85292.0)</f>
        <v>85292</v>
      </c>
      <c r="B742" s="5">
        <f>IFERROR(__xludf.DUMMYFUNCTION("""COMPUTED_VALUE"""),44945.45400105324)</f>
        <v>44945.454</v>
      </c>
      <c r="C742" s="1" t="str">
        <f>IFERROR(__xludf.DUMMYFUNCTION("""COMPUTED_VALUE"""),"GAUNA MARIA ELENA")</f>
        <v>GAUNA MARIA ELENA</v>
      </c>
      <c r="D742" s="1" t="str">
        <f>IFERROR(__xludf.DUMMYFUNCTION("""COMPUTED_VALUE"""),"Lentes de STOCK")</f>
        <v>Lentes de STOCK</v>
      </c>
      <c r="E742" s="1" t="str">
        <f>IFERROR(__xludf.DUMMYFUNCTION("""COMPUTED_VALUE"""),"ARTIGAS Cristian C.")</f>
        <v>ARTIGAS Cristian C.</v>
      </c>
      <c r="F742" s="1" t="str">
        <f t="shared" si="1"/>
        <v>ARTIGAS </v>
      </c>
      <c r="G742" s="1" t="str">
        <f t="shared" si="2"/>
        <v>Cristian C.</v>
      </c>
      <c r="H742" s="1" t="str">
        <f>IFERROR(__xludf.DUMMYFUNCTION("""COMPUTED_VALUE"""),"26/1/2023, 17:00:00")</f>
        <v>26/1/2023, 17:00:00</v>
      </c>
      <c r="I742" s="1" t="str">
        <f>IFERROR(__xludf.DUMMYFUNCTION("""COMPUTED_VALUE"""),"RETIRADO OK POR CLIENTE")</f>
        <v>RETIRADO OK POR CLIENTE</v>
      </c>
      <c r="J742" s="1">
        <f t="shared" si="3"/>
        <v>6</v>
      </c>
      <c r="K742" s="1" t="str">
        <f t="shared" si="4"/>
        <v>Entregamos tus lentes, que los disfrutes!</v>
      </c>
    </row>
    <row r="743">
      <c r="A743" s="1">
        <f>IFERROR(__xludf.DUMMYFUNCTION("""COMPUTED_VALUE"""),85293.0)</f>
        <v>85293</v>
      </c>
      <c r="B743" s="5">
        <f>IFERROR(__xludf.DUMMYFUNCTION("""COMPUTED_VALUE"""),44945.45473856482)</f>
        <v>44945.45474</v>
      </c>
      <c r="C743" s="1" t="str">
        <f>IFERROR(__xludf.DUMMYFUNCTION("""COMPUTED_VALUE"""),"CHUFFO ANALIA RAQUEL")</f>
        <v>CHUFFO ANALIA RAQUEL</v>
      </c>
      <c r="D743" s="1" t="str">
        <f>IFERROR(__xludf.DUMMYFUNCTION("""COMPUTED_VALUE"""),"Lentes de STOCK")</f>
        <v>Lentes de STOCK</v>
      </c>
      <c r="E743" s="1" t="str">
        <f>IFERROR(__xludf.DUMMYFUNCTION("""COMPUTED_VALUE"""),"RIVADAVIA Marcela L")</f>
        <v>RIVADAVIA Marcela L</v>
      </c>
      <c r="F743" s="1" t="str">
        <f t="shared" si="1"/>
        <v>RIVADAVIA </v>
      </c>
      <c r="G743" s="1" t="str">
        <f t="shared" si="2"/>
        <v>Marcela L</v>
      </c>
      <c r="H743" s="1" t="str">
        <f>IFERROR(__xludf.DUMMYFUNCTION("""COMPUTED_VALUE"""),"24/1/2023, 17:00:00")</f>
        <v>24/1/2023, 17:00:00</v>
      </c>
      <c r="I743" s="1" t="str">
        <f>IFERROR(__xludf.DUMMYFUNCTION("""COMPUTED_VALUE"""),"Completado en SUCURSAL")</f>
        <v>Completado en SUCURSAL</v>
      </c>
      <c r="J743" s="1">
        <f t="shared" si="3"/>
        <v>5</v>
      </c>
      <c r="K743" s="1" t="str">
        <f t="shared" si="4"/>
        <v>Tus Lentes estan LISTAS PARA ENTREGAR, te esperamos.</v>
      </c>
    </row>
    <row r="744">
      <c r="A744" s="1">
        <f>IFERROR(__xludf.DUMMYFUNCTION("""COMPUTED_VALUE"""),85294.0)</f>
        <v>85294</v>
      </c>
      <c r="B744" s="5">
        <f>IFERROR(__xludf.DUMMYFUNCTION("""COMPUTED_VALUE"""),44945.45853532407)</f>
        <v>44945.45854</v>
      </c>
      <c r="C744" s="1" t="str">
        <f>IFERROR(__xludf.DUMMYFUNCTION("""COMPUTED_VALUE"""),"AGUERO IGNACIO")</f>
        <v>AGUERO IGNACIO</v>
      </c>
      <c r="D744" s="1" t="str">
        <f>IFERROR(__xludf.DUMMYFUNCTION("""COMPUTED_VALUE"""),"Reparaciones/Otros")</f>
        <v>Reparaciones/Otros</v>
      </c>
      <c r="E744" s="1" t="str">
        <f>IFERROR(__xludf.DUMMYFUNCTION("""COMPUTED_VALUE"""),"ARTIGAS Ivana P.")</f>
        <v>ARTIGAS Ivana P.</v>
      </c>
      <c r="F744" s="1" t="str">
        <f t="shared" si="1"/>
        <v>ARTIGAS </v>
      </c>
      <c r="G744" s="1" t="str">
        <f t="shared" si="2"/>
        <v>Ivana P.</v>
      </c>
      <c r="H744" s="1" t="str">
        <f>IFERROR(__xludf.DUMMYFUNCTION("""COMPUTED_VALUE"""),"21/1/2023, 17:00:00")</f>
        <v>21/1/2023, 17:00:00</v>
      </c>
      <c r="I744" s="1" t="str">
        <f>IFERROR(__xludf.DUMMYFUNCTION("""COMPUTED_VALUE"""),"Recibido en Laboratorio")</f>
        <v>Recibido en Laboratorio</v>
      </c>
      <c r="J744" s="1">
        <f t="shared" si="3"/>
        <v>2</v>
      </c>
      <c r="K744" s="1" t="str">
        <f t="shared" si="4"/>
        <v>Nuestro Laboratorio esta trabajando en tus lentes, los entregaremos en la fecha acordada.</v>
      </c>
    </row>
    <row r="745">
      <c r="A745" s="1">
        <f>IFERROR(__xludf.DUMMYFUNCTION("""COMPUTED_VALUE"""),85295.0)</f>
        <v>85295</v>
      </c>
      <c r="B745" s="5">
        <f>IFERROR(__xludf.DUMMYFUNCTION("""COMPUTED_VALUE"""),44945.45894907408)</f>
        <v>44945.45895</v>
      </c>
      <c r="C745" s="1" t="str">
        <f>IFERROR(__xludf.DUMMYFUNCTION("""COMPUTED_VALUE"""),"BECERRA JOSE ")</f>
        <v>BECERRA JOSE </v>
      </c>
      <c r="D745" s="1" t="str">
        <f>IFERROR(__xludf.DUMMYFUNCTION("""COMPUTED_VALUE"""),"Reparaciones/Otros")</f>
        <v>Reparaciones/Otros</v>
      </c>
      <c r="E745" s="1" t="str">
        <f>IFERROR(__xludf.DUMMYFUNCTION("""COMPUTED_VALUE"""),"ARTIGAS Celina")</f>
        <v>ARTIGAS Celina</v>
      </c>
      <c r="F745" s="1" t="str">
        <f t="shared" si="1"/>
        <v>ARTIGAS </v>
      </c>
      <c r="G745" s="1" t="str">
        <f t="shared" si="2"/>
        <v>Celina</v>
      </c>
      <c r="H745" s="1" t="str">
        <f>IFERROR(__xludf.DUMMYFUNCTION("""COMPUTED_VALUE"""),"23/1/2023, 17:00:00")</f>
        <v>23/1/2023, 17:00:00</v>
      </c>
      <c r="I745" s="1" t="str">
        <f>IFERROR(__xludf.DUMMYFUNCTION("""COMPUTED_VALUE"""),"Recibido en Laboratorio")</f>
        <v>Recibido en Laboratorio</v>
      </c>
      <c r="J745" s="1">
        <f t="shared" si="3"/>
        <v>2</v>
      </c>
      <c r="K745" s="1" t="str">
        <f t="shared" si="4"/>
        <v>Nuestro Laboratorio esta trabajando en tus lentes, los entregaremos en la fecha acordada.</v>
      </c>
    </row>
    <row r="746">
      <c r="A746" s="1">
        <f>IFERROR(__xludf.DUMMYFUNCTION("""COMPUTED_VALUE"""),85296.0)</f>
        <v>85296</v>
      </c>
      <c r="B746" s="5">
        <f>IFERROR(__xludf.DUMMYFUNCTION("""COMPUTED_VALUE"""),44945.46425087963)</f>
        <v>44945.46425</v>
      </c>
      <c r="C746" s="1" t="str">
        <f>IFERROR(__xludf.DUMMYFUNCTION("""COMPUTED_VALUE"""),"CHADI JOSE")</f>
        <v>CHADI JOSE</v>
      </c>
      <c r="D746" s="1" t="str">
        <f>IFERROR(__xludf.DUMMYFUNCTION("""COMPUTED_VALUE"""),"Lentes de STOCK")</f>
        <v>Lentes de STOCK</v>
      </c>
      <c r="E746" s="1" t="str">
        <f>IFERROR(__xludf.DUMMYFUNCTION("""COMPUTED_VALUE"""),"RIVADAVIA Daniel CM")</f>
        <v>RIVADAVIA Daniel CM</v>
      </c>
      <c r="F746" s="1" t="str">
        <f t="shared" si="1"/>
        <v>RIVADAVIA </v>
      </c>
      <c r="G746" s="1" t="str">
        <f t="shared" si="2"/>
        <v>Daniel CM</v>
      </c>
      <c r="H746" s="1" t="str">
        <f>IFERROR(__xludf.DUMMYFUNCTION("""COMPUTED_VALUE"""),"24/1/2023, 17:00:00")</f>
        <v>24/1/2023, 17:00:00</v>
      </c>
      <c r="I746" s="1" t="str">
        <f>IFERROR(__xludf.DUMMYFUNCTION("""COMPUTED_VALUE"""),"RETIRADO OK POR CLIENTE")</f>
        <v>RETIRADO OK POR CLIENTE</v>
      </c>
      <c r="J746" s="1">
        <f t="shared" si="3"/>
        <v>6</v>
      </c>
      <c r="K746" s="1" t="str">
        <f t="shared" si="4"/>
        <v>Entregamos tus lentes, que los disfrutes!</v>
      </c>
    </row>
    <row r="747">
      <c r="A747" s="1">
        <f>IFERROR(__xludf.DUMMYFUNCTION("""COMPUTED_VALUE"""),85297.0)</f>
        <v>85297</v>
      </c>
      <c r="B747" s="5">
        <f>IFERROR(__xludf.DUMMYFUNCTION("""COMPUTED_VALUE"""),44945.46688006945)</f>
        <v>44945.46688</v>
      </c>
      <c r="C747" s="1" t="str">
        <f>IFERROR(__xludf.DUMMYFUNCTION("""COMPUTED_VALUE"""),"MENDISABAL SUSANA")</f>
        <v>MENDISABAL SUSANA</v>
      </c>
      <c r="D747" s="1" t="str">
        <f>IFERROR(__xludf.DUMMYFUNCTION("""COMPUTED_VALUE"""),"Lentes de STOCK")</f>
        <v>Lentes de STOCK</v>
      </c>
      <c r="E747" s="1" t="str">
        <f>IFERROR(__xludf.DUMMYFUNCTION("""COMPUTED_VALUE"""),"RIVADAVIA Daniel CM")</f>
        <v>RIVADAVIA Daniel CM</v>
      </c>
      <c r="F747" s="1" t="str">
        <f t="shared" si="1"/>
        <v>RIVADAVIA </v>
      </c>
      <c r="G747" s="1" t="str">
        <f t="shared" si="2"/>
        <v>Daniel CM</v>
      </c>
      <c r="H747" s="1" t="str">
        <f>IFERROR(__xludf.DUMMYFUNCTION("""COMPUTED_VALUE"""),"24/1/2023, 17:00:00")</f>
        <v>24/1/2023, 17:00:00</v>
      </c>
      <c r="I747" s="1" t="str">
        <f>IFERROR(__xludf.DUMMYFUNCTION("""COMPUTED_VALUE"""),"RETIRADO OK POR CLIENTE")</f>
        <v>RETIRADO OK POR CLIENTE</v>
      </c>
      <c r="J747" s="1">
        <f t="shared" si="3"/>
        <v>6</v>
      </c>
      <c r="K747" s="1" t="str">
        <f t="shared" si="4"/>
        <v>Entregamos tus lentes, que los disfrutes!</v>
      </c>
    </row>
    <row r="748">
      <c r="A748" s="1">
        <f>IFERROR(__xludf.DUMMYFUNCTION("""COMPUTED_VALUE"""),85298.0)</f>
        <v>85298</v>
      </c>
      <c r="B748" s="5">
        <f>IFERROR(__xludf.DUMMYFUNCTION("""COMPUTED_VALUE"""),44945.4686255787)</f>
        <v>44945.46863</v>
      </c>
      <c r="C748" s="1" t="str">
        <f>IFERROR(__xludf.DUMMYFUNCTION("""COMPUTED_VALUE"""),"AGUILAR NURIA CRISTINA")</f>
        <v>AGUILAR NURIA CRISTINA</v>
      </c>
      <c r="D748" s="1" t="str">
        <f>IFERROR(__xludf.DUMMYFUNCTION("""COMPUTED_VALUE"""),"Lentes de STOCK")</f>
        <v>Lentes de STOCK</v>
      </c>
      <c r="E748" s="1" t="str">
        <f>IFERROR(__xludf.DUMMYFUNCTION("""COMPUTED_VALUE"""),"RIVADAVIA Marcela L")</f>
        <v>RIVADAVIA Marcela L</v>
      </c>
      <c r="F748" s="1" t="str">
        <f t="shared" si="1"/>
        <v>RIVADAVIA </v>
      </c>
      <c r="G748" s="1" t="str">
        <f t="shared" si="2"/>
        <v>Marcela L</v>
      </c>
      <c r="H748" s="1" t="str">
        <f>IFERROR(__xludf.DUMMYFUNCTION("""COMPUTED_VALUE"""),"24/1/2023, 17:00:00")</f>
        <v>24/1/2023, 17:00:00</v>
      </c>
      <c r="I748" s="1" t="str">
        <f>IFERROR(__xludf.DUMMYFUNCTION("""COMPUTED_VALUE"""),"RETIRADO OK POR CLIENTE")</f>
        <v>RETIRADO OK POR CLIENTE</v>
      </c>
      <c r="J748" s="1">
        <f t="shared" si="3"/>
        <v>6</v>
      </c>
      <c r="K748" s="1" t="str">
        <f t="shared" si="4"/>
        <v>Entregamos tus lentes, que los disfrutes!</v>
      </c>
    </row>
    <row r="749">
      <c r="A749" s="1">
        <f>IFERROR(__xludf.DUMMYFUNCTION("""COMPUTED_VALUE"""),85299.0)</f>
        <v>85299</v>
      </c>
      <c r="B749" s="5">
        <f>IFERROR(__xludf.DUMMYFUNCTION("""COMPUTED_VALUE"""),44945.471270486116)</f>
        <v>44945.47127</v>
      </c>
      <c r="C749" s="1" t="str">
        <f>IFERROR(__xludf.DUMMYFUNCTION("""COMPUTED_VALUE"""),"BARLOA MARISA")</f>
        <v>BARLOA MARISA</v>
      </c>
      <c r="D749" s="1" t="str">
        <f>IFERROR(__xludf.DUMMYFUNCTION("""COMPUTED_VALUE"""),"Lentes de STOCK")</f>
        <v>Lentes de STOCK</v>
      </c>
      <c r="E749" s="1" t="str">
        <f>IFERROR(__xludf.DUMMYFUNCTION("""COMPUTED_VALUE"""),"RIVADAVIA Luciana")</f>
        <v>RIVADAVIA Luciana</v>
      </c>
      <c r="F749" s="1" t="str">
        <f t="shared" si="1"/>
        <v>RIVADAVIA </v>
      </c>
      <c r="G749" s="1" t="str">
        <f t="shared" si="2"/>
        <v>Luciana</v>
      </c>
      <c r="H749" s="1" t="str">
        <f>IFERROR(__xludf.DUMMYFUNCTION("""COMPUTED_VALUE"""),"26/1/2023, 17:00:00")</f>
        <v>26/1/2023, 17:00:00</v>
      </c>
      <c r="I749" s="1" t="str">
        <f>IFERROR(__xludf.DUMMYFUNCTION("""COMPUTED_VALUE"""),"RETIRADO OK POR CLIENTE")</f>
        <v>RETIRADO OK POR CLIENTE</v>
      </c>
      <c r="J749" s="1">
        <f t="shared" si="3"/>
        <v>6</v>
      </c>
      <c r="K749" s="1" t="str">
        <f t="shared" si="4"/>
        <v>Entregamos tus lentes, que los disfrutes!</v>
      </c>
    </row>
    <row r="750">
      <c r="A750" s="1">
        <f>IFERROR(__xludf.DUMMYFUNCTION("""COMPUTED_VALUE"""),85300.0)</f>
        <v>85300</v>
      </c>
      <c r="B750" s="5">
        <f>IFERROR(__xludf.DUMMYFUNCTION("""COMPUTED_VALUE"""),44945.48635560185)</f>
        <v>44945.48636</v>
      </c>
      <c r="C750" s="1" t="str">
        <f>IFERROR(__xludf.DUMMYFUNCTION("""COMPUTED_VALUE"""),"PERSICO PATRICIA")</f>
        <v>PERSICO PATRICIA</v>
      </c>
      <c r="D750" s="1" t="str">
        <f>IFERROR(__xludf.DUMMYFUNCTION("""COMPUTED_VALUE"""),"Reparaciones/Otros")</f>
        <v>Reparaciones/Otros</v>
      </c>
      <c r="E750" s="1" t="str">
        <f>IFERROR(__xludf.DUMMYFUNCTION("""COMPUTED_VALUE"""),"ARTIGAS Cristian C.")</f>
        <v>ARTIGAS Cristian C.</v>
      </c>
      <c r="F750" s="1" t="str">
        <f t="shared" si="1"/>
        <v>ARTIGAS </v>
      </c>
      <c r="G750" s="1" t="str">
        <f t="shared" si="2"/>
        <v>Cristian C.</v>
      </c>
      <c r="H750" s="1" t="str">
        <f>IFERROR(__xludf.DUMMYFUNCTION("""COMPUTED_VALUE"""),"23/1/2023, 17:00:00")</f>
        <v>23/1/2023, 17:00:00</v>
      </c>
      <c r="I750" s="1" t="str">
        <f>IFERROR(__xludf.DUMMYFUNCTION("""COMPUTED_VALUE"""),"Recibido en Laboratorio")</f>
        <v>Recibido en Laboratorio</v>
      </c>
      <c r="J750" s="1">
        <f t="shared" si="3"/>
        <v>2</v>
      </c>
      <c r="K750" s="1" t="str">
        <f t="shared" si="4"/>
        <v>Nuestro Laboratorio esta trabajando en tus lentes, los entregaremos en la fecha acordada.</v>
      </c>
    </row>
    <row r="751">
      <c r="A751" s="1">
        <f>IFERROR(__xludf.DUMMYFUNCTION("""COMPUTED_VALUE"""),85301.0)</f>
        <v>85301</v>
      </c>
      <c r="B751" s="5">
        <f>IFERROR(__xludf.DUMMYFUNCTION("""COMPUTED_VALUE"""),44945.48776966435)</f>
        <v>44945.48777</v>
      </c>
      <c r="C751" s="1" t="str">
        <f>IFERROR(__xludf.DUMMYFUNCTION("""COMPUTED_VALUE"""),"LOPEZ SAMUEL ALEJANDRO")</f>
        <v>LOPEZ SAMUEL ALEJANDRO</v>
      </c>
      <c r="D751" s="1" t="str">
        <f>IFERROR(__xludf.DUMMYFUNCTION("""COMPUTED_VALUE"""),"Lentes de STOCK")</f>
        <v>Lentes de STOCK</v>
      </c>
      <c r="E751" s="1" t="str">
        <f>IFERROR(__xludf.DUMMYFUNCTION("""COMPUTED_VALUE"""),"RIVADAVIA Marcela L")</f>
        <v>RIVADAVIA Marcela L</v>
      </c>
      <c r="F751" s="1" t="str">
        <f t="shared" si="1"/>
        <v>RIVADAVIA </v>
      </c>
      <c r="G751" s="1" t="str">
        <f t="shared" si="2"/>
        <v>Marcela L</v>
      </c>
      <c r="H751" s="1" t="str">
        <f>IFERROR(__xludf.DUMMYFUNCTION("""COMPUTED_VALUE"""),"24/1/2023, 17:00:00")</f>
        <v>24/1/2023, 17:00:00</v>
      </c>
      <c r="I751" s="1" t="str">
        <f>IFERROR(__xludf.DUMMYFUNCTION("""COMPUTED_VALUE"""),"RETIRADO OK POR CLIENTE")</f>
        <v>RETIRADO OK POR CLIENTE</v>
      </c>
      <c r="J751" s="1">
        <f t="shared" si="3"/>
        <v>6</v>
      </c>
      <c r="K751" s="1" t="str">
        <f t="shared" si="4"/>
        <v>Entregamos tus lentes, que los disfrutes!</v>
      </c>
    </row>
    <row r="752">
      <c r="A752" s="1">
        <f>IFERROR(__xludf.DUMMYFUNCTION("""COMPUTED_VALUE"""),85302.0)</f>
        <v>85302</v>
      </c>
      <c r="B752" s="5">
        <f>IFERROR(__xludf.DUMMYFUNCTION("""COMPUTED_VALUE"""),44945.49112957176)</f>
        <v>44945.49113</v>
      </c>
      <c r="C752" s="1" t="str">
        <f>IFERROR(__xludf.DUMMYFUNCTION("""COMPUTED_VALUE"""),"ESPINOZA YESICA")</f>
        <v>ESPINOZA YESICA</v>
      </c>
      <c r="D752" s="1" t="str">
        <f>IFERROR(__xludf.DUMMYFUNCTION("""COMPUTED_VALUE"""),"Lentes de STOCK")</f>
        <v>Lentes de STOCK</v>
      </c>
      <c r="E752" s="1" t="str">
        <f>IFERROR(__xludf.DUMMYFUNCTION("""COMPUTED_VALUE"""),"RIVADAVIA Santiago LOPEZ")</f>
        <v>RIVADAVIA Santiago LOPEZ</v>
      </c>
      <c r="F752" s="1" t="str">
        <f t="shared" si="1"/>
        <v>RIVADAVIA </v>
      </c>
      <c r="G752" s="1" t="str">
        <f t="shared" si="2"/>
        <v>Santiago LOPEZ</v>
      </c>
      <c r="H752" s="1" t="str">
        <f>IFERROR(__xludf.DUMMYFUNCTION("""COMPUTED_VALUE"""),"24/1/2023, 17:00:00")</f>
        <v>24/1/2023, 17:00:00</v>
      </c>
      <c r="I752" s="1" t="str">
        <f>IFERROR(__xludf.DUMMYFUNCTION("""COMPUTED_VALUE"""),"Completado en SUCURSAL")</f>
        <v>Completado en SUCURSAL</v>
      </c>
      <c r="J752" s="1">
        <f t="shared" si="3"/>
        <v>5</v>
      </c>
      <c r="K752" s="1" t="str">
        <f t="shared" si="4"/>
        <v>Tus Lentes estan LISTAS PARA ENTREGAR, te esperamos.</v>
      </c>
    </row>
    <row r="753">
      <c r="A753" s="1">
        <f>IFERROR(__xludf.DUMMYFUNCTION("""COMPUTED_VALUE"""),85303.0)</f>
        <v>85303</v>
      </c>
      <c r="B753" s="5">
        <f>IFERROR(__xludf.DUMMYFUNCTION("""COMPUTED_VALUE"""),44945.49168799768)</f>
        <v>44945.49169</v>
      </c>
      <c r="C753" s="1" t="str">
        <f>IFERROR(__xludf.DUMMYFUNCTION("""COMPUTED_VALUE"""),"ROSALES ETER NOEMI")</f>
        <v>ROSALES ETER NOEMI</v>
      </c>
      <c r="D753" s="1" t="str">
        <f>IFERROR(__xludf.DUMMYFUNCTION("""COMPUTED_VALUE"""),"Reparaciones/Otros")</f>
        <v>Reparaciones/Otros</v>
      </c>
      <c r="E753" s="1" t="str">
        <f>IFERROR(__xludf.DUMMYFUNCTION("""COMPUTED_VALUE"""),"RIVADAVIA Marcela L")</f>
        <v>RIVADAVIA Marcela L</v>
      </c>
      <c r="F753" s="1" t="str">
        <f t="shared" si="1"/>
        <v>RIVADAVIA </v>
      </c>
      <c r="G753" s="1" t="str">
        <f t="shared" si="2"/>
        <v>Marcela L</v>
      </c>
      <c r="H753" s="1" t="str">
        <f>IFERROR(__xludf.DUMMYFUNCTION("""COMPUTED_VALUE"""),"21/1/2023, 17:00:00")</f>
        <v>21/1/2023, 17:00:00</v>
      </c>
      <c r="I753" s="1" t="str">
        <f>IFERROR(__xludf.DUMMYFUNCTION("""COMPUTED_VALUE"""),"Completado en SUCURSAL")</f>
        <v>Completado en SUCURSAL</v>
      </c>
      <c r="J753" s="1">
        <f t="shared" si="3"/>
        <v>5</v>
      </c>
      <c r="K753" s="1" t="str">
        <f t="shared" si="4"/>
        <v>Tus Lentes estan LISTAS PARA ENTREGAR, te esperamos.</v>
      </c>
    </row>
    <row r="754">
      <c r="A754" s="1">
        <f>IFERROR(__xludf.DUMMYFUNCTION("""COMPUTED_VALUE"""),85304.0)</f>
        <v>85304</v>
      </c>
      <c r="B754" s="5">
        <f>IFERROR(__xludf.DUMMYFUNCTION("""COMPUTED_VALUE"""),44945.49669219907)</f>
        <v>44945.49669</v>
      </c>
      <c r="C754" s="1" t="str">
        <f>IFERROR(__xludf.DUMMYFUNCTION("""COMPUTED_VALUE"""),"MIGUEL ANGEL ROMBOLA")</f>
        <v>MIGUEL ANGEL ROMBOLA</v>
      </c>
      <c r="D754" s="1" t="str">
        <f>IFERROR(__xludf.DUMMYFUNCTION("""COMPUTED_VALUE"""),"Lentes de STOCK")</f>
        <v>Lentes de STOCK</v>
      </c>
      <c r="E754" s="1" t="str">
        <f>IFERROR(__xludf.DUMMYFUNCTION("""COMPUTED_VALUE"""),"RIVADAVIA Santiago LOPEZ")</f>
        <v>RIVADAVIA Santiago LOPEZ</v>
      </c>
      <c r="F754" s="1" t="str">
        <f t="shared" si="1"/>
        <v>RIVADAVIA </v>
      </c>
      <c r="G754" s="1" t="str">
        <f t="shared" si="2"/>
        <v>Santiago LOPEZ</v>
      </c>
      <c r="H754" s="1" t="str">
        <f>IFERROR(__xludf.DUMMYFUNCTION("""COMPUTED_VALUE"""),"23/1/2023, 17:00:00")</f>
        <v>23/1/2023, 17:00:00</v>
      </c>
      <c r="I754" s="1" t="str">
        <f>IFERROR(__xludf.DUMMYFUNCTION("""COMPUTED_VALUE"""),"RETIRADO OK POR CLIENTE")</f>
        <v>RETIRADO OK POR CLIENTE</v>
      </c>
      <c r="J754" s="1">
        <f t="shared" si="3"/>
        <v>6</v>
      </c>
      <c r="K754" s="1" t="str">
        <f t="shared" si="4"/>
        <v>Entregamos tus lentes, que los disfrutes!</v>
      </c>
    </row>
    <row r="755">
      <c r="A755" s="1">
        <f>IFERROR(__xludf.DUMMYFUNCTION("""COMPUTED_VALUE"""),85305.0)</f>
        <v>85305</v>
      </c>
      <c r="B755" s="5">
        <f>IFERROR(__xludf.DUMMYFUNCTION("""COMPUTED_VALUE"""),44945.49806640046)</f>
        <v>44945.49807</v>
      </c>
      <c r="C755" s="1" t="str">
        <f>IFERROR(__xludf.DUMMYFUNCTION("""COMPUTED_VALUE"""),"HUERGA VALENTINA ")</f>
        <v>HUERGA VALENTINA </v>
      </c>
      <c r="D755" s="1" t="str">
        <f>IFERROR(__xludf.DUMMYFUNCTION("""COMPUTED_VALUE"""),"Lentes de STOCK")</f>
        <v>Lentes de STOCK</v>
      </c>
      <c r="E755" s="1" t="str">
        <f>IFERROR(__xludf.DUMMYFUNCTION("""COMPUTED_VALUE"""),"RIVADAVIA Santiago N")</f>
        <v>RIVADAVIA Santiago N</v>
      </c>
      <c r="F755" s="1" t="str">
        <f t="shared" si="1"/>
        <v>RIVADAVIA </v>
      </c>
      <c r="G755" s="1" t="str">
        <f t="shared" si="2"/>
        <v>Santiago N</v>
      </c>
      <c r="H755" s="1" t="str">
        <f>IFERROR(__xludf.DUMMYFUNCTION("""COMPUTED_VALUE"""),"23/1/2023, 17:00:00")</f>
        <v>23/1/2023, 17:00:00</v>
      </c>
      <c r="I755" s="1">
        <f>IFERROR(__xludf.DUMMYFUNCTION("""COMPUTED_VALUE"""),0.0)</f>
        <v>0</v>
      </c>
      <c r="J755" s="1">
        <f t="shared" si="3"/>
        <v>0</v>
      </c>
      <c r="K755" s="1" t="str">
        <f t="shared" si="4"/>
        <v/>
      </c>
    </row>
    <row r="756">
      <c r="A756" s="1">
        <f>IFERROR(__xludf.DUMMYFUNCTION("""COMPUTED_VALUE"""),85306.0)</f>
        <v>85306</v>
      </c>
      <c r="B756" s="5">
        <f>IFERROR(__xludf.DUMMYFUNCTION("""COMPUTED_VALUE"""),44945.50138587963)</f>
        <v>44945.50139</v>
      </c>
      <c r="C756" s="1" t="str">
        <f>IFERROR(__xludf.DUMMYFUNCTION("""COMPUTED_VALUE"""),"PUSCAMO, SUSANA RAMONA")</f>
        <v>PUSCAMO, SUSANA RAMONA</v>
      </c>
      <c r="D756" s="1" t="str">
        <f>IFERROR(__xludf.DUMMYFUNCTION("""COMPUTED_VALUE"""),"Lentes de STOCK")</f>
        <v>Lentes de STOCK</v>
      </c>
      <c r="E756" s="1" t="str">
        <f>IFERROR(__xludf.DUMMYFUNCTION("""COMPUTED_VALUE"""),"RIVADAVIA Santiago LOPEZ")</f>
        <v>RIVADAVIA Santiago LOPEZ</v>
      </c>
      <c r="F756" s="1" t="str">
        <f t="shared" si="1"/>
        <v>RIVADAVIA </v>
      </c>
      <c r="G756" s="1" t="str">
        <f t="shared" si="2"/>
        <v>Santiago LOPEZ</v>
      </c>
      <c r="H756" s="1" t="str">
        <f>IFERROR(__xludf.DUMMYFUNCTION("""COMPUTED_VALUE"""),"23/1/2023, 17:00:00")</f>
        <v>23/1/2023, 17:00:00</v>
      </c>
      <c r="I756" s="1" t="str">
        <f>IFERROR(__xludf.DUMMYFUNCTION("""COMPUTED_VALUE"""),"Enviado a Sucursal")</f>
        <v>Enviado a Sucursal</v>
      </c>
      <c r="J756" s="1">
        <f t="shared" si="3"/>
        <v>4</v>
      </c>
      <c r="K756" s="1" t="str">
        <f t="shared" si="4"/>
        <v>Tus lentes estan viajando a la sucursal para su entrega.</v>
      </c>
    </row>
    <row r="757">
      <c r="A757" s="1">
        <f>IFERROR(__xludf.DUMMYFUNCTION("""COMPUTED_VALUE"""),85307.0)</f>
        <v>85307</v>
      </c>
      <c r="B757" s="5">
        <f>IFERROR(__xludf.DUMMYFUNCTION("""COMPUTED_VALUE"""),44945.50191119213)</f>
        <v>44945.50191</v>
      </c>
      <c r="C757" s="1" t="str">
        <f>IFERROR(__xludf.DUMMYFUNCTION("""COMPUTED_VALUE"""),"GIL MARTA ")</f>
        <v>GIL MARTA </v>
      </c>
      <c r="D757" s="1" t="str">
        <f>IFERROR(__xludf.DUMMYFUNCTION("""COMPUTED_VALUE"""),"Lentes de STOCK")</f>
        <v>Lentes de STOCK</v>
      </c>
      <c r="E757" s="1" t="str">
        <f>IFERROR(__xludf.DUMMYFUNCTION("""COMPUTED_VALUE"""),"RIVADAVIA Luciana")</f>
        <v>RIVADAVIA Luciana</v>
      </c>
      <c r="F757" s="1" t="str">
        <f t="shared" si="1"/>
        <v>RIVADAVIA </v>
      </c>
      <c r="G757" s="1" t="str">
        <f t="shared" si="2"/>
        <v>Luciana</v>
      </c>
      <c r="H757" s="1" t="str">
        <f>IFERROR(__xludf.DUMMYFUNCTION("""COMPUTED_VALUE"""),"26/1/2023, 17:00:00")</f>
        <v>26/1/2023, 17:00:00</v>
      </c>
      <c r="I757" s="1" t="str">
        <f>IFERROR(__xludf.DUMMYFUNCTION("""COMPUTED_VALUE"""),"RETIRADO OK POR CLIENTE")</f>
        <v>RETIRADO OK POR CLIENTE</v>
      </c>
      <c r="J757" s="1">
        <f t="shared" si="3"/>
        <v>6</v>
      </c>
      <c r="K757" s="1" t="str">
        <f t="shared" si="4"/>
        <v>Entregamos tus lentes, que los disfrutes!</v>
      </c>
    </row>
    <row r="758">
      <c r="A758" s="1">
        <f>IFERROR(__xludf.DUMMYFUNCTION("""COMPUTED_VALUE"""),85308.0)</f>
        <v>85308</v>
      </c>
      <c r="B758" s="5">
        <f>IFERROR(__xludf.DUMMYFUNCTION("""COMPUTED_VALUE"""),44945.50399815972)</f>
        <v>44945.504</v>
      </c>
      <c r="C758" s="1" t="str">
        <f>IFERROR(__xludf.DUMMYFUNCTION("""COMPUTED_VALUE"""),"VILLEGAS OSCAR")</f>
        <v>VILLEGAS OSCAR</v>
      </c>
      <c r="D758" s="1" t="str">
        <f>IFERROR(__xludf.DUMMYFUNCTION("""COMPUTED_VALUE"""),"Lentes de STOCK")</f>
        <v>Lentes de STOCK</v>
      </c>
      <c r="E758" s="1" t="str">
        <f>IFERROR(__xludf.DUMMYFUNCTION("""COMPUTED_VALUE"""),"ARTIGAS Ivana P.")</f>
        <v>ARTIGAS Ivana P.</v>
      </c>
      <c r="F758" s="1" t="str">
        <f t="shared" si="1"/>
        <v>ARTIGAS </v>
      </c>
      <c r="G758" s="1" t="str">
        <f t="shared" si="2"/>
        <v>Ivana P.</v>
      </c>
      <c r="H758" s="1" t="str">
        <f>IFERROR(__xludf.DUMMYFUNCTION("""COMPUTED_VALUE"""),"24/1/2023, 17:00:00")</f>
        <v>24/1/2023, 17:00:00</v>
      </c>
      <c r="I758" s="1" t="str">
        <f>IFERROR(__xludf.DUMMYFUNCTION("""COMPUTED_VALUE"""),"Completado en SUCURSAL")</f>
        <v>Completado en SUCURSAL</v>
      </c>
      <c r="J758" s="1">
        <f t="shared" si="3"/>
        <v>5</v>
      </c>
      <c r="K758" s="1" t="str">
        <f t="shared" si="4"/>
        <v>Tus Lentes estan LISTAS PARA ENTREGAR, te esperamos.</v>
      </c>
    </row>
    <row r="759">
      <c r="A759" s="1">
        <f>IFERROR(__xludf.DUMMYFUNCTION("""COMPUTED_VALUE"""),85309.0)</f>
        <v>85309</v>
      </c>
      <c r="B759" s="5">
        <f>IFERROR(__xludf.DUMMYFUNCTION("""COMPUTED_VALUE"""),44945.5164871875)</f>
        <v>44945.51649</v>
      </c>
      <c r="C759" s="1" t="str">
        <f>IFERROR(__xludf.DUMMYFUNCTION("""COMPUTED_VALUE"""),"MOLINA AGUSTINA")</f>
        <v>MOLINA AGUSTINA</v>
      </c>
      <c r="D759" s="1" t="str">
        <f>IFERROR(__xludf.DUMMYFUNCTION("""COMPUTED_VALUE"""),"Lentes de STOCK")</f>
        <v>Lentes de STOCK</v>
      </c>
      <c r="E759" s="1" t="str">
        <f>IFERROR(__xludf.DUMMYFUNCTION("""COMPUTED_VALUE"""),"RIVADAVIA Luciana")</f>
        <v>RIVADAVIA Luciana</v>
      </c>
      <c r="F759" s="1" t="str">
        <f t="shared" si="1"/>
        <v>RIVADAVIA </v>
      </c>
      <c r="G759" s="1" t="str">
        <f t="shared" si="2"/>
        <v>Luciana</v>
      </c>
      <c r="H759" s="1" t="str">
        <f>IFERROR(__xludf.DUMMYFUNCTION("""COMPUTED_VALUE"""),"26/1/2023, 17:00:00")</f>
        <v>26/1/2023, 17:00:00</v>
      </c>
      <c r="I759" s="1" t="str">
        <f>IFERROR(__xludf.DUMMYFUNCTION("""COMPUTED_VALUE"""),"RETIRADO OK POR CLIENTE")</f>
        <v>RETIRADO OK POR CLIENTE</v>
      </c>
      <c r="J759" s="1">
        <f t="shared" si="3"/>
        <v>6</v>
      </c>
      <c r="K759" s="1" t="str">
        <f t="shared" si="4"/>
        <v>Entregamos tus lentes, que los disfrutes!</v>
      </c>
    </row>
    <row r="760">
      <c r="A760" s="1">
        <f>IFERROR(__xludf.DUMMYFUNCTION("""COMPUTED_VALUE"""),85310.0)</f>
        <v>85310</v>
      </c>
      <c r="B760" s="5">
        <f>IFERROR(__xludf.DUMMYFUNCTION("""COMPUTED_VALUE"""),44945.51705181713)</f>
        <v>44945.51705</v>
      </c>
      <c r="C760" s="1" t="str">
        <f>IFERROR(__xludf.DUMMYFUNCTION("""COMPUTED_VALUE"""),"GATICA ZAPATA ADRIEL AUSTIN")</f>
        <v>GATICA ZAPATA ADRIEL AUSTIN</v>
      </c>
      <c r="D760" s="1" t="str">
        <f>IFERROR(__xludf.DUMMYFUNCTION("""COMPUTED_VALUE"""),"Lentes de STOCK")</f>
        <v>Lentes de STOCK</v>
      </c>
      <c r="E760" s="1" t="str">
        <f>IFERROR(__xludf.DUMMYFUNCTION("""COMPUTED_VALUE"""),"RIVADAVIA Marcela L")</f>
        <v>RIVADAVIA Marcela L</v>
      </c>
      <c r="F760" s="1" t="str">
        <f t="shared" si="1"/>
        <v>RIVADAVIA </v>
      </c>
      <c r="G760" s="1" t="str">
        <f t="shared" si="2"/>
        <v>Marcela L</v>
      </c>
      <c r="H760" s="1" t="str">
        <f>IFERROR(__xludf.DUMMYFUNCTION("""COMPUTED_VALUE"""),"25/1/2023, 17:00:00")</f>
        <v>25/1/2023, 17:00:00</v>
      </c>
      <c r="I760" s="1" t="str">
        <f>IFERROR(__xludf.DUMMYFUNCTION("""COMPUTED_VALUE"""),"RETIRADO OK POR CLIENTE")</f>
        <v>RETIRADO OK POR CLIENTE</v>
      </c>
      <c r="J760" s="1">
        <f t="shared" si="3"/>
        <v>6</v>
      </c>
      <c r="K760" s="1" t="str">
        <f t="shared" si="4"/>
        <v>Entregamos tus lentes, que los disfrutes!</v>
      </c>
    </row>
    <row r="761">
      <c r="A761" s="1">
        <f>IFERROR(__xludf.DUMMYFUNCTION("""COMPUTED_VALUE"""),85311.0)</f>
        <v>85311</v>
      </c>
      <c r="B761" s="5">
        <f>IFERROR(__xludf.DUMMYFUNCTION("""COMPUTED_VALUE"""),44945.54384252315)</f>
        <v>44945.54384</v>
      </c>
      <c r="C761" s="1" t="str">
        <f>IFERROR(__xludf.DUMMYFUNCTION("""COMPUTED_VALUE"""),"lucero faustina")</f>
        <v>lucero faustina</v>
      </c>
      <c r="D761" s="1" t="str">
        <f>IFERROR(__xludf.DUMMYFUNCTION("""COMPUTED_VALUE"""),"Lentes de STOCK")</f>
        <v>Lentes de STOCK</v>
      </c>
      <c r="E761" s="1" t="str">
        <f>IFERROR(__xludf.DUMMYFUNCTION("""COMPUTED_VALUE"""),"RIVADAVIA Daniel CM")</f>
        <v>RIVADAVIA Daniel CM</v>
      </c>
      <c r="F761" s="1" t="str">
        <f t="shared" si="1"/>
        <v>RIVADAVIA </v>
      </c>
      <c r="G761" s="1" t="str">
        <f t="shared" si="2"/>
        <v>Daniel CM</v>
      </c>
      <c r="H761" s="1" t="str">
        <f>IFERROR(__xludf.DUMMYFUNCTION("""COMPUTED_VALUE"""),"23/1/2023, 17:00:00")</f>
        <v>23/1/2023, 17:00:00</v>
      </c>
      <c r="I761" s="1" t="str">
        <f>IFERROR(__xludf.DUMMYFUNCTION("""COMPUTED_VALUE"""),"Completado en SUCURSAL")</f>
        <v>Completado en SUCURSAL</v>
      </c>
      <c r="J761" s="1">
        <f t="shared" si="3"/>
        <v>5</v>
      </c>
      <c r="K761" s="1" t="str">
        <f t="shared" si="4"/>
        <v>Tus Lentes estan LISTAS PARA ENTREGAR, te esperamos.</v>
      </c>
    </row>
    <row r="762">
      <c r="A762" s="1">
        <f>IFERROR(__xludf.DUMMYFUNCTION("""COMPUTED_VALUE"""),85312.0)</f>
        <v>85312</v>
      </c>
      <c r="B762" s="5">
        <f>IFERROR(__xludf.DUMMYFUNCTION("""COMPUTED_VALUE"""),44945.55440707176)</f>
        <v>44945.55441</v>
      </c>
      <c r="C762" s="1" t="str">
        <f>IFERROR(__xludf.DUMMYFUNCTION("""COMPUTED_VALUE"""),"OLIVERA CARLOS / DE LA TOMA")</f>
        <v>OLIVERA CARLOS / DE LA TOMA</v>
      </c>
      <c r="D762" s="1" t="str">
        <f>IFERROR(__xludf.DUMMYFUNCTION("""COMPUTED_VALUE"""),"Lentes BIFOCALES")</f>
        <v>Lentes BIFOCALES</v>
      </c>
      <c r="E762" s="1" t="str">
        <f>IFERROR(__xludf.DUMMYFUNCTION("""COMPUTED_VALUE"""),"ARTIGAS Ivana P.")</f>
        <v>ARTIGAS Ivana P.</v>
      </c>
      <c r="F762" s="1" t="str">
        <f t="shared" si="1"/>
        <v>ARTIGAS </v>
      </c>
      <c r="G762" s="1" t="str">
        <f t="shared" si="2"/>
        <v>Ivana P.</v>
      </c>
      <c r="H762" s="1" t="str">
        <f>IFERROR(__xludf.DUMMYFUNCTION("""COMPUTED_VALUE"""),"25/1/2023, 17:00:00")</f>
        <v>25/1/2023, 17:00:00</v>
      </c>
      <c r="I762" s="1" t="str">
        <f>IFERROR(__xludf.DUMMYFUNCTION("""COMPUTED_VALUE"""),"RETIRADO OK POR CLIENTE")</f>
        <v>RETIRADO OK POR CLIENTE</v>
      </c>
      <c r="J762" s="1">
        <f t="shared" si="3"/>
        <v>6</v>
      </c>
      <c r="K762" s="1" t="str">
        <f t="shared" si="4"/>
        <v>Entregamos tus lentes, que los disfrutes!</v>
      </c>
    </row>
    <row r="763">
      <c r="A763" s="1">
        <f>IFERROR(__xludf.DUMMYFUNCTION("""COMPUTED_VALUE"""),85313.0)</f>
        <v>85313</v>
      </c>
      <c r="B763" s="5">
        <f>IFERROR(__xludf.DUMMYFUNCTION("""COMPUTED_VALUE"""),44945.56967793981)</f>
        <v>44945.56968</v>
      </c>
      <c r="C763" s="1" t="str">
        <f>IFERROR(__xludf.DUMMYFUNCTION("""COMPUTED_VALUE"""),"SORTINO AGUSTIN DANIEL")</f>
        <v>SORTINO AGUSTIN DANIEL</v>
      </c>
      <c r="D763" s="1" t="str">
        <f>IFERROR(__xludf.DUMMYFUNCTION("""COMPUTED_VALUE"""),"Lentes de STOCK")</f>
        <v>Lentes de STOCK</v>
      </c>
      <c r="E763" s="1" t="str">
        <f>IFERROR(__xludf.DUMMYFUNCTION("""COMPUTED_VALUE"""),"RIVADAVIA Marcela L")</f>
        <v>RIVADAVIA Marcela L</v>
      </c>
      <c r="F763" s="1" t="str">
        <f t="shared" si="1"/>
        <v>RIVADAVIA </v>
      </c>
      <c r="G763" s="1" t="str">
        <f t="shared" si="2"/>
        <v>Marcela L</v>
      </c>
      <c r="H763" s="1" t="str">
        <f>IFERROR(__xludf.DUMMYFUNCTION("""COMPUTED_VALUE"""),"25/1/2023, 17:00:00")</f>
        <v>25/1/2023, 17:00:00</v>
      </c>
      <c r="I763" s="1" t="str">
        <f>IFERROR(__xludf.DUMMYFUNCTION("""COMPUTED_VALUE"""),"Completado en SUCURSAL")</f>
        <v>Completado en SUCURSAL</v>
      </c>
      <c r="J763" s="1">
        <f t="shared" si="3"/>
        <v>5</v>
      </c>
      <c r="K763" s="1" t="str">
        <f t="shared" si="4"/>
        <v>Tus Lentes estan LISTAS PARA ENTREGAR, te esperamos.</v>
      </c>
    </row>
    <row r="764">
      <c r="A764" s="1">
        <f>IFERROR(__xludf.DUMMYFUNCTION("""COMPUTED_VALUE"""),85314.0)</f>
        <v>85314</v>
      </c>
      <c r="B764" s="5">
        <f>IFERROR(__xludf.DUMMYFUNCTION("""COMPUTED_VALUE"""),44945.5713972338)</f>
        <v>44945.5714</v>
      </c>
      <c r="C764" s="1" t="str">
        <f>IFERROR(__xludf.DUMMYFUNCTION("""COMPUTED_VALUE"""),"SORTINO CRISTIAN DANIEL")</f>
        <v>SORTINO CRISTIAN DANIEL</v>
      </c>
      <c r="D764" s="1" t="str">
        <f>IFERROR(__xludf.DUMMYFUNCTION("""COMPUTED_VALUE"""),"Lentes de STOCK")</f>
        <v>Lentes de STOCK</v>
      </c>
      <c r="E764" s="1" t="str">
        <f>IFERROR(__xludf.DUMMYFUNCTION("""COMPUTED_VALUE"""),"RIVADAVIA Marcela L")</f>
        <v>RIVADAVIA Marcela L</v>
      </c>
      <c r="F764" s="1" t="str">
        <f t="shared" si="1"/>
        <v>RIVADAVIA </v>
      </c>
      <c r="G764" s="1" t="str">
        <f t="shared" si="2"/>
        <v>Marcela L</v>
      </c>
      <c r="H764" s="1" t="str">
        <f>IFERROR(__xludf.DUMMYFUNCTION("""COMPUTED_VALUE"""),"25/1/2023, 17:00:00")</f>
        <v>25/1/2023, 17:00:00</v>
      </c>
      <c r="I764" s="1" t="str">
        <f>IFERROR(__xludf.DUMMYFUNCTION("""COMPUTED_VALUE"""),"RETIRADO OK POR CLIENTE")</f>
        <v>RETIRADO OK POR CLIENTE</v>
      </c>
      <c r="J764" s="1">
        <f t="shared" si="3"/>
        <v>6</v>
      </c>
      <c r="K764" s="1" t="str">
        <f t="shared" si="4"/>
        <v>Entregamos tus lentes, que los disfrutes!</v>
      </c>
    </row>
    <row r="765">
      <c r="A765" s="1">
        <f>IFERROR(__xludf.DUMMYFUNCTION("""COMPUTED_VALUE"""),85315.0)</f>
        <v>85315</v>
      </c>
      <c r="B765" s="5">
        <f>IFERROR(__xludf.DUMMYFUNCTION("""COMPUTED_VALUE"""),44945.71695215278)</f>
        <v>44945.71695</v>
      </c>
      <c r="C765" s="1" t="str">
        <f>IFERROR(__xludf.DUMMYFUNCTION("""COMPUTED_VALUE"""),"OCHOA JULIO ANDRES")</f>
        <v>OCHOA JULIO ANDRES</v>
      </c>
      <c r="D765" s="1" t="str">
        <f>IFERROR(__xludf.DUMMYFUNCTION("""COMPUTED_VALUE"""),"Lentes de STOCK")</f>
        <v>Lentes de STOCK</v>
      </c>
      <c r="E765" s="1" t="str">
        <f>IFERROR(__xludf.DUMMYFUNCTION("""COMPUTED_VALUE"""),"RIVADAVIA Daniel CM")</f>
        <v>RIVADAVIA Daniel CM</v>
      </c>
      <c r="F765" s="1" t="str">
        <f t="shared" si="1"/>
        <v>RIVADAVIA </v>
      </c>
      <c r="G765" s="1" t="str">
        <f t="shared" si="2"/>
        <v>Daniel CM</v>
      </c>
      <c r="H765" s="1" t="str">
        <f>IFERROR(__xludf.DUMMYFUNCTION("""COMPUTED_VALUE"""),"23/1/2023, 17:00:00")</f>
        <v>23/1/2023, 17:00:00</v>
      </c>
      <c r="I765" s="1" t="str">
        <f>IFERROR(__xludf.DUMMYFUNCTION("""COMPUTED_VALUE"""),"Completado en SUCURSAL")</f>
        <v>Completado en SUCURSAL</v>
      </c>
      <c r="J765" s="1">
        <f t="shared" si="3"/>
        <v>5</v>
      </c>
      <c r="K765" s="1" t="str">
        <f t="shared" si="4"/>
        <v>Tus Lentes estan LISTAS PARA ENTREGAR, te esperamos.</v>
      </c>
    </row>
    <row r="766">
      <c r="A766" s="1">
        <f>IFERROR(__xludf.DUMMYFUNCTION("""COMPUTED_VALUE"""),85316.0)</f>
        <v>85316</v>
      </c>
      <c r="B766" s="5">
        <f>IFERROR(__xludf.DUMMYFUNCTION("""COMPUTED_VALUE"""),44945.719778032406)</f>
        <v>44945.71978</v>
      </c>
      <c r="C766" s="1" t="str">
        <f>IFERROR(__xludf.DUMMYFUNCTION("""COMPUTED_VALUE"""),"PONCE ESTELA MARIS")</f>
        <v>PONCE ESTELA MARIS</v>
      </c>
      <c r="D766" s="1" t="str">
        <f>IFERROR(__xludf.DUMMYFUNCTION("""COMPUTED_VALUE"""),"Lentes de STOCK")</f>
        <v>Lentes de STOCK</v>
      </c>
      <c r="E766" s="1" t="str">
        <f>IFERROR(__xludf.DUMMYFUNCTION("""COMPUTED_VALUE"""),"ARTIGAS Cristian C.")</f>
        <v>ARTIGAS Cristian C.</v>
      </c>
      <c r="F766" s="1" t="str">
        <f t="shared" si="1"/>
        <v>ARTIGAS </v>
      </c>
      <c r="G766" s="1" t="str">
        <f t="shared" si="2"/>
        <v>Cristian C.</v>
      </c>
      <c r="H766" s="1" t="str">
        <f>IFERROR(__xludf.DUMMYFUNCTION("""COMPUTED_VALUE"""),"25/1/2023, 17:00:00")</f>
        <v>25/1/2023, 17:00:00</v>
      </c>
      <c r="I766" s="1" t="str">
        <f>IFERROR(__xludf.DUMMYFUNCTION("""COMPUTED_VALUE"""),"RETIRADO OK POR CLIENTE")</f>
        <v>RETIRADO OK POR CLIENTE</v>
      </c>
      <c r="J766" s="1">
        <f t="shared" si="3"/>
        <v>6</v>
      </c>
      <c r="K766" s="1" t="str">
        <f t="shared" si="4"/>
        <v>Entregamos tus lentes, que los disfrutes!</v>
      </c>
    </row>
    <row r="767">
      <c r="A767" s="1">
        <f>IFERROR(__xludf.DUMMYFUNCTION("""COMPUTED_VALUE"""),85317.0)</f>
        <v>85317</v>
      </c>
      <c r="B767" s="5">
        <f>IFERROR(__xludf.DUMMYFUNCTION("""COMPUTED_VALUE"""),44945.75462662037)</f>
        <v>44945.75463</v>
      </c>
      <c r="C767" s="1" t="str">
        <f>IFERROR(__xludf.DUMMYFUNCTION("""COMPUTED_VALUE"""),"RIOS HECTOR")</f>
        <v>RIOS HECTOR</v>
      </c>
      <c r="D767" s="1" t="str">
        <f>IFERROR(__xludf.DUMMYFUNCTION("""COMPUTED_VALUE"""),"Lentes BIFOCALES")</f>
        <v>Lentes BIFOCALES</v>
      </c>
      <c r="E767" s="1" t="str">
        <f>IFERROR(__xludf.DUMMYFUNCTION("""COMPUTED_VALUE"""),"ARTIGAS Ivana P.")</f>
        <v>ARTIGAS Ivana P.</v>
      </c>
      <c r="F767" s="1" t="str">
        <f t="shared" si="1"/>
        <v>ARTIGAS </v>
      </c>
      <c r="G767" s="1" t="str">
        <f t="shared" si="2"/>
        <v>Ivana P.</v>
      </c>
      <c r="H767" s="1" t="str">
        <f>IFERROR(__xludf.DUMMYFUNCTION("""COMPUTED_VALUE"""),"28/1/2023, 17:00:00")</f>
        <v>28/1/2023, 17:00:00</v>
      </c>
      <c r="I767" s="1" t="str">
        <f>IFERROR(__xludf.DUMMYFUNCTION("""COMPUTED_VALUE"""),"RETIRADO OK POR CLIENTE")</f>
        <v>RETIRADO OK POR CLIENTE</v>
      </c>
      <c r="J767" s="1">
        <f t="shared" si="3"/>
        <v>6</v>
      </c>
      <c r="K767" s="1" t="str">
        <f t="shared" si="4"/>
        <v>Entregamos tus lentes, que los disfrutes!</v>
      </c>
    </row>
    <row r="768">
      <c r="A768" s="1">
        <f>IFERROR(__xludf.DUMMYFUNCTION("""COMPUTED_VALUE"""),85318.0)</f>
        <v>85318</v>
      </c>
      <c r="B768" s="5">
        <f>IFERROR(__xludf.DUMMYFUNCTION("""COMPUTED_VALUE"""),44945.78304646991)</f>
        <v>44945.78305</v>
      </c>
      <c r="C768" s="1" t="str">
        <f>IFERROR(__xludf.DUMMYFUNCTION("""COMPUTED_VALUE"""),"LUCERO NORMA RITA")</f>
        <v>LUCERO NORMA RITA</v>
      </c>
      <c r="D768" s="1" t="str">
        <f>IFERROR(__xludf.DUMMYFUNCTION("""COMPUTED_VALUE"""),"Lentes de STOCK")</f>
        <v>Lentes de STOCK</v>
      </c>
      <c r="E768" s="1" t="str">
        <f>IFERROR(__xludf.DUMMYFUNCTION("""COMPUTED_VALUE"""),"ARTIGAS Cristian C.")</f>
        <v>ARTIGAS Cristian C.</v>
      </c>
      <c r="F768" s="1" t="str">
        <f t="shared" si="1"/>
        <v>ARTIGAS </v>
      </c>
      <c r="G768" s="1" t="str">
        <f t="shared" si="2"/>
        <v>Cristian C.</v>
      </c>
      <c r="H768" s="1" t="str">
        <f>IFERROR(__xludf.DUMMYFUNCTION("""COMPUTED_VALUE"""),"26/1/2023, 17:00:00")</f>
        <v>26/1/2023, 17:00:00</v>
      </c>
      <c r="I768" s="1" t="str">
        <f>IFERROR(__xludf.DUMMYFUNCTION("""COMPUTED_VALUE"""),"En Armado Hoy")</f>
        <v>En Armado Hoy</v>
      </c>
      <c r="J768" s="1">
        <f t="shared" si="3"/>
        <v>3</v>
      </c>
      <c r="K768" s="1" t="str">
        <f t="shared" si="4"/>
        <v>Estamos terminando los ultimos detalles de tus lentes, los terminaremos el dia de hoy.</v>
      </c>
    </row>
    <row r="769">
      <c r="A769" s="1">
        <f>IFERROR(__xludf.DUMMYFUNCTION("""COMPUTED_VALUE"""),85319.0)</f>
        <v>85319</v>
      </c>
      <c r="B769" s="5">
        <f>IFERROR(__xludf.DUMMYFUNCTION("""COMPUTED_VALUE"""),44945.78456306713)</f>
        <v>44945.78456</v>
      </c>
      <c r="C769" s="1" t="str">
        <f>IFERROR(__xludf.DUMMYFUNCTION("""COMPUTED_VALUE"""),"LUCERO PALOMA LIZ ")</f>
        <v>LUCERO PALOMA LIZ </v>
      </c>
      <c r="D769" s="1" t="str">
        <f>IFERROR(__xludf.DUMMYFUNCTION("""COMPUTED_VALUE"""),"Lentes de STOCK")</f>
        <v>Lentes de STOCK</v>
      </c>
      <c r="E769" s="1" t="str">
        <f>IFERROR(__xludf.DUMMYFUNCTION("""COMPUTED_VALUE"""),"ARTIGAS Cristian C.")</f>
        <v>ARTIGAS Cristian C.</v>
      </c>
      <c r="F769" s="1" t="str">
        <f t="shared" si="1"/>
        <v>ARTIGAS </v>
      </c>
      <c r="G769" s="1" t="str">
        <f t="shared" si="2"/>
        <v>Cristian C.</v>
      </c>
      <c r="H769" s="1" t="str">
        <f>IFERROR(__xludf.DUMMYFUNCTION("""COMPUTED_VALUE"""),"26/1/2023, 17:00:00")</f>
        <v>26/1/2023, 17:00:00</v>
      </c>
      <c r="I769" s="1" t="str">
        <f>IFERROR(__xludf.DUMMYFUNCTION("""COMPUTED_VALUE"""),"Completado en SUCURSAL")</f>
        <v>Completado en SUCURSAL</v>
      </c>
      <c r="J769" s="1">
        <f t="shared" si="3"/>
        <v>5</v>
      </c>
      <c r="K769" s="1" t="str">
        <f t="shared" si="4"/>
        <v>Tus Lentes estan LISTAS PARA ENTREGAR, te esperamos.</v>
      </c>
    </row>
    <row r="770">
      <c r="A770" s="1">
        <f>IFERROR(__xludf.DUMMYFUNCTION("""COMPUTED_VALUE"""),85320.0)</f>
        <v>85320</v>
      </c>
      <c r="B770" s="5">
        <f>IFERROR(__xludf.DUMMYFUNCTION("""COMPUTED_VALUE"""),44945.79842413194)</f>
        <v>44945.79842</v>
      </c>
      <c r="C770" s="1" t="str">
        <f>IFERROR(__xludf.DUMMYFUNCTION("""COMPUTED_VALUE"""),"VIDELA EDUARDO")</f>
        <v>VIDELA EDUARDO</v>
      </c>
      <c r="D770" s="1" t="str">
        <f>IFERROR(__xludf.DUMMYFUNCTION("""COMPUTED_VALUE"""),"Reparaciones/Otros")</f>
        <v>Reparaciones/Otros</v>
      </c>
      <c r="E770" s="1" t="str">
        <f>IFERROR(__xludf.DUMMYFUNCTION("""COMPUTED_VALUE"""),"ARTIGAS Cristian C.")</f>
        <v>ARTIGAS Cristian C.</v>
      </c>
      <c r="F770" s="1" t="str">
        <f t="shared" si="1"/>
        <v>ARTIGAS </v>
      </c>
      <c r="G770" s="1" t="str">
        <f t="shared" si="2"/>
        <v>Cristian C.</v>
      </c>
      <c r="H770" s="1" t="str">
        <f>IFERROR(__xludf.DUMMYFUNCTION("""COMPUTED_VALUE"""),"24/1/2023, 17:00:00")</f>
        <v>24/1/2023, 17:00:00</v>
      </c>
      <c r="I770" s="1" t="str">
        <f>IFERROR(__xludf.DUMMYFUNCTION("""COMPUTED_VALUE"""),"Completado en SUCURSAL")</f>
        <v>Completado en SUCURSAL</v>
      </c>
      <c r="J770" s="1">
        <f t="shared" si="3"/>
        <v>5</v>
      </c>
      <c r="K770" s="1" t="str">
        <f t="shared" si="4"/>
        <v>Tus Lentes estan LISTAS PARA ENTREGAR, te esperamos.</v>
      </c>
    </row>
    <row r="771">
      <c r="A771" s="1">
        <f>IFERROR(__xludf.DUMMYFUNCTION("""COMPUTED_VALUE"""),85321.0)</f>
        <v>85321</v>
      </c>
      <c r="B771" s="5">
        <f>IFERROR(__xludf.DUMMYFUNCTION("""COMPUTED_VALUE"""),44945.79885756945)</f>
        <v>44945.79886</v>
      </c>
      <c r="C771" s="1" t="str">
        <f>IFERROR(__xludf.DUMMYFUNCTION("""COMPUTED_VALUE"""),"BIALUSKI CECILIA")</f>
        <v>BIALUSKI CECILIA</v>
      </c>
      <c r="D771" s="1" t="str">
        <f>IFERROR(__xludf.DUMMYFUNCTION("""COMPUTED_VALUE"""),"Lentes de STOCK")</f>
        <v>Lentes de STOCK</v>
      </c>
      <c r="E771" s="1" t="str">
        <f>IFERROR(__xludf.DUMMYFUNCTION("""COMPUTED_VALUE"""),"ARTIGAS Ivana P.")</f>
        <v>ARTIGAS Ivana P.</v>
      </c>
      <c r="F771" s="1" t="str">
        <f t="shared" si="1"/>
        <v>ARTIGAS </v>
      </c>
      <c r="G771" s="1" t="str">
        <f t="shared" si="2"/>
        <v>Ivana P.</v>
      </c>
      <c r="H771" s="1" t="str">
        <f>IFERROR(__xludf.DUMMYFUNCTION("""COMPUTED_VALUE"""),"24/1/2023, 17:00:00")</f>
        <v>24/1/2023, 17:00:00</v>
      </c>
      <c r="I771" s="1" t="str">
        <f>IFERROR(__xludf.DUMMYFUNCTION("""COMPUTED_VALUE"""),"Completado en SUCURSAL")</f>
        <v>Completado en SUCURSAL</v>
      </c>
      <c r="J771" s="1">
        <f t="shared" si="3"/>
        <v>5</v>
      </c>
      <c r="K771" s="1" t="str">
        <f t="shared" si="4"/>
        <v>Tus Lentes estan LISTAS PARA ENTREGAR, te esperamos.</v>
      </c>
    </row>
    <row r="772">
      <c r="A772" s="1">
        <f>IFERROR(__xludf.DUMMYFUNCTION("""COMPUTED_VALUE"""),85322.0)</f>
        <v>85322</v>
      </c>
      <c r="B772" s="5">
        <f>IFERROR(__xludf.DUMMYFUNCTION("""COMPUTED_VALUE"""),44945.80020219907)</f>
        <v>44945.8002</v>
      </c>
      <c r="C772" s="1" t="str">
        <f>IFERROR(__xludf.DUMMYFUNCTION("""COMPUTED_VALUE"""),"VIDELA EDUARDO")</f>
        <v>VIDELA EDUARDO</v>
      </c>
      <c r="D772" s="1" t="str">
        <f>IFERROR(__xludf.DUMMYFUNCTION("""COMPUTED_VALUE"""),"Reparaciones/Otros")</f>
        <v>Reparaciones/Otros</v>
      </c>
      <c r="E772" s="1" t="str">
        <f>IFERROR(__xludf.DUMMYFUNCTION("""COMPUTED_VALUE"""),"ARTIGAS Cristian C.")</f>
        <v>ARTIGAS Cristian C.</v>
      </c>
      <c r="F772" s="1" t="str">
        <f t="shared" si="1"/>
        <v>ARTIGAS </v>
      </c>
      <c r="G772" s="1" t="str">
        <f t="shared" si="2"/>
        <v>Cristian C.</v>
      </c>
      <c r="H772" s="1" t="str">
        <f>IFERROR(__xludf.DUMMYFUNCTION("""COMPUTED_VALUE"""),"8/2/2023, 17:00:00")</f>
        <v>8/2/2023, 17:00:00</v>
      </c>
      <c r="I772" s="1"/>
      <c r="J772" s="1">
        <f t="shared" si="3"/>
        <v>0</v>
      </c>
      <c r="K772" s="1" t="str">
        <f t="shared" si="4"/>
        <v/>
      </c>
    </row>
    <row r="773">
      <c r="A773" s="1">
        <f>IFERROR(__xludf.DUMMYFUNCTION("""COMPUTED_VALUE"""),85323.0)</f>
        <v>85323</v>
      </c>
      <c r="B773" s="5">
        <f>IFERROR(__xludf.DUMMYFUNCTION("""COMPUTED_VALUE"""),44945.80051736112)</f>
        <v>44945.80052</v>
      </c>
      <c r="C773" s="1" t="str">
        <f>IFERROR(__xludf.DUMMYFUNCTION("""COMPUTED_VALUE"""),"ALANIZ SANTIAGO")</f>
        <v>ALANIZ SANTIAGO</v>
      </c>
      <c r="D773" s="1" t="str">
        <f>IFERROR(__xludf.DUMMYFUNCTION("""COMPUTED_VALUE"""),"Lentes de STOCK")</f>
        <v>Lentes de STOCK</v>
      </c>
      <c r="E773" s="1" t="str">
        <f>IFERROR(__xludf.DUMMYFUNCTION("""COMPUTED_VALUE"""),"RIVADAVIA Santiago LOPEZ")</f>
        <v>RIVADAVIA Santiago LOPEZ</v>
      </c>
      <c r="F773" s="1" t="str">
        <f t="shared" si="1"/>
        <v>RIVADAVIA </v>
      </c>
      <c r="G773" s="1" t="str">
        <f t="shared" si="2"/>
        <v>Santiago LOPEZ</v>
      </c>
      <c r="H773" s="1" t="str">
        <f>IFERROR(__xludf.DUMMYFUNCTION("""COMPUTED_VALUE"""),"23/1/2023, 17:00:00")</f>
        <v>23/1/2023, 17:00:00</v>
      </c>
      <c r="I773" s="1" t="str">
        <f>IFERROR(__xludf.DUMMYFUNCTION("""COMPUTED_VALUE"""),"Completado en SUCURSAL")</f>
        <v>Completado en SUCURSAL</v>
      </c>
      <c r="J773" s="1">
        <f t="shared" si="3"/>
        <v>5</v>
      </c>
      <c r="K773" s="1" t="str">
        <f t="shared" si="4"/>
        <v>Tus Lentes estan LISTAS PARA ENTREGAR, te esperamos.</v>
      </c>
    </row>
    <row r="774">
      <c r="A774" s="1">
        <f>IFERROR(__xludf.DUMMYFUNCTION("""COMPUTED_VALUE"""),85324.0)</f>
        <v>85324</v>
      </c>
      <c r="B774" s="5">
        <f>IFERROR(__xludf.DUMMYFUNCTION("""COMPUTED_VALUE"""),44945.80393925926)</f>
        <v>44945.80394</v>
      </c>
      <c r="C774" s="1" t="str">
        <f>IFERROR(__xludf.DUMMYFUNCTION("""COMPUTED_VALUE"""),"GURLINO NORMA FANNY")</f>
        <v>GURLINO NORMA FANNY</v>
      </c>
      <c r="D774" s="1" t="str">
        <f>IFERROR(__xludf.DUMMYFUNCTION("""COMPUTED_VALUE"""),"Lentes de STOCK")</f>
        <v>Lentes de STOCK</v>
      </c>
      <c r="E774" s="1" t="str">
        <f>IFERROR(__xludf.DUMMYFUNCTION("""COMPUTED_VALUE"""),"RIVADAVIA Daniel CM")</f>
        <v>RIVADAVIA Daniel CM</v>
      </c>
      <c r="F774" s="1" t="str">
        <f t="shared" si="1"/>
        <v>RIVADAVIA </v>
      </c>
      <c r="G774" s="1" t="str">
        <f t="shared" si="2"/>
        <v>Daniel CM</v>
      </c>
      <c r="H774" s="1" t="str">
        <f>IFERROR(__xludf.DUMMYFUNCTION("""COMPUTED_VALUE"""),"24/1/2023, 17:00:00")</f>
        <v>24/1/2023, 17:00:00</v>
      </c>
      <c r="I774" s="1" t="str">
        <f>IFERROR(__xludf.DUMMYFUNCTION("""COMPUTED_VALUE"""),"Completado en SUCURSAL")</f>
        <v>Completado en SUCURSAL</v>
      </c>
      <c r="J774" s="1">
        <f t="shared" si="3"/>
        <v>5</v>
      </c>
      <c r="K774" s="1" t="str">
        <f t="shared" si="4"/>
        <v>Tus Lentes estan LISTAS PARA ENTREGAR, te esperamos.</v>
      </c>
    </row>
    <row r="775">
      <c r="A775" s="1">
        <f>IFERROR(__xludf.DUMMYFUNCTION("""COMPUTED_VALUE"""),85325.0)</f>
        <v>85325</v>
      </c>
      <c r="B775" s="5">
        <f>IFERROR(__xludf.DUMMYFUNCTION("""COMPUTED_VALUE"""),44945.808908252315)</f>
        <v>44945.80891</v>
      </c>
      <c r="C775" s="1" t="str">
        <f>IFERROR(__xludf.DUMMYFUNCTION("""COMPUTED_VALUE"""),"LA VIA KAREN MICAELA")</f>
        <v>LA VIA KAREN MICAELA</v>
      </c>
      <c r="D775" s="1" t="str">
        <f>IFERROR(__xludf.DUMMYFUNCTION("""COMPUTED_VALUE"""),"Lentes de STOCK")</f>
        <v>Lentes de STOCK</v>
      </c>
      <c r="E775" s="1" t="str">
        <f>IFERROR(__xludf.DUMMYFUNCTION("""COMPUTED_VALUE"""),"ARTIGAS Cristian C.")</f>
        <v>ARTIGAS Cristian C.</v>
      </c>
      <c r="F775" s="1" t="str">
        <f t="shared" si="1"/>
        <v>ARTIGAS </v>
      </c>
      <c r="G775" s="1" t="str">
        <f t="shared" si="2"/>
        <v>Cristian C.</v>
      </c>
      <c r="H775" s="1" t="str">
        <f>IFERROR(__xludf.DUMMYFUNCTION("""COMPUTED_VALUE"""),"24/1/2023, 17:00:00")</f>
        <v>24/1/2023, 17:00:00</v>
      </c>
      <c r="I775" s="1" t="str">
        <f>IFERROR(__xludf.DUMMYFUNCTION("""COMPUTED_VALUE"""),"RETIRADO OK POR CLIENTE")</f>
        <v>RETIRADO OK POR CLIENTE</v>
      </c>
      <c r="J775" s="1">
        <f t="shared" si="3"/>
        <v>6</v>
      </c>
      <c r="K775" s="1" t="str">
        <f t="shared" si="4"/>
        <v>Entregamos tus lentes, que los disfrutes!</v>
      </c>
    </row>
    <row r="776">
      <c r="A776" s="1">
        <f>IFERROR(__xludf.DUMMYFUNCTION("""COMPUTED_VALUE"""),85326.0)</f>
        <v>85326</v>
      </c>
      <c r="B776" s="5">
        <f>IFERROR(__xludf.DUMMYFUNCTION("""COMPUTED_VALUE"""),44945.81903428241)</f>
        <v>44945.81903</v>
      </c>
      <c r="C776" s="1" t="str">
        <f>IFERROR(__xludf.DUMMYFUNCTION("""COMPUTED_VALUE"""),"KUBITZ MARIANA")</f>
        <v>KUBITZ MARIANA</v>
      </c>
      <c r="D776" s="1" t="str">
        <f>IFERROR(__xludf.DUMMYFUNCTION("""COMPUTED_VALUE"""),"Lentes de STOCK")</f>
        <v>Lentes de STOCK</v>
      </c>
      <c r="E776" s="1" t="str">
        <f>IFERROR(__xludf.DUMMYFUNCTION("""COMPUTED_VALUE"""),"RIVADAVIA Luciana")</f>
        <v>RIVADAVIA Luciana</v>
      </c>
      <c r="F776" s="1" t="str">
        <f t="shared" si="1"/>
        <v>RIVADAVIA </v>
      </c>
      <c r="G776" s="1" t="str">
        <f t="shared" si="2"/>
        <v>Luciana</v>
      </c>
      <c r="H776" s="1" t="str">
        <f>IFERROR(__xludf.DUMMYFUNCTION("""COMPUTED_VALUE"""),"27/1/2023, 17:00:00")</f>
        <v>27/1/2023, 17:00:00</v>
      </c>
      <c r="I776" s="1" t="str">
        <f>IFERROR(__xludf.DUMMYFUNCTION("""COMPUTED_VALUE"""),"RETIRADO OK POR CLIENTE")</f>
        <v>RETIRADO OK POR CLIENTE</v>
      </c>
      <c r="J776" s="1">
        <f t="shared" si="3"/>
        <v>6</v>
      </c>
      <c r="K776" s="1" t="str">
        <f t="shared" si="4"/>
        <v>Entregamos tus lentes, que los disfrutes!</v>
      </c>
    </row>
    <row r="777">
      <c r="A777" s="1">
        <f>IFERROR(__xludf.DUMMYFUNCTION("""COMPUTED_VALUE"""),85327.0)</f>
        <v>85327</v>
      </c>
      <c r="B777" s="5">
        <f>IFERROR(__xludf.DUMMYFUNCTION("""COMPUTED_VALUE"""),44945.821521770835)</f>
        <v>44945.82152</v>
      </c>
      <c r="C777" s="1" t="str">
        <f>IFERROR(__xludf.DUMMYFUNCTION("""COMPUTED_VALUE"""),"LUCERO FLORENCIA")</f>
        <v>LUCERO FLORENCIA</v>
      </c>
      <c r="D777" s="1" t="str">
        <f>IFERROR(__xludf.DUMMYFUNCTION("""COMPUTED_VALUE"""),"Lentes de STOCK")</f>
        <v>Lentes de STOCK</v>
      </c>
      <c r="E777" s="1" t="str">
        <f>IFERROR(__xludf.DUMMYFUNCTION("""COMPUTED_VALUE"""),"RIVADAVIA Santiago N")</f>
        <v>RIVADAVIA Santiago N</v>
      </c>
      <c r="F777" s="1" t="str">
        <f t="shared" si="1"/>
        <v>RIVADAVIA </v>
      </c>
      <c r="G777" s="1" t="str">
        <f t="shared" si="2"/>
        <v>Santiago N</v>
      </c>
      <c r="H777" s="1" t="str">
        <f>IFERROR(__xludf.DUMMYFUNCTION("""COMPUTED_VALUE"""),"24/1/2023, 17:00:00")</f>
        <v>24/1/2023, 17:00:00</v>
      </c>
      <c r="I777" s="1" t="str">
        <f>IFERROR(__xludf.DUMMYFUNCTION("""COMPUTED_VALUE"""),"Completado en SUCURSAL")</f>
        <v>Completado en SUCURSAL</v>
      </c>
      <c r="J777" s="1">
        <f t="shared" si="3"/>
        <v>5</v>
      </c>
      <c r="K777" s="1" t="str">
        <f t="shared" si="4"/>
        <v>Tus Lentes estan LISTAS PARA ENTREGAR, te esperamos.</v>
      </c>
    </row>
    <row r="778">
      <c r="A778" s="1">
        <f>IFERROR(__xludf.DUMMYFUNCTION("""COMPUTED_VALUE"""),85328.0)</f>
        <v>85328</v>
      </c>
      <c r="B778" s="5">
        <f>IFERROR(__xludf.DUMMYFUNCTION("""COMPUTED_VALUE"""),44945.824512175925)</f>
        <v>44945.82451</v>
      </c>
      <c r="C778" s="1" t="str">
        <f>IFERROR(__xludf.DUMMYFUNCTION("""COMPUTED_VALUE"""),"TUNEZI HEIDI JOHANA")</f>
        <v>TUNEZI HEIDI JOHANA</v>
      </c>
      <c r="D778" s="1" t="str">
        <f>IFERROR(__xludf.DUMMYFUNCTION("""COMPUTED_VALUE"""),"Lentes de STOCK")</f>
        <v>Lentes de STOCK</v>
      </c>
      <c r="E778" s="1" t="str">
        <f>IFERROR(__xludf.DUMMYFUNCTION("""COMPUTED_VALUE"""),"ARTIGAS Ivana P.")</f>
        <v>ARTIGAS Ivana P.</v>
      </c>
      <c r="F778" s="1" t="str">
        <f t="shared" si="1"/>
        <v>ARTIGAS </v>
      </c>
      <c r="G778" s="1" t="str">
        <f t="shared" si="2"/>
        <v>Ivana P.</v>
      </c>
      <c r="H778" s="1" t="str">
        <f>IFERROR(__xludf.DUMMYFUNCTION("""COMPUTED_VALUE"""),"24/1/2023, 17:00:00")</f>
        <v>24/1/2023, 17:00:00</v>
      </c>
      <c r="I778" s="1" t="str">
        <f>IFERROR(__xludf.DUMMYFUNCTION("""COMPUTED_VALUE"""),"RETIRADO OK POR CLIENTE")</f>
        <v>RETIRADO OK POR CLIENTE</v>
      </c>
      <c r="J778" s="1">
        <f t="shared" si="3"/>
        <v>6</v>
      </c>
      <c r="K778" s="1" t="str">
        <f t="shared" si="4"/>
        <v>Entregamos tus lentes, que los disfrutes!</v>
      </c>
    </row>
    <row r="779">
      <c r="A779" s="1">
        <f>IFERROR(__xludf.DUMMYFUNCTION("""COMPUTED_VALUE"""),85329.0)</f>
        <v>85329</v>
      </c>
      <c r="B779" s="5">
        <f>IFERROR(__xludf.DUMMYFUNCTION("""COMPUTED_VALUE"""),44945.83336579861)</f>
        <v>44945.83337</v>
      </c>
      <c r="C779" s="1" t="str">
        <f>IFERROR(__xludf.DUMMYFUNCTION("""COMPUTED_VALUE"""),"LUCERO AGUSTINA")</f>
        <v>LUCERO AGUSTINA</v>
      </c>
      <c r="D779" s="1" t="str">
        <f>IFERROR(__xludf.DUMMYFUNCTION("""COMPUTED_VALUE"""),"Lentes de STOCK")</f>
        <v>Lentes de STOCK</v>
      </c>
      <c r="E779" s="1" t="str">
        <f>IFERROR(__xludf.DUMMYFUNCTION("""COMPUTED_VALUE"""),"ARTIGAS Ivana P.")</f>
        <v>ARTIGAS Ivana P.</v>
      </c>
      <c r="F779" s="1" t="str">
        <f t="shared" si="1"/>
        <v>ARTIGAS </v>
      </c>
      <c r="G779" s="1" t="str">
        <f t="shared" si="2"/>
        <v>Ivana P.</v>
      </c>
      <c r="H779" s="1" t="str">
        <f>IFERROR(__xludf.DUMMYFUNCTION("""COMPUTED_VALUE"""),"25/1/2023, 17:00:00")</f>
        <v>25/1/2023, 17:00:00</v>
      </c>
      <c r="I779" s="1" t="str">
        <f>IFERROR(__xludf.DUMMYFUNCTION("""COMPUTED_VALUE"""),"RETIRADO OK POR CLIENTE")</f>
        <v>RETIRADO OK POR CLIENTE</v>
      </c>
      <c r="J779" s="1">
        <f t="shared" si="3"/>
        <v>6</v>
      </c>
      <c r="K779" s="1" t="str">
        <f t="shared" si="4"/>
        <v>Entregamos tus lentes, que los disfrutes!</v>
      </c>
    </row>
    <row r="780">
      <c r="A780" s="1">
        <f>IFERROR(__xludf.DUMMYFUNCTION("""COMPUTED_VALUE"""),85330.0)</f>
        <v>85330</v>
      </c>
      <c r="B780" s="5">
        <f>IFERROR(__xludf.DUMMYFUNCTION("""COMPUTED_VALUE"""),44945.83516515046)</f>
        <v>44945.83517</v>
      </c>
      <c r="C780" s="1" t="str">
        <f>IFERROR(__xludf.DUMMYFUNCTION("""COMPUTED_VALUE"""),"LEYES MARTHA NOEMI")</f>
        <v>LEYES MARTHA NOEMI</v>
      </c>
      <c r="D780" s="1" t="str">
        <f>IFERROR(__xludf.DUMMYFUNCTION("""COMPUTED_VALUE"""),"Lentes de STOCK")</f>
        <v>Lentes de STOCK</v>
      </c>
      <c r="E780" s="1" t="str">
        <f>IFERROR(__xludf.DUMMYFUNCTION("""COMPUTED_VALUE"""),"ARTIGAS Cristian C.")</f>
        <v>ARTIGAS Cristian C.</v>
      </c>
      <c r="F780" s="1" t="str">
        <f t="shared" si="1"/>
        <v>ARTIGAS </v>
      </c>
      <c r="G780" s="1" t="str">
        <f t="shared" si="2"/>
        <v>Cristian C.</v>
      </c>
      <c r="H780" s="1" t="str">
        <f>IFERROR(__xludf.DUMMYFUNCTION("""COMPUTED_VALUE"""),"30/1/2023, 17:00:00")</f>
        <v>30/1/2023, 17:00:00</v>
      </c>
      <c r="I780" s="1" t="str">
        <f>IFERROR(__xludf.DUMMYFUNCTION("""COMPUTED_VALUE"""),"RETIRADO OK POR CLIENTE")</f>
        <v>RETIRADO OK POR CLIENTE</v>
      </c>
      <c r="J780" s="1">
        <f t="shared" si="3"/>
        <v>6</v>
      </c>
      <c r="K780" s="1" t="str">
        <f t="shared" si="4"/>
        <v>Entregamos tus lentes, que los disfrutes!</v>
      </c>
    </row>
    <row r="781">
      <c r="A781" s="1">
        <f>IFERROR(__xludf.DUMMYFUNCTION("""COMPUTED_VALUE"""),85331.0)</f>
        <v>85331</v>
      </c>
      <c r="B781" s="5">
        <f>IFERROR(__xludf.DUMMYFUNCTION("""COMPUTED_VALUE"""),44945.83518708333)</f>
        <v>44945.83519</v>
      </c>
      <c r="C781" s="1" t="str">
        <f>IFERROR(__xludf.DUMMYFUNCTION("""COMPUTED_VALUE"""),"SOSA MARIA")</f>
        <v>SOSA MARIA</v>
      </c>
      <c r="D781" s="1" t="str">
        <f>IFERROR(__xludf.DUMMYFUNCTION("""COMPUTED_VALUE"""),"Lentes de STOCK")</f>
        <v>Lentes de STOCK</v>
      </c>
      <c r="E781" s="1" t="str">
        <f>IFERROR(__xludf.DUMMYFUNCTION("""COMPUTED_VALUE"""),"ARTIGAS Ivana P.")</f>
        <v>ARTIGAS Ivana P.</v>
      </c>
      <c r="F781" s="1" t="str">
        <f t="shared" si="1"/>
        <v>ARTIGAS </v>
      </c>
      <c r="G781" s="1" t="str">
        <f t="shared" si="2"/>
        <v>Ivana P.</v>
      </c>
      <c r="H781" s="1" t="str">
        <f>IFERROR(__xludf.DUMMYFUNCTION("""COMPUTED_VALUE"""),"25/1/2023, 17:00:00")</f>
        <v>25/1/2023, 17:00:00</v>
      </c>
      <c r="I781" s="1" t="str">
        <f>IFERROR(__xludf.DUMMYFUNCTION("""COMPUTED_VALUE"""),"RETIRADO OK POR CLIENTE")</f>
        <v>RETIRADO OK POR CLIENTE</v>
      </c>
      <c r="J781" s="1">
        <f t="shared" si="3"/>
        <v>6</v>
      </c>
      <c r="K781" s="1" t="str">
        <f t="shared" si="4"/>
        <v>Entregamos tus lentes, que los disfrutes!</v>
      </c>
    </row>
    <row r="782">
      <c r="A782" s="1">
        <f>IFERROR(__xludf.DUMMYFUNCTION("""COMPUTED_VALUE"""),85332.0)</f>
        <v>85332</v>
      </c>
      <c r="B782" s="5">
        <f>IFERROR(__xludf.DUMMYFUNCTION("""COMPUTED_VALUE"""),44945.867861990744)</f>
        <v>44945.86786</v>
      </c>
      <c r="C782" s="1" t="str">
        <f>IFERROR(__xludf.DUMMYFUNCTION("""COMPUTED_VALUE"""),"RODRIGUEZ DURAN HUMBERTO")</f>
        <v>RODRIGUEZ DURAN HUMBERTO</v>
      </c>
      <c r="D782" s="1" t="str">
        <f>IFERROR(__xludf.DUMMYFUNCTION("""COMPUTED_VALUE"""),"Lentes MULTIFOCALES")</f>
        <v>Lentes MULTIFOCALES</v>
      </c>
      <c r="E782" s="1" t="str">
        <f>IFERROR(__xludf.DUMMYFUNCTION("""COMPUTED_VALUE"""),"RIVADAVIA Santiago LOPEZ")</f>
        <v>RIVADAVIA Santiago LOPEZ</v>
      </c>
      <c r="F782" s="1" t="str">
        <f t="shared" si="1"/>
        <v>RIVADAVIA </v>
      </c>
      <c r="G782" s="1" t="str">
        <f t="shared" si="2"/>
        <v>Santiago LOPEZ</v>
      </c>
      <c r="H782" s="1" t="str">
        <f>IFERROR(__xludf.DUMMYFUNCTION("""COMPUTED_VALUE"""),"2/2/2023, 17:00:00")</f>
        <v>2/2/2023, 17:00:00</v>
      </c>
      <c r="I782" s="1" t="str">
        <f>IFERROR(__xludf.DUMMYFUNCTION("""COMPUTED_VALUE"""),"Completado en SUCURSAL")</f>
        <v>Completado en SUCURSAL</v>
      </c>
      <c r="J782" s="1">
        <f t="shared" si="3"/>
        <v>5</v>
      </c>
      <c r="K782" s="1" t="str">
        <f t="shared" si="4"/>
        <v>Tus Lentes estan LISTAS PARA ENTREGAR, te esperamos.</v>
      </c>
    </row>
    <row r="783">
      <c r="A783" s="1">
        <f>IFERROR(__xludf.DUMMYFUNCTION("""COMPUTED_VALUE"""),85333.0)</f>
        <v>85333</v>
      </c>
      <c r="B783" s="5">
        <f>IFERROR(__xludf.DUMMYFUNCTION("""COMPUTED_VALUE"""),44945.87045125)</f>
        <v>44945.87045</v>
      </c>
      <c r="C783" s="1" t="str">
        <f>IFERROR(__xludf.DUMMYFUNCTION("""COMPUTED_VALUE"""),"GUTIERREZ RAMIRO")</f>
        <v>GUTIERREZ RAMIRO</v>
      </c>
      <c r="D783" s="1" t="str">
        <f>IFERROR(__xludf.DUMMYFUNCTION("""COMPUTED_VALUE"""),"Lentes de STOCK")</f>
        <v>Lentes de STOCK</v>
      </c>
      <c r="E783" s="1" t="str">
        <f>IFERROR(__xludf.DUMMYFUNCTION("""COMPUTED_VALUE"""),"RIVADAVIA Javier")</f>
        <v>RIVADAVIA Javier</v>
      </c>
      <c r="F783" s="1" t="str">
        <f t="shared" si="1"/>
        <v>RIVADAVIA </v>
      </c>
      <c r="G783" s="1" t="str">
        <f t="shared" si="2"/>
        <v>Javier</v>
      </c>
      <c r="H783" s="1" t="str">
        <f>IFERROR(__xludf.DUMMYFUNCTION("""COMPUTED_VALUE"""),"24/1/2023, 17:00:00")</f>
        <v>24/1/2023, 17:00:00</v>
      </c>
      <c r="I783" s="1" t="str">
        <f>IFERROR(__xludf.DUMMYFUNCTION("""COMPUTED_VALUE"""),"Completado en SUCURSAL")</f>
        <v>Completado en SUCURSAL</v>
      </c>
      <c r="J783" s="1">
        <f t="shared" si="3"/>
        <v>5</v>
      </c>
      <c r="K783" s="1" t="str">
        <f t="shared" si="4"/>
        <v>Tus Lentes estan LISTAS PARA ENTREGAR, te esperamos.</v>
      </c>
    </row>
    <row r="784">
      <c r="A784" s="1">
        <f>IFERROR(__xludf.DUMMYFUNCTION("""COMPUTED_VALUE"""),85334.0)</f>
        <v>85334</v>
      </c>
      <c r="B784" s="5">
        <f>IFERROR(__xludf.DUMMYFUNCTION("""COMPUTED_VALUE"""),44946.38540666667)</f>
        <v>44946.38541</v>
      </c>
      <c r="C784" s="1" t="str">
        <f>IFERROR(__xludf.DUMMYFUNCTION("""COMPUTED_VALUE"""),"VILLEGAS PAOLA")</f>
        <v>VILLEGAS PAOLA</v>
      </c>
      <c r="D784" s="1" t="str">
        <f>IFERROR(__xludf.DUMMYFUNCTION("""COMPUTED_VALUE"""),"Lentes de STOCK")</f>
        <v>Lentes de STOCK</v>
      </c>
      <c r="E784" s="1" t="str">
        <f>IFERROR(__xludf.DUMMYFUNCTION("""COMPUTED_VALUE"""),"ARTIGAS Ivana P.")</f>
        <v>ARTIGAS Ivana P.</v>
      </c>
      <c r="F784" s="1" t="str">
        <f t="shared" si="1"/>
        <v>ARTIGAS </v>
      </c>
      <c r="G784" s="1" t="str">
        <f t="shared" si="2"/>
        <v>Ivana P.</v>
      </c>
      <c r="H784" s="1" t="str">
        <f>IFERROR(__xludf.DUMMYFUNCTION("""COMPUTED_VALUE"""),"25/1/2023, 17:00:00")</f>
        <v>25/1/2023, 17:00:00</v>
      </c>
      <c r="I784" s="1" t="str">
        <f>IFERROR(__xludf.DUMMYFUNCTION("""COMPUTED_VALUE"""),"RETIRADO OK POR CLIENTE")</f>
        <v>RETIRADO OK POR CLIENTE</v>
      </c>
      <c r="J784" s="1">
        <f t="shared" si="3"/>
        <v>6</v>
      </c>
      <c r="K784" s="1" t="str">
        <f t="shared" si="4"/>
        <v>Entregamos tus lentes, que los disfrutes!</v>
      </c>
    </row>
    <row r="785">
      <c r="A785" s="1">
        <f>IFERROR(__xludf.DUMMYFUNCTION("""COMPUTED_VALUE"""),85335.0)</f>
        <v>85335</v>
      </c>
      <c r="B785" s="5">
        <f>IFERROR(__xludf.DUMMYFUNCTION("""COMPUTED_VALUE"""),44946.38596568287)</f>
        <v>44946.38597</v>
      </c>
      <c r="C785" s="1" t="str">
        <f>IFERROR(__xludf.DUMMYFUNCTION("""COMPUTED_VALUE"""),"Paez Florencia")</f>
        <v>Paez Florencia</v>
      </c>
      <c r="D785" s="1" t="str">
        <f>IFERROR(__xludf.DUMMYFUNCTION("""COMPUTED_VALUE"""),"Reparaciones/Otros")</f>
        <v>Reparaciones/Otros</v>
      </c>
      <c r="E785" s="1" t="str">
        <f>IFERROR(__xludf.DUMMYFUNCTION("""COMPUTED_VALUE"""),"RIVADAVIA Rocio B")</f>
        <v>RIVADAVIA Rocio B</v>
      </c>
      <c r="F785" s="1" t="str">
        <f t="shared" si="1"/>
        <v>RIVADAVIA </v>
      </c>
      <c r="G785" s="1" t="str">
        <f t="shared" si="2"/>
        <v>Rocio B</v>
      </c>
      <c r="H785" s="1" t="str">
        <f>IFERROR(__xludf.DUMMYFUNCTION("""COMPUTED_VALUE"""),"23/1/2023, 17:00:00")</f>
        <v>23/1/2023, 17:00:00</v>
      </c>
      <c r="I785" s="1" t="str">
        <f>IFERROR(__xludf.DUMMYFUNCTION("""COMPUTED_VALUE"""),"Completado en SUCURSAL")</f>
        <v>Completado en SUCURSAL</v>
      </c>
      <c r="J785" s="1">
        <f t="shared" si="3"/>
        <v>5</v>
      </c>
      <c r="K785" s="1" t="str">
        <f t="shared" si="4"/>
        <v>Tus Lentes estan LISTAS PARA ENTREGAR, te esperamos.</v>
      </c>
    </row>
    <row r="786">
      <c r="A786" s="1">
        <f>IFERROR(__xludf.DUMMYFUNCTION("""COMPUTED_VALUE"""),85336.0)</f>
        <v>85336</v>
      </c>
      <c r="B786" s="5">
        <f>IFERROR(__xludf.DUMMYFUNCTION("""COMPUTED_VALUE"""),44946.39474192129)</f>
        <v>44946.39474</v>
      </c>
      <c r="C786" s="1" t="str">
        <f>IFERROR(__xludf.DUMMYFUNCTION("""COMPUTED_VALUE"""),"CEJAS OSVALDO")</f>
        <v>CEJAS OSVALDO</v>
      </c>
      <c r="D786" s="1" t="str">
        <f>IFERROR(__xludf.DUMMYFUNCTION("""COMPUTED_VALUE"""),"Lentes de STOCK")</f>
        <v>Lentes de STOCK</v>
      </c>
      <c r="E786" s="1" t="str">
        <f>IFERROR(__xludf.DUMMYFUNCTION("""COMPUTED_VALUE"""),"RIVADAVIA Luciana")</f>
        <v>RIVADAVIA Luciana</v>
      </c>
      <c r="F786" s="1" t="str">
        <f t="shared" si="1"/>
        <v>RIVADAVIA </v>
      </c>
      <c r="G786" s="1" t="str">
        <f t="shared" si="2"/>
        <v>Luciana</v>
      </c>
      <c r="H786" s="1" t="str">
        <f>IFERROR(__xludf.DUMMYFUNCTION("""COMPUTED_VALUE"""),"26/1/2023, 17:00:00")</f>
        <v>26/1/2023, 17:00:00</v>
      </c>
      <c r="I786" s="1" t="str">
        <f>IFERROR(__xludf.DUMMYFUNCTION("""COMPUTED_VALUE"""),"RETIRADO OK POR CLIENTE")</f>
        <v>RETIRADO OK POR CLIENTE</v>
      </c>
      <c r="J786" s="1">
        <f t="shared" si="3"/>
        <v>6</v>
      </c>
      <c r="K786" s="1" t="str">
        <f t="shared" si="4"/>
        <v>Entregamos tus lentes, que los disfrutes!</v>
      </c>
    </row>
    <row r="787">
      <c r="A787" s="1">
        <f>IFERROR(__xludf.DUMMYFUNCTION("""COMPUTED_VALUE"""),85337.0)</f>
        <v>85337</v>
      </c>
      <c r="B787" s="5">
        <f>IFERROR(__xludf.DUMMYFUNCTION("""COMPUTED_VALUE"""),44946.401173125)</f>
        <v>44946.40117</v>
      </c>
      <c r="C787" s="1" t="str">
        <f>IFERROR(__xludf.DUMMYFUNCTION("""COMPUTED_VALUE"""),"CORNELLANA")</f>
        <v>CORNELLANA</v>
      </c>
      <c r="D787" s="1" t="str">
        <f>IFERROR(__xludf.DUMMYFUNCTION("""COMPUTED_VALUE"""),"Lentes de STOCK")</f>
        <v>Lentes de STOCK</v>
      </c>
      <c r="E787" s="1" t="str">
        <f>IFERROR(__xludf.DUMMYFUNCTION("""COMPUTED_VALUE"""),"ARTIGAS Ivana P.")</f>
        <v>ARTIGAS Ivana P.</v>
      </c>
      <c r="F787" s="1" t="str">
        <f t="shared" si="1"/>
        <v>ARTIGAS </v>
      </c>
      <c r="G787" s="1" t="str">
        <f t="shared" si="2"/>
        <v>Ivana P.</v>
      </c>
      <c r="H787" s="1" t="str">
        <f>IFERROR(__xludf.DUMMYFUNCTION("""COMPUTED_VALUE"""),"25/1/2023, 17:00:00")</f>
        <v>25/1/2023, 17:00:00</v>
      </c>
      <c r="I787" s="1" t="str">
        <f>IFERROR(__xludf.DUMMYFUNCTION("""COMPUTED_VALUE"""),"RETIRADO OK POR CLIENTE")</f>
        <v>RETIRADO OK POR CLIENTE</v>
      </c>
      <c r="J787" s="1">
        <f t="shared" si="3"/>
        <v>6</v>
      </c>
      <c r="K787" s="1" t="str">
        <f t="shared" si="4"/>
        <v>Entregamos tus lentes, que los disfrutes!</v>
      </c>
    </row>
    <row r="788">
      <c r="A788" s="1">
        <f>IFERROR(__xludf.DUMMYFUNCTION("""COMPUTED_VALUE"""),85338.0)</f>
        <v>85338</v>
      </c>
      <c r="B788" s="5">
        <f>IFERROR(__xludf.DUMMYFUNCTION("""COMPUTED_VALUE"""),44946.40216087963)</f>
        <v>44946.40216</v>
      </c>
      <c r="C788" s="1" t="str">
        <f>IFERROR(__xludf.DUMMYFUNCTION("""COMPUTED_VALUE"""),"ROXANA GAGLIARDI ")</f>
        <v>ROXANA GAGLIARDI </v>
      </c>
      <c r="D788" s="1" t="str">
        <f>IFERROR(__xludf.DUMMYFUNCTION("""COMPUTED_VALUE"""),"Reparaciones/Otros")</f>
        <v>Reparaciones/Otros</v>
      </c>
      <c r="E788" s="1" t="str">
        <f>IFERROR(__xludf.DUMMYFUNCTION("""COMPUTED_VALUE"""),"ARTIGAS Celina")</f>
        <v>ARTIGAS Celina</v>
      </c>
      <c r="F788" s="1" t="str">
        <f t="shared" si="1"/>
        <v>ARTIGAS </v>
      </c>
      <c r="G788" s="1" t="str">
        <f t="shared" si="2"/>
        <v>Celina</v>
      </c>
      <c r="H788" s="1" t="str">
        <f>IFERROR(__xludf.DUMMYFUNCTION("""COMPUTED_VALUE"""),"21/1/2023, 17:00:00")</f>
        <v>21/1/2023, 17:00:00</v>
      </c>
      <c r="I788" s="1"/>
      <c r="J788" s="1">
        <f t="shared" si="3"/>
        <v>0</v>
      </c>
      <c r="K788" s="1" t="str">
        <f t="shared" si="4"/>
        <v/>
      </c>
    </row>
    <row r="789">
      <c r="A789" s="1">
        <f>IFERROR(__xludf.DUMMYFUNCTION("""COMPUTED_VALUE"""),85339.0)</f>
        <v>85339</v>
      </c>
      <c r="B789" s="5">
        <f>IFERROR(__xludf.DUMMYFUNCTION("""COMPUTED_VALUE"""),44946.404502731486)</f>
        <v>44946.4045</v>
      </c>
      <c r="C789" s="1" t="str">
        <f>IFERROR(__xludf.DUMMYFUNCTION("""COMPUTED_VALUE"""),"COLLADO HUGO PABLO")</f>
        <v>COLLADO HUGO PABLO</v>
      </c>
      <c r="D789" s="1" t="str">
        <f>IFERROR(__xludf.DUMMYFUNCTION("""COMPUTED_VALUE"""),"Lentes de STOCK")</f>
        <v>Lentes de STOCK</v>
      </c>
      <c r="E789" s="1" t="str">
        <f>IFERROR(__xludf.DUMMYFUNCTION("""COMPUTED_VALUE"""),"ARTIGAS Cristian C.")</f>
        <v>ARTIGAS Cristian C.</v>
      </c>
      <c r="F789" s="1" t="str">
        <f t="shared" si="1"/>
        <v>ARTIGAS </v>
      </c>
      <c r="G789" s="1" t="str">
        <f t="shared" si="2"/>
        <v>Cristian C.</v>
      </c>
      <c r="H789" s="1" t="str">
        <f>IFERROR(__xludf.DUMMYFUNCTION("""COMPUTED_VALUE"""),"26/1/2023, 17:00:00")</f>
        <v>26/1/2023, 17:00:00</v>
      </c>
      <c r="I789" s="1" t="str">
        <f>IFERROR(__xludf.DUMMYFUNCTION("""COMPUTED_VALUE"""),"RETIRADO OK POR CLIENTE")</f>
        <v>RETIRADO OK POR CLIENTE</v>
      </c>
      <c r="J789" s="1">
        <f t="shared" si="3"/>
        <v>6</v>
      </c>
      <c r="K789" s="1" t="str">
        <f t="shared" si="4"/>
        <v>Entregamos tus lentes, que los disfrutes!</v>
      </c>
    </row>
    <row r="790">
      <c r="A790" s="1">
        <f>IFERROR(__xludf.DUMMYFUNCTION("""COMPUTED_VALUE"""),85340.0)</f>
        <v>85340</v>
      </c>
      <c r="B790" s="5">
        <f>IFERROR(__xludf.DUMMYFUNCTION("""COMPUTED_VALUE"""),44946.40480875)</f>
        <v>44946.40481</v>
      </c>
      <c r="C790" s="1" t="str">
        <f>IFERROR(__xludf.DUMMYFUNCTION("""COMPUTED_VALUE"""),"BOGADO GRACIELA")</f>
        <v>BOGADO GRACIELA</v>
      </c>
      <c r="D790" s="1" t="str">
        <f>IFERROR(__xludf.DUMMYFUNCTION("""COMPUTED_VALUE"""),"Lentes de STOCK")</f>
        <v>Lentes de STOCK</v>
      </c>
      <c r="E790" s="1" t="str">
        <f>IFERROR(__xludf.DUMMYFUNCTION("""COMPUTED_VALUE"""),"ARTIGAS Ivana P.")</f>
        <v>ARTIGAS Ivana P.</v>
      </c>
      <c r="F790" s="1" t="str">
        <f t="shared" si="1"/>
        <v>ARTIGAS </v>
      </c>
      <c r="G790" s="1" t="str">
        <f t="shared" si="2"/>
        <v>Ivana P.</v>
      </c>
      <c r="H790" s="1" t="str">
        <f>IFERROR(__xludf.DUMMYFUNCTION("""COMPUTED_VALUE"""),"25/1/2023, 17:00:00")</f>
        <v>25/1/2023, 17:00:00</v>
      </c>
      <c r="I790" s="1" t="str">
        <f>IFERROR(__xludf.DUMMYFUNCTION("""COMPUTED_VALUE"""),"RETIRADO OK POR CLIENTE")</f>
        <v>RETIRADO OK POR CLIENTE</v>
      </c>
      <c r="J790" s="1">
        <f t="shared" si="3"/>
        <v>6</v>
      </c>
      <c r="K790" s="1" t="str">
        <f t="shared" si="4"/>
        <v>Entregamos tus lentes, que los disfrutes!</v>
      </c>
    </row>
    <row r="791">
      <c r="A791" s="1">
        <f>IFERROR(__xludf.DUMMYFUNCTION("""COMPUTED_VALUE"""),85341.0)</f>
        <v>85341</v>
      </c>
      <c r="B791" s="5">
        <f>IFERROR(__xludf.DUMMYFUNCTION("""COMPUTED_VALUE"""),44946.40618063658)</f>
        <v>44946.40618</v>
      </c>
      <c r="C791" s="1" t="str">
        <f>IFERROR(__xludf.DUMMYFUNCTION("""COMPUTED_VALUE"""),"BOGADO GRACIELA")</f>
        <v>BOGADO GRACIELA</v>
      </c>
      <c r="D791" s="1" t="str">
        <f>IFERROR(__xludf.DUMMYFUNCTION("""COMPUTED_VALUE"""),"Reparaciones/Otros")</f>
        <v>Reparaciones/Otros</v>
      </c>
      <c r="E791" s="1" t="str">
        <f>IFERROR(__xludf.DUMMYFUNCTION("""COMPUTED_VALUE"""),"ARTIGAS Ivana P.")</f>
        <v>ARTIGAS Ivana P.</v>
      </c>
      <c r="F791" s="1" t="str">
        <f t="shared" si="1"/>
        <v>ARTIGAS </v>
      </c>
      <c r="G791" s="1" t="str">
        <f t="shared" si="2"/>
        <v>Ivana P.</v>
      </c>
      <c r="H791" s="1" t="str">
        <f>IFERROR(__xludf.DUMMYFUNCTION("""COMPUTED_VALUE"""),"25/1/2023, 17:00:00")</f>
        <v>25/1/2023, 17:00:00</v>
      </c>
      <c r="I791" s="1" t="str">
        <f>IFERROR(__xludf.DUMMYFUNCTION("""COMPUTED_VALUE"""),"Completado en SUCURSAL")</f>
        <v>Completado en SUCURSAL</v>
      </c>
      <c r="J791" s="1">
        <f t="shared" si="3"/>
        <v>5</v>
      </c>
      <c r="K791" s="1" t="str">
        <f t="shared" si="4"/>
        <v>Tus Lentes estan LISTAS PARA ENTREGAR, te esperamos.</v>
      </c>
    </row>
    <row r="792">
      <c r="A792" s="1">
        <f>IFERROR(__xludf.DUMMYFUNCTION("""COMPUTED_VALUE"""),85342.0)</f>
        <v>85342</v>
      </c>
      <c r="B792" s="5">
        <f>IFERROR(__xludf.DUMMYFUNCTION("""COMPUTED_VALUE"""),44946.42934030092)</f>
        <v>44946.42934</v>
      </c>
      <c r="C792" s="1" t="str">
        <f>IFERROR(__xludf.DUMMYFUNCTION("""COMPUTED_VALUE"""),"POGGI MIGUEL ANGEL")</f>
        <v>POGGI MIGUEL ANGEL</v>
      </c>
      <c r="D792" s="1" t="str">
        <f>IFERROR(__xludf.DUMMYFUNCTION("""COMPUTED_VALUE"""),"Lentes de STOCK")</f>
        <v>Lentes de STOCK</v>
      </c>
      <c r="E792" s="1" t="str">
        <f>IFERROR(__xludf.DUMMYFUNCTION("""COMPUTED_VALUE"""),"RIVADAVIA Marcela L")</f>
        <v>RIVADAVIA Marcela L</v>
      </c>
      <c r="F792" s="1" t="str">
        <f t="shared" si="1"/>
        <v>RIVADAVIA </v>
      </c>
      <c r="G792" s="1" t="str">
        <f t="shared" si="2"/>
        <v>Marcela L</v>
      </c>
      <c r="H792" s="1" t="str">
        <f>IFERROR(__xludf.DUMMYFUNCTION("""COMPUTED_VALUE"""),"25/1/2023, 17:00:00")</f>
        <v>25/1/2023, 17:00:00</v>
      </c>
      <c r="I792" s="1" t="str">
        <f>IFERROR(__xludf.DUMMYFUNCTION("""COMPUTED_VALUE"""),"RETIRADO OK POR CLIENTE")</f>
        <v>RETIRADO OK POR CLIENTE</v>
      </c>
      <c r="J792" s="1">
        <f t="shared" si="3"/>
        <v>6</v>
      </c>
      <c r="K792" s="1" t="str">
        <f t="shared" si="4"/>
        <v>Entregamos tus lentes, que los disfrutes!</v>
      </c>
    </row>
    <row r="793">
      <c r="A793" s="1">
        <f>IFERROR(__xludf.DUMMYFUNCTION("""COMPUTED_VALUE"""),85343.0)</f>
        <v>85343</v>
      </c>
      <c r="B793" s="5">
        <f>IFERROR(__xludf.DUMMYFUNCTION("""COMPUTED_VALUE"""),44946.44060666667)</f>
        <v>44946.44061</v>
      </c>
      <c r="C793" s="1" t="str">
        <f>IFERROR(__xludf.DUMMYFUNCTION("""COMPUTED_VALUE"""),"PERRONI SUSANA")</f>
        <v>PERRONI SUSANA</v>
      </c>
      <c r="D793" s="1" t="str">
        <f>IFERROR(__xludf.DUMMYFUNCTION("""COMPUTED_VALUE"""),"Lentes de STOCK")</f>
        <v>Lentes de STOCK</v>
      </c>
      <c r="E793" s="1" t="str">
        <f>IFERROR(__xludf.DUMMYFUNCTION("""COMPUTED_VALUE"""),"ARTIGAS Ivana P.")</f>
        <v>ARTIGAS Ivana P.</v>
      </c>
      <c r="F793" s="1" t="str">
        <f t="shared" si="1"/>
        <v>ARTIGAS </v>
      </c>
      <c r="G793" s="1" t="str">
        <f t="shared" si="2"/>
        <v>Ivana P.</v>
      </c>
      <c r="H793" s="1" t="str">
        <f>IFERROR(__xludf.DUMMYFUNCTION("""COMPUTED_VALUE"""),"26/1/2023, 17:00:00")</f>
        <v>26/1/2023, 17:00:00</v>
      </c>
      <c r="I793" s="1" t="str">
        <f>IFERROR(__xludf.DUMMYFUNCTION("""COMPUTED_VALUE"""),"RETIRADO OK POR CLIENTE")</f>
        <v>RETIRADO OK POR CLIENTE</v>
      </c>
      <c r="J793" s="1">
        <f t="shared" si="3"/>
        <v>6</v>
      </c>
      <c r="K793" s="1" t="str">
        <f t="shared" si="4"/>
        <v>Entregamos tus lentes, que los disfrutes!</v>
      </c>
    </row>
    <row r="794">
      <c r="A794" s="1">
        <f>IFERROR(__xludf.DUMMYFUNCTION("""COMPUTED_VALUE"""),85344.0)</f>
        <v>85344</v>
      </c>
      <c r="B794" s="5">
        <f>IFERROR(__xludf.DUMMYFUNCTION("""COMPUTED_VALUE"""),44946.44074377315)</f>
        <v>44946.44074</v>
      </c>
      <c r="C794" s="1" t="str">
        <f>IFERROR(__xludf.DUMMYFUNCTION("""COMPUTED_VALUE"""),"Quiroga Florinda")</f>
        <v>Quiroga Florinda</v>
      </c>
      <c r="D794" s="1" t="str">
        <f>IFERROR(__xludf.DUMMYFUNCTION("""COMPUTED_VALUE"""),"Lentes de STOCK")</f>
        <v>Lentes de STOCK</v>
      </c>
      <c r="E794" s="1" t="str">
        <f>IFERROR(__xludf.DUMMYFUNCTION("""COMPUTED_VALUE"""),"RIVADAVIA Santiago LOPEZ")</f>
        <v>RIVADAVIA Santiago LOPEZ</v>
      </c>
      <c r="F794" s="1" t="str">
        <f t="shared" si="1"/>
        <v>RIVADAVIA </v>
      </c>
      <c r="G794" s="1" t="str">
        <f t="shared" si="2"/>
        <v>Santiago LOPEZ</v>
      </c>
      <c r="H794" s="1" t="str">
        <f>IFERROR(__xludf.DUMMYFUNCTION("""COMPUTED_VALUE"""),"24/1/2023, 17:00:00")</f>
        <v>24/1/2023, 17:00:00</v>
      </c>
      <c r="I794" s="1" t="str">
        <f>IFERROR(__xludf.DUMMYFUNCTION("""COMPUTED_VALUE"""),"Recibido en Laboratorio")</f>
        <v>Recibido en Laboratorio</v>
      </c>
      <c r="J794" s="1">
        <f t="shared" si="3"/>
        <v>2</v>
      </c>
      <c r="K794" s="1" t="str">
        <f t="shared" si="4"/>
        <v>Nuestro Laboratorio esta trabajando en tus lentes, los entregaremos en la fecha acordada.</v>
      </c>
    </row>
    <row r="795">
      <c r="A795" s="1">
        <f>IFERROR(__xludf.DUMMYFUNCTION("""COMPUTED_VALUE"""),85345.0)</f>
        <v>85345</v>
      </c>
      <c r="B795" s="5">
        <f>IFERROR(__xludf.DUMMYFUNCTION("""COMPUTED_VALUE"""),44946.44143850694)</f>
        <v>44946.44144</v>
      </c>
      <c r="C795" s="1" t="str">
        <f>IFERROR(__xludf.DUMMYFUNCTION("""COMPUTED_VALUE"""),"ROSALES ALBA ")</f>
        <v>ROSALES ALBA </v>
      </c>
      <c r="D795" s="1" t="str">
        <f>IFERROR(__xludf.DUMMYFUNCTION("""COMPUTED_VALUE"""),"Reparaciones/Otros")</f>
        <v>Reparaciones/Otros</v>
      </c>
      <c r="E795" s="1" t="str">
        <f>IFERROR(__xludf.DUMMYFUNCTION("""COMPUTED_VALUE"""),"RIVADAVIA Santiago N")</f>
        <v>RIVADAVIA Santiago N</v>
      </c>
      <c r="F795" s="1" t="str">
        <f t="shared" si="1"/>
        <v>RIVADAVIA </v>
      </c>
      <c r="G795" s="1" t="str">
        <f t="shared" si="2"/>
        <v>Santiago N</v>
      </c>
      <c r="H795" s="1" t="str">
        <f>IFERROR(__xludf.DUMMYFUNCTION("""COMPUTED_VALUE"""),"21/1/2023, 17:00:00")</f>
        <v>21/1/2023, 17:00:00</v>
      </c>
      <c r="I795" s="1" t="str">
        <f>IFERROR(__xludf.DUMMYFUNCTION("""COMPUTED_VALUE"""),"Completado en SUCURSAL")</f>
        <v>Completado en SUCURSAL</v>
      </c>
      <c r="J795" s="1">
        <f t="shared" si="3"/>
        <v>5</v>
      </c>
      <c r="K795" s="1" t="str">
        <f t="shared" si="4"/>
        <v>Tus Lentes estan LISTAS PARA ENTREGAR, te esperamos.</v>
      </c>
    </row>
    <row r="796">
      <c r="A796" s="1">
        <f>IFERROR(__xludf.DUMMYFUNCTION("""COMPUTED_VALUE"""),85346.0)</f>
        <v>85346</v>
      </c>
      <c r="B796" s="5">
        <f>IFERROR(__xludf.DUMMYFUNCTION("""COMPUTED_VALUE"""),44946.44366870371)</f>
        <v>44946.44367</v>
      </c>
      <c r="C796" s="1" t="str">
        <f>IFERROR(__xludf.DUMMYFUNCTION("""COMPUTED_VALUE"""),"MORENO SANTIAGO")</f>
        <v>MORENO SANTIAGO</v>
      </c>
      <c r="D796" s="1" t="str">
        <f>IFERROR(__xludf.DUMMYFUNCTION("""COMPUTED_VALUE"""),"Lentes de LABORATORIO")</f>
        <v>Lentes de LABORATORIO</v>
      </c>
      <c r="E796" s="1" t="str">
        <f>IFERROR(__xludf.DUMMYFUNCTION("""COMPUTED_VALUE"""),"ARTIGAS Cristian C.")</f>
        <v>ARTIGAS Cristian C.</v>
      </c>
      <c r="F796" s="1" t="str">
        <f t="shared" si="1"/>
        <v>ARTIGAS </v>
      </c>
      <c r="G796" s="1" t="str">
        <f t="shared" si="2"/>
        <v>Cristian C.</v>
      </c>
      <c r="H796" s="1" t="str">
        <f>IFERROR(__xludf.DUMMYFUNCTION("""COMPUTED_VALUE"""),"30/1/2023, 17:00:00")</f>
        <v>30/1/2023, 17:00:00</v>
      </c>
      <c r="I796" s="1" t="str">
        <f>IFERROR(__xludf.DUMMYFUNCTION("""COMPUTED_VALUE"""),"RETIRADO OK POR CLIENTE")</f>
        <v>RETIRADO OK POR CLIENTE</v>
      </c>
      <c r="J796" s="1">
        <f t="shared" si="3"/>
        <v>6</v>
      </c>
      <c r="K796" s="1" t="str">
        <f t="shared" si="4"/>
        <v>Entregamos tus lentes, que los disfrutes!</v>
      </c>
    </row>
    <row r="797">
      <c r="A797" s="1">
        <f>IFERROR(__xludf.DUMMYFUNCTION("""COMPUTED_VALUE"""),85347.0)</f>
        <v>85347</v>
      </c>
      <c r="B797" s="5">
        <f>IFERROR(__xludf.DUMMYFUNCTION("""COMPUTED_VALUE"""),44946.451480289354)</f>
        <v>44946.45148</v>
      </c>
      <c r="C797" s="1" t="str">
        <f>IFERROR(__xludf.DUMMYFUNCTION("""COMPUTED_VALUE"""),"Lorca Betania")</f>
        <v>Lorca Betania</v>
      </c>
      <c r="D797" s="1" t="str">
        <f>IFERROR(__xludf.DUMMYFUNCTION("""COMPUTED_VALUE"""),"Lentes de STOCK")</f>
        <v>Lentes de STOCK</v>
      </c>
      <c r="E797" s="1" t="str">
        <f>IFERROR(__xludf.DUMMYFUNCTION("""COMPUTED_VALUE"""),"RIVADAVIA Rocio B")</f>
        <v>RIVADAVIA Rocio B</v>
      </c>
      <c r="F797" s="1" t="str">
        <f t="shared" si="1"/>
        <v>RIVADAVIA </v>
      </c>
      <c r="G797" s="1" t="str">
        <f t="shared" si="2"/>
        <v>Rocio B</v>
      </c>
      <c r="H797" s="1" t="str">
        <f>IFERROR(__xludf.DUMMYFUNCTION("""COMPUTED_VALUE"""),"27/1/2023, 17:00:00")</f>
        <v>27/1/2023, 17:00:00</v>
      </c>
      <c r="I797" s="1" t="str">
        <f>IFERROR(__xludf.DUMMYFUNCTION("""COMPUTED_VALUE"""),"Completado en SUCURSAL")</f>
        <v>Completado en SUCURSAL</v>
      </c>
      <c r="J797" s="1">
        <f t="shared" si="3"/>
        <v>5</v>
      </c>
      <c r="K797" s="1" t="str">
        <f t="shared" si="4"/>
        <v>Tus Lentes estan LISTAS PARA ENTREGAR, te esperamos.</v>
      </c>
    </row>
    <row r="798">
      <c r="A798" s="1">
        <f>IFERROR(__xludf.DUMMYFUNCTION("""COMPUTED_VALUE"""),85348.0)</f>
        <v>85348</v>
      </c>
      <c r="B798" s="5">
        <f>IFERROR(__xludf.DUMMYFUNCTION("""COMPUTED_VALUE"""),44946.45351396991)</f>
        <v>44946.45351</v>
      </c>
      <c r="C798" s="1" t="str">
        <f>IFERROR(__xludf.DUMMYFUNCTION("""COMPUTED_VALUE"""),"CHAVEZ RAUL CRISTIAN")</f>
        <v>CHAVEZ RAUL CRISTIAN</v>
      </c>
      <c r="D798" s="1" t="str">
        <f>IFERROR(__xludf.DUMMYFUNCTION("""COMPUTED_VALUE"""),"Lentes MULTIFOCALES")</f>
        <v>Lentes MULTIFOCALES</v>
      </c>
      <c r="E798" s="1" t="str">
        <f>IFERROR(__xludf.DUMMYFUNCTION("""COMPUTED_VALUE"""),"RIVADAVIA Marcela L")</f>
        <v>RIVADAVIA Marcela L</v>
      </c>
      <c r="F798" s="1" t="str">
        <f t="shared" si="1"/>
        <v>RIVADAVIA </v>
      </c>
      <c r="G798" s="1" t="str">
        <f t="shared" si="2"/>
        <v>Marcela L</v>
      </c>
      <c r="H798" s="1" t="str">
        <f>IFERROR(__xludf.DUMMYFUNCTION("""COMPUTED_VALUE"""),"3/2/2023, 17:00:00")</f>
        <v>3/2/2023, 17:00:00</v>
      </c>
      <c r="I798" s="1" t="str">
        <f>IFERROR(__xludf.DUMMYFUNCTION("""COMPUTED_VALUE"""),"RETIRADO OK POR CLIENTE")</f>
        <v>RETIRADO OK POR CLIENTE</v>
      </c>
      <c r="J798" s="1">
        <f t="shared" si="3"/>
        <v>6</v>
      </c>
      <c r="K798" s="1" t="str">
        <f t="shared" si="4"/>
        <v>Entregamos tus lentes, que los disfrutes!</v>
      </c>
    </row>
    <row r="799">
      <c r="A799" s="1">
        <f>IFERROR(__xludf.DUMMYFUNCTION("""COMPUTED_VALUE"""),85349.0)</f>
        <v>85349</v>
      </c>
      <c r="B799" s="5">
        <f>IFERROR(__xludf.DUMMYFUNCTION("""COMPUTED_VALUE"""),44946.45355696759)</f>
        <v>44946.45356</v>
      </c>
      <c r="C799" s="1" t="str">
        <f>IFERROR(__xludf.DUMMYFUNCTION("""COMPUTED_VALUE"""),"ALBORNOZ FABIANA")</f>
        <v>ALBORNOZ FABIANA</v>
      </c>
      <c r="D799" s="1" t="str">
        <f>IFERROR(__xludf.DUMMYFUNCTION("""COMPUTED_VALUE"""),"Lentes de STOCK")</f>
        <v>Lentes de STOCK</v>
      </c>
      <c r="E799" s="1" t="str">
        <f>IFERROR(__xludf.DUMMYFUNCTION("""COMPUTED_VALUE"""),"RIVADAVIA Luciana")</f>
        <v>RIVADAVIA Luciana</v>
      </c>
      <c r="F799" s="1" t="str">
        <f t="shared" si="1"/>
        <v>RIVADAVIA </v>
      </c>
      <c r="G799" s="1" t="str">
        <f t="shared" si="2"/>
        <v>Luciana</v>
      </c>
      <c r="H799" s="1" t="str">
        <f>IFERROR(__xludf.DUMMYFUNCTION("""COMPUTED_VALUE"""),"25/1/2023, 17:00:00")</f>
        <v>25/1/2023, 17:00:00</v>
      </c>
      <c r="I799" s="1" t="str">
        <f>IFERROR(__xludf.DUMMYFUNCTION("""COMPUTED_VALUE"""),"RETIRADO OK POR CLIENTE")</f>
        <v>RETIRADO OK POR CLIENTE</v>
      </c>
      <c r="J799" s="1">
        <f t="shared" si="3"/>
        <v>6</v>
      </c>
      <c r="K799" s="1" t="str">
        <f t="shared" si="4"/>
        <v>Entregamos tus lentes, que los disfrutes!</v>
      </c>
    </row>
    <row r="800">
      <c r="A800" s="1">
        <f>IFERROR(__xludf.DUMMYFUNCTION("""COMPUTED_VALUE"""),85350.0)</f>
        <v>85350</v>
      </c>
      <c r="B800" s="5">
        <f>IFERROR(__xludf.DUMMYFUNCTION("""COMPUTED_VALUE"""),44946.45357548611)</f>
        <v>44946.45358</v>
      </c>
      <c r="C800" s="1" t="str">
        <f>IFERROR(__xludf.DUMMYFUNCTION("""COMPUTED_VALUE"""),"ESCUDERO HECTOR")</f>
        <v>ESCUDERO HECTOR</v>
      </c>
      <c r="D800" s="1" t="str">
        <f>IFERROR(__xludf.DUMMYFUNCTION("""COMPUTED_VALUE"""),"Lentes de STOCK")</f>
        <v>Lentes de STOCK</v>
      </c>
      <c r="E800" s="1" t="str">
        <f>IFERROR(__xludf.DUMMYFUNCTION("""COMPUTED_VALUE"""),"ARTIGAS Ivana P.")</f>
        <v>ARTIGAS Ivana P.</v>
      </c>
      <c r="F800" s="1" t="str">
        <f t="shared" si="1"/>
        <v>ARTIGAS </v>
      </c>
      <c r="G800" s="1" t="str">
        <f t="shared" si="2"/>
        <v>Ivana P.</v>
      </c>
      <c r="H800" s="1" t="str">
        <f>IFERROR(__xludf.DUMMYFUNCTION("""COMPUTED_VALUE"""),"25/1/2023, 17:00:00")</f>
        <v>25/1/2023, 17:00:00</v>
      </c>
      <c r="I800" s="1" t="str">
        <f>IFERROR(__xludf.DUMMYFUNCTION("""COMPUTED_VALUE"""),"RETIRADO OK POR CLIENTE")</f>
        <v>RETIRADO OK POR CLIENTE</v>
      </c>
      <c r="J800" s="1">
        <f t="shared" si="3"/>
        <v>6</v>
      </c>
      <c r="K800" s="1" t="str">
        <f t="shared" si="4"/>
        <v>Entregamos tus lentes, que los disfrutes!</v>
      </c>
    </row>
    <row r="801">
      <c r="A801" s="1">
        <f>IFERROR(__xludf.DUMMYFUNCTION("""COMPUTED_VALUE"""),85351.0)</f>
        <v>85351</v>
      </c>
      <c r="B801" s="5">
        <f>IFERROR(__xludf.DUMMYFUNCTION("""COMPUTED_VALUE"""),44946.4626866551)</f>
        <v>44946.46269</v>
      </c>
      <c r="C801" s="1" t="str">
        <f>IFERROR(__xludf.DUMMYFUNCTION("""COMPUTED_VALUE"""),"FERNANDEZ ANGELICA MABEL")</f>
        <v>FERNANDEZ ANGELICA MABEL</v>
      </c>
      <c r="D801" s="1" t="str">
        <f>IFERROR(__xludf.DUMMYFUNCTION("""COMPUTED_VALUE"""),"Lentes de STOCK")</f>
        <v>Lentes de STOCK</v>
      </c>
      <c r="E801" s="1" t="str">
        <f>IFERROR(__xludf.DUMMYFUNCTION("""COMPUTED_VALUE"""),"RIVADAVIA Marcela L")</f>
        <v>RIVADAVIA Marcela L</v>
      </c>
      <c r="F801" s="1" t="str">
        <f t="shared" si="1"/>
        <v>RIVADAVIA </v>
      </c>
      <c r="G801" s="1" t="str">
        <f t="shared" si="2"/>
        <v>Marcela L</v>
      </c>
      <c r="H801" s="1" t="str">
        <f>IFERROR(__xludf.DUMMYFUNCTION("""COMPUTED_VALUE"""),"25/1/2023, 17:00:00")</f>
        <v>25/1/2023, 17:00:00</v>
      </c>
      <c r="I801" s="1" t="str">
        <f>IFERROR(__xludf.DUMMYFUNCTION("""COMPUTED_VALUE"""),"Completado en SUCURSAL")</f>
        <v>Completado en SUCURSAL</v>
      </c>
      <c r="J801" s="1">
        <f t="shared" si="3"/>
        <v>5</v>
      </c>
      <c r="K801" s="1" t="str">
        <f t="shared" si="4"/>
        <v>Tus Lentes estan LISTAS PARA ENTREGAR, te esperamos.</v>
      </c>
    </row>
    <row r="802">
      <c r="A802" s="1">
        <f>IFERROR(__xludf.DUMMYFUNCTION("""COMPUTED_VALUE"""),85352.0)</f>
        <v>85352</v>
      </c>
      <c r="B802" s="5">
        <f>IFERROR(__xludf.DUMMYFUNCTION("""COMPUTED_VALUE"""),44946.46332896991)</f>
        <v>44946.46333</v>
      </c>
      <c r="C802" s="1" t="str">
        <f>IFERROR(__xludf.DUMMYFUNCTION("""COMPUTED_VALUE"""),"MORENO NORBERTO ")</f>
        <v>MORENO NORBERTO </v>
      </c>
      <c r="D802" s="1" t="str">
        <f>IFERROR(__xludf.DUMMYFUNCTION("""COMPUTED_VALUE"""),"Lentes BIFOCALES")</f>
        <v>Lentes BIFOCALES</v>
      </c>
      <c r="E802" s="1" t="str">
        <f>IFERROR(__xludf.DUMMYFUNCTION("""COMPUTED_VALUE"""),"RIVADAVIA Luciana")</f>
        <v>RIVADAVIA Luciana</v>
      </c>
      <c r="F802" s="1" t="str">
        <f t="shared" si="1"/>
        <v>RIVADAVIA </v>
      </c>
      <c r="G802" s="1" t="str">
        <f t="shared" si="2"/>
        <v>Luciana</v>
      </c>
      <c r="H802" s="1" t="str">
        <f>IFERROR(__xludf.DUMMYFUNCTION("""COMPUTED_VALUE"""),"25/1/2023, 17:00:00")</f>
        <v>25/1/2023, 17:00:00</v>
      </c>
      <c r="I802" s="1"/>
      <c r="J802" s="1">
        <f t="shared" si="3"/>
        <v>0</v>
      </c>
      <c r="K802" s="1" t="str">
        <f t="shared" si="4"/>
        <v/>
      </c>
    </row>
    <row r="803">
      <c r="A803" s="1">
        <f>IFERROR(__xludf.DUMMYFUNCTION("""COMPUTED_VALUE"""),85353.0)</f>
        <v>85353</v>
      </c>
      <c r="B803" s="5">
        <f>IFERROR(__xludf.DUMMYFUNCTION("""COMPUTED_VALUE"""),44946.46812634259)</f>
        <v>44946.46813</v>
      </c>
      <c r="C803" s="1" t="str">
        <f>IFERROR(__xludf.DUMMYFUNCTION("""COMPUTED_VALUE"""),"MORENO NORBERTO DANIEL ")</f>
        <v>MORENO NORBERTO DANIEL </v>
      </c>
      <c r="D803" s="1" t="str">
        <f>IFERROR(__xludf.DUMMYFUNCTION("""COMPUTED_VALUE"""),"Lentes BIFOCALES")</f>
        <v>Lentes BIFOCALES</v>
      </c>
      <c r="E803" s="1" t="str">
        <f>IFERROR(__xludf.DUMMYFUNCTION("""COMPUTED_VALUE"""),"RIVADAVIA Luciana")</f>
        <v>RIVADAVIA Luciana</v>
      </c>
      <c r="F803" s="1" t="str">
        <f t="shared" si="1"/>
        <v>RIVADAVIA </v>
      </c>
      <c r="G803" s="1" t="str">
        <f t="shared" si="2"/>
        <v>Luciana</v>
      </c>
      <c r="H803" s="1" t="str">
        <f>IFERROR(__xludf.DUMMYFUNCTION("""COMPUTED_VALUE"""),"1/2/2023, 17:00:00")</f>
        <v>1/2/2023, 17:00:00</v>
      </c>
      <c r="I803" s="1" t="str">
        <f>IFERROR(__xludf.DUMMYFUNCTION("""COMPUTED_VALUE"""),"RETIRADO OK POR CLIENTE")</f>
        <v>RETIRADO OK POR CLIENTE</v>
      </c>
      <c r="J803" s="1">
        <f t="shared" si="3"/>
        <v>6</v>
      </c>
      <c r="K803" s="1" t="str">
        <f t="shared" si="4"/>
        <v>Entregamos tus lentes, que los disfrutes!</v>
      </c>
    </row>
    <row r="804">
      <c r="A804" s="1">
        <f>IFERROR(__xludf.DUMMYFUNCTION("""COMPUTED_VALUE"""),85354.0)</f>
        <v>85354</v>
      </c>
      <c r="B804" s="5">
        <f>IFERROR(__xludf.DUMMYFUNCTION("""COMPUTED_VALUE"""),44946.47067032407)</f>
        <v>44946.47067</v>
      </c>
      <c r="C804" s="1" t="str">
        <f>IFERROR(__xludf.DUMMYFUNCTION("""COMPUTED_VALUE"""),"BARBIERI SILVIA")</f>
        <v>BARBIERI SILVIA</v>
      </c>
      <c r="D804" s="1" t="str">
        <f>IFERROR(__xludf.DUMMYFUNCTION("""COMPUTED_VALUE"""),"Lentes de STOCK")</f>
        <v>Lentes de STOCK</v>
      </c>
      <c r="E804" s="1" t="str">
        <f>IFERROR(__xludf.DUMMYFUNCTION("""COMPUTED_VALUE"""),"ARTIGAS Ivana P.")</f>
        <v>ARTIGAS Ivana P.</v>
      </c>
      <c r="F804" s="1" t="str">
        <f t="shared" si="1"/>
        <v>ARTIGAS </v>
      </c>
      <c r="G804" s="1" t="str">
        <f t="shared" si="2"/>
        <v>Ivana P.</v>
      </c>
      <c r="H804" s="1" t="str">
        <f>IFERROR(__xludf.DUMMYFUNCTION("""COMPUTED_VALUE"""),"24/1/2023, 17:00:00")</f>
        <v>24/1/2023, 17:00:00</v>
      </c>
      <c r="I804" s="1" t="str">
        <f>IFERROR(__xludf.DUMMYFUNCTION("""COMPUTED_VALUE"""),"Completado en SUCURSAL")</f>
        <v>Completado en SUCURSAL</v>
      </c>
      <c r="J804" s="1">
        <f t="shared" si="3"/>
        <v>5</v>
      </c>
      <c r="K804" s="1" t="str">
        <f t="shared" si="4"/>
        <v>Tus Lentes estan LISTAS PARA ENTREGAR, te esperamos.</v>
      </c>
    </row>
    <row r="805">
      <c r="A805" s="1">
        <f>IFERROR(__xludf.DUMMYFUNCTION("""COMPUTED_VALUE"""),85355.0)</f>
        <v>85355</v>
      </c>
      <c r="B805" s="5">
        <f>IFERROR(__xludf.DUMMYFUNCTION("""COMPUTED_VALUE"""),44946.48095516204)</f>
        <v>44946.48096</v>
      </c>
      <c r="C805" s="1" t="str">
        <f>IFERROR(__xludf.DUMMYFUNCTION("""COMPUTED_VALUE"""),"MORA OSCAR")</f>
        <v>MORA OSCAR</v>
      </c>
      <c r="D805" s="1" t="str">
        <f>IFERROR(__xludf.DUMMYFUNCTION("""COMPUTED_VALUE"""),"Lentes MULTIFOCALES")</f>
        <v>Lentes MULTIFOCALES</v>
      </c>
      <c r="E805" s="1" t="str">
        <f>IFERROR(__xludf.DUMMYFUNCTION("""COMPUTED_VALUE"""),"ARTIGAS Ivana P.")</f>
        <v>ARTIGAS Ivana P.</v>
      </c>
      <c r="F805" s="1" t="str">
        <f t="shared" si="1"/>
        <v>ARTIGAS </v>
      </c>
      <c r="G805" s="1" t="str">
        <f t="shared" si="2"/>
        <v>Ivana P.</v>
      </c>
      <c r="H805" s="1" t="str">
        <f>IFERROR(__xludf.DUMMYFUNCTION("""COMPUTED_VALUE"""),"2/2/2023, 17:00:00")</f>
        <v>2/2/2023, 17:00:00</v>
      </c>
      <c r="I805" s="1" t="str">
        <f>IFERROR(__xludf.DUMMYFUNCTION("""COMPUTED_VALUE"""),"RETIRADO OK POR CLIENTE")</f>
        <v>RETIRADO OK POR CLIENTE</v>
      </c>
      <c r="J805" s="1">
        <f t="shared" si="3"/>
        <v>6</v>
      </c>
      <c r="K805" s="1" t="str">
        <f t="shared" si="4"/>
        <v>Entregamos tus lentes, que los disfrutes!</v>
      </c>
    </row>
    <row r="806">
      <c r="A806" s="1">
        <f>IFERROR(__xludf.DUMMYFUNCTION("""COMPUTED_VALUE"""),85356.0)</f>
        <v>85356</v>
      </c>
      <c r="B806" s="5">
        <f>IFERROR(__xludf.DUMMYFUNCTION("""COMPUTED_VALUE"""),44946.48498392361)</f>
        <v>44946.48498</v>
      </c>
      <c r="C806" s="1" t="str">
        <f>IFERROR(__xludf.DUMMYFUNCTION("""COMPUTED_VALUE"""),"GODOY SANDRA ")</f>
        <v>GODOY SANDRA </v>
      </c>
      <c r="D806" s="1" t="str">
        <f>IFERROR(__xludf.DUMMYFUNCTION("""COMPUTED_VALUE"""),"Lentes de STOCK")</f>
        <v>Lentes de STOCK</v>
      </c>
      <c r="E806" s="1" t="str">
        <f>IFERROR(__xludf.DUMMYFUNCTION("""COMPUTED_VALUE"""),"RIVADAVIA Luciana")</f>
        <v>RIVADAVIA Luciana</v>
      </c>
      <c r="F806" s="1" t="str">
        <f t="shared" si="1"/>
        <v>RIVADAVIA </v>
      </c>
      <c r="G806" s="1" t="str">
        <f t="shared" si="2"/>
        <v>Luciana</v>
      </c>
      <c r="H806" s="1" t="str">
        <f>IFERROR(__xludf.DUMMYFUNCTION("""COMPUTED_VALUE"""),"26/1/2023, 17:00:00")</f>
        <v>26/1/2023, 17:00:00</v>
      </c>
      <c r="I806" s="1" t="str">
        <f>IFERROR(__xludf.DUMMYFUNCTION("""COMPUTED_VALUE"""),"RETIRADO OK POR CLIENTE")</f>
        <v>RETIRADO OK POR CLIENTE</v>
      </c>
      <c r="J806" s="1">
        <f t="shared" si="3"/>
        <v>6</v>
      </c>
      <c r="K806" s="1" t="str">
        <f t="shared" si="4"/>
        <v>Entregamos tus lentes, que los disfrutes!</v>
      </c>
    </row>
    <row r="807">
      <c r="A807" s="1">
        <f>IFERROR(__xludf.DUMMYFUNCTION("""COMPUTED_VALUE"""),85357.0)</f>
        <v>85357</v>
      </c>
      <c r="B807" s="5">
        <f>IFERROR(__xludf.DUMMYFUNCTION("""COMPUTED_VALUE"""),44946.48864967593)</f>
        <v>44946.48865</v>
      </c>
      <c r="C807" s="1" t="str">
        <f>IFERROR(__xludf.DUMMYFUNCTION("""COMPUTED_VALUE"""),"Alvares Pedro")</f>
        <v>Alvares Pedro</v>
      </c>
      <c r="D807" s="1" t="str">
        <f>IFERROR(__xludf.DUMMYFUNCTION("""COMPUTED_VALUE"""),"Lentes de STOCK")</f>
        <v>Lentes de STOCK</v>
      </c>
      <c r="E807" s="1" t="str">
        <f>IFERROR(__xludf.DUMMYFUNCTION("""COMPUTED_VALUE"""),"RIVADAVIA Rocio B")</f>
        <v>RIVADAVIA Rocio B</v>
      </c>
      <c r="F807" s="1" t="str">
        <f t="shared" si="1"/>
        <v>RIVADAVIA </v>
      </c>
      <c r="G807" s="1" t="str">
        <f t="shared" si="2"/>
        <v>Rocio B</v>
      </c>
      <c r="H807" s="1" t="str">
        <f>IFERROR(__xludf.DUMMYFUNCTION("""COMPUTED_VALUE"""),"26/1/2023, 17:00:00")</f>
        <v>26/1/2023, 17:00:00</v>
      </c>
      <c r="I807" s="1" t="str">
        <f>IFERROR(__xludf.DUMMYFUNCTION("""COMPUTED_VALUE"""),"RETIRADO OK POR CLIENTE")</f>
        <v>RETIRADO OK POR CLIENTE</v>
      </c>
      <c r="J807" s="1">
        <f t="shared" si="3"/>
        <v>6</v>
      </c>
      <c r="K807" s="1" t="str">
        <f t="shared" si="4"/>
        <v>Entregamos tus lentes, que los disfrutes!</v>
      </c>
    </row>
    <row r="808">
      <c r="A808" s="1">
        <f>IFERROR(__xludf.DUMMYFUNCTION("""COMPUTED_VALUE"""),85358.0)</f>
        <v>85358</v>
      </c>
      <c r="B808" s="5">
        <f>IFERROR(__xludf.DUMMYFUNCTION("""COMPUTED_VALUE"""),44946.492774768514)</f>
        <v>44946.49277</v>
      </c>
      <c r="C808" s="1" t="str">
        <f>IFERROR(__xludf.DUMMYFUNCTION("""COMPUTED_VALUE"""),"GIMENEZ JUAN CARLOS")</f>
        <v>GIMENEZ JUAN CARLOS</v>
      </c>
      <c r="D808" s="1" t="str">
        <f>IFERROR(__xludf.DUMMYFUNCTION("""COMPUTED_VALUE"""),"Reparaciones/Otros")</f>
        <v>Reparaciones/Otros</v>
      </c>
      <c r="E808" s="1" t="str">
        <f>IFERROR(__xludf.DUMMYFUNCTION("""COMPUTED_VALUE"""),"ARTIGAS Ivana P.")</f>
        <v>ARTIGAS Ivana P.</v>
      </c>
      <c r="F808" s="1" t="str">
        <f t="shared" si="1"/>
        <v>ARTIGAS </v>
      </c>
      <c r="G808" s="1" t="str">
        <f t="shared" si="2"/>
        <v>Ivana P.</v>
      </c>
      <c r="H808" s="1" t="str">
        <f>IFERROR(__xludf.DUMMYFUNCTION("""COMPUTED_VALUE"""),"23/1/2023, 17:00:00")</f>
        <v>23/1/2023, 17:00:00</v>
      </c>
      <c r="I808" s="1" t="str">
        <f>IFERROR(__xludf.DUMMYFUNCTION("""COMPUTED_VALUE"""),"Recibido en Laboratorio")</f>
        <v>Recibido en Laboratorio</v>
      </c>
      <c r="J808" s="1">
        <f t="shared" si="3"/>
        <v>2</v>
      </c>
      <c r="K808" s="1" t="str">
        <f t="shared" si="4"/>
        <v>Nuestro Laboratorio esta trabajando en tus lentes, los entregaremos en la fecha acordada.</v>
      </c>
    </row>
    <row r="809">
      <c r="A809" s="1">
        <f>IFERROR(__xludf.DUMMYFUNCTION("""COMPUTED_VALUE"""),85359.0)</f>
        <v>85359</v>
      </c>
      <c r="B809" s="5">
        <f>IFERROR(__xludf.DUMMYFUNCTION("""COMPUTED_VALUE"""),44946.494912187496)</f>
        <v>44946.49491</v>
      </c>
      <c r="C809" s="1" t="str">
        <f>IFERROR(__xludf.DUMMYFUNCTION("""COMPUTED_VALUE"""),"VERA CARLOS ADRIAN")</f>
        <v>VERA CARLOS ADRIAN</v>
      </c>
      <c r="D809" s="1" t="str">
        <f>IFERROR(__xludf.DUMMYFUNCTION("""COMPUTED_VALUE"""),"Lentes de STOCK")</f>
        <v>Lentes de STOCK</v>
      </c>
      <c r="E809" s="1" t="str">
        <f>IFERROR(__xludf.DUMMYFUNCTION("""COMPUTED_VALUE"""),"ARTIGAS Cristian C.")</f>
        <v>ARTIGAS Cristian C.</v>
      </c>
      <c r="F809" s="1" t="str">
        <f t="shared" si="1"/>
        <v>ARTIGAS </v>
      </c>
      <c r="G809" s="1" t="str">
        <f t="shared" si="2"/>
        <v>Cristian C.</v>
      </c>
      <c r="H809" s="1" t="str">
        <f>IFERROR(__xludf.DUMMYFUNCTION("""COMPUTED_VALUE"""),"25/1/2023, 17:00:00")</f>
        <v>25/1/2023, 17:00:00</v>
      </c>
      <c r="I809" s="1" t="str">
        <f>IFERROR(__xludf.DUMMYFUNCTION("""COMPUTED_VALUE"""),"RETIRADO OK POR CLIENTE")</f>
        <v>RETIRADO OK POR CLIENTE</v>
      </c>
      <c r="J809" s="1">
        <f t="shared" si="3"/>
        <v>6</v>
      </c>
      <c r="K809" s="1" t="str">
        <f t="shared" si="4"/>
        <v>Entregamos tus lentes, que los disfrutes!</v>
      </c>
    </row>
    <row r="810">
      <c r="A810" s="1">
        <f>IFERROR(__xludf.DUMMYFUNCTION("""COMPUTED_VALUE"""),85360.0)</f>
        <v>85360</v>
      </c>
      <c r="B810" s="5">
        <f>IFERROR(__xludf.DUMMYFUNCTION("""COMPUTED_VALUE"""),44946.49807030092)</f>
        <v>44946.49807</v>
      </c>
      <c r="C810" s="1" t="str">
        <f>IFERROR(__xludf.DUMMYFUNCTION("""COMPUTED_VALUE"""),"BACRI JORGE")</f>
        <v>BACRI JORGE</v>
      </c>
      <c r="D810" s="1" t="str">
        <f>IFERROR(__xludf.DUMMYFUNCTION("""COMPUTED_VALUE"""),"Lentes de STOCK")</f>
        <v>Lentes de STOCK</v>
      </c>
      <c r="E810" s="1" t="str">
        <f>IFERROR(__xludf.DUMMYFUNCTION("""COMPUTED_VALUE"""),"RIVADAVIA Santiago LOPEZ")</f>
        <v>RIVADAVIA Santiago LOPEZ</v>
      </c>
      <c r="F810" s="1" t="str">
        <f t="shared" si="1"/>
        <v>RIVADAVIA </v>
      </c>
      <c r="G810" s="1" t="str">
        <f t="shared" si="2"/>
        <v>Santiago LOPEZ</v>
      </c>
      <c r="H810" s="1" t="str">
        <f>IFERROR(__xludf.DUMMYFUNCTION("""COMPUTED_VALUE"""),"27/1/2023, 17:00:00")</f>
        <v>27/1/2023, 17:00:00</v>
      </c>
      <c r="I810" s="1" t="str">
        <f>IFERROR(__xludf.DUMMYFUNCTION("""COMPUTED_VALUE"""),"RETIRADO OK POR CLIENTE")</f>
        <v>RETIRADO OK POR CLIENTE</v>
      </c>
      <c r="J810" s="1">
        <f t="shared" si="3"/>
        <v>6</v>
      </c>
      <c r="K810" s="1" t="str">
        <f t="shared" si="4"/>
        <v>Entregamos tus lentes, que los disfrutes!</v>
      </c>
    </row>
    <row r="811">
      <c r="A811" s="1">
        <f>IFERROR(__xludf.DUMMYFUNCTION("""COMPUTED_VALUE"""),85361.0)</f>
        <v>85361</v>
      </c>
      <c r="B811" s="5">
        <f>IFERROR(__xludf.DUMMYFUNCTION("""COMPUTED_VALUE"""),44946.504220787036)</f>
        <v>44946.50422</v>
      </c>
      <c r="C811" s="1" t="str">
        <f>IFERROR(__xludf.DUMMYFUNCTION("""COMPUTED_VALUE"""),"BACRI ISMAEL")</f>
        <v>BACRI ISMAEL</v>
      </c>
      <c r="D811" s="1" t="str">
        <f>IFERROR(__xludf.DUMMYFUNCTION("""COMPUTED_VALUE"""),"Lentes de STOCK")</f>
        <v>Lentes de STOCK</v>
      </c>
      <c r="E811" s="1" t="str">
        <f>IFERROR(__xludf.DUMMYFUNCTION("""COMPUTED_VALUE"""),"RIVADAVIA Santiago LOPEZ")</f>
        <v>RIVADAVIA Santiago LOPEZ</v>
      </c>
      <c r="F811" s="1" t="str">
        <f t="shared" si="1"/>
        <v>RIVADAVIA </v>
      </c>
      <c r="G811" s="1" t="str">
        <f t="shared" si="2"/>
        <v>Santiago LOPEZ</v>
      </c>
      <c r="H811" s="1" t="str">
        <f>IFERROR(__xludf.DUMMYFUNCTION("""COMPUTED_VALUE"""),"24/1/2023, 17:00:00")</f>
        <v>24/1/2023, 17:00:00</v>
      </c>
      <c r="I811" s="1" t="str">
        <f>IFERROR(__xludf.DUMMYFUNCTION("""COMPUTED_VALUE"""),"RETIRADO OK POR CLIENTE")</f>
        <v>RETIRADO OK POR CLIENTE</v>
      </c>
      <c r="J811" s="1">
        <f t="shared" si="3"/>
        <v>6</v>
      </c>
      <c r="K811" s="1" t="str">
        <f t="shared" si="4"/>
        <v>Entregamos tus lentes, que los disfrutes!</v>
      </c>
    </row>
    <row r="812">
      <c r="A812" s="1">
        <f>IFERROR(__xludf.DUMMYFUNCTION("""COMPUTED_VALUE"""),85362.0)</f>
        <v>85362</v>
      </c>
      <c r="B812" s="5">
        <f>IFERROR(__xludf.DUMMYFUNCTION("""COMPUTED_VALUE"""),44946.51268664352)</f>
        <v>44946.51269</v>
      </c>
      <c r="C812" s="1" t="str">
        <f>IFERROR(__xludf.DUMMYFUNCTION("""COMPUTED_VALUE"""),"Quevedo Rocha Agustina ")</f>
        <v>Quevedo Rocha Agustina </v>
      </c>
      <c r="D812" s="1" t="str">
        <f>IFERROR(__xludf.DUMMYFUNCTION("""COMPUTED_VALUE"""),"Lentes de STOCK")</f>
        <v>Lentes de STOCK</v>
      </c>
      <c r="E812" s="1" t="str">
        <f>IFERROR(__xludf.DUMMYFUNCTION("""COMPUTED_VALUE"""),"RIVADAVIA Rocio B")</f>
        <v>RIVADAVIA Rocio B</v>
      </c>
      <c r="F812" s="1" t="str">
        <f t="shared" si="1"/>
        <v>RIVADAVIA </v>
      </c>
      <c r="G812" s="1" t="str">
        <f t="shared" si="2"/>
        <v>Rocio B</v>
      </c>
      <c r="H812" s="1" t="str">
        <f>IFERROR(__xludf.DUMMYFUNCTION("""COMPUTED_VALUE"""),"27/1/2023, 17:00:00")</f>
        <v>27/1/2023, 17:00:00</v>
      </c>
      <c r="I812" s="1" t="str">
        <f>IFERROR(__xludf.DUMMYFUNCTION("""COMPUTED_VALUE"""),"RETIRADO OK POR CLIENTE")</f>
        <v>RETIRADO OK POR CLIENTE</v>
      </c>
      <c r="J812" s="1">
        <f t="shared" si="3"/>
        <v>6</v>
      </c>
      <c r="K812" s="1" t="str">
        <f t="shared" si="4"/>
        <v>Entregamos tus lentes, que los disfrutes!</v>
      </c>
    </row>
    <row r="813">
      <c r="A813" s="1">
        <f>IFERROR(__xludf.DUMMYFUNCTION("""COMPUTED_VALUE"""),85363.0)</f>
        <v>85363</v>
      </c>
      <c r="B813" s="5">
        <f>IFERROR(__xludf.DUMMYFUNCTION("""COMPUTED_VALUE"""),44946.514557546296)</f>
        <v>44946.51456</v>
      </c>
      <c r="C813" s="1" t="str">
        <f>IFERROR(__xludf.DUMMYFUNCTION("""COMPUTED_VALUE"""),"CASTRO SILVANA")</f>
        <v>CASTRO SILVANA</v>
      </c>
      <c r="D813" s="1" t="str">
        <f>IFERROR(__xludf.DUMMYFUNCTION("""COMPUTED_VALUE"""),"Lentes de STOCK")</f>
        <v>Lentes de STOCK</v>
      </c>
      <c r="E813" s="1" t="str">
        <f>IFERROR(__xludf.DUMMYFUNCTION("""COMPUTED_VALUE"""),"RIVADAVIA Santiago LOPEZ")</f>
        <v>RIVADAVIA Santiago LOPEZ</v>
      </c>
      <c r="F813" s="1" t="str">
        <f t="shared" si="1"/>
        <v>RIVADAVIA </v>
      </c>
      <c r="G813" s="1" t="str">
        <f t="shared" si="2"/>
        <v>Santiago LOPEZ</v>
      </c>
      <c r="H813" s="1" t="str">
        <f>IFERROR(__xludf.DUMMYFUNCTION("""COMPUTED_VALUE"""),"26/1/2023, 17:00:00")</f>
        <v>26/1/2023, 17:00:00</v>
      </c>
      <c r="I813" s="1" t="str">
        <f>IFERROR(__xludf.DUMMYFUNCTION("""COMPUTED_VALUE"""),"RETIRADO OK POR CLIENTE")</f>
        <v>RETIRADO OK POR CLIENTE</v>
      </c>
      <c r="J813" s="1">
        <f t="shared" si="3"/>
        <v>6</v>
      </c>
      <c r="K813" s="1" t="str">
        <f t="shared" si="4"/>
        <v>Entregamos tus lentes, que los disfrutes!</v>
      </c>
    </row>
    <row r="814">
      <c r="A814" s="1">
        <f>IFERROR(__xludf.DUMMYFUNCTION("""COMPUTED_VALUE"""),85364.0)</f>
        <v>85364</v>
      </c>
      <c r="B814" s="5">
        <f>IFERROR(__xludf.DUMMYFUNCTION("""COMPUTED_VALUE"""),44946.520821909726)</f>
        <v>44946.52082</v>
      </c>
      <c r="C814" s="1" t="str">
        <f>IFERROR(__xludf.DUMMYFUNCTION("""COMPUTED_VALUE"""),"Quevedo Rocha Agustina")</f>
        <v>Quevedo Rocha Agustina</v>
      </c>
      <c r="D814" s="1" t="str">
        <f>IFERROR(__xludf.DUMMYFUNCTION("""COMPUTED_VALUE"""),"Reparaciones/Otros")</f>
        <v>Reparaciones/Otros</v>
      </c>
      <c r="E814" s="1" t="str">
        <f>IFERROR(__xludf.DUMMYFUNCTION("""COMPUTED_VALUE"""),"RIVADAVIA Rocio B")</f>
        <v>RIVADAVIA Rocio B</v>
      </c>
      <c r="F814" s="1" t="str">
        <f t="shared" si="1"/>
        <v>RIVADAVIA </v>
      </c>
      <c r="G814" s="1" t="str">
        <f t="shared" si="2"/>
        <v>Rocio B</v>
      </c>
      <c r="H814" s="1" t="str">
        <f>IFERROR(__xludf.DUMMYFUNCTION("""COMPUTED_VALUE"""),"23/1/2023, 17:00:00")</f>
        <v>23/1/2023, 17:00:00</v>
      </c>
      <c r="I814" s="1" t="str">
        <f>IFERROR(__xludf.DUMMYFUNCTION("""COMPUTED_VALUE"""),"Recibido en Laboratorio")</f>
        <v>Recibido en Laboratorio</v>
      </c>
      <c r="J814" s="1">
        <f t="shared" si="3"/>
        <v>2</v>
      </c>
      <c r="K814" s="1" t="str">
        <f t="shared" si="4"/>
        <v>Nuestro Laboratorio esta trabajando en tus lentes, los entregaremos en la fecha acordada.</v>
      </c>
    </row>
    <row r="815">
      <c r="A815" s="1">
        <f>IFERROR(__xludf.DUMMYFUNCTION("""COMPUTED_VALUE"""),85365.0)</f>
        <v>85365</v>
      </c>
      <c r="B815" s="5">
        <f>IFERROR(__xludf.DUMMYFUNCTION("""COMPUTED_VALUE"""),44946.52153721065)</f>
        <v>44946.52154</v>
      </c>
      <c r="C815" s="1" t="str">
        <f>IFERROR(__xludf.DUMMYFUNCTION("""COMPUTED_VALUE"""),"MARIN VERONICA")</f>
        <v>MARIN VERONICA</v>
      </c>
      <c r="D815" s="1" t="str">
        <f>IFERROR(__xludf.DUMMYFUNCTION("""COMPUTED_VALUE"""),"Lentes de STOCK")</f>
        <v>Lentes de STOCK</v>
      </c>
      <c r="E815" s="1" t="str">
        <f>IFERROR(__xludf.DUMMYFUNCTION("""COMPUTED_VALUE"""),"ARTIGAS Cristian C.")</f>
        <v>ARTIGAS Cristian C.</v>
      </c>
      <c r="F815" s="1" t="str">
        <f t="shared" si="1"/>
        <v>ARTIGAS </v>
      </c>
      <c r="G815" s="1" t="str">
        <f t="shared" si="2"/>
        <v>Cristian C.</v>
      </c>
      <c r="H815" s="1" t="str">
        <f>IFERROR(__xludf.DUMMYFUNCTION("""COMPUTED_VALUE"""),"26/1/2023, 17:00:00")</f>
        <v>26/1/2023, 17:00:00</v>
      </c>
      <c r="I815" s="1" t="str">
        <f>IFERROR(__xludf.DUMMYFUNCTION("""COMPUTED_VALUE"""),"RETIRADO OK POR CLIENTE")</f>
        <v>RETIRADO OK POR CLIENTE</v>
      </c>
      <c r="J815" s="1">
        <f t="shared" si="3"/>
        <v>6</v>
      </c>
      <c r="K815" s="1" t="str">
        <f t="shared" si="4"/>
        <v>Entregamos tus lentes, que los disfrutes!</v>
      </c>
    </row>
    <row r="816">
      <c r="A816" s="1">
        <f>IFERROR(__xludf.DUMMYFUNCTION("""COMPUTED_VALUE"""),85366.0)</f>
        <v>85366</v>
      </c>
      <c r="B816" s="5">
        <f>IFERROR(__xludf.DUMMYFUNCTION("""COMPUTED_VALUE"""),44946.5273080787)</f>
        <v>44946.52731</v>
      </c>
      <c r="C816" s="1" t="str">
        <f>IFERROR(__xludf.DUMMYFUNCTION("""COMPUTED_VALUE"""),"ARIAS JUAN CARLOS")</f>
        <v>ARIAS JUAN CARLOS</v>
      </c>
      <c r="D816" s="1" t="str">
        <f>IFERROR(__xludf.DUMMYFUNCTION("""COMPUTED_VALUE"""),"Lentes de STOCK")</f>
        <v>Lentes de STOCK</v>
      </c>
      <c r="E816" s="1" t="str">
        <f>IFERROR(__xludf.DUMMYFUNCTION("""COMPUTED_VALUE"""),"ARTIGAS Cristian C.")</f>
        <v>ARTIGAS Cristian C.</v>
      </c>
      <c r="F816" s="1" t="str">
        <f t="shared" si="1"/>
        <v>ARTIGAS </v>
      </c>
      <c r="G816" s="1" t="str">
        <f t="shared" si="2"/>
        <v>Cristian C.</v>
      </c>
      <c r="H816" s="1" t="str">
        <f>IFERROR(__xludf.DUMMYFUNCTION("""COMPUTED_VALUE"""),"25/1/2023, 17:00:00")</f>
        <v>25/1/2023, 17:00:00</v>
      </c>
      <c r="I816" s="1" t="str">
        <f>IFERROR(__xludf.DUMMYFUNCTION("""COMPUTED_VALUE"""),"RETIRADO OK POR CLIENTE")</f>
        <v>RETIRADO OK POR CLIENTE</v>
      </c>
      <c r="J816" s="1">
        <f t="shared" si="3"/>
        <v>6</v>
      </c>
      <c r="K816" s="1" t="str">
        <f t="shared" si="4"/>
        <v>Entregamos tus lentes, que los disfrutes!</v>
      </c>
    </row>
    <row r="817">
      <c r="A817" s="1">
        <f>IFERROR(__xludf.DUMMYFUNCTION("""COMPUTED_VALUE"""),85367.0)</f>
        <v>85367</v>
      </c>
      <c r="B817" s="5">
        <f>IFERROR(__xludf.DUMMYFUNCTION("""COMPUTED_VALUE"""),44946.53090907408)</f>
        <v>44946.53091</v>
      </c>
      <c r="C817" s="1" t="str">
        <f>IFERROR(__xludf.DUMMYFUNCTION("""COMPUTED_VALUE"""),"BUSTOS MARIA LAURA ")</f>
        <v>BUSTOS MARIA LAURA </v>
      </c>
      <c r="D817" s="1" t="str">
        <f>IFERROR(__xludf.DUMMYFUNCTION("""COMPUTED_VALUE"""),"Lentes de STOCK")</f>
        <v>Lentes de STOCK</v>
      </c>
      <c r="E817" s="1" t="str">
        <f>IFERROR(__xludf.DUMMYFUNCTION("""COMPUTED_VALUE"""),"ARTIGAS Cristian C.")</f>
        <v>ARTIGAS Cristian C.</v>
      </c>
      <c r="F817" s="1" t="str">
        <f t="shared" si="1"/>
        <v>ARTIGAS </v>
      </c>
      <c r="G817" s="1" t="str">
        <f t="shared" si="2"/>
        <v>Cristian C.</v>
      </c>
      <c r="H817" s="1" t="str">
        <f>IFERROR(__xludf.DUMMYFUNCTION("""COMPUTED_VALUE"""),"26/1/2023, 17:00:00")</f>
        <v>26/1/2023, 17:00:00</v>
      </c>
      <c r="I817" s="1" t="str">
        <f>IFERROR(__xludf.DUMMYFUNCTION("""COMPUTED_VALUE"""),"RETIRADO OK POR CLIENTE")</f>
        <v>RETIRADO OK POR CLIENTE</v>
      </c>
      <c r="J817" s="1">
        <f t="shared" si="3"/>
        <v>6</v>
      </c>
      <c r="K817" s="1" t="str">
        <f t="shared" si="4"/>
        <v>Entregamos tus lentes, que los disfrutes!</v>
      </c>
    </row>
    <row r="818">
      <c r="A818" s="1">
        <f>IFERROR(__xludf.DUMMYFUNCTION("""COMPUTED_VALUE"""),85368.0)</f>
        <v>85368</v>
      </c>
      <c r="B818" s="5">
        <f>IFERROR(__xludf.DUMMYFUNCTION("""COMPUTED_VALUE"""),44946.550256250004)</f>
        <v>44946.55026</v>
      </c>
      <c r="C818" s="1" t="str">
        <f>IFERROR(__xludf.DUMMYFUNCTION("""COMPUTED_VALUE"""),"AGUILERA ANA")</f>
        <v>AGUILERA ANA</v>
      </c>
      <c r="D818" s="1" t="str">
        <f>IFERROR(__xludf.DUMMYFUNCTION("""COMPUTED_VALUE"""),"Lentes de STOCK")</f>
        <v>Lentes de STOCK</v>
      </c>
      <c r="E818" s="1" t="str">
        <f>IFERROR(__xludf.DUMMYFUNCTION("""COMPUTED_VALUE"""),"ARTIGAS Cristian C.")</f>
        <v>ARTIGAS Cristian C.</v>
      </c>
      <c r="F818" s="1" t="str">
        <f t="shared" si="1"/>
        <v>ARTIGAS </v>
      </c>
      <c r="G818" s="1" t="str">
        <f t="shared" si="2"/>
        <v>Cristian C.</v>
      </c>
      <c r="H818" s="1" t="str">
        <f>IFERROR(__xludf.DUMMYFUNCTION("""COMPUTED_VALUE"""),"24/1/2023, 17:00:00")</f>
        <v>24/1/2023, 17:00:00</v>
      </c>
      <c r="I818" s="1" t="str">
        <f>IFERROR(__xludf.DUMMYFUNCTION("""COMPUTED_VALUE"""),"Recibido en Laboratorio")</f>
        <v>Recibido en Laboratorio</v>
      </c>
      <c r="J818" s="1">
        <f t="shared" si="3"/>
        <v>2</v>
      </c>
      <c r="K818" s="1" t="str">
        <f t="shared" si="4"/>
        <v>Nuestro Laboratorio esta trabajando en tus lentes, los entregaremos en la fecha acordada.</v>
      </c>
    </row>
    <row r="819">
      <c r="A819" s="1">
        <f>IFERROR(__xludf.DUMMYFUNCTION("""COMPUTED_VALUE"""),85369.0)</f>
        <v>85369</v>
      </c>
      <c r="B819" s="5">
        <f>IFERROR(__xludf.DUMMYFUNCTION("""COMPUTED_VALUE"""),44946.55045795139)</f>
        <v>44946.55046</v>
      </c>
      <c r="C819" s="1" t="str">
        <f>IFERROR(__xludf.DUMMYFUNCTION("""COMPUTED_VALUE"""),"MIRANDA JAVIER / DOS ANCLAS")</f>
        <v>MIRANDA JAVIER / DOS ANCLAS</v>
      </c>
      <c r="D819" s="1" t="str">
        <f>IFERROR(__xludf.DUMMYFUNCTION("""COMPUTED_VALUE"""),"Lentes de STOCK")</f>
        <v>Lentes de STOCK</v>
      </c>
      <c r="E819" s="1" t="str">
        <f>IFERROR(__xludf.DUMMYFUNCTION("""COMPUTED_VALUE"""),"ARTIGAS Ivana P.")</f>
        <v>ARTIGAS Ivana P.</v>
      </c>
      <c r="F819" s="1" t="str">
        <f t="shared" si="1"/>
        <v>ARTIGAS </v>
      </c>
      <c r="G819" s="1" t="str">
        <f t="shared" si="2"/>
        <v>Ivana P.</v>
      </c>
      <c r="H819" s="1" t="str">
        <f>IFERROR(__xludf.DUMMYFUNCTION("""COMPUTED_VALUE"""),"23/1/2023, 17:00:00")</f>
        <v>23/1/2023, 17:00:00</v>
      </c>
      <c r="I819" s="1" t="str">
        <f>IFERROR(__xludf.DUMMYFUNCTION("""COMPUTED_VALUE"""),"RETIRADO OK POR CLIENTE")</f>
        <v>RETIRADO OK POR CLIENTE</v>
      </c>
      <c r="J819" s="1">
        <f t="shared" si="3"/>
        <v>6</v>
      </c>
      <c r="K819" s="1" t="str">
        <f t="shared" si="4"/>
        <v>Entregamos tus lentes, que los disfrutes!</v>
      </c>
    </row>
    <row r="820">
      <c r="A820" s="1">
        <f>IFERROR(__xludf.DUMMYFUNCTION("""COMPUTED_VALUE"""),85370.0)</f>
        <v>85370</v>
      </c>
      <c r="B820" s="5">
        <f>IFERROR(__xludf.DUMMYFUNCTION("""COMPUTED_VALUE"""),44946.55279855324)</f>
        <v>44946.5528</v>
      </c>
      <c r="C820" s="1" t="str">
        <f>IFERROR(__xludf.DUMMYFUNCTION("""COMPUTED_VALUE"""),"MENICHETTI DARDO / DOS ANCLAS")</f>
        <v>MENICHETTI DARDO / DOS ANCLAS</v>
      </c>
      <c r="D820" s="1" t="str">
        <f>IFERROR(__xludf.DUMMYFUNCTION("""COMPUTED_VALUE"""),"Lentes MULTIFOCALES")</f>
        <v>Lentes MULTIFOCALES</v>
      </c>
      <c r="E820" s="1" t="str">
        <f>IFERROR(__xludf.DUMMYFUNCTION("""COMPUTED_VALUE"""),"ARTIGAS Ivana P.")</f>
        <v>ARTIGAS Ivana P.</v>
      </c>
      <c r="F820" s="1" t="str">
        <f t="shared" si="1"/>
        <v>ARTIGAS </v>
      </c>
      <c r="G820" s="1" t="str">
        <f t="shared" si="2"/>
        <v>Ivana P.</v>
      </c>
      <c r="H820" s="1" t="str">
        <f>IFERROR(__xludf.DUMMYFUNCTION("""COMPUTED_VALUE"""),"2/2/2023, 17:00:00")</f>
        <v>2/2/2023, 17:00:00</v>
      </c>
      <c r="I820" s="1" t="str">
        <f>IFERROR(__xludf.DUMMYFUNCTION("""COMPUTED_VALUE"""),"RETIRADO OK POR CLIENTE")</f>
        <v>RETIRADO OK POR CLIENTE</v>
      </c>
      <c r="J820" s="1">
        <f t="shared" si="3"/>
        <v>6</v>
      </c>
      <c r="K820" s="1" t="str">
        <f t="shared" si="4"/>
        <v>Entregamos tus lentes, que los disfrutes!</v>
      </c>
    </row>
    <row r="821">
      <c r="A821" s="1">
        <f>IFERROR(__xludf.DUMMYFUNCTION("""COMPUTED_VALUE"""),85371.0)</f>
        <v>85371</v>
      </c>
      <c r="B821" s="5">
        <f>IFERROR(__xludf.DUMMYFUNCTION("""COMPUTED_VALUE"""),44946.55420978009)</f>
        <v>44946.55421</v>
      </c>
      <c r="C821" s="1" t="str">
        <f>IFERROR(__xludf.DUMMYFUNCTION("""COMPUTED_VALUE"""),"GONZALEZ ELMA")</f>
        <v>GONZALEZ ELMA</v>
      </c>
      <c r="D821" s="1" t="str">
        <f>IFERROR(__xludf.DUMMYFUNCTION("""COMPUTED_VALUE"""),"Lentes de STOCK")</f>
        <v>Lentes de STOCK</v>
      </c>
      <c r="E821" s="1" t="str">
        <f>IFERROR(__xludf.DUMMYFUNCTION("""COMPUTED_VALUE"""),"ARTIGAS Cristian C.")</f>
        <v>ARTIGAS Cristian C.</v>
      </c>
      <c r="F821" s="1" t="str">
        <f t="shared" si="1"/>
        <v>ARTIGAS </v>
      </c>
      <c r="G821" s="1" t="str">
        <f t="shared" si="2"/>
        <v>Cristian C.</v>
      </c>
      <c r="H821" s="1" t="str">
        <f>IFERROR(__xludf.DUMMYFUNCTION("""COMPUTED_VALUE"""),"26/1/2023, 17:00:00")</f>
        <v>26/1/2023, 17:00:00</v>
      </c>
      <c r="I821" s="1" t="str">
        <f>IFERROR(__xludf.DUMMYFUNCTION("""COMPUTED_VALUE"""),"RETIRADO OK POR CLIENTE")</f>
        <v>RETIRADO OK POR CLIENTE</v>
      </c>
      <c r="J821" s="1">
        <f t="shared" si="3"/>
        <v>6</v>
      </c>
      <c r="K821" s="1" t="str">
        <f t="shared" si="4"/>
        <v>Entregamos tus lentes, que los disfrutes!</v>
      </c>
    </row>
    <row r="822">
      <c r="A822" s="1">
        <f>IFERROR(__xludf.DUMMYFUNCTION("""COMPUTED_VALUE"""),85372.0)</f>
        <v>85372</v>
      </c>
      <c r="B822" s="5">
        <f>IFERROR(__xludf.DUMMYFUNCTION("""COMPUTED_VALUE"""),44946.55478857639)</f>
        <v>44946.55479</v>
      </c>
      <c r="C822" s="1" t="str">
        <f>IFERROR(__xludf.DUMMYFUNCTION("""COMPUTED_VALUE"""),"RAMIREZ SERGIO / DOS ANCLAS")</f>
        <v>RAMIREZ SERGIO / DOS ANCLAS</v>
      </c>
      <c r="D822" s="1" t="str">
        <f>IFERROR(__xludf.DUMMYFUNCTION("""COMPUTED_VALUE"""),"Lentes MULTIFOCALES")</f>
        <v>Lentes MULTIFOCALES</v>
      </c>
      <c r="E822" s="1" t="str">
        <f>IFERROR(__xludf.DUMMYFUNCTION("""COMPUTED_VALUE"""),"ARTIGAS Ivana P.")</f>
        <v>ARTIGAS Ivana P.</v>
      </c>
      <c r="F822" s="1" t="str">
        <f t="shared" si="1"/>
        <v>ARTIGAS </v>
      </c>
      <c r="G822" s="1" t="str">
        <f t="shared" si="2"/>
        <v>Ivana P.</v>
      </c>
      <c r="H822" s="1" t="str">
        <f>IFERROR(__xludf.DUMMYFUNCTION("""COMPUTED_VALUE"""),"2/2/2023, 17:00:00")</f>
        <v>2/2/2023, 17:00:00</v>
      </c>
      <c r="I822" s="1" t="str">
        <f>IFERROR(__xludf.DUMMYFUNCTION("""COMPUTED_VALUE"""),"RETIRADO OK POR CLIENTE")</f>
        <v>RETIRADO OK POR CLIENTE</v>
      </c>
      <c r="J822" s="1">
        <f t="shared" si="3"/>
        <v>6</v>
      </c>
      <c r="K822" s="1" t="str">
        <f t="shared" si="4"/>
        <v>Entregamos tus lentes, que los disfrutes!</v>
      </c>
    </row>
    <row r="823">
      <c r="A823" s="1">
        <f>IFERROR(__xludf.DUMMYFUNCTION("""COMPUTED_VALUE"""),85373.0)</f>
        <v>85373</v>
      </c>
      <c r="B823" s="5">
        <f>IFERROR(__xludf.DUMMYFUNCTION("""COMPUTED_VALUE"""),44946.557386562505)</f>
        <v>44946.55739</v>
      </c>
      <c r="C823" s="1" t="str">
        <f>IFERROR(__xludf.DUMMYFUNCTION("""COMPUTED_VALUE"""),"FARIAS JOSE / DOS ANCLAS")</f>
        <v>FARIAS JOSE / DOS ANCLAS</v>
      </c>
      <c r="D823" s="1" t="str">
        <f>IFERROR(__xludf.DUMMYFUNCTION("""COMPUTED_VALUE"""),"Lentes MULTIFOCALES")</f>
        <v>Lentes MULTIFOCALES</v>
      </c>
      <c r="E823" s="1" t="str">
        <f>IFERROR(__xludf.DUMMYFUNCTION("""COMPUTED_VALUE"""),"ARTIGAS Ivana P.")</f>
        <v>ARTIGAS Ivana P.</v>
      </c>
      <c r="F823" s="1" t="str">
        <f t="shared" si="1"/>
        <v>ARTIGAS </v>
      </c>
      <c r="G823" s="1" t="str">
        <f t="shared" si="2"/>
        <v>Ivana P.</v>
      </c>
      <c r="H823" s="1" t="str">
        <f>IFERROR(__xludf.DUMMYFUNCTION("""COMPUTED_VALUE"""),"2/2/2023, 17:00:00")</f>
        <v>2/2/2023, 17:00:00</v>
      </c>
      <c r="I823" s="1" t="str">
        <f>IFERROR(__xludf.DUMMYFUNCTION("""COMPUTED_VALUE"""),"RETIRADO OK POR CLIENTE")</f>
        <v>RETIRADO OK POR CLIENTE</v>
      </c>
      <c r="J823" s="1">
        <f t="shared" si="3"/>
        <v>6</v>
      </c>
      <c r="K823" s="1" t="str">
        <f t="shared" si="4"/>
        <v>Entregamos tus lentes, que los disfrutes!</v>
      </c>
    </row>
    <row r="824">
      <c r="A824" s="1">
        <f>IFERROR(__xludf.DUMMYFUNCTION("""COMPUTED_VALUE"""),85374.0)</f>
        <v>85374</v>
      </c>
      <c r="B824" s="5">
        <f>IFERROR(__xludf.DUMMYFUNCTION("""COMPUTED_VALUE"""),44946.55940791666)</f>
        <v>44946.55941</v>
      </c>
      <c r="C824" s="1" t="str">
        <f>IFERROR(__xludf.DUMMYFUNCTION("""COMPUTED_VALUE"""),"TORRES ROQUE / DOS ANCLAS")</f>
        <v>TORRES ROQUE / DOS ANCLAS</v>
      </c>
      <c r="D824" s="1" t="str">
        <f>IFERROR(__xludf.DUMMYFUNCTION("""COMPUTED_VALUE"""),"Lentes de STOCK")</f>
        <v>Lentes de STOCK</v>
      </c>
      <c r="E824" s="1" t="str">
        <f>IFERROR(__xludf.DUMMYFUNCTION("""COMPUTED_VALUE"""),"ARTIGAS Ivana P.")</f>
        <v>ARTIGAS Ivana P.</v>
      </c>
      <c r="F824" s="1" t="str">
        <f t="shared" si="1"/>
        <v>ARTIGAS </v>
      </c>
      <c r="G824" s="1" t="str">
        <f t="shared" si="2"/>
        <v>Ivana P.</v>
      </c>
      <c r="H824" s="1" t="str">
        <f>IFERROR(__xludf.DUMMYFUNCTION("""COMPUTED_VALUE"""),"23/1/2023, 17:00:00")</f>
        <v>23/1/2023, 17:00:00</v>
      </c>
      <c r="I824" s="1" t="str">
        <f>IFERROR(__xludf.DUMMYFUNCTION("""COMPUTED_VALUE"""),"RETIRADO OK POR CLIENTE")</f>
        <v>RETIRADO OK POR CLIENTE</v>
      </c>
      <c r="J824" s="1">
        <f t="shared" si="3"/>
        <v>6</v>
      </c>
      <c r="K824" s="1" t="str">
        <f t="shared" si="4"/>
        <v>Entregamos tus lentes, que los disfrutes!</v>
      </c>
    </row>
    <row r="825">
      <c r="A825" s="1">
        <f>IFERROR(__xludf.DUMMYFUNCTION("""COMPUTED_VALUE"""),85375.0)</f>
        <v>85375</v>
      </c>
      <c r="B825" s="5">
        <f>IFERROR(__xludf.DUMMYFUNCTION("""COMPUTED_VALUE"""),44946.698122511574)</f>
        <v>44946.69812</v>
      </c>
      <c r="C825" s="1" t="str">
        <f>IFERROR(__xludf.DUMMYFUNCTION("""COMPUTED_VALUE"""),"MARTINEZ ZEBALLOS BRISA")</f>
        <v>MARTINEZ ZEBALLOS BRISA</v>
      </c>
      <c r="D825" s="1" t="str">
        <f>IFERROR(__xludf.DUMMYFUNCTION("""COMPUTED_VALUE"""),"Lentes de STOCK")</f>
        <v>Lentes de STOCK</v>
      </c>
      <c r="E825" s="1" t="str">
        <f>IFERROR(__xludf.DUMMYFUNCTION("""COMPUTED_VALUE"""),"ARTIGAS Cristian C.")</f>
        <v>ARTIGAS Cristian C.</v>
      </c>
      <c r="F825" s="1" t="str">
        <f t="shared" si="1"/>
        <v>ARTIGAS </v>
      </c>
      <c r="G825" s="1" t="str">
        <f t="shared" si="2"/>
        <v>Cristian C.</v>
      </c>
      <c r="H825" s="1" t="str">
        <f>IFERROR(__xludf.DUMMYFUNCTION("""COMPUTED_VALUE"""),"26/1/2023, 17:00:00")</f>
        <v>26/1/2023, 17:00:00</v>
      </c>
      <c r="I825" s="1" t="str">
        <f>IFERROR(__xludf.DUMMYFUNCTION("""COMPUTED_VALUE"""),"Recibido en Laboratorio")</f>
        <v>Recibido en Laboratorio</v>
      </c>
      <c r="J825" s="1">
        <f t="shared" si="3"/>
        <v>2</v>
      </c>
      <c r="K825" s="1" t="str">
        <f t="shared" si="4"/>
        <v>Nuestro Laboratorio esta trabajando en tus lentes, los entregaremos en la fecha acordada.</v>
      </c>
    </row>
    <row r="826">
      <c r="A826" s="1">
        <f>IFERROR(__xludf.DUMMYFUNCTION("""COMPUTED_VALUE"""),85376.0)</f>
        <v>85376</v>
      </c>
      <c r="B826" s="5">
        <f>IFERROR(__xludf.DUMMYFUNCTION("""COMPUTED_VALUE"""),44946.705283206014)</f>
        <v>44946.70528</v>
      </c>
      <c r="C826" s="1" t="str">
        <f>IFERROR(__xludf.DUMMYFUNCTION("""COMPUTED_VALUE"""),"AMIEVA SOFIA")</f>
        <v>AMIEVA SOFIA</v>
      </c>
      <c r="D826" s="1" t="str">
        <f>IFERROR(__xludf.DUMMYFUNCTION("""COMPUTED_VALUE"""),"Lentes de STOCK")</f>
        <v>Lentes de STOCK</v>
      </c>
      <c r="E826" s="1" t="str">
        <f>IFERROR(__xludf.DUMMYFUNCTION("""COMPUTED_VALUE"""),"ARTIGAS Ivana P.")</f>
        <v>ARTIGAS Ivana P.</v>
      </c>
      <c r="F826" s="1" t="str">
        <f t="shared" si="1"/>
        <v>ARTIGAS </v>
      </c>
      <c r="G826" s="1" t="str">
        <f t="shared" si="2"/>
        <v>Ivana P.</v>
      </c>
      <c r="H826" s="1" t="str">
        <f>IFERROR(__xludf.DUMMYFUNCTION("""COMPUTED_VALUE"""),"23/1/2023, 17:00:00")</f>
        <v>23/1/2023, 17:00:00</v>
      </c>
      <c r="I826" s="1" t="str">
        <f>IFERROR(__xludf.DUMMYFUNCTION("""COMPUTED_VALUE"""),"RETIRADO OK POR CLIENTE")</f>
        <v>RETIRADO OK POR CLIENTE</v>
      </c>
      <c r="J826" s="1">
        <f t="shared" si="3"/>
        <v>6</v>
      </c>
      <c r="K826" s="1" t="str">
        <f t="shared" si="4"/>
        <v>Entregamos tus lentes, que los disfrutes!</v>
      </c>
    </row>
    <row r="827">
      <c r="A827" s="1">
        <f>IFERROR(__xludf.DUMMYFUNCTION("""COMPUTED_VALUE"""),85377.0)</f>
        <v>85377</v>
      </c>
      <c r="B827" s="5">
        <f>IFERROR(__xludf.DUMMYFUNCTION("""COMPUTED_VALUE"""),44946.7079102662)</f>
        <v>44946.70791</v>
      </c>
      <c r="C827" s="1" t="str">
        <f>IFERROR(__xludf.DUMMYFUNCTION("""COMPUTED_VALUE"""),"Juan Lopez ")</f>
        <v>Juan Lopez </v>
      </c>
      <c r="D827" s="1" t="str">
        <f>IFERROR(__xludf.DUMMYFUNCTION("""COMPUTED_VALUE"""),"Reparaciones/Otros")</f>
        <v>Reparaciones/Otros</v>
      </c>
      <c r="E827" s="1" t="str">
        <f>IFERROR(__xludf.DUMMYFUNCTION("""COMPUTED_VALUE"""),"ARTIGAS Celina")</f>
        <v>ARTIGAS Celina</v>
      </c>
      <c r="F827" s="1" t="str">
        <f t="shared" si="1"/>
        <v>ARTIGAS </v>
      </c>
      <c r="G827" s="1" t="str">
        <f t="shared" si="2"/>
        <v>Celina</v>
      </c>
      <c r="H827" s="1" t="str">
        <f>IFERROR(__xludf.DUMMYFUNCTION("""COMPUTED_VALUE"""),"21/1/2023, 17:00:00")</f>
        <v>21/1/2023, 17:00:00</v>
      </c>
      <c r="I827" s="1"/>
      <c r="J827" s="1">
        <f t="shared" si="3"/>
        <v>0</v>
      </c>
      <c r="K827" s="1" t="str">
        <f t="shared" si="4"/>
        <v/>
      </c>
    </row>
    <row r="828">
      <c r="A828" s="1">
        <f>IFERROR(__xludf.DUMMYFUNCTION("""COMPUTED_VALUE"""),85378.0)</f>
        <v>85378</v>
      </c>
      <c r="B828" s="5">
        <f>IFERROR(__xludf.DUMMYFUNCTION("""COMPUTED_VALUE"""),44946.72001362269)</f>
        <v>44946.72001</v>
      </c>
      <c r="C828" s="1" t="str">
        <f>IFERROR(__xludf.DUMMYFUNCTION("""COMPUTED_VALUE"""),"OCHOA MERCEDES")</f>
        <v>OCHOA MERCEDES</v>
      </c>
      <c r="D828" s="1" t="str">
        <f>IFERROR(__xludf.DUMMYFUNCTION("""COMPUTED_VALUE"""),"Lentes BIFOCALES")</f>
        <v>Lentes BIFOCALES</v>
      </c>
      <c r="E828" s="1" t="str">
        <f>IFERROR(__xludf.DUMMYFUNCTION("""COMPUTED_VALUE"""),"RIVADAVIA Marcela L")</f>
        <v>RIVADAVIA Marcela L</v>
      </c>
      <c r="F828" s="1" t="str">
        <f t="shared" si="1"/>
        <v>RIVADAVIA </v>
      </c>
      <c r="G828" s="1" t="str">
        <f t="shared" si="2"/>
        <v>Marcela L</v>
      </c>
      <c r="H828" s="1" t="str">
        <f>IFERROR(__xludf.DUMMYFUNCTION("""COMPUTED_VALUE"""),"23/1/2023, 17:00:00")</f>
        <v>23/1/2023, 17:00:00</v>
      </c>
      <c r="I828" s="1" t="str">
        <f>IFERROR(__xludf.DUMMYFUNCTION("""COMPUTED_VALUE"""),"RETIRADO OK POR CLIENTE")</f>
        <v>RETIRADO OK POR CLIENTE</v>
      </c>
      <c r="J828" s="1">
        <f t="shared" si="3"/>
        <v>6</v>
      </c>
      <c r="K828" s="1" t="str">
        <f t="shared" si="4"/>
        <v>Entregamos tus lentes, que los disfrutes!</v>
      </c>
    </row>
    <row r="829">
      <c r="A829" s="1">
        <f>IFERROR(__xludf.DUMMYFUNCTION("""COMPUTED_VALUE"""),85379.0)</f>
        <v>85379</v>
      </c>
      <c r="B829" s="5">
        <f>IFERROR(__xludf.DUMMYFUNCTION("""COMPUTED_VALUE"""),44946.735904664354)</f>
        <v>44946.7359</v>
      </c>
      <c r="C829" s="1" t="str">
        <f>IFERROR(__xludf.DUMMYFUNCTION("""COMPUTED_VALUE"""),"URETA MARTIN")</f>
        <v>URETA MARTIN</v>
      </c>
      <c r="D829" s="1" t="str">
        <f>IFERROR(__xludf.DUMMYFUNCTION("""COMPUTED_VALUE"""),"Lentes de STOCK")</f>
        <v>Lentes de STOCK</v>
      </c>
      <c r="E829" s="1" t="str">
        <f>IFERROR(__xludf.DUMMYFUNCTION("""COMPUTED_VALUE"""),"ARTIGAS Cristian C.")</f>
        <v>ARTIGAS Cristian C.</v>
      </c>
      <c r="F829" s="1" t="str">
        <f t="shared" si="1"/>
        <v>ARTIGAS </v>
      </c>
      <c r="G829" s="1" t="str">
        <f t="shared" si="2"/>
        <v>Cristian C.</v>
      </c>
      <c r="H829" s="1" t="str">
        <f>IFERROR(__xludf.DUMMYFUNCTION("""COMPUTED_VALUE"""),"25/1/2023, 17:00:00")</f>
        <v>25/1/2023, 17:00:00</v>
      </c>
      <c r="I829" s="1" t="str">
        <f>IFERROR(__xludf.DUMMYFUNCTION("""COMPUTED_VALUE"""),"RETIRADO OK POR CLIENTE")</f>
        <v>RETIRADO OK POR CLIENTE</v>
      </c>
      <c r="J829" s="1">
        <f t="shared" si="3"/>
        <v>6</v>
      </c>
      <c r="K829" s="1" t="str">
        <f t="shared" si="4"/>
        <v>Entregamos tus lentes, que los disfrutes!</v>
      </c>
    </row>
    <row r="830">
      <c r="A830" s="1">
        <f>IFERROR(__xludf.DUMMYFUNCTION("""COMPUTED_VALUE"""),85380.0)</f>
        <v>85380</v>
      </c>
      <c r="B830" s="5">
        <f>IFERROR(__xludf.DUMMYFUNCTION("""COMPUTED_VALUE"""),44946.741845254626)</f>
        <v>44946.74185</v>
      </c>
      <c r="C830" s="1" t="str">
        <f>IFERROR(__xludf.DUMMYFUNCTION("""COMPUTED_VALUE"""),"SAEZ ANA LIS")</f>
        <v>SAEZ ANA LIS</v>
      </c>
      <c r="D830" s="1" t="str">
        <f>IFERROR(__xludf.DUMMYFUNCTION("""COMPUTED_VALUE"""),"Lentes de STOCK")</f>
        <v>Lentes de STOCK</v>
      </c>
      <c r="E830" s="1" t="str">
        <f>IFERROR(__xludf.DUMMYFUNCTION("""COMPUTED_VALUE"""),"ARTIGAS Ivana P.")</f>
        <v>ARTIGAS Ivana P.</v>
      </c>
      <c r="F830" s="1" t="str">
        <f t="shared" si="1"/>
        <v>ARTIGAS </v>
      </c>
      <c r="G830" s="1" t="str">
        <f t="shared" si="2"/>
        <v>Ivana P.</v>
      </c>
      <c r="H830" s="1" t="str">
        <f>IFERROR(__xludf.DUMMYFUNCTION("""COMPUTED_VALUE"""),"25/1/2023, 17:00:00")</f>
        <v>25/1/2023, 17:00:00</v>
      </c>
      <c r="I830" s="1" t="str">
        <f>IFERROR(__xludf.DUMMYFUNCTION("""COMPUTED_VALUE"""),"RETIRADO OK POR CLIENTE")</f>
        <v>RETIRADO OK POR CLIENTE</v>
      </c>
      <c r="J830" s="1">
        <f t="shared" si="3"/>
        <v>6</v>
      </c>
      <c r="K830" s="1" t="str">
        <f t="shared" si="4"/>
        <v>Entregamos tus lentes, que los disfrutes!</v>
      </c>
    </row>
    <row r="831">
      <c r="A831" s="1">
        <f>IFERROR(__xludf.DUMMYFUNCTION("""COMPUTED_VALUE"""),85381.0)</f>
        <v>85381</v>
      </c>
      <c r="B831" s="5">
        <f>IFERROR(__xludf.DUMMYFUNCTION("""COMPUTED_VALUE"""),44946.754632627315)</f>
        <v>44946.75463</v>
      </c>
      <c r="C831" s="1" t="str">
        <f>IFERROR(__xludf.DUMMYFUNCTION("""COMPUTED_VALUE"""),"GAGLIARDI THIAGO")</f>
        <v>GAGLIARDI THIAGO</v>
      </c>
      <c r="D831" s="1" t="str">
        <f>IFERROR(__xludf.DUMMYFUNCTION("""COMPUTED_VALUE"""),"Lentes de STOCK")</f>
        <v>Lentes de STOCK</v>
      </c>
      <c r="E831" s="1" t="str">
        <f>IFERROR(__xludf.DUMMYFUNCTION("""COMPUTED_VALUE"""),"RIVADAVIA Santiago LOPEZ")</f>
        <v>RIVADAVIA Santiago LOPEZ</v>
      </c>
      <c r="F831" s="1" t="str">
        <f t="shared" si="1"/>
        <v>RIVADAVIA </v>
      </c>
      <c r="G831" s="1" t="str">
        <f t="shared" si="2"/>
        <v>Santiago LOPEZ</v>
      </c>
      <c r="H831" s="1" t="str">
        <f>IFERROR(__xludf.DUMMYFUNCTION("""COMPUTED_VALUE"""),"25/1/2023, 17:00:00")</f>
        <v>25/1/2023, 17:00:00</v>
      </c>
      <c r="I831" s="1" t="str">
        <f>IFERROR(__xludf.DUMMYFUNCTION("""COMPUTED_VALUE"""),"RETIRADO OK POR CLIENTE")</f>
        <v>RETIRADO OK POR CLIENTE</v>
      </c>
      <c r="J831" s="1">
        <f t="shared" si="3"/>
        <v>6</v>
      </c>
      <c r="K831" s="1" t="str">
        <f t="shared" si="4"/>
        <v>Entregamos tus lentes, que los disfrutes!</v>
      </c>
    </row>
    <row r="832">
      <c r="A832" s="1">
        <f>IFERROR(__xludf.DUMMYFUNCTION("""COMPUTED_VALUE"""),85382.0)</f>
        <v>85382</v>
      </c>
      <c r="B832" s="5">
        <f>IFERROR(__xludf.DUMMYFUNCTION("""COMPUTED_VALUE"""),44946.755986944445)</f>
        <v>44946.75599</v>
      </c>
      <c r="C832" s="1" t="str">
        <f>IFERROR(__xludf.DUMMYFUNCTION("""COMPUTED_VALUE"""),"ALE SUYAI DAMIAN")</f>
        <v>ALE SUYAI DAMIAN</v>
      </c>
      <c r="D832" s="1" t="str">
        <f>IFERROR(__xludf.DUMMYFUNCTION("""COMPUTED_VALUE"""),"Lentes de STOCK")</f>
        <v>Lentes de STOCK</v>
      </c>
      <c r="E832" s="1" t="str">
        <f>IFERROR(__xludf.DUMMYFUNCTION("""COMPUTED_VALUE"""),"ARTIGAS Ivana P.")</f>
        <v>ARTIGAS Ivana P.</v>
      </c>
      <c r="F832" s="1" t="str">
        <f t="shared" si="1"/>
        <v>ARTIGAS </v>
      </c>
      <c r="G832" s="1" t="str">
        <f t="shared" si="2"/>
        <v>Ivana P.</v>
      </c>
      <c r="H832" s="1" t="str">
        <f>IFERROR(__xludf.DUMMYFUNCTION("""COMPUTED_VALUE"""),"24/1/2023, 17:00:00")</f>
        <v>24/1/2023, 17:00:00</v>
      </c>
      <c r="I832" s="1" t="str">
        <f>IFERROR(__xludf.DUMMYFUNCTION("""COMPUTED_VALUE"""),"RETIRADO OK POR CLIENTE")</f>
        <v>RETIRADO OK POR CLIENTE</v>
      </c>
      <c r="J832" s="1">
        <f t="shared" si="3"/>
        <v>6</v>
      </c>
      <c r="K832" s="1" t="str">
        <f t="shared" si="4"/>
        <v>Entregamos tus lentes, que los disfrutes!</v>
      </c>
    </row>
    <row r="833">
      <c r="A833" s="1">
        <f>IFERROR(__xludf.DUMMYFUNCTION("""COMPUTED_VALUE"""),85383.0)</f>
        <v>85383</v>
      </c>
      <c r="B833" s="5">
        <f>IFERROR(__xludf.DUMMYFUNCTION("""COMPUTED_VALUE"""),44946.75699421296)</f>
        <v>44946.75699</v>
      </c>
      <c r="C833" s="1" t="str">
        <f>IFERROR(__xludf.DUMMYFUNCTION("""COMPUTED_VALUE"""),"RUA ROXANA")</f>
        <v>RUA ROXANA</v>
      </c>
      <c r="D833" s="1" t="str">
        <f>IFERROR(__xludf.DUMMYFUNCTION("""COMPUTED_VALUE"""),"Reparaciones/Otros")</f>
        <v>Reparaciones/Otros</v>
      </c>
      <c r="E833" s="1" t="str">
        <f>IFERROR(__xludf.DUMMYFUNCTION("""COMPUTED_VALUE"""),"RIVADAVIA Marcela L")</f>
        <v>RIVADAVIA Marcela L</v>
      </c>
      <c r="F833" s="1" t="str">
        <f t="shared" si="1"/>
        <v>RIVADAVIA </v>
      </c>
      <c r="G833" s="1" t="str">
        <f t="shared" si="2"/>
        <v>Marcela L</v>
      </c>
      <c r="H833" s="1" t="str">
        <f>IFERROR(__xludf.DUMMYFUNCTION("""COMPUTED_VALUE"""),"21/1/2023, 17:00:00")</f>
        <v>21/1/2023, 17:00:00</v>
      </c>
      <c r="I833" s="1" t="str">
        <f>IFERROR(__xludf.DUMMYFUNCTION("""COMPUTED_VALUE"""),"Completado en SUCURSAL")</f>
        <v>Completado en SUCURSAL</v>
      </c>
      <c r="J833" s="1">
        <f t="shared" si="3"/>
        <v>5</v>
      </c>
      <c r="K833" s="1" t="str">
        <f t="shared" si="4"/>
        <v>Tus Lentes estan LISTAS PARA ENTREGAR, te esperamos.</v>
      </c>
    </row>
    <row r="834">
      <c r="A834" s="1">
        <f>IFERROR(__xludf.DUMMYFUNCTION("""COMPUTED_VALUE"""),85384.0)</f>
        <v>85384</v>
      </c>
      <c r="B834" s="5">
        <f>IFERROR(__xludf.DUMMYFUNCTION("""COMPUTED_VALUE"""),44946.770781666666)</f>
        <v>44946.77078</v>
      </c>
      <c r="C834" s="1" t="str">
        <f>IFERROR(__xludf.DUMMYFUNCTION("""COMPUTED_VALUE"""),"ZANGLA ZOE")</f>
        <v>ZANGLA ZOE</v>
      </c>
      <c r="D834" s="1" t="str">
        <f>IFERROR(__xludf.DUMMYFUNCTION("""COMPUTED_VALUE"""),"Lentes de STOCK")</f>
        <v>Lentes de STOCK</v>
      </c>
      <c r="E834" s="1" t="str">
        <f>IFERROR(__xludf.DUMMYFUNCTION("""COMPUTED_VALUE"""),"RIVADAVIA Santiago LOPEZ")</f>
        <v>RIVADAVIA Santiago LOPEZ</v>
      </c>
      <c r="F834" s="1" t="str">
        <f t="shared" si="1"/>
        <v>RIVADAVIA </v>
      </c>
      <c r="G834" s="1" t="str">
        <f t="shared" si="2"/>
        <v>Santiago LOPEZ</v>
      </c>
      <c r="H834" s="1" t="str">
        <f>IFERROR(__xludf.DUMMYFUNCTION("""COMPUTED_VALUE"""),"25/1/2023, 17:00:00")</f>
        <v>25/1/2023, 17:00:00</v>
      </c>
      <c r="I834" s="1" t="str">
        <f>IFERROR(__xludf.DUMMYFUNCTION("""COMPUTED_VALUE"""),"Completado en SUCURSAL")</f>
        <v>Completado en SUCURSAL</v>
      </c>
      <c r="J834" s="1">
        <f t="shared" si="3"/>
        <v>5</v>
      </c>
      <c r="K834" s="1" t="str">
        <f t="shared" si="4"/>
        <v>Tus Lentes estan LISTAS PARA ENTREGAR, te esperamos.</v>
      </c>
    </row>
    <row r="835">
      <c r="A835" s="1">
        <f>IFERROR(__xludf.DUMMYFUNCTION("""COMPUTED_VALUE"""),85385.0)</f>
        <v>85385</v>
      </c>
      <c r="B835" s="5">
        <f>IFERROR(__xludf.DUMMYFUNCTION("""COMPUTED_VALUE"""),44946.774475439815)</f>
        <v>44946.77448</v>
      </c>
      <c r="C835" s="1" t="str">
        <f>IFERROR(__xludf.DUMMYFUNCTION("""COMPUTED_VALUE"""),"Velasquez Reyna Irma")</f>
        <v>Velasquez Reyna Irma</v>
      </c>
      <c r="D835" s="1" t="str">
        <f>IFERROR(__xludf.DUMMYFUNCTION("""COMPUTED_VALUE"""),"Lentes BIFOCALES")</f>
        <v>Lentes BIFOCALES</v>
      </c>
      <c r="E835" s="1" t="str">
        <f>IFERROR(__xludf.DUMMYFUNCTION("""COMPUTED_VALUE"""),"RIVADAVIA Rocio B")</f>
        <v>RIVADAVIA Rocio B</v>
      </c>
      <c r="F835" s="1" t="str">
        <f t="shared" si="1"/>
        <v>RIVADAVIA </v>
      </c>
      <c r="G835" s="1" t="str">
        <f t="shared" si="2"/>
        <v>Rocio B</v>
      </c>
      <c r="H835" s="1" t="str">
        <f>IFERROR(__xludf.DUMMYFUNCTION("""COMPUTED_VALUE"""),"10/2/2023, 17:00:00")</f>
        <v>10/2/2023, 17:00:00</v>
      </c>
      <c r="I835" s="1" t="str">
        <f>IFERROR(__xludf.DUMMYFUNCTION("""COMPUTED_VALUE"""),"RETIRADO OK POR CLIENTE")</f>
        <v>RETIRADO OK POR CLIENTE</v>
      </c>
      <c r="J835" s="1">
        <f t="shared" si="3"/>
        <v>6</v>
      </c>
      <c r="K835" s="1" t="str">
        <f t="shared" si="4"/>
        <v>Entregamos tus lentes, que los disfrutes!</v>
      </c>
    </row>
    <row r="836">
      <c r="A836" s="1">
        <f>IFERROR(__xludf.DUMMYFUNCTION("""COMPUTED_VALUE"""),85386.0)</f>
        <v>85386</v>
      </c>
      <c r="B836" s="5">
        <f>IFERROR(__xludf.DUMMYFUNCTION("""COMPUTED_VALUE"""),44946.778516527775)</f>
        <v>44946.77852</v>
      </c>
      <c r="C836" s="1" t="str">
        <f>IFERROR(__xludf.DUMMYFUNCTION("""COMPUTED_VALUE"""),"REBOT EVORA LUJAN")</f>
        <v>REBOT EVORA LUJAN</v>
      </c>
      <c r="D836" s="1" t="str">
        <f>IFERROR(__xludf.DUMMYFUNCTION("""COMPUTED_VALUE"""),"Lentes de STOCK")</f>
        <v>Lentes de STOCK</v>
      </c>
      <c r="E836" s="1" t="str">
        <f>IFERROR(__xludf.DUMMYFUNCTION("""COMPUTED_VALUE"""),"RIVADAVIA Marcela L")</f>
        <v>RIVADAVIA Marcela L</v>
      </c>
      <c r="F836" s="1" t="str">
        <f t="shared" si="1"/>
        <v>RIVADAVIA </v>
      </c>
      <c r="G836" s="1" t="str">
        <f t="shared" si="2"/>
        <v>Marcela L</v>
      </c>
      <c r="H836" s="1" t="str">
        <f>IFERROR(__xludf.DUMMYFUNCTION("""COMPUTED_VALUE"""),"25/1/2023, 17:00:00")</f>
        <v>25/1/2023, 17:00:00</v>
      </c>
      <c r="I836" s="1" t="str">
        <f>IFERROR(__xludf.DUMMYFUNCTION("""COMPUTED_VALUE"""),"RETIRADO OK POR CLIENTE")</f>
        <v>RETIRADO OK POR CLIENTE</v>
      </c>
      <c r="J836" s="1">
        <f t="shared" si="3"/>
        <v>6</v>
      </c>
      <c r="K836" s="1" t="str">
        <f t="shared" si="4"/>
        <v>Entregamos tus lentes, que los disfrutes!</v>
      </c>
    </row>
    <row r="837">
      <c r="A837" s="1">
        <f>IFERROR(__xludf.DUMMYFUNCTION("""COMPUTED_VALUE"""),85387.0)</f>
        <v>85387</v>
      </c>
      <c r="B837" s="5">
        <f>IFERROR(__xludf.DUMMYFUNCTION("""COMPUTED_VALUE"""),44946.78479194445)</f>
        <v>44946.78479</v>
      </c>
      <c r="C837" s="1" t="str">
        <f>IFERROR(__xludf.DUMMYFUNCTION("""COMPUTED_VALUE"""),"CORREA GIULIANA")</f>
        <v>CORREA GIULIANA</v>
      </c>
      <c r="D837" s="1" t="str">
        <f>IFERROR(__xludf.DUMMYFUNCTION("""COMPUTED_VALUE"""),"Lentes de STOCK")</f>
        <v>Lentes de STOCK</v>
      </c>
      <c r="E837" s="1" t="str">
        <f>IFERROR(__xludf.DUMMYFUNCTION("""COMPUTED_VALUE"""),"ARTIGAS Ivana P.")</f>
        <v>ARTIGAS Ivana P.</v>
      </c>
      <c r="F837" s="1" t="str">
        <f t="shared" si="1"/>
        <v>ARTIGAS </v>
      </c>
      <c r="G837" s="1" t="str">
        <f t="shared" si="2"/>
        <v>Ivana P.</v>
      </c>
      <c r="H837" s="1" t="str">
        <f>IFERROR(__xludf.DUMMYFUNCTION("""COMPUTED_VALUE"""),"24/1/2023, 17:00:00")</f>
        <v>24/1/2023, 17:00:00</v>
      </c>
      <c r="I837" s="1" t="str">
        <f>IFERROR(__xludf.DUMMYFUNCTION("""COMPUTED_VALUE"""),"RETIRADO OK POR CLIENTE")</f>
        <v>RETIRADO OK POR CLIENTE</v>
      </c>
      <c r="J837" s="1">
        <f t="shared" si="3"/>
        <v>6</v>
      </c>
      <c r="K837" s="1" t="str">
        <f t="shared" si="4"/>
        <v>Entregamos tus lentes, que los disfrutes!</v>
      </c>
    </row>
    <row r="838">
      <c r="A838" s="1">
        <f>IFERROR(__xludf.DUMMYFUNCTION("""COMPUTED_VALUE"""),85388.0)</f>
        <v>85388</v>
      </c>
      <c r="B838" s="5">
        <f>IFERROR(__xludf.DUMMYFUNCTION("""COMPUTED_VALUE"""),44946.78639149306)</f>
        <v>44946.78639</v>
      </c>
      <c r="C838" s="1" t="str">
        <f>IFERROR(__xludf.DUMMYFUNCTION("""COMPUTED_VALUE"""),"THOME KARIME ")</f>
        <v>THOME KARIME </v>
      </c>
      <c r="D838" s="1" t="str">
        <f>IFERROR(__xludf.DUMMYFUNCTION("""COMPUTED_VALUE"""),"Lentes de STOCK")</f>
        <v>Lentes de STOCK</v>
      </c>
      <c r="E838" s="1" t="str">
        <f>IFERROR(__xludf.DUMMYFUNCTION("""COMPUTED_VALUE"""),"RIVADAVIA Javier")</f>
        <v>RIVADAVIA Javier</v>
      </c>
      <c r="F838" s="1" t="str">
        <f t="shared" si="1"/>
        <v>RIVADAVIA </v>
      </c>
      <c r="G838" s="1" t="str">
        <f t="shared" si="2"/>
        <v>Javier</v>
      </c>
      <c r="H838" s="1" t="str">
        <f>IFERROR(__xludf.DUMMYFUNCTION("""COMPUTED_VALUE"""),"25/1/2023, 17:00:00")</f>
        <v>25/1/2023, 17:00:00</v>
      </c>
      <c r="I838" s="1" t="str">
        <f>IFERROR(__xludf.DUMMYFUNCTION("""COMPUTED_VALUE"""),"RETIRADO OK POR CLIENTE")</f>
        <v>RETIRADO OK POR CLIENTE</v>
      </c>
      <c r="J838" s="1">
        <f t="shared" si="3"/>
        <v>6</v>
      </c>
      <c r="K838" s="1" t="str">
        <f t="shared" si="4"/>
        <v>Entregamos tus lentes, que los disfrutes!</v>
      </c>
    </row>
    <row r="839">
      <c r="A839" s="1">
        <f>IFERROR(__xludf.DUMMYFUNCTION("""COMPUTED_VALUE"""),85389.0)</f>
        <v>85389</v>
      </c>
      <c r="B839" s="5">
        <f>IFERROR(__xludf.DUMMYFUNCTION("""COMPUTED_VALUE"""),44946.78709090278)</f>
        <v>44946.78709</v>
      </c>
      <c r="C839" s="1" t="str">
        <f>IFERROR(__xludf.DUMMYFUNCTION("""COMPUTED_VALUE"""),"PEDERNERA JORGE")</f>
        <v>PEDERNERA JORGE</v>
      </c>
      <c r="D839" s="1" t="str">
        <f>IFERROR(__xludf.DUMMYFUNCTION("""COMPUTED_VALUE"""),"Lentes de STOCK")</f>
        <v>Lentes de STOCK</v>
      </c>
      <c r="E839" s="1" t="str">
        <f>IFERROR(__xludf.DUMMYFUNCTION("""COMPUTED_VALUE"""),"RIVADAVIA Santiago LOPEZ")</f>
        <v>RIVADAVIA Santiago LOPEZ</v>
      </c>
      <c r="F839" s="1" t="str">
        <f t="shared" si="1"/>
        <v>RIVADAVIA </v>
      </c>
      <c r="G839" s="1" t="str">
        <f t="shared" si="2"/>
        <v>Santiago LOPEZ</v>
      </c>
      <c r="H839" s="1" t="str">
        <f>IFERROR(__xludf.DUMMYFUNCTION("""COMPUTED_VALUE"""),"25/1/2023, 17:00:00")</f>
        <v>25/1/2023, 17:00:00</v>
      </c>
      <c r="I839" s="1" t="str">
        <f>IFERROR(__xludf.DUMMYFUNCTION("""COMPUTED_VALUE"""),"Completado en SUCURSAL")</f>
        <v>Completado en SUCURSAL</v>
      </c>
      <c r="J839" s="1">
        <f t="shared" si="3"/>
        <v>5</v>
      </c>
      <c r="K839" s="1" t="str">
        <f t="shared" si="4"/>
        <v>Tus Lentes estan LISTAS PARA ENTREGAR, te esperamos.</v>
      </c>
    </row>
    <row r="840">
      <c r="A840" s="1">
        <f>IFERROR(__xludf.DUMMYFUNCTION("""COMPUTED_VALUE"""),85390.0)</f>
        <v>85390</v>
      </c>
      <c r="B840" s="5">
        <f>IFERROR(__xludf.DUMMYFUNCTION("""COMPUTED_VALUE"""),44946.7887340625)</f>
        <v>44946.78873</v>
      </c>
      <c r="C840" s="1" t="str">
        <f>IFERROR(__xludf.DUMMYFUNCTION("""COMPUTED_VALUE"""),"videla paola ")</f>
        <v>videla paola </v>
      </c>
      <c r="D840" s="1" t="str">
        <f>IFERROR(__xludf.DUMMYFUNCTION("""COMPUTED_VALUE"""),"Lentes de STOCK")</f>
        <v>Lentes de STOCK</v>
      </c>
      <c r="E840" s="1" t="str">
        <f>IFERROR(__xludf.DUMMYFUNCTION("""COMPUTED_VALUE"""),"ARTIGAS Cristian C.")</f>
        <v>ARTIGAS Cristian C.</v>
      </c>
      <c r="F840" s="1" t="str">
        <f t="shared" si="1"/>
        <v>ARTIGAS </v>
      </c>
      <c r="G840" s="1" t="str">
        <f t="shared" si="2"/>
        <v>Cristian C.</v>
      </c>
      <c r="H840" s="1" t="str">
        <f>IFERROR(__xludf.DUMMYFUNCTION("""COMPUTED_VALUE"""),"26/1/2023, 17:00:00")</f>
        <v>26/1/2023, 17:00:00</v>
      </c>
      <c r="I840" s="1" t="str">
        <f>IFERROR(__xludf.DUMMYFUNCTION("""COMPUTED_VALUE"""),"RETIRADO OK POR CLIENTE")</f>
        <v>RETIRADO OK POR CLIENTE</v>
      </c>
      <c r="J840" s="1">
        <f t="shared" si="3"/>
        <v>6</v>
      </c>
      <c r="K840" s="1" t="str">
        <f t="shared" si="4"/>
        <v>Entregamos tus lentes, que los disfrutes!</v>
      </c>
    </row>
    <row r="841">
      <c r="A841" s="1">
        <f>IFERROR(__xludf.DUMMYFUNCTION("""COMPUTED_VALUE"""),85391.0)</f>
        <v>85391</v>
      </c>
      <c r="B841" s="5">
        <f>IFERROR(__xludf.DUMMYFUNCTION("""COMPUTED_VALUE"""),44946.791218321756)</f>
        <v>44946.79122</v>
      </c>
      <c r="C841" s="1" t="str">
        <f>IFERROR(__xludf.DUMMYFUNCTION("""COMPUTED_VALUE"""),"BAIGORRIA DRAGO EMANUEL ")</f>
        <v>BAIGORRIA DRAGO EMANUEL </v>
      </c>
      <c r="D841" s="1" t="str">
        <f>IFERROR(__xludf.DUMMYFUNCTION("""COMPUTED_VALUE"""),"Lentes de STOCK")</f>
        <v>Lentes de STOCK</v>
      </c>
      <c r="E841" s="1" t="str">
        <f>IFERROR(__xludf.DUMMYFUNCTION("""COMPUTED_VALUE"""),"ARTIGAS Cristian C.")</f>
        <v>ARTIGAS Cristian C.</v>
      </c>
      <c r="F841" s="1" t="str">
        <f t="shared" si="1"/>
        <v>ARTIGAS </v>
      </c>
      <c r="G841" s="1" t="str">
        <f t="shared" si="2"/>
        <v>Cristian C.</v>
      </c>
      <c r="H841" s="1" t="str">
        <f>IFERROR(__xludf.DUMMYFUNCTION("""COMPUTED_VALUE"""),"25/1/2023, 17:00:00")</f>
        <v>25/1/2023, 17:00:00</v>
      </c>
      <c r="I841" s="1" t="str">
        <f>IFERROR(__xludf.DUMMYFUNCTION("""COMPUTED_VALUE"""),"RETIRADO OK POR CLIENTE")</f>
        <v>RETIRADO OK POR CLIENTE</v>
      </c>
      <c r="J841" s="1">
        <f t="shared" si="3"/>
        <v>6</v>
      </c>
      <c r="K841" s="1" t="str">
        <f t="shared" si="4"/>
        <v>Entregamos tus lentes, que los disfrutes!</v>
      </c>
    </row>
    <row r="842">
      <c r="A842" s="1">
        <f>IFERROR(__xludf.DUMMYFUNCTION("""COMPUTED_VALUE"""),85392.0)</f>
        <v>85392</v>
      </c>
      <c r="B842" s="5">
        <f>IFERROR(__xludf.DUMMYFUNCTION("""COMPUTED_VALUE"""),44946.792724212966)</f>
        <v>44946.79272</v>
      </c>
      <c r="C842" s="1" t="str">
        <f>IFERROR(__xludf.DUMMYFUNCTION("""COMPUTED_VALUE"""),"MAKIANICH DANIEL")</f>
        <v>MAKIANICH DANIEL</v>
      </c>
      <c r="D842" s="1" t="str">
        <f>IFERROR(__xludf.DUMMYFUNCTION("""COMPUTED_VALUE"""),"Lentes MULTIFOCALES")</f>
        <v>Lentes MULTIFOCALES</v>
      </c>
      <c r="E842" s="1" t="str">
        <f>IFERROR(__xludf.DUMMYFUNCTION("""COMPUTED_VALUE"""),"RIVADAVIA Javier")</f>
        <v>RIVADAVIA Javier</v>
      </c>
      <c r="F842" s="1" t="str">
        <f t="shared" si="1"/>
        <v>RIVADAVIA </v>
      </c>
      <c r="G842" s="1" t="str">
        <f t="shared" si="2"/>
        <v>Javier</v>
      </c>
      <c r="H842" s="1" t="str">
        <f>IFERROR(__xludf.DUMMYFUNCTION("""COMPUTED_VALUE"""),"2/2/2023, 17:00:00")</f>
        <v>2/2/2023, 17:00:00</v>
      </c>
      <c r="I842" s="1" t="str">
        <f>IFERROR(__xludf.DUMMYFUNCTION("""COMPUTED_VALUE"""),"RETIRADO OK POR CLIENTE")</f>
        <v>RETIRADO OK POR CLIENTE</v>
      </c>
      <c r="J842" s="1">
        <f t="shared" si="3"/>
        <v>6</v>
      </c>
      <c r="K842" s="1" t="str">
        <f t="shared" si="4"/>
        <v>Entregamos tus lentes, que los disfrutes!</v>
      </c>
    </row>
    <row r="843">
      <c r="A843" s="1">
        <f>IFERROR(__xludf.DUMMYFUNCTION("""COMPUTED_VALUE"""),85393.0)</f>
        <v>85393</v>
      </c>
      <c r="B843" s="5">
        <f>IFERROR(__xludf.DUMMYFUNCTION("""COMPUTED_VALUE"""),44946.79344358796)</f>
        <v>44946.79344</v>
      </c>
      <c r="C843" s="1" t="str">
        <f>IFERROR(__xludf.DUMMYFUNCTION("""COMPUTED_VALUE"""),"AZEVEDO MARIANA")</f>
        <v>AZEVEDO MARIANA</v>
      </c>
      <c r="D843" s="1" t="str">
        <f>IFERROR(__xludf.DUMMYFUNCTION("""COMPUTED_VALUE"""),"Lentes de STOCK")</f>
        <v>Lentes de STOCK</v>
      </c>
      <c r="E843" s="1" t="str">
        <f>IFERROR(__xludf.DUMMYFUNCTION("""COMPUTED_VALUE"""),"RIVADAVIA Santiago LOPEZ")</f>
        <v>RIVADAVIA Santiago LOPEZ</v>
      </c>
      <c r="F843" s="1" t="str">
        <f t="shared" si="1"/>
        <v>RIVADAVIA </v>
      </c>
      <c r="G843" s="1" t="str">
        <f t="shared" si="2"/>
        <v>Santiago LOPEZ</v>
      </c>
      <c r="H843" s="1" t="str">
        <f>IFERROR(__xludf.DUMMYFUNCTION("""COMPUTED_VALUE"""),"24/1/2023, 17:00:00")</f>
        <v>24/1/2023, 17:00:00</v>
      </c>
      <c r="I843" s="1" t="str">
        <f>IFERROR(__xludf.DUMMYFUNCTION("""COMPUTED_VALUE"""),"Completado en SUCURSAL")</f>
        <v>Completado en SUCURSAL</v>
      </c>
      <c r="J843" s="1">
        <f t="shared" si="3"/>
        <v>5</v>
      </c>
      <c r="K843" s="1" t="str">
        <f t="shared" si="4"/>
        <v>Tus Lentes estan LISTAS PARA ENTREGAR, te esperamos.</v>
      </c>
    </row>
    <row r="844">
      <c r="A844" s="1">
        <f>IFERROR(__xludf.DUMMYFUNCTION("""COMPUTED_VALUE"""),85394.0)</f>
        <v>85394</v>
      </c>
      <c r="B844" s="5">
        <f>IFERROR(__xludf.DUMMYFUNCTION("""COMPUTED_VALUE"""),44946.79578688658)</f>
        <v>44946.79579</v>
      </c>
      <c r="C844" s="1" t="str">
        <f>IFERROR(__xludf.DUMMYFUNCTION("""COMPUTED_VALUE"""),"VEGA NAOMI")</f>
        <v>VEGA NAOMI</v>
      </c>
      <c r="D844" s="1" t="str">
        <f>IFERROR(__xludf.DUMMYFUNCTION("""COMPUTED_VALUE"""),"Lentes de STOCK")</f>
        <v>Lentes de STOCK</v>
      </c>
      <c r="E844" s="1" t="str">
        <f>IFERROR(__xludf.DUMMYFUNCTION("""COMPUTED_VALUE"""),"ARTIGAS Ivana P.")</f>
        <v>ARTIGAS Ivana P.</v>
      </c>
      <c r="F844" s="1" t="str">
        <f t="shared" si="1"/>
        <v>ARTIGAS </v>
      </c>
      <c r="G844" s="1" t="str">
        <f t="shared" si="2"/>
        <v>Ivana P.</v>
      </c>
      <c r="H844" s="1" t="str">
        <f>IFERROR(__xludf.DUMMYFUNCTION("""COMPUTED_VALUE"""),"23/1/2023, 17:00:00")</f>
        <v>23/1/2023, 17:00:00</v>
      </c>
      <c r="I844" s="1" t="str">
        <f>IFERROR(__xludf.DUMMYFUNCTION("""COMPUTED_VALUE"""),"RETIRADO OK POR CLIENTE")</f>
        <v>RETIRADO OK POR CLIENTE</v>
      </c>
      <c r="J844" s="1">
        <f t="shared" si="3"/>
        <v>6</v>
      </c>
      <c r="K844" s="1" t="str">
        <f t="shared" si="4"/>
        <v>Entregamos tus lentes, que los disfrutes!</v>
      </c>
    </row>
    <row r="845">
      <c r="A845" s="1">
        <f>IFERROR(__xludf.DUMMYFUNCTION("""COMPUTED_VALUE"""),85395.0)</f>
        <v>85395</v>
      </c>
      <c r="B845" s="5">
        <f>IFERROR(__xludf.DUMMYFUNCTION("""COMPUTED_VALUE"""),44946.797307175926)</f>
        <v>44946.79731</v>
      </c>
      <c r="C845" s="1" t="str">
        <f>IFERROR(__xludf.DUMMYFUNCTION("""COMPUTED_VALUE"""),"FERNANDEZ MONICA MARCELA")</f>
        <v>FERNANDEZ MONICA MARCELA</v>
      </c>
      <c r="D845" s="1" t="str">
        <f>IFERROR(__xludf.DUMMYFUNCTION("""COMPUTED_VALUE"""),"Lentes de STOCK")</f>
        <v>Lentes de STOCK</v>
      </c>
      <c r="E845" s="1" t="str">
        <f>IFERROR(__xludf.DUMMYFUNCTION("""COMPUTED_VALUE"""),"RIVADAVIA Marcela L")</f>
        <v>RIVADAVIA Marcela L</v>
      </c>
      <c r="F845" s="1" t="str">
        <f t="shared" si="1"/>
        <v>RIVADAVIA </v>
      </c>
      <c r="G845" s="1" t="str">
        <f t="shared" si="2"/>
        <v>Marcela L</v>
      </c>
      <c r="H845" s="1" t="str">
        <f>IFERROR(__xludf.DUMMYFUNCTION("""COMPUTED_VALUE"""),"24/1/2023, 17:00:00")</f>
        <v>24/1/2023, 17:00:00</v>
      </c>
      <c r="I845" s="1" t="str">
        <f>IFERROR(__xludf.DUMMYFUNCTION("""COMPUTED_VALUE"""),"RETIRADO OK POR CLIENTE")</f>
        <v>RETIRADO OK POR CLIENTE</v>
      </c>
      <c r="J845" s="1">
        <f t="shared" si="3"/>
        <v>6</v>
      </c>
      <c r="K845" s="1" t="str">
        <f t="shared" si="4"/>
        <v>Entregamos tus lentes, que los disfrutes!</v>
      </c>
    </row>
    <row r="846">
      <c r="A846" s="1">
        <f>IFERROR(__xludf.DUMMYFUNCTION("""COMPUTED_VALUE"""),85396.0)</f>
        <v>85396</v>
      </c>
      <c r="B846" s="5">
        <f>IFERROR(__xludf.DUMMYFUNCTION("""COMPUTED_VALUE"""),44946.79753577546)</f>
        <v>44946.79754</v>
      </c>
      <c r="C846" s="1" t="str">
        <f>IFERROR(__xludf.DUMMYFUNCTION("""COMPUTED_VALUE"""),"pedernera ricardo")</f>
        <v>pedernera ricardo</v>
      </c>
      <c r="D846" s="1" t="str">
        <f>IFERROR(__xludf.DUMMYFUNCTION("""COMPUTED_VALUE"""),"Lentes de STOCK")</f>
        <v>Lentes de STOCK</v>
      </c>
      <c r="E846" s="1" t="str">
        <f>IFERROR(__xludf.DUMMYFUNCTION("""COMPUTED_VALUE"""),"RIVADAVIA Santiago N")</f>
        <v>RIVADAVIA Santiago N</v>
      </c>
      <c r="F846" s="1" t="str">
        <f t="shared" si="1"/>
        <v>RIVADAVIA </v>
      </c>
      <c r="G846" s="1" t="str">
        <f t="shared" si="2"/>
        <v>Santiago N</v>
      </c>
      <c r="H846" s="1" t="str">
        <f>IFERROR(__xludf.DUMMYFUNCTION("""COMPUTED_VALUE"""),"26/1/2023, 17:00:00")</f>
        <v>26/1/2023, 17:00:00</v>
      </c>
      <c r="I846" s="1" t="str">
        <f>IFERROR(__xludf.DUMMYFUNCTION("""COMPUTED_VALUE"""),"Completado en SUCURSAL")</f>
        <v>Completado en SUCURSAL</v>
      </c>
      <c r="J846" s="1">
        <f t="shared" si="3"/>
        <v>5</v>
      </c>
      <c r="K846" s="1" t="str">
        <f t="shared" si="4"/>
        <v>Tus Lentes estan LISTAS PARA ENTREGAR, te esperamos.</v>
      </c>
    </row>
    <row r="847">
      <c r="A847" s="1">
        <f>IFERROR(__xludf.DUMMYFUNCTION("""COMPUTED_VALUE"""),85397.0)</f>
        <v>85397</v>
      </c>
      <c r="B847" s="5">
        <f>IFERROR(__xludf.DUMMYFUNCTION("""COMPUTED_VALUE"""),44946.79815565972)</f>
        <v>44946.79816</v>
      </c>
      <c r="C847" s="1" t="str">
        <f>IFERROR(__xludf.DUMMYFUNCTION("""COMPUTED_VALUE"""),"VIDELA BAUTISTA ")</f>
        <v>VIDELA BAUTISTA </v>
      </c>
      <c r="D847" s="1" t="str">
        <f>IFERROR(__xludf.DUMMYFUNCTION("""COMPUTED_VALUE"""),"Lentes de STOCK")</f>
        <v>Lentes de STOCK</v>
      </c>
      <c r="E847" s="1" t="str">
        <f>IFERROR(__xludf.DUMMYFUNCTION("""COMPUTED_VALUE"""),"RIVADAVIA Luciana")</f>
        <v>RIVADAVIA Luciana</v>
      </c>
      <c r="F847" s="1" t="str">
        <f t="shared" si="1"/>
        <v>RIVADAVIA </v>
      </c>
      <c r="G847" s="1" t="str">
        <f t="shared" si="2"/>
        <v>Luciana</v>
      </c>
      <c r="H847" s="1" t="str">
        <f>IFERROR(__xludf.DUMMYFUNCTION("""COMPUTED_VALUE"""),"26/1/2023, 17:00:00")</f>
        <v>26/1/2023, 17:00:00</v>
      </c>
      <c r="I847" s="1" t="str">
        <f>IFERROR(__xludf.DUMMYFUNCTION("""COMPUTED_VALUE"""),"RETIRADO OK POR CLIENTE")</f>
        <v>RETIRADO OK POR CLIENTE</v>
      </c>
      <c r="J847" s="1">
        <f t="shared" si="3"/>
        <v>6</v>
      </c>
      <c r="K847" s="1" t="str">
        <f t="shared" si="4"/>
        <v>Entregamos tus lentes, que los disfrutes!</v>
      </c>
    </row>
    <row r="848">
      <c r="A848" s="1">
        <f>IFERROR(__xludf.DUMMYFUNCTION("""COMPUTED_VALUE"""),85398.0)</f>
        <v>85398</v>
      </c>
      <c r="B848" s="5">
        <f>IFERROR(__xludf.DUMMYFUNCTION("""COMPUTED_VALUE"""),44946.80346458333)</f>
        <v>44946.80346</v>
      </c>
      <c r="C848" s="1" t="str">
        <f>IFERROR(__xludf.DUMMYFUNCTION("""COMPUTED_VALUE"""),"IRUSTA LUCILA")</f>
        <v>IRUSTA LUCILA</v>
      </c>
      <c r="D848" s="1" t="str">
        <f>IFERROR(__xludf.DUMMYFUNCTION("""COMPUTED_VALUE"""),"Lentes de STOCK")</f>
        <v>Lentes de STOCK</v>
      </c>
      <c r="E848" s="1" t="str">
        <f>IFERROR(__xludf.DUMMYFUNCTION("""COMPUTED_VALUE"""),"RIVADAVIA Santiago LOPEZ")</f>
        <v>RIVADAVIA Santiago LOPEZ</v>
      </c>
      <c r="F848" s="1" t="str">
        <f t="shared" si="1"/>
        <v>RIVADAVIA </v>
      </c>
      <c r="G848" s="1" t="str">
        <f t="shared" si="2"/>
        <v>Santiago LOPEZ</v>
      </c>
      <c r="H848" s="1" t="str">
        <f>IFERROR(__xludf.DUMMYFUNCTION("""COMPUTED_VALUE"""),"24/1/2023, 17:00:00")</f>
        <v>24/1/2023, 17:00:00</v>
      </c>
      <c r="I848" s="1" t="str">
        <f>IFERROR(__xludf.DUMMYFUNCTION("""COMPUTED_VALUE"""),"RETIRADO OK POR CLIENTE")</f>
        <v>RETIRADO OK POR CLIENTE</v>
      </c>
      <c r="J848" s="1">
        <f t="shared" si="3"/>
        <v>6</v>
      </c>
      <c r="K848" s="1" t="str">
        <f t="shared" si="4"/>
        <v>Entregamos tus lentes, que los disfrutes!</v>
      </c>
    </row>
    <row r="849">
      <c r="A849" s="1">
        <f>IFERROR(__xludf.DUMMYFUNCTION("""COMPUTED_VALUE"""),85399.0)</f>
        <v>85399</v>
      </c>
      <c r="B849" s="5">
        <f>IFERROR(__xludf.DUMMYFUNCTION("""COMPUTED_VALUE"""),44946.80424489583)</f>
        <v>44946.80424</v>
      </c>
      <c r="C849" s="1" t="str">
        <f>IFERROR(__xludf.DUMMYFUNCTION("""COMPUTED_VALUE"""),"MAKIANICH DANIEL")</f>
        <v>MAKIANICH DANIEL</v>
      </c>
      <c r="D849" s="1" t="str">
        <f>IFERROR(__xludf.DUMMYFUNCTION("""COMPUTED_VALUE"""),"Lentes de STOCK")</f>
        <v>Lentes de STOCK</v>
      </c>
      <c r="E849" s="1" t="str">
        <f>IFERROR(__xludf.DUMMYFUNCTION("""COMPUTED_VALUE"""),"RIVADAVIA Javier")</f>
        <v>RIVADAVIA Javier</v>
      </c>
      <c r="F849" s="1" t="str">
        <f t="shared" si="1"/>
        <v>RIVADAVIA </v>
      </c>
      <c r="G849" s="1" t="str">
        <f t="shared" si="2"/>
        <v>Javier</v>
      </c>
      <c r="H849" s="1" t="str">
        <f>IFERROR(__xludf.DUMMYFUNCTION("""COMPUTED_VALUE"""),"25/1/2023, 17:00:00")</f>
        <v>25/1/2023, 17:00:00</v>
      </c>
      <c r="I849" s="1" t="str">
        <f>IFERROR(__xludf.DUMMYFUNCTION("""COMPUTED_VALUE"""),"RETIRADO OK POR CLIENTE")</f>
        <v>RETIRADO OK POR CLIENTE</v>
      </c>
      <c r="J849" s="1">
        <f t="shared" si="3"/>
        <v>6</v>
      </c>
      <c r="K849" s="1" t="str">
        <f t="shared" si="4"/>
        <v>Entregamos tus lentes, que los disfrutes!</v>
      </c>
    </row>
    <row r="850">
      <c r="A850" s="1">
        <f>IFERROR(__xludf.DUMMYFUNCTION("""COMPUTED_VALUE"""),85400.0)</f>
        <v>85400</v>
      </c>
      <c r="B850" s="5">
        <f>IFERROR(__xludf.DUMMYFUNCTION("""COMPUTED_VALUE"""),44946.80500381945)</f>
        <v>44946.805</v>
      </c>
      <c r="C850" s="1" t="str">
        <f>IFERROR(__xludf.DUMMYFUNCTION("""COMPUTED_VALUE"""),"reyes gloria ")</f>
        <v>reyes gloria </v>
      </c>
      <c r="D850" s="1" t="str">
        <f>IFERROR(__xludf.DUMMYFUNCTION("""COMPUTED_VALUE"""),"Reparaciones/Otros")</f>
        <v>Reparaciones/Otros</v>
      </c>
      <c r="E850" s="1" t="str">
        <f>IFERROR(__xludf.DUMMYFUNCTION("""COMPUTED_VALUE"""),"ARTIGAS Cristian C.")</f>
        <v>ARTIGAS Cristian C.</v>
      </c>
      <c r="F850" s="1" t="str">
        <f t="shared" si="1"/>
        <v>ARTIGAS </v>
      </c>
      <c r="G850" s="1" t="str">
        <f t="shared" si="2"/>
        <v>Cristian C.</v>
      </c>
      <c r="H850" s="1" t="str">
        <f>IFERROR(__xludf.DUMMYFUNCTION("""COMPUTED_VALUE"""),"23/1/2023, 17:00:00")</f>
        <v>23/1/2023, 17:00:00</v>
      </c>
      <c r="I850" s="1" t="str">
        <f>IFERROR(__xludf.DUMMYFUNCTION("""COMPUTED_VALUE"""),"Recibido en Laboratorio")</f>
        <v>Recibido en Laboratorio</v>
      </c>
      <c r="J850" s="1">
        <f t="shared" si="3"/>
        <v>2</v>
      </c>
      <c r="K850" s="1" t="str">
        <f t="shared" si="4"/>
        <v>Nuestro Laboratorio esta trabajando en tus lentes, los entregaremos en la fecha acordada.</v>
      </c>
    </row>
    <row r="851">
      <c r="A851" s="1">
        <f>IFERROR(__xludf.DUMMYFUNCTION("""COMPUTED_VALUE"""),85401.0)</f>
        <v>85401</v>
      </c>
      <c r="B851" s="5">
        <f>IFERROR(__xludf.DUMMYFUNCTION("""COMPUTED_VALUE"""),44946.80629530092)</f>
        <v>44946.8063</v>
      </c>
      <c r="C851" s="1" t="str">
        <f>IFERROR(__xludf.DUMMYFUNCTION("""COMPUTED_VALUE"""),"GUEVARA ENRIQUE")</f>
        <v>GUEVARA ENRIQUE</v>
      </c>
      <c r="D851" s="1" t="str">
        <f>IFERROR(__xludf.DUMMYFUNCTION("""COMPUTED_VALUE"""),"Lentes de STOCK")</f>
        <v>Lentes de STOCK</v>
      </c>
      <c r="E851" s="1" t="str">
        <f>IFERROR(__xludf.DUMMYFUNCTION("""COMPUTED_VALUE"""),"RIVADAVIA Luciana")</f>
        <v>RIVADAVIA Luciana</v>
      </c>
      <c r="F851" s="1" t="str">
        <f t="shared" si="1"/>
        <v>RIVADAVIA </v>
      </c>
      <c r="G851" s="1" t="str">
        <f t="shared" si="2"/>
        <v>Luciana</v>
      </c>
      <c r="H851" s="1" t="str">
        <f>IFERROR(__xludf.DUMMYFUNCTION("""COMPUTED_VALUE"""),"27/1/2023, 17:00:00")</f>
        <v>27/1/2023, 17:00:00</v>
      </c>
      <c r="I851" s="1" t="str">
        <f>IFERROR(__xludf.DUMMYFUNCTION("""COMPUTED_VALUE"""),"RETIRADO OK POR CLIENTE")</f>
        <v>RETIRADO OK POR CLIENTE</v>
      </c>
      <c r="J851" s="1">
        <f t="shared" si="3"/>
        <v>6</v>
      </c>
      <c r="K851" s="1" t="str">
        <f t="shared" si="4"/>
        <v>Entregamos tus lentes, que los disfrutes!</v>
      </c>
    </row>
    <row r="852">
      <c r="A852" s="1">
        <f>IFERROR(__xludf.DUMMYFUNCTION("""COMPUTED_VALUE"""),85402.0)</f>
        <v>85402</v>
      </c>
      <c r="B852" s="5">
        <f>IFERROR(__xludf.DUMMYFUNCTION("""COMPUTED_VALUE"""),44946.807018900465)</f>
        <v>44946.80702</v>
      </c>
      <c r="C852" s="1" t="str">
        <f>IFERROR(__xludf.DUMMYFUNCTION("""COMPUTED_VALUE"""),"VALERIA GARRO")</f>
        <v>VALERIA GARRO</v>
      </c>
      <c r="D852" s="1" t="str">
        <f>IFERROR(__xludf.DUMMYFUNCTION("""COMPUTED_VALUE"""),"Reparaciones/Otros")</f>
        <v>Reparaciones/Otros</v>
      </c>
      <c r="E852" s="1" t="str">
        <f>IFERROR(__xludf.DUMMYFUNCTION("""COMPUTED_VALUE"""),"ARTIGAS Celina")</f>
        <v>ARTIGAS Celina</v>
      </c>
      <c r="F852" s="1" t="str">
        <f t="shared" si="1"/>
        <v>ARTIGAS </v>
      </c>
      <c r="G852" s="1" t="str">
        <f t="shared" si="2"/>
        <v>Celina</v>
      </c>
      <c r="H852" s="1" t="str">
        <f>IFERROR(__xludf.DUMMYFUNCTION("""COMPUTED_VALUE"""),"21/1/2023, 17:00:00")</f>
        <v>21/1/2023, 17:00:00</v>
      </c>
      <c r="I852" s="1" t="str">
        <f>IFERROR(__xludf.DUMMYFUNCTION("""COMPUTED_VALUE"""),"Recibido en Laboratorio")</f>
        <v>Recibido en Laboratorio</v>
      </c>
      <c r="J852" s="1">
        <f t="shared" si="3"/>
        <v>2</v>
      </c>
      <c r="K852" s="1" t="str">
        <f t="shared" si="4"/>
        <v>Nuestro Laboratorio esta trabajando en tus lentes, los entregaremos en la fecha acordada.</v>
      </c>
    </row>
    <row r="853">
      <c r="A853" s="1">
        <f>IFERROR(__xludf.DUMMYFUNCTION("""COMPUTED_VALUE"""),85403.0)</f>
        <v>85403</v>
      </c>
      <c r="B853" s="5">
        <f>IFERROR(__xludf.DUMMYFUNCTION("""COMPUTED_VALUE"""),44946.80853635416)</f>
        <v>44946.80854</v>
      </c>
      <c r="C853" s="1" t="str">
        <f>IFERROR(__xludf.DUMMYFUNCTION("""COMPUTED_VALUE"""),"CHAVEZ YADIRA GUADALUPE")</f>
        <v>CHAVEZ YADIRA GUADALUPE</v>
      </c>
      <c r="D853" s="1" t="str">
        <f>IFERROR(__xludf.DUMMYFUNCTION("""COMPUTED_VALUE"""),"Lentes de STOCK")</f>
        <v>Lentes de STOCK</v>
      </c>
      <c r="E853" s="1" t="str">
        <f>IFERROR(__xludf.DUMMYFUNCTION("""COMPUTED_VALUE"""),"RIVADAVIA Marcela L")</f>
        <v>RIVADAVIA Marcela L</v>
      </c>
      <c r="F853" s="1" t="str">
        <f t="shared" si="1"/>
        <v>RIVADAVIA </v>
      </c>
      <c r="G853" s="1" t="str">
        <f t="shared" si="2"/>
        <v>Marcela L</v>
      </c>
      <c r="H853" s="1" t="str">
        <f>IFERROR(__xludf.DUMMYFUNCTION("""COMPUTED_VALUE"""),"25/1/2023, 17:00:00")</f>
        <v>25/1/2023, 17:00:00</v>
      </c>
      <c r="I853" s="1" t="str">
        <f>IFERROR(__xludf.DUMMYFUNCTION("""COMPUTED_VALUE"""),"RETIRADO OK POR CLIENTE")</f>
        <v>RETIRADO OK POR CLIENTE</v>
      </c>
      <c r="J853" s="1">
        <f t="shared" si="3"/>
        <v>6</v>
      </c>
      <c r="K853" s="1" t="str">
        <f t="shared" si="4"/>
        <v>Entregamos tus lentes, que los disfrutes!</v>
      </c>
    </row>
    <row r="854">
      <c r="A854" s="1">
        <f>IFERROR(__xludf.DUMMYFUNCTION("""COMPUTED_VALUE"""),85404.0)</f>
        <v>85404</v>
      </c>
      <c r="B854" s="5">
        <f>IFERROR(__xludf.DUMMYFUNCTION("""COMPUTED_VALUE"""),44946.81077207176)</f>
        <v>44946.81077</v>
      </c>
      <c r="C854" s="1" t="str">
        <f>IFERROR(__xludf.DUMMYFUNCTION("""COMPUTED_VALUE"""),"GOMEZ THIAGO YUTHIEL")</f>
        <v>GOMEZ THIAGO YUTHIEL</v>
      </c>
      <c r="D854" s="1" t="str">
        <f>IFERROR(__xludf.DUMMYFUNCTION("""COMPUTED_VALUE"""),"Lentes de STOCK")</f>
        <v>Lentes de STOCK</v>
      </c>
      <c r="E854" s="1" t="str">
        <f>IFERROR(__xludf.DUMMYFUNCTION("""COMPUTED_VALUE"""),"RIVADAVIA Marcela L")</f>
        <v>RIVADAVIA Marcela L</v>
      </c>
      <c r="F854" s="1" t="str">
        <f t="shared" si="1"/>
        <v>RIVADAVIA </v>
      </c>
      <c r="G854" s="1" t="str">
        <f t="shared" si="2"/>
        <v>Marcela L</v>
      </c>
      <c r="H854" s="1" t="str">
        <f>IFERROR(__xludf.DUMMYFUNCTION("""COMPUTED_VALUE"""),"25/1/2023, 17:00:00")</f>
        <v>25/1/2023, 17:00:00</v>
      </c>
      <c r="I854" s="1" t="str">
        <f>IFERROR(__xludf.DUMMYFUNCTION("""COMPUTED_VALUE"""),"RETIRADO OK POR CLIENTE")</f>
        <v>RETIRADO OK POR CLIENTE</v>
      </c>
      <c r="J854" s="1">
        <f t="shared" si="3"/>
        <v>6</v>
      </c>
      <c r="K854" s="1" t="str">
        <f t="shared" si="4"/>
        <v>Entregamos tus lentes, que los disfrutes!</v>
      </c>
    </row>
    <row r="855">
      <c r="A855" s="1">
        <f>IFERROR(__xludf.DUMMYFUNCTION("""COMPUTED_VALUE"""),85405.0)</f>
        <v>85405</v>
      </c>
      <c r="B855" s="5">
        <f>IFERROR(__xludf.DUMMYFUNCTION("""COMPUTED_VALUE"""),44946.82297010417)</f>
        <v>44946.82297</v>
      </c>
      <c r="C855" s="1" t="str">
        <f>IFERROR(__xludf.DUMMYFUNCTION("""COMPUTED_VALUE"""),"Rovedo Laura")</f>
        <v>Rovedo Laura</v>
      </c>
      <c r="D855" s="1" t="str">
        <f>IFERROR(__xludf.DUMMYFUNCTION("""COMPUTED_VALUE"""),"Lentes de STOCK")</f>
        <v>Lentes de STOCK</v>
      </c>
      <c r="E855" s="1" t="str">
        <f>IFERROR(__xludf.DUMMYFUNCTION("""COMPUTED_VALUE"""),"RIVADAVIA Rocio B")</f>
        <v>RIVADAVIA Rocio B</v>
      </c>
      <c r="F855" s="1" t="str">
        <f t="shared" si="1"/>
        <v>RIVADAVIA </v>
      </c>
      <c r="G855" s="1" t="str">
        <f t="shared" si="2"/>
        <v>Rocio B</v>
      </c>
      <c r="H855" s="1" t="str">
        <f>IFERROR(__xludf.DUMMYFUNCTION("""COMPUTED_VALUE"""),"27/1/2023, 17:00:00")</f>
        <v>27/1/2023, 17:00:00</v>
      </c>
      <c r="I855" s="1" t="str">
        <f>IFERROR(__xludf.DUMMYFUNCTION("""COMPUTED_VALUE"""),"RETIRADO OK POR CLIENTE")</f>
        <v>RETIRADO OK POR CLIENTE</v>
      </c>
      <c r="J855" s="1">
        <f t="shared" si="3"/>
        <v>6</v>
      </c>
      <c r="K855" s="1" t="str">
        <f t="shared" si="4"/>
        <v>Entregamos tus lentes, que los disfrutes!</v>
      </c>
    </row>
    <row r="856">
      <c r="A856" s="1">
        <f>IFERROR(__xludf.DUMMYFUNCTION("""COMPUTED_VALUE"""),85406.0)</f>
        <v>85406</v>
      </c>
      <c r="B856" s="5">
        <f>IFERROR(__xludf.DUMMYFUNCTION("""COMPUTED_VALUE"""),44947.41002019676)</f>
        <v>44947.41002</v>
      </c>
      <c r="C856" s="1" t="str">
        <f>IFERROR(__xludf.DUMMYFUNCTION("""COMPUTED_VALUE"""),"MIRANDA JORGE ALBERTO")</f>
        <v>MIRANDA JORGE ALBERTO</v>
      </c>
      <c r="D856" s="1" t="str">
        <f>IFERROR(__xludf.DUMMYFUNCTION("""COMPUTED_VALUE"""),"Lentes de STOCK")</f>
        <v>Lentes de STOCK</v>
      </c>
      <c r="E856" s="1" t="str">
        <f>IFERROR(__xludf.DUMMYFUNCTION("""COMPUTED_VALUE"""),"ARTIGAS Cristian C.")</f>
        <v>ARTIGAS Cristian C.</v>
      </c>
      <c r="F856" s="1" t="str">
        <f t="shared" si="1"/>
        <v>ARTIGAS </v>
      </c>
      <c r="G856" s="1" t="str">
        <f t="shared" si="2"/>
        <v>Cristian C.</v>
      </c>
      <c r="H856" s="1" t="str">
        <f>IFERROR(__xludf.DUMMYFUNCTION("""COMPUTED_VALUE"""),"27/1/2023, 17:00:00")</f>
        <v>27/1/2023, 17:00:00</v>
      </c>
      <c r="I856" s="1" t="str">
        <f>IFERROR(__xludf.DUMMYFUNCTION("""COMPUTED_VALUE"""),"RETIRADO OK POR CLIENTE")</f>
        <v>RETIRADO OK POR CLIENTE</v>
      </c>
      <c r="J856" s="1">
        <f t="shared" si="3"/>
        <v>6</v>
      </c>
      <c r="K856" s="1" t="str">
        <f t="shared" si="4"/>
        <v>Entregamos tus lentes, que los disfrutes!</v>
      </c>
    </row>
    <row r="857">
      <c r="A857" s="1">
        <f>IFERROR(__xludf.DUMMYFUNCTION("""COMPUTED_VALUE"""),85407.0)</f>
        <v>85407</v>
      </c>
      <c r="B857" s="5">
        <f>IFERROR(__xludf.DUMMYFUNCTION("""COMPUTED_VALUE"""),44947.412375625005)</f>
        <v>44947.41238</v>
      </c>
      <c r="C857" s="1" t="str">
        <f>IFERROR(__xludf.DUMMYFUNCTION("""COMPUTED_VALUE"""),"TROCOLI NATAIA")</f>
        <v>TROCOLI NATAIA</v>
      </c>
      <c r="D857" s="1" t="str">
        <f>IFERROR(__xludf.DUMMYFUNCTION("""COMPUTED_VALUE"""),"Lentes de STOCK")</f>
        <v>Lentes de STOCK</v>
      </c>
      <c r="E857" s="1" t="str">
        <f>IFERROR(__xludf.DUMMYFUNCTION("""COMPUTED_VALUE"""),"ARTIGAS Ivana P.")</f>
        <v>ARTIGAS Ivana P.</v>
      </c>
      <c r="F857" s="1" t="str">
        <f t="shared" si="1"/>
        <v>ARTIGAS </v>
      </c>
      <c r="G857" s="1" t="str">
        <f t="shared" si="2"/>
        <v>Ivana P.</v>
      </c>
      <c r="H857" s="1" t="str">
        <f>IFERROR(__xludf.DUMMYFUNCTION("""COMPUTED_VALUE"""),"24/1/2023, 17:00:00")</f>
        <v>24/1/2023, 17:00:00</v>
      </c>
      <c r="I857" s="1" t="str">
        <f>IFERROR(__xludf.DUMMYFUNCTION("""COMPUTED_VALUE"""),"RETIRADO OK POR CLIENTE")</f>
        <v>RETIRADO OK POR CLIENTE</v>
      </c>
      <c r="J857" s="1">
        <f t="shared" si="3"/>
        <v>6</v>
      </c>
      <c r="K857" s="1" t="str">
        <f t="shared" si="4"/>
        <v>Entregamos tus lentes, que los disfrutes!</v>
      </c>
    </row>
    <row r="858">
      <c r="A858" s="1">
        <f>IFERROR(__xludf.DUMMYFUNCTION("""COMPUTED_VALUE"""),85408.0)</f>
        <v>85408</v>
      </c>
      <c r="B858" s="5">
        <f>IFERROR(__xludf.DUMMYFUNCTION("""COMPUTED_VALUE"""),44947.41477625)</f>
        <v>44947.41478</v>
      </c>
      <c r="C858" s="1" t="str">
        <f>IFERROR(__xludf.DUMMYFUNCTION("""COMPUTED_VALUE"""),"MARTINEZ NORA ")</f>
        <v>MARTINEZ NORA </v>
      </c>
      <c r="D858" s="1" t="str">
        <f>IFERROR(__xludf.DUMMYFUNCTION("""COMPUTED_VALUE"""),"Lentes BIFOCALES")</f>
        <v>Lentes BIFOCALES</v>
      </c>
      <c r="E858" s="1" t="str">
        <f>IFERROR(__xludf.DUMMYFUNCTION("""COMPUTED_VALUE"""),"RIVADAVIA Daniel CM")</f>
        <v>RIVADAVIA Daniel CM</v>
      </c>
      <c r="F858" s="1" t="str">
        <f t="shared" si="1"/>
        <v>RIVADAVIA </v>
      </c>
      <c r="G858" s="1" t="str">
        <f t="shared" si="2"/>
        <v>Daniel CM</v>
      </c>
      <c r="H858" s="1" t="str">
        <f>IFERROR(__xludf.DUMMYFUNCTION("""COMPUTED_VALUE"""),"26/1/2023, 17:00:00")</f>
        <v>26/1/2023, 17:00:00</v>
      </c>
      <c r="I858" s="1" t="str">
        <f>IFERROR(__xludf.DUMMYFUNCTION("""COMPUTED_VALUE"""),"Completado en SUCURSAL")</f>
        <v>Completado en SUCURSAL</v>
      </c>
      <c r="J858" s="1">
        <f t="shared" si="3"/>
        <v>5</v>
      </c>
      <c r="K858" s="1" t="str">
        <f t="shared" si="4"/>
        <v>Tus Lentes estan LISTAS PARA ENTREGAR, te esperamos.</v>
      </c>
    </row>
    <row r="859">
      <c r="A859" s="1">
        <f>IFERROR(__xludf.DUMMYFUNCTION("""COMPUTED_VALUE"""),85409.0)</f>
        <v>85409</v>
      </c>
      <c r="B859" s="5">
        <f>IFERROR(__xludf.DUMMYFUNCTION("""COMPUTED_VALUE"""),44947.417237222224)</f>
        <v>44947.41724</v>
      </c>
      <c r="C859" s="1" t="str">
        <f>IFERROR(__xludf.DUMMYFUNCTION("""COMPUTED_VALUE"""),"MARTINEZ NORA")</f>
        <v>MARTINEZ NORA</v>
      </c>
      <c r="D859" s="1" t="str">
        <f>IFERROR(__xludf.DUMMYFUNCTION("""COMPUTED_VALUE"""),"Lentes de STOCK")</f>
        <v>Lentes de STOCK</v>
      </c>
      <c r="E859" s="1" t="str">
        <f>IFERROR(__xludf.DUMMYFUNCTION("""COMPUTED_VALUE"""),"RIVADAVIA Daniel CM")</f>
        <v>RIVADAVIA Daniel CM</v>
      </c>
      <c r="F859" s="1" t="str">
        <f t="shared" si="1"/>
        <v>RIVADAVIA </v>
      </c>
      <c r="G859" s="1" t="str">
        <f t="shared" si="2"/>
        <v>Daniel CM</v>
      </c>
      <c r="H859" s="1" t="str">
        <f>IFERROR(__xludf.DUMMYFUNCTION("""COMPUTED_VALUE"""),"24/1/2023, 17:00:00")</f>
        <v>24/1/2023, 17:00:00</v>
      </c>
      <c r="I859" s="1" t="str">
        <f>IFERROR(__xludf.DUMMYFUNCTION("""COMPUTED_VALUE"""),"RETIRADO OK POR CLIENTE")</f>
        <v>RETIRADO OK POR CLIENTE</v>
      </c>
      <c r="J859" s="1">
        <f t="shared" si="3"/>
        <v>6</v>
      </c>
      <c r="K859" s="1" t="str">
        <f t="shared" si="4"/>
        <v>Entregamos tus lentes, que los disfrutes!</v>
      </c>
    </row>
    <row r="860">
      <c r="A860" s="1">
        <f>IFERROR(__xludf.DUMMYFUNCTION("""COMPUTED_VALUE"""),85410.0)</f>
        <v>85410</v>
      </c>
      <c r="B860" s="5">
        <f>IFERROR(__xludf.DUMMYFUNCTION("""COMPUTED_VALUE"""),44947.42021658565)</f>
        <v>44947.42022</v>
      </c>
      <c r="C860" s="1" t="str">
        <f>IFERROR(__xludf.DUMMYFUNCTION("""COMPUTED_VALUE"""),"FERRARI PAULA ELIZABETH")</f>
        <v>FERRARI PAULA ELIZABETH</v>
      </c>
      <c r="D860" s="1" t="str">
        <f>IFERROR(__xludf.DUMMYFUNCTION("""COMPUTED_VALUE"""),"Lentes de STOCK")</f>
        <v>Lentes de STOCK</v>
      </c>
      <c r="E860" s="1" t="str">
        <f>IFERROR(__xludf.DUMMYFUNCTION("""COMPUTED_VALUE"""),"RIVADAVIA Rocio B")</f>
        <v>RIVADAVIA Rocio B</v>
      </c>
      <c r="F860" s="1" t="str">
        <f t="shared" si="1"/>
        <v>RIVADAVIA </v>
      </c>
      <c r="G860" s="1" t="str">
        <f t="shared" si="2"/>
        <v>Rocio B</v>
      </c>
      <c r="H860" s="1" t="str">
        <f>IFERROR(__xludf.DUMMYFUNCTION("""COMPUTED_VALUE"""),"27/1/2023, 17:00:00")</f>
        <v>27/1/2023, 17:00:00</v>
      </c>
      <c r="I860" s="1" t="str">
        <f>IFERROR(__xludf.DUMMYFUNCTION("""COMPUTED_VALUE"""),"RETIRADO OK POR CLIENTE")</f>
        <v>RETIRADO OK POR CLIENTE</v>
      </c>
      <c r="J860" s="1">
        <f t="shared" si="3"/>
        <v>6</v>
      </c>
      <c r="K860" s="1" t="str">
        <f t="shared" si="4"/>
        <v>Entregamos tus lentes, que los disfrutes!</v>
      </c>
    </row>
    <row r="861">
      <c r="A861" s="1">
        <f>IFERROR(__xludf.DUMMYFUNCTION("""COMPUTED_VALUE"""),85411.0)</f>
        <v>85411</v>
      </c>
      <c r="B861" s="5">
        <f>IFERROR(__xludf.DUMMYFUNCTION("""COMPUTED_VALUE"""),44947.42072371527)</f>
        <v>44947.42072</v>
      </c>
      <c r="C861" s="1" t="str">
        <f>IFERROR(__xludf.DUMMYFUNCTION("""COMPUTED_VALUE"""),"DOMINGUEZ ANGELA MARTA")</f>
        <v>DOMINGUEZ ANGELA MARTA</v>
      </c>
      <c r="D861" s="1" t="str">
        <f>IFERROR(__xludf.DUMMYFUNCTION("""COMPUTED_VALUE"""),"Lentes BIFOCALES")</f>
        <v>Lentes BIFOCALES</v>
      </c>
      <c r="E861" s="1" t="str">
        <f>IFERROR(__xludf.DUMMYFUNCTION("""COMPUTED_VALUE"""),"ARTIGAS Cristian C.")</f>
        <v>ARTIGAS Cristian C.</v>
      </c>
      <c r="F861" s="1" t="str">
        <f t="shared" si="1"/>
        <v>ARTIGAS </v>
      </c>
      <c r="G861" s="1" t="str">
        <f t="shared" si="2"/>
        <v>Cristian C.</v>
      </c>
      <c r="H861" s="1" t="str">
        <f>IFERROR(__xludf.DUMMYFUNCTION("""COMPUTED_VALUE"""),"30/1/2023, 17:00:00")</f>
        <v>30/1/2023, 17:00:00</v>
      </c>
      <c r="I861" s="1" t="str">
        <f>IFERROR(__xludf.DUMMYFUNCTION("""COMPUTED_VALUE"""),"RETIRADO OK POR CLIENTE")</f>
        <v>RETIRADO OK POR CLIENTE</v>
      </c>
      <c r="J861" s="1">
        <f t="shared" si="3"/>
        <v>6</v>
      </c>
      <c r="K861" s="1" t="str">
        <f t="shared" si="4"/>
        <v>Entregamos tus lentes, que los disfrutes!</v>
      </c>
    </row>
    <row r="862">
      <c r="A862" s="1">
        <f>IFERROR(__xludf.DUMMYFUNCTION("""COMPUTED_VALUE"""),85412.0)</f>
        <v>85412</v>
      </c>
      <c r="B862" s="5">
        <f>IFERROR(__xludf.DUMMYFUNCTION("""COMPUTED_VALUE"""),44947.427533090275)</f>
        <v>44947.42753</v>
      </c>
      <c r="C862" s="1" t="str">
        <f>IFERROR(__xludf.DUMMYFUNCTION("""COMPUTED_VALUE"""),"SUAREZ ANTONIO MAURO ")</f>
        <v>SUAREZ ANTONIO MAURO </v>
      </c>
      <c r="D862" s="1" t="str">
        <f>IFERROR(__xludf.DUMMYFUNCTION("""COMPUTED_VALUE"""),"Lentes de STOCK")</f>
        <v>Lentes de STOCK</v>
      </c>
      <c r="E862" s="1" t="str">
        <f>IFERROR(__xludf.DUMMYFUNCTION("""COMPUTED_VALUE"""),"RIVADAVIA Daniel CM")</f>
        <v>RIVADAVIA Daniel CM</v>
      </c>
      <c r="F862" s="1" t="str">
        <f t="shared" si="1"/>
        <v>RIVADAVIA </v>
      </c>
      <c r="G862" s="1" t="str">
        <f t="shared" si="2"/>
        <v>Daniel CM</v>
      </c>
      <c r="H862" s="1" t="str">
        <f>IFERROR(__xludf.DUMMYFUNCTION("""COMPUTED_VALUE"""),"25/1/2023, 17:00:00")</f>
        <v>25/1/2023, 17:00:00</v>
      </c>
      <c r="I862" s="1" t="str">
        <f>IFERROR(__xludf.DUMMYFUNCTION("""COMPUTED_VALUE"""),"Completado en SUCURSAL")</f>
        <v>Completado en SUCURSAL</v>
      </c>
      <c r="J862" s="1">
        <f t="shared" si="3"/>
        <v>5</v>
      </c>
      <c r="K862" s="1" t="str">
        <f t="shared" si="4"/>
        <v>Tus Lentes estan LISTAS PARA ENTREGAR, te esperamos.</v>
      </c>
    </row>
    <row r="863">
      <c r="A863" s="1">
        <f>IFERROR(__xludf.DUMMYFUNCTION("""COMPUTED_VALUE"""),85413.0)</f>
        <v>85413</v>
      </c>
      <c r="B863" s="5">
        <f>IFERROR(__xludf.DUMMYFUNCTION("""COMPUTED_VALUE"""),44947.43499648148)</f>
        <v>44947.435</v>
      </c>
      <c r="C863" s="1" t="str">
        <f>IFERROR(__xludf.DUMMYFUNCTION("""COMPUTED_VALUE"""),"Albornoz Lorena")</f>
        <v>Albornoz Lorena</v>
      </c>
      <c r="D863" s="1" t="str">
        <f>IFERROR(__xludf.DUMMYFUNCTION("""COMPUTED_VALUE"""),"Lentes de STOCK")</f>
        <v>Lentes de STOCK</v>
      </c>
      <c r="E863" s="1" t="str">
        <f>IFERROR(__xludf.DUMMYFUNCTION("""COMPUTED_VALUE"""),"RIVADAVIA Rocio B")</f>
        <v>RIVADAVIA Rocio B</v>
      </c>
      <c r="F863" s="1" t="str">
        <f t="shared" si="1"/>
        <v>RIVADAVIA </v>
      </c>
      <c r="G863" s="1" t="str">
        <f t="shared" si="2"/>
        <v>Rocio B</v>
      </c>
      <c r="H863" s="1" t="str">
        <f>IFERROR(__xludf.DUMMYFUNCTION("""COMPUTED_VALUE"""),"26/1/2023, 17:00:00")</f>
        <v>26/1/2023, 17:00:00</v>
      </c>
      <c r="I863" s="1" t="str">
        <f>IFERROR(__xludf.DUMMYFUNCTION("""COMPUTED_VALUE"""),"RETIRADO OK POR CLIENTE")</f>
        <v>RETIRADO OK POR CLIENTE</v>
      </c>
      <c r="J863" s="1">
        <f t="shared" si="3"/>
        <v>6</v>
      </c>
      <c r="K863" s="1" t="str">
        <f t="shared" si="4"/>
        <v>Entregamos tus lentes, que los disfrutes!</v>
      </c>
    </row>
    <row r="864">
      <c r="A864" s="1">
        <f>IFERROR(__xludf.DUMMYFUNCTION("""COMPUTED_VALUE"""),85414.0)</f>
        <v>85414</v>
      </c>
      <c r="B864" s="5">
        <f>IFERROR(__xludf.DUMMYFUNCTION("""COMPUTED_VALUE"""),44947.43779469907)</f>
        <v>44947.43779</v>
      </c>
      <c r="C864" s="1" t="str">
        <f>IFERROR(__xludf.DUMMYFUNCTION("""COMPUTED_VALUE"""),"VIDELA JOSEFINA")</f>
        <v>VIDELA JOSEFINA</v>
      </c>
      <c r="D864" s="1" t="str">
        <f>IFERROR(__xludf.DUMMYFUNCTION("""COMPUTED_VALUE"""),"Lentes de STOCK")</f>
        <v>Lentes de STOCK</v>
      </c>
      <c r="E864" s="1" t="str">
        <f>IFERROR(__xludf.DUMMYFUNCTION("""COMPUTED_VALUE"""),"ARTIGAS Cristian C.")</f>
        <v>ARTIGAS Cristian C.</v>
      </c>
      <c r="F864" s="1" t="str">
        <f t="shared" si="1"/>
        <v>ARTIGAS </v>
      </c>
      <c r="G864" s="1" t="str">
        <f t="shared" si="2"/>
        <v>Cristian C.</v>
      </c>
      <c r="H864" s="1" t="str">
        <f>IFERROR(__xludf.DUMMYFUNCTION("""COMPUTED_VALUE"""),"30/1/2023, 17:00:00")</f>
        <v>30/1/2023, 17:00:00</v>
      </c>
      <c r="I864" s="1" t="str">
        <f>IFERROR(__xludf.DUMMYFUNCTION("""COMPUTED_VALUE"""),"Completado en SUCURSAL")</f>
        <v>Completado en SUCURSAL</v>
      </c>
      <c r="J864" s="1">
        <f t="shared" si="3"/>
        <v>5</v>
      </c>
      <c r="K864" s="1" t="str">
        <f t="shared" si="4"/>
        <v>Tus Lentes estan LISTAS PARA ENTREGAR, te esperamos.</v>
      </c>
    </row>
    <row r="865">
      <c r="A865" s="1">
        <f>IFERROR(__xludf.DUMMYFUNCTION("""COMPUTED_VALUE"""),85415.0)</f>
        <v>85415</v>
      </c>
      <c r="B865" s="5">
        <f>IFERROR(__xludf.DUMMYFUNCTION("""COMPUTED_VALUE"""),44947.439763194445)</f>
        <v>44947.43976</v>
      </c>
      <c r="C865" s="1" t="str">
        <f>IFERROR(__xludf.DUMMYFUNCTION("""COMPUTED_VALUE"""),"SANDOVAL IDELFONSA")</f>
        <v>SANDOVAL IDELFONSA</v>
      </c>
      <c r="D865" s="1" t="str">
        <f>IFERROR(__xludf.DUMMYFUNCTION("""COMPUTED_VALUE"""),"Lentes de STOCK")</f>
        <v>Lentes de STOCK</v>
      </c>
      <c r="E865" s="1" t="str">
        <f>IFERROR(__xludf.DUMMYFUNCTION("""COMPUTED_VALUE"""),"RIVADAVIA Daniel CM")</f>
        <v>RIVADAVIA Daniel CM</v>
      </c>
      <c r="F865" s="1" t="str">
        <f t="shared" si="1"/>
        <v>RIVADAVIA </v>
      </c>
      <c r="G865" s="1" t="str">
        <f t="shared" si="2"/>
        <v>Daniel CM</v>
      </c>
      <c r="H865" s="1" t="str">
        <f>IFERROR(__xludf.DUMMYFUNCTION("""COMPUTED_VALUE"""),"26/1/2023, 17:00:00")</f>
        <v>26/1/2023, 17:00:00</v>
      </c>
      <c r="I865" s="1" t="str">
        <f>IFERROR(__xludf.DUMMYFUNCTION("""COMPUTED_VALUE"""),"RETIRADO OK POR CLIENTE")</f>
        <v>RETIRADO OK POR CLIENTE</v>
      </c>
      <c r="J865" s="1">
        <f t="shared" si="3"/>
        <v>6</v>
      </c>
      <c r="K865" s="1" t="str">
        <f t="shared" si="4"/>
        <v>Entregamos tus lentes, que los disfrutes!</v>
      </c>
    </row>
    <row r="866">
      <c r="A866" s="1">
        <f>IFERROR(__xludf.DUMMYFUNCTION("""COMPUTED_VALUE"""),85416.0)</f>
        <v>85416</v>
      </c>
      <c r="B866" s="5">
        <f>IFERROR(__xludf.DUMMYFUNCTION("""COMPUTED_VALUE"""),44947.443825173614)</f>
        <v>44947.44383</v>
      </c>
      <c r="C866" s="1" t="str">
        <f>IFERROR(__xludf.DUMMYFUNCTION("""COMPUTED_VALUE"""),"NEGRINI CARINA MARCELA")</f>
        <v>NEGRINI CARINA MARCELA</v>
      </c>
      <c r="D866" s="1" t="str">
        <f>IFERROR(__xludf.DUMMYFUNCTION("""COMPUTED_VALUE"""),"Lentes de STOCK")</f>
        <v>Lentes de STOCK</v>
      </c>
      <c r="E866" s="1" t="str">
        <f>IFERROR(__xludf.DUMMYFUNCTION("""COMPUTED_VALUE"""),"RIVADAVIA Daniel CM")</f>
        <v>RIVADAVIA Daniel CM</v>
      </c>
      <c r="F866" s="1" t="str">
        <f t="shared" si="1"/>
        <v>RIVADAVIA </v>
      </c>
      <c r="G866" s="1" t="str">
        <f t="shared" si="2"/>
        <v>Daniel CM</v>
      </c>
      <c r="H866" s="1" t="str">
        <f>IFERROR(__xludf.DUMMYFUNCTION("""COMPUTED_VALUE"""),"26/1/2023, 17:00:00")</f>
        <v>26/1/2023, 17:00:00</v>
      </c>
      <c r="I866" s="1" t="str">
        <f>IFERROR(__xludf.DUMMYFUNCTION("""COMPUTED_VALUE"""),"RETIRADO OK POR CLIENTE")</f>
        <v>RETIRADO OK POR CLIENTE</v>
      </c>
      <c r="J866" s="1">
        <f t="shared" si="3"/>
        <v>6</v>
      </c>
      <c r="K866" s="1" t="str">
        <f t="shared" si="4"/>
        <v>Entregamos tus lentes, que los disfrutes!</v>
      </c>
    </row>
    <row r="867">
      <c r="A867" s="1">
        <f>IFERROR(__xludf.DUMMYFUNCTION("""COMPUTED_VALUE"""),85417.0)</f>
        <v>85417</v>
      </c>
      <c r="B867" s="5">
        <f>IFERROR(__xludf.DUMMYFUNCTION("""COMPUTED_VALUE"""),44947.44858221065)</f>
        <v>44947.44858</v>
      </c>
      <c r="C867" s="1" t="str">
        <f>IFERROR(__xludf.DUMMYFUNCTION("""COMPUTED_VALUE"""),"VICENTELA ROLANDO OSCAR")</f>
        <v>VICENTELA ROLANDO OSCAR</v>
      </c>
      <c r="D867" s="1" t="str">
        <f>IFERROR(__xludf.DUMMYFUNCTION("""COMPUTED_VALUE"""),"Lentes de STOCK")</f>
        <v>Lentes de STOCK</v>
      </c>
      <c r="E867" s="1" t="str">
        <f>IFERROR(__xludf.DUMMYFUNCTION("""COMPUTED_VALUE"""),"RIVADAVIA Javier")</f>
        <v>RIVADAVIA Javier</v>
      </c>
      <c r="F867" s="1" t="str">
        <f t="shared" si="1"/>
        <v>RIVADAVIA </v>
      </c>
      <c r="G867" s="1" t="str">
        <f t="shared" si="2"/>
        <v>Javier</v>
      </c>
      <c r="H867" s="1" t="str">
        <f>IFERROR(__xludf.DUMMYFUNCTION("""COMPUTED_VALUE"""),"25/1/2023, 17:00:00")</f>
        <v>25/1/2023, 17:00:00</v>
      </c>
      <c r="I867" s="1" t="str">
        <f>IFERROR(__xludf.DUMMYFUNCTION("""COMPUTED_VALUE"""),"RETIRADO OK POR CLIENTE")</f>
        <v>RETIRADO OK POR CLIENTE</v>
      </c>
      <c r="J867" s="1">
        <f t="shared" si="3"/>
        <v>6</v>
      </c>
      <c r="K867" s="1" t="str">
        <f t="shared" si="4"/>
        <v>Entregamos tus lentes, que los disfrutes!</v>
      </c>
    </row>
    <row r="868">
      <c r="A868" s="1">
        <f>IFERROR(__xludf.DUMMYFUNCTION("""COMPUTED_VALUE"""),85418.0)</f>
        <v>85418</v>
      </c>
      <c r="B868" s="5">
        <f>IFERROR(__xludf.DUMMYFUNCTION("""COMPUTED_VALUE"""),44947.45108994213)</f>
        <v>44947.45109</v>
      </c>
      <c r="C868" s="1" t="str">
        <f>IFERROR(__xludf.DUMMYFUNCTION("""COMPUTED_VALUE"""),"SEGURA NIDIA")</f>
        <v>SEGURA NIDIA</v>
      </c>
      <c r="D868" s="1" t="str">
        <f>IFERROR(__xludf.DUMMYFUNCTION("""COMPUTED_VALUE"""),"Lentes MULTIFOCALES")</f>
        <v>Lentes MULTIFOCALES</v>
      </c>
      <c r="E868" s="1" t="str">
        <f>IFERROR(__xludf.DUMMYFUNCTION("""COMPUTED_VALUE"""),"RIVADAVIA Santiago LOPEZ")</f>
        <v>RIVADAVIA Santiago LOPEZ</v>
      </c>
      <c r="F868" s="1" t="str">
        <f t="shared" si="1"/>
        <v>RIVADAVIA </v>
      </c>
      <c r="G868" s="1" t="str">
        <f t="shared" si="2"/>
        <v>Santiago LOPEZ</v>
      </c>
      <c r="H868" s="1" t="str">
        <f>IFERROR(__xludf.DUMMYFUNCTION("""COMPUTED_VALUE"""),"6/2/2023, 17:00:00")</f>
        <v>6/2/2023, 17:00:00</v>
      </c>
      <c r="I868" s="1" t="str">
        <f>IFERROR(__xludf.DUMMYFUNCTION("""COMPUTED_VALUE"""),"Completado en SUCURSAL")</f>
        <v>Completado en SUCURSAL</v>
      </c>
      <c r="J868" s="1">
        <f t="shared" si="3"/>
        <v>5</v>
      </c>
      <c r="K868" s="1" t="str">
        <f t="shared" si="4"/>
        <v>Tus Lentes estan LISTAS PARA ENTREGAR, te esperamos.</v>
      </c>
    </row>
    <row r="869">
      <c r="A869" s="1">
        <f>IFERROR(__xludf.DUMMYFUNCTION("""COMPUTED_VALUE"""),85419.0)</f>
        <v>85419</v>
      </c>
      <c r="B869" s="5">
        <f>IFERROR(__xludf.DUMMYFUNCTION("""COMPUTED_VALUE"""),44947.465678506946)</f>
        <v>44947.46568</v>
      </c>
      <c r="C869" s="1" t="str">
        <f>IFERROR(__xludf.DUMMYFUNCTION("""COMPUTED_VALUE"""),"Fredes Patricia Graciela")</f>
        <v>Fredes Patricia Graciela</v>
      </c>
      <c r="D869" s="1" t="str">
        <f>IFERROR(__xludf.DUMMYFUNCTION("""COMPUTED_VALUE"""),"Reparaciones/Otros")</f>
        <v>Reparaciones/Otros</v>
      </c>
      <c r="E869" s="1" t="str">
        <f>IFERROR(__xludf.DUMMYFUNCTION("""COMPUTED_VALUE"""),"RIVADAVIA Rocio B")</f>
        <v>RIVADAVIA Rocio B</v>
      </c>
      <c r="F869" s="1" t="str">
        <f t="shared" si="1"/>
        <v>RIVADAVIA </v>
      </c>
      <c r="G869" s="1" t="str">
        <f t="shared" si="2"/>
        <v>Rocio B</v>
      </c>
      <c r="H869" s="1" t="str">
        <f>IFERROR(__xludf.DUMMYFUNCTION("""COMPUTED_VALUE"""),"23/1/2023, 17:00:00")</f>
        <v>23/1/2023, 17:00:00</v>
      </c>
      <c r="I869" s="1" t="str">
        <f>IFERROR(__xludf.DUMMYFUNCTION("""COMPUTED_VALUE"""),"Completado en SUCURSAL")</f>
        <v>Completado en SUCURSAL</v>
      </c>
      <c r="J869" s="1">
        <f t="shared" si="3"/>
        <v>5</v>
      </c>
      <c r="K869" s="1" t="str">
        <f t="shared" si="4"/>
        <v>Tus Lentes estan LISTAS PARA ENTREGAR, te esperamos.</v>
      </c>
    </row>
    <row r="870">
      <c r="A870" s="1">
        <f>IFERROR(__xludf.DUMMYFUNCTION("""COMPUTED_VALUE"""),85420.0)</f>
        <v>85420</v>
      </c>
      <c r="B870" s="5">
        <f>IFERROR(__xludf.DUMMYFUNCTION("""COMPUTED_VALUE"""),44947.46823118055)</f>
        <v>44947.46823</v>
      </c>
      <c r="C870" s="1" t="str">
        <f>IFERROR(__xludf.DUMMYFUNCTION("""COMPUTED_VALUE"""),"ZAMPA CLAUDIA")</f>
        <v>ZAMPA CLAUDIA</v>
      </c>
      <c r="D870" s="1" t="str">
        <f>IFERROR(__xludf.DUMMYFUNCTION("""COMPUTED_VALUE"""),"Lentes MULTIFOCALES")</f>
        <v>Lentes MULTIFOCALES</v>
      </c>
      <c r="E870" s="1" t="str">
        <f>IFERROR(__xludf.DUMMYFUNCTION("""COMPUTED_VALUE"""),"RIVADAVIA Luciana")</f>
        <v>RIVADAVIA Luciana</v>
      </c>
      <c r="F870" s="1" t="str">
        <f t="shared" si="1"/>
        <v>RIVADAVIA </v>
      </c>
      <c r="G870" s="1" t="str">
        <f t="shared" si="2"/>
        <v>Luciana</v>
      </c>
      <c r="H870" s="1" t="str">
        <f>IFERROR(__xludf.DUMMYFUNCTION("""COMPUTED_VALUE"""),"9/2/2023, 17:00:00")</f>
        <v>9/2/2023, 17:00:00</v>
      </c>
      <c r="I870" s="1" t="str">
        <f>IFERROR(__xludf.DUMMYFUNCTION("""COMPUTED_VALUE"""),"RETIRADO OK POR CLIENTE")</f>
        <v>RETIRADO OK POR CLIENTE</v>
      </c>
      <c r="J870" s="1">
        <f t="shared" si="3"/>
        <v>6</v>
      </c>
      <c r="K870" s="1" t="str">
        <f t="shared" si="4"/>
        <v>Entregamos tus lentes, que los disfrutes!</v>
      </c>
    </row>
    <row r="871">
      <c r="A871" s="1">
        <f>IFERROR(__xludf.DUMMYFUNCTION("""COMPUTED_VALUE"""),85421.0)</f>
        <v>85421</v>
      </c>
      <c r="B871" s="5">
        <f>IFERROR(__xludf.DUMMYFUNCTION("""COMPUTED_VALUE"""),44947.468263946765)</f>
        <v>44947.46826</v>
      </c>
      <c r="C871" s="1" t="str">
        <f>IFERROR(__xludf.DUMMYFUNCTION("""COMPUTED_VALUE"""),"TASSARA DANIEL HECTOR")</f>
        <v>TASSARA DANIEL HECTOR</v>
      </c>
      <c r="D871" s="1" t="str">
        <f>IFERROR(__xludf.DUMMYFUNCTION("""COMPUTED_VALUE"""),"Lentes BIFOCALES")</f>
        <v>Lentes BIFOCALES</v>
      </c>
      <c r="E871" s="1" t="str">
        <f>IFERROR(__xludf.DUMMYFUNCTION("""COMPUTED_VALUE"""),"RIVADAVIA Javier")</f>
        <v>RIVADAVIA Javier</v>
      </c>
      <c r="F871" s="1" t="str">
        <f t="shared" si="1"/>
        <v>RIVADAVIA </v>
      </c>
      <c r="G871" s="1" t="str">
        <f t="shared" si="2"/>
        <v>Javier</v>
      </c>
      <c r="H871" s="1" t="str">
        <f>IFERROR(__xludf.DUMMYFUNCTION("""COMPUTED_VALUE"""),"30/1/2023, 17:00:00")</f>
        <v>30/1/2023, 17:00:00</v>
      </c>
      <c r="I871" s="1" t="str">
        <f>IFERROR(__xludf.DUMMYFUNCTION("""COMPUTED_VALUE"""),"RETIRADO OK POR CLIENTE")</f>
        <v>RETIRADO OK POR CLIENTE</v>
      </c>
      <c r="J871" s="1">
        <f t="shared" si="3"/>
        <v>6</v>
      </c>
      <c r="K871" s="1" t="str">
        <f t="shared" si="4"/>
        <v>Entregamos tus lentes, que los disfrutes!</v>
      </c>
    </row>
    <row r="872">
      <c r="A872" s="1">
        <f>IFERROR(__xludf.DUMMYFUNCTION("""COMPUTED_VALUE"""),85422.0)</f>
        <v>85422</v>
      </c>
      <c r="B872" s="5">
        <f>IFERROR(__xludf.DUMMYFUNCTION("""COMPUTED_VALUE"""),44947.47012677083)</f>
        <v>44947.47013</v>
      </c>
      <c r="C872" s="1" t="str">
        <f>IFERROR(__xludf.DUMMYFUNCTION("""COMPUTED_VALUE"""),"SOSA CLAUDIA")</f>
        <v>SOSA CLAUDIA</v>
      </c>
      <c r="D872" s="1" t="str">
        <f>IFERROR(__xludf.DUMMYFUNCTION("""COMPUTED_VALUE"""),"Lentes de STOCK")</f>
        <v>Lentes de STOCK</v>
      </c>
      <c r="E872" s="1" t="str">
        <f>IFERROR(__xludf.DUMMYFUNCTION("""COMPUTED_VALUE"""),"ARTIGAS Ivana P.")</f>
        <v>ARTIGAS Ivana P.</v>
      </c>
      <c r="F872" s="1" t="str">
        <f t="shared" si="1"/>
        <v>ARTIGAS </v>
      </c>
      <c r="G872" s="1" t="str">
        <f t="shared" si="2"/>
        <v>Ivana P.</v>
      </c>
      <c r="H872" s="1" t="str">
        <f>IFERROR(__xludf.DUMMYFUNCTION("""COMPUTED_VALUE"""),"25/1/2023, 17:00:00")</f>
        <v>25/1/2023, 17:00:00</v>
      </c>
      <c r="I872" s="1" t="str">
        <f>IFERROR(__xludf.DUMMYFUNCTION("""COMPUTED_VALUE"""),"RETIRADO OK POR CLIENTE")</f>
        <v>RETIRADO OK POR CLIENTE</v>
      </c>
      <c r="J872" s="1">
        <f t="shared" si="3"/>
        <v>6</v>
      </c>
      <c r="K872" s="1" t="str">
        <f t="shared" si="4"/>
        <v>Entregamos tus lentes, que los disfrutes!</v>
      </c>
    </row>
    <row r="873">
      <c r="A873" s="1">
        <f>IFERROR(__xludf.DUMMYFUNCTION("""COMPUTED_VALUE"""),85423.0)</f>
        <v>85423</v>
      </c>
      <c r="B873" s="5">
        <f>IFERROR(__xludf.DUMMYFUNCTION("""COMPUTED_VALUE"""),44947.473813564815)</f>
        <v>44947.47381</v>
      </c>
      <c r="C873" s="1" t="str">
        <f>IFERROR(__xludf.DUMMYFUNCTION("""COMPUTED_VALUE"""),"SCARCELLA ERIKA ESTELLA")</f>
        <v>SCARCELLA ERIKA ESTELLA</v>
      </c>
      <c r="D873" s="1" t="str">
        <f>IFERROR(__xludf.DUMMYFUNCTION("""COMPUTED_VALUE"""),"Lentes de STOCK")</f>
        <v>Lentes de STOCK</v>
      </c>
      <c r="E873" s="1" t="str">
        <f>IFERROR(__xludf.DUMMYFUNCTION("""COMPUTED_VALUE"""),"RIVADAVIA Javier")</f>
        <v>RIVADAVIA Javier</v>
      </c>
      <c r="F873" s="1" t="str">
        <f t="shared" si="1"/>
        <v>RIVADAVIA </v>
      </c>
      <c r="G873" s="1" t="str">
        <f t="shared" si="2"/>
        <v>Javier</v>
      </c>
      <c r="H873" s="1" t="str">
        <f>IFERROR(__xludf.DUMMYFUNCTION("""COMPUTED_VALUE"""),"25/1/2023, 17:00:00")</f>
        <v>25/1/2023, 17:00:00</v>
      </c>
      <c r="I873" s="1" t="str">
        <f>IFERROR(__xludf.DUMMYFUNCTION("""COMPUTED_VALUE"""),"RETIRADO OK POR CLIENTE")</f>
        <v>RETIRADO OK POR CLIENTE</v>
      </c>
      <c r="J873" s="1">
        <f t="shared" si="3"/>
        <v>6</v>
      </c>
      <c r="K873" s="1" t="str">
        <f t="shared" si="4"/>
        <v>Entregamos tus lentes, que los disfrutes!</v>
      </c>
    </row>
    <row r="874">
      <c r="A874" s="1">
        <f>IFERROR(__xludf.DUMMYFUNCTION("""COMPUTED_VALUE"""),85424.0)</f>
        <v>85424</v>
      </c>
      <c r="B874" s="5">
        <f>IFERROR(__xludf.DUMMYFUNCTION("""COMPUTED_VALUE"""),44947.480856435184)</f>
        <v>44947.48086</v>
      </c>
      <c r="C874" s="1" t="str">
        <f>IFERROR(__xludf.DUMMYFUNCTION("""COMPUTED_VALUE"""),"LAMBA SANTINA")</f>
        <v>LAMBA SANTINA</v>
      </c>
      <c r="D874" s="1" t="str">
        <f>IFERROR(__xludf.DUMMYFUNCTION("""COMPUTED_VALUE"""),"Lentes de STOCK")</f>
        <v>Lentes de STOCK</v>
      </c>
      <c r="E874" s="1" t="str">
        <f>IFERROR(__xludf.DUMMYFUNCTION("""COMPUTED_VALUE"""),"ARTIGAS Cristian C.")</f>
        <v>ARTIGAS Cristian C.</v>
      </c>
      <c r="F874" s="1" t="str">
        <f t="shared" si="1"/>
        <v>ARTIGAS </v>
      </c>
      <c r="G874" s="1" t="str">
        <f t="shared" si="2"/>
        <v>Cristian C.</v>
      </c>
      <c r="H874" s="1" t="str">
        <f>IFERROR(__xludf.DUMMYFUNCTION("""COMPUTED_VALUE"""),"30/1/2023, 17:00:00")</f>
        <v>30/1/2023, 17:00:00</v>
      </c>
      <c r="I874" s="1" t="str">
        <f>IFERROR(__xludf.DUMMYFUNCTION("""COMPUTED_VALUE"""),"RETIRADO OK POR CLIENTE")</f>
        <v>RETIRADO OK POR CLIENTE</v>
      </c>
      <c r="J874" s="1">
        <f t="shared" si="3"/>
        <v>6</v>
      </c>
      <c r="K874" s="1" t="str">
        <f t="shared" si="4"/>
        <v>Entregamos tus lentes, que los disfrutes!</v>
      </c>
    </row>
    <row r="875">
      <c r="A875" s="1">
        <f>IFERROR(__xludf.DUMMYFUNCTION("""COMPUTED_VALUE"""),85425.0)</f>
        <v>85425</v>
      </c>
      <c r="B875" s="5">
        <f>IFERROR(__xludf.DUMMYFUNCTION("""COMPUTED_VALUE"""),44947.48147629629)</f>
        <v>44947.48148</v>
      </c>
      <c r="C875" s="1" t="str">
        <f>IFERROR(__xludf.DUMMYFUNCTION("""COMPUTED_VALUE"""),"CELI DANIEL")</f>
        <v>CELI DANIEL</v>
      </c>
      <c r="D875" s="1" t="str">
        <f>IFERROR(__xludf.DUMMYFUNCTION("""COMPUTED_VALUE"""),"Lentes de STOCK")</f>
        <v>Lentes de STOCK</v>
      </c>
      <c r="E875" s="1" t="str">
        <f>IFERROR(__xludf.DUMMYFUNCTION("""COMPUTED_VALUE"""),"RIVADAVIA Santiago LOPEZ")</f>
        <v>RIVADAVIA Santiago LOPEZ</v>
      </c>
      <c r="F875" s="1" t="str">
        <f t="shared" si="1"/>
        <v>RIVADAVIA </v>
      </c>
      <c r="G875" s="1" t="str">
        <f t="shared" si="2"/>
        <v>Santiago LOPEZ</v>
      </c>
      <c r="H875" s="1" t="str">
        <f>IFERROR(__xludf.DUMMYFUNCTION("""COMPUTED_VALUE"""),"31/1/2023, 17:00:00")</f>
        <v>31/1/2023, 17:00:00</v>
      </c>
      <c r="I875" s="1" t="str">
        <f>IFERROR(__xludf.DUMMYFUNCTION("""COMPUTED_VALUE"""),"Enviado a Sucursal")</f>
        <v>Enviado a Sucursal</v>
      </c>
      <c r="J875" s="1">
        <f t="shared" si="3"/>
        <v>4</v>
      </c>
      <c r="K875" s="1" t="str">
        <f t="shared" si="4"/>
        <v>Tus lentes estan viajando a la sucursal para su entrega.</v>
      </c>
    </row>
    <row r="876">
      <c r="A876" s="1">
        <f>IFERROR(__xludf.DUMMYFUNCTION("""COMPUTED_VALUE"""),85426.0)</f>
        <v>85426</v>
      </c>
      <c r="B876" s="5">
        <f>IFERROR(__xludf.DUMMYFUNCTION("""COMPUTED_VALUE"""),44947.48853773148)</f>
        <v>44947.48854</v>
      </c>
      <c r="C876" s="1" t="str">
        <f>IFERROR(__xludf.DUMMYFUNCTION("""COMPUTED_VALUE"""),"BECERRA SERGIO")</f>
        <v>BECERRA SERGIO</v>
      </c>
      <c r="D876" s="1" t="str">
        <f>IFERROR(__xludf.DUMMYFUNCTION("""COMPUTED_VALUE"""),"Reparaciones/Otros")</f>
        <v>Reparaciones/Otros</v>
      </c>
      <c r="E876" s="1" t="str">
        <f>IFERROR(__xludf.DUMMYFUNCTION("""COMPUTED_VALUE"""),"RIVADAVIA Luciana")</f>
        <v>RIVADAVIA Luciana</v>
      </c>
      <c r="F876" s="1" t="str">
        <f t="shared" si="1"/>
        <v>RIVADAVIA </v>
      </c>
      <c r="G876" s="1" t="str">
        <f t="shared" si="2"/>
        <v>Luciana</v>
      </c>
      <c r="H876" s="1" t="str">
        <f>IFERROR(__xludf.DUMMYFUNCTION("""COMPUTED_VALUE"""),"23/1/2023, 17:00:00")</f>
        <v>23/1/2023, 17:00:00</v>
      </c>
      <c r="I876" s="1" t="str">
        <f>IFERROR(__xludf.DUMMYFUNCTION("""COMPUTED_VALUE"""),"Completado en SUCURSAL")</f>
        <v>Completado en SUCURSAL</v>
      </c>
      <c r="J876" s="1">
        <f t="shared" si="3"/>
        <v>5</v>
      </c>
      <c r="K876" s="1" t="str">
        <f t="shared" si="4"/>
        <v>Tus Lentes estan LISTAS PARA ENTREGAR, te esperamos.</v>
      </c>
    </row>
    <row r="877">
      <c r="A877" s="1">
        <f>IFERROR(__xludf.DUMMYFUNCTION("""COMPUTED_VALUE"""),85427.0)</f>
        <v>85427</v>
      </c>
      <c r="B877" s="5">
        <f>IFERROR(__xludf.DUMMYFUNCTION("""COMPUTED_VALUE"""),44947.4887928588)</f>
        <v>44947.48879</v>
      </c>
      <c r="C877" s="1" t="str">
        <f>IFERROR(__xludf.DUMMYFUNCTION("""COMPUTED_VALUE"""),"TISERRA CARLOS")</f>
        <v>TISERRA CARLOS</v>
      </c>
      <c r="D877" s="1" t="str">
        <f>IFERROR(__xludf.DUMMYFUNCTION("""COMPUTED_VALUE"""),"Lentes de STOCK")</f>
        <v>Lentes de STOCK</v>
      </c>
      <c r="E877" s="1" t="str">
        <f>IFERROR(__xludf.DUMMYFUNCTION("""COMPUTED_VALUE"""),"RIVADAVIA Javier")</f>
        <v>RIVADAVIA Javier</v>
      </c>
      <c r="F877" s="1" t="str">
        <f t="shared" si="1"/>
        <v>RIVADAVIA </v>
      </c>
      <c r="G877" s="1" t="str">
        <f t="shared" si="2"/>
        <v>Javier</v>
      </c>
      <c r="H877" s="1" t="str">
        <f>IFERROR(__xludf.DUMMYFUNCTION("""COMPUTED_VALUE"""),"25/1/2023, 17:00:00")</f>
        <v>25/1/2023, 17:00:00</v>
      </c>
      <c r="I877" s="1" t="str">
        <f>IFERROR(__xludf.DUMMYFUNCTION("""COMPUTED_VALUE"""),"RETIRADO OK POR CLIENTE")</f>
        <v>RETIRADO OK POR CLIENTE</v>
      </c>
      <c r="J877" s="1">
        <f t="shared" si="3"/>
        <v>6</v>
      </c>
      <c r="K877" s="1" t="str">
        <f t="shared" si="4"/>
        <v>Entregamos tus lentes, que los disfrutes!</v>
      </c>
    </row>
    <row r="878">
      <c r="A878" s="1">
        <f>IFERROR(__xludf.DUMMYFUNCTION("""COMPUTED_VALUE"""),85428.0)</f>
        <v>85428</v>
      </c>
      <c r="B878" s="5">
        <f>IFERROR(__xludf.DUMMYFUNCTION("""COMPUTED_VALUE"""),44947.49299550926)</f>
        <v>44947.493</v>
      </c>
      <c r="C878" s="1" t="str">
        <f>IFERROR(__xludf.DUMMYFUNCTION("""COMPUTED_VALUE"""),"RAMIRES NORMA GRACIELA")</f>
        <v>RAMIRES NORMA GRACIELA</v>
      </c>
      <c r="D878" s="1" t="str">
        <f>IFERROR(__xludf.DUMMYFUNCTION("""COMPUTED_VALUE"""),"Reparaciones/Otros")</f>
        <v>Reparaciones/Otros</v>
      </c>
      <c r="E878" s="1" t="str">
        <f>IFERROR(__xludf.DUMMYFUNCTION("""COMPUTED_VALUE"""),"RIVADAVIA Javier")</f>
        <v>RIVADAVIA Javier</v>
      </c>
      <c r="F878" s="1" t="str">
        <f t="shared" si="1"/>
        <v>RIVADAVIA </v>
      </c>
      <c r="G878" s="1" t="str">
        <f t="shared" si="2"/>
        <v>Javier</v>
      </c>
      <c r="H878" s="1" t="str">
        <f>IFERROR(__xludf.DUMMYFUNCTION("""COMPUTED_VALUE"""),"23/1/2023, 17:00:00")</f>
        <v>23/1/2023, 17:00:00</v>
      </c>
      <c r="I878" s="1" t="str">
        <f>IFERROR(__xludf.DUMMYFUNCTION("""COMPUTED_VALUE"""),"Completado en SUCURSAL")</f>
        <v>Completado en SUCURSAL</v>
      </c>
      <c r="J878" s="1">
        <f t="shared" si="3"/>
        <v>5</v>
      </c>
      <c r="K878" s="1" t="str">
        <f t="shared" si="4"/>
        <v>Tus Lentes estan LISTAS PARA ENTREGAR, te esperamos.</v>
      </c>
    </row>
    <row r="879">
      <c r="A879" s="1">
        <f>IFERROR(__xludf.DUMMYFUNCTION("""COMPUTED_VALUE"""),85429.0)</f>
        <v>85429</v>
      </c>
      <c r="B879" s="5">
        <f>IFERROR(__xludf.DUMMYFUNCTION("""COMPUTED_VALUE"""),44947.517708113424)</f>
        <v>44947.51771</v>
      </c>
      <c r="C879" s="1" t="str">
        <f>IFERROR(__xludf.DUMMYFUNCTION("""COMPUTED_VALUE"""),"RIVERO CELIA")</f>
        <v>RIVERO CELIA</v>
      </c>
      <c r="D879" s="1" t="str">
        <f>IFERROR(__xludf.DUMMYFUNCTION("""COMPUTED_VALUE"""),"Reparaciones/Otros")</f>
        <v>Reparaciones/Otros</v>
      </c>
      <c r="E879" s="1" t="str">
        <f>IFERROR(__xludf.DUMMYFUNCTION("""COMPUTED_VALUE"""),"ARTIGAS Ivana P.")</f>
        <v>ARTIGAS Ivana P.</v>
      </c>
      <c r="F879" s="1" t="str">
        <f t="shared" si="1"/>
        <v>ARTIGAS </v>
      </c>
      <c r="G879" s="1" t="str">
        <f t="shared" si="2"/>
        <v>Ivana P.</v>
      </c>
      <c r="H879" s="1" t="str">
        <f>IFERROR(__xludf.DUMMYFUNCTION("""COMPUTED_VALUE"""),"23/1/2023, 17:00:00")</f>
        <v>23/1/2023, 17:00:00</v>
      </c>
      <c r="I879" s="1" t="str">
        <f>IFERROR(__xludf.DUMMYFUNCTION("""COMPUTED_VALUE"""),"Recibido en Laboratorio")</f>
        <v>Recibido en Laboratorio</v>
      </c>
      <c r="J879" s="1">
        <f t="shared" si="3"/>
        <v>2</v>
      </c>
      <c r="K879" s="1" t="str">
        <f t="shared" si="4"/>
        <v>Nuestro Laboratorio esta trabajando en tus lentes, los entregaremos en la fecha acordada.</v>
      </c>
    </row>
    <row r="880">
      <c r="A880" s="1">
        <f>IFERROR(__xludf.DUMMYFUNCTION("""COMPUTED_VALUE"""),85430.0)</f>
        <v>85430</v>
      </c>
      <c r="B880" s="5">
        <f>IFERROR(__xludf.DUMMYFUNCTION("""COMPUTED_VALUE"""),44949.381878125)</f>
        <v>44949.38188</v>
      </c>
      <c r="C880" s="1" t="str">
        <f>IFERROR(__xludf.DUMMYFUNCTION("""COMPUTED_VALUE"""),"ROSSI MARIO")</f>
        <v>ROSSI MARIO</v>
      </c>
      <c r="D880" s="1" t="str">
        <f>IFERROR(__xludf.DUMMYFUNCTION("""COMPUTED_VALUE"""),"Lentes de STOCK")</f>
        <v>Lentes de STOCK</v>
      </c>
      <c r="E880" s="1" t="str">
        <f>IFERROR(__xludf.DUMMYFUNCTION("""COMPUTED_VALUE"""),"ARTIGAS Ivana P.")</f>
        <v>ARTIGAS Ivana P.</v>
      </c>
      <c r="F880" s="1" t="str">
        <f t="shared" si="1"/>
        <v>ARTIGAS </v>
      </c>
      <c r="G880" s="1" t="str">
        <f t="shared" si="2"/>
        <v>Ivana P.</v>
      </c>
      <c r="H880" s="1" t="str">
        <f>IFERROR(__xludf.DUMMYFUNCTION("""COMPUTED_VALUE"""),"26/1/2023, 17:00:00")</f>
        <v>26/1/2023, 17:00:00</v>
      </c>
      <c r="I880" s="1" t="str">
        <f>IFERROR(__xludf.DUMMYFUNCTION("""COMPUTED_VALUE"""),"RETIRADO OK POR CLIENTE")</f>
        <v>RETIRADO OK POR CLIENTE</v>
      </c>
      <c r="J880" s="1">
        <f t="shared" si="3"/>
        <v>6</v>
      </c>
      <c r="K880" s="1" t="str">
        <f t="shared" si="4"/>
        <v>Entregamos tus lentes, que los disfrutes!</v>
      </c>
    </row>
    <row r="881">
      <c r="A881" s="1">
        <f>IFERROR(__xludf.DUMMYFUNCTION("""COMPUTED_VALUE"""),85431.0)</f>
        <v>85431</v>
      </c>
      <c r="B881" s="5">
        <f>IFERROR(__xludf.DUMMYFUNCTION("""COMPUTED_VALUE"""),44949.38294743055)</f>
        <v>44949.38295</v>
      </c>
      <c r="C881" s="1" t="str">
        <f>IFERROR(__xludf.DUMMYFUNCTION("""COMPUTED_VALUE"""),"FUNES BENJAMIN ERNESTO")</f>
        <v>FUNES BENJAMIN ERNESTO</v>
      </c>
      <c r="D881" s="1" t="str">
        <f>IFERROR(__xludf.DUMMYFUNCTION("""COMPUTED_VALUE"""),"Lentes de STOCK")</f>
        <v>Lentes de STOCK</v>
      </c>
      <c r="E881" s="1" t="str">
        <f>IFERROR(__xludf.DUMMYFUNCTION("""COMPUTED_VALUE"""),"ARTIGAS Cristian C.")</f>
        <v>ARTIGAS Cristian C.</v>
      </c>
      <c r="F881" s="1" t="str">
        <f t="shared" si="1"/>
        <v>ARTIGAS </v>
      </c>
      <c r="G881" s="1" t="str">
        <f t="shared" si="2"/>
        <v>Cristian C.</v>
      </c>
      <c r="H881" s="1" t="str">
        <f>IFERROR(__xludf.DUMMYFUNCTION("""COMPUTED_VALUE"""),"27/1/2023, 17:00:00")</f>
        <v>27/1/2023, 17:00:00</v>
      </c>
      <c r="I881" s="1" t="str">
        <f>IFERROR(__xludf.DUMMYFUNCTION("""COMPUTED_VALUE"""),"Completado en SUCURSAL")</f>
        <v>Completado en SUCURSAL</v>
      </c>
      <c r="J881" s="1">
        <f t="shared" si="3"/>
        <v>5</v>
      </c>
      <c r="K881" s="1" t="str">
        <f t="shared" si="4"/>
        <v>Tus Lentes estan LISTAS PARA ENTREGAR, te esperamos.</v>
      </c>
    </row>
    <row r="882">
      <c r="A882" s="1">
        <f>IFERROR(__xludf.DUMMYFUNCTION("""COMPUTED_VALUE"""),85432.0)</f>
        <v>85432</v>
      </c>
      <c r="B882" s="5">
        <f>IFERROR(__xludf.DUMMYFUNCTION("""COMPUTED_VALUE"""),44949.38421053241)</f>
        <v>44949.38421</v>
      </c>
      <c r="C882" s="1" t="str">
        <f>IFERROR(__xludf.DUMMYFUNCTION("""COMPUTED_VALUE"""),"VICTOR BENITEZ")</f>
        <v>VICTOR BENITEZ</v>
      </c>
      <c r="D882" s="1" t="str">
        <f>IFERROR(__xludf.DUMMYFUNCTION("""COMPUTED_VALUE"""),"Reparaciones/Otros")</f>
        <v>Reparaciones/Otros</v>
      </c>
      <c r="E882" s="1" t="str">
        <f>IFERROR(__xludf.DUMMYFUNCTION("""COMPUTED_VALUE"""),"ARTIGAS Celina")</f>
        <v>ARTIGAS Celina</v>
      </c>
      <c r="F882" s="1" t="str">
        <f t="shared" si="1"/>
        <v>ARTIGAS </v>
      </c>
      <c r="G882" s="1" t="str">
        <f t="shared" si="2"/>
        <v>Celina</v>
      </c>
      <c r="H882" s="1" t="str">
        <f>IFERROR(__xludf.DUMMYFUNCTION("""COMPUTED_VALUE"""),"24/1/2023, 17:00:00")</f>
        <v>24/1/2023, 17:00:00</v>
      </c>
      <c r="I882" s="1" t="str">
        <f>IFERROR(__xludf.DUMMYFUNCTION("""COMPUTED_VALUE"""),"Recibido en Laboratorio")</f>
        <v>Recibido en Laboratorio</v>
      </c>
      <c r="J882" s="1">
        <f t="shared" si="3"/>
        <v>2</v>
      </c>
      <c r="K882" s="1" t="str">
        <f t="shared" si="4"/>
        <v>Nuestro Laboratorio esta trabajando en tus lentes, los entregaremos en la fecha acordada.</v>
      </c>
    </row>
    <row r="883">
      <c r="A883" s="1">
        <f>IFERROR(__xludf.DUMMYFUNCTION("""COMPUTED_VALUE"""),85433.0)</f>
        <v>85433</v>
      </c>
      <c r="B883" s="5">
        <f>IFERROR(__xludf.DUMMYFUNCTION("""COMPUTED_VALUE"""),44949.38628740741)</f>
        <v>44949.38629</v>
      </c>
      <c r="C883" s="1" t="str">
        <f>IFERROR(__xludf.DUMMYFUNCTION("""COMPUTED_VALUE"""),"LESCANO FELISA")</f>
        <v>LESCANO FELISA</v>
      </c>
      <c r="D883" s="1" t="str">
        <f>IFERROR(__xludf.DUMMYFUNCTION("""COMPUTED_VALUE"""),"Lentes de STOCK")</f>
        <v>Lentes de STOCK</v>
      </c>
      <c r="E883" s="1" t="str">
        <f>IFERROR(__xludf.DUMMYFUNCTION("""COMPUTED_VALUE"""),"RIVADAVIA Santiago LOPEZ")</f>
        <v>RIVADAVIA Santiago LOPEZ</v>
      </c>
      <c r="F883" s="1" t="str">
        <f t="shared" si="1"/>
        <v>RIVADAVIA </v>
      </c>
      <c r="G883" s="1" t="str">
        <f t="shared" si="2"/>
        <v>Santiago LOPEZ</v>
      </c>
      <c r="H883" s="1" t="str">
        <f>IFERROR(__xludf.DUMMYFUNCTION("""COMPUTED_VALUE"""),"26/1/2023, 17:00:00")</f>
        <v>26/1/2023, 17:00:00</v>
      </c>
      <c r="I883" s="1" t="str">
        <f>IFERROR(__xludf.DUMMYFUNCTION("""COMPUTED_VALUE"""),"Completado en SUCURSAL")</f>
        <v>Completado en SUCURSAL</v>
      </c>
      <c r="J883" s="1">
        <f t="shared" si="3"/>
        <v>5</v>
      </c>
      <c r="K883" s="1" t="str">
        <f t="shared" si="4"/>
        <v>Tus Lentes estan LISTAS PARA ENTREGAR, te esperamos.</v>
      </c>
    </row>
    <row r="884">
      <c r="A884" s="1">
        <f>IFERROR(__xludf.DUMMYFUNCTION("""COMPUTED_VALUE"""),85434.0)</f>
        <v>85434</v>
      </c>
      <c r="B884" s="5">
        <f>IFERROR(__xludf.DUMMYFUNCTION("""COMPUTED_VALUE"""),44949.387772546295)</f>
        <v>44949.38777</v>
      </c>
      <c r="C884" s="1" t="str">
        <f>IFERROR(__xludf.DUMMYFUNCTION("""COMPUTED_VALUE"""),"GONZALEZ LARA")</f>
        <v>GONZALEZ LARA</v>
      </c>
      <c r="D884" s="1" t="str">
        <f>IFERROR(__xludf.DUMMYFUNCTION("""COMPUTED_VALUE"""),"Lentes de STOCK")</f>
        <v>Lentes de STOCK</v>
      </c>
      <c r="E884" s="1" t="str">
        <f>IFERROR(__xludf.DUMMYFUNCTION("""COMPUTED_VALUE"""),"ARTIGAS Cristian C.")</f>
        <v>ARTIGAS Cristian C.</v>
      </c>
      <c r="F884" s="1" t="str">
        <f t="shared" si="1"/>
        <v>ARTIGAS </v>
      </c>
      <c r="G884" s="1" t="str">
        <f t="shared" si="2"/>
        <v>Cristian C.</v>
      </c>
      <c r="H884" s="1" t="str">
        <f>IFERROR(__xludf.DUMMYFUNCTION("""COMPUTED_VALUE"""),"26/1/2023, 17:00:00")</f>
        <v>26/1/2023, 17:00:00</v>
      </c>
      <c r="I884" s="1" t="str">
        <f>IFERROR(__xludf.DUMMYFUNCTION("""COMPUTED_VALUE"""),"RETIRADO OK POR CLIENTE")</f>
        <v>RETIRADO OK POR CLIENTE</v>
      </c>
      <c r="J884" s="1">
        <f t="shared" si="3"/>
        <v>6</v>
      </c>
      <c r="K884" s="1" t="str">
        <f t="shared" si="4"/>
        <v>Entregamos tus lentes, que los disfrutes!</v>
      </c>
    </row>
    <row r="885">
      <c r="A885" s="1">
        <f>IFERROR(__xludf.DUMMYFUNCTION("""COMPUTED_VALUE"""),85435.0)</f>
        <v>85435</v>
      </c>
      <c r="B885" s="5">
        <f>IFERROR(__xludf.DUMMYFUNCTION("""COMPUTED_VALUE"""),44949.39578506944)</f>
        <v>44949.39579</v>
      </c>
      <c r="C885" s="1" t="str">
        <f>IFERROR(__xludf.DUMMYFUNCTION("""COMPUTED_VALUE"""),"ANSALDI JUAN CARLOS")</f>
        <v>ANSALDI JUAN CARLOS</v>
      </c>
      <c r="D885" s="1" t="str">
        <f>IFERROR(__xludf.DUMMYFUNCTION("""COMPUTED_VALUE"""),"Lentes de STOCK")</f>
        <v>Lentes de STOCK</v>
      </c>
      <c r="E885" s="1" t="str">
        <f>IFERROR(__xludf.DUMMYFUNCTION("""COMPUTED_VALUE"""),"RIVADAVIA Marcela L")</f>
        <v>RIVADAVIA Marcela L</v>
      </c>
      <c r="F885" s="1" t="str">
        <f t="shared" si="1"/>
        <v>RIVADAVIA </v>
      </c>
      <c r="G885" s="1" t="str">
        <f t="shared" si="2"/>
        <v>Marcela L</v>
      </c>
      <c r="H885" s="1" t="str">
        <f>IFERROR(__xludf.DUMMYFUNCTION("""COMPUTED_VALUE"""),"30/1/2023, 17:00:00")</f>
        <v>30/1/2023, 17:00:00</v>
      </c>
      <c r="I885" s="1" t="str">
        <f>IFERROR(__xludf.DUMMYFUNCTION("""COMPUTED_VALUE"""),"RETIRADO OK POR CLIENTE")</f>
        <v>RETIRADO OK POR CLIENTE</v>
      </c>
      <c r="J885" s="1">
        <f t="shared" si="3"/>
        <v>6</v>
      </c>
      <c r="K885" s="1" t="str">
        <f t="shared" si="4"/>
        <v>Entregamos tus lentes, que los disfrutes!</v>
      </c>
    </row>
    <row r="886">
      <c r="A886" s="1">
        <f>IFERROR(__xludf.DUMMYFUNCTION("""COMPUTED_VALUE"""),85436.0)</f>
        <v>85436</v>
      </c>
      <c r="B886" s="5">
        <f>IFERROR(__xludf.DUMMYFUNCTION("""COMPUTED_VALUE"""),44949.401037592594)</f>
        <v>44949.40104</v>
      </c>
      <c r="C886" s="1" t="str">
        <f>IFERROR(__xludf.DUMMYFUNCTION("""COMPUTED_VALUE"""),"Sosa Nestor")</f>
        <v>Sosa Nestor</v>
      </c>
      <c r="D886" s="1" t="str">
        <f>IFERROR(__xludf.DUMMYFUNCTION("""COMPUTED_VALUE"""),"Reparaciones/Otros")</f>
        <v>Reparaciones/Otros</v>
      </c>
      <c r="E886" s="1" t="str">
        <f>IFERROR(__xludf.DUMMYFUNCTION("""COMPUTED_VALUE"""),"RIVADAVIA Rocio B")</f>
        <v>RIVADAVIA Rocio B</v>
      </c>
      <c r="F886" s="1" t="str">
        <f t="shared" si="1"/>
        <v>RIVADAVIA </v>
      </c>
      <c r="G886" s="1" t="str">
        <f t="shared" si="2"/>
        <v>Rocio B</v>
      </c>
      <c r="H886" s="1" t="str">
        <f>IFERROR(__xludf.DUMMYFUNCTION("""COMPUTED_VALUE"""),"24/1/2023, 17:00:00")</f>
        <v>24/1/2023, 17:00:00</v>
      </c>
      <c r="I886" s="1" t="str">
        <f>IFERROR(__xludf.DUMMYFUNCTION("""COMPUTED_VALUE"""),"Completado en SUCURSAL")</f>
        <v>Completado en SUCURSAL</v>
      </c>
      <c r="J886" s="1">
        <f t="shared" si="3"/>
        <v>5</v>
      </c>
      <c r="K886" s="1" t="str">
        <f t="shared" si="4"/>
        <v>Tus Lentes estan LISTAS PARA ENTREGAR, te esperamos.</v>
      </c>
    </row>
    <row r="887">
      <c r="A887" s="1">
        <f>IFERROR(__xludf.DUMMYFUNCTION("""COMPUTED_VALUE"""),85437.0)</f>
        <v>85437</v>
      </c>
      <c r="B887" s="5">
        <f>IFERROR(__xludf.DUMMYFUNCTION("""COMPUTED_VALUE"""),44949.40216586806)</f>
        <v>44949.40217</v>
      </c>
      <c r="C887" s="1" t="str">
        <f>IFERROR(__xludf.DUMMYFUNCTION("""COMPUTED_VALUE"""),"VILLANUEVA MARIA JOSE")</f>
        <v>VILLANUEVA MARIA JOSE</v>
      </c>
      <c r="D887" s="1" t="str">
        <f>IFERROR(__xludf.DUMMYFUNCTION("""COMPUTED_VALUE"""),"Reparaciones/Otros")</f>
        <v>Reparaciones/Otros</v>
      </c>
      <c r="E887" s="1" t="str">
        <f>IFERROR(__xludf.DUMMYFUNCTION("""COMPUTED_VALUE"""),"RIVADAVIA Luciana")</f>
        <v>RIVADAVIA Luciana</v>
      </c>
      <c r="F887" s="1" t="str">
        <f t="shared" si="1"/>
        <v>RIVADAVIA </v>
      </c>
      <c r="G887" s="1" t="str">
        <f t="shared" si="2"/>
        <v>Luciana</v>
      </c>
      <c r="H887" s="1" t="str">
        <f>IFERROR(__xludf.DUMMYFUNCTION("""COMPUTED_VALUE"""),"24/1/2023, 17:00:00")</f>
        <v>24/1/2023, 17:00:00</v>
      </c>
      <c r="I887" s="1" t="str">
        <f>IFERROR(__xludf.DUMMYFUNCTION("""COMPUTED_VALUE"""),"Completado en SUCURSAL")</f>
        <v>Completado en SUCURSAL</v>
      </c>
      <c r="J887" s="1">
        <f t="shared" si="3"/>
        <v>5</v>
      </c>
      <c r="K887" s="1" t="str">
        <f t="shared" si="4"/>
        <v>Tus Lentes estan LISTAS PARA ENTREGAR, te esperamos.</v>
      </c>
    </row>
    <row r="888">
      <c r="A888" s="1">
        <f>IFERROR(__xludf.DUMMYFUNCTION("""COMPUTED_VALUE"""),85438.0)</f>
        <v>85438</v>
      </c>
      <c r="B888" s="5">
        <f>IFERROR(__xludf.DUMMYFUNCTION("""COMPUTED_VALUE"""),44949.40311356481)</f>
        <v>44949.40311</v>
      </c>
      <c r="C888" s="1" t="str">
        <f>IFERROR(__xludf.DUMMYFUNCTION("""COMPUTED_VALUE"""),"gajardo oscar")</f>
        <v>gajardo oscar</v>
      </c>
      <c r="D888" s="1" t="str">
        <f>IFERROR(__xludf.DUMMYFUNCTION("""COMPUTED_VALUE"""),"Reparaciones/Otros")</f>
        <v>Reparaciones/Otros</v>
      </c>
      <c r="E888" s="1" t="str">
        <f>IFERROR(__xludf.DUMMYFUNCTION("""COMPUTED_VALUE"""),"RIVADAVIA Santiago N")</f>
        <v>RIVADAVIA Santiago N</v>
      </c>
      <c r="F888" s="1" t="str">
        <f t="shared" si="1"/>
        <v>RIVADAVIA </v>
      </c>
      <c r="G888" s="1" t="str">
        <f t="shared" si="2"/>
        <v>Santiago N</v>
      </c>
      <c r="H888" s="1" t="str">
        <f>IFERROR(__xludf.DUMMYFUNCTION("""COMPUTED_VALUE"""),"24/1/2023, 17:00:00")</f>
        <v>24/1/2023, 17:00:00</v>
      </c>
      <c r="I888" s="1" t="str">
        <f>IFERROR(__xludf.DUMMYFUNCTION("""COMPUTED_VALUE"""),"Completado en SUCURSAL")</f>
        <v>Completado en SUCURSAL</v>
      </c>
      <c r="J888" s="1">
        <f t="shared" si="3"/>
        <v>5</v>
      </c>
      <c r="K888" s="1" t="str">
        <f t="shared" si="4"/>
        <v>Tus Lentes estan LISTAS PARA ENTREGAR, te esperamos.</v>
      </c>
    </row>
    <row r="889">
      <c r="A889" s="1">
        <f>IFERROR(__xludf.DUMMYFUNCTION("""COMPUTED_VALUE"""),85439.0)</f>
        <v>85439</v>
      </c>
      <c r="B889" s="5">
        <f>IFERROR(__xludf.DUMMYFUNCTION("""COMPUTED_VALUE"""),44949.4048640625)</f>
        <v>44949.40486</v>
      </c>
      <c r="C889" s="1" t="str">
        <f>IFERROR(__xludf.DUMMYFUNCTION("""COMPUTED_VALUE"""),"VISSIO LAURA")</f>
        <v>VISSIO LAURA</v>
      </c>
      <c r="D889" s="1" t="str">
        <f>IFERROR(__xludf.DUMMYFUNCTION("""COMPUTED_VALUE"""),"Reparaciones/Otros")</f>
        <v>Reparaciones/Otros</v>
      </c>
      <c r="E889" s="1" t="str">
        <f>IFERROR(__xludf.DUMMYFUNCTION("""COMPUTED_VALUE"""),"RIVADAVIA Daniel CM")</f>
        <v>RIVADAVIA Daniel CM</v>
      </c>
      <c r="F889" s="1" t="str">
        <f t="shared" si="1"/>
        <v>RIVADAVIA </v>
      </c>
      <c r="G889" s="1" t="str">
        <f t="shared" si="2"/>
        <v>Daniel CM</v>
      </c>
      <c r="H889" s="1" t="str">
        <f>IFERROR(__xludf.DUMMYFUNCTION("""COMPUTED_VALUE"""),"24/1/2023, 17:00:00")</f>
        <v>24/1/2023, 17:00:00</v>
      </c>
      <c r="I889" s="1" t="str">
        <f>IFERROR(__xludf.DUMMYFUNCTION("""COMPUTED_VALUE"""),"Recibido en Laboratorio")</f>
        <v>Recibido en Laboratorio</v>
      </c>
      <c r="J889" s="1">
        <f t="shared" si="3"/>
        <v>2</v>
      </c>
      <c r="K889" s="1" t="str">
        <f t="shared" si="4"/>
        <v>Nuestro Laboratorio esta trabajando en tus lentes, los entregaremos en la fecha acordada.</v>
      </c>
    </row>
    <row r="890">
      <c r="A890" s="1">
        <f>IFERROR(__xludf.DUMMYFUNCTION("""COMPUTED_VALUE"""),85440.0)</f>
        <v>85440</v>
      </c>
      <c r="B890" s="5">
        <f>IFERROR(__xludf.DUMMYFUNCTION("""COMPUTED_VALUE"""),44949.40674851852)</f>
        <v>44949.40675</v>
      </c>
      <c r="C890" s="1" t="str">
        <f>IFERROR(__xludf.DUMMYFUNCTION("""COMPUTED_VALUE"""),"GOMEZ ANA")</f>
        <v>GOMEZ ANA</v>
      </c>
      <c r="D890" s="1" t="str">
        <f>IFERROR(__xludf.DUMMYFUNCTION("""COMPUTED_VALUE"""),"Reparaciones/Otros")</f>
        <v>Reparaciones/Otros</v>
      </c>
      <c r="E890" s="1" t="str">
        <f>IFERROR(__xludf.DUMMYFUNCTION("""COMPUTED_VALUE"""),"RIVADAVIA Daniel CM")</f>
        <v>RIVADAVIA Daniel CM</v>
      </c>
      <c r="F890" s="1" t="str">
        <f t="shared" si="1"/>
        <v>RIVADAVIA </v>
      </c>
      <c r="G890" s="1" t="str">
        <f t="shared" si="2"/>
        <v>Daniel CM</v>
      </c>
      <c r="H890" s="1" t="str">
        <f>IFERROR(__xludf.DUMMYFUNCTION("""COMPUTED_VALUE"""),"24/1/2023, 17:00:00")</f>
        <v>24/1/2023, 17:00:00</v>
      </c>
      <c r="I890" s="1"/>
      <c r="J890" s="1">
        <f t="shared" si="3"/>
        <v>0</v>
      </c>
      <c r="K890" s="1" t="str">
        <f t="shared" si="4"/>
        <v/>
      </c>
    </row>
    <row r="891">
      <c r="A891" s="1">
        <f>IFERROR(__xludf.DUMMYFUNCTION("""COMPUTED_VALUE"""),85441.0)</f>
        <v>85441</v>
      </c>
      <c r="B891" s="5">
        <f>IFERROR(__xludf.DUMMYFUNCTION("""COMPUTED_VALUE"""),44949.409171875)</f>
        <v>44949.40917</v>
      </c>
      <c r="C891" s="1" t="str">
        <f>IFERROR(__xludf.DUMMYFUNCTION("""COMPUTED_VALUE"""),"PEREZ JULIAN ANTONIO")</f>
        <v>PEREZ JULIAN ANTONIO</v>
      </c>
      <c r="D891" s="1" t="str">
        <f>IFERROR(__xludf.DUMMYFUNCTION("""COMPUTED_VALUE"""),"Lentes BIFOCALES")</f>
        <v>Lentes BIFOCALES</v>
      </c>
      <c r="E891" s="1" t="str">
        <f>IFERROR(__xludf.DUMMYFUNCTION("""COMPUTED_VALUE"""),"ARTIGAS Cristian C.")</f>
        <v>ARTIGAS Cristian C.</v>
      </c>
      <c r="F891" s="1" t="str">
        <f t="shared" si="1"/>
        <v>ARTIGAS </v>
      </c>
      <c r="G891" s="1" t="str">
        <f t="shared" si="2"/>
        <v>Cristian C.</v>
      </c>
      <c r="H891" s="1" t="str">
        <f>IFERROR(__xludf.DUMMYFUNCTION("""COMPUTED_VALUE"""),"30/1/2023, 17:00:00")</f>
        <v>30/1/2023, 17:00:00</v>
      </c>
      <c r="I891" s="1" t="str">
        <f>IFERROR(__xludf.DUMMYFUNCTION("""COMPUTED_VALUE"""),"RETIRADO OK POR CLIENTE")</f>
        <v>RETIRADO OK POR CLIENTE</v>
      </c>
      <c r="J891" s="1">
        <f t="shared" si="3"/>
        <v>6</v>
      </c>
      <c r="K891" s="1" t="str">
        <f t="shared" si="4"/>
        <v>Entregamos tus lentes, que los disfrutes!</v>
      </c>
    </row>
    <row r="892">
      <c r="A892" s="1">
        <f>IFERROR(__xludf.DUMMYFUNCTION("""COMPUTED_VALUE"""),85442.0)</f>
        <v>85442</v>
      </c>
      <c r="B892" s="5">
        <f>IFERROR(__xludf.DUMMYFUNCTION("""COMPUTED_VALUE"""),44949.41129134259)</f>
        <v>44949.41129</v>
      </c>
      <c r="C892" s="1" t="str">
        <f>IFERROR(__xludf.DUMMYFUNCTION("""COMPUTED_VALUE"""),"NICOLAS RANGOL")</f>
        <v>NICOLAS RANGOL</v>
      </c>
      <c r="D892" s="1" t="str">
        <f>IFERROR(__xludf.DUMMYFUNCTION("""COMPUTED_VALUE"""),"Reparaciones/Otros")</f>
        <v>Reparaciones/Otros</v>
      </c>
      <c r="E892" s="1" t="str">
        <f>IFERROR(__xludf.DUMMYFUNCTION("""COMPUTED_VALUE"""),"ARTIGAS Celina")</f>
        <v>ARTIGAS Celina</v>
      </c>
      <c r="F892" s="1" t="str">
        <f t="shared" si="1"/>
        <v>ARTIGAS </v>
      </c>
      <c r="G892" s="1" t="str">
        <f t="shared" si="2"/>
        <v>Celina</v>
      </c>
      <c r="H892" s="1" t="str">
        <f>IFERROR(__xludf.DUMMYFUNCTION("""COMPUTED_VALUE"""),"24/1/2023, 17:00:00")</f>
        <v>24/1/2023, 17:00:00</v>
      </c>
      <c r="I892" s="1" t="str">
        <f>IFERROR(__xludf.DUMMYFUNCTION("""COMPUTED_VALUE"""),"Completado en SUCURSAL")</f>
        <v>Completado en SUCURSAL</v>
      </c>
      <c r="J892" s="1">
        <f t="shared" si="3"/>
        <v>5</v>
      </c>
      <c r="K892" s="1" t="str">
        <f t="shared" si="4"/>
        <v>Tus Lentes estan LISTAS PARA ENTREGAR, te esperamos.</v>
      </c>
    </row>
    <row r="893">
      <c r="A893" s="1">
        <f>IFERROR(__xludf.DUMMYFUNCTION("""COMPUTED_VALUE"""),85443.0)</f>
        <v>85443</v>
      </c>
      <c r="B893" s="5">
        <f>IFERROR(__xludf.DUMMYFUNCTION("""COMPUTED_VALUE"""),44949.412623888886)</f>
        <v>44949.41262</v>
      </c>
      <c r="C893" s="1" t="str">
        <f>IFERROR(__xludf.DUMMYFUNCTION("""COMPUTED_VALUE"""),"CASTRO ARTURO HECTOR")</f>
        <v>CASTRO ARTURO HECTOR</v>
      </c>
      <c r="D893" s="1" t="str">
        <f>IFERROR(__xludf.DUMMYFUNCTION("""COMPUTED_VALUE"""),"Lentes de STOCK")</f>
        <v>Lentes de STOCK</v>
      </c>
      <c r="E893" s="1" t="str">
        <f>IFERROR(__xludf.DUMMYFUNCTION("""COMPUTED_VALUE"""),"RIVADAVIA Rocio B")</f>
        <v>RIVADAVIA Rocio B</v>
      </c>
      <c r="F893" s="1" t="str">
        <f t="shared" si="1"/>
        <v>RIVADAVIA </v>
      </c>
      <c r="G893" s="1" t="str">
        <f t="shared" si="2"/>
        <v>Rocio B</v>
      </c>
      <c r="H893" s="1" t="str">
        <f>IFERROR(__xludf.DUMMYFUNCTION("""COMPUTED_VALUE"""),"27/1/2023, 17:00:00")</f>
        <v>27/1/2023, 17:00:00</v>
      </c>
      <c r="I893" s="1" t="str">
        <f>IFERROR(__xludf.DUMMYFUNCTION("""COMPUTED_VALUE"""),"RETIRADO OK POR CLIENTE")</f>
        <v>RETIRADO OK POR CLIENTE</v>
      </c>
      <c r="J893" s="1">
        <f t="shared" si="3"/>
        <v>6</v>
      </c>
      <c r="K893" s="1" t="str">
        <f t="shared" si="4"/>
        <v>Entregamos tus lentes, que los disfrutes!</v>
      </c>
    </row>
    <row r="894">
      <c r="A894" s="1">
        <f>IFERROR(__xludf.DUMMYFUNCTION("""COMPUTED_VALUE"""),85444.0)</f>
        <v>85444</v>
      </c>
      <c r="B894" s="5">
        <f>IFERROR(__xludf.DUMMYFUNCTION("""COMPUTED_VALUE"""),44949.413199120376)</f>
        <v>44949.4132</v>
      </c>
      <c r="C894" s="1" t="str">
        <f>IFERROR(__xludf.DUMMYFUNCTION("""COMPUTED_VALUE"""),"juarez ramon")</f>
        <v>juarez ramon</v>
      </c>
      <c r="D894" s="1" t="str">
        <f>IFERROR(__xludf.DUMMYFUNCTION("""COMPUTED_VALUE"""),"Reparaciones/Otros")</f>
        <v>Reparaciones/Otros</v>
      </c>
      <c r="E894" s="1" t="str">
        <f>IFERROR(__xludf.DUMMYFUNCTION("""COMPUTED_VALUE"""),"RIVADAVIA Santiago N")</f>
        <v>RIVADAVIA Santiago N</v>
      </c>
      <c r="F894" s="1" t="str">
        <f t="shared" si="1"/>
        <v>RIVADAVIA </v>
      </c>
      <c r="G894" s="1" t="str">
        <f t="shared" si="2"/>
        <v>Santiago N</v>
      </c>
      <c r="H894" s="1" t="str">
        <f>IFERROR(__xludf.DUMMYFUNCTION("""COMPUTED_VALUE"""),"24/1/2023, 17:00:00")</f>
        <v>24/1/2023, 17:00:00</v>
      </c>
      <c r="I894" s="1" t="str">
        <f>IFERROR(__xludf.DUMMYFUNCTION("""COMPUTED_VALUE"""),"Completado en SUCURSAL")</f>
        <v>Completado en SUCURSAL</v>
      </c>
      <c r="J894" s="1">
        <f t="shared" si="3"/>
        <v>5</v>
      </c>
      <c r="K894" s="1" t="str">
        <f t="shared" si="4"/>
        <v>Tus Lentes estan LISTAS PARA ENTREGAR, te esperamos.</v>
      </c>
    </row>
    <row r="895">
      <c r="A895" s="1">
        <f>IFERROR(__xludf.DUMMYFUNCTION("""COMPUTED_VALUE"""),85445.0)</f>
        <v>85445</v>
      </c>
      <c r="B895" s="5">
        <f>IFERROR(__xludf.DUMMYFUNCTION("""COMPUTED_VALUE"""),44949.419171898146)</f>
        <v>44949.41917</v>
      </c>
      <c r="C895" s="1" t="str">
        <f>IFERROR(__xludf.DUMMYFUNCTION("""COMPUTED_VALUE"""),"LACOMBE CELESTE")</f>
        <v>LACOMBE CELESTE</v>
      </c>
      <c r="D895" s="1" t="str">
        <f>IFERROR(__xludf.DUMMYFUNCTION("""COMPUTED_VALUE"""),"Reparaciones/Otros")</f>
        <v>Reparaciones/Otros</v>
      </c>
      <c r="E895" s="1" t="str">
        <f>IFERROR(__xludf.DUMMYFUNCTION("""COMPUTED_VALUE"""),"ARTIGAS Cristian C.")</f>
        <v>ARTIGAS Cristian C.</v>
      </c>
      <c r="F895" s="1" t="str">
        <f t="shared" si="1"/>
        <v>ARTIGAS </v>
      </c>
      <c r="G895" s="1" t="str">
        <f t="shared" si="2"/>
        <v>Cristian C.</v>
      </c>
      <c r="H895" s="1" t="str">
        <f>IFERROR(__xludf.DUMMYFUNCTION("""COMPUTED_VALUE"""),"24/1/2023, 17:00:00")</f>
        <v>24/1/2023, 17:00:00</v>
      </c>
      <c r="I895" s="1" t="str">
        <f>IFERROR(__xludf.DUMMYFUNCTION("""COMPUTED_VALUE"""),"Recibido en Laboratorio")</f>
        <v>Recibido en Laboratorio</v>
      </c>
      <c r="J895" s="1">
        <f t="shared" si="3"/>
        <v>2</v>
      </c>
      <c r="K895" s="1" t="str">
        <f t="shared" si="4"/>
        <v>Nuestro Laboratorio esta trabajando en tus lentes, los entregaremos en la fecha acordada.</v>
      </c>
    </row>
    <row r="896">
      <c r="A896" s="1">
        <f>IFERROR(__xludf.DUMMYFUNCTION("""COMPUTED_VALUE"""),85446.0)</f>
        <v>85446</v>
      </c>
      <c r="B896" s="5">
        <f>IFERROR(__xludf.DUMMYFUNCTION("""COMPUTED_VALUE"""),44949.42018918981)</f>
        <v>44949.42019</v>
      </c>
      <c r="C896" s="1" t="str">
        <f>IFERROR(__xludf.DUMMYFUNCTION("""COMPUTED_VALUE"""),"PERISINOTO JUAN JOSE")</f>
        <v>PERISINOTO JUAN JOSE</v>
      </c>
      <c r="D896" s="1" t="str">
        <f>IFERROR(__xludf.DUMMYFUNCTION("""COMPUTED_VALUE"""),"Reparaciones/Otros")</f>
        <v>Reparaciones/Otros</v>
      </c>
      <c r="E896" s="1" t="str">
        <f>IFERROR(__xludf.DUMMYFUNCTION("""COMPUTED_VALUE"""),"RIVADAVIA Santiago N")</f>
        <v>RIVADAVIA Santiago N</v>
      </c>
      <c r="F896" s="1" t="str">
        <f t="shared" si="1"/>
        <v>RIVADAVIA </v>
      </c>
      <c r="G896" s="1" t="str">
        <f t="shared" si="2"/>
        <v>Santiago N</v>
      </c>
      <c r="H896" s="1" t="str">
        <f>IFERROR(__xludf.DUMMYFUNCTION("""COMPUTED_VALUE"""),"24/1/2023, 17:00:00")</f>
        <v>24/1/2023, 17:00:00</v>
      </c>
      <c r="I896" s="1" t="str">
        <f>IFERROR(__xludf.DUMMYFUNCTION("""COMPUTED_VALUE"""),"Completado en SUCURSAL")</f>
        <v>Completado en SUCURSAL</v>
      </c>
      <c r="J896" s="1">
        <f t="shared" si="3"/>
        <v>5</v>
      </c>
      <c r="K896" s="1" t="str">
        <f t="shared" si="4"/>
        <v>Tus Lentes estan LISTAS PARA ENTREGAR, te esperamos.</v>
      </c>
    </row>
    <row r="897">
      <c r="A897" s="1">
        <f>IFERROR(__xludf.DUMMYFUNCTION("""COMPUTED_VALUE"""),85447.0)</f>
        <v>85447</v>
      </c>
      <c r="B897" s="5">
        <f>IFERROR(__xludf.DUMMYFUNCTION("""COMPUTED_VALUE"""),44949.420249456016)</f>
        <v>44949.42025</v>
      </c>
      <c r="C897" s="1" t="str">
        <f>IFERROR(__xludf.DUMMYFUNCTION("""COMPUTED_VALUE"""),"bianchi beatriz")</f>
        <v>bianchi beatriz</v>
      </c>
      <c r="D897" s="1" t="str">
        <f>IFERROR(__xludf.DUMMYFUNCTION("""COMPUTED_VALUE"""),"Lentes de STOCK")</f>
        <v>Lentes de STOCK</v>
      </c>
      <c r="E897" s="1" t="str">
        <f>IFERROR(__xludf.DUMMYFUNCTION("""COMPUTED_VALUE"""),"RIVADAVIA Daniel CM")</f>
        <v>RIVADAVIA Daniel CM</v>
      </c>
      <c r="F897" s="1" t="str">
        <f t="shared" si="1"/>
        <v>RIVADAVIA </v>
      </c>
      <c r="G897" s="1" t="str">
        <f t="shared" si="2"/>
        <v>Daniel CM</v>
      </c>
      <c r="H897" s="1" t="str">
        <f>IFERROR(__xludf.DUMMYFUNCTION("""COMPUTED_VALUE"""),"25/1/2023, 17:00:00")</f>
        <v>25/1/2023, 17:00:00</v>
      </c>
      <c r="I897" s="1" t="str">
        <f>IFERROR(__xludf.DUMMYFUNCTION("""COMPUTED_VALUE"""),"RETIRADO OK POR CLIENTE")</f>
        <v>RETIRADO OK POR CLIENTE</v>
      </c>
      <c r="J897" s="1">
        <f t="shared" si="3"/>
        <v>6</v>
      </c>
      <c r="K897" s="1" t="str">
        <f t="shared" si="4"/>
        <v>Entregamos tus lentes, que los disfrutes!</v>
      </c>
    </row>
    <row r="898">
      <c r="A898" s="1">
        <f>IFERROR(__xludf.DUMMYFUNCTION("""COMPUTED_VALUE"""),85448.0)</f>
        <v>85448</v>
      </c>
      <c r="B898" s="5">
        <f>IFERROR(__xludf.DUMMYFUNCTION("""COMPUTED_VALUE"""),44949.42292415509)</f>
        <v>44949.42292</v>
      </c>
      <c r="C898" s="1" t="str">
        <f>IFERROR(__xludf.DUMMYFUNCTION("""COMPUTED_VALUE"""),"Fernandez Marcelo")</f>
        <v>Fernandez Marcelo</v>
      </c>
      <c r="D898" s="1" t="str">
        <f>IFERROR(__xludf.DUMMYFUNCTION("""COMPUTED_VALUE"""),"Lentes de STOCK")</f>
        <v>Lentes de STOCK</v>
      </c>
      <c r="E898" s="1" t="str">
        <f>IFERROR(__xludf.DUMMYFUNCTION("""COMPUTED_VALUE"""),"RIVADAVIA Rocio B")</f>
        <v>RIVADAVIA Rocio B</v>
      </c>
      <c r="F898" s="1" t="str">
        <f t="shared" si="1"/>
        <v>RIVADAVIA </v>
      </c>
      <c r="G898" s="1" t="str">
        <f t="shared" si="2"/>
        <v>Rocio B</v>
      </c>
      <c r="H898" s="1" t="str">
        <f>IFERROR(__xludf.DUMMYFUNCTION("""COMPUTED_VALUE"""),"30/1/2023, 17:00:00")</f>
        <v>30/1/2023, 17:00:00</v>
      </c>
      <c r="I898" s="1" t="str">
        <f>IFERROR(__xludf.DUMMYFUNCTION("""COMPUTED_VALUE"""),"RETIRADO OK POR CLIENTE")</f>
        <v>RETIRADO OK POR CLIENTE</v>
      </c>
      <c r="J898" s="1">
        <f t="shared" si="3"/>
        <v>6</v>
      </c>
      <c r="K898" s="1" t="str">
        <f t="shared" si="4"/>
        <v>Entregamos tus lentes, que los disfrutes!</v>
      </c>
    </row>
    <row r="899">
      <c r="A899" s="1">
        <f>IFERROR(__xludf.DUMMYFUNCTION("""COMPUTED_VALUE"""),85449.0)</f>
        <v>85449</v>
      </c>
      <c r="B899" s="5">
        <f>IFERROR(__xludf.DUMMYFUNCTION("""COMPUTED_VALUE"""),44949.424070532405)</f>
        <v>44949.42407</v>
      </c>
      <c r="C899" s="1" t="str">
        <f>IFERROR(__xludf.DUMMYFUNCTION("""COMPUTED_VALUE"""),"PEREZ MARIA DE LOS ANGELES")</f>
        <v>PEREZ MARIA DE LOS ANGELES</v>
      </c>
      <c r="D899" s="1" t="str">
        <f>IFERROR(__xludf.DUMMYFUNCTION("""COMPUTED_VALUE"""),"Reparaciones/Otros")</f>
        <v>Reparaciones/Otros</v>
      </c>
      <c r="E899" s="1" t="str">
        <f>IFERROR(__xludf.DUMMYFUNCTION("""COMPUTED_VALUE"""),"RIVADAVIA Luciana")</f>
        <v>RIVADAVIA Luciana</v>
      </c>
      <c r="F899" s="1" t="str">
        <f t="shared" si="1"/>
        <v>RIVADAVIA </v>
      </c>
      <c r="G899" s="1" t="str">
        <f t="shared" si="2"/>
        <v>Luciana</v>
      </c>
      <c r="H899" s="1" t="str">
        <f>IFERROR(__xludf.DUMMYFUNCTION("""COMPUTED_VALUE"""),"24/1/2023, 17:00:00")</f>
        <v>24/1/2023, 17:00:00</v>
      </c>
      <c r="I899" s="1" t="str">
        <f>IFERROR(__xludf.DUMMYFUNCTION("""COMPUTED_VALUE"""),"Completado en SUCURSAL")</f>
        <v>Completado en SUCURSAL</v>
      </c>
      <c r="J899" s="1">
        <f t="shared" si="3"/>
        <v>5</v>
      </c>
      <c r="K899" s="1" t="str">
        <f t="shared" si="4"/>
        <v>Tus Lentes estan LISTAS PARA ENTREGAR, te esperamos.</v>
      </c>
    </row>
    <row r="900">
      <c r="A900" s="1">
        <f>IFERROR(__xludf.DUMMYFUNCTION("""COMPUTED_VALUE"""),85450.0)</f>
        <v>85450</v>
      </c>
      <c r="B900" s="5">
        <f>IFERROR(__xludf.DUMMYFUNCTION("""COMPUTED_VALUE"""),44949.42473399306)</f>
        <v>44949.42473</v>
      </c>
      <c r="C900" s="1" t="str">
        <f>IFERROR(__xludf.DUMMYFUNCTION("""COMPUTED_VALUE"""),"TORRES ELSA")</f>
        <v>TORRES ELSA</v>
      </c>
      <c r="D900" s="1" t="str">
        <f>IFERROR(__xludf.DUMMYFUNCTION("""COMPUTED_VALUE"""),"Lentes de STOCK")</f>
        <v>Lentes de STOCK</v>
      </c>
      <c r="E900" s="1" t="str">
        <f>IFERROR(__xludf.DUMMYFUNCTION("""COMPUTED_VALUE"""),"ARTIGAS Ivana P.")</f>
        <v>ARTIGAS Ivana P.</v>
      </c>
      <c r="F900" s="1" t="str">
        <f t="shared" si="1"/>
        <v>ARTIGAS </v>
      </c>
      <c r="G900" s="1" t="str">
        <f t="shared" si="2"/>
        <v>Ivana P.</v>
      </c>
      <c r="H900" s="1" t="str">
        <f>IFERROR(__xludf.DUMMYFUNCTION("""COMPUTED_VALUE"""),"26/1/2023, 17:00:00")</f>
        <v>26/1/2023, 17:00:00</v>
      </c>
      <c r="I900" s="1" t="str">
        <f>IFERROR(__xludf.DUMMYFUNCTION("""COMPUTED_VALUE"""),"RETIRADO OK POR CLIENTE")</f>
        <v>RETIRADO OK POR CLIENTE</v>
      </c>
      <c r="J900" s="1">
        <f t="shared" si="3"/>
        <v>6</v>
      </c>
      <c r="K900" s="1" t="str">
        <f t="shared" si="4"/>
        <v>Entregamos tus lentes, que los disfrutes!</v>
      </c>
    </row>
    <row r="901">
      <c r="A901" s="1">
        <f>IFERROR(__xludf.DUMMYFUNCTION("""COMPUTED_VALUE"""),85451.0)</f>
        <v>85451</v>
      </c>
      <c r="B901" s="5">
        <f>IFERROR(__xludf.DUMMYFUNCTION("""COMPUTED_VALUE"""),44949.42931232639)</f>
        <v>44949.42931</v>
      </c>
      <c r="C901" s="1" t="str">
        <f>IFERROR(__xludf.DUMMYFUNCTION("""COMPUTED_VALUE"""),"FERNANDEZ IRIS")</f>
        <v>FERNANDEZ IRIS</v>
      </c>
      <c r="D901" s="1" t="str">
        <f>IFERROR(__xludf.DUMMYFUNCTION("""COMPUTED_VALUE"""),"Reparaciones/Otros")</f>
        <v>Reparaciones/Otros</v>
      </c>
      <c r="E901" s="1" t="str">
        <f>IFERROR(__xludf.DUMMYFUNCTION("""COMPUTED_VALUE"""),"RIVADAVIA Marcela L")</f>
        <v>RIVADAVIA Marcela L</v>
      </c>
      <c r="F901" s="1" t="str">
        <f t="shared" si="1"/>
        <v>RIVADAVIA </v>
      </c>
      <c r="G901" s="1" t="str">
        <f t="shared" si="2"/>
        <v>Marcela L</v>
      </c>
      <c r="H901" s="1" t="str">
        <f>IFERROR(__xludf.DUMMYFUNCTION("""COMPUTED_VALUE"""),"24/1/2023, 17:00:00")</f>
        <v>24/1/2023, 17:00:00</v>
      </c>
      <c r="I901" s="1" t="str">
        <f>IFERROR(__xludf.DUMMYFUNCTION("""COMPUTED_VALUE"""),"Completado en SUCURSAL")</f>
        <v>Completado en SUCURSAL</v>
      </c>
      <c r="J901" s="1">
        <f t="shared" si="3"/>
        <v>5</v>
      </c>
      <c r="K901" s="1" t="str">
        <f t="shared" si="4"/>
        <v>Tus Lentes estan LISTAS PARA ENTREGAR, te esperamos.</v>
      </c>
    </row>
    <row r="902">
      <c r="A902" s="1">
        <f>IFERROR(__xludf.DUMMYFUNCTION("""COMPUTED_VALUE"""),85452.0)</f>
        <v>85452</v>
      </c>
      <c r="B902" s="5">
        <f>IFERROR(__xludf.DUMMYFUNCTION("""COMPUTED_VALUE"""),44949.42933953703)</f>
        <v>44949.42934</v>
      </c>
      <c r="C902" s="1" t="str">
        <f>IFERROR(__xludf.DUMMYFUNCTION("""COMPUTED_VALUE"""),"Pereyra Maria Celeste")</f>
        <v>Pereyra Maria Celeste</v>
      </c>
      <c r="D902" s="1" t="str">
        <f>IFERROR(__xludf.DUMMYFUNCTION("""COMPUTED_VALUE"""),"Reparaciones/Otros")</f>
        <v>Reparaciones/Otros</v>
      </c>
      <c r="E902" s="1" t="str">
        <f>IFERROR(__xludf.DUMMYFUNCTION("""COMPUTED_VALUE"""),"RIVADAVIA Rocio B")</f>
        <v>RIVADAVIA Rocio B</v>
      </c>
      <c r="F902" s="1" t="str">
        <f t="shared" si="1"/>
        <v>RIVADAVIA </v>
      </c>
      <c r="G902" s="1" t="str">
        <f t="shared" si="2"/>
        <v>Rocio B</v>
      </c>
      <c r="H902" s="1" t="str">
        <f>IFERROR(__xludf.DUMMYFUNCTION("""COMPUTED_VALUE"""),"24/1/2023, 17:00:00")</f>
        <v>24/1/2023, 17:00:00</v>
      </c>
      <c r="I902" s="1" t="str">
        <f>IFERROR(__xludf.DUMMYFUNCTION("""COMPUTED_VALUE"""),"Completado en SUCURSAL")</f>
        <v>Completado en SUCURSAL</v>
      </c>
      <c r="J902" s="1">
        <f t="shared" si="3"/>
        <v>5</v>
      </c>
      <c r="K902" s="1" t="str">
        <f t="shared" si="4"/>
        <v>Tus Lentes estan LISTAS PARA ENTREGAR, te esperamos.</v>
      </c>
    </row>
    <row r="903">
      <c r="A903" s="1">
        <f>IFERROR(__xludf.DUMMYFUNCTION("""COMPUTED_VALUE"""),85453.0)</f>
        <v>85453</v>
      </c>
      <c r="B903" s="5">
        <f>IFERROR(__xludf.DUMMYFUNCTION("""COMPUTED_VALUE"""),44949.43067986111)</f>
        <v>44949.43068</v>
      </c>
      <c r="C903" s="1" t="str">
        <f>IFERROR(__xludf.DUMMYFUNCTION("""COMPUTED_VALUE"""),"POLLO NORMA")</f>
        <v>POLLO NORMA</v>
      </c>
      <c r="D903" s="1" t="str">
        <f>IFERROR(__xludf.DUMMYFUNCTION("""COMPUTED_VALUE"""),"Reparaciones/Otros")</f>
        <v>Reparaciones/Otros</v>
      </c>
      <c r="E903" s="1" t="str">
        <f>IFERROR(__xludf.DUMMYFUNCTION("""COMPUTED_VALUE"""),"ARTIGAS Ivana P.")</f>
        <v>ARTIGAS Ivana P.</v>
      </c>
      <c r="F903" s="1" t="str">
        <f t="shared" si="1"/>
        <v>ARTIGAS </v>
      </c>
      <c r="G903" s="1" t="str">
        <f t="shared" si="2"/>
        <v>Ivana P.</v>
      </c>
      <c r="H903" s="1" t="str">
        <f>IFERROR(__xludf.DUMMYFUNCTION("""COMPUTED_VALUE"""),"24/1/2023, 17:00:00")</f>
        <v>24/1/2023, 17:00:00</v>
      </c>
      <c r="I903" s="1" t="str">
        <f>IFERROR(__xludf.DUMMYFUNCTION("""COMPUTED_VALUE"""),"Recibido en Laboratorio")</f>
        <v>Recibido en Laboratorio</v>
      </c>
      <c r="J903" s="1">
        <f t="shared" si="3"/>
        <v>2</v>
      </c>
      <c r="K903" s="1" t="str">
        <f t="shared" si="4"/>
        <v>Nuestro Laboratorio esta trabajando en tus lentes, los entregaremos en la fecha acordada.</v>
      </c>
    </row>
    <row r="904">
      <c r="A904" s="1">
        <f>IFERROR(__xludf.DUMMYFUNCTION("""COMPUTED_VALUE"""),85454.0)</f>
        <v>85454</v>
      </c>
      <c r="B904" s="5">
        <f>IFERROR(__xludf.DUMMYFUNCTION("""COMPUTED_VALUE"""),44949.431517916666)</f>
        <v>44949.43152</v>
      </c>
      <c r="C904" s="1" t="str">
        <f>IFERROR(__xludf.DUMMYFUNCTION("""COMPUTED_VALUE"""),"Pedernera Alba")</f>
        <v>Pedernera Alba</v>
      </c>
      <c r="D904" s="1" t="str">
        <f>IFERROR(__xludf.DUMMYFUNCTION("""COMPUTED_VALUE"""),"Lentes de STOCK")</f>
        <v>Lentes de STOCK</v>
      </c>
      <c r="E904" s="1" t="str">
        <f>IFERROR(__xludf.DUMMYFUNCTION("""COMPUTED_VALUE"""),"RIVADAVIA Rocio B")</f>
        <v>RIVADAVIA Rocio B</v>
      </c>
      <c r="F904" s="1" t="str">
        <f t="shared" si="1"/>
        <v>RIVADAVIA </v>
      </c>
      <c r="G904" s="1" t="str">
        <f t="shared" si="2"/>
        <v>Rocio B</v>
      </c>
      <c r="H904" s="1" t="str">
        <f>IFERROR(__xludf.DUMMYFUNCTION("""COMPUTED_VALUE"""),"30/1/2023, 17:00:00")</f>
        <v>30/1/2023, 17:00:00</v>
      </c>
      <c r="I904" s="1" t="str">
        <f>IFERROR(__xludf.DUMMYFUNCTION("""COMPUTED_VALUE"""),"Completado en SUCURSAL")</f>
        <v>Completado en SUCURSAL</v>
      </c>
      <c r="J904" s="1">
        <f t="shared" si="3"/>
        <v>5</v>
      </c>
      <c r="K904" s="1" t="str">
        <f t="shared" si="4"/>
        <v>Tus Lentes estan LISTAS PARA ENTREGAR, te esperamos.</v>
      </c>
    </row>
    <row r="905">
      <c r="A905" s="1">
        <f>IFERROR(__xludf.DUMMYFUNCTION("""COMPUTED_VALUE"""),85455.0)</f>
        <v>85455</v>
      </c>
      <c r="B905" s="5">
        <f>IFERROR(__xludf.DUMMYFUNCTION("""COMPUTED_VALUE"""),44949.438043125)</f>
        <v>44949.43804</v>
      </c>
      <c r="C905" s="1" t="str">
        <f>IFERROR(__xludf.DUMMYFUNCTION("""COMPUTED_VALUE"""),"MOLINA PAULA")</f>
        <v>MOLINA PAULA</v>
      </c>
      <c r="D905" s="1" t="str">
        <f>IFERROR(__xludf.DUMMYFUNCTION("""COMPUTED_VALUE"""),"Lentes de STOCK")</f>
        <v>Lentes de STOCK</v>
      </c>
      <c r="E905" s="1" t="str">
        <f>IFERROR(__xludf.DUMMYFUNCTION("""COMPUTED_VALUE"""),"ARTIGAS Ivana P.")</f>
        <v>ARTIGAS Ivana P.</v>
      </c>
      <c r="F905" s="1" t="str">
        <f t="shared" si="1"/>
        <v>ARTIGAS </v>
      </c>
      <c r="G905" s="1" t="str">
        <f t="shared" si="2"/>
        <v>Ivana P.</v>
      </c>
      <c r="H905" s="1" t="str">
        <f>IFERROR(__xludf.DUMMYFUNCTION("""COMPUTED_VALUE"""),"26/1/2023, 17:00:00")</f>
        <v>26/1/2023, 17:00:00</v>
      </c>
      <c r="I905" s="1" t="str">
        <f>IFERROR(__xludf.DUMMYFUNCTION("""COMPUTED_VALUE"""),"RETIRADO OK POR CLIENTE")</f>
        <v>RETIRADO OK POR CLIENTE</v>
      </c>
      <c r="J905" s="1">
        <f t="shared" si="3"/>
        <v>6</v>
      </c>
      <c r="K905" s="1" t="str">
        <f t="shared" si="4"/>
        <v>Entregamos tus lentes, que los disfrutes!</v>
      </c>
    </row>
    <row r="906">
      <c r="A906" s="1">
        <f>IFERROR(__xludf.DUMMYFUNCTION("""COMPUTED_VALUE"""),85456.0)</f>
        <v>85456</v>
      </c>
      <c r="B906" s="5">
        <f>IFERROR(__xludf.DUMMYFUNCTION("""COMPUTED_VALUE"""),44949.438975694444)</f>
        <v>44949.43898</v>
      </c>
      <c r="C906" s="1" t="str">
        <f>IFERROR(__xludf.DUMMYFUNCTION("""COMPUTED_VALUE"""),"UREÑA NIDIA")</f>
        <v>UREÑA NIDIA</v>
      </c>
      <c r="D906" s="1" t="str">
        <f>IFERROR(__xludf.DUMMYFUNCTION("""COMPUTED_VALUE"""),"Lentes MULTIFOCALES")</f>
        <v>Lentes MULTIFOCALES</v>
      </c>
      <c r="E906" s="1" t="str">
        <f>IFERROR(__xludf.DUMMYFUNCTION("""COMPUTED_VALUE"""),"ARTIGAS Cristian C.")</f>
        <v>ARTIGAS Cristian C.</v>
      </c>
      <c r="F906" s="1" t="str">
        <f t="shared" si="1"/>
        <v>ARTIGAS </v>
      </c>
      <c r="G906" s="1" t="str">
        <f t="shared" si="2"/>
        <v>Cristian C.</v>
      </c>
      <c r="H906" s="1" t="str">
        <f>IFERROR(__xludf.DUMMYFUNCTION("""COMPUTED_VALUE"""),"26/1/2023, 17:00:00")</f>
        <v>26/1/2023, 17:00:00</v>
      </c>
      <c r="I906" s="1" t="str">
        <f>IFERROR(__xludf.DUMMYFUNCTION("""COMPUTED_VALUE"""),"RETIRADO OK POR CLIENTE")</f>
        <v>RETIRADO OK POR CLIENTE</v>
      </c>
      <c r="J906" s="1">
        <f t="shared" si="3"/>
        <v>6</v>
      </c>
      <c r="K906" s="1" t="str">
        <f t="shared" si="4"/>
        <v>Entregamos tus lentes, que los disfrutes!</v>
      </c>
    </row>
    <row r="907">
      <c r="A907" s="1">
        <f>IFERROR(__xludf.DUMMYFUNCTION("""COMPUTED_VALUE"""),85457.0)</f>
        <v>85457</v>
      </c>
      <c r="B907" s="5">
        <f>IFERROR(__xludf.DUMMYFUNCTION("""COMPUTED_VALUE"""),44949.43915892361)</f>
        <v>44949.43916</v>
      </c>
      <c r="C907" s="1" t="str">
        <f>IFERROR(__xludf.DUMMYFUNCTION("""COMPUTED_VALUE"""),"ITURRIOZ ESTEBAN")</f>
        <v>ITURRIOZ ESTEBAN</v>
      </c>
      <c r="D907" s="1" t="str">
        <f>IFERROR(__xludf.DUMMYFUNCTION("""COMPUTED_VALUE"""),"Lentes de STOCK")</f>
        <v>Lentes de STOCK</v>
      </c>
      <c r="E907" s="1" t="str">
        <f>IFERROR(__xludf.DUMMYFUNCTION("""COMPUTED_VALUE"""),"RIVADAVIA Rocio B")</f>
        <v>RIVADAVIA Rocio B</v>
      </c>
      <c r="F907" s="1" t="str">
        <f t="shared" si="1"/>
        <v>RIVADAVIA </v>
      </c>
      <c r="G907" s="1" t="str">
        <f t="shared" si="2"/>
        <v>Rocio B</v>
      </c>
      <c r="H907" s="1" t="str">
        <f>IFERROR(__xludf.DUMMYFUNCTION("""COMPUTED_VALUE"""),"25/1/2023, 17:00:00")</f>
        <v>25/1/2023, 17:00:00</v>
      </c>
      <c r="I907" s="1" t="str">
        <f>IFERROR(__xludf.DUMMYFUNCTION("""COMPUTED_VALUE"""),"Completado en SUCURSAL")</f>
        <v>Completado en SUCURSAL</v>
      </c>
      <c r="J907" s="1">
        <f t="shared" si="3"/>
        <v>5</v>
      </c>
      <c r="K907" s="1" t="str">
        <f t="shared" si="4"/>
        <v>Tus Lentes estan LISTAS PARA ENTREGAR, te esperamos.</v>
      </c>
    </row>
    <row r="908">
      <c r="A908" s="1">
        <f>IFERROR(__xludf.DUMMYFUNCTION("""COMPUTED_VALUE"""),85458.0)</f>
        <v>85458</v>
      </c>
      <c r="B908" s="5">
        <f>IFERROR(__xludf.DUMMYFUNCTION("""COMPUTED_VALUE"""),44949.44005567129)</f>
        <v>44949.44006</v>
      </c>
      <c r="C908" s="1" t="str">
        <f>IFERROR(__xludf.DUMMYFUNCTION("""COMPUTED_VALUE"""),"AGUERO ANALIA")</f>
        <v>AGUERO ANALIA</v>
      </c>
      <c r="D908" s="1" t="str">
        <f>IFERROR(__xludf.DUMMYFUNCTION("""COMPUTED_VALUE"""),"Reparaciones/Otros")</f>
        <v>Reparaciones/Otros</v>
      </c>
      <c r="E908" s="1" t="str">
        <f>IFERROR(__xludf.DUMMYFUNCTION("""COMPUTED_VALUE"""),"ARTIGAS Celina")</f>
        <v>ARTIGAS Celina</v>
      </c>
      <c r="F908" s="1" t="str">
        <f t="shared" si="1"/>
        <v>ARTIGAS </v>
      </c>
      <c r="G908" s="1" t="str">
        <f t="shared" si="2"/>
        <v>Celina</v>
      </c>
      <c r="H908" s="1" t="str">
        <f>IFERROR(__xludf.DUMMYFUNCTION("""COMPUTED_VALUE"""),"24/1/2023, 17:00:00")</f>
        <v>24/1/2023, 17:00:00</v>
      </c>
      <c r="I908" s="1" t="str">
        <f>IFERROR(__xludf.DUMMYFUNCTION("""COMPUTED_VALUE"""),"Completado en SUCURSAL")</f>
        <v>Completado en SUCURSAL</v>
      </c>
      <c r="J908" s="1">
        <f t="shared" si="3"/>
        <v>5</v>
      </c>
      <c r="K908" s="1" t="str">
        <f t="shared" si="4"/>
        <v>Tus Lentes estan LISTAS PARA ENTREGAR, te esperamos.</v>
      </c>
    </row>
    <row r="909">
      <c r="A909" s="1">
        <f>IFERROR(__xludf.DUMMYFUNCTION("""COMPUTED_VALUE"""),85459.0)</f>
        <v>85459</v>
      </c>
      <c r="B909" s="5">
        <f>IFERROR(__xludf.DUMMYFUNCTION("""COMPUTED_VALUE"""),44949.44176076389)</f>
        <v>44949.44176</v>
      </c>
      <c r="C909" s="1" t="str">
        <f>IFERROR(__xludf.DUMMYFUNCTION("""COMPUTED_VALUE"""),"UREÑA NIDIA")</f>
        <v>UREÑA NIDIA</v>
      </c>
      <c r="D909" s="1" t="str">
        <f>IFERROR(__xludf.DUMMYFUNCTION("""COMPUTED_VALUE"""),"Lentes de STOCK")</f>
        <v>Lentes de STOCK</v>
      </c>
      <c r="E909" s="1" t="str">
        <f>IFERROR(__xludf.DUMMYFUNCTION("""COMPUTED_VALUE"""),"ARTIGAS Cristian C.")</f>
        <v>ARTIGAS Cristian C.</v>
      </c>
      <c r="F909" s="1" t="str">
        <f t="shared" si="1"/>
        <v>ARTIGAS </v>
      </c>
      <c r="G909" s="1" t="str">
        <f t="shared" si="2"/>
        <v>Cristian C.</v>
      </c>
      <c r="H909" s="1" t="str">
        <f>IFERROR(__xludf.DUMMYFUNCTION("""COMPUTED_VALUE"""),"30/1/2023, 17:00:00")</f>
        <v>30/1/2023, 17:00:00</v>
      </c>
      <c r="I909" s="1" t="str">
        <f>IFERROR(__xludf.DUMMYFUNCTION("""COMPUTED_VALUE"""),"Completado en SUCURSAL")</f>
        <v>Completado en SUCURSAL</v>
      </c>
      <c r="J909" s="1">
        <f t="shared" si="3"/>
        <v>5</v>
      </c>
      <c r="K909" s="1" t="str">
        <f t="shared" si="4"/>
        <v>Tus Lentes estan LISTAS PARA ENTREGAR, te esperamos.</v>
      </c>
    </row>
    <row r="910">
      <c r="A910" s="1">
        <f>IFERROR(__xludf.DUMMYFUNCTION("""COMPUTED_VALUE"""),85460.0)</f>
        <v>85460</v>
      </c>
      <c r="B910" s="5">
        <f>IFERROR(__xludf.DUMMYFUNCTION("""COMPUTED_VALUE"""),44949.44385844907)</f>
        <v>44949.44386</v>
      </c>
      <c r="C910" s="1" t="str">
        <f>IFERROR(__xludf.DUMMYFUNCTION("""COMPUTED_VALUE"""),"Romero Vallejos Joaquin ")</f>
        <v>Romero Vallejos Joaquin </v>
      </c>
      <c r="D910" s="1" t="str">
        <f>IFERROR(__xludf.DUMMYFUNCTION("""COMPUTED_VALUE"""),"Lentes de STOCK")</f>
        <v>Lentes de STOCK</v>
      </c>
      <c r="E910" s="1" t="str">
        <f>IFERROR(__xludf.DUMMYFUNCTION("""COMPUTED_VALUE"""),"RIVADAVIA Rocio B")</f>
        <v>RIVADAVIA Rocio B</v>
      </c>
      <c r="F910" s="1" t="str">
        <f t="shared" si="1"/>
        <v>RIVADAVIA </v>
      </c>
      <c r="G910" s="1" t="str">
        <f t="shared" si="2"/>
        <v>Rocio B</v>
      </c>
      <c r="H910" s="1" t="str">
        <f>IFERROR(__xludf.DUMMYFUNCTION("""COMPUTED_VALUE"""),"30/1/2023, 17:00:00")</f>
        <v>30/1/2023, 17:00:00</v>
      </c>
      <c r="I910" s="1" t="str">
        <f>IFERROR(__xludf.DUMMYFUNCTION("""COMPUTED_VALUE"""),"RETIRADO OK POR CLIENTE")</f>
        <v>RETIRADO OK POR CLIENTE</v>
      </c>
      <c r="J910" s="1">
        <f t="shared" si="3"/>
        <v>6</v>
      </c>
      <c r="K910" s="1" t="str">
        <f t="shared" si="4"/>
        <v>Entregamos tus lentes, que los disfrutes!</v>
      </c>
    </row>
    <row r="911">
      <c r="A911" s="1">
        <f>IFERROR(__xludf.DUMMYFUNCTION("""COMPUTED_VALUE"""),85461.0)</f>
        <v>85461</v>
      </c>
      <c r="B911" s="5">
        <f>IFERROR(__xludf.DUMMYFUNCTION("""COMPUTED_VALUE"""),44949.44492184027)</f>
        <v>44949.44492</v>
      </c>
      <c r="C911" s="1" t="str">
        <f>IFERROR(__xludf.DUMMYFUNCTION("""COMPUTED_VALUE"""),"SCARPATTI ELENA")</f>
        <v>SCARPATTI ELENA</v>
      </c>
      <c r="D911" s="1" t="str">
        <f>IFERROR(__xludf.DUMMYFUNCTION("""COMPUTED_VALUE"""),"Lentes BIFOCALES")</f>
        <v>Lentes BIFOCALES</v>
      </c>
      <c r="E911" s="1" t="str">
        <f>IFERROR(__xludf.DUMMYFUNCTION("""COMPUTED_VALUE"""),"RIVADAVIA Daniel CM")</f>
        <v>RIVADAVIA Daniel CM</v>
      </c>
      <c r="F911" s="1" t="str">
        <f t="shared" si="1"/>
        <v>RIVADAVIA </v>
      </c>
      <c r="G911" s="1" t="str">
        <f t="shared" si="2"/>
        <v>Daniel CM</v>
      </c>
      <c r="H911" s="1" t="str">
        <f>IFERROR(__xludf.DUMMYFUNCTION("""COMPUTED_VALUE"""),"26/1/2023, 17:00:00")</f>
        <v>26/1/2023, 17:00:00</v>
      </c>
      <c r="I911" s="1" t="str">
        <f>IFERROR(__xludf.DUMMYFUNCTION("""COMPUTED_VALUE"""),"Completado en SUCURSAL")</f>
        <v>Completado en SUCURSAL</v>
      </c>
      <c r="J911" s="1">
        <f t="shared" si="3"/>
        <v>5</v>
      </c>
      <c r="K911" s="1" t="str">
        <f t="shared" si="4"/>
        <v>Tus Lentes estan LISTAS PARA ENTREGAR, te esperamos.</v>
      </c>
    </row>
    <row r="912">
      <c r="A912" s="1">
        <f>IFERROR(__xludf.DUMMYFUNCTION("""COMPUTED_VALUE"""),85462.0)</f>
        <v>85462</v>
      </c>
      <c r="B912" s="5">
        <f>IFERROR(__xludf.DUMMYFUNCTION("""COMPUTED_VALUE"""),44949.44596266204)</f>
        <v>44949.44596</v>
      </c>
      <c r="C912" s="1" t="str">
        <f>IFERROR(__xludf.DUMMYFUNCTION("""COMPUTED_VALUE"""),"quevedo clara ")</f>
        <v>quevedo clara </v>
      </c>
      <c r="D912" s="1" t="str">
        <f>IFERROR(__xludf.DUMMYFUNCTION("""COMPUTED_VALUE"""),"Reparaciones/Otros")</f>
        <v>Reparaciones/Otros</v>
      </c>
      <c r="E912" s="1" t="str">
        <f>IFERROR(__xludf.DUMMYFUNCTION("""COMPUTED_VALUE"""),"ARTIGAS Celina")</f>
        <v>ARTIGAS Celina</v>
      </c>
      <c r="F912" s="1" t="str">
        <f t="shared" si="1"/>
        <v>ARTIGAS </v>
      </c>
      <c r="G912" s="1" t="str">
        <f t="shared" si="2"/>
        <v>Celina</v>
      </c>
      <c r="H912" s="1" t="str">
        <f>IFERROR(__xludf.DUMMYFUNCTION("""COMPUTED_VALUE"""),"24/1/2023, 17:00:00")</f>
        <v>24/1/2023, 17:00:00</v>
      </c>
      <c r="I912" s="1" t="str">
        <f>IFERROR(__xludf.DUMMYFUNCTION("""COMPUTED_VALUE"""),"Completado en SUCURSAL")</f>
        <v>Completado en SUCURSAL</v>
      </c>
      <c r="J912" s="1">
        <f t="shared" si="3"/>
        <v>5</v>
      </c>
      <c r="K912" s="1" t="str">
        <f t="shared" si="4"/>
        <v>Tus Lentes estan LISTAS PARA ENTREGAR, te esperamos.</v>
      </c>
    </row>
    <row r="913">
      <c r="A913" s="1">
        <f>IFERROR(__xludf.DUMMYFUNCTION("""COMPUTED_VALUE"""),85463.0)</f>
        <v>85463</v>
      </c>
      <c r="B913" s="5">
        <f>IFERROR(__xludf.DUMMYFUNCTION("""COMPUTED_VALUE"""),44949.4495870949)</f>
        <v>44949.44959</v>
      </c>
      <c r="C913" s="1" t="str">
        <f>IFERROR(__xludf.DUMMYFUNCTION("""COMPUTED_VALUE"""),"nievas mario")</f>
        <v>nievas mario</v>
      </c>
      <c r="D913" s="1" t="str">
        <f>IFERROR(__xludf.DUMMYFUNCTION("""COMPUTED_VALUE"""),"Reparaciones/Otros")</f>
        <v>Reparaciones/Otros</v>
      </c>
      <c r="E913" s="1" t="str">
        <f>IFERROR(__xludf.DUMMYFUNCTION("""COMPUTED_VALUE"""),"RIVADAVIA Santiago LOPEZ")</f>
        <v>RIVADAVIA Santiago LOPEZ</v>
      </c>
      <c r="F913" s="1" t="str">
        <f t="shared" si="1"/>
        <v>RIVADAVIA </v>
      </c>
      <c r="G913" s="1" t="str">
        <f t="shared" si="2"/>
        <v>Santiago LOPEZ</v>
      </c>
      <c r="H913" s="1" t="str">
        <f>IFERROR(__xludf.DUMMYFUNCTION("""COMPUTED_VALUE"""),"24/1/2023, 17:00:00")</f>
        <v>24/1/2023, 17:00:00</v>
      </c>
      <c r="I913" s="1" t="str">
        <f>IFERROR(__xludf.DUMMYFUNCTION("""COMPUTED_VALUE"""),"Completado en SUCURSAL")</f>
        <v>Completado en SUCURSAL</v>
      </c>
      <c r="J913" s="1">
        <f t="shared" si="3"/>
        <v>5</v>
      </c>
      <c r="K913" s="1" t="str">
        <f t="shared" si="4"/>
        <v>Tus Lentes estan LISTAS PARA ENTREGAR, te esperamos.</v>
      </c>
    </row>
    <row r="914">
      <c r="A914" s="1">
        <f>IFERROR(__xludf.DUMMYFUNCTION("""COMPUTED_VALUE"""),85464.0)</f>
        <v>85464</v>
      </c>
      <c r="B914" s="5">
        <f>IFERROR(__xludf.DUMMYFUNCTION("""COMPUTED_VALUE"""),44949.45178578704)</f>
        <v>44949.45179</v>
      </c>
      <c r="C914" s="1" t="str">
        <f>IFERROR(__xludf.DUMMYFUNCTION("""COMPUTED_VALUE"""),"OVIEDO JUAN")</f>
        <v>OVIEDO JUAN</v>
      </c>
      <c r="D914" s="1" t="str">
        <f>IFERROR(__xludf.DUMMYFUNCTION("""COMPUTED_VALUE"""),"Lentes de STOCK")</f>
        <v>Lentes de STOCK</v>
      </c>
      <c r="E914" s="1" t="str">
        <f>IFERROR(__xludf.DUMMYFUNCTION("""COMPUTED_VALUE"""),"ARTIGAS Ivana P.")</f>
        <v>ARTIGAS Ivana P.</v>
      </c>
      <c r="F914" s="1" t="str">
        <f t="shared" si="1"/>
        <v>ARTIGAS </v>
      </c>
      <c r="G914" s="1" t="str">
        <f t="shared" si="2"/>
        <v>Ivana P.</v>
      </c>
      <c r="H914" s="1" t="str">
        <f>IFERROR(__xludf.DUMMYFUNCTION("""COMPUTED_VALUE"""),"1/2/2023, 17:00:00")</f>
        <v>1/2/2023, 17:00:00</v>
      </c>
      <c r="I914" s="1"/>
      <c r="J914" s="1">
        <f t="shared" si="3"/>
        <v>0</v>
      </c>
      <c r="K914" s="1" t="str">
        <f t="shared" si="4"/>
        <v/>
      </c>
    </row>
    <row r="915">
      <c r="A915" s="1">
        <f>IFERROR(__xludf.DUMMYFUNCTION("""COMPUTED_VALUE"""),85465.0)</f>
        <v>85465</v>
      </c>
      <c r="B915" s="5">
        <f>IFERROR(__xludf.DUMMYFUNCTION("""COMPUTED_VALUE"""),44949.45473827547)</f>
        <v>44949.45474</v>
      </c>
      <c r="C915" s="1" t="str">
        <f>IFERROR(__xludf.DUMMYFUNCTION("""COMPUTED_VALUE"""),"OVIEDO JUAN")</f>
        <v>OVIEDO JUAN</v>
      </c>
      <c r="D915" s="1" t="str">
        <f>IFERROR(__xludf.DUMMYFUNCTION("""COMPUTED_VALUE"""),"Lentes de STOCK")</f>
        <v>Lentes de STOCK</v>
      </c>
      <c r="E915" s="1" t="str">
        <f>IFERROR(__xludf.DUMMYFUNCTION("""COMPUTED_VALUE"""),"ARTIGAS Ivana P.")</f>
        <v>ARTIGAS Ivana P.</v>
      </c>
      <c r="F915" s="1" t="str">
        <f t="shared" si="1"/>
        <v>ARTIGAS </v>
      </c>
      <c r="G915" s="1" t="str">
        <f t="shared" si="2"/>
        <v>Ivana P.</v>
      </c>
      <c r="H915" s="1" t="str">
        <f>IFERROR(__xludf.DUMMYFUNCTION("""COMPUTED_VALUE"""),"1/2/2023, 17:00:00")</f>
        <v>1/2/2023, 17:00:00</v>
      </c>
      <c r="I915" s="1" t="str">
        <f>IFERROR(__xludf.DUMMYFUNCTION("""COMPUTED_VALUE"""),"RETIRADO OK POR CLIENTE")</f>
        <v>RETIRADO OK POR CLIENTE</v>
      </c>
      <c r="J915" s="1">
        <f t="shared" si="3"/>
        <v>6</v>
      </c>
      <c r="K915" s="1" t="str">
        <f t="shared" si="4"/>
        <v>Entregamos tus lentes, que los disfrutes!</v>
      </c>
    </row>
    <row r="916">
      <c r="A916" s="1">
        <f>IFERROR(__xludf.DUMMYFUNCTION("""COMPUTED_VALUE"""),85466.0)</f>
        <v>85466</v>
      </c>
      <c r="B916" s="5">
        <f>IFERROR(__xludf.DUMMYFUNCTION("""COMPUTED_VALUE"""),44949.458140717594)</f>
        <v>44949.45814</v>
      </c>
      <c r="C916" s="1" t="str">
        <f>IFERROR(__xludf.DUMMYFUNCTION("""COMPUTED_VALUE"""),"DE LAVO ELVIRA")</f>
        <v>DE LAVO ELVIRA</v>
      </c>
      <c r="D916" s="1" t="str">
        <f>IFERROR(__xludf.DUMMYFUNCTION("""COMPUTED_VALUE"""),"Lentes de STOCK")</f>
        <v>Lentes de STOCK</v>
      </c>
      <c r="E916" s="1" t="str">
        <f>IFERROR(__xludf.DUMMYFUNCTION("""COMPUTED_VALUE"""),"RIVADAVIA Luciana")</f>
        <v>RIVADAVIA Luciana</v>
      </c>
      <c r="F916" s="1" t="str">
        <f t="shared" si="1"/>
        <v>RIVADAVIA </v>
      </c>
      <c r="G916" s="1" t="str">
        <f t="shared" si="2"/>
        <v>Luciana</v>
      </c>
      <c r="H916" s="1" t="str">
        <f>IFERROR(__xludf.DUMMYFUNCTION("""COMPUTED_VALUE"""),"27/1/2023, 17:00:00")</f>
        <v>27/1/2023, 17:00:00</v>
      </c>
      <c r="I916" s="1" t="str">
        <f>IFERROR(__xludf.DUMMYFUNCTION("""COMPUTED_VALUE"""),"RETIRADO OK POR CLIENTE")</f>
        <v>RETIRADO OK POR CLIENTE</v>
      </c>
      <c r="J916" s="1">
        <f t="shared" si="3"/>
        <v>6</v>
      </c>
      <c r="K916" s="1" t="str">
        <f t="shared" si="4"/>
        <v>Entregamos tus lentes, que los disfrutes!</v>
      </c>
    </row>
    <row r="917">
      <c r="A917" s="1">
        <f>IFERROR(__xludf.DUMMYFUNCTION("""COMPUTED_VALUE"""),85467.0)</f>
        <v>85467</v>
      </c>
      <c r="B917" s="5">
        <f>IFERROR(__xludf.DUMMYFUNCTION("""COMPUTED_VALUE"""),44949.458371493056)</f>
        <v>44949.45837</v>
      </c>
      <c r="C917" s="1" t="str">
        <f>IFERROR(__xludf.DUMMYFUNCTION("""COMPUTED_VALUE"""),"fabrego beatriz ")</f>
        <v>fabrego beatriz </v>
      </c>
      <c r="D917" s="1" t="str">
        <f>IFERROR(__xludf.DUMMYFUNCTION("""COMPUTED_VALUE"""),"Lentes de STOCK")</f>
        <v>Lentes de STOCK</v>
      </c>
      <c r="E917" s="1" t="str">
        <f>IFERROR(__xludf.DUMMYFUNCTION("""COMPUTED_VALUE"""),"RIVADAVIA Santiago LOPEZ")</f>
        <v>RIVADAVIA Santiago LOPEZ</v>
      </c>
      <c r="F917" s="1" t="str">
        <f t="shared" si="1"/>
        <v>RIVADAVIA </v>
      </c>
      <c r="G917" s="1" t="str">
        <f t="shared" si="2"/>
        <v>Santiago LOPEZ</v>
      </c>
      <c r="H917" s="1" t="str">
        <f>IFERROR(__xludf.DUMMYFUNCTION("""COMPUTED_VALUE"""),"25/1/2023, 17:00:00")</f>
        <v>25/1/2023, 17:00:00</v>
      </c>
      <c r="I917" s="1" t="str">
        <f>IFERROR(__xludf.DUMMYFUNCTION("""COMPUTED_VALUE"""),"RETIRADO OK POR CLIENTE")</f>
        <v>RETIRADO OK POR CLIENTE</v>
      </c>
      <c r="J917" s="1">
        <f t="shared" si="3"/>
        <v>6</v>
      </c>
      <c r="K917" s="1" t="str">
        <f t="shared" si="4"/>
        <v>Entregamos tus lentes, que los disfrutes!</v>
      </c>
    </row>
    <row r="918">
      <c r="A918" s="1">
        <f>IFERROR(__xludf.DUMMYFUNCTION("""COMPUTED_VALUE"""),85468.0)</f>
        <v>85468</v>
      </c>
      <c r="B918" s="5">
        <f>IFERROR(__xludf.DUMMYFUNCTION("""COMPUTED_VALUE"""),44949.466441192126)</f>
        <v>44949.46644</v>
      </c>
      <c r="C918" s="1" t="str">
        <f>IFERROR(__xludf.DUMMYFUNCTION("""COMPUTED_VALUE"""),"LACOMBE CELESTE")</f>
        <v>LACOMBE CELESTE</v>
      </c>
      <c r="D918" s="1" t="str">
        <f>IFERROR(__xludf.DUMMYFUNCTION("""COMPUTED_VALUE"""),"Lentes de STOCK")</f>
        <v>Lentes de STOCK</v>
      </c>
      <c r="E918" s="1" t="str">
        <f>IFERROR(__xludf.DUMMYFUNCTION("""COMPUTED_VALUE"""),"ARTIGAS Cristian C.")</f>
        <v>ARTIGAS Cristian C.</v>
      </c>
      <c r="F918" s="1" t="str">
        <f t="shared" si="1"/>
        <v>ARTIGAS </v>
      </c>
      <c r="G918" s="1" t="str">
        <f t="shared" si="2"/>
        <v>Cristian C.</v>
      </c>
      <c r="H918" s="1" t="str">
        <f>IFERROR(__xludf.DUMMYFUNCTION("""COMPUTED_VALUE"""),"30/1/2023, 17:00:00")</f>
        <v>30/1/2023, 17:00:00</v>
      </c>
      <c r="I918" s="1" t="str">
        <f>IFERROR(__xludf.DUMMYFUNCTION("""COMPUTED_VALUE"""),"RETIRADO OK POR CLIENTE")</f>
        <v>RETIRADO OK POR CLIENTE</v>
      </c>
      <c r="J918" s="1">
        <f t="shared" si="3"/>
        <v>6</v>
      </c>
      <c r="K918" s="1" t="str">
        <f t="shared" si="4"/>
        <v>Entregamos tus lentes, que los disfrutes!</v>
      </c>
    </row>
    <row r="919">
      <c r="A919" s="1">
        <f>IFERROR(__xludf.DUMMYFUNCTION("""COMPUTED_VALUE"""),85469.0)</f>
        <v>85469</v>
      </c>
      <c r="B919" s="5">
        <f>IFERROR(__xludf.DUMMYFUNCTION("""COMPUTED_VALUE"""),44949.468241759256)</f>
        <v>44949.46824</v>
      </c>
      <c r="C919" s="1" t="str">
        <f>IFERROR(__xludf.DUMMYFUNCTION("""COMPUTED_VALUE"""),"FONCUEVA JUAN")</f>
        <v>FONCUEVA JUAN</v>
      </c>
      <c r="D919" s="1" t="str">
        <f>IFERROR(__xludf.DUMMYFUNCTION("""COMPUTED_VALUE"""),"Lentes de STOCK")</f>
        <v>Lentes de STOCK</v>
      </c>
      <c r="E919" s="1" t="str">
        <f>IFERROR(__xludf.DUMMYFUNCTION("""COMPUTED_VALUE"""),"ARTIGAS Ivana P.")</f>
        <v>ARTIGAS Ivana P.</v>
      </c>
      <c r="F919" s="1" t="str">
        <f t="shared" si="1"/>
        <v>ARTIGAS </v>
      </c>
      <c r="G919" s="1" t="str">
        <f t="shared" si="2"/>
        <v>Ivana P.</v>
      </c>
      <c r="H919" s="1" t="str">
        <f>IFERROR(__xludf.DUMMYFUNCTION("""COMPUTED_VALUE"""),"26/1/2023, 17:00:00")</f>
        <v>26/1/2023, 17:00:00</v>
      </c>
      <c r="I919" s="1" t="str">
        <f>IFERROR(__xludf.DUMMYFUNCTION("""COMPUTED_VALUE"""),"RETIRADO OK POR CLIENTE")</f>
        <v>RETIRADO OK POR CLIENTE</v>
      </c>
      <c r="J919" s="1">
        <f t="shared" si="3"/>
        <v>6</v>
      </c>
      <c r="K919" s="1" t="str">
        <f t="shared" si="4"/>
        <v>Entregamos tus lentes, que los disfrutes!</v>
      </c>
    </row>
    <row r="920">
      <c r="A920" s="1">
        <f>IFERROR(__xludf.DUMMYFUNCTION("""COMPUTED_VALUE"""),85470.0)</f>
        <v>85470</v>
      </c>
      <c r="B920" s="5">
        <f>IFERROR(__xludf.DUMMYFUNCTION("""COMPUTED_VALUE"""),44949.46917418981)</f>
        <v>44949.46917</v>
      </c>
      <c r="C920" s="1" t="str">
        <f>IFERROR(__xludf.DUMMYFUNCTION("""COMPUTED_VALUE"""),"bolaños agustin")</f>
        <v>bolaños agustin</v>
      </c>
      <c r="D920" s="1" t="str">
        <f>IFERROR(__xludf.DUMMYFUNCTION("""COMPUTED_VALUE"""),"Lentes de STOCK")</f>
        <v>Lentes de STOCK</v>
      </c>
      <c r="E920" s="1" t="str">
        <f>IFERROR(__xludf.DUMMYFUNCTION("""COMPUTED_VALUE"""),"RIVADAVIA Santiago N")</f>
        <v>RIVADAVIA Santiago N</v>
      </c>
      <c r="F920" s="1" t="str">
        <f t="shared" si="1"/>
        <v>RIVADAVIA </v>
      </c>
      <c r="G920" s="1" t="str">
        <f t="shared" si="2"/>
        <v>Santiago N</v>
      </c>
      <c r="H920" s="1" t="str">
        <f>IFERROR(__xludf.DUMMYFUNCTION("""COMPUTED_VALUE"""),"26/1/2023, 17:00:00")</f>
        <v>26/1/2023, 17:00:00</v>
      </c>
      <c r="I920" s="1" t="str">
        <f>IFERROR(__xludf.DUMMYFUNCTION("""COMPUTED_VALUE"""),"RETIRADO OK POR CLIENTE")</f>
        <v>RETIRADO OK POR CLIENTE</v>
      </c>
      <c r="J920" s="1">
        <f t="shared" si="3"/>
        <v>6</v>
      </c>
      <c r="K920" s="1" t="str">
        <f t="shared" si="4"/>
        <v>Entregamos tus lentes, que los disfrutes!</v>
      </c>
    </row>
    <row r="921">
      <c r="A921" s="1">
        <f>IFERROR(__xludf.DUMMYFUNCTION("""COMPUTED_VALUE"""),85471.0)</f>
        <v>85471</v>
      </c>
      <c r="B921" s="5">
        <f>IFERROR(__xludf.DUMMYFUNCTION("""COMPUTED_VALUE"""),44949.47593920139)</f>
        <v>44949.47594</v>
      </c>
      <c r="C921" s="1" t="str">
        <f>IFERROR(__xludf.DUMMYFUNCTION("""COMPUTED_VALUE"""),"Garro Johana")</f>
        <v>Garro Johana</v>
      </c>
      <c r="D921" s="1" t="str">
        <f>IFERROR(__xludf.DUMMYFUNCTION("""COMPUTED_VALUE"""),"Lentes de STOCK")</f>
        <v>Lentes de STOCK</v>
      </c>
      <c r="E921" s="1" t="str">
        <f>IFERROR(__xludf.DUMMYFUNCTION("""COMPUTED_VALUE"""),"RIVADAVIA Rocio B")</f>
        <v>RIVADAVIA Rocio B</v>
      </c>
      <c r="F921" s="1" t="str">
        <f t="shared" si="1"/>
        <v>RIVADAVIA </v>
      </c>
      <c r="G921" s="1" t="str">
        <f t="shared" si="2"/>
        <v>Rocio B</v>
      </c>
      <c r="H921" s="1" t="str">
        <f>IFERROR(__xludf.DUMMYFUNCTION("""COMPUTED_VALUE"""),"30/1/2023, 17:00:00")</f>
        <v>30/1/2023, 17:00:00</v>
      </c>
      <c r="I921" s="1" t="str">
        <f>IFERROR(__xludf.DUMMYFUNCTION("""COMPUTED_VALUE"""),"RETIRADO OK POR CLIENTE")</f>
        <v>RETIRADO OK POR CLIENTE</v>
      </c>
      <c r="J921" s="1">
        <f t="shared" si="3"/>
        <v>6</v>
      </c>
      <c r="K921" s="1" t="str">
        <f t="shared" si="4"/>
        <v>Entregamos tus lentes, que los disfrutes!</v>
      </c>
    </row>
    <row r="922">
      <c r="A922" s="1">
        <f>IFERROR(__xludf.DUMMYFUNCTION("""COMPUTED_VALUE"""),85472.0)</f>
        <v>85472</v>
      </c>
      <c r="B922" s="5">
        <f>IFERROR(__xludf.DUMMYFUNCTION("""COMPUTED_VALUE"""),44949.48527741898)</f>
        <v>44949.48528</v>
      </c>
      <c r="C922" s="1" t="str">
        <f>IFERROR(__xludf.DUMMYFUNCTION("""COMPUTED_VALUE"""),"AGUERO ROSA")</f>
        <v>AGUERO ROSA</v>
      </c>
      <c r="D922" s="1" t="str">
        <f>IFERROR(__xludf.DUMMYFUNCTION("""COMPUTED_VALUE"""),"Reparaciones/Otros")</f>
        <v>Reparaciones/Otros</v>
      </c>
      <c r="E922" s="1" t="str">
        <f>IFERROR(__xludf.DUMMYFUNCTION("""COMPUTED_VALUE"""),"RIVADAVIA Marcela L")</f>
        <v>RIVADAVIA Marcela L</v>
      </c>
      <c r="F922" s="1" t="str">
        <f t="shared" si="1"/>
        <v>RIVADAVIA </v>
      </c>
      <c r="G922" s="1" t="str">
        <f t="shared" si="2"/>
        <v>Marcela L</v>
      </c>
      <c r="H922" s="1" t="str">
        <f>IFERROR(__xludf.DUMMYFUNCTION("""COMPUTED_VALUE"""),"24/1/2023, 17:00:00")</f>
        <v>24/1/2023, 17:00:00</v>
      </c>
      <c r="I922" s="1" t="str">
        <f>IFERROR(__xludf.DUMMYFUNCTION("""COMPUTED_VALUE"""),"Completado en SUCURSAL")</f>
        <v>Completado en SUCURSAL</v>
      </c>
      <c r="J922" s="1">
        <f t="shared" si="3"/>
        <v>5</v>
      </c>
      <c r="K922" s="1" t="str">
        <f t="shared" si="4"/>
        <v>Tus Lentes estan LISTAS PARA ENTREGAR, te esperamos.</v>
      </c>
    </row>
    <row r="923">
      <c r="A923" s="1">
        <f>IFERROR(__xludf.DUMMYFUNCTION("""COMPUTED_VALUE"""),85473.0)</f>
        <v>85473</v>
      </c>
      <c r="B923" s="5">
        <f>IFERROR(__xludf.DUMMYFUNCTION("""COMPUTED_VALUE"""),44949.48550922454)</f>
        <v>44949.48551</v>
      </c>
      <c r="C923" s="1" t="str">
        <f>IFERROR(__xludf.DUMMYFUNCTION("""COMPUTED_VALUE"""),"QUIROGA VENUS")</f>
        <v>QUIROGA VENUS</v>
      </c>
      <c r="D923" s="1" t="str">
        <f>IFERROR(__xludf.DUMMYFUNCTION("""COMPUTED_VALUE"""),"Reparaciones/Otros")</f>
        <v>Reparaciones/Otros</v>
      </c>
      <c r="E923" s="1" t="str">
        <f>IFERROR(__xludf.DUMMYFUNCTION("""COMPUTED_VALUE"""),"ARTIGAS Celina")</f>
        <v>ARTIGAS Celina</v>
      </c>
      <c r="F923" s="1" t="str">
        <f t="shared" si="1"/>
        <v>ARTIGAS </v>
      </c>
      <c r="G923" s="1" t="str">
        <f t="shared" si="2"/>
        <v>Celina</v>
      </c>
      <c r="H923" s="1" t="str">
        <f>IFERROR(__xludf.DUMMYFUNCTION("""COMPUTED_VALUE"""),"24/1/2023, 17:00:00")</f>
        <v>24/1/2023, 17:00:00</v>
      </c>
      <c r="I923" s="1" t="str">
        <f>IFERROR(__xludf.DUMMYFUNCTION("""COMPUTED_VALUE"""),"Completado en SUCURSAL")</f>
        <v>Completado en SUCURSAL</v>
      </c>
      <c r="J923" s="1">
        <f t="shared" si="3"/>
        <v>5</v>
      </c>
      <c r="K923" s="1" t="str">
        <f t="shared" si="4"/>
        <v>Tus Lentes estan LISTAS PARA ENTREGAR, te esperamos.</v>
      </c>
    </row>
    <row r="924">
      <c r="A924" s="1">
        <f>IFERROR(__xludf.DUMMYFUNCTION("""COMPUTED_VALUE"""),85474.0)</f>
        <v>85474</v>
      </c>
      <c r="B924" s="5">
        <f>IFERROR(__xludf.DUMMYFUNCTION("""COMPUTED_VALUE"""),44949.49018545139)</f>
        <v>44949.49019</v>
      </c>
      <c r="C924" s="1" t="str">
        <f>IFERROR(__xludf.DUMMYFUNCTION("""COMPUTED_VALUE"""),"PEREYRA ADRIANA ")</f>
        <v>PEREYRA ADRIANA </v>
      </c>
      <c r="D924" s="1" t="str">
        <f>IFERROR(__xludf.DUMMYFUNCTION("""COMPUTED_VALUE"""),"Lentes de STOCK")</f>
        <v>Lentes de STOCK</v>
      </c>
      <c r="E924" s="1" t="str">
        <f>IFERROR(__xludf.DUMMYFUNCTION("""COMPUTED_VALUE"""),"RIVADAVIA Luciana")</f>
        <v>RIVADAVIA Luciana</v>
      </c>
      <c r="F924" s="1" t="str">
        <f t="shared" si="1"/>
        <v>RIVADAVIA </v>
      </c>
      <c r="G924" s="1" t="str">
        <f t="shared" si="2"/>
        <v>Luciana</v>
      </c>
      <c r="H924" s="1" t="str">
        <f>IFERROR(__xludf.DUMMYFUNCTION("""COMPUTED_VALUE"""),"26/1/2023, 17:00:00")</f>
        <v>26/1/2023, 17:00:00</v>
      </c>
      <c r="I924" s="1" t="str">
        <f>IFERROR(__xludf.DUMMYFUNCTION("""COMPUTED_VALUE"""),"RETIRADO OK POR CLIENTE")</f>
        <v>RETIRADO OK POR CLIENTE</v>
      </c>
      <c r="J924" s="1">
        <f t="shared" si="3"/>
        <v>6</v>
      </c>
      <c r="K924" s="1" t="str">
        <f t="shared" si="4"/>
        <v>Entregamos tus lentes, que los disfrutes!</v>
      </c>
    </row>
    <row r="925">
      <c r="A925" s="1">
        <f>IFERROR(__xludf.DUMMYFUNCTION("""COMPUTED_VALUE"""),85475.0)</f>
        <v>85475</v>
      </c>
      <c r="B925" s="5">
        <f>IFERROR(__xludf.DUMMYFUNCTION("""COMPUTED_VALUE"""),44949.49155849537)</f>
        <v>44949.49156</v>
      </c>
      <c r="C925" s="1" t="str">
        <f>IFERROR(__xludf.DUMMYFUNCTION("""COMPUTED_VALUE"""),"FERNANDEZ MONICa")</f>
        <v>FERNANDEZ MONICa</v>
      </c>
      <c r="D925" s="1" t="str">
        <f>IFERROR(__xludf.DUMMYFUNCTION("""COMPUTED_VALUE"""),"Lentes de STOCK")</f>
        <v>Lentes de STOCK</v>
      </c>
      <c r="E925" s="1" t="str">
        <f>IFERROR(__xludf.DUMMYFUNCTION("""COMPUTED_VALUE"""),"ARTIGAS Cristian C.")</f>
        <v>ARTIGAS Cristian C.</v>
      </c>
      <c r="F925" s="1" t="str">
        <f t="shared" si="1"/>
        <v>ARTIGAS </v>
      </c>
      <c r="G925" s="1" t="str">
        <f t="shared" si="2"/>
        <v>Cristian C.</v>
      </c>
      <c r="H925" s="1" t="str">
        <f>IFERROR(__xludf.DUMMYFUNCTION("""COMPUTED_VALUE"""),"30/1/2023, 17:00:00")</f>
        <v>30/1/2023, 17:00:00</v>
      </c>
      <c r="I925" s="1" t="str">
        <f>IFERROR(__xludf.DUMMYFUNCTION("""COMPUTED_VALUE"""),"RETIRADO OK POR CLIENTE")</f>
        <v>RETIRADO OK POR CLIENTE</v>
      </c>
      <c r="J925" s="1">
        <f t="shared" si="3"/>
        <v>6</v>
      </c>
      <c r="K925" s="1" t="str">
        <f t="shared" si="4"/>
        <v>Entregamos tus lentes, que los disfrutes!</v>
      </c>
    </row>
    <row r="926">
      <c r="A926" s="1">
        <f>IFERROR(__xludf.DUMMYFUNCTION("""COMPUTED_VALUE"""),85476.0)</f>
        <v>85476</v>
      </c>
      <c r="B926" s="5">
        <f>IFERROR(__xludf.DUMMYFUNCTION("""COMPUTED_VALUE"""),44949.49652104167)</f>
        <v>44949.49652</v>
      </c>
      <c r="C926" s="1" t="str">
        <f>IFERROR(__xludf.DUMMYFUNCTION("""COMPUTED_VALUE"""),"LOPEZ SUAREZ JULIETA")</f>
        <v>LOPEZ SUAREZ JULIETA</v>
      </c>
      <c r="D926" s="1" t="str">
        <f>IFERROR(__xludf.DUMMYFUNCTION("""COMPUTED_VALUE"""),"Lentes de STOCK")</f>
        <v>Lentes de STOCK</v>
      </c>
      <c r="E926" s="1" t="str">
        <f>IFERROR(__xludf.DUMMYFUNCTION("""COMPUTED_VALUE"""),"RIVADAVIA Santiago LOPEZ")</f>
        <v>RIVADAVIA Santiago LOPEZ</v>
      </c>
      <c r="F926" s="1" t="str">
        <f t="shared" si="1"/>
        <v>RIVADAVIA </v>
      </c>
      <c r="G926" s="1" t="str">
        <f t="shared" si="2"/>
        <v>Santiago LOPEZ</v>
      </c>
      <c r="H926" s="1" t="str">
        <f>IFERROR(__xludf.DUMMYFUNCTION("""COMPUTED_VALUE"""),"26/1/2023, 17:00:00")</f>
        <v>26/1/2023, 17:00:00</v>
      </c>
      <c r="I926" s="1" t="str">
        <f>IFERROR(__xludf.DUMMYFUNCTION("""COMPUTED_VALUE"""),"RETIRADO OK POR CLIENTE")</f>
        <v>RETIRADO OK POR CLIENTE</v>
      </c>
      <c r="J926" s="1">
        <f t="shared" si="3"/>
        <v>6</v>
      </c>
      <c r="K926" s="1" t="str">
        <f t="shared" si="4"/>
        <v>Entregamos tus lentes, que los disfrutes!</v>
      </c>
    </row>
    <row r="927">
      <c r="A927" s="1">
        <f>IFERROR(__xludf.DUMMYFUNCTION("""COMPUTED_VALUE"""),85477.0)</f>
        <v>85477</v>
      </c>
      <c r="B927" s="5">
        <f>IFERROR(__xludf.DUMMYFUNCTION("""COMPUTED_VALUE"""),44949.49730974537)</f>
        <v>44949.49731</v>
      </c>
      <c r="C927" s="1" t="str">
        <f>IFERROR(__xludf.DUMMYFUNCTION("""COMPUTED_VALUE"""),"TORRES JACINTO")</f>
        <v>TORRES JACINTO</v>
      </c>
      <c r="D927" s="1" t="str">
        <f>IFERROR(__xludf.DUMMYFUNCTION("""COMPUTED_VALUE"""),"Lentes de STOCK")</f>
        <v>Lentes de STOCK</v>
      </c>
      <c r="E927" s="1" t="str">
        <f>IFERROR(__xludf.DUMMYFUNCTION("""COMPUTED_VALUE"""),"ARTIGAS Ivana P.")</f>
        <v>ARTIGAS Ivana P.</v>
      </c>
      <c r="F927" s="1" t="str">
        <f t="shared" si="1"/>
        <v>ARTIGAS </v>
      </c>
      <c r="G927" s="1" t="str">
        <f t="shared" si="2"/>
        <v>Ivana P.</v>
      </c>
      <c r="H927" s="1" t="str">
        <f>IFERROR(__xludf.DUMMYFUNCTION("""COMPUTED_VALUE"""),"26/1/2023, 17:00:00")</f>
        <v>26/1/2023, 17:00:00</v>
      </c>
      <c r="I927" s="1" t="str">
        <f>IFERROR(__xludf.DUMMYFUNCTION("""COMPUTED_VALUE"""),"RETIRADO OK POR CLIENTE")</f>
        <v>RETIRADO OK POR CLIENTE</v>
      </c>
      <c r="J927" s="1">
        <f t="shared" si="3"/>
        <v>6</v>
      </c>
      <c r="K927" s="1" t="str">
        <f t="shared" si="4"/>
        <v>Entregamos tus lentes, que los disfrutes!</v>
      </c>
    </row>
    <row r="928">
      <c r="A928" s="1">
        <f>IFERROR(__xludf.DUMMYFUNCTION("""COMPUTED_VALUE"""),85478.0)</f>
        <v>85478</v>
      </c>
      <c r="B928" s="5">
        <f>IFERROR(__xludf.DUMMYFUNCTION("""COMPUTED_VALUE"""),44949.5001884838)</f>
        <v>44949.50019</v>
      </c>
      <c r="C928" s="1" t="str">
        <f>IFERROR(__xludf.DUMMYFUNCTION("""COMPUTED_VALUE"""),"BRAYAN DELTRAL")</f>
        <v>BRAYAN DELTRAL</v>
      </c>
      <c r="D928" s="1" t="str">
        <f>IFERROR(__xludf.DUMMYFUNCTION("""COMPUTED_VALUE"""),"Reparaciones/Otros")</f>
        <v>Reparaciones/Otros</v>
      </c>
      <c r="E928" s="1" t="str">
        <f>IFERROR(__xludf.DUMMYFUNCTION("""COMPUTED_VALUE"""),"ARTIGAS Celina")</f>
        <v>ARTIGAS Celina</v>
      </c>
      <c r="F928" s="1" t="str">
        <f t="shared" si="1"/>
        <v>ARTIGAS </v>
      </c>
      <c r="G928" s="1" t="str">
        <f t="shared" si="2"/>
        <v>Celina</v>
      </c>
      <c r="H928" s="1" t="str">
        <f>IFERROR(__xludf.DUMMYFUNCTION("""COMPUTED_VALUE"""),"24/1/2023, 17:00:00")</f>
        <v>24/1/2023, 17:00:00</v>
      </c>
      <c r="I928" s="1" t="str">
        <f>IFERROR(__xludf.DUMMYFUNCTION("""COMPUTED_VALUE"""),"Completado en SUCURSAL")</f>
        <v>Completado en SUCURSAL</v>
      </c>
      <c r="J928" s="1">
        <f t="shared" si="3"/>
        <v>5</v>
      </c>
      <c r="K928" s="1" t="str">
        <f t="shared" si="4"/>
        <v>Tus Lentes estan LISTAS PARA ENTREGAR, te esperamos.</v>
      </c>
    </row>
    <row r="929">
      <c r="A929" s="1">
        <f>IFERROR(__xludf.DUMMYFUNCTION("""COMPUTED_VALUE"""),85479.0)</f>
        <v>85479</v>
      </c>
      <c r="B929" s="5">
        <f>IFERROR(__xludf.DUMMYFUNCTION("""COMPUTED_VALUE"""),44949.50524881945)</f>
        <v>44949.50525</v>
      </c>
      <c r="C929" s="1" t="str">
        <f>IFERROR(__xludf.DUMMYFUNCTION("""COMPUTED_VALUE"""),"garro jose")</f>
        <v>garro jose</v>
      </c>
      <c r="D929" s="1" t="str">
        <f>IFERROR(__xludf.DUMMYFUNCTION("""COMPUTED_VALUE"""),"Lentes de STOCK")</f>
        <v>Lentes de STOCK</v>
      </c>
      <c r="E929" s="1" t="str">
        <f>IFERROR(__xludf.DUMMYFUNCTION("""COMPUTED_VALUE"""),"RIVADAVIA Santiago N")</f>
        <v>RIVADAVIA Santiago N</v>
      </c>
      <c r="F929" s="1" t="str">
        <f t="shared" si="1"/>
        <v>RIVADAVIA </v>
      </c>
      <c r="G929" s="1" t="str">
        <f t="shared" si="2"/>
        <v>Santiago N</v>
      </c>
      <c r="H929" s="1" t="str">
        <f>IFERROR(__xludf.DUMMYFUNCTION("""COMPUTED_VALUE"""),"25/1/2023, 17:00:00")</f>
        <v>25/1/2023, 17:00:00</v>
      </c>
      <c r="I929" s="1" t="str">
        <f>IFERROR(__xludf.DUMMYFUNCTION("""COMPUTED_VALUE"""),"Completado en SUCURSAL")</f>
        <v>Completado en SUCURSAL</v>
      </c>
      <c r="J929" s="1">
        <f t="shared" si="3"/>
        <v>5</v>
      </c>
      <c r="K929" s="1" t="str">
        <f t="shared" si="4"/>
        <v>Tus Lentes estan LISTAS PARA ENTREGAR, te esperamos.</v>
      </c>
    </row>
    <row r="930">
      <c r="A930" s="1">
        <f>IFERROR(__xludf.DUMMYFUNCTION("""COMPUTED_VALUE"""),85480.0)</f>
        <v>85480</v>
      </c>
      <c r="B930" s="5">
        <f>IFERROR(__xludf.DUMMYFUNCTION("""COMPUTED_VALUE"""),44949.50891521991)</f>
        <v>44949.50892</v>
      </c>
      <c r="C930" s="1" t="str">
        <f>IFERROR(__xludf.DUMMYFUNCTION("""COMPUTED_VALUE"""),"ROVELLA ANNA TERESA")</f>
        <v>ROVELLA ANNA TERESA</v>
      </c>
      <c r="D930" s="1" t="str">
        <f>IFERROR(__xludf.DUMMYFUNCTION("""COMPUTED_VALUE"""),"Lentes de STOCK")</f>
        <v>Lentes de STOCK</v>
      </c>
      <c r="E930" s="1" t="str">
        <f>IFERROR(__xludf.DUMMYFUNCTION("""COMPUTED_VALUE"""),"RIVADAVIA Marcela L")</f>
        <v>RIVADAVIA Marcela L</v>
      </c>
      <c r="F930" s="1" t="str">
        <f t="shared" si="1"/>
        <v>RIVADAVIA </v>
      </c>
      <c r="G930" s="1" t="str">
        <f t="shared" si="2"/>
        <v>Marcela L</v>
      </c>
      <c r="H930" s="1" t="str">
        <f>IFERROR(__xludf.DUMMYFUNCTION("""COMPUTED_VALUE"""),"26/1/2023, 17:00:00")</f>
        <v>26/1/2023, 17:00:00</v>
      </c>
      <c r="I930" s="1" t="str">
        <f>IFERROR(__xludf.DUMMYFUNCTION("""COMPUTED_VALUE"""),"RETIRADO OK POR CLIENTE")</f>
        <v>RETIRADO OK POR CLIENTE</v>
      </c>
      <c r="J930" s="1">
        <f t="shared" si="3"/>
        <v>6</v>
      </c>
      <c r="K930" s="1" t="str">
        <f t="shared" si="4"/>
        <v>Entregamos tus lentes, que los disfrutes!</v>
      </c>
    </row>
    <row r="931">
      <c r="A931" s="1">
        <f>IFERROR(__xludf.DUMMYFUNCTION("""COMPUTED_VALUE"""),85481.0)</f>
        <v>85481</v>
      </c>
      <c r="B931" s="5">
        <f>IFERROR(__xludf.DUMMYFUNCTION("""COMPUTED_VALUE"""),44949.50931724537)</f>
        <v>44949.50932</v>
      </c>
      <c r="C931" s="1" t="str">
        <f>IFERROR(__xludf.DUMMYFUNCTION("""COMPUTED_VALUE"""),"OCHOA CAMILA")</f>
        <v>OCHOA CAMILA</v>
      </c>
      <c r="D931" s="1" t="str">
        <f>IFERROR(__xludf.DUMMYFUNCTION("""COMPUTED_VALUE"""),"Reparaciones/Otros")</f>
        <v>Reparaciones/Otros</v>
      </c>
      <c r="E931" s="1" t="str">
        <f>IFERROR(__xludf.DUMMYFUNCTION("""COMPUTED_VALUE"""),"ARTIGAS Ivana P.")</f>
        <v>ARTIGAS Ivana P.</v>
      </c>
      <c r="F931" s="1" t="str">
        <f t="shared" si="1"/>
        <v>ARTIGAS </v>
      </c>
      <c r="G931" s="1" t="str">
        <f t="shared" si="2"/>
        <v>Ivana P.</v>
      </c>
      <c r="H931" s="1" t="str">
        <f>IFERROR(__xludf.DUMMYFUNCTION("""COMPUTED_VALUE"""),"24/1/2023, 17:00:00")</f>
        <v>24/1/2023, 17:00:00</v>
      </c>
      <c r="I931" s="1" t="str">
        <f>IFERROR(__xludf.DUMMYFUNCTION("""COMPUTED_VALUE"""),"Completado en SUCURSAL")</f>
        <v>Completado en SUCURSAL</v>
      </c>
      <c r="J931" s="1">
        <f t="shared" si="3"/>
        <v>5</v>
      </c>
      <c r="K931" s="1" t="str">
        <f t="shared" si="4"/>
        <v>Tus Lentes estan LISTAS PARA ENTREGAR, te esperamos.</v>
      </c>
    </row>
    <row r="932">
      <c r="A932" s="1">
        <f>IFERROR(__xludf.DUMMYFUNCTION("""COMPUTED_VALUE"""),85482.0)</f>
        <v>85482</v>
      </c>
      <c r="B932" s="5">
        <f>IFERROR(__xludf.DUMMYFUNCTION("""COMPUTED_VALUE"""),44949.51860002315)</f>
        <v>44949.5186</v>
      </c>
      <c r="C932" s="1" t="str">
        <f>IFERROR(__xludf.DUMMYFUNCTION("""COMPUTED_VALUE"""),"CIPRIANI HECTOR")</f>
        <v>CIPRIANI HECTOR</v>
      </c>
      <c r="D932" s="1" t="str">
        <f>IFERROR(__xludf.DUMMYFUNCTION("""COMPUTED_VALUE"""),"Lentes BIFOCALES")</f>
        <v>Lentes BIFOCALES</v>
      </c>
      <c r="E932" s="1" t="str">
        <f>IFERROR(__xludf.DUMMYFUNCTION("""COMPUTED_VALUE"""),"ARTIGAS Ivana P.")</f>
        <v>ARTIGAS Ivana P.</v>
      </c>
      <c r="F932" s="1" t="str">
        <f t="shared" si="1"/>
        <v>ARTIGAS </v>
      </c>
      <c r="G932" s="1" t="str">
        <f t="shared" si="2"/>
        <v>Ivana P.</v>
      </c>
      <c r="H932" s="1" t="str">
        <f>IFERROR(__xludf.DUMMYFUNCTION("""COMPUTED_VALUE"""),"1/2/2023, 17:00:00")</f>
        <v>1/2/2023, 17:00:00</v>
      </c>
      <c r="I932" s="1" t="str">
        <f>IFERROR(__xludf.DUMMYFUNCTION("""COMPUTED_VALUE"""),"RETIRADO OK POR CLIENTE")</f>
        <v>RETIRADO OK POR CLIENTE</v>
      </c>
      <c r="J932" s="1">
        <f t="shared" si="3"/>
        <v>6</v>
      </c>
      <c r="K932" s="1" t="str">
        <f t="shared" si="4"/>
        <v>Entregamos tus lentes, que los disfrutes!</v>
      </c>
    </row>
    <row r="933">
      <c r="A933" s="1">
        <f>IFERROR(__xludf.DUMMYFUNCTION("""COMPUTED_VALUE"""),85483.0)</f>
        <v>85483</v>
      </c>
      <c r="B933" s="5">
        <f>IFERROR(__xludf.DUMMYFUNCTION("""COMPUTED_VALUE"""),44949.52021346065)</f>
        <v>44949.52021</v>
      </c>
      <c r="C933" s="1" t="str">
        <f>IFERROR(__xludf.DUMMYFUNCTION("""COMPUTED_VALUE"""),"HOYOS LEONARDO ALBERTO")</f>
        <v>HOYOS LEONARDO ALBERTO</v>
      </c>
      <c r="D933" s="1" t="str">
        <f>IFERROR(__xludf.DUMMYFUNCTION("""COMPUTED_VALUE"""),"Reparaciones/Otros")</f>
        <v>Reparaciones/Otros</v>
      </c>
      <c r="E933" s="1" t="str">
        <f>IFERROR(__xludf.DUMMYFUNCTION("""COMPUTED_VALUE"""),"ARTIGAS Cristian C.")</f>
        <v>ARTIGAS Cristian C.</v>
      </c>
      <c r="F933" s="1" t="str">
        <f t="shared" si="1"/>
        <v>ARTIGAS </v>
      </c>
      <c r="G933" s="1" t="str">
        <f t="shared" si="2"/>
        <v>Cristian C.</v>
      </c>
      <c r="H933" s="1" t="str">
        <f>IFERROR(__xludf.DUMMYFUNCTION("""COMPUTED_VALUE"""),"26/1/2023, 17:00:00")</f>
        <v>26/1/2023, 17:00:00</v>
      </c>
      <c r="I933" s="1" t="str">
        <f>IFERROR(__xludf.DUMMYFUNCTION("""COMPUTED_VALUE"""),"Completado en SUCURSAL")</f>
        <v>Completado en SUCURSAL</v>
      </c>
      <c r="J933" s="1">
        <f t="shared" si="3"/>
        <v>5</v>
      </c>
      <c r="K933" s="1" t="str">
        <f t="shared" si="4"/>
        <v>Tus Lentes estan LISTAS PARA ENTREGAR, te esperamos.</v>
      </c>
    </row>
    <row r="934">
      <c r="A934" s="1">
        <f>IFERROR(__xludf.DUMMYFUNCTION("""COMPUTED_VALUE"""),85484.0)</f>
        <v>85484</v>
      </c>
      <c r="B934" s="5">
        <f>IFERROR(__xludf.DUMMYFUNCTION("""COMPUTED_VALUE"""),44949.52084334491)</f>
        <v>44949.52084</v>
      </c>
      <c r="C934" s="1" t="str">
        <f>IFERROR(__xludf.DUMMYFUNCTION("""COMPUTED_VALUE"""),"lucero maria de fatima")</f>
        <v>lucero maria de fatima</v>
      </c>
      <c r="D934" s="1" t="str">
        <f>IFERROR(__xludf.DUMMYFUNCTION("""COMPUTED_VALUE"""),"Lentes de STOCK")</f>
        <v>Lentes de STOCK</v>
      </c>
      <c r="E934" s="1" t="str">
        <f>IFERROR(__xludf.DUMMYFUNCTION("""COMPUTED_VALUE"""),"RIVADAVIA Santiago LOPEZ")</f>
        <v>RIVADAVIA Santiago LOPEZ</v>
      </c>
      <c r="F934" s="1" t="str">
        <f t="shared" si="1"/>
        <v>RIVADAVIA </v>
      </c>
      <c r="G934" s="1" t="str">
        <f t="shared" si="2"/>
        <v>Santiago LOPEZ</v>
      </c>
      <c r="H934" s="1" t="str">
        <f>IFERROR(__xludf.DUMMYFUNCTION("""COMPUTED_VALUE"""),"25/1/2023, 17:00:00")</f>
        <v>25/1/2023, 17:00:00</v>
      </c>
      <c r="I934" s="1" t="str">
        <f>IFERROR(__xludf.DUMMYFUNCTION("""COMPUTED_VALUE"""),"Completado en SUCURSAL")</f>
        <v>Completado en SUCURSAL</v>
      </c>
      <c r="J934" s="1">
        <f t="shared" si="3"/>
        <v>5</v>
      </c>
      <c r="K934" s="1" t="str">
        <f t="shared" si="4"/>
        <v>Tus Lentes estan LISTAS PARA ENTREGAR, te esperamos.</v>
      </c>
    </row>
    <row r="935">
      <c r="A935" s="1">
        <f>IFERROR(__xludf.DUMMYFUNCTION("""COMPUTED_VALUE"""),85485.0)</f>
        <v>85485</v>
      </c>
      <c r="B935" s="5">
        <f>IFERROR(__xludf.DUMMYFUNCTION("""COMPUTED_VALUE"""),44949.52714695602)</f>
        <v>44949.52715</v>
      </c>
      <c r="C935" s="1" t="str">
        <f>IFERROR(__xludf.DUMMYFUNCTION("""COMPUTED_VALUE"""),"Olguin Jorge")</f>
        <v>Olguin Jorge</v>
      </c>
      <c r="D935" s="1" t="str">
        <f>IFERROR(__xludf.DUMMYFUNCTION("""COMPUTED_VALUE"""),"Lentes BIFOCALES")</f>
        <v>Lentes BIFOCALES</v>
      </c>
      <c r="E935" s="1" t="str">
        <f>IFERROR(__xludf.DUMMYFUNCTION("""COMPUTED_VALUE"""),"RIVADAVIA Rocio B")</f>
        <v>RIVADAVIA Rocio B</v>
      </c>
      <c r="F935" s="1" t="str">
        <f t="shared" si="1"/>
        <v>RIVADAVIA </v>
      </c>
      <c r="G935" s="1" t="str">
        <f t="shared" si="2"/>
        <v>Rocio B</v>
      </c>
      <c r="H935" s="1" t="str">
        <f>IFERROR(__xludf.DUMMYFUNCTION("""COMPUTED_VALUE"""),"6/2/2023, 17:00:00")</f>
        <v>6/2/2023, 17:00:00</v>
      </c>
      <c r="I935" s="1" t="str">
        <f>IFERROR(__xludf.DUMMYFUNCTION("""COMPUTED_VALUE"""),"En Armado Hoy")</f>
        <v>En Armado Hoy</v>
      </c>
      <c r="J935" s="1">
        <f t="shared" si="3"/>
        <v>3</v>
      </c>
      <c r="K935" s="1" t="str">
        <f t="shared" si="4"/>
        <v>Estamos terminando los ultimos detalles de tus lentes, los terminaremos el dia de hoy.</v>
      </c>
    </row>
    <row r="936">
      <c r="A936" s="1">
        <f>IFERROR(__xludf.DUMMYFUNCTION("""COMPUTED_VALUE"""),85486.0)</f>
        <v>85486</v>
      </c>
      <c r="B936" s="5">
        <f>IFERROR(__xludf.DUMMYFUNCTION("""COMPUTED_VALUE"""),44949.52716329861)</f>
        <v>44949.52716</v>
      </c>
      <c r="C936" s="1" t="str">
        <f>IFERROR(__xludf.DUMMYFUNCTION("""COMPUTED_VALUE"""),"CERUTTI ANA BEATRIZ")</f>
        <v>CERUTTI ANA BEATRIZ</v>
      </c>
      <c r="D936" s="1" t="str">
        <f>IFERROR(__xludf.DUMMYFUNCTION("""COMPUTED_VALUE"""),"Lentes de STOCK")</f>
        <v>Lentes de STOCK</v>
      </c>
      <c r="E936" s="1" t="str">
        <f>IFERROR(__xludf.DUMMYFUNCTION("""COMPUTED_VALUE"""),"RIVADAVIA Marcela L")</f>
        <v>RIVADAVIA Marcela L</v>
      </c>
      <c r="F936" s="1" t="str">
        <f t="shared" si="1"/>
        <v>RIVADAVIA </v>
      </c>
      <c r="G936" s="1" t="str">
        <f t="shared" si="2"/>
        <v>Marcela L</v>
      </c>
      <c r="H936" s="1" t="str">
        <f>IFERROR(__xludf.DUMMYFUNCTION("""COMPUTED_VALUE"""),"26/1/2023, 17:00:00")</f>
        <v>26/1/2023, 17:00:00</v>
      </c>
      <c r="I936" s="1" t="str">
        <f>IFERROR(__xludf.DUMMYFUNCTION("""COMPUTED_VALUE"""),"RETIRADO OK POR CLIENTE")</f>
        <v>RETIRADO OK POR CLIENTE</v>
      </c>
      <c r="J936" s="1">
        <f t="shared" si="3"/>
        <v>6</v>
      </c>
      <c r="K936" s="1" t="str">
        <f t="shared" si="4"/>
        <v>Entregamos tus lentes, que los disfrutes!</v>
      </c>
    </row>
    <row r="937">
      <c r="A937" s="1">
        <f>IFERROR(__xludf.DUMMYFUNCTION("""COMPUTED_VALUE"""),85487.0)</f>
        <v>85487</v>
      </c>
      <c r="B937" s="5">
        <f>IFERROR(__xludf.DUMMYFUNCTION("""COMPUTED_VALUE"""),44949.52939405093)</f>
        <v>44949.52939</v>
      </c>
      <c r="C937" s="1" t="str">
        <f>IFERROR(__xludf.DUMMYFUNCTION("""COMPUTED_VALUE"""),"AQUINO ATILIO")</f>
        <v>AQUINO ATILIO</v>
      </c>
      <c r="D937" s="1" t="str">
        <f>IFERROR(__xludf.DUMMYFUNCTION("""COMPUTED_VALUE"""),"Reparaciones/Otros")</f>
        <v>Reparaciones/Otros</v>
      </c>
      <c r="E937" s="1" t="str">
        <f>IFERROR(__xludf.DUMMYFUNCTION("""COMPUTED_VALUE"""),"ARTIGAS Cristian C.")</f>
        <v>ARTIGAS Cristian C.</v>
      </c>
      <c r="F937" s="1" t="str">
        <f t="shared" si="1"/>
        <v>ARTIGAS </v>
      </c>
      <c r="G937" s="1" t="str">
        <f t="shared" si="2"/>
        <v>Cristian C.</v>
      </c>
      <c r="H937" s="1" t="str">
        <f>IFERROR(__xludf.DUMMYFUNCTION("""COMPUTED_VALUE"""),"25/1/2023, 17:00:00")</f>
        <v>25/1/2023, 17:00:00</v>
      </c>
      <c r="I937" s="1" t="str">
        <f>IFERROR(__xludf.DUMMYFUNCTION("""COMPUTED_VALUE"""),"Recibido en Laboratorio")</f>
        <v>Recibido en Laboratorio</v>
      </c>
      <c r="J937" s="1">
        <f t="shared" si="3"/>
        <v>2</v>
      </c>
      <c r="K937" s="1" t="str">
        <f t="shared" si="4"/>
        <v>Nuestro Laboratorio esta trabajando en tus lentes, los entregaremos en la fecha acordada.</v>
      </c>
    </row>
    <row r="938">
      <c r="A938" s="1">
        <f>IFERROR(__xludf.DUMMYFUNCTION("""COMPUTED_VALUE"""),85488.0)</f>
        <v>85488</v>
      </c>
      <c r="B938" s="5">
        <f>IFERROR(__xludf.DUMMYFUNCTION("""COMPUTED_VALUE"""),44949.529914432875)</f>
        <v>44949.52991</v>
      </c>
      <c r="C938" s="1" t="str">
        <f>IFERROR(__xludf.DUMMYFUNCTION("""COMPUTED_VALUE"""),"GASQUEZ SEBASTIAN ")</f>
        <v>GASQUEZ SEBASTIAN </v>
      </c>
      <c r="D938" s="1" t="str">
        <f>IFERROR(__xludf.DUMMYFUNCTION("""COMPUTED_VALUE"""),"Lentes de STOCK")</f>
        <v>Lentes de STOCK</v>
      </c>
      <c r="E938" s="1" t="str">
        <f>IFERROR(__xludf.DUMMYFUNCTION("""COMPUTED_VALUE"""),"RIVADAVIA Luciana")</f>
        <v>RIVADAVIA Luciana</v>
      </c>
      <c r="F938" s="1" t="str">
        <f t="shared" si="1"/>
        <v>RIVADAVIA </v>
      </c>
      <c r="G938" s="1" t="str">
        <f t="shared" si="2"/>
        <v>Luciana</v>
      </c>
      <c r="H938" s="1" t="str">
        <f>IFERROR(__xludf.DUMMYFUNCTION("""COMPUTED_VALUE"""),"27/1/2023, 17:00:00")</f>
        <v>27/1/2023, 17:00:00</v>
      </c>
      <c r="I938" s="1" t="str">
        <f>IFERROR(__xludf.DUMMYFUNCTION("""COMPUTED_VALUE"""),"RETIRADO OK POR CLIENTE")</f>
        <v>RETIRADO OK POR CLIENTE</v>
      </c>
      <c r="J938" s="1">
        <f t="shared" si="3"/>
        <v>6</v>
      </c>
      <c r="K938" s="1" t="str">
        <f t="shared" si="4"/>
        <v>Entregamos tus lentes, que los disfrutes!</v>
      </c>
    </row>
    <row r="939">
      <c r="A939" s="1">
        <f>IFERROR(__xludf.DUMMYFUNCTION("""COMPUTED_VALUE"""),85489.0)</f>
        <v>85489</v>
      </c>
      <c r="B939" s="5">
        <f>IFERROR(__xludf.DUMMYFUNCTION("""COMPUTED_VALUE"""),44949.55472508102)</f>
        <v>44949.55473</v>
      </c>
      <c r="C939" s="1" t="str">
        <f>IFERROR(__xludf.DUMMYFUNCTION("""COMPUTED_VALUE"""),"LARREA JUAN")</f>
        <v>LARREA JUAN</v>
      </c>
      <c r="D939" s="1" t="str">
        <f>IFERROR(__xludf.DUMMYFUNCTION("""COMPUTED_VALUE"""),"Lentes de STOCK")</f>
        <v>Lentes de STOCK</v>
      </c>
      <c r="E939" s="1" t="str">
        <f>IFERROR(__xludf.DUMMYFUNCTION("""COMPUTED_VALUE"""),"RIVADAVIA Santiago LOPEZ")</f>
        <v>RIVADAVIA Santiago LOPEZ</v>
      </c>
      <c r="F939" s="1" t="str">
        <f t="shared" si="1"/>
        <v>RIVADAVIA </v>
      </c>
      <c r="G939" s="1" t="str">
        <f t="shared" si="2"/>
        <v>Santiago LOPEZ</v>
      </c>
      <c r="H939" s="1" t="str">
        <f>IFERROR(__xludf.DUMMYFUNCTION("""COMPUTED_VALUE"""),"26/1/2023, 17:00:00")</f>
        <v>26/1/2023, 17:00:00</v>
      </c>
      <c r="I939" s="1" t="str">
        <f>IFERROR(__xludf.DUMMYFUNCTION("""COMPUTED_VALUE"""),"RETIRADO OK POR CLIENTE")</f>
        <v>RETIRADO OK POR CLIENTE</v>
      </c>
      <c r="J939" s="1">
        <f t="shared" si="3"/>
        <v>6</v>
      </c>
      <c r="K939" s="1" t="str">
        <f t="shared" si="4"/>
        <v>Entregamos tus lentes, que los disfrutes!</v>
      </c>
    </row>
    <row r="940">
      <c r="A940" s="1">
        <f>IFERROR(__xludf.DUMMYFUNCTION("""COMPUTED_VALUE"""),85490.0)</f>
        <v>85490</v>
      </c>
      <c r="B940" s="5">
        <f>IFERROR(__xludf.DUMMYFUNCTION("""COMPUTED_VALUE"""),44949.56028952546)</f>
        <v>44949.56029</v>
      </c>
      <c r="C940" s="1" t="str">
        <f>IFERROR(__xludf.DUMMYFUNCTION("""COMPUTED_VALUE"""),"ROSALES HUMBERTO")</f>
        <v>ROSALES HUMBERTO</v>
      </c>
      <c r="D940" s="1" t="str">
        <f>IFERROR(__xludf.DUMMYFUNCTION("""COMPUTED_VALUE"""),"Lentes de STOCK")</f>
        <v>Lentes de STOCK</v>
      </c>
      <c r="E940" s="1" t="str">
        <f>IFERROR(__xludf.DUMMYFUNCTION("""COMPUTED_VALUE"""),"RIVADAVIA Santiago LOPEZ")</f>
        <v>RIVADAVIA Santiago LOPEZ</v>
      </c>
      <c r="F940" s="1" t="str">
        <f t="shared" si="1"/>
        <v>RIVADAVIA </v>
      </c>
      <c r="G940" s="1" t="str">
        <f t="shared" si="2"/>
        <v>Santiago LOPEZ</v>
      </c>
      <c r="H940" s="1" t="str">
        <f>IFERROR(__xludf.DUMMYFUNCTION("""COMPUTED_VALUE"""),"25/1/2023, 17:00:00")</f>
        <v>25/1/2023, 17:00:00</v>
      </c>
      <c r="I940" s="1" t="str">
        <f>IFERROR(__xludf.DUMMYFUNCTION("""COMPUTED_VALUE"""),"Enviado a Sucursal")</f>
        <v>Enviado a Sucursal</v>
      </c>
      <c r="J940" s="1">
        <f t="shared" si="3"/>
        <v>4</v>
      </c>
      <c r="K940" s="1" t="str">
        <f t="shared" si="4"/>
        <v>Tus lentes estan viajando a la sucursal para su entrega.</v>
      </c>
    </row>
    <row r="941">
      <c r="A941" s="1">
        <f>IFERROR(__xludf.DUMMYFUNCTION("""COMPUTED_VALUE"""),85491.0)</f>
        <v>85491</v>
      </c>
      <c r="B941" s="5">
        <f>IFERROR(__xludf.DUMMYFUNCTION("""COMPUTED_VALUE"""),44949.59466792824)</f>
        <v>44949.59467</v>
      </c>
      <c r="C941" s="1" t="str">
        <f>IFERROR(__xludf.DUMMYFUNCTION("""COMPUTED_VALUE"""),"CELINA SOSA PENOVI")</f>
        <v>CELINA SOSA PENOVI</v>
      </c>
      <c r="D941" s="1" t="str">
        <f>IFERROR(__xludf.DUMMYFUNCTION("""COMPUTED_VALUE"""),"Lentes de STOCK")</f>
        <v>Lentes de STOCK</v>
      </c>
      <c r="E941" s="1" t="str">
        <f>IFERROR(__xludf.DUMMYFUNCTION("""COMPUTED_VALUE"""),"ARTIGAS Celina")</f>
        <v>ARTIGAS Celina</v>
      </c>
      <c r="F941" s="1" t="str">
        <f t="shared" si="1"/>
        <v>ARTIGAS </v>
      </c>
      <c r="G941" s="1" t="str">
        <f t="shared" si="2"/>
        <v>Celina</v>
      </c>
      <c r="H941" s="1" t="str">
        <f>IFERROR(__xludf.DUMMYFUNCTION("""COMPUTED_VALUE"""),"30/1/2023, 17:00:00")</f>
        <v>30/1/2023, 17:00:00</v>
      </c>
      <c r="I941" s="1" t="str">
        <f>IFERROR(__xludf.DUMMYFUNCTION("""COMPUTED_VALUE"""),"RETIRADO OK POR CLIENTE")</f>
        <v>RETIRADO OK POR CLIENTE</v>
      </c>
      <c r="J941" s="1">
        <f t="shared" si="3"/>
        <v>6</v>
      </c>
      <c r="K941" s="1" t="str">
        <f t="shared" si="4"/>
        <v>Entregamos tus lentes, que los disfrutes!</v>
      </c>
    </row>
    <row r="942">
      <c r="A942" s="1">
        <f>IFERROR(__xludf.DUMMYFUNCTION("""COMPUTED_VALUE"""),85492.0)</f>
        <v>85492</v>
      </c>
      <c r="B942" s="5">
        <f>IFERROR(__xludf.DUMMYFUNCTION("""COMPUTED_VALUE"""),44949.727176053246)</f>
        <v>44949.72718</v>
      </c>
      <c r="C942" s="1" t="str">
        <f>IFERROR(__xludf.DUMMYFUNCTION("""COMPUTED_VALUE"""),"ALBARADO KEVIN / SULLAIR")</f>
        <v>ALBARADO KEVIN / SULLAIR</v>
      </c>
      <c r="D942" s="1" t="str">
        <f>IFERROR(__xludf.DUMMYFUNCTION("""COMPUTED_VALUE"""),"Lentes de STOCK")</f>
        <v>Lentes de STOCK</v>
      </c>
      <c r="E942" s="1" t="str">
        <f>IFERROR(__xludf.DUMMYFUNCTION("""COMPUTED_VALUE"""),"ARTIGAS Ivana P.")</f>
        <v>ARTIGAS Ivana P.</v>
      </c>
      <c r="F942" s="1" t="str">
        <f t="shared" si="1"/>
        <v>ARTIGAS </v>
      </c>
      <c r="G942" s="1" t="str">
        <f t="shared" si="2"/>
        <v>Ivana P.</v>
      </c>
      <c r="H942" s="1" t="str">
        <f>IFERROR(__xludf.DUMMYFUNCTION("""COMPUTED_VALUE"""),"26/1/2023, 17:00:00")</f>
        <v>26/1/2023, 17:00:00</v>
      </c>
      <c r="I942" s="1" t="str">
        <f>IFERROR(__xludf.DUMMYFUNCTION("""COMPUTED_VALUE"""),"RETIRADO OK POR CLIENTE")</f>
        <v>RETIRADO OK POR CLIENTE</v>
      </c>
      <c r="J942" s="1">
        <f t="shared" si="3"/>
        <v>6</v>
      </c>
      <c r="K942" s="1" t="str">
        <f t="shared" si="4"/>
        <v>Entregamos tus lentes, que los disfrutes!</v>
      </c>
    </row>
    <row r="943">
      <c r="A943" s="1">
        <f>IFERROR(__xludf.DUMMYFUNCTION("""COMPUTED_VALUE"""),85493.0)</f>
        <v>85493</v>
      </c>
      <c r="B943" s="5">
        <f>IFERROR(__xludf.DUMMYFUNCTION("""COMPUTED_VALUE"""),44949.76585319445)</f>
        <v>44949.76585</v>
      </c>
      <c r="C943" s="1" t="str">
        <f>IFERROR(__xludf.DUMMYFUNCTION("""COMPUTED_VALUE"""),"PEREYRA ROSA |")</f>
        <v>PEREYRA ROSA |</v>
      </c>
      <c r="D943" s="1" t="str">
        <f>IFERROR(__xludf.DUMMYFUNCTION("""COMPUTED_VALUE"""),"Lentes de STOCK")</f>
        <v>Lentes de STOCK</v>
      </c>
      <c r="E943" s="1" t="str">
        <f>IFERROR(__xludf.DUMMYFUNCTION("""COMPUTED_VALUE"""),"ARTIGAS Cristian C.")</f>
        <v>ARTIGAS Cristian C.</v>
      </c>
      <c r="F943" s="1" t="str">
        <f t="shared" si="1"/>
        <v>ARTIGAS </v>
      </c>
      <c r="G943" s="1" t="str">
        <f t="shared" si="2"/>
        <v>Cristian C.</v>
      </c>
      <c r="H943" s="1" t="str">
        <f>IFERROR(__xludf.DUMMYFUNCTION("""COMPUTED_VALUE"""),"30/1/2023, 17:00:00")</f>
        <v>30/1/2023, 17:00:00</v>
      </c>
      <c r="I943" s="1" t="str">
        <f>IFERROR(__xludf.DUMMYFUNCTION("""COMPUTED_VALUE"""),"RETIRADO OK POR CLIENTE")</f>
        <v>RETIRADO OK POR CLIENTE</v>
      </c>
      <c r="J943" s="1">
        <f t="shared" si="3"/>
        <v>6</v>
      </c>
      <c r="K943" s="1" t="str">
        <f t="shared" si="4"/>
        <v>Entregamos tus lentes, que los disfrutes!</v>
      </c>
    </row>
    <row r="944">
      <c r="A944" s="1">
        <f>IFERROR(__xludf.DUMMYFUNCTION("""COMPUTED_VALUE"""),85494.0)</f>
        <v>85494</v>
      </c>
      <c r="B944" s="5">
        <f>IFERROR(__xludf.DUMMYFUNCTION("""COMPUTED_VALUE"""),44949.76885793982)</f>
        <v>44949.76886</v>
      </c>
      <c r="C944" s="1" t="str">
        <f>IFERROR(__xludf.DUMMYFUNCTION("""COMPUTED_VALUE"""),"PEREIRA JULIO CESAR")</f>
        <v>PEREIRA JULIO CESAR</v>
      </c>
      <c r="D944" s="1" t="str">
        <f>IFERROR(__xludf.DUMMYFUNCTION("""COMPUTED_VALUE"""),"Lentes de STOCK")</f>
        <v>Lentes de STOCK</v>
      </c>
      <c r="E944" s="1" t="str">
        <f>IFERROR(__xludf.DUMMYFUNCTION("""COMPUTED_VALUE"""),"ARTIGAS Ivana P.")</f>
        <v>ARTIGAS Ivana P.</v>
      </c>
      <c r="F944" s="1" t="str">
        <f t="shared" si="1"/>
        <v>ARTIGAS </v>
      </c>
      <c r="G944" s="1" t="str">
        <f t="shared" si="2"/>
        <v>Ivana P.</v>
      </c>
      <c r="H944" s="1" t="str">
        <f>IFERROR(__xludf.DUMMYFUNCTION("""COMPUTED_VALUE"""),"27/1/2023, 17:00:00")</f>
        <v>27/1/2023, 17:00:00</v>
      </c>
      <c r="I944" s="1" t="str">
        <f>IFERROR(__xludf.DUMMYFUNCTION("""COMPUTED_VALUE"""),"RETIRADO OK POR CLIENTE")</f>
        <v>RETIRADO OK POR CLIENTE</v>
      </c>
      <c r="J944" s="1">
        <f t="shared" si="3"/>
        <v>6</v>
      </c>
      <c r="K944" s="1" t="str">
        <f t="shared" si="4"/>
        <v>Entregamos tus lentes, que los disfrutes!</v>
      </c>
    </row>
    <row r="945">
      <c r="A945" s="1">
        <f>IFERROR(__xludf.DUMMYFUNCTION("""COMPUTED_VALUE"""),85495.0)</f>
        <v>85495</v>
      </c>
      <c r="B945" s="5">
        <f>IFERROR(__xludf.DUMMYFUNCTION("""COMPUTED_VALUE"""),44949.77466966435)</f>
        <v>44949.77467</v>
      </c>
      <c r="C945" s="1" t="str">
        <f>IFERROR(__xludf.DUMMYFUNCTION("""COMPUTED_VALUE"""),"nellar lucas")</f>
        <v>nellar lucas</v>
      </c>
      <c r="D945" s="1" t="str">
        <f>IFERROR(__xludf.DUMMYFUNCTION("""COMPUTED_VALUE"""),"Reparaciones/Otros")</f>
        <v>Reparaciones/Otros</v>
      </c>
      <c r="E945" s="1" t="str">
        <f>IFERROR(__xludf.DUMMYFUNCTION("""COMPUTED_VALUE"""),"RIVADAVIA Santiago LOPEZ")</f>
        <v>RIVADAVIA Santiago LOPEZ</v>
      </c>
      <c r="F945" s="1" t="str">
        <f t="shared" si="1"/>
        <v>RIVADAVIA </v>
      </c>
      <c r="G945" s="1" t="str">
        <f t="shared" si="2"/>
        <v>Santiago LOPEZ</v>
      </c>
      <c r="H945" s="1" t="str">
        <f>IFERROR(__xludf.DUMMYFUNCTION("""COMPUTED_VALUE"""),"24/1/2023, 17:00:00")</f>
        <v>24/1/2023, 17:00:00</v>
      </c>
      <c r="I945" s="1" t="str">
        <f>IFERROR(__xludf.DUMMYFUNCTION("""COMPUTED_VALUE"""),"Completado en SUCURSAL")</f>
        <v>Completado en SUCURSAL</v>
      </c>
      <c r="J945" s="1">
        <f t="shared" si="3"/>
        <v>5</v>
      </c>
      <c r="K945" s="1" t="str">
        <f t="shared" si="4"/>
        <v>Tus Lentes estan LISTAS PARA ENTREGAR, te esperamos.</v>
      </c>
    </row>
    <row r="946">
      <c r="A946" s="1">
        <f>IFERROR(__xludf.DUMMYFUNCTION("""COMPUTED_VALUE"""),85496.0)</f>
        <v>85496</v>
      </c>
      <c r="B946" s="5">
        <f>IFERROR(__xludf.DUMMYFUNCTION("""COMPUTED_VALUE"""),44949.78568826389)</f>
        <v>44949.78569</v>
      </c>
      <c r="C946" s="1" t="str">
        <f>IFERROR(__xludf.DUMMYFUNCTION("""COMPUTED_VALUE"""),"torres mercedes")</f>
        <v>torres mercedes</v>
      </c>
      <c r="D946" s="1" t="str">
        <f>IFERROR(__xludf.DUMMYFUNCTION("""COMPUTED_VALUE"""),"Lentes de STOCK")</f>
        <v>Lentes de STOCK</v>
      </c>
      <c r="E946" s="1" t="str">
        <f>IFERROR(__xludf.DUMMYFUNCTION("""COMPUTED_VALUE"""),"RIVADAVIA Santiago LOPEZ")</f>
        <v>RIVADAVIA Santiago LOPEZ</v>
      </c>
      <c r="F946" s="1" t="str">
        <f t="shared" si="1"/>
        <v>RIVADAVIA </v>
      </c>
      <c r="G946" s="1" t="str">
        <f t="shared" si="2"/>
        <v>Santiago LOPEZ</v>
      </c>
      <c r="H946" s="1" t="str">
        <f>IFERROR(__xludf.DUMMYFUNCTION("""COMPUTED_VALUE"""),"26/1/2023, 17:00:00")</f>
        <v>26/1/2023, 17:00:00</v>
      </c>
      <c r="I946" s="1" t="str">
        <f>IFERROR(__xludf.DUMMYFUNCTION("""COMPUTED_VALUE"""),"RETIRADO OK POR CLIENTE")</f>
        <v>RETIRADO OK POR CLIENTE</v>
      </c>
      <c r="J946" s="1">
        <f t="shared" si="3"/>
        <v>6</v>
      </c>
      <c r="K946" s="1" t="str">
        <f t="shared" si="4"/>
        <v>Entregamos tus lentes, que los disfrutes!</v>
      </c>
    </row>
    <row r="947">
      <c r="A947" s="1">
        <f>IFERROR(__xludf.DUMMYFUNCTION("""COMPUTED_VALUE"""),85497.0)</f>
        <v>85497</v>
      </c>
      <c r="B947" s="5">
        <f>IFERROR(__xludf.DUMMYFUNCTION("""COMPUTED_VALUE"""),44949.789253043986)</f>
        <v>44949.78925</v>
      </c>
      <c r="C947" s="1" t="str">
        <f>IFERROR(__xludf.DUMMYFUNCTION("""COMPUTED_VALUE"""),"OJEDA VIVIANA")</f>
        <v>OJEDA VIVIANA</v>
      </c>
      <c r="D947" s="1" t="str">
        <f>IFERROR(__xludf.DUMMYFUNCTION("""COMPUTED_VALUE"""),"Lentes de STOCK")</f>
        <v>Lentes de STOCK</v>
      </c>
      <c r="E947" s="1" t="str">
        <f>IFERROR(__xludf.DUMMYFUNCTION("""COMPUTED_VALUE"""),"RIVADAVIA Rocio B")</f>
        <v>RIVADAVIA Rocio B</v>
      </c>
      <c r="F947" s="1" t="str">
        <f t="shared" si="1"/>
        <v>RIVADAVIA </v>
      </c>
      <c r="G947" s="1" t="str">
        <f t="shared" si="2"/>
        <v>Rocio B</v>
      </c>
      <c r="H947" s="1" t="str">
        <f>IFERROR(__xludf.DUMMYFUNCTION("""COMPUTED_VALUE"""),"30/1/2023, 17:00:00")</f>
        <v>30/1/2023, 17:00:00</v>
      </c>
      <c r="I947" s="1" t="str">
        <f>IFERROR(__xludf.DUMMYFUNCTION("""COMPUTED_VALUE"""),"RETIRADO OK POR CLIENTE")</f>
        <v>RETIRADO OK POR CLIENTE</v>
      </c>
      <c r="J947" s="1">
        <f t="shared" si="3"/>
        <v>6</v>
      </c>
      <c r="K947" s="1" t="str">
        <f t="shared" si="4"/>
        <v>Entregamos tus lentes, que los disfrutes!</v>
      </c>
    </row>
    <row r="948">
      <c r="A948" s="1">
        <f>IFERROR(__xludf.DUMMYFUNCTION("""COMPUTED_VALUE"""),85498.0)</f>
        <v>85498</v>
      </c>
      <c r="B948" s="5">
        <f>IFERROR(__xludf.DUMMYFUNCTION("""COMPUTED_VALUE"""),44949.7948190162)</f>
        <v>44949.79482</v>
      </c>
      <c r="C948" s="1" t="str">
        <f>IFERROR(__xludf.DUMMYFUNCTION("""COMPUTED_VALUE"""),"Diaz Edgar")</f>
        <v>Diaz Edgar</v>
      </c>
      <c r="D948" s="1" t="str">
        <f>IFERROR(__xludf.DUMMYFUNCTION("""COMPUTED_VALUE"""),"Reparaciones/Otros")</f>
        <v>Reparaciones/Otros</v>
      </c>
      <c r="E948" s="1" t="str">
        <f>IFERROR(__xludf.DUMMYFUNCTION("""COMPUTED_VALUE"""),"RIVADAVIA Rocio B")</f>
        <v>RIVADAVIA Rocio B</v>
      </c>
      <c r="F948" s="1" t="str">
        <f t="shared" si="1"/>
        <v>RIVADAVIA </v>
      </c>
      <c r="G948" s="1" t="str">
        <f t="shared" si="2"/>
        <v>Rocio B</v>
      </c>
      <c r="H948" s="1" t="str">
        <f>IFERROR(__xludf.DUMMYFUNCTION("""COMPUTED_VALUE"""),"24/1/2023, 17:00:00")</f>
        <v>24/1/2023, 17:00:00</v>
      </c>
      <c r="I948" s="1" t="str">
        <f>IFERROR(__xludf.DUMMYFUNCTION("""COMPUTED_VALUE"""),"Recibido en Laboratorio")</f>
        <v>Recibido en Laboratorio</v>
      </c>
      <c r="J948" s="1">
        <f t="shared" si="3"/>
        <v>2</v>
      </c>
      <c r="K948" s="1" t="str">
        <f t="shared" si="4"/>
        <v>Nuestro Laboratorio esta trabajando en tus lentes, los entregaremos en la fecha acordada.</v>
      </c>
    </row>
    <row r="949">
      <c r="A949" s="1">
        <f>IFERROR(__xludf.DUMMYFUNCTION("""COMPUTED_VALUE"""),85499.0)</f>
        <v>85499</v>
      </c>
      <c r="B949" s="5">
        <f>IFERROR(__xludf.DUMMYFUNCTION("""COMPUTED_VALUE"""),44949.80026724537)</f>
        <v>44949.80027</v>
      </c>
      <c r="C949" s="1" t="str">
        <f>IFERROR(__xludf.DUMMYFUNCTION("""COMPUTED_VALUE"""),"ALBA MATEO")</f>
        <v>ALBA MATEO</v>
      </c>
      <c r="D949" s="1" t="str">
        <f>IFERROR(__xludf.DUMMYFUNCTION("""COMPUTED_VALUE"""),"Lentes de STOCK")</f>
        <v>Lentes de STOCK</v>
      </c>
      <c r="E949" s="1" t="str">
        <f>IFERROR(__xludf.DUMMYFUNCTION("""COMPUTED_VALUE"""),"ARTIGAS Ivana P.")</f>
        <v>ARTIGAS Ivana P.</v>
      </c>
      <c r="F949" s="1" t="str">
        <f t="shared" si="1"/>
        <v>ARTIGAS </v>
      </c>
      <c r="G949" s="1" t="str">
        <f t="shared" si="2"/>
        <v>Ivana P.</v>
      </c>
      <c r="H949" s="1" t="str">
        <f>IFERROR(__xludf.DUMMYFUNCTION("""COMPUTED_VALUE"""),"26/1/2023, 17:00:00")</f>
        <v>26/1/2023, 17:00:00</v>
      </c>
      <c r="I949" s="1" t="str">
        <f>IFERROR(__xludf.DUMMYFUNCTION("""COMPUTED_VALUE"""),"RETIRADO OK POR CLIENTE")</f>
        <v>RETIRADO OK POR CLIENTE</v>
      </c>
      <c r="J949" s="1">
        <f t="shared" si="3"/>
        <v>6</v>
      </c>
      <c r="K949" s="1" t="str">
        <f t="shared" si="4"/>
        <v>Entregamos tus lentes, que los disfrutes!</v>
      </c>
    </row>
    <row r="950">
      <c r="A950" s="1">
        <f>IFERROR(__xludf.DUMMYFUNCTION("""COMPUTED_VALUE"""),85500.0)</f>
        <v>85500</v>
      </c>
      <c r="B950" s="5">
        <f>IFERROR(__xludf.DUMMYFUNCTION("""COMPUTED_VALUE"""),44949.80554534722)</f>
        <v>44949.80555</v>
      </c>
      <c r="C950" s="1" t="str">
        <f>IFERROR(__xludf.DUMMYFUNCTION("""COMPUTED_VALUE"""),"IBAÑEZ ESTELA MARIS")</f>
        <v>IBAÑEZ ESTELA MARIS</v>
      </c>
      <c r="D950" s="1" t="str">
        <f>IFERROR(__xludf.DUMMYFUNCTION("""COMPUTED_VALUE"""),"Lentes de STOCK")</f>
        <v>Lentes de STOCK</v>
      </c>
      <c r="E950" s="1" t="str">
        <f>IFERROR(__xludf.DUMMYFUNCTION("""COMPUTED_VALUE"""),"ARTIGAS Cristian C.")</f>
        <v>ARTIGAS Cristian C.</v>
      </c>
      <c r="F950" s="1" t="str">
        <f t="shared" si="1"/>
        <v>ARTIGAS </v>
      </c>
      <c r="G950" s="1" t="str">
        <f t="shared" si="2"/>
        <v>Cristian C.</v>
      </c>
      <c r="H950" s="1" t="str">
        <f>IFERROR(__xludf.DUMMYFUNCTION("""COMPUTED_VALUE"""),"30/1/2023, 17:00:00")</f>
        <v>30/1/2023, 17:00:00</v>
      </c>
      <c r="I950" s="1" t="str">
        <f>IFERROR(__xludf.DUMMYFUNCTION("""COMPUTED_VALUE"""),"RETIRADO OK POR CLIENTE")</f>
        <v>RETIRADO OK POR CLIENTE</v>
      </c>
      <c r="J950" s="1">
        <f t="shared" si="3"/>
        <v>6</v>
      </c>
      <c r="K950" s="1" t="str">
        <f t="shared" si="4"/>
        <v>Entregamos tus lentes, que los disfrutes!</v>
      </c>
    </row>
    <row r="951">
      <c r="A951" s="1">
        <f>IFERROR(__xludf.DUMMYFUNCTION("""COMPUTED_VALUE"""),85501.0)</f>
        <v>85501</v>
      </c>
      <c r="B951" s="5">
        <f>IFERROR(__xludf.DUMMYFUNCTION("""COMPUTED_VALUE"""),44949.813009143516)</f>
        <v>44949.81301</v>
      </c>
      <c r="C951" s="1" t="str">
        <f>IFERROR(__xludf.DUMMYFUNCTION("""COMPUTED_VALUE"""),"Lucero Elia")</f>
        <v>Lucero Elia</v>
      </c>
      <c r="D951" s="1" t="str">
        <f>IFERROR(__xludf.DUMMYFUNCTION("""COMPUTED_VALUE"""),"Lentes de STOCK")</f>
        <v>Lentes de STOCK</v>
      </c>
      <c r="E951" s="1" t="str">
        <f>IFERROR(__xludf.DUMMYFUNCTION("""COMPUTED_VALUE"""),"RIVADAVIA Rocio B")</f>
        <v>RIVADAVIA Rocio B</v>
      </c>
      <c r="F951" s="1" t="str">
        <f t="shared" si="1"/>
        <v>RIVADAVIA </v>
      </c>
      <c r="G951" s="1" t="str">
        <f t="shared" si="2"/>
        <v>Rocio B</v>
      </c>
      <c r="H951" s="1" t="str">
        <f>IFERROR(__xludf.DUMMYFUNCTION("""COMPUTED_VALUE"""),"30/1/2023, 17:00:00")</f>
        <v>30/1/2023, 17:00:00</v>
      </c>
      <c r="I951" s="1" t="str">
        <f>IFERROR(__xludf.DUMMYFUNCTION("""COMPUTED_VALUE"""),"RETIRADO OK POR CLIENTE")</f>
        <v>RETIRADO OK POR CLIENTE</v>
      </c>
      <c r="J951" s="1">
        <f t="shared" si="3"/>
        <v>6</v>
      </c>
      <c r="K951" s="1" t="str">
        <f t="shared" si="4"/>
        <v>Entregamos tus lentes, que los disfrutes!</v>
      </c>
    </row>
    <row r="952">
      <c r="A952" s="1">
        <f>IFERROR(__xludf.DUMMYFUNCTION("""COMPUTED_VALUE"""),85502.0)</f>
        <v>85502</v>
      </c>
      <c r="B952" s="5">
        <f>IFERROR(__xludf.DUMMYFUNCTION("""COMPUTED_VALUE"""),44949.81318247685)</f>
        <v>44949.81318</v>
      </c>
      <c r="C952" s="1" t="str">
        <f>IFERROR(__xludf.DUMMYFUNCTION("""COMPUTED_VALUE"""),"BENTIVEGNA SANTIAGO")</f>
        <v>BENTIVEGNA SANTIAGO</v>
      </c>
      <c r="D952" s="1" t="str">
        <f>IFERROR(__xludf.DUMMYFUNCTION("""COMPUTED_VALUE"""),"Lentes de STOCK")</f>
        <v>Lentes de STOCK</v>
      </c>
      <c r="E952" s="1" t="str">
        <f>IFERROR(__xludf.DUMMYFUNCTION("""COMPUTED_VALUE"""),"RIVADAVIA Santiago LOPEZ")</f>
        <v>RIVADAVIA Santiago LOPEZ</v>
      </c>
      <c r="F952" s="1" t="str">
        <f t="shared" si="1"/>
        <v>RIVADAVIA </v>
      </c>
      <c r="G952" s="1" t="str">
        <f t="shared" si="2"/>
        <v>Santiago LOPEZ</v>
      </c>
      <c r="H952" s="1" t="str">
        <f>IFERROR(__xludf.DUMMYFUNCTION("""COMPUTED_VALUE"""),"26/1/2023, 17:00:00")</f>
        <v>26/1/2023, 17:00:00</v>
      </c>
      <c r="I952" s="1" t="str">
        <f>IFERROR(__xludf.DUMMYFUNCTION("""COMPUTED_VALUE"""),"RETIRADO OK POR CLIENTE")</f>
        <v>RETIRADO OK POR CLIENTE</v>
      </c>
      <c r="J952" s="1">
        <f t="shared" si="3"/>
        <v>6</v>
      </c>
      <c r="K952" s="1" t="str">
        <f t="shared" si="4"/>
        <v>Entregamos tus lentes, que los disfrutes!</v>
      </c>
    </row>
    <row r="953">
      <c r="A953" s="1">
        <f>IFERROR(__xludf.DUMMYFUNCTION("""COMPUTED_VALUE"""),85503.0)</f>
        <v>85503</v>
      </c>
      <c r="B953" s="5">
        <f>IFERROR(__xludf.DUMMYFUNCTION("""COMPUTED_VALUE"""),44949.83751428241)</f>
        <v>44949.83751</v>
      </c>
      <c r="C953" s="1" t="str">
        <f>IFERROR(__xludf.DUMMYFUNCTION("""COMPUTED_VALUE"""),"LUCERO CARLOS")</f>
        <v>LUCERO CARLOS</v>
      </c>
      <c r="D953" s="1" t="str">
        <f>IFERROR(__xludf.DUMMYFUNCTION("""COMPUTED_VALUE"""),"Lentes de STOCK")</f>
        <v>Lentes de STOCK</v>
      </c>
      <c r="E953" s="1" t="str">
        <f>IFERROR(__xludf.DUMMYFUNCTION("""COMPUTED_VALUE"""),"RIVADAVIA Javier")</f>
        <v>RIVADAVIA Javier</v>
      </c>
      <c r="F953" s="1" t="str">
        <f t="shared" si="1"/>
        <v>RIVADAVIA </v>
      </c>
      <c r="G953" s="1" t="str">
        <f t="shared" si="2"/>
        <v>Javier</v>
      </c>
      <c r="H953" s="1" t="str">
        <f>IFERROR(__xludf.DUMMYFUNCTION("""COMPUTED_VALUE"""),"26/1/2023, 17:00:00")</f>
        <v>26/1/2023, 17:00:00</v>
      </c>
      <c r="I953" s="1" t="str">
        <f>IFERROR(__xludf.DUMMYFUNCTION("""COMPUTED_VALUE"""),"RETIRADO OK POR CLIENTE")</f>
        <v>RETIRADO OK POR CLIENTE</v>
      </c>
      <c r="J953" s="1">
        <f t="shared" si="3"/>
        <v>6</v>
      </c>
      <c r="K953" s="1" t="str">
        <f t="shared" si="4"/>
        <v>Entregamos tus lentes, que los disfrutes!</v>
      </c>
    </row>
    <row r="954">
      <c r="A954" s="1">
        <f>IFERROR(__xludf.DUMMYFUNCTION("""COMPUTED_VALUE"""),85504.0)</f>
        <v>85504</v>
      </c>
      <c r="B954" s="5">
        <f>IFERROR(__xludf.DUMMYFUNCTION("""COMPUTED_VALUE"""),44949.8434475463)</f>
        <v>44949.84345</v>
      </c>
      <c r="C954" s="1" t="str">
        <f>IFERROR(__xludf.DUMMYFUNCTION("""COMPUTED_VALUE"""),"JEREMIAS OSSORIO")</f>
        <v>JEREMIAS OSSORIO</v>
      </c>
      <c r="D954" s="1" t="str">
        <f>IFERROR(__xludf.DUMMYFUNCTION("""COMPUTED_VALUE"""),"Lentes de STOCK")</f>
        <v>Lentes de STOCK</v>
      </c>
      <c r="E954" s="1" t="str">
        <f>IFERROR(__xludf.DUMMYFUNCTION("""COMPUTED_VALUE"""),"RIVADAVIA Javier")</f>
        <v>RIVADAVIA Javier</v>
      </c>
      <c r="F954" s="1" t="str">
        <f t="shared" si="1"/>
        <v>RIVADAVIA </v>
      </c>
      <c r="G954" s="1" t="str">
        <f t="shared" si="2"/>
        <v>Javier</v>
      </c>
      <c r="H954" s="1" t="str">
        <f>IFERROR(__xludf.DUMMYFUNCTION("""COMPUTED_VALUE"""),"26/1/2023, 17:00:00")</f>
        <v>26/1/2023, 17:00:00</v>
      </c>
      <c r="I954" s="1" t="str">
        <f>IFERROR(__xludf.DUMMYFUNCTION("""COMPUTED_VALUE"""),"RETIRADO OK POR CLIENTE")</f>
        <v>RETIRADO OK POR CLIENTE</v>
      </c>
      <c r="J954" s="1">
        <f t="shared" si="3"/>
        <v>6</v>
      </c>
      <c r="K954" s="1" t="str">
        <f t="shared" si="4"/>
        <v>Entregamos tus lentes, que los disfrutes!</v>
      </c>
    </row>
    <row r="955">
      <c r="A955" s="1">
        <f>IFERROR(__xludf.DUMMYFUNCTION("""COMPUTED_VALUE"""),85505.0)</f>
        <v>85505</v>
      </c>
      <c r="B955" s="5">
        <f>IFERROR(__xludf.DUMMYFUNCTION("""COMPUTED_VALUE"""),44949.844875243056)</f>
        <v>44949.84488</v>
      </c>
      <c r="C955" s="1" t="str">
        <f>IFERROR(__xludf.DUMMYFUNCTION("""COMPUTED_VALUE"""),"OLGUIN PATRICIA ")</f>
        <v>OLGUIN PATRICIA </v>
      </c>
      <c r="D955" s="1" t="str">
        <f>IFERROR(__xludf.DUMMYFUNCTION("""COMPUTED_VALUE"""),"Lentes MULTIFOCALES")</f>
        <v>Lentes MULTIFOCALES</v>
      </c>
      <c r="E955" s="1" t="str">
        <f>IFERROR(__xludf.DUMMYFUNCTION("""COMPUTED_VALUE"""),"ARTIGAS Cristian C.")</f>
        <v>ARTIGAS Cristian C.</v>
      </c>
      <c r="F955" s="1" t="str">
        <f t="shared" si="1"/>
        <v>ARTIGAS </v>
      </c>
      <c r="G955" s="1" t="str">
        <f t="shared" si="2"/>
        <v>Cristian C.</v>
      </c>
      <c r="H955" s="1" t="str">
        <f>IFERROR(__xludf.DUMMYFUNCTION("""COMPUTED_VALUE"""),"8/2/2023, 17:00:00")</f>
        <v>8/2/2023, 17:00:00</v>
      </c>
      <c r="I955" s="1" t="str">
        <f>IFERROR(__xludf.DUMMYFUNCTION("""COMPUTED_VALUE"""),"RETIRADO OK POR CLIENTE")</f>
        <v>RETIRADO OK POR CLIENTE</v>
      </c>
      <c r="J955" s="1">
        <f t="shared" si="3"/>
        <v>6</v>
      </c>
      <c r="K955" s="1" t="str">
        <f t="shared" si="4"/>
        <v>Entregamos tus lentes, que los disfrutes!</v>
      </c>
    </row>
    <row r="956">
      <c r="A956" s="1">
        <f>IFERROR(__xludf.DUMMYFUNCTION("""COMPUTED_VALUE"""),85506.0)</f>
        <v>85506</v>
      </c>
      <c r="B956" s="5">
        <f>IFERROR(__xludf.DUMMYFUNCTION("""COMPUTED_VALUE"""),44949.85385560185)</f>
        <v>44949.85386</v>
      </c>
      <c r="C956" s="1" t="str">
        <f>IFERROR(__xludf.DUMMYFUNCTION("""COMPUTED_VALUE"""),"urquiza lautaro")</f>
        <v>urquiza lautaro</v>
      </c>
      <c r="D956" s="1" t="str">
        <f>IFERROR(__xludf.DUMMYFUNCTION("""COMPUTED_VALUE"""),"Lentes de STOCK")</f>
        <v>Lentes de STOCK</v>
      </c>
      <c r="E956" s="1" t="str">
        <f>IFERROR(__xludf.DUMMYFUNCTION("""COMPUTED_VALUE"""),"RIVADAVIA Santiago LOPEZ")</f>
        <v>RIVADAVIA Santiago LOPEZ</v>
      </c>
      <c r="F956" s="1" t="str">
        <f t="shared" si="1"/>
        <v>RIVADAVIA </v>
      </c>
      <c r="G956" s="1" t="str">
        <f t="shared" si="2"/>
        <v>Santiago LOPEZ</v>
      </c>
      <c r="H956" s="1" t="str">
        <f>IFERROR(__xludf.DUMMYFUNCTION("""COMPUTED_VALUE"""),"26/1/2023, 17:00:00")</f>
        <v>26/1/2023, 17:00:00</v>
      </c>
      <c r="I956" s="1" t="str">
        <f>IFERROR(__xludf.DUMMYFUNCTION("""COMPUTED_VALUE"""),"RETIRADO OK POR CLIENTE")</f>
        <v>RETIRADO OK POR CLIENTE</v>
      </c>
      <c r="J956" s="1">
        <f t="shared" si="3"/>
        <v>6</v>
      </c>
      <c r="K956" s="1" t="str">
        <f t="shared" si="4"/>
        <v>Entregamos tus lentes, que los disfrutes!</v>
      </c>
    </row>
    <row r="957">
      <c r="A957" s="1">
        <f>IFERROR(__xludf.DUMMYFUNCTION("""COMPUTED_VALUE"""),85507.0)</f>
        <v>85507</v>
      </c>
      <c r="B957" s="5">
        <f>IFERROR(__xludf.DUMMYFUNCTION("""COMPUTED_VALUE"""),44949.856830081015)</f>
        <v>44949.85683</v>
      </c>
      <c r="C957" s="1" t="str">
        <f>IFERROR(__xludf.DUMMYFUNCTION("""COMPUTED_VALUE"""),"Geronimo Marta Fernandez")</f>
        <v>Geronimo Marta Fernandez</v>
      </c>
      <c r="D957" s="1" t="str">
        <f>IFERROR(__xludf.DUMMYFUNCTION("""COMPUTED_VALUE"""),"Reparaciones/Otros")</f>
        <v>Reparaciones/Otros</v>
      </c>
      <c r="E957" s="1" t="str">
        <f>IFERROR(__xludf.DUMMYFUNCTION("""COMPUTED_VALUE"""),"RIVADAVIA Rocio B")</f>
        <v>RIVADAVIA Rocio B</v>
      </c>
      <c r="F957" s="1" t="str">
        <f t="shared" si="1"/>
        <v>RIVADAVIA </v>
      </c>
      <c r="G957" s="1" t="str">
        <f t="shared" si="2"/>
        <v>Rocio B</v>
      </c>
      <c r="H957" s="1" t="str">
        <f>IFERROR(__xludf.DUMMYFUNCTION("""COMPUTED_VALUE"""),"25/1/2023, 17:00:00")</f>
        <v>25/1/2023, 17:00:00</v>
      </c>
      <c r="I957" s="1" t="str">
        <f>IFERROR(__xludf.DUMMYFUNCTION("""COMPUTED_VALUE"""),"Completado en SUCURSAL")</f>
        <v>Completado en SUCURSAL</v>
      </c>
      <c r="J957" s="1">
        <f t="shared" si="3"/>
        <v>5</v>
      </c>
      <c r="K957" s="1" t="str">
        <f t="shared" si="4"/>
        <v>Tus Lentes estan LISTAS PARA ENTREGAR, te esperamos.</v>
      </c>
    </row>
    <row r="958">
      <c r="A958" s="1">
        <f>IFERROR(__xludf.DUMMYFUNCTION("""COMPUTED_VALUE"""),85508.0)</f>
        <v>85508</v>
      </c>
      <c r="B958" s="5">
        <f>IFERROR(__xludf.DUMMYFUNCTION("""COMPUTED_VALUE"""),44949.858173518514)</f>
        <v>44949.85817</v>
      </c>
      <c r="C958" s="1" t="str">
        <f>IFERROR(__xludf.DUMMYFUNCTION("""COMPUTED_VALUE"""),"ventura yanina")</f>
        <v>ventura yanina</v>
      </c>
      <c r="D958" s="1" t="str">
        <f>IFERROR(__xludf.DUMMYFUNCTION("""COMPUTED_VALUE"""),"Reparaciones/Otros")</f>
        <v>Reparaciones/Otros</v>
      </c>
      <c r="E958" s="1" t="str">
        <f>IFERROR(__xludf.DUMMYFUNCTION("""COMPUTED_VALUE"""),"RIVADAVIA Santiago LOPEZ")</f>
        <v>RIVADAVIA Santiago LOPEZ</v>
      </c>
      <c r="F958" s="1" t="str">
        <f t="shared" si="1"/>
        <v>RIVADAVIA </v>
      </c>
      <c r="G958" s="1" t="str">
        <f t="shared" si="2"/>
        <v>Santiago LOPEZ</v>
      </c>
      <c r="H958" s="1" t="str">
        <f>IFERROR(__xludf.DUMMYFUNCTION("""COMPUTED_VALUE"""),"24/1/2023, 17:00:00")</f>
        <v>24/1/2023, 17:00:00</v>
      </c>
      <c r="I958" s="1" t="str">
        <f>IFERROR(__xludf.DUMMYFUNCTION("""COMPUTED_VALUE"""),"Completado en SUCURSAL")</f>
        <v>Completado en SUCURSAL</v>
      </c>
      <c r="J958" s="1">
        <f t="shared" si="3"/>
        <v>5</v>
      </c>
      <c r="K958" s="1" t="str">
        <f t="shared" si="4"/>
        <v>Tus Lentes estan LISTAS PARA ENTREGAR, te esperamos.</v>
      </c>
    </row>
    <row r="959">
      <c r="A959" s="1">
        <f>IFERROR(__xludf.DUMMYFUNCTION("""COMPUTED_VALUE"""),85509.0)</f>
        <v>85509</v>
      </c>
      <c r="B959" s="5">
        <f>IFERROR(__xludf.DUMMYFUNCTION("""COMPUTED_VALUE"""),44950.392611006944)</f>
        <v>44950.39261</v>
      </c>
      <c r="C959" s="1" t="str">
        <f>IFERROR(__xludf.DUMMYFUNCTION("""COMPUTED_VALUE"""),"FABRE SOLEDAD")</f>
        <v>FABRE SOLEDAD</v>
      </c>
      <c r="D959" s="1" t="str">
        <f>IFERROR(__xludf.DUMMYFUNCTION("""COMPUTED_VALUE"""),"Reparaciones/Otros")</f>
        <v>Reparaciones/Otros</v>
      </c>
      <c r="E959" s="1" t="str">
        <f>IFERROR(__xludf.DUMMYFUNCTION("""COMPUTED_VALUE"""),"ARTIGAS Ivana P.")</f>
        <v>ARTIGAS Ivana P.</v>
      </c>
      <c r="F959" s="1" t="str">
        <f t="shared" si="1"/>
        <v>ARTIGAS </v>
      </c>
      <c r="G959" s="1" t="str">
        <f t="shared" si="2"/>
        <v>Ivana P.</v>
      </c>
      <c r="H959" s="1" t="str">
        <f>IFERROR(__xludf.DUMMYFUNCTION("""COMPUTED_VALUE"""),"25/1/2023, 17:00:00")</f>
        <v>25/1/2023, 17:00:00</v>
      </c>
      <c r="I959" s="1" t="str">
        <f>IFERROR(__xludf.DUMMYFUNCTION("""COMPUTED_VALUE"""),"Recibido en Laboratorio")</f>
        <v>Recibido en Laboratorio</v>
      </c>
      <c r="J959" s="1">
        <f t="shared" si="3"/>
        <v>2</v>
      </c>
      <c r="K959" s="1" t="str">
        <f t="shared" si="4"/>
        <v>Nuestro Laboratorio esta trabajando en tus lentes, los entregaremos en la fecha acordada.</v>
      </c>
    </row>
    <row r="960">
      <c r="A960" s="1">
        <f>IFERROR(__xludf.DUMMYFUNCTION("""COMPUTED_VALUE"""),85510.0)</f>
        <v>85510</v>
      </c>
      <c r="B960" s="5">
        <f>IFERROR(__xludf.DUMMYFUNCTION("""COMPUTED_VALUE"""),44950.39727234954)</f>
        <v>44950.39727</v>
      </c>
      <c r="C960" s="1" t="str">
        <f>IFERROR(__xludf.DUMMYFUNCTION("""COMPUTED_VALUE"""),"MORALES NILDA IRENE")</f>
        <v>MORALES NILDA IRENE</v>
      </c>
      <c r="D960" s="1" t="str">
        <f>IFERROR(__xludf.DUMMYFUNCTION("""COMPUTED_VALUE"""),"Reparaciones/Otros")</f>
        <v>Reparaciones/Otros</v>
      </c>
      <c r="E960" s="1" t="str">
        <f>IFERROR(__xludf.DUMMYFUNCTION("""COMPUTED_VALUE"""),"RIVADAVIA Rocio B")</f>
        <v>RIVADAVIA Rocio B</v>
      </c>
      <c r="F960" s="1" t="str">
        <f t="shared" si="1"/>
        <v>RIVADAVIA </v>
      </c>
      <c r="G960" s="1" t="str">
        <f t="shared" si="2"/>
        <v>Rocio B</v>
      </c>
      <c r="H960" s="1" t="str">
        <f>IFERROR(__xludf.DUMMYFUNCTION("""COMPUTED_VALUE"""),"25/1/2023, 17:00:00")</f>
        <v>25/1/2023, 17:00:00</v>
      </c>
      <c r="I960" s="1" t="str">
        <f>IFERROR(__xludf.DUMMYFUNCTION("""COMPUTED_VALUE"""),"Completado en SUCURSAL")</f>
        <v>Completado en SUCURSAL</v>
      </c>
      <c r="J960" s="1">
        <f t="shared" si="3"/>
        <v>5</v>
      </c>
      <c r="K960" s="1" t="str">
        <f t="shared" si="4"/>
        <v>Tus Lentes estan LISTAS PARA ENTREGAR, te esperamos.</v>
      </c>
    </row>
    <row r="961">
      <c r="A961" s="1">
        <f>IFERROR(__xludf.DUMMYFUNCTION("""COMPUTED_VALUE"""),85511.0)</f>
        <v>85511</v>
      </c>
      <c r="B961" s="5">
        <f>IFERROR(__xludf.DUMMYFUNCTION("""COMPUTED_VALUE"""),44950.39899054398)</f>
        <v>44950.39899</v>
      </c>
      <c r="C961" s="1" t="str">
        <f>IFERROR(__xludf.DUMMYFUNCTION("""COMPUTED_VALUE"""),"PEDERNERA JUAN")</f>
        <v>PEDERNERA JUAN</v>
      </c>
      <c r="D961" s="1" t="str">
        <f>IFERROR(__xludf.DUMMYFUNCTION("""COMPUTED_VALUE"""),"Lentes de STOCK")</f>
        <v>Lentes de STOCK</v>
      </c>
      <c r="E961" s="1" t="str">
        <f>IFERROR(__xludf.DUMMYFUNCTION("""COMPUTED_VALUE"""),"ARTIGAS Cristian C.")</f>
        <v>ARTIGAS Cristian C.</v>
      </c>
      <c r="F961" s="1" t="str">
        <f t="shared" si="1"/>
        <v>ARTIGAS </v>
      </c>
      <c r="G961" s="1" t="str">
        <f t="shared" si="2"/>
        <v>Cristian C.</v>
      </c>
      <c r="H961" s="1" t="str">
        <f>IFERROR(__xludf.DUMMYFUNCTION("""COMPUTED_VALUE"""),"31/1/2023, 17:00:00")</f>
        <v>31/1/2023, 17:00:00</v>
      </c>
      <c r="I961" s="1" t="str">
        <f>IFERROR(__xludf.DUMMYFUNCTION("""COMPUTED_VALUE"""),"Completado en SUCURSAL")</f>
        <v>Completado en SUCURSAL</v>
      </c>
      <c r="J961" s="1">
        <f t="shared" si="3"/>
        <v>5</v>
      </c>
      <c r="K961" s="1" t="str">
        <f t="shared" si="4"/>
        <v>Tus Lentes estan LISTAS PARA ENTREGAR, te esperamos.</v>
      </c>
    </row>
    <row r="962">
      <c r="A962" s="1">
        <f>IFERROR(__xludf.DUMMYFUNCTION("""COMPUTED_VALUE"""),85512.0)</f>
        <v>85512</v>
      </c>
      <c r="B962" s="5">
        <f>IFERROR(__xludf.DUMMYFUNCTION("""COMPUTED_VALUE"""),44950.404548680555)</f>
        <v>44950.40455</v>
      </c>
      <c r="C962" s="1" t="str">
        <f>IFERROR(__xludf.DUMMYFUNCTION("""COMPUTED_VALUE"""),"JUAN GINDER")</f>
        <v>JUAN GINDER</v>
      </c>
      <c r="D962" s="1" t="str">
        <f>IFERROR(__xludf.DUMMYFUNCTION("""COMPUTED_VALUE"""),"Lentes de STOCK")</f>
        <v>Lentes de STOCK</v>
      </c>
      <c r="E962" s="1" t="str">
        <f>IFERROR(__xludf.DUMMYFUNCTION("""COMPUTED_VALUE"""),"RIVADAVIA Santiago LOPEZ")</f>
        <v>RIVADAVIA Santiago LOPEZ</v>
      </c>
      <c r="F962" s="1" t="str">
        <f t="shared" si="1"/>
        <v>RIVADAVIA </v>
      </c>
      <c r="G962" s="1" t="str">
        <f t="shared" si="2"/>
        <v>Santiago LOPEZ</v>
      </c>
      <c r="H962" s="1" t="str">
        <f>IFERROR(__xludf.DUMMYFUNCTION("""COMPUTED_VALUE"""),"27/1/2023, 17:00:00")</f>
        <v>27/1/2023, 17:00:00</v>
      </c>
      <c r="I962" s="1" t="str">
        <f>IFERROR(__xludf.DUMMYFUNCTION("""COMPUTED_VALUE"""),"Completado en SUCURSAL")</f>
        <v>Completado en SUCURSAL</v>
      </c>
      <c r="J962" s="1">
        <f t="shared" si="3"/>
        <v>5</v>
      </c>
      <c r="K962" s="1" t="str">
        <f t="shared" si="4"/>
        <v>Tus Lentes estan LISTAS PARA ENTREGAR, te esperamos.</v>
      </c>
    </row>
    <row r="963">
      <c r="A963" s="1">
        <f>IFERROR(__xludf.DUMMYFUNCTION("""COMPUTED_VALUE"""),85513.0)</f>
        <v>85513</v>
      </c>
      <c r="B963" s="5">
        <f>IFERROR(__xludf.DUMMYFUNCTION("""COMPUTED_VALUE"""),44950.407922592596)</f>
        <v>44950.40792</v>
      </c>
      <c r="C963" s="1" t="str">
        <f>IFERROR(__xludf.DUMMYFUNCTION("""COMPUTED_VALUE"""),"DIAZ MARIA")</f>
        <v>DIAZ MARIA</v>
      </c>
      <c r="D963" s="1" t="str">
        <f>IFERROR(__xludf.DUMMYFUNCTION("""COMPUTED_VALUE"""),"Reparaciones/Otros")</f>
        <v>Reparaciones/Otros</v>
      </c>
      <c r="E963" s="1" t="str">
        <f>IFERROR(__xludf.DUMMYFUNCTION("""COMPUTED_VALUE"""),"ARTIGAS Ivana P.")</f>
        <v>ARTIGAS Ivana P.</v>
      </c>
      <c r="F963" s="1" t="str">
        <f t="shared" si="1"/>
        <v>ARTIGAS </v>
      </c>
      <c r="G963" s="1" t="str">
        <f t="shared" si="2"/>
        <v>Ivana P.</v>
      </c>
      <c r="H963" s="1" t="str">
        <f>IFERROR(__xludf.DUMMYFUNCTION("""COMPUTED_VALUE"""),"25/1/2023, 17:00:00")</f>
        <v>25/1/2023, 17:00:00</v>
      </c>
      <c r="I963" s="1" t="str">
        <f>IFERROR(__xludf.DUMMYFUNCTION("""COMPUTED_VALUE"""),"Recibido en Laboratorio")</f>
        <v>Recibido en Laboratorio</v>
      </c>
      <c r="J963" s="1">
        <f t="shared" si="3"/>
        <v>2</v>
      </c>
      <c r="K963" s="1" t="str">
        <f t="shared" si="4"/>
        <v>Nuestro Laboratorio esta trabajando en tus lentes, los entregaremos en la fecha acordada.</v>
      </c>
    </row>
    <row r="964">
      <c r="A964" s="1">
        <f>IFERROR(__xludf.DUMMYFUNCTION("""COMPUTED_VALUE"""),85514.0)</f>
        <v>85514</v>
      </c>
      <c r="B964" s="5">
        <f>IFERROR(__xludf.DUMMYFUNCTION("""COMPUTED_VALUE"""),44950.418380034724)</f>
        <v>44950.41838</v>
      </c>
      <c r="C964" s="1" t="str">
        <f>IFERROR(__xludf.DUMMYFUNCTION("""COMPUTED_VALUE"""),"SOSA IRIS")</f>
        <v>SOSA IRIS</v>
      </c>
      <c r="D964" s="1" t="str">
        <f>IFERROR(__xludf.DUMMYFUNCTION("""COMPUTED_VALUE"""),"Reparaciones/Otros")</f>
        <v>Reparaciones/Otros</v>
      </c>
      <c r="E964" s="1" t="str">
        <f>IFERROR(__xludf.DUMMYFUNCTION("""COMPUTED_VALUE"""),"ARTIGAS Ivana P.")</f>
        <v>ARTIGAS Ivana P.</v>
      </c>
      <c r="F964" s="1" t="str">
        <f t="shared" si="1"/>
        <v>ARTIGAS </v>
      </c>
      <c r="G964" s="1" t="str">
        <f t="shared" si="2"/>
        <v>Ivana P.</v>
      </c>
      <c r="H964" s="1" t="str">
        <f>IFERROR(__xludf.DUMMYFUNCTION("""COMPUTED_VALUE"""),"25/1/2023, 17:00:00")</f>
        <v>25/1/2023, 17:00:00</v>
      </c>
      <c r="I964" s="1" t="str">
        <f>IFERROR(__xludf.DUMMYFUNCTION("""COMPUTED_VALUE"""),"Recibido en Laboratorio")</f>
        <v>Recibido en Laboratorio</v>
      </c>
      <c r="J964" s="1">
        <f t="shared" si="3"/>
        <v>2</v>
      </c>
      <c r="K964" s="1" t="str">
        <f t="shared" si="4"/>
        <v>Nuestro Laboratorio esta trabajando en tus lentes, los entregaremos en la fecha acordada.</v>
      </c>
    </row>
    <row r="965">
      <c r="A965" s="1">
        <f>IFERROR(__xludf.DUMMYFUNCTION("""COMPUTED_VALUE"""),85515.0)</f>
        <v>85515</v>
      </c>
      <c r="B965" s="5">
        <f>IFERROR(__xludf.DUMMYFUNCTION("""COMPUTED_VALUE"""),44950.42434135417)</f>
        <v>44950.42434</v>
      </c>
      <c r="C965" s="1" t="str">
        <f>IFERROR(__xludf.DUMMYFUNCTION("""COMPUTED_VALUE"""),"Bruno Silvia")</f>
        <v>Bruno Silvia</v>
      </c>
      <c r="D965" s="1" t="str">
        <f>IFERROR(__xludf.DUMMYFUNCTION("""COMPUTED_VALUE"""),"Lentes de STOCK")</f>
        <v>Lentes de STOCK</v>
      </c>
      <c r="E965" s="1" t="str">
        <f>IFERROR(__xludf.DUMMYFUNCTION("""COMPUTED_VALUE"""),"RIVADAVIA Rocio B")</f>
        <v>RIVADAVIA Rocio B</v>
      </c>
      <c r="F965" s="1" t="str">
        <f t="shared" si="1"/>
        <v>RIVADAVIA </v>
      </c>
      <c r="G965" s="1" t="str">
        <f t="shared" si="2"/>
        <v>Rocio B</v>
      </c>
      <c r="H965" s="1" t="str">
        <f>IFERROR(__xludf.DUMMYFUNCTION("""COMPUTED_VALUE"""),"30/1/2023, 17:00:00")</f>
        <v>30/1/2023, 17:00:00</v>
      </c>
      <c r="I965" s="1" t="str">
        <f>IFERROR(__xludf.DUMMYFUNCTION("""COMPUTED_VALUE"""),"Completado en SUCURSAL")</f>
        <v>Completado en SUCURSAL</v>
      </c>
      <c r="J965" s="1">
        <f t="shared" si="3"/>
        <v>5</v>
      </c>
      <c r="K965" s="1" t="str">
        <f t="shared" si="4"/>
        <v>Tus Lentes estan LISTAS PARA ENTREGAR, te esperamos.</v>
      </c>
    </row>
    <row r="966">
      <c r="A966" s="1">
        <f>IFERROR(__xludf.DUMMYFUNCTION("""COMPUTED_VALUE"""),85516.0)</f>
        <v>85516</v>
      </c>
      <c r="B966" s="5">
        <f>IFERROR(__xludf.DUMMYFUNCTION("""COMPUTED_VALUE"""),44950.426156643516)</f>
        <v>44950.42616</v>
      </c>
      <c r="C966" s="1" t="str">
        <f>IFERROR(__xludf.DUMMYFUNCTION("""COMPUTED_VALUE"""),"CHAVERO DELFINA")</f>
        <v>CHAVERO DELFINA</v>
      </c>
      <c r="D966" s="1" t="str">
        <f>IFERROR(__xludf.DUMMYFUNCTION("""COMPUTED_VALUE"""),"Lentes de STOCK")</f>
        <v>Lentes de STOCK</v>
      </c>
      <c r="E966" s="1" t="str">
        <f>IFERROR(__xludf.DUMMYFUNCTION("""COMPUTED_VALUE"""),"ARTIGAS Cristian C.")</f>
        <v>ARTIGAS Cristian C.</v>
      </c>
      <c r="F966" s="1" t="str">
        <f t="shared" si="1"/>
        <v>ARTIGAS </v>
      </c>
      <c r="G966" s="1" t="str">
        <f t="shared" si="2"/>
        <v>Cristian C.</v>
      </c>
      <c r="H966" s="1" t="str">
        <f>IFERROR(__xludf.DUMMYFUNCTION("""COMPUTED_VALUE"""),"2/2/2023, 17:00:00")</f>
        <v>2/2/2023, 17:00:00</v>
      </c>
      <c r="I966" s="1" t="str">
        <f>IFERROR(__xludf.DUMMYFUNCTION("""COMPUTED_VALUE"""),"RETIRADO OK POR CLIENTE")</f>
        <v>RETIRADO OK POR CLIENTE</v>
      </c>
      <c r="J966" s="1">
        <f t="shared" si="3"/>
        <v>6</v>
      </c>
      <c r="K966" s="1" t="str">
        <f t="shared" si="4"/>
        <v>Entregamos tus lentes, que los disfrutes!</v>
      </c>
    </row>
    <row r="967">
      <c r="A967" s="1">
        <f>IFERROR(__xludf.DUMMYFUNCTION("""COMPUTED_VALUE"""),85517.0)</f>
        <v>85517</v>
      </c>
      <c r="B967" s="5">
        <f>IFERROR(__xludf.DUMMYFUNCTION("""COMPUTED_VALUE"""),44950.427862199074)</f>
        <v>44950.42786</v>
      </c>
      <c r="C967" s="1" t="str">
        <f>IFERROR(__xludf.DUMMYFUNCTION("""COMPUTED_VALUE"""),"gimenez javier")</f>
        <v>gimenez javier</v>
      </c>
      <c r="D967" s="1" t="str">
        <f>IFERROR(__xludf.DUMMYFUNCTION("""COMPUTED_VALUE"""),"Reparaciones/Otros")</f>
        <v>Reparaciones/Otros</v>
      </c>
      <c r="E967" s="1" t="str">
        <f>IFERROR(__xludf.DUMMYFUNCTION("""COMPUTED_VALUE"""),"RIVADAVIA Santiago N")</f>
        <v>RIVADAVIA Santiago N</v>
      </c>
      <c r="F967" s="1" t="str">
        <f t="shared" si="1"/>
        <v>RIVADAVIA </v>
      </c>
      <c r="G967" s="1" t="str">
        <f t="shared" si="2"/>
        <v>Santiago N</v>
      </c>
      <c r="H967" s="1" t="str">
        <f>IFERROR(__xludf.DUMMYFUNCTION("""COMPUTED_VALUE"""),"25/1/2023, 17:00:00")</f>
        <v>25/1/2023, 17:00:00</v>
      </c>
      <c r="I967" s="1" t="str">
        <f>IFERROR(__xludf.DUMMYFUNCTION("""COMPUTED_VALUE"""),"Completado en SUCURSAL")</f>
        <v>Completado en SUCURSAL</v>
      </c>
      <c r="J967" s="1">
        <f t="shared" si="3"/>
        <v>5</v>
      </c>
      <c r="K967" s="1" t="str">
        <f t="shared" si="4"/>
        <v>Tus Lentes estan LISTAS PARA ENTREGAR, te esperamos.</v>
      </c>
    </row>
    <row r="968">
      <c r="A968" s="1">
        <f>IFERROR(__xludf.DUMMYFUNCTION("""COMPUTED_VALUE"""),85518.0)</f>
        <v>85518</v>
      </c>
      <c r="B968" s="5">
        <f>IFERROR(__xludf.DUMMYFUNCTION("""COMPUTED_VALUE"""),44950.430558368054)</f>
        <v>44950.43056</v>
      </c>
      <c r="C968" s="1" t="str">
        <f>IFERROR(__xludf.DUMMYFUNCTION("""COMPUTED_VALUE"""),"BORDON JUANA")</f>
        <v>BORDON JUANA</v>
      </c>
      <c r="D968" s="1" t="str">
        <f>IFERROR(__xludf.DUMMYFUNCTION("""COMPUTED_VALUE"""),"Lentes de STOCK")</f>
        <v>Lentes de STOCK</v>
      </c>
      <c r="E968" s="1" t="str">
        <f>IFERROR(__xludf.DUMMYFUNCTION("""COMPUTED_VALUE"""),"ARTIGAS Ivana P.")</f>
        <v>ARTIGAS Ivana P.</v>
      </c>
      <c r="F968" s="1" t="str">
        <f t="shared" si="1"/>
        <v>ARTIGAS </v>
      </c>
      <c r="G968" s="1" t="str">
        <f t="shared" si="2"/>
        <v>Ivana P.</v>
      </c>
      <c r="H968" s="1" t="str">
        <f>IFERROR(__xludf.DUMMYFUNCTION("""COMPUTED_VALUE"""),"26/1/2023, 17:00:00")</f>
        <v>26/1/2023, 17:00:00</v>
      </c>
      <c r="I968" s="1" t="str">
        <f>IFERROR(__xludf.DUMMYFUNCTION("""COMPUTED_VALUE"""),"Completado en SUCURSAL")</f>
        <v>Completado en SUCURSAL</v>
      </c>
      <c r="J968" s="1">
        <f t="shared" si="3"/>
        <v>5</v>
      </c>
      <c r="K968" s="1" t="str">
        <f t="shared" si="4"/>
        <v>Tus Lentes estan LISTAS PARA ENTREGAR, te esperamos.</v>
      </c>
    </row>
    <row r="969">
      <c r="A969" s="1">
        <f>IFERROR(__xludf.DUMMYFUNCTION("""COMPUTED_VALUE"""),85519.0)</f>
        <v>85519</v>
      </c>
      <c r="B969" s="5">
        <f>IFERROR(__xludf.DUMMYFUNCTION("""COMPUTED_VALUE"""),44950.435426944445)</f>
        <v>44950.43543</v>
      </c>
      <c r="C969" s="1" t="str">
        <f>IFERROR(__xludf.DUMMYFUNCTION("""COMPUTED_VALUE"""),"AGUERO PATRICIA SOLEDAD")</f>
        <v>AGUERO PATRICIA SOLEDAD</v>
      </c>
      <c r="D969" s="1" t="str">
        <f>IFERROR(__xludf.DUMMYFUNCTION("""COMPUTED_VALUE"""),"Lentes de STOCK")</f>
        <v>Lentes de STOCK</v>
      </c>
      <c r="E969" s="1" t="str">
        <f>IFERROR(__xludf.DUMMYFUNCTION("""COMPUTED_VALUE"""),"RIVADAVIA Marcela L")</f>
        <v>RIVADAVIA Marcela L</v>
      </c>
      <c r="F969" s="1" t="str">
        <f t="shared" si="1"/>
        <v>RIVADAVIA </v>
      </c>
      <c r="G969" s="1" t="str">
        <f t="shared" si="2"/>
        <v>Marcela L</v>
      </c>
      <c r="H969" s="1" t="str">
        <f>IFERROR(__xludf.DUMMYFUNCTION("""COMPUTED_VALUE"""),"27/1/2023, 17:00:00")</f>
        <v>27/1/2023, 17:00:00</v>
      </c>
      <c r="I969" s="1" t="str">
        <f>IFERROR(__xludf.DUMMYFUNCTION("""COMPUTED_VALUE"""),"RETIRADO OK POR CLIENTE")</f>
        <v>RETIRADO OK POR CLIENTE</v>
      </c>
      <c r="J969" s="1">
        <f t="shared" si="3"/>
        <v>6</v>
      </c>
      <c r="K969" s="1" t="str">
        <f t="shared" si="4"/>
        <v>Entregamos tus lentes, que los disfrutes!</v>
      </c>
    </row>
    <row r="970">
      <c r="A970" s="1">
        <f>IFERROR(__xludf.DUMMYFUNCTION("""COMPUTED_VALUE"""),85520.0)</f>
        <v>85520</v>
      </c>
      <c r="B970" s="5">
        <f>IFERROR(__xludf.DUMMYFUNCTION("""COMPUTED_VALUE"""),44950.43557920139)</f>
        <v>44950.43558</v>
      </c>
      <c r="C970" s="1" t="str">
        <f>IFERROR(__xludf.DUMMYFUNCTION("""COMPUTED_VALUE"""),"FERNANDEZ ELSA CRISTINA ")</f>
        <v>FERNANDEZ ELSA CRISTINA </v>
      </c>
      <c r="D970" s="1" t="str">
        <f>IFERROR(__xludf.DUMMYFUNCTION("""COMPUTED_VALUE"""),"Lentes MULTIFOCALES")</f>
        <v>Lentes MULTIFOCALES</v>
      </c>
      <c r="E970" s="1" t="str">
        <f>IFERROR(__xludf.DUMMYFUNCTION("""COMPUTED_VALUE"""),"RIVADAVIA Santiago LOPEZ")</f>
        <v>RIVADAVIA Santiago LOPEZ</v>
      </c>
      <c r="F970" s="1" t="str">
        <f t="shared" si="1"/>
        <v>RIVADAVIA </v>
      </c>
      <c r="G970" s="1" t="str">
        <f t="shared" si="2"/>
        <v>Santiago LOPEZ</v>
      </c>
      <c r="H970" s="1" t="str">
        <f>IFERROR(__xludf.DUMMYFUNCTION("""COMPUTED_VALUE"""),"10/2/2023, 17:00:00")</f>
        <v>10/2/2023, 17:00:00</v>
      </c>
      <c r="I970" s="1" t="str">
        <f>IFERROR(__xludf.DUMMYFUNCTION("""COMPUTED_VALUE"""),"RETIRADO OK POR CLIENTE")</f>
        <v>RETIRADO OK POR CLIENTE</v>
      </c>
      <c r="J970" s="1">
        <f t="shared" si="3"/>
        <v>6</v>
      </c>
      <c r="K970" s="1" t="str">
        <f t="shared" si="4"/>
        <v>Entregamos tus lentes, que los disfrutes!</v>
      </c>
    </row>
    <row r="971">
      <c r="A971" s="1">
        <f>IFERROR(__xludf.DUMMYFUNCTION("""COMPUTED_VALUE"""),85521.0)</f>
        <v>85521</v>
      </c>
      <c r="B971" s="5">
        <f>IFERROR(__xludf.DUMMYFUNCTION("""COMPUTED_VALUE"""),44950.44710766204)</f>
        <v>44950.44711</v>
      </c>
      <c r="C971" s="1" t="str">
        <f>IFERROR(__xludf.DUMMYFUNCTION("""COMPUTED_VALUE"""),"CAMARGO CELIA")</f>
        <v>CAMARGO CELIA</v>
      </c>
      <c r="D971" s="1" t="str">
        <f>IFERROR(__xludf.DUMMYFUNCTION("""COMPUTED_VALUE"""),"Lentes de STOCK")</f>
        <v>Lentes de STOCK</v>
      </c>
      <c r="E971" s="1" t="str">
        <f>IFERROR(__xludf.DUMMYFUNCTION("""COMPUTED_VALUE"""),"RIVADAVIA Marcela L")</f>
        <v>RIVADAVIA Marcela L</v>
      </c>
      <c r="F971" s="1" t="str">
        <f t="shared" si="1"/>
        <v>RIVADAVIA </v>
      </c>
      <c r="G971" s="1" t="str">
        <f t="shared" si="2"/>
        <v>Marcela L</v>
      </c>
      <c r="H971" s="1" t="str">
        <f>IFERROR(__xludf.DUMMYFUNCTION("""COMPUTED_VALUE"""),"26/1/2023, 17:00:00")</f>
        <v>26/1/2023, 17:00:00</v>
      </c>
      <c r="I971" s="1" t="str">
        <f>IFERROR(__xludf.DUMMYFUNCTION("""COMPUTED_VALUE"""),"RETIRADO OK POR CLIENTE")</f>
        <v>RETIRADO OK POR CLIENTE</v>
      </c>
      <c r="J971" s="1">
        <f t="shared" si="3"/>
        <v>6</v>
      </c>
      <c r="K971" s="1" t="str">
        <f t="shared" si="4"/>
        <v>Entregamos tus lentes, que los disfrutes!</v>
      </c>
    </row>
    <row r="972">
      <c r="A972" s="1">
        <f>IFERROR(__xludf.DUMMYFUNCTION("""COMPUTED_VALUE"""),85522.0)</f>
        <v>85522</v>
      </c>
      <c r="B972" s="5">
        <f>IFERROR(__xludf.DUMMYFUNCTION("""COMPUTED_VALUE"""),44950.45015895834)</f>
        <v>44950.45016</v>
      </c>
      <c r="C972" s="1" t="str">
        <f>IFERROR(__xludf.DUMMYFUNCTION("""COMPUTED_VALUE"""),"VILLEGAS ANA MABEL")</f>
        <v>VILLEGAS ANA MABEL</v>
      </c>
      <c r="D972" s="1" t="str">
        <f>IFERROR(__xludf.DUMMYFUNCTION("""COMPUTED_VALUE"""),"Lentes de STOCK")</f>
        <v>Lentes de STOCK</v>
      </c>
      <c r="E972" s="1" t="str">
        <f>IFERROR(__xludf.DUMMYFUNCTION("""COMPUTED_VALUE"""),"ARTIGAS Ivana P.")</f>
        <v>ARTIGAS Ivana P.</v>
      </c>
      <c r="F972" s="1" t="str">
        <f t="shared" si="1"/>
        <v>ARTIGAS </v>
      </c>
      <c r="G972" s="1" t="str">
        <f t="shared" si="2"/>
        <v>Ivana P.</v>
      </c>
      <c r="H972" s="1" t="str">
        <f>IFERROR(__xludf.DUMMYFUNCTION("""COMPUTED_VALUE"""),"30/1/2023, 17:00:00")</f>
        <v>30/1/2023, 17:00:00</v>
      </c>
      <c r="I972" s="1" t="str">
        <f>IFERROR(__xludf.DUMMYFUNCTION("""COMPUTED_VALUE"""),"RETIRADO OK POR CLIENTE")</f>
        <v>RETIRADO OK POR CLIENTE</v>
      </c>
      <c r="J972" s="1">
        <f t="shared" si="3"/>
        <v>6</v>
      </c>
      <c r="K972" s="1" t="str">
        <f t="shared" si="4"/>
        <v>Entregamos tus lentes, que los disfrutes!</v>
      </c>
    </row>
    <row r="973">
      <c r="A973" s="1">
        <f>IFERROR(__xludf.DUMMYFUNCTION("""COMPUTED_VALUE"""),85523.0)</f>
        <v>85523</v>
      </c>
      <c r="B973" s="5">
        <f>IFERROR(__xludf.DUMMYFUNCTION("""COMPUTED_VALUE"""),44950.451409490735)</f>
        <v>44950.45141</v>
      </c>
      <c r="C973" s="1" t="str">
        <f>IFERROR(__xludf.DUMMYFUNCTION("""COMPUTED_VALUE"""),"OLGUIN ARIEL")</f>
        <v>OLGUIN ARIEL</v>
      </c>
      <c r="D973" s="1" t="str">
        <f>IFERROR(__xludf.DUMMYFUNCTION("""COMPUTED_VALUE"""),"Lentes de STOCK")</f>
        <v>Lentes de STOCK</v>
      </c>
      <c r="E973" s="1" t="str">
        <f>IFERROR(__xludf.DUMMYFUNCTION("""COMPUTED_VALUE"""),"ARTIGAS Cristian C.")</f>
        <v>ARTIGAS Cristian C.</v>
      </c>
      <c r="F973" s="1" t="str">
        <f t="shared" si="1"/>
        <v>ARTIGAS </v>
      </c>
      <c r="G973" s="1" t="str">
        <f t="shared" si="2"/>
        <v>Cristian C.</v>
      </c>
      <c r="H973" s="1" t="str">
        <f>IFERROR(__xludf.DUMMYFUNCTION("""COMPUTED_VALUE"""),"1/2/2023, 17:00:00")</f>
        <v>1/2/2023, 17:00:00</v>
      </c>
      <c r="I973" s="1" t="str">
        <f>IFERROR(__xludf.DUMMYFUNCTION("""COMPUTED_VALUE"""),"Completado en SUCURSAL")</f>
        <v>Completado en SUCURSAL</v>
      </c>
      <c r="J973" s="1">
        <f t="shared" si="3"/>
        <v>5</v>
      </c>
      <c r="K973" s="1" t="str">
        <f t="shared" si="4"/>
        <v>Tus Lentes estan LISTAS PARA ENTREGAR, te esperamos.</v>
      </c>
    </row>
    <row r="974">
      <c r="A974" s="1">
        <f>IFERROR(__xludf.DUMMYFUNCTION("""COMPUTED_VALUE"""),85524.0)</f>
        <v>85524</v>
      </c>
      <c r="B974" s="5">
        <f>IFERROR(__xludf.DUMMYFUNCTION("""COMPUTED_VALUE"""),44950.457067407406)</f>
        <v>44950.45707</v>
      </c>
      <c r="C974" s="1" t="str">
        <f>IFERROR(__xludf.DUMMYFUNCTION("""COMPUTED_VALUE"""),"grandal alejandra")</f>
        <v>grandal alejandra</v>
      </c>
      <c r="D974" s="1" t="str">
        <f>IFERROR(__xludf.DUMMYFUNCTION("""COMPUTED_VALUE"""),"Lentes de STOCK")</f>
        <v>Lentes de STOCK</v>
      </c>
      <c r="E974" s="1" t="str">
        <f>IFERROR(__xludf.DUMMYFUNCTION("""COMPUTED_VALUE"""),"RIVADAVIA Santiago N")</f>
        <v>RIVADAVIA Santiago N</v>
      </c>
      <c r="F974" s="1" t="str">
        <f t="shared" si="1"/>
        <v>RIVADAVIA </v>
      </c>
      <c r="G974" s="1" t="str">
        <f t="shared" si="2"/>
        <v>Santiago N</v>
      </c>
      <c r="H974" s="1" t="str">
        <f>IFERROR(__xludf.DUMMYFUNCTION("""COMPUTED_VALUE"""),"27/1/2023, 17:00:00")</f>
        <v>27/1/2023, 17:00:00</v>
      </c>
      <c r="I974" s="1" t="str">
        <f>IFERROR(__xludf.DUMMYFUNCTION("""COMPUTED_VALUE"""),"Completado en SUCURSAL")</f>
        <v>Completado en SUCURSAL</v>
      </c>
      <c r="J974" s="1">
        <f t="shared" si="3"/>
        <v>5</v>
      </c>
      <c r="K974" s="1" t="str">
        <f t="shared" si="4"/>
        <v>Tus Lentes estan LISTAS PARA ENTREGAR, te esperamos.</v>
      </c>
    </row>
    <row r="975">
      <c r="A975" s="1">
        <f>IFERROR(__xludf.DUMMYFUNCTION("""COMPUTED_VALUE"""),85525.0)</f>
        <v>85525</v>
      </c>
      <c r="B975" s="5">
        <f>IFERROR(__xludf.DUMMYFUNCTION("""COMPUTED_VALUE"""),44950.45974726852)</f>
        <v>44950.45975</v>
      </c>
      <c r="C975" s="1" t="str">
        <f>IFERROR(__xludf.DUMMYFUNCTION("""COMPUTED_VALUE"""),"ROSALES VERONICA")</f>
        <v>ROSALES VERONICA</v>
      </c>
      <c r="D975" s="1" t="str">
        <f>IFERROR(__xludf.DUMMYFUNCTION("""COMPUTED_VALUE"""),"Reparaciones/Otros")</f>
        <v>Reparaciones/Otros</v>
      </c>
      <c r="E975" s="1" t="str">
        <f>IFERROR(__xludf.DUMMYFUNCTION("""COMPUTED_VALUE"""),"ARTIGAS Celina")</f>
        <v>ARTIGAS Celina</v>
      </c>
      <c r="F975" s="1" t="str">
        <f t="shared" si="1"/>
        <v>ARTIGAS </v>
      </c>
      <c r="G975" s="1" t="str">
        <f t="shared" si="2"/>
        <v>Celina</v>
      </c>
      <c r="H975" s="1" t="str">
        <f>IFERROR(__xludf.DUMMYFUNCTION("""COMPUTED_VALUE"""),"25/1/2023, 17:00:00")</f>
        <v>25/1/2023, 17:00:00</v>
      </c>
      <c r="I975" s="1" t="str">
        <f>IFERROR(__xludf.DUMMYFUNCTION("""COMPUTED_VALUE"""),"Completado en SUCURSAL")</f>
        <v>Completado en SUCURSAL</v>
      </c>
      <c r="J975" s="1">
        <f t="shared" si="3"/>
        <v>5</v>
      </c>
      <c r="K975" s="1" t="str">
        <f t="shared" si="4"/>
        <v>Tus Lentes estan LISTAS PARA ENTREGAR, te esperamos.</v>
      </c>
    </row>
    <row r="976">
      <c r="A976" s="1">
        <f>IFERROR(__xludf.DUMMYFUNCTION("""COMPUTED_VALUE"""),85526.0)</f>
        <v>85526</v>
      </c>
      <c r="B976" s="5">
        <f>IFERROR(__xludf.DUMMYFUNCTION("""COMPUTED_VALUE"""),44950.46103038194)</f>
        <v>44950.46103</v>
      </c>
      <c r="C976" s="1" t="str">
        <f>IFERROR(__xludf.DUMMYFUNCTION("""COMPUTED_VALUE"""),"GUEVARA BLANCA")</f>
        <v>GUEVARA BLANCA</v>
      </c>
      <c r="D976" s="1" t="str">
        <f>IFERROR(__xludf.DUMMYFUNCTION("""COMPUTED_VALUE"""),"Reparaciones/Otros")</f>
        <v>Reparaciones/Otros</v>
      </c>
      <c r="E976" s="1" t="str">
        <f>IFERROR(__xludf.DUMMYFUNCTION("""COMPUTED_VALUE"""),"ARTIGAS Celina")</f>
        <v>ARTIGAS Celina</v>
      </c>
      <c r="F976" s="1" t="str">
        <f t="shared" si="1"/>
        <v>ARTIGAS </v>
      </c>
      <c r="G976" s="1" t="str">
        <f t="shared" si="2"/>
        <v>Celina</v>
      </c>
      <c r="H976" s="1" t="str">
        <f>IFERROR(__xludf.DUMMYFUNCTION("""COMPUTED_VALUE"""),"25/1/2023, 17:00:00")</f>
        <v>25/1/2023, 17:00:00</v>
      </c>
      <c r="I976" s="1" t="str">
        <f>IFERROR(__xludf.DUMMYFUNCTION("""COMPUTED_VALUE"""),"Recibido en Laboratorio")</f>
        <v>Recibido en Laboratorio</v>
      </c>
      <c r="J976" s="1">
        <f t="shared" si="3"/>
        <v>2</v>
      </c>
      <c r="K976" s="1" t="str">
        <f t="shared" si="4"/>
        <v>Nuestro Laboratorio esta trabajando en tus lentes, los entregaremos en la fecha acordada.</v>
      </c>
    </row>
    <row r="977">
      <c r="A977" s="1">
        <f>IFERROR(__xludf.DUMMYFUNCTION("""COMPUTED_VALUE"""),85527.0)</f>
        <v>85527</v>
      </c>
      <c r="B977" s="5">
        <f>IFERROR(__xludf.DUMMYFUNCTION("""COMPUTED_VALUE"""),44950.461748368056)</f>
        <v>44950.46175</v>
      </c>
      <c r="C977" s="1" t="str">
        <f>IFERROR(__xludf.DUMMYFUNCTION("""COMPUTED_VALUE"""),"mirnada cristina")</f>
        <v>mirnada cristina</v>
      </c>
      <c r="D977" s="1" t="str">
        <f>IFERROR(__xludf.DUMMYFUNCTION("""COMPUTED_VALUE"""),"Lentes de STOCK")</f>
        <v>Lentes de STOCK</v>
      </c>
      <c r="E977" s="1" t="str">
        <f>IFERROR(__xludf.DUMMYFUNCTION("""COMPUTED_VALUE"""),"RIVADAVIA Santiago LOPEZ")</f>
        <v>RIVADAVIA Santiago LOPEZ</v>
      </c>
      <c r="F977" s="1" t="str">
        <f t="shared" si="1"/>
        <v>RIVADAVIA </v>
      </c>
      <c r="G977" s="1" t="str">
        <f t="shared" si="2"/>
        <v>Santiago LOPEZ</v>
      </c>
      <c r="H977" s="1" t="str">
        <f>IFERROR(__xludf.DUMMYFUNCTION("""COMPUTED_VALUE"""),"26/1/2023, 17:00:00")</f>
        <v>26/1/2023, 17:00:00</v>
      </c>
      <c r="I977" s="1" t="str">
        <f>IFERROR(__xludf.DUMMYFUNCTION("""COMPUTED_VALUE"""),"RETIRADO OK POR CLIENTE")</f>
        <v>RETIRADO OK POR CLIENTE</v>
      </c>
      <c r="J977" s="1">
        <f t="shared" si="3"/>
        <v>6</v>
      </c>
      <c r="K977" s="1" t="str">
        <f t="shared" si="4"/>
        <v>Entregamos tus lentes, que los disfrutes!</v>
      </c>
    </row>
    <row r="978">
      <c r="A978" s="1">
        <f>IFERROR(__xludf.DUMMYFUNCTION("""COMPUTED_VALUE"""),85528.0)</f>
        <v>85528</v>
      </c>
      <c r="B978" s="5">
        <f>IFERROR(__xludf.DUMMYFUNCTION("""COMPUTED_VALUE"""),44950.46659591435)</f>
        <v>44950.4666</v>
      </c>
      <c r="C978" s="1" t="str">
        <f>IFERROR(__xludf.DUMMYFUNCTION("""COMPUTED_VALUE"""),"FERNANDEZ NORA")</f>
        <v>FERNANDEZ NORA</v>
      </c>
      <c r="D978" s="1" t="str">
        <f>IFERROR(__xludf.DUMMYFUNCTION("""COMPUTED_VALUE"""),"Lentes de STOCK")</f>
        <v>Lentes de STOCK</v>
      </c>
      <c r="E978" s="1" t="str">
        <f>IFERROR(__xludf.DUMMYFUNCTION("""COMPUTED_VALUE"""),"RIVADAVIA Daniel CM")</f>
        <v>RIVADAVIA Daniel CM</v>
      </c>
      <c r="F978" s="1" t="str">
        <f t="shared" si="1"/>
        <v>RIVADAVIA </v>
      </c>
      <c r="G978" s="1" t="str">
        <f t="shared" si="2"/>
        <v>Daniel CM</v>
      </c>
      <c r="H978" s="1" t="str">
        <f>IFERROR(__xludf.DUMMYFUNCTION("""COMPUTED_VALUE"""),"27/1/2023, 17:00:00")</f>
        <v>27/1/2023, 17:00:00</v>
      </c>
      <c r="I978" s="1" t="str">
        <f>IFERROR(__xludf.DUMMYFUNCTION("""COMPUTED_VALUE"""),"Completado en SUCURSAL")</f>
        <v>Completado en SUCURSAL</v>
      </c>
      <c r="J978" s="1">
        <f t="shared" si="3"/>
        <v>5</v>
      </c>
      <c r="K978" s="1" t="str">
        <f t="shared" si="4"/>
        <v>Tus Lentes estan LISTAS PARA ENTREGAR, te esperamos.</v>
      </c>
    </row>
    <row r="979">
      <c r="A979" s="1">
        <f>IFERROR(__xludf.DUMMYFUNCTION("""COMPUTED_VALUE"""),85529.0)</f>
        <v>85529</v>
      </c>
      <c r="B979" s="5">
        <f>IFERROR(__xludf.DUMMYFUNCTION("""COMPUTED_VALUE"""),44950.467555254625)</f>
        <v>44950.46756</v>
      </c>
      <c r="C979" s="1" t="str">
        <f>IFERROR(__xludf.DUMMYFUNCTION("""COMPUTED_VALUE"""),"LUCERO ALICIA")</f>
        <v>LUCERO ALICIA</v>
      </c>
      <c r="D979" s="1" t="str">
        <f>IFERROR(__xludf.DUMMYFUNCTION("""COMPUTED_VALUE"""),"Reparaciones/Otros")</f>
        <v>Reparaciones/Otros</v>
      </c>
      <c r="E979" s="1" t="str">
        <f>IFERROR(__xludf.DUMMYFUNCTION("""COMPUTED_VALUE"""),"ARTIGAS Ivana P.")</f>
        <v>ARTIGAS Ivana P.</v>
      </c>
      <c r="F979" s="1" t="str">
        <f t="shared" si="1"/>
        <v>ARTIGAS </v>
      </c>
      <c r="G979" s="1" t="str">
        <f t="shared" si="2"/>
        <v>Ivana P.</v>
      </c>
      <c r="H979" s="1" t="str">
        <f>IFERROR(__xludf.DUMMYFUNCTION("""COMPUTED_VALUE"""),"25/1/2023, 17:00:00")</f>
        <v>25/1/2023, 17:00:00</v>
      </c>
      <c r="I979" s="1" t="str">
        <f>IFERROR(__xludf.DUMMYFUNCTION("""COMPUTED_VALUE"""),"Completado en SUCURSAL")</f>
        <v>Completado en SUCURSAL</v>
      </c>
      <c r="J979" s="1">
        <f t="shared" si="3"/>
        <v>5</v>
      </c>
      <c r="K979" s="1" t="str">
        <f t="shared" si="4"/>
        <v>Tus Lentes estan LISTAS PARA ENTREGAR, te esperamos.</v>
      </c>
    </row>
    <row r="980">
      <c r="A980" s="1">
        <f>IFERROR(__xludf.DUMMYFUNCTION("""COMPUTED_VALUE"""),85530.0)</f>
        <v>85530</v>
      </c>
      <c r="B980" s="5">
        <f>IFERROR(__xludf.DUMMYFUNCTION("""COMPUTED_VALUE"""),44950.47118659722)</f>
        <v>44950.47119</v>
      </c>
      <c r="C980" s="1" t="str">
        <f>IFERROR(__xludf.DUMMYFUNCTION("""COMPUTED_VALUE"""),"morales malena")</f>
        <v>morales malena</v>
      </c>
      <c r="D980" s="1" t="str">
        <f>IFERROR(__xludf.DUMMYFUNCTION("""COMPUTED_VALUE"""),"Lentes de STOCK")</f>
        <v>Lentes de STOCK</v>
      </c>
      <c r="E980" s="1" t="str">
        <f>IFERROR(__xludf.DUMMYFUNCTION("""COMPUTED_VALUE"""),"RIVADAVIA Santiago N")</f>
        <v>RIVADAVIA Santiago N</v>
      </c>
      <c r="F980" s="1" t="str">
        <f t="shared" si="1"/>
        <v>RIVADAVIA </v>
      </c>
      <c r="G980" s="1" t="str">
        <f t="shared" si="2"/>
        <v>Santiago N</v>
      </c>
      <c r="H980" s="1" t="str">
        <f>IFERROR(__xludf.DUMMYFUNCTION("""COMPUTED_VALUE"""),"30/1/2023, 17:00:00")</f>
        <v>30/1/2023, 17:00:00</v>
      </c>
      <c r="I980" s="1" t="str">
        <f>IFERROR(__xludf.DUMMYFUNCTION("""COMPUTED_VALUE"""),"RETIRADO OK POR CLIENTE")</f>
        <v>RETIRADO OK POR CLIENTE</v>
      </c>
      <c r="J980" s="1">
        <f t="shared" si="3"/>
        <v>6</v>
      </c>
      <c r="K980" s="1" t="str">
        <f t="shared" si="4"/>
        <v>Entregamos tus lentes, que los disfrutes!</v>
      </c>
    </row>
    <row r="981">
      <c r="A981" s="1">
        <f>IFERROR(__xludf.DUMMYFUNCTION("""COMPUTED_VALUE"""),85531.0)</f>
        <v>85531</v>
      </c>
      <c r="B981" s="5">
        <f>IFERROR(__xludf.DUMMYFUNCTION("""COMPUTED_VALUE"""),44950.482398101856)</f>
        <v>44950.4824</v>
      </c>
      <c r="C981" s="1" t="str">
        <f>IFERROR(__xludf.DUMMYFUNCTION("""COMPUTED_VALUE"""),"TORRES SOSA FRANCCESCA")</f>
        <v>TORRES SOSA FRANCCESCA</v>
      </c>
      <c r="D981" s="1" t="str">
        <f>IFERROR(__xludf.DUMMYFUNCTION("""COMPUTED_VALUE"""),"Lentes de STOCK")</f>
        <v>Lentes de STOCK</v>
      </c>
      <c r="E981" s="1" t="str">
        <f>IFERROR(__xludf.DUMMYFUNCTION("""COMPUTED_VALUE"""),"RIVADAVIA Luciana")</f>
        <v>RIVADAVIA Luciana</v>
      </c>
      <c r="F981" s="1" t="str">
        <f t="shared" si="1"/>
        <v>RIVADAVIA </v>
      </c>
      <c r="G981" s="1" t="str">
        <f t="shared" si="2"/>
        <v>Luciana</v>
      </c>
      <c r="H981" s="1" t="str">
        <f>IFERROR(__xludf.DUMMYFUNCTION("""COMPUTED_VALUE"""),"30/1/2023, 17:00:00")</f>
        <v>30/1/2023, 17:00:00</v>
      </c>
      <c r="I981" s="1" t="str">
        <f>IFERROR(__xludf.DUMMYFUNCTION("""COMPUTED_VALUE"""),"RETIRADO OK POR CLIENTE")</f>
        <v>RETIRADO OK POR CLIENTE</v>
      </c>
      <c r="J981" s="1">
        <f t="shared" si="3"/>
        <v>6</v>
      </c>
      <c r="K981" s="1" t="str">
        <f t="shared" si="4"/>
        <v>Entregamos tus lentes, que los disfrutes!</v>
      </c>
    </row>
    <row r="982">
      <c r="A982" s="1">
        <f>IFERROR(__xludf.DUMMYFUNCTION("""COMPUTED_VALUE"""),85532.0)</f>
        <v>85532</v>
      </c>
      <c r="B982" s="5">
        <f>IFERROR(__xludf.DUMMYFUNCTION("""COMPUTED_VALUE"""),44950.487812175925)</f>
        <v>44950.48781</v>
      </c>
      <c r="C982" s="1" t="str">
        <f>IFERROR(__xludf.DUMMYFUNCTION("""COMPUTED_VALUE"""),"GAUNA DELIA DEL ROSARIO")</f>
        <v>GAUNA DELIA DEL ROSARIO</v>
      </c>
      <c r="D982" s="1" t="str">
        <f>IFERROR(__xludf.DUMMYFUNCTION("""COMPUTED_VALUE"""),"Lentes de STOCK")</f>
        <v>Lentes de STOCK</v>
      </c>
      <c r="E982" s="1" t="str">
        <f>IFERROR(__xludf.DUMMYFUNCTION("""COMPUTED_VALUE"""),"RIVADAVIA Marcela L")</f>
        <v>RIVADAVIA Marcela L</v>
      </c>
      <c r="F982" s="1" t="str">
        <f t="shared" si="1"/>
        <v>RIVADAVIA </v>
      </c>
      <c r="G982" s="1" t="str">
        <f t="shared" si="2"/>
        <v>Marcela L</v>
      </c>
      <c r="H982" s="1" t="str">
        <f>IFERROR(__xludf.DUMMYFUNCTION("""COMPUTED_VALUE"""),"27/1/2023, 17:00:00")</f>
        <v>27/1/2023, 17:00:00</v>
      </c>
      <c r="I982" s="1" t="str">
        <f>IFERROR(__xludf.DUMMYFUNCTION("""COMPUTED_VALUE"""),"Completado en SUCURSAL")</f>
        <v>Completado en SUCURSAL</v>
      </c>
      <c r="J982" s="1">
        <f t="shared" si="3"/>
        <v>5</v>
      </c>
      <c r="K982" s="1" t="str">
        <f t="shared" si="4"/>
        <v>Tus Lentes estan LISTAS PARA ENTREGAR, te esperamos.</v>
      </c>
    </row>
    <row r="983">
      <c r="A983" s="1">
        <f>IFERROR(__xludf.DUMMYFUNCTION("""COMPUTED_VALUE"""),85533.0)</f>
        <v>85533</v>
      </c>
      <c r="B983" s="5">
        <f>IFERROR(__xludf.DUMMYFUNCTION("""COMPUTED_VALUE"""),44950.48874548612)</f>
        <v>44950.48875</v>
      </c>
      <c r="C983" s="1" t="str">
        <f>IFERROR(__xludf.DUMMYFUNCTION("""COMPUTED_VALUE"""),"BORDENAVE MARIA")</f>
        <v>BORDENAVE MARIA</v>
      </c>
      <c r="D983" s="1" t="str">
        <f>IFERROR(__xludf.DUMMYFUNCTION("""COMPUTED_VALUE"""),"Lentes MULTIFOCALES")</f>
        <v>Lentes MULTIFOCALES</v>
      </c>
      <c r="E983" s="1" t="str">
        <f>IFERROR(__xludf.DUMMYFUNCTION("""COMPUTED_VALUE"""),"ARTIGAS Ivana P.")</f>
        <v>ARTIGAS Ivana P.</v>
      </c>
      <c r="F983" s="1" t="str">
        <f t="shared" si="1"/>
        <v>ARTIGAS </v>
      </c>
      <c r="G983" s="1" t="str">
        <f t="shared" si="2"/>
        <v>Ivana P.</v>
      </c>
      <c r="H983" s="1" t="str">
        <f>IFERROR(__xludf.DUMMYFUNCTION("""COMPUTED_VALUE"""),"9/2/2023, 17:00:00")</f>
        <v>9/2/2023, 17:00:00</v>
      </c>
      <c r="I983" s="1" t="str">
        <f>IFERROR(__xludf.DUMMYFUNCTION("""COMPUTED_VALUE"""),"RETIRADO OK POR CLIENTE")</f>
        <v>RETIRADO OK POR CLIENTE</v>
      </c>
      <c r="J983" s="1">
        <f t="shared" si="3"/>
        <v>6</v>
      </c>
      <c r="K983" s="1" t="str">
        <f t="shared" si="4"/>
        <v>Entregamos tus lentes, que los disfrutes!</v>
      </c>
    </row>
    <row r="984">
      <c r="A984" s="1">
        <f>IFERROR(__xludf.DUMMYFUNCTION("""COMPUTED_VALUE"""),85534.0)</f>
        <v>85534</v>
      </c>
      <c r="B984" s="5">
        <f>IFERROR(__xludf.DUMMYFUNCTION("""COMPUTED_VALUE"""),44950.49146314815)</f>
        <v>44950.49146</v>
      </c>
      <c r="C984" s="1" t="str">
        <f>IFERROR(__xludf.DUMMYFUNCTION("""COMPUTED_VALUE"""),"de nadai matias ")</f>
        <v>de nadai matias </v>
      </c>
      <c r="D984" s="1" t="str">
        <f>IFERROR(__xludf.DUMMYFUNCTION("""COMPUTED_VALUE"""),"Lentes de LABORATORIO")</f>
        <v>Lentes de LABORATORIO</v>
      </c>
      <c r="E984" s="1" t="str">
        <f>IFERROR(__xludf.DUMMYFUNCTION("""COMPUTED_VALUE"""),"RIVADAVIA Santiago N")</f>
        <v>RIVADAVIA Santiago N</v>
      </c>
      <c r="F984" s="1" t="str">
        <f t="shared" si="1"/>
        <v>RIVADAVIA </v>
      </c>
      <c r="G984" s="1" t="str">
        <f t="shared" si="2"/>
        <v>Santiago N</v>
      </c>
      <c r="H984" s="1" t="str">
        <f>IFERROR(__xludf.DUMMYFUNCTION("""COMPUTED_VALUE"""),"8/2/2023, 17:00:00")</f>
        <v>8/2/2023, 17:00:00</v>
      </c>
      <c r="I984" s="1" t="str">
        <f>IFERROR(__xludf.DUMMYFUNCTION("""COMPUTED_VALUE"""),"RETIRADO OK POR CLIENTE")</f>
        <v>RETIRADO OK POR CLIENTE</v>
      </c>
      <c r="J984" s="1">
        <f t="shared" si="3"/>
        <v>6</v>
      </c>
      <c r="K984" s="1" t="str">
        <f t="shared" si="4"/>
        <v>Entregamos tus lentes, que los disfrutes!</v>
      </c>
    </row>
    <row r="985">
      <c r="A985" s="1">
        <f>IFERROR(__xludf.DUMMYFUNCTION("""COMPUTED_VALUE"""),85535.0)</f>
        <v>85535</v>
      </c>
      <c r="B985" s="5">
        <f>IFERROR(__xludf.DUMMYFUNCTION("""COMPUTED_VALUE"""),44950.492983275464)</f>
        <v>44950.49298</v>
      </c>
      <c r="C985" s="1" t="str">
        <f>IFERROR(__xludf.DUMMYFUNCTION("""COMPUTED_VALUE"""),"Barroso Nera Nelida")</f>
        <v>Barroso Nera Nelida</v>
      </c>
      <c r="D985" s="1" t="str">
        <f>IFERROR(__xludf.DUMMYFUNCTION("""COMPUTED_VALUE"""),"Lentes de STOCK")</f>
        <v>Lentes de STOCK</v>
      </c>
      <c r="E985" s="1" t="str">
        <f>IFERROR(__xludf.DUMMYFUNCTION("""COMPUTED_VALUE"""),"RIVADAVIA Rocio B")</f>
        <v>RIVADAVIA Rocio B</v>
      </c>
      <c r="F985" s="1" t="str">
        <f t="shared" si="1"/>
        <v>RIVADAVIA </v>
      </c>
      <c r="G985" s="1" t="str">
        <f t="shared" si="2"/>
        <v>Rocio B</v>
      </c>
      <c r="H985" s="1" t="str">
        <f>IFERROR(__xludf.DUMMYFUNCTION("""COMPUTED_VALUE"""),"30/1/2023, 17:00:00")</f>
        <v>30/1/2023, 17:00:00</v>
      </c>
      <c r="I985" s="1" t="str">
        <f>IFERROR(__xludf.DUMMYFUNCTION("""COMPUTED_VALUE"""),"RETIRADO OK POR CLIENTE")</f>
        <v>RETIRADO OK POR CLIENTE</v>
      </c>
      <c r="J985" s="1">
        <f t="shared" si="3"/>
        <v>6</v>
      </c>
      <c r="K985" s="1" t="str">
        <f t="shared" si="4"/>
        <v>Entregamos tus lentes, que los disfrutes!</v>
      </c>
    </row>
    <row r="986">
      <c r="A986" s="1">
        <f>IFERROR(__xludf.DUMMYFUNCTION("""COMPUTED_VALUE"""),85536.0)</f>
        <v>85536</v>
      </c>
      <c r="B986" s="5">
        <f>IFERROR(__xludf.DUMMYFUNCTION("""COMPUTED_VALUE"""),44950.494333587965)</f>
        <v>44950.49433</v>
      </c>
      <c r="C986" s="1" t="str">
        <f>IFERROR(__xludf.DUMMYFUNCTION("""COMPUTED_VALUE"""),"ALCARAZ DOMINGO ")</f>
        <v>ALCARAZ DOMINGO </v>
      </c>
      <c r="D986" s="1" t="str">
        <f>IFERROR(__xludf.DUMMYFUNCTION("""COMPUTED_VALUE"""),"Lentes de STOCK")</f>
        <v>Lentes de STOCK</v>
      </c>
      <c r="E986" s="1" t="str">
        <f>IFERROR(__xludf.DUMMYFUNCTION("""COMPUTED_VALUE"""),"RIVADAVIA Marcela L")</f>
        <v>RIVADAVIA Marcela L</v>
      </c>
      <c r="F986" s="1" t="str">
        <f t="shared" si="1"/>
        <v>RIVADAVIA </v>
      </c>
      <c r="G986" s="1" t="str">
        <f t="shared" si="2"/>
        <v>Marcela L</v>
      </c>
      <c r="H986" s="1" t="str">
        <f>IFERROR(__xludf.DUMMYFUNCTION("""COMPUTED_VALUE"""),"27/1/2023, 17:00:00")</f>
        <v>27/1/2023, 17:00:00</v>
      </c>
      <c r="I986" s="1" t="str">
        <f>IFERROR(__xludf.DUMMYFUNCTION("""COMPUTED_VALUE"""),"RETIRADO OK POR CLIENTE")</f>
        <v>RETIRADO OK POR CLIENTE</v>
      </c>
      <c r="J986" s="1">
        <f t="shared" si="3"/>
        <v>6</v>
      </c>
      <c r="K986" s="1" t="str">
        <f t="shared" si="4"/>
        <v>Entregamos tus lentes, que los disfrutes!</v>
      </c>
    </row>
    <row r="987">
      <c r="A987" s="1">
        <f>IFERROR(__xludf.DUMMYFUNCTION("""COMPUTED_VALUE"""),85537.0)</f>
        <v>85537</v>
      </c>
      <c r="B987" s="5">
        <f>IFERROR(__xludf.DUMMYFUNCTION("""COMPUTED_VALUE"""),44950.49914685186)</f>
        <v>44950.49915</v>
      </c>
      <c r="C987" s="1" t="str">
        <f>IFERROR(__xludf.DUMMYFUNCTION("""COMPUTED_VALUE"""),"POMA SANCHEZ CRISTOPHER")</f>
        <v>POMA SANCHEZ CRISTOPHER</v>
      </c>
      <c r="D987" s="1" t="str">
        <f>IFERROR(__xludf.DUMMYFUNCTION("""COMPUTED_VALUE"""),"Lentes de STOCK")</f>
        <v>Lentes de STOCK</v>
      </c>
      <c r="E987" s="1" t="str">
        <f>IFERROR(__xludf.DUMMYFUNCTION("""COMPUTED_VALUE"""),"RIVADAVIA Luciana")</f>
        <v>RIVADAVIA Luciana</v>
      </c>
      <c r="F987" s="1" t="str">
        <f t="shared" si="1"/>
        <v>RIVADAVIA </v>
      </c>
      <c r="G987" s="1" t="str">
        <f t="shared" si="2"/>
        <v>Luciana</v>
      </c>
      <c r="H987" s="1" t="str">
        <f>IFERROR(__xludf.DUMMYFUNCTION("""COMPUTED_VALUE"""),"31/1/2023, 17:00:00")</f>
        <v>31/1/2023, 17:00:00</v>
      </c>
      <c r="I987" s="1" t="str">
        <f>IFERROR(__xludf.DUMMYFUNCTION("""COMPUTED_VALUE"""),"RETIRADO OK POR CLIENTE")</f>
        <v>RETIRADO OK POR CLIENTE</v>
      </c>
      <c r="J987" s="1">
        <f t="shared" si="3"/>
        <v>6</v>
      </c>
      <c r="K987" s="1" t="str">
        <f t="shared" si="4"/>
        <v>Entregamos tus lentes, que los disfrutes!</v>
      </c>
    </row>
    <row r="988">
      <c r="A988" s="1">
        <f>IFERROR(__xludf.DUMMYFUNCTION("""COMPUTED_VALUE"""),85538.0)</f>
        <v>85538</v>
      </c>
      <c r="B988" s="5">
        <f>IFERROR(__xludf.DUMMYFUNCTION("""COMPUTED_VALUE"""),44950.504138379634)</f>
        <v>44950.50414</v>
      </c>
      <c r="C988" s="1" t="str">
        <f>IFERROR(__xludf.DUMMYFUNCTION("""COMPUTED_VALUE"""),"SALINAS MARTINA CECILIA")</f>
        <v>SALINAS MARTINA CECILIA</v>
      </c>
      <c r="D988" s="1" t="str">
        <f>IFERROR(__xludf.DUMMYFUNCTION("""COMPUTED_VALUE"""),"Lentes de STOCK")</f>
        <v>Lentes de STOCK</v>
      </c>
      <c r="E988" s="1" t="str">
        <f>IFERROR(__xludf.DUMMYFUNCTION("""COMPUTED_VALUE"""),"ARTIGAS Cristian C.")</f>
        <v>ARTIGAS Cristian C.</v>
      </c>
      <c r="F988" s="1" t="str">
        <f t="shared" si="1"/>
        <v>ARTIGAS </v>
      </c>
      <c r="G988" s="1" t="str">
        <f t="shared" si="2"/>
        <v>Cristian C.</v>
      </c>
      <c r="H988" s="1" t="str">
        <f>IFERROR(__xludf.DUMMYFUNCTION("""COMPUTED_VALUE"""),"31/1/2023, 17:00:00")</f>
        <v>31/1/2023, 17:00:00</v>
      </c>
      <c r="I988" s="1" t="str">
        <f>IFERROR(__xludf.DUMMYFUNCTION("""COMPUTED_VALUE"""),"RETIRADO OK POR CLIENTE")</f>
        <v>RETIRADO OK POR CLIENTE</v>
      </c>
      <c r="J988" s="1">
        <f t="shared" si="3"/>
        <v>6</v>
      </c>
      <c r="K988" s="1" t="str">
        <f t="shared" si="4"/>
        <v>Entregamos tus lentes, que los disfrutes!</v>
      </c>
    </row>
    <row r="989">
      <c r="A989" s="1">
        <f>IFERROR(__xludf.DUMMYFUNCTION("""COMPUTED_VALUE"""),85539.0)</f>
        <v>85539</v>
      </c>
      <c r="B989" s="5">
        <f>IFERROR(__xludf.DUMMYFUNCTION("""COMPUTED_VALUE"""),44950.50749670139)</f>
        <v>44950.5075</v>
      </c>
      <c r="C989" s="1" t="str">
        <f>IFERROR(__xludf.DUMMYFUNCTION("""COMPUTED_VALUE"""),"SALINAS BAUTISTA LAUTARO")</f>
        <v>SALINAS BAUTISTA LAUTARO</v>
      </c>
      <c r="D989" s="1" t="str">
        <f>IFERROR(__xludf.DUMMYFUNCTION("""COMPUTED_VALUE"""),"Lentes de STOCK")</f>
        <v>Lentes de STOCK</v>
      </c>
      <c r="E989" s="1" t="str">
        <f>IFERROR(__xludf.DUMMYFUNCTION("""COMPUTED_VALUE"""),"ARTIGAS Cristian C.")</f>
        <v>ARTIGAS Cristian C.</v>
      </c>
      <c r="F989" s="1" t="str">
        <f t="shared" si="1"/>
        <v>ARTIGAS </v>
      </c>
      <c r="G989" s="1" t="str">
        <f t="shared" si="2"/>
        <v>Cristian C.</v>
      </c>
      <c r="H989" s="1" t="str">
        <f>IFERROR(__xludf.DUMMYFUNCTION("""COMPUTED_VALUE"""),"31/1/2023, 17:00:00")</f>
        <v>31/1/2023, 17:00:00</v>
      </c>
      <c r="I989" s="1" t="str">
        <f>IFERROR(__xludf.DUMMYFUNCTION("""COMPUTED_VALUE"""),"RETIRADO OK POR CLIENTE")</f>
        <v>RETIRADO OK POR CLIENTE</v>
      </c>
      <c r="J989" s="1">
        <f t="shared" si="3"/>
        <v>6</v>
      </c>
      <c r="K989" s="1" t="str">
        <f t="shared" si="4"/>
        <v>Entregamos tus lentes, que los disfrutes!</v>
      </c>
    </row>
    <row r="990">
      <c r="A990" s="1">
        <f>IFERROR(__xludf.DUMMYFUNCTION("""COMPUTED_VALUE"""),85540.0)</f>
        <v>85540</v>
      </c>
      <c r="B990" s="5">
        <f>IFERROR(__xludf.DUMMYFUNCTION("""COMPUTED_VALUE"""),44950.51281349537)</f>
        <v>44950.51281</v>
      </c>
      <c r="C990" s="1" t="str">
        <f>IFERROR(__xludf.DUMMYFUNCTION("""COMPUTED_VALUE"""),"GUTIERREZ JOAQUIN ")</f>
        <v>GUTIERREZ JOAQUIN </v>
      </c>
      <c r="D990" s="1" t="str">
        <f>IFERROR(__xludf.DUMMYFUNCTION("""COMPUTED_VALUE"""),"Lentes de STOCK")</f>
        <v>Lentes de STOCK</v>
      </c>
      <c r="E990" s="1" t="str">
        <f>IFERROR(__xludf.DUMMYFUNCTION("""COMPUTED_VALUE"""),"ARTIGAS Cristian C.")</f>
        <v>ARTIGAS Cristian C.</v>
      </c>
      <c r="F990" s="1" t="str">
        <f t="shared" si="1"/>
        <v>ARTIGAS </v>
      </c>
      <c r="G990" s="1" t="str">
        <f t="shared" si="2"/>
        <v>Cristian C.</v>
      </c>
      <c r="H990" s="1" t="str">
        <f>IFERROR(__xludf.DUMMYFUNCTION("""COMPUTED_VALUE"""),"31/1/2023, 17:00:00")</f>
        <v>31/1/2023, 17:00:00</v>
      </c>
      <c r="I990" s="1" t="str">
        <f>IFERROR(__xludf.DUMMYFUNCTION("""COMPUTED_VALUE"""),"RETIRADO OK POR CLIENTE")</f>
        <v>RETIRADO OK POR CLIENTE</v>
      </c>
      <c r="J990" s="1">
        <f t="shared" si="3"/>
        <v>6</v>
      </c>
      <c r="K990" s="1" t="str">
        <f t="shared" si="4"/>
        <v>Entregamos tus lentes, que los disfrutes!</v>
      </c>
    </row>
    <row r="991">
      <c r="A991" s="1">
        <f>IFERROR(__xludf.DUMMYFUNCTION("""COMPUTED_VALUE"""),85541.0)</f>
        <v>85541</v>
      </c>
      <c r="B991" s="5">
        <f>IFERROR(__xludf.DUMMYFUNCTION("""COMPUTED_VALUE"""),44950.51743799768)</f>
        <v>44950.51744</v>
      </c>
      <c r="C991" s="1" t="str">
        <f>IFERROR(__xludf.DUMMYFUNCTION("""COMPUTED_VALUE"""),"CLAVELES JULIO")</f>
        <v>CLAVELES JULIO</v>
      </c>
      <c r="D991" s="1" t="str">
        <f>IFERROR(__xludf.DUMMYFUNCTION("""COMPUTED_VALUE"""),"Lentes de STOCK")</f>
        <v>Lentes de STOCK</v>
      </c>
      <c r="E991" s="1" t="str">
        <f>IFERROR(__xludf.DUMMYFUNCTION("""COMPUTED_VALUE"""),"ARTIGAS Ivana P.")</f>
        <v>ARTIGAS Ivana P.</v>
      </c>
      <c r="F991" s="1" t="str">
        <f t="shared" si="1"/>
        <v>ARTIGAS </v>
      </c>
      <c r="G991" s="1" t="str">
        <f t="shared" si="2"/>
        <v>Ivana P.</v>
      </c>
      <c r="H991" s="1" t="str">
        <f>IFERROR(__xludf.DUMMYFUNCTION("""COMPUTED_VALUE"""),"30/1/2023, 17:00:00")</f>
        <v>30/1/2023, 17:00:00</v>
      </c>
      <c r="I991" s="1" t="str">
        <f>IFERROR(__xludf.DUMMYFUNCTION("""COMPUTED_VALUE"""),"RETIRADO OK POR CLIENTE")</f>
        <v>RETIRADO OK POR CLIENTE</v>
      </c>
      <c r="J991" s="1">
        <f t="shared" si="3"/>
        <v>6</v>
      </c>
      <c r="K991" s="1" t="str">
        <f t="shared" si="4"/>
        <v>Entregamos tus lentes, que los disfrutes!</v>
      </c>
    </row>
    <row r="992">
      <c r="A992" s="1">
        <f>IFERROR(__xludf.DUMMYFUNCTION("""COMPUTED_VALUE"""),85542.0)</f>
        <v>85542</v>
      </c>
      <c r="B992" s="5">
        <f>IFERROR(__xludf.DUMMYFUNCTION("""COMPUTED_VALUE"""),44950.5189127662)</f>
        <v>44950.51891</v>
      </c>
      <c r="C992" s="1" t="str">
        <f>IFERROR(__xludf.DUMMYFUNCTION("""COMPUTED_VALUE"""),"Villegas Carolina")</f>
        <v>Villegas Carolina</v>
      </c>
      <c r="D992" s="1" t="str">
        <f>IFERROR(__xludf.DUMMYFUNCTION("""COMPUTED_VALUE"""),"Lentes de STOCK")</f>
        <v>Lentes de STOCK</v>
      </c>
      <c r="E992" s="1" t="str">
        <f>IFERROR(__xludf.DUMMYFUNCTION("""COMPUTED_VALUE"""),"RIVADAVIA Rocio B")</f>
        <v>RIVADAVIA Rocio B</v>
      </c>
      <c r="F992" s="1" t="str">
        <f t="shared" si="1"/>
        <v>RIVADAVIA </v>
      </c>
      <c r="G992" s="1" t="str">
        <f t="shared" si="2"/>
        <v>Rocio B</v>
      </c>
      <c r="H992" s="1" t="str">
        <f>IFERROR(__xludf.DUMMYFUNCTION("""COMPUTED_VALUE"""),"30/1/2023, 17:00:00")</f>
        <v>30/1/2023, 17:00:00</v>
      </c>
      <c r="I992" s="1" t="str">
        <f>IFERROR(__xludf.DUMMYFUNCTION("""COMPUTED_VALUE"""),"RETIRADO OK POR CLIENTE")</f>
        <v>RETIRADO OK POR CLIENTE</v>
      </c>
      <c r="J992" s="1">
        <f t="shared" si="3"/>
        <v>6</v>
      </c>
      <c r="K992" s="1" t="str">
        <f t="shared" si="4"/>
        <v>Entregamos tus lentes, que los disfrutes!</v>
      </c>
    </row>
    <row r="993">
      <c r="A993" s="1">
        <f>IFERROR(__xludf.DUMMYFUNCTION("""COMPUTED_VALUE"""),85543.0)</f>
        <v>85543</v>
      </c>
      <c r="B993" s="5">
        <f>IFERROR(__xludf.DUMMYFUNCTION("""COMPUTED_VALUE"""),44950.52100609954)</f>
        <v>44950.52101</v>
      </c>
      <c r="C993" s="1" t="str">
        <f>IFERROR(__xludf.DUMMYFUNCTION("""COMPUTED_VALUE"""),"QUIROGA FLORINDA")</f>
        <v>QUIROGA FLORINDA</v>
      </c>
      <c r="D993" s="1" t="str">
        <f>IFERROR(__xludf.DUMMYFUNCTION("""COMPUTED_VALUE"""),"Lentes MULTIFOCALES")</f>
        <v>Lentes MULTIFOCALES</v>
      </c>
      <c r="E993" s="1" t="str">
        <f>IFERROR(__xludf.DUMMYFUNCTION("""COMPUTED_VALUE"""),"RIVADAVIA Marcela L")</f>
        <v>RIVADAVIA Marcela L</v>
      </c>
      <c r="F993" s="1" t="str">
        <f t="shared" si="1"/>
        <v>RIVADAVIA </v>
      </c>
      <c r="G993" s="1" t="str">
        <f t="shared" si="2"/>
        <v>Marcela L</v>
      </c>
      <c r="H993" s="1" t="str">
        <f>IFERROR(__xludf.DUMMYFUNCTION("""COMPUTED_VALUE"""),"6/2/2023, 17:00:00")</f>
        <v>6/2/2023, 17:00:00</v>
      </c>
      <c r="I993" s="1" t="str">
        <f>IFERROR(__xludf.DUMMYFUNCTION("""COMPUTED_VALUE"""),"En Armado Hoy")</f>
        <v>En Armado Hoy</v>
      </c>
      <c r="J993" s="1">
        <f t="shared" si="3"/>
        <v>3</v>
      </c>
      <c r="K993" s="1" t="str">
        <f t="shared" si="4"/>
        <v>Estamos terminando los ultimos detalles de tus lentes, los terminaremos el dia de hoy.</v>
      </c>
    </row>
    <row r="994">
      <c r="A994" s="1">
        <f>IFERROR(__xludf.DUMMYFUNCTION("""COMPUTED_VALUE"""),85544.0)</f>
        <v>85544</v>
      </c>
      <c r="B994" s="5">
        <f>IFERROR(__xludf.DUMMYFUNCTION("""COMPUTED_VALUE"""),44950.521476828704)</f>
        <v>44950.52148</v>
      </c>
      <c r="C994" s="1" t="str">
        <f>IFERROR(__xludf.DUMMYFUNCTION("""COMPUTED_VALUE"""),"Quiroga Rosa")</f>
        <v>Quiroga Rosa</v>
      </c>
      <c r="D994" s="1" t="str">
        <f>IFERROR(__xludf.DUMMYFUNCTION("""COMPUTED_VALUE"""),"Reparaciones/Otros")</f>
        <v>Reparaciones/Otros</v>
      </c>
      <c r="E994" s="1" t="str">
        <f>IFERROR(__xludf.DUMMYFUNCTION("""COMPUTED_VALUE"""),"RIVADAVIA Rocio B")</f>
        <v>RIVADAVIA Rocio B</v>
      </c>
      <c r="F994" s="1" t="str">
        <f t="shared" si="1"/>
        <v>RIVADAVIA </v>
      </c>
      <c r="G994" s="1" t="str">
        <f t="shared" si="2"/>
        <v>Rocio B</v>
      </c>
      <c r="H994" s="1" t="str">
        <f>IFERROR(__xludf.DUMMYFUNCTION("""COMPUTED_VALUE"""),"25/1/2023, 17:00:00")</f>
        <v>25/1/2023, 17:00:00</v>
      </c>
      <c r="I994" s="1" t="str">
        <f>IFERROR(__xludf.DUMMYFUNCTION("""COMPUTED_VALUE"""),"Completado en SUCURSAL")</f>
        <v>Completado en SUCURSAL</v>
      </c>
      <c r="J994" s="1">
        <f t="shared" si="3"/>
        <v>5</v>
      </c>
      <c r="K994" s="1" t="str">
        <f t="shared" si="4"/>
        <v>Tus Lentes estan LISTAS PARA ENTREGAR, te esperamos.</v>
      </c>
    </row>
    <row r="995">
      <c r="A995" s="1">
        <f>IFERROR(__xludf.DUMMYFUNCTION("""COMPUTED_VALUE"""),85545.0)</f>
        <v>85545</v>
      </c>
      <c r="B995" s="5">
        <f>IFERROR(__xludf.DUMMYFUNCTION("""COMPUTED_VALUE"""),44950.53439909722)</f>
        <v>44950.5344</v>
      </c>
      <c r="C995" s="1" t="str">
        <f>IFERROR(__xludf.DUMMYFUNCTION("""COMPUTED_VALUE"""),"DOSPITAL BASTIAN")</f>
        <v>DOSPITAL BASTIAN</v>
      </c>
      <c r="D995" s="1" t="str">
        <f>IFERROR(__xludf.DUMMYFUNCTION("""COMPUTED_VALUE"""),"Lentes de STOCK")</f>
        <v>Lentes de STOCK</v>
      </c>
      <c r="E995" s="1" t="str">
        <f>IFERROR(__xludf.DUMMYFUNCTION("""COMPUTED_VALUE"""),"ARTIGAS Ivana P.")</f>
        <v>ARTIGAS Ivana P.</v>
      </c>
      <c r="F995" s="1" t="str">
        <f t="shared" si="1"/>
        <v>ARTIGAS </v>
      </c>
      <c r="G995" s="1" t="str">
        <f t="shared" si="2"/>
        <v>Ivana P.</v>
      </c>
      <c r="H995" s="1" t="str">
        <f>IFERROR(__xludf.DUMMYFUNCTION("""COMPUTED_VALUE"""),"27/1/2023, 17:00:00")</f>
        <v>27/1/2023, 17:00:00</v>
      </c>
      <c r="I995" s="1" t="str">
        <f>IFERROR(__xludf.DUMMYFUNCTION("""COMPUTED_VALUE"""),"RETIRADO OK POR CLIENTE")</f>
        <v>RETIRADO OK POR CLIENTE</v>
      </c>
      <c r="J995" s="1">
        <f t="shared" si="3"/>
        <v>6</v>
      </c>
      <c r="K995" s="1" t="str">
        <f t="shared" si="4"/>
        <v>Entregamos tus lentes, que los disfrutes!</v>
      </c>
    </row>
    <row r="996">
      <c r="A996" s="1">
        <f>IFERROR(__xludf.DUMMYFUNCTION("""COMPUTED_VALUE"""),85546.0)</f>
        <v>85546</v>
      </c>
      <c r="B996" s="5">
        <f>IFERROR(__xludf.DUMMYFUNCTION("""COMPUTED_VALUE"""),44950.54618052083)</f>
        <v>44950.54618</v>
      </c>
      <c r="C996" s="1" t="str">
        <f>IFERROR(__xludf.DUMMYFUNCTION("""COMPUTED_VALUE"""),"mileli mario")</f>
        <v>mileli mario</v>
      </c>
      <c r="D996" s="1" t="str">
        <f>IFERROR(__xludf.DUMMYFUNCTION("""COMPUTED_VALUE"""),"Lentes de STOCK")</f>
        <v>Lentes de STOCK</v>
      </c>
      <c r="E996" s="1" t="str">
        <f>IFERROR(__xludf.DUMMYFUNCTION("""COMPUTED_VALUE"""),"RIVADAVIA Santiago N")</f>
        <v>RIVADAVIA Santiago N</v>
      </c>
      <c r="F996" s="1" t="str">
        <f t="shared" si="1"/>
        <v>RIVADAVIA </v>
      </c>
      <c r="G996" s="1" t="str">
        <f t="shared" si="2"/>
        <v>Santiago N</v>
      </c>
      <c r="H996" s="1" t="str">
        <f>IFERROR(__xludf.DUMMYFUNCTION("""COMPUTED_VALUE"""),"31/1/2023, 17:00:00")</f>
        <v>31/1/2023, 17:00:00</v>
      </c>
      <c r="I996" s="1" t="str">
        <f>IFERROR(__xludf.DUMMYFUNCTION("""COMPUTED_VALUE"""),"Completado en SUCURSAL")</f>
        <v>Completado en SUCURSAL</v>
      </c>
      <c r="J996" s="1">
        <f t="shared" si="3"/>
        <v>5</v>
      </c>
      <c r="K996" s="1" t="str">
        <f t="shared" si="4"/>
        <v>Tus Lentes estan LISTAS PARA ENTREGAR, te esperamos.</v>
      </c>
    </row>
    <row r="997">
      <c r="A997" s="1">
        <f>IFERROR(__xludf.DUMMYFUNCTION("""COMPUTED_VALUE"""),85547.0)</f>
        <v>85547</v>
      </c>
      <c r="B997" s="5">
        <f>IFERROR(__xludf.DUMMYFUNCTION("""COMPUTED_VALUE"""),44950.54780796297)</f>
        <v>44950.54781</v>
      </c>
      <c r="C997" s="1" t="str">
        <f>IFERROR(__xludf.DUMMYFUNCTION("""COMPUTED_VALUE"""),"AMAYA BUSTOS JAQUELINE JANET")</f>
        <v>AMAYA BUSTOS JAQUELINE JANET</v>
      </c>
      <c r="D997" s="1" t="str">
        <f>IFERROR(__xludf.DUMMYFUNCTION("""COMPUTED_VALUE"""),"Lentes de STOCK")</f>
        <v>Lentes de STOCK</v>
      </c>
      <c r="E997" s="1" t="str">
        <f>IFERROR(__xludf.DUMMYFUNCTION("""COMPUTED_VALUE"""),"ARTIGAS Cristian C.")</f>
        <v>ARTIGAS Cristian C.</v>
      </c>
      <c r="F997" s="1" t="str">
        <f t="shared" si="1"/>
        <v>ARTIGAS </v>
      </c>
      <c r="G997" s="1" t="str">
        <f t="shared" si="2"/>
        <v>Cristian C.</v>
      </c>
      <c r="H997" s="1" t="str">
        <f>IFERROR(__xludf.DUMMYFUNCTION("""COMPUTED_VALUE"""),"27/1/2023, 17:00:00")</f>
        <v>27/1/2023, 17:00:00</v>
      </c>
      <c r="I997" s="1" t="str">
        <f>IFERROR(__xludf.DUMMYFUNCTION("""COMPUTED_VALUE"""),"RETIRADO OK POR CLIENTE")</f>
        <v>RETIRADO OK POR CLIENTE</v>
      </c>
      <c r="J997" s="1">
        <f t="shared" si="3"/>
        <v>6</v>
      </c>
      <c r="K997" s="1" t="str">
        <f t="shared" si="4"/>
        <v>Entregamos tus lentes, que los disfrutes!</v>
      </c>
    </row>
    <row r="998">
      <c r="A998" s="1">
        <f>IFERROR(__xludf.DUMMYFUNCTION("""COMPUTED_VALUE"""),85548.0)</f>
        <v>85548</v>
      </c>
      <c r="B998" s="5">
        <f>IFERROR(__xludf.DUMMYFUNCTION("""COMPUTED_VALUE"""),44950.70061155093)</f>
        <v>44950.70061</v>
      </c>
      <c r="C998" s="1" t="str">
        <f>IFERROR(__xludf.DUMMYFUNCTION("""COMPUTED_VALUE"""),"VIDELA JUAN")</f>
        <v>VIDELA JUAN</v>
      </c>
      <c r="D998" s="1" t="str">
        <f>IFERROR(__xludf.DUMMYFUNCTION("""COMPUTED_VALUE"""),"Reparaciones/Otros")</f>
        <v>Reparaciones/Otros</v>
      </c>
      <c r="E998" s="1" t="str">
        <f>IFERROR(__xludf.DUMMYFUNCTION("""COMPUTED_VALUE"""),"ARTIGAS Cristian C.")</f>
        <v>ARTIGAS Cristian C.</v>
      </c>
      <c r="F998" s="1" t="str">
        <f t="shared" si="1"/>
        <v>ARTIGAS </v>
      </c>
      <c r="G998" s="1" t="str">
        <f t="shared" si="2"/>
        <v>Cristian C.</v>
      </c>
      <c r="H998" s="1" t="str">
        <f>IFERROR(__xludf.DUMMYFUNCTION("""COMPUTED_VALUE"""),"25/1/2023, 17:00:00")</f>
        <v>25/1/2023, 17:00:00</v>
      </c>
      <c r="I998" s="1" t="str">
        <f>IFERROR(__xludf.DUMMYFUNCTION("""COMPUTED_VALUE"""),"Completado en SUCURSAL")</f>
        <v>Completado en SUCURSAL</v>
      </c>
      <c r="J998" s="1">
        <f t="shared" si="3"/>
        <v>5</v>
      </c>
      <c r="K998" s="1" t="str">
        <f t="shared" si="4"/>
        <v>Tus Lentes estan LISTAS PARA ENTREGAR, te esperamos.</v>
      </c>
    </row>
    <row r="999">
      <c r="A999" s="1">
        <f>IFERROR(__xludf.DUMMYFUNCTION("""COMPUTED_VALUE"""),85549.0)</f>
        <v>85549</v>
      </c>
      <c r="B999" s="5">
        <f>IFERROR(__xludf.DUMMYFUNCTION("""COMPUTED_VALUE"""),44950.70678626157)</f>
        <v>44950.70679</v>
      </c>
      <c r="C999" s="1" t="str">
        <f>IFERROR(__xludf.DUMMYFUNCTION("""COMPUTED_VALUE"""),"VIDELA JUAN")</f>
        <v>VIDELA JUAN</v>
      </c>
      <c r="D999" s="1" t="str">
        <f>IFERROR(__xludf.DUMMYFUNCTION("""COMPUTED_VALUE"""),"Reparaciones/Otros")</f>
        <v>Reparaciones/Otros</v>
      </c>
      <c r="E999" s="1" t="str">
        <f>IFERROR(__xludf.DUMMYFUNCTION("""COMPUTED_VALUE"""),"ARTIGAS Cristian C.")</f>
        <v>ARTIGAS Cristian C.</v>
      </c>
      <c r="F999" s="1" t="str">
        <f t="shared" si="1"/>
        <v>ARTIGAS </v>
      </c>
      <c r="G999" s="1" t="str">
        <f t="shared" si="2"/>
        <v>Cristian C.</v>
      </c>
      <c r="H999" s="1" t="str">
        <f>IFERROR(__xludf.DUMMYFUNCTION("""COMPUTED_VALUE"""),"26/1/2023, 17:00:00")</f>
        <v>26/1/2023, 17:00:00</v>
      </c>
      <c r="I999" s="1" t="str">
        <f>IFERROR(__xludf.DUMMYFUNCTION("""COMPUTED_VALUE"""),"En Armado Hoy")</f>
        <v>En Armado Hoy</v>
      </c>
      <c r="J999" s="1">
        <f t="shared" si="3"/>
        <v>3</v>
      </c>
      <c r="K999" s="1" t="str">
        <f t="shared" si="4"/>
        <v>Estamos terminando los ultimos detalles de tus lentes, los terminaremos el dia de hoy.</v>
      </c>
    </row>
    <row r="1000">
      <c r="A1000" s="1">
        <f>IFERROR(__xludf.DUMMYFUNCTION("""COMPUTED_VALUE"""),85550.0)</f>
        <v>85550</v>
      </c>
      <c r="B1000" s="5">
        <f>IFERROR(__xludf.DUMMYFUNCTION("""COMPUTED_VALUE"""),44950.71994510417)</f>
        <v>44950.71995</v>
      </c>
      <c r="C1000" s="1" t="str">
        <f>IFERROR(__xludf.DUMMYFUNCTION("""COMPUTED_VALUE"""),"PARNISARI CRISTIAN ")</f>
        <v>PARNISARI CRISTIAN </v>
      </c>
      <c r="D1000" s="1" t="str">
        <f>IFERROR(__xludf.DUMMYFUNCTION("""COMPUTED_VALUE"""),"Lentes de STOCK")</f>
        <v>Lentes de STOCK</v>
      </c>
      <c r="E1000" s="1" t="str">
        <f>IFERROR(__xludf.DUMMYFUNCTION("""COMPUTED_VALUE"""),"RIVADAVIA Javier")</f>
        <v>RIVADAVIA Javier</v>
      </c>
      <c r="F1000" s="1" t="str">
        <f t="shared" si="1"/>
        <v>RIVADAVIA </v>
      </c>
      <c r="G1000" s="1" t="str">
        <f t="shared" si="2"/>
        <v>Javier</v>
      </c>
      <c r="H1000" s="1" t="str">
        <f>IFERROR(__xludf.DUMMYFUNCTION("""COMPUTED_VALUE"""),"27/1/2023, 17:00:00")</f>
        <v>27/1/2023, 17:00:00</v>
      </c>
      <c r="I1000" s="1" t="str">
        <f>IFERROR(__xludf.DUMMYFUNCTION("""COMPUTED_VALUE"""),"RETIRADO OK POR CLIENTE")</f>
        <v>RETIRADO OK POR CLIENTE</v>
      </c>
      <c r="J1000" s="1">
        <f t="shared" si="3"/>
        <v>6</v>
      </c>
      <c r="K1000" s="1" t="str">
        <f t="shared" si="4"/>
        <v>Entregamos tus lentes, que los disfrutes!</v>
      </c>
    </row>
    <row r="1001">
      <c r="A1001" s="1">
        <f>IFERROR(__xludf.DUMMYFUNCTION("""COMPUTED_VALUE"""),85551.0)</f>
        <v>85551</v>
      </c>
      <c r="B1001" s="5">
        <f>IFERROR(__xludf.DUMMYFUNCTION("""COMPUTED_VALUE"""),44950.72077511574)</f>
        <v>44950.72078</v>
      </c>
      <c r="C1001" s="1" t="str">
        <f>IFERROR(__xludf.DUMMYFUNCTION("""COMPUTED_VALUE"""),"funes tisiana")</f>
        <v>funes tisiana</v>
      </c>
      <c r="D1001" s="1" t="str">
        <f>IFERROR(__xludf.DUMMYFUNCTION("""COMPUTED_VALUE"""),"Reparaciones/Otros")</f>
        <v>Reparaciones/Otros</v>
      </c>
      <c r="E1001" s="1" t="str">
        <f>IFERROR(__xludf.DUMMYFUNCTION("""COMPUTED_VALUE"""),"RIVADAVIA Daniel CM")</f>
        <v>RIVADAVIA Daniel CM</v>
      </c>
      <c r="F1001" s="1" t="str">
        <f t="shared" si="1"/>
        <v>RIVADAVIA </v>
      </c>
      <c r="G1001" s="1" t="str">
        <f t="shared" si="2"/>
        <v>Daniel CM</v>
      </c>
      <c r="H1001" s="1" t="str">
        <f>IFERROR(__xludf.DUMMYFUNCTION("""COMPUTED_VALUE"""),"25/1/2023, 17:00:00")</f>
        <v>25/1/2023, 17:00:00</v>
      </c>
      <c r="I1001" s="1" t="str">
        <f>IFERROR(__xludf.DUMMYFUNCTION("""COMPUTED_VALUE"""),"Enviado a Sucursal")</f>
        <v>Enviado a Sucursal</v>
      </c>
      <c r="J1001" s="1">
        <f t="shared" si="3"/>
        <v>4</v>
      </c>
      <c r="K1001" s="1" t="str">
        <f t="shared" si="4"/>
        <v>Tus lentes estan viajando a la sucursal para su entrega.</v>
      </c>
    </row>
    <row r="1002">
      <c r="A1002" s="1">
        <f>IFERROR(__xludf.DUMMYFUNCTION("""COMPUTED_VALUE"""),85552.0)</f>
        <v>85552</v>
      </c>
      <c r="B1002" s="5">
        <f>IFERROR(__xludf.DUMMYFUNCTION("""COMPUTED_VALUE"""),44950.73251545139)</f>
        <v>44950.73252</v>
      </c>
      <c r="C1002" s="1" t="str">
        <f>IFERROR(__xludf.DUMMYFUNCTION("""COMPUTED_VALUE"""),"JAVIER SOSA")</f>
        <v>JAVIER SOSA</v>
      </c>
      <c r="D1002" s="1" t="str">
        <f>IFERROR(__xludf.DUMMYFUNCTION("""COMPUTED_VALUE"""),"Reparaciones/Otros")</f>
        <v>Reparaciones/Otros</v>
      </c>
      <c r="E1002" s="1" t="str">
        <f>IFERROR(__xludf.DUMMYFUNCTION("""COMPUTED_VALUE"""),"ARTIGAS Celina")</f>
        <v>ARTIGAS Celina</v>
      </c>
      <c r="F1002" s="1" t="str">
        <f t="shared" si="1"/>
        <v>ARTIGAS </v>
      </c>
      <c r="G1002" s="1" t="str">
        <f t="shared" si="2"/>
        <v>Celina</v>
      </c>
      <c r="H1002" s="1" t="str">
        <f>IFERROR(__xludf.DUMMYFUNCTION("""COMPUTED_VALUE"""),"25/1/2023, 17:00:00")</f>
        <v>25/1/2023, 17:00:00</v>
      </c>
      <c r="I1002" s="1" t="str">
        <f>IFERROR(__xludf.DUMMYFUNCTION("""COMPUTED_VALUE"""),"Recibido en Laboratorio")</f>
        <v>Recibido en Laboratorio</v>
      </c>
      <c r="J1002" s="1">
        <f t="shared" si="3"/>
        <v>2</v>
      </c>
      <c r="K1002" s="1" t="str">
        <f t="shared" si="4"/>
        <v>Nuestro Laboratorio esta trabajando en tus lentes, los entregaremos en la fecha acordada.</v>
      </c>
    </row>
    <row r="1003">
      <c r="A1003" s="1">
        <f>IFERROR(__xludf.DUMMYFUNCTION("""COMPUTED_VALUE"""),85553.0)</f>
        <v>85553</v>
      </c>
      <c r="B1003" s="5">
        <f>IFERROR(__xludf.DUMMYFUNCTION("""COMPUTED_VALUE"""),44950.76151679398)</f>
        <v>44950.76152</v>
      </c>
      <c r="C1003" s="1" t="str">
        <f>IFERROR(__xludf.DUMMYFUNCTION("""COMPUTED_VALUE"""),"Nodar Jose Marcelo ")</f>
        <v>Nodar Jose Marcelo </v>
      </c>
      <c r="D1003" s="1" t="str">
        <f>IFERROR(__xludf.DUMMYFUNCTION("""COMPUTED_VALUE"""),"Lentes de STOCK")</f>
        <v>Lentes de STOCK</v>
      </c>
      <c r="E1003" s="1" t="str">
        <f>IFERROR(__xludf.DUMMYFUNCTION("""COMPUTED_VALUE"""),"RIVADAVIA Rocio B")</f>
        <v>RIVADAVIA Rocio B</v>
      </c>
      <c r="F1003" s="1" t="str">
        <f t="shared" si="1"/>
        <v>RIVADAVIA </v>
      </c>
      <c r="G1003" s="1" t="str">
        <f t="shared" si="2"/>
        <v>Rocio B</v>
      </c>
      <c r="H1003" s="1" t="str">
        <f>IFERROR(__xludf.DUMMYFUNCTION("""COMPUTED_VALUE"""),"30/1/2023, 17:00:00")</f>
        <v>30/1/2023, 17:00:00</v>
      </c>
      <c r="I1003" s="1" t="str">
        <f>IFERROR(__xludf.DUMMYFUNCTION("""COMPUTED_VALUE"""),"Completado en SUCURSAL")</f>
        <v>Completado en SUCURSAL</v>
      </c>
      <c r="J1003" s="1">
        <f t="shared" si="3"/>
        <v>5</v>
      </c>
      <c r="K1003" s="1" t="str">
        <f t="shared" si="4"/>
        <v>Tus Lentes estan LISTAS PARA ENTREGAR, te esperamos.</v>
      </c>
    </row>
    <row r="1004">
      <c r="A1004" s="1">
        <f>IFERROR(__xludf.DUMMYFUNCTION("""COMPUTED_VALUE"""),85554.0)</f>
        <v>85554</v>
      </c>
      <c r="B1004" s="5">
        <f>IFERROR(__xludf.DUMMYFUNCTION("""COMPUTED_VALUE"""),44950.762363194444)</f>
        <v>44950.76236</v>
      </c>
      <c r="C1004" s="1" t="str">
        <f>IFERROR(__xludf.DUMMYFUNCTION("""COMPUTED_VALUE"""),"NODAR ALTURRIA CATALINA")</f>
        <v>NODAR ALTURRIA CATALINA</v>
      </c>
      <c r="D1004" s="1" t="str">
        <f>IFERROR(__xludf.DUMMYFUNCTION("""COMPUTED_VALUE"""),"Lentes de STOCK")</f>
        <v>Lentes de STOCK</v>
      </c>
      <c r="E1004" s="1" t="str">
        <f>IFERROR(__xludf.DUMMYFUNCTION("""COMPUTED_VALUE"""),"RIVADAVIA Luciana")</f>
        <v>RIVADAVIA Luciana</v>
      </c>
      <c r="F1004" s="1" t="str">
        <f t="shared" si="1"/>
        <v>RIVADAVIA </v>
      </c>
      <c r="G1004" s="1" t="str">
        <f t="shared" si="2"/>
        <v>Luciana</v>
      </c>
      <c r="H1004" s="1" t="str">
        <f>IFERROR(__xludf.DUMMYFUNCTION("""COMPUTED_VALUE"""),"30/1/2023, 17:00:00")</f>
        <v>30/1/2023, 17:00:00</v>
      </c>
      <c r="I1004" s="1" t="str">
        <f>IFERROR(__xludf.DUMMYFUNCTION("""COMPUTED_VALUE"""),"Completado en SUCURSAL")</f>
        <v>Completado en SUCURSAL</v>
      </c>
      <c r="J1004" s="1">
        <f t="shared" si="3"/>
        <v>5</v>
      </c>
      <c r="K1004" s="1" t="str">
        <f t="shared" si="4"/>
        <v>Tus Lentes estan LISTAS PARA ENTREGAR, te esperamos.</v>
      </c>
    </row>
    <row r="1005">
      <c r="A1005" s="1">
        <f>IFERROR(__xludf.DUMMYFUNCTION("""COMPUTED_VALUE"""),85555.0)</f>
        <v>85555</v>
      </c>
      <c r="B1005" s="5">
        <f>IFERROR(__xludf.DUMMYFUNCTION("""COMPUTED_VALUE"""),44950.769501585644)</f>
        <v>44950.7695</v>
      </c>
      <c r="C1005" s="1" t="str">
        <f>IFERROR(__xludf.DUMMYFUNCTION("""COMPUTED_VALUE"""),"RAMIREZ ROSARIO")</f>
        <v>RAMIREZ ROSARIO</v>
      </c>
      <c r="D1005" s="1" t="str">
        <f>IFERROR(__xludf.DUMMYFUNCTION("""COMPUTED_VALUE"""),"Lentes de STOCK")</f>
        <v>Lentes de STOCK</v>
      </c>
      <c r="E1005" s="1" t="str">
        <f>IFERROR(__xludf.DUMMYFUNCTION("""COMPUTED_VALUE"""),"ARTIGAS Cristian C.")</f>
        <v>ARTIGAS Cristian C.</v>
      </c>
      <c r="F1005" s="1" t="str">
        <f t="shared" si="1"/>
        <v>ARTIGAS </v>
      </c>
      <c r="G1005" s="1" t="str">
        <f t="shared" si="2"/>
        <v>Cristian C.</v>
      </c>
      <c r="H1005" s="1" t="str">
        <f>IFERROR(__xludf.DUMMYFUNCTION("""COMPUTED_VALUE"""),"31/1/2023, 17:00:00")</f>
        <v>31/1/2023, 17:00:00</v>
      </c>
      <c r="I1005" s="1" t="str">
        <f>IFERROR(__xludf.DUMMYFUNCTION("""COMPUTED_VALUE"""),"Completado en SUCURSAL")</f>
        <v>Completado en SUCURSAL</v>
      </c>
      <c r="J1005" s="1">
        <f t="shared" si="3"/>
        <v>5</v>
      </c>
      <c r="K1005" s="1" t="str">
        <f t="shared" si="4"/>
        <v>Tus Lentes estan LISTAS PARA ENTREGAR, te esperamos.</v>
      </c>
    </row>
    <row r="1006">
      <c r="A1006" s="1">
        <f>IFERROR(__xludf.DUMMYFUNCTION("""COMPUTED_VALUE"""),85556.0)</f>
        <v>85556</v>
      </c>
      <c r="B1006" s="5">
        <f>IFERROR(__xludf.DUMMYFUNCTION("""COMPUTED_VALUE"""),44950.77119800926)</f>
        <v>44950.7712</v>
      </c>
      <c r="C1006" s="1" t="str">
        <f>IFERROR(__xludf.DUMMYFUNCTION("""COMPUTED_VALUE"""),"RODRIGUEZ LAURA BELEN")</f>
        <v>RODRIGUEZ LAURA BELEN</v>
      </c>
      <c r="D1006" s="1" t="str">
        <f>IFERROR(__xludf.DUMMYFUNCTION("""COMPUTED_VALUE"""),"Lentes de STOCK")</f>
        <v>Lentes de STOCK</v>
      </c>
      <c r="E1006" s="1" t="str">
        <f>IFERROR(__xludf.DUMMYFUNCTION("""COMPUTED_VALUE"""),"ARTIGAS Cristian C.")</f>
        <v>ARTIGAS Cristian C.</v>
      </c>
      <c r="F1006" s="1" t="str">
        <f t="shared" si="1"/>
        <v>ARTIGAS </v>
      </c>
      <c r="G1006" s="1" t="str">
        <f t="shared" si="2"/>
        <v>Cristian C.</v>
      </c>
      <c r="H1006" s="1" t="str">
        <f>IFERROR(__xludf.DUMMYFUNCTION("""COMPUTED_VALUE"""),"31/1/2023, 17:00:00")</f>
        <v>31/1/2023, 17:00:00</v>
      </c>
      <c r="I1006" s="1" t="str">
        <f>IFERROR(__xludf.DUMMYFUNCTION("""COMPUTED_VALUE"""),"Completado en SUCURSAL")</f>
        <v>Completado en SUCURSAL</v>
      </c>
      <c r="J1006" s="1">
        <f t="shared" si="3"/>
        <v>5</v>
      </c>
      <c r="K1006" s="1" t="str">
        <f t="shared" si="4"/>
        <v>Tus Lentes estan LISTAS PARA ENTREGAR, te esperamos.</v>
      </c>
    </row>
    <row r="1007">
      <c r="A1007" s="1">
        <f>IFERROR(__xludf.DUMMYFUNCTION("""COMPUTED_VALUE"""),85557.0)</f>
        <v>85557</v>
      </c>
      <c r="B1007" s="5">
        <f>IFERROR(__xludf.DUMMYFUNCTION("""COMPUTED_VALUE"""),44950.771938148144)</f>
        <v>44950.77194</v>
      </c>
      <c r="C1007" s="1" t="str">
        <f>IFERROR(__xludf.DUMMYFUNCTION("""COMPUTED_VALUE"""),"GALLARDO MAURICIO")</f>
        <v>GALLARDO MAURICIO</v>
      </c>
      <c r="D1007" s="1" t="str">
        <f>IFERROR(__xludf.DUMMYFUNCTION("""COMPUTED_VALUE"""),"Reparaciones/Otros")</f>
        <v>Reparaciones/Otros</v>
      </c>
      <c r="E1007" s="1" t="str">
        <f>IFERROR(__xludf.DUMMYFUNCTION("""COMPUTED_VALUE"""),"RIVADAVIA Santiago LOPEZ")</f>
        <v>RIVADAVIA Santiago LOPEZ</v>
      </c>
      <c r="F1007" s="1" t="str">
        <f t="shared" si="1"/>
        <v>RIVADAVIA </v>
      </c>
      <c r="G1007" s="1" t="str">
        <f t="shared" si="2"/>
        <v>Santiago LOPEZ</v>
      </c>
      <c r="H1007" s="1" t="str">
        <f>IFERROR(__xludf.DUMMYFUNCTION("""COMPUTED_VALUE"""),"25/1/2023, 17:00:00")</f>
        <v>25/1/2023, 17:00:00</v>
      </c>
      <c r="I1007" s="1" t="str">
        <f>IFERROR(__xludf.DUMMYFUNCTION("""COMPUTED_VALUE"""),"Completado en SUCURSAL")</f>
        <v>Completado en SUCURSAL</v>
      </c>
      <c r="J1007" s="1">
        <f t="shared" si="3"/>
        <v>5</v>
      </c>
      <c r="K1007" s="1" t="str">
        <f t="shared" si="4"/>
        <v>Tus Lentes estan LISTAS PARA ENTREGAR, te esperamos.</v>
      </c>
    </row>
    <row r="1008">
      <c r="A1008" s="1">
        <f>IFERROR(__xludf.DUMMYFUNCTION("""COMPUTED_VALUE"""),85558.0)</f>
        <v>85558</v>
      </c>
      <c r="B1008" s="5">
        <f>IFERROR(__xludf.DUMMYFUNCTION("""COMPUTED_VALUE"""),44950.77409398148)</f>
        <v>44950.77409</v>
      </c>
      <c r="C1008" s="1" t="str">
        <f>IFERROR(__xludf.DUMMYFUNCTION("""COMPUTED_VALUE"""),"NODAR ALTURRIA FRANCISCO")</f>
        <v>NODAR ALTURRIA FRANCISCO</v>
      </c>
      <c r="D1008" s="1" t="str">
        <f>IFERROR(__xludf.DUMMYFUNCTION("""COMPUTED_VALUE"""),"Lentes de STOCK")</f>
        <v>Lentes de STOCK</v>
      </c>
      <c r="E1008" s="1" t="str">
        <f>IFERROR(__xludf.DUMMYFUNCTION("""COMPUTED_VALUE"""),"RIVADAVIA Luciana")</f>
        <v>RIVADAVIA Luciana</v>
      </c>
      <c r="F1008" s="1" t="str">
        <f t="shared" si="1"/>
        <v>RIVADAVIA </v>
      </c>
      <c r="G1008" s="1" t="str">
        <f t="shared" si="2"/>
        <v>Luciana</v>
      </c>
      <c r="H1008" s="1" t="str">
        <f>IFERROR(__xludf.DUMMYFUNCTION("""COMPUTED_VALUE"""),"30/1/2023, 17:00:00")</f>
        <v>30/1/2023, 17:00:00</v>
      </c>
      <c r="I1008" s="1" t="str">
        <f>IFERROR(__xludf.DUMMYFUNCTION("""COMPUTED_VALUE"""),"Completado en SUCURSAL")</f>
        <v>Completado en SUCURSAL</v>
      </c>
      <c r="J1008" s="1">
        <f t="shared" si="3"/>
        <v>5</v>
      </c>
      <c r="K1008" s="1" t="str">
        <f t="shared" si="4"/>
        <v>Tus Lentes estan LISTAS PARA ENTREGAR, te esperamos.</v>
      </c>
    </row>
    <row r="1009">
      <c r="A1009" s="1">
        <f>IFERROR(__xludf.DUMMYFUNCTION("""COMPUTED_VALUE"""),85559.0)</f>
        <v>85559</v>
      </c>
      <c r="B1009" s="5">
        <f>IFERROR(__xludf.DUMMYFUNCTION("""COMPUTED_VALUE"""),44950.80138521991)</f>
        <v>44950.80139</v>
      </c>
      <c r="C1009" s="1" t="str">
        <f>IFERROR(__xludf.DUMMYFUNCTION("""COMPUTED_VALUE"""),"muñoz marcos")</f>
        <v>muñoz marcos</v>
      </c>
      <c r="D1009" s="1" t="str">
        <f>IFERROR(__xludf.DUMMYFUNCTION("""COMPUTED_VALUE"""),"Lentes de STOCK")</f>
        <v>Lentes de STOCK</v>
      </c>
      <c r="E1009" s="1" t="str">
        <f>IFERROR(__xludf.DUMMYFUNCTION("""COMPUTED_VALUE"""),"RIVADAVIA Santiago N")</f>
        <v>RIVADAVIA Santiago N</v>
      </c>
      <c r="F1009" s="1" t="str">
        <f t="shared" si="1"/>
        <v>RIVADAVIA </v>
      </c>
      <c r="G1009" s="1" t="str">
        <f t="shared" si="2"/>
        <v>Santiago N</v>
      </c>
      <c r="H1009" s="1" t="str">
        <f>IFERROR(__xludf.DUMMYFUNCTION("""COMPUTED_VALUE"""),"26/1/2023, 17:00:00")</f>
        <v>26/1/2023, 17:00:00</v>
      </c>
      <c r="I1009" s="1" t="str">
        <f>IFERROR(__xludf.DUMMYFUNCTION("""COMPUTED_VALUE"""),"RETIRADO OK POR CLIENTE")</f>
        <v>RETIRADO OK POR CLIENTE</v>
      </c>
      <c r="J1009" s="1">
        <f t="shared" si="3"/>
        <v>6</v>
      </c>
      <c r="K1009" s="1" t="str">
        <f t="shared" si="4"/>
        <v>Entregamos tus lentes, que los disfrutes!</v>
      </c>
    </row>
    <row r="1010">
      <c r="A1010" s="1">
        <f>IFERROR(__xludf.DUMMYFUNCTION("""COMPUTED_VALUE"""),85560.0)</f>
        <v>85560</v>
      </c>
      <c r="B1010" s="5">
        <f>IFERROR(__xludf.DUMMYFUNCTION("""COMPUTED_VALUE"""),44950.80972417824)</f>
        <v>44950.80972</v>
      </c>
      <c r="C1010" s="1" t="str">
        <f>IFERROR(__xludf.DUMMYFUNCTION("""COMPUTED_VALUE"""),"MORON MARGARITA")</f>
        <v>MORON MARGARITA</v>
      </c>
      <c r="D1010" s="1" t="str">
        <f>IFERROR(__xludf.DUMMYFUNCTION("""COMPUTED_VALUE"""),"Lentes de STOCK")</f>
        <v>Lentes de STOCK</v>
      </c>
      <c r="E1010" s="1" t="str">
        <f>IFERROR(__xludf.DUMMYFUNCTION("""COMPUTED_VALUE"""),"ARTIGAS Cristian C.")</f>
        <v>ARTIGAS Cristian C.</v>
      </c>
      <c r="F1010" s="1" t="str">
        <f t="shared" si="1"/>
        <v>ARTIGAS </v>
      </c>
      <c r="G1010" s="1" t="str">
        <f t="shared" si="2"/>
        <v>Cristian C.</v>
      </c>
      <c r="H1010" s="1" t="str">
        <f>IFERROR(__xludf.DUMMYFUNCTION("""COMPUTED_VALUE"""),"6/2/2023, 17:00:00")</f>
        <v>6/2/2023, 17:00:00</v>
      </c>
      <c r="I1010" s="1" t="str">
        <f>IFERROR(__xludf.DUMMYFUNCTION("""COMPUTED_VALUE"""),"En Armado Hoy")</f>
        <v>En Armado Hoy</v>
      </c>
      <c r="J1010" s="1">
        <f t="shared" si="3"/>
        <v>3</v>
      </c>
      <c r="K1010" s="1" t="str">
        <f t="shared" si="4"/>
        <v>Estamos terminando los ultimos detalles de tus lentes, los terminaremos el dia de hoy.</v>
      </c>
    </row>
    <row r="1011">
      <c r="A1011" s="1">
        <f>IFERROR(__xludf.DUMMYFUNCTION("""COMPUTED_VALUE"""),85561.0)</f>
        <v>85561</v>
      </c>
      <c r="B1011" s="5">
        <f>IFERROR(__xludf.DUMMYFUNCTION("""COMPUTED_VALUE"""),44950.83386225694)</f>
        <v>44950.83386</v>
      </c>
      <c r="C1011" s="1" t="str">
        <f>IFERROR(__xludf.DUMMYFUNCTION("""COMPUTED_VALUE"""),"GONZALEZ HILDA CLEOTILDE")</f>
        <v>GONZALEZ HILDA CLEOTILDE</v>
      </c>
      <c r="D1011" s="1" t="str">
        <f>IFERROR(__xludf.DUMMYFUNCTION("""COMPUTED_VALUE"""),"Lentes de STOCK")</f>
        <v>Lentes de STOCK</v>
      </c>
      <c r="E1011" s="1" t="str">
        <f>IFERROR(__xludf.DUMMYFUNCTION("""COMPUTED_VALUE"""),"ARTIGAS Cristian C.")</f>
        <v>ARTIGAS Cristian C.</v>
      </c>
      <c r="F1011" s="1" t="str">
        <f t="shared" si="1"/>
        <v>ARTIGAS </v>
      </c>
      <c r="G1011" s="1" t="str">
        <f t="shared" si="2"/>
        <v>Cristian C.</v>
      </c>
      <c r="H1011" s="1" t="str">
        <f>IFERROR(__xludf.DUMMYFUNCTION("""COMPUTED_VALUE"""),"1/2/2023, 17:00:00")</f>
        <v>1/2/2023, 17:00:00</v>
      </c>
      <c r="I1011" s="1" t="str">
        <f>IFERROR(__xludf.DUMMYFUNCTION("""COMPUTED_VALUE"""),"Completado en SUCURSAL")</f>
        <v>Completado en SUCURSAL</v>
      </c>
      <c r="J1011" s="1">
        <f t="shared" si="3"/>
        <v>5</v>
      </c>
      <c r="K1011" s="1" t="str">
        <f t="shared" si="4"/>
        <v>Tus Lentes estan LISTAS PARA ENTREGAR, te esperamos.</v>
      </c>
    </row>
    <row r="1012">
      <c r="A1012" s="1">
        <f>IFERROR(__xludf.DUMMYFUNCTION("""COMPUTED_VALUE"""),85562.0)</f>
        <v>85562</v>
      </c>
      <c r="B1012" s="5">
        <f>IFERROR(__xludf.DUMMYFUNCTION("""COMPUTED_VALUE"""),44950.84072936342)</f>
        <v>44950.84073</v>
      </c>
      <c r="C1012" s="1" t="str">
        <f>IFERROR(__xludf.DUMMYFUNCTION("""COMPUTED_VALUE"""),"karina velazquez")</f>
        <v>karina velazquez</v>
      </c>
      <c r="D1012" s="1" t="str">
        <f>IFERROR(__xludf.DUMMYFUNCTION("""COMPUTED_VALUE"""),"Reparaciones/Otros")</f>
        <v>Reparaciones/Otros</v>
      </c>
      <c r="E1012" s="1" t="str">
        <f>IFERROR(__xludf.DUMMYFUNCTION("""COMPUTED_VALUE"""),"RIVADAVIA Daniel CM")</f>
        <v>RIVADAVIA Daniel CM</v>
      </c>
      <c r="F1012" s="1" t="str">
        <f t="shared" si="1"/>
        <v>RIVADAVIA </v>
      </c>
      <c r="G1012" s="1" t="str">
        <f t="shared" si="2"/>
        <v>Daniel CM</v>
      </c>
      <c r="H1012" s="1" t="str">
        <f>IFERROR(__xludf.DUMMYFUNCTION("""COMPUTED_VALUE"""),"25/1/2023, 17:00:00")</f>
        <v>25/1/2023, 17:00:00</v>
      </c>
      <c r="I1012" s="1" t="str">
        <f>IFERROR(__xludf.DUMMYFUNCTION("""COMPUTED_VALUE"""),"Completado en SUCURSAL")</f>
        <v>Completado en SUCURSAL</v>
      </c>
      <c r="J1012" s="1">
        <f t="shared" si="3"/>
        <v>5</v>
      </c>
      <c r="K1012" s="1" t="str">
        <f t="shared" si="4"/>
        <v>Tus Lentes estan LISTAS PARA ENTREGAR, te esperamos.</v>
      </c>
    </row>
    <row r="1013">
      <c r="A1013" s="1">
        <f>IFERROR(__xludf.DUMMYFUNCTION("""COMPUTED_VALUE"""),85563.0)</f>
        <v>85563</v>
      </c>
      <c r="B1013" s="5">
        <f>IFERROR(__xludf.DUMMYFUNCTION("""COMPUTED_VALUE"""),44950.854114305555)</f>
        <v>44950.85411</v>
      </c>
      <c r="C1013" s="1" t="str">
        <f>IFERROR(__xludf.DUMMYFUNCTION("""COMPUTED_VALUE"""),"MUSIL JOSUE BENJAMIN")</f>
        <v>MUSIL JOSUE BENJAMIN</v>
      </c>
      <c r="D1013" s="1" t="str">
        <f>IFERROR(__xludf.DUMMYFUNCTION("""COMPUTED_VALUE"""),"Lentes de STOCK")</f>
        <v>Lentes de STOCK</v>
      </c>
      <c r="E1013" s="1" t="str">
        <f>IFERROR(__xludf.DUMMYFUNCTION("""COMPUTED_VALUE"""),"RIVADAVIA Luciana")</f>
        <v>RIVADAVIA Luciana</v>
      </c>
      <c r="F1013" s="1" t="str">
        <f t="shared" si="1"/>
        <v>RIVADAVIA </v>
      </c>
      <c r="G1013" s="1" t="str">
        <f t="shared" si="2"/>
        <v>Luciana</v>
      </c>
      <c r="H1013" s="1" t="str">
        <f>IFERROR(__xludf.DUMMYFUNCTION("""COMPUTED_VALUE"""),"27/1/2023, 17:00:00")</f>
        <v>27/1/2023, 17:00:00</v>
      </c>
      <c r="I1013" s="1" t="str">
        <f>IFERROR(__xludf.DUMMYFUNCTION("""COMPUTED_VALUE"""),"RETIRADO OK POR CLIENTE")</f>
        <v>RETIRADO OK POR CLIENTE</v>
      </c>
      <c r="J1013" s="1">
        <f t="shared" si="3"/>
        <v>6</v>
      </c>
      <c r="K1013" s="1" t="str">
        <f t="shared" si="4"/>
        <v>Entregamos tus lentes, que los disfrutes!</v>
      </c>
    </row>
    <row r="1014">
      <c r="A1014" s="1">
        <f>IFERROR(__xludf.DUMMYFUNCTION("""COMPUTED_VALUE"""),85564.0)</f>
        <v>85564</v>
      </c>
      <c r="B1014" s="5">
        <f>IFERROR(__xludf.DUMMYFUNCTION("""COMPUTED_VALUE"""),44951.3787275463)</f>
        <v>44951.37873</v>
      </c>
      <c r="C1014" s="1" t="str">
        <f>IFERROR(__xludf.DUMMYFUNCTION("""COMPUTED_VALUE"""),"reitano juan manuel ramon")</f>
        <v>reitano juan manuel ramon</v>
      </c>
      <c r="D1014" s="1" t="str">
        <f>IFERROR(__xludf.DUMMYFUNCTION("""COMPUTED_VALUE"""),"Lentes de STOCK")</f>
        <v>Lentes de STOCK</v>
      </c>
      <c r="E1014" s="1" t="str">
        <f>IFERROR(__xludf.DUMMYFUNCTION("""COMPUTED_VALUE"""),"RIVADAVIA Daniel CM")</f>
        <v>RIVADAVIA Daniel CM</v>
      </c>
      <c r="F1014" s="1" t="str">
        <f t="shared" si="1"/>
        <v>RIVADAVIA </v>
      </c>
      <c r="G1014" s="1" t="str">
        <f t="shared" si="2"/>
        <v>Daniel CM</v>
      </c>
      <c r="H1014" s="1" t="str">
        <f>IFERROR(__xludf.DUMMYFUNCTION("""COMPUTED_VALUE"""),"30/1/2023, 17:00:00")</f>
        <v>30/1/2023, 17:00:00</v>
      </c>
      <c r="I1014" s="1" t="str">
        <f>IFERROR(__xludf.DUMMYFUNCTION("""COMPUTED_VALUE"""),"RETIRADO OK POR CLIENTE")</f>
        <v>RETIRADO OK POR CLIENTE</v>
      </c>
      <c r="J1014" s="1">
        <f t="shared" si="3"/>
        <v>6</v>
      </c>
      <c r="K1014" s="1" t="str">
        <f t="shared" si="4"/>
        <v>Entregamos tus lentes, que los disfrutes!</v>
      </c>
    </row>
    <row r="1015">
      <c r="A1015" s="1">
        <f>IFERROR(__xludf.DUMMYFUNCTION("""COMPUTED_VALUE"""),85565.0)</f>
        <v>85565</v>
      </c>
      <c r="B1015" s="5">
        <f>IFERROR(__xludf.DUMMYFUNCTION("""COMPUTED_VALUE"""),44951.37965847222)</f>
        <v>44951.37966</v>
      </c>
      <c r="C1015" s="1" t="str">
        <f>IFERROR(__xludf.DUMMYFUNCTION("""COMPUTED_VALUE"""),"TOMAS ORO")</f>
        <v>TOMAS ORO</v>
      </c>
      <c r="D1015" s="1" t="str">
        <f>IFERROR(__xludf.DUMMYFUNCTION("""COMPUTED_VALUE"""),"Reparaciones/Otros")</f>
        <v>Reparaciones/Otros</v>
      </c>
      <c r="E1015" s="1" t="str">
        <f>IFERROR(__xludf.DUMMYFUNCTION("""COMPUTED_VALUE"""),"ARTIGAS Celina")</f>
        <v>ARTIGAS Celina</v>
      </c>
      <c r="F1015" s="1" t="str">
        <f t="shared" si="1"/>
        <v>ARTIGAS </v>
      </c>
      <c r="G1015" s="1" t="str">
        <f t="shared" si="2"/>
        <v>Celina</v>
      </c>
      <c r="H1015" s="1" t="str">
        <f>IFERROR(__xludf.DUMMYFUNCTION("""COMPUTED_VALUE"""),"26/1/2023, 17:00:00")</f>
        <v>26/1/2023, 17:00:00</v>
      </c>
      <c r="I1015" s="1"/>
      <c r="J1015" s="1">
        <f t="shared" si="3"/>
        <v>0</v>
      </c>
      <c r="K1015" s="1" t="str">
        <f t="shared" si="4"/>
        <v/>
      </c>
    </row>
    <row r="1016">
      <c r="A1016" s="1">
        <f>IFERROR(__xludf.DUMMYFUNCTION("""COMPUTED_VALUE"""),85566.0)</f>
        <v>85566</v>
      </c>
      <c r="B1016" s="5">
        <f>IFERROR(__xludf.DUMMYFUNCTION("""COMPUTED_VALUE"""),44951.381551412036)</f>
        <v>44951.38155</v>
      </c>
      <c r="C1016" s="1" t="str">
        <f>IFERROR(__xludf.DUMMYFUNCTION("""COMPUTED_VALUE"""),"PANA FABRICIO")</f>
        <v>PANA FABRICIO</v>
      </c>
      <c r="D1016" s="1" t="str">
        <f>IFERROR(__xludf.DUMMYFUNCTION("""COMPUTED_VALUE"""),"Reparaciones/Otros")</f>
        <v>Reparaciones/Otros</v>
      </c>
      <c r="E1016" s="1" t="str">
        <f>IFERROR(__xludf.DUMMYFUNCTION("""COMPUTED_VALUE"""),"ARTIGAS Ivana P.")</f>
        <v>ARTIGAS Ivana P.</v>
      </c>
      <c r="F1016" s="1" t="str">
        <f t="shared" si="1"/>
        <v>ARTIGAS </v>
      </c>
      <c r="G1016" s="1" t="str">
        <f t="shared" si="2"/>
        <v>Ivana P.</v>
      </c>
      <c r="H1016" s="1" t="str">
        <f>IFERROR(__xludf.DUMMYFUNCTION("""COMPUTED_VALUE"""),"26/1/2023, 17:00:00")</f>
        <v>26/1/2023, 17:00:00</v>
      </c>
      <c r="I1016" s="1" t="str">
        <f>IFERROR(__xludf.DUMMYFUNCTION("""COMPUTED_VALUE"""),"Recibido en Laboratorio")</f>
        <v>Recibido en Laboratorio</v>
      </c>
      <c r="J1016" s="1">
        <f t="shared" si="3"/>
        <v>2</v>
      </c>
      <c r="K1016" s="1" t="str">
        <f t="shared" si="4"/>
        <v>Nuestro Laboratorio esta trabajando en tus lentes, los entregaremos en la fecha acordada.</v>
      </c>
    </row>
    <row r="1017">
      <c r="A1017" s="1">
        <f>IFERROR(__xludf.DUMMYFUNCTION("""COMPUTED_VALUE"""),85567.0)</f>
        <v>85567</v>
      </c>
      <c r="B1017" s="5">
        <f>IFERROR(__xludf.DUMMYFUNCTION("""COMPUTED_VALUE"""),44951.3851496412)</f>
        <v>44951.38515</v>
      </c>
      <c r="C1017" s="1" t="str">
        <f>IFERROR(__xludf.DUMMYFUNCTION("""COMPUTED_VALUE"""),"CORVALAN OSVALDO EMILIO")</f>
        <v>CORVALAN OSVALDO EMILIO</v>
      </c>
      <c r="D1017" s="1" t="str">
        <f>IFERROR(__xludf.DUMMYFUNCTION("""COMPUTED_VALUE"""),"Lentes de STOCK")</f>
        <v>Lentes de STOCK</v>
      </c>
      <c r="E1017" s="1" t="str">
        <f>IFERROR(__xludf.DUMMYFUNCTION("""COMPUTED_VALUE"""),"RIVADAVIA Marcela L")</f>
        <v>RIVADAVIA Marcela L</v>
      </c>
      <c r="F1017" s="1" t="str">
        <f t="shared" si="1"/>
        <v>RIVADAVIA </v>
      </c>
      <c r="G1017" s="1" t="str">
        <f t="shared" si="2"/>
        <v>Marcela L</v>
      </c>
      <c r="H1017" s="1" t="str">
        <f>IFERROR(__xludf.DUMMYFUNCTION("""COMPUTED_VALUE"""),"30/1/2023, 17:00:00")</f>
        <v>30/1/2023, 17:00:00</v>
      </c>
      <c r="I1017" s="1" t="str">
        <f>IFERROR(__xludf.DUMMYFUNCTION("""COMPUTED_VALUE"""),"Completado en SUCURSAL")</f>
        <v>Completado en SUCURSAL</v>
      </c>
      <c r="J1017" s="1">
        <f t="shared" si="3"/>
        <v>5</v>
      </c>
      <c r="K1017" s="1" t="str">
        <f t="shared" si="4"/>
        <v>Tus Lentes estan LISTAS PARA ENTREGAR, te esperamos.</v>
      </c>
    </row>
    <row r="1018">
      <c r="A1018" s="1">
        <f>IFERROR(__xludf.DUMMYFUNCTION("""COMPUTED_VALUE"""),85568.0)</f>
        <v>85568</v>
      </c>
      <c r="B1018" s="5">
        <f>IFERROR(__xludf.DUMMYFUNCTION("""COMPUTED_VALUE"""),44951.39383732639)</f>
        <v>44951.39384</v>
      </c>
      <c r="C1018" s="1" t="str">
        <f>IFERROR(__xludf.DUMMYFUNCTION("""COMPUTED_VALUE"""),"IOVANE RICARDO PASCUAL")</f>
        <v>IOVANE RICARDO PASCUAL</v>
      </c>
      <c r="D1018" s="1" t="str">
        <f>IFERROR(__xludf.DUMMYFUNCTION("""COMPUTED_VALUE"""),"Lentes de STOCK")</f>
        <v>Lentes de STOCK</v>
      </c>
      <c r="E1018" s="1" t="str">
        <f>IFERROR(__xludf.DUMMYFUNCTION("""COMPUTED_VALUE"""),"RIVADAVIA Luciana")</f>
        <v>RIVADAVIA Luciana</v>
      </c>
      <c r="F1018" s="1" t="str">
        <f t="shared" si="1"/>
        <v>RIVADAVIA </v>
      </c>
      <c r="G1018" s="1" t="str">
        <f t="shared" si="2"/>
        <v>Luciana</v>
      </c>
      <c r="H1018" s="1" t="str">
        <f>IFERROR(__xludf.DUMMYFUNCTION("""COMPUTED_VALUE"""),"31/1/2023, 17:00:00")</f>
        <v>31/1/2023, 17:00:00</v>
      </c>
      <c r="I1018" s="1" t="str">
        <f>IFERROR(__xludf.DUMMYFUNCTION("""COMPUTED_VALUE"""),"Completado en SUCURSAL")</f>
        <v>Completado en SUCURSAL</v>
      </c>
      <c r="J1018" s="1">
        <f t="shared" si="3"/>
        <v>5</v>
      </c>
      <c r="K1018" s="1" t="str">
        <f t="shared" si="4"/>
        <v>Tus Lentes estan LISTAS PARA ENTREGAR, te esperamos.</v>
      </c>
    </row>
    <row r="1019">
      <c r="A1019" s="1">
        <f>IFERROR(__xludf.DUMMYFUNCTION("""COMPUTED_VALUE"""),85569.0)</f>
        <v>85569</v>
      </c>
      <c r="B1019" s="5">
        <f>IFERROR(__xludf.DUMMYFUNCTION("""COMPUTED_VALUE"""),44951.394140752316)</f>
        <v>44951.39414</v>
      </c>
      <c r="C1019" s="1" t="str">
        <f>IFERROR(__xludf.DUMMYFUNCTION("""COMPUTED_VALUE"""),"guillermo miranda")</f>
        <v>guillermo miranda</v>
      </c>
      <c r="D1019" s="1" t="str">
        <f>IFERROR(__xludf.DUMMYFUNCTION("""COMPUTED_VALUE"""),"Lentes de STOCK")</f>
        <v>Lentes de STOCK</v>
      </c>
      <c r="E1019" s="1" t="str">
        <f>IFERROR(__xludf.DUMMYFUNCTION("""COMPUTED_VALUE"""),"RIVADAVIA Santiago LOPEZ")</f>
        <v>RIVADAVIA Santiago LOPEZ</v>
      </c>
      <c r="F1019" s="1" t="str">
        <f t="shared" si="1"/>
        <v>RIVADAVIA </v>
      </c>
      <c r="G1019" s="1" t="str">
        <f t="shared" si="2"/>
        <v>Santiago LOPEZ</v>
      </c>
      <c r="H1019" s="1" t="str">
        <f>IFERROR(__xludf.DUMMYFUNCTION("""COMPUTED_VALUE"""),"30/1/2023, 17:00:00")</f>
        <v>30/1/2023, 17:00:00</v>
      </c>
      <c r="I1019" s="1" t="str">
        <f>IFERROR(__xludf.DUMMYFUNCTION("""COMPUTED_VALUE"""),"Completado en SUCURSAL")</f>
        <v>Completado en SUCURSAL</v>
      </c>
      <c r="J1019" s="1">
        <f t="shared" si="3"/>
        <v>5</v>
      </c>
      <c r="K1019" s="1" t="str">
        <f t="shared" si="4"/>
        <v>Tus Lentes estan LISTAS PARA ENTREGAR, te esperamos.</v>
      </c>
    </row>
    <row r="1020">
      <c r="A1020" s="1">
        <f>IFERROR(__xludf.DUMMYFUNCTION("""COMPUTED_VALUE"""),85570.0)</f>
        <v>85570</v>
      </c>
      <c r="B1020" s="5">
        <f>IFERROR(__xludf.DUMMYFUNCTION("""COMPUTED_VALUE"""),44951.39432340278)</f>
        <v>44951.39432</v>
      </c>
      <c r="C1020" s="1" t="str">
        <f>IFERROR(__xludf.DUMMYFUNCTION("""COMPUTED_VALUE"""),"LUNA PEDRO ELIGIO")</f>
        <v>LUNA PEDRO ELIGIO</v>
      </c>
      <c r="D1020" s="1" t="str">
        <f>IFERROR(__xludf.DUMMYFUNCTION("""COMPUTED_VALUE"""),"Lentes de STOCK")</f>
        <v>Lentes de STOCK</v>
      </c>
      <c r="E1020" s="1" t="str">
        <f>IFERROR(__xludf.DUMMYFUNCTION("""COMPUTED_VALUE"""),"ARTIGAS Cristian C.")</f>
        <v>ARTIGAS Cristian C.</v>
      </c>
      <c r="F1020" s="1" t="str">
        <f t="shared" si="1"/>
        <v>ARTIGAS </v>
      </c>
      <c r="G1020" s="1" t="str">
        <f t="shared" si="2"/>
        <v>Cristian C.</v>
      </c>
      <c r="H1020" s="1" t="str">
        <f>IFERROR(__xludf.DUMMYFUNCTION("""COMPUTED_VALUE"""),"1/2/2023, 17:00:00")</f>
        <v>1/2/2023, 17:00:00</v>
      </c>
      <c r="I1020" s="1" t="str">
        <f>IFERROR(__xludf.DUMMYFUNCTION("""COMPUTED_VALUE"""),"En Armado Hoy")</f>
        <v>En Armado Hoy</v>
      </c>
      <c r="J1020" s="1">
        <f t="shared" si="3"/>
        <v>3</v>
      </c>
      <c r="K1020" s="1" t="str">
        <f t="shared" si="4"/>
        <v>Estamos terminando los ultimos detalles de tus lentes, los terminaremos el dia de hoy.</v>
      </c>
    </row>
    <row r="1021">
      <c r="A1021" s="1">
        <f>IFERROR(__xludf.DUMMYFUNCTION("""COMPUTED_VALUE"""),85571.0)</f>
        <v>85571</v>
      </c>
      <c r="B1021" s="5">
        <f>IFERROR(__xludf.DUMMYFUNCTION("""COMPUTED_VALUE"""),44951.3946303125)</f>
        <v>44951.39463</v>
      </c>
      <c r="C1021" s="1" t="str">
        <f>IFERROR(__xludf.DUMMYFUNCTION("""COMPUTED_VALUE"""),"FAVRE FERNANDO ")</f>
        <v>FAVRE FERNANDO </v>
      </c>
      <c r="D1021" s="1" t="str">
        <f>IFERROR(__xludf.DUMMYFUNCTION("""COMPUTED_VALUE"""),"Reparaciones/Otros")</f>
        <v>Reparaciones/Otros</v>
      </c>
      <c r="E1021" s="1" t="str">
        <f>IFERROR(__xludf.DUMMYFUNCTION("""COMPUTED_VALUE"""),"RIVADAVIA Rocio B")</f>
        <v>RIVADAVIA Rocio B</v>
      </c>
      <c r="F1021" s="1" t="str">
        <f t="shared" si="1"/>
        <v>RIVADAVIA </v>
      </c>
      <c r="G1021" s="1" t="str">
        <f t="shared" si="2"/>
        <v>Rocio B</v>
      </c>
      <c r="H1021" s="1" t="str">
        <f>IFERROR(__xludf.DUMMYFUNCTION("""COMPUTED_VALUE"""),"26/1/2023, 17:00:00")</f>
        <v>26/1/2023, 17:00:00</v>
      </c>
      <c r="I1021" s="1" t="str">
        <f>IFERROR(__xludf.DUMMYFUNCTION("""COMPUTED_VALUE"""),"Enviado a Sucursal")</f>
        <v>Enviado a Sucursal</v>
      </c>
      <c r="J1021" s="1">
        <f t="shared" si="3"/>
        <v>4</v>
      </c>
      <c r="K1021" s="1" t="str">
        <f t="shared" si="4"/>
        <v>Tus lentes estan viajando a la sucursal para su entrega.</v>
      </c>
    </row>
    <row r="1022">
      <c r="A1022" s="1">
        <f>IFERROR(__xludf.DUMMYFUNCTION("""COMPUTED_VALUE"""),85572.0)</f>
        <v>85572</v>
      </c>
      <c r="B1022" s="5">
        <f>IFERROR(__xludf.DUMMYFUNCTION("""COMPUTED_VALUE"""),44951.40026928241)</f>
        <v>44951.40027</v>
      </c>
      <c r="C1022" s="1" t="str">
        <f>IFERROR(__xludf.DUMMYFUNCTION("""COMPUTED_VALUE"""),"Soria Jose Francisco")</f>
        <v>Soria Jose Francisco</v>
      </c>
      <c r="D1022" s="1" t="str">
        <f>IFERROR(__xludf.DUMMYFUNCTION("""COMPUTED_VALUE"""),"Lentes de STOCK")</f>
        <v>Lentes de STOCK</v>
      </c>
      <c r="E1022" s="1" t="str">
        <f>IFERROR(__xludf.DUMMYFUNCTION("""COMPUTED_VALUE"""),"RIVADAVIA Rocio B")</f>
        <v>RIVADAVIA Rocio B</v>
      </c>
      <c r="F1022" s="1" t="str">
        <f t="shared" si="1"/>
        <v>RIVADAVIA </v>
      </c>
      <c r="G1022" s="1" t="str">
        <f t="shared" si="2"/>
        <v>Rocio B</v>
      </c>
      <c r="H1022" s="1" t="str">
        <f>IFERROR(__xludf.DUMMYFUNCTION("""COMPUTED_VALUE"""),"1/2/2023, 17:00:00")</f>
        <v>1/2/2023, 17:00:00</v>
      </c>
      <c r="I1022" s="1" t="str">
        <f>IFERROR(__xludf.DUMMYFUNCTION("""COMPUTED_VALUE"""),"Completado en SUCURSAL")</f>
        <v>Completado en SUCURSAL</v>
      </c>
      <c r="J1022" s="1">
        <f t="shared" si="3"/>
        <v>5</v>
      </c>
      <c r="K1022" s="1" t="str">
        <f t="shared" si="4"/>
        <v>Tus Lentes estan LISTAS PARA ENTREGAR, te esperamos.</v>
      </c>
    </row>
    <row r="1023">
      <c r="A1023" s="1">
        <f>IFERROR(__xludf.DUMMYFUNCTION("""COMPUTED_VALUE"""),85573.0)</f>
        <v>85573</v>
      </c>
      <c r="B1023" s="5">
        <f>IFERROR(__xludf.DUMMYFUNCTION("""COMPUTED_VALUE"""),44951.404626550924)</f>
        <v>44951.40463</v>
      </c>
      <c r="C1023" s="1" t="str">
        <f>IFERROR(__xludf.DUMMYFUNCTION("""COMPUTED_VALUE"""),"Lucero Alberto Julio")</f>
        <v>Lucero Alberto Julio</v>
      </c>
      <c r="D1023" s="1" t="str">
        <f>IFERROR(__xludf.DUMMYFUNCTION("""COMPUTED_VALUE"""),"Lentes de STOCK")</f>
        <v>Lentes de STOCK</v>
      </c>
      <c r="E1023" s="1" t="str">
        <f>IFERROR(__xludf.DUMMYFUNCTION("""COMPUTED_VALUE"""),"RIVADAVIA Rocio B")</f>
        <v>RIVADAVIA Rocio B</v>
      </c>
      <c r="F1023" s="1" t="str">
        <f t="shared" si="1"/>
        <v>RIVADAVIA </v>
      </c>
      <c r="G1023" s="1" t="str">
        <f t="shared" si="2"/>
        <v>Rocio B</v>
      </c>
      <c r="H1023" s="1" t="str">
        <f>IFERROR(__xludf.DUMMYFUNCTION("""COMPUTED_VALUE"""),"31/1/2023, 17:00:00")</f>
        <v>31/1/2023, 17:00:00</v>
      </c>
      <c r="I1023" s="1" t="str">
        <f>IFERROR(__xludf.DUMMYFUNCTION("""COMPUTED_VALUE"""),"Completado en SUCURSAL")</f>
        <v>Completado en SUCURSAL</v>
      </c>
      <c r="J1023" s="1">
        <f t="shared" si="3"/>
        <v>5</v>
      </c>
      <c r="K1023" s="1" t="str">
        <f t="shared" si="4"/>
        <v>Tus Lentes estan LISTAS PARA ENTREGAR, te esperamos.</v>
      </c>
    </row>
    <row r="1024">
      <c r="A1024" s="1">
        <f>IFERROR(__xludf.DUMMYFUNCTION("""COMPUTED_VALUE"""),85574.0)</f>
        <v>85574</v>
      </c>
      <c r="B1024" s="5">
        <f>IFERROR(__xludf.DUMMYFUNCTION("""COMPUTED_VALUE"""),44951.40684165509)</f>
        <v>44951.40684</v>
      </c>
      <c r="C1024" s="1" t="str">
        <f>IFERROR(__xludf.DUMMYFUNCTION("""COMPUTED_VALUE"""),"Fernandez Maria Liliana")</f>
        <v>Fernandez Maria Liliana</v>
      </c>
      <c r="D1024" s="1" t="str">
        <f>IFERROR(__xludf.DUMMYFUNCTION("""COMPUTED_VALUE"""),"Lentes de STOCK")</f>
        <v>Lentes de STOCK</v>
      </c>
      <c r="E1024" s="1" t="str">
        <f>IFERROR(__xludf.DUMMYFUNCTION("""COMPUTED_VALUE"""),"RIVADAVIA Rocio B")</f>
        <v>RIVADAVIA Rocio B</v>
      </c>
      <c r="F1024" s="1" t="str">
        <f t="shared" si="1"/>
        <v>RIVADAVIA </v>
      </c>
      <c r="G1024" s="1" t="str">
        <f t="shared" si="2"/>
        <v>Rocio B</v>
      </c>
      <c r="H1024" s="1" t="str">
        <f>IFERROR(__xludf.DUMMYFUNCTION("""COMPUTED_VALUE"""),"31/1/2023, 17:00:00")</f>
        <v>31/1/2023, 17:00:00</v>
      </c>
      <c r="I1024" s="1" t="str">
        <f>IFERROR(__xludf.DUMMYFUNCTION("""COMPUTED_VALUE"""),"Completado en SUCURSAL")</f>
        <v>Completado en SUCURSAL</v>
      </c>
      <c r="J1024" s="1">
        <f t="shared" si="3"/>
        <v>5</v>
      </c>
      <c r="K1024" s="1" t="str">
        <f t="shared" si="4"/>
        <v>Tus Lentes estan LISTAS PARA ENTREGAR, te esperamos.</v>
      </c>
    </row>
    <row r="1025">
      <c r="A1025" s="1">
        <f>IFERROR(__xludf.DUMMYFUNCTION("""COMPUTED_VALUE"""),85575.0)</f>
        <v>85575</v>
      </c>
      <c r="B1025" s="5">
        <f>IFERROR(__xludf.DUMMYFUNCTION("""COMPUTED_VALUE"""),44951.40867222223)</f>
        <v>44951.40867</v>
      </c>
      <c r="C1025" s="1" t="str">
        <f>IFERROR(__xludf.DUMMYFUNCTION("""COMPUTED_VALUE"""),"PETROL ")</f>
        <v>PETROL </v>
      </c>
      <c r="D1025" s="1" t="str">
        <f>IFERROR(__xludf.DUMMYFUNCTION("""COMPUTED_VALUE"""),"Reparaciones/Otros")</f>
        <v>Reparaciones/Otros</v>
      </c>
      <c r="E1025" s="1" t="str">
        <f>IFERROR(__xludf.DUMMYFUNCTION("""COMPUTED_VALUE"""),"ARTIGAS Celina")</f>
        <v>ARTIGAS Celina</v>
      </c>
      <c r="F1025" s="1" t="str">
        <f t="shared" si="1"/>
        <v>ARTIGAS </v>
      </c>
      <c r="G1025" s="1" t="str">
        <f t="shared" si="2"/>
        <v>Celina</v>
      </c>
      <c r="H1025" s="1" t="str">
        <f>IFERROR(__xludf.DUMMYFUNCTION("""COMPUTED_VALUE"""),"26/1/2023, 17:00:00")</f>
        <v>26/1/2023, 17:00:00</v>
      </c>
      <c r="I1025" s="1"/>
      <c r="J1025" s="1">
        <f t="shared" si="3"/>
        <v>0</v>
      </c>
      <c r="K1025" s="1" t="str">
        <f t="shared" si="4"/>
        <v/>
      </c>
    </row>
    <row r="1026">
      <c r="A1026" s="1">
        <f>IFERROR(__xludf.DUMMYFUNCTION("""COMPUTED_VALUE"""),85576.0)</f>
        <v>85576</v>
      </c>
      <c r="B1026" s="5">
        <f>IFERROR(__xludf.DUMMYFUNCTION("""COMPUTED_VALUE"""),44951.41732900463)</f>
        <v>44951.41733</v>
      </c>
      <c r="C1026" s="1" t="str">
        <f>IFERROR(__xludf.DUMMYFUNCTION("""COMPUTED_VALUE"""),"CORICA JOSE")</f>
        <v>CORICA JOSE</v>
      </c>
      <c r="D1026" s="1" t="str">
        <f>IFERROR(__xludf.DUMMYFUNCTION("""COMPUTED_VALUE"""),"Lentes de STOCK")</f>
        <v>Lentes de STOCK</v>
      </c>
      <c r="E1026" s="1" t="str">
        <f>IFERROR(__xludf.DUMMYFUNCTION("""COMPUTED_VALUE"""),"RIVADAVIA Luciana")</f>
        <v>RIVADAVIA Luciana</v>
      </c>
      <c r="F1026" s="1" t="str">
        <f t="shared" si="1"/>
        <v>RIVADAVIA </v>
      </c>
      <c r="G1026" s="1" t="str">
        <f t="shared" si="2"/>
        <v>Luciana</v>
      </c>
      <c r="H1026" s="1" t="str">
        <f>IFERROR(__xludf.DUMMYFUNCTION("""COMPUTED_VALUE"""),"30/1/2023, 17:00:00")</f>
        <v>30/1/2023, 17:00:00</v>
      </c>
      <c r="I1026" s="1" t="str">
        <f>IFERROR(__xludf.DUMMYFUNCTION("""COMPUTED_VALUE"""),"RETIRADO OK POR CLIENTE")</f>
        <v>RETIRADO OK POR CLIENTE</v>
      </c>
      <c r="J1026" s="1">
        <f t="shared" si="3"/>
        <v>6</v>
      </c>
      <c r="K1026" s="1" t="str">
        <f t="shared" si="4"/>
        <v>Entregamos tus lentes, que los disfrutes!</v>
      </c>
    </row>
    <row r="1027">
      <c r="A1027" s="1">
        <f>IFERROR(__xludf.DUMMYFUNCTION("""COMPUTED_VALUE"""),85577.0)</f>
        <v>85577</v>
      </c>
      <c r="B1027" s="5">
        <f>IFERROR(__xludf.DUMMYFUNCTION("""COMPUTED_VALUE"""),44951.418061689816)</f>
        <v>44951.41806</v>
      </c>
      <c r="C1027" s="1" t="str">
        <f>IFERROR(__xludf.DUMMYFUNCTION("""COMPUTED_VALUE"""),"brito juan manuel")</f>
        <v>brito juan manuel</v>
      </c>
      <c r="D1027" s="1" t="str">
        <f>IFERROR(__xludf.DUMMYFUNCTION("""COMPUTED_VALUE"""),"Reparaciones/Otros")</f>
        <v>Reparaciones/Otros</v>
      </c>
      <c r="E1027" s="1" t="str">
        <f>IFERROR(__xludf.DUMMYFUNCTION("""COMPUTED_VALUE"""),"RIVADAVIA Daniel CM")</f>
        <v>RIVADAVIA Daniel CM</v>
      </c>
      <c r="F1027" s="1" t="str">
        <f t="shared" si="1"/>
        <v>RIVADAVIA </v>
      </c>
      <c r="G1027" s="1" t="str">
        <f t="shared" si="2"/>
        <v>Daniel CM</v>
      </c>
      <c r="H1027" s="1" t="str">
        <f>IFERROR(__xludf.DUMMYFUNCTION("""COMPUTED_VALUE"""),"26/1/2023, 17:00:00")</f>
        <v>26/1/2023, 17:00:00</v>
      </c>
      <c r="I1027" s="1" t="str">
        <f>IFERROR(__xludf.DUMMYFUNCTION("""COMPUTED_VALUE"""),"Completado en SUCURSAL")</f>
        <v>Completado en SUCURSAL</v>
      </c>
      <c r="J1027" s="1">
        <f t="shared" si="3"/>
        <v>5</v>
      </c>
      <c r="K1027" s="1" t="str">
        <f t="shared" si="4"/>
        <v>Tus Lentes estan LISTAS PARA ENTREGAR, te esperamos.</v>
      </c>
    </row>
    <row r="1028">
      <c r="A1028" s="1">
        <f>IFERROR(__xludf.DUMMYFUNCTION("""COMPUTED_VALUE"""),85578.0)</f>
        <v>85578</v>
      </c>
      <c r="B1028" s="5">
        <f>IFERROR(__xludf.DUMMYFUNCTION("""COMPUTED_VALUE"""),44951.421808541665)</f>
        <v>44951.42181</v>
      </c>
      <c r="C1028" s="1" t="str">
        <f>IFERROR(__xludf.DUMMYFUNCTION("""COMPUTED_VALUE"""),"Rodriguez Patricia")</f>
        <v>Rodriguez Patricia</v>
      </c>
      <c r="D1028" s="1" t="str">
        <f>IFERROR(__xludf.DUMMYFUNCTION("""COMPUTED_VALUE"""),"Lentes BIFOCALES")</f>
        <v>Lentes BIFOCALES</v>
      </c>
      <c r="E1028" s="1" t="str">
        <f>IFERROR(__xludf.DUMMYFUNCTION("""COMPUTED_VALUE"""),"RIVADAVIA Rocio B")</f>
        <v>RIVADAVIA Rocio B</v>
      </c>
      <c r="F1028" s="1" t="str">
        <f t="shared" si="1"/>
        <v>RIVADAVIA </v>
      </c>
      <c r="G1028" s="1" t="str">
        <f t="shared" si="2"/>
        <v>Rocio B</v>
      </c>
      <c r="H1028" s="1" t="str">
        <f>IFERROR(__xludf.DUMMYFUNCTION("""COMPUTED_VALUE"""),"28/1/2023, 17:00:00")</f>
        <v>28/1/2023, 17:00:00</v>
      </c>
      <c r="I1028" s="1" t="str">
        <f>IFERROR(__xludf.DUMMYFUNCTION("""COMPUTED_VALUE"""),"RETIRADO OK POR CLIENTE")</f>
        <v>RETIRADO OK POR CLIENTE</v>
      </c>
      <c r="J1028" s="1">
        <f t="shared" si="3"/>
        <v>6</v>
      </c>
      <c r="K1028" s="1" t="str">
        <f t="shared" si="4"/>
        <v>Entregamos tus lentes, que los disfrutes!</v>
      </c>
    </row>
    <row r="1029">
      <c r="A1029" s="1">
        <f>IFERROR(__xludf.DUMMYFUNCTION("""COMPUTED_VALUE"""),85579.0)</f>
        <v>85579</v>
      </c>
      <c r="B1029" s="5">
        <f>IFERROR(__xludf.DUMMYFUNCTION("""COMPUTED_VALUE"""),44951.42483297454)</f>
        <v>44951.42483</v>
      </c>
      <c r="C1029" s="1" t="str">
        <f>IFERROR(__xludf.DUMMYFUNCTION("""COMPUTED_VALUE"""),"guzman francisco")</f>
        <v>guzman francisco</v>
      </c>
      <c r="D1029" s="1" t="str">
        <f>IFERROR(__xludf.DUMMYFUNCTION("""COMPUTED_VALUE"""),"Reparaciones/Otros")</f>
        <v>Reparaciones/Otros</v>
      </c>
      <c r="E1029" s="1" t="str">
        <f>IFERROR(__xludf.DUMMYFUNCTION("""COMPUTED_VALUE"""),"RIVADAVIA Santiago N")</f>
        <v>RIVADAVIA Santiago N</v>
      </c>
      <c r="F1029" s="1" t="str">
        <f t="shared" si="1"/>
        <v>RIVADAVIA </v>
      </c>
      <c r="G1029" s="1" t="str">
        <f t="shared" si="2"/>
        <v>Santiago N</v>
      </c>
      <c r="H1029" s="1" t="str">
        <f>IFERROR(__xludf.DUMMYFUNCTION("""COMPUTED_VALUE"""),"26/1/2023, 17:00:00")</f>
        <v>26/1/2023, 17:00:00</v>
      </c>
      <c r="I1029" s="1" t="str">
        <f>IFERROR(__xludf.DUMMYFUNCTION("""COMPUTED_VALUE"""),"Completado en SUCURSAL")</f>
        <v>Completado en SUCURSAL</v>
      </c>
      <c r="J1029" s="1">
        <f t="shared" si="3"/>
        <v>5</v>
      </c>
      <c r="K1029" s="1" t="str">
        <f t="shared" si="4"/>
        <v>Tus Lentes estan LISTAS PARA ENTREGAR, te esperamos.</v>
      </c>
    </row>
    <row r="1030">
      <c r="A1030" s="1">
        <f>IFERROR(__xludf.DUMMYFUNCTION("""COMPUTED_VALUE"""),85580.0)</f>
        <v>85580</v>
      </c>
      <c r="B1030" s="5">
        <f>IFERROR(__xludf.DUMMYFUNCTION("""COMPUTED_VALUE"""),44951.42569103009)</f>
        <v>44951.42569</v>
      </c>
      <c r="C1030" s="1" t="str">
        <f>IFERROR(__xludf.DUMMYFUNCTION("""COMPUTED_VALUE"""),"SOLOA GUSTAVO")</f>
        <v>SOLOA GUSTAVO</v>
      </c>
      <c r="D1030" s="1" t="str">
        <f>IFERROR(__xludf.DUMMYFUNCTION("""COMPUTED_VALUE"""),"Reparaciones/Otros")</f>
        <v>Reparaciones/Otros</v>
      </c>
      <c r="E1030" s="1" t="str">
        <f>IFERROR(__xludf.DUMMYFUNCTION("""COMPUTED_VALUE"""),"ARTIGAS Celina")</f>
        <v>ARTIGAS Celina</v>
      </c>
      <c r="F1030" s="1" t="str">
        <f t="shared" si="1"/>
        <v>ARTIGAS </v>
      </c>
      <c r="G1030" s="1" t="str">
        <f t="shared" si="2"/>
        <v>Celina</v>
      </c>
      <c r="H1030" s="1" t="str">
        <f>IFERROR(__xludf.DUMMYFUNCTION("""COMPUTED_VALUE"""),"26/1/2023, 17:00:00")</f>
        <v>26/1/2023, 17:00:00</v>
      </c>
      <c r="I1030" s="1" t="str">
        <f>IFERROR(__xludf.DUMMYFUNCTION("""COMPUTED_VALUE"""),"Completado en SUCURSAL")</f>
        <v>Completado en SUCURSAL</v>
      </c>
      <c r="J1030" s="1">
        <f t="shared" si="3"/>
        <v>5</v>
      </c>
      <c r="K1030" s="1" t="str">
        <f t="shared" si="4"/>
        <v>Tus Lentes estan LISTAS PARA ENTREGAR, te esperamos.</v>
      </c>
    </row>
    <row r="1031">
      <c r="A1031" s="1">
        <f>IFERROR(__xludf.DUMMYFUNCTION("""COMPUTED_VALUE"""),85581.0)</f>
        <v>85581</v>
      </c>
      <c r="B1031" s="5">
        <f>IFERROR(__xludf.DUMMYFUNCTION("""COMPUTED_VALUE"""),44951.42657231481)</f>
        <v>44951.42657</v>
      </c>
      <c r="C1031" s="1" t="str">
        <f>IFERROR(__xludf.DUMMYFUNCTION("""COMPUTED_VALUE"""),"STRASSER BARBARA ")</f>
        <v>STRASSER BARBARA </v>
      </c>
      <c r="D1031" s="1" t="str">
        <f>IFERROR(__xludf.DUMMYFUNCTION("""COMPUTED_VALUE"""),"Reparaciones/Otros")</f>
        <v>Reparaciones/Otros</v>
      </c>
      <c r="E1031" s="1" t="str">
        <f>IFERROR(__xludf.DUMMYFUNCTION("""COMPUTED_VALUE"""),"RIVADAVIA Marcela L")</f>
        <v>RIVADAVIA Marcela L</v>
      </c>
      <c r="F1031" s="1" t="str">
        <f t="shared" si="1"/>
        <v>RIVADAVIA </v>
      </c>
      <c r="G1031" s="1" t="str">
        <f t="shared" si="2"/>
        <v>Marcela L</v>
      </c>
      <c r="H1031" s="1" t="str">
        <f>IFERROR(__xludf.DUMMYFUNCTION("""COMPUTED_VALUE"""),"26/1/2023, 17:00:00")</f>
        <v>26/1/2023, 17:00:00</v>
      </c>
      <c r="I1031" s="1"/>
      <c r="J1031" s="1">
        <f t="shared" si="3"/>
        <v>0</v>
      </c>
      <c r="K1031" s="1" t="str">
        <f t="shared" si="4"/>
        <v/>
      </c>
    </row>
    <row r="1032">
      <c r="A1032" s="1">
        <f>IFERROR(__xludf.DUMMYFUNCTION("""COMPUTED_VALUE"""),85582.0)</f>
        <v>85582</v>
      </c>
      <c r="B1032" s="5">
        <f>IFERROR(__xludf.DUMMYFUNCTION("""COMPUTED_VALUE"""),44951.43798340278)</f>
        <v>44951.43798</v>
      </c>
      <c r="C1032" s="1" t="str">
        <f>IFERROR(__xludf.DUMMYFUNCTION("""COMPUTED_VALUE"""),"prado suarez silvia")</f>
        <v>prado suarez silvia</v>
      </c>
      <c r="D1032" s="1" t="str">
        <f>IFERROR(__xludf.DUMMYFUNCTION("""COMPUTED_VALUE"""),"Lentes de STOCK")</f>
        <v>Lentes de STOCK</v>
      </c>
      <c r="E1032" s="1" t="str">
        <f>IFERROR(__xludf.DUMMYFUNCTION("""COMPUTED_VALUE"""),"RIVADAVIA Santiago LOPEZ")</f>
        <v>RIVADAVIA Santiago LOPEZ</v>
      </c>
      <c r="F1032" s="1" t="str">
        <f t="shared" si="1"/>
        <v>RIVADAVIA </v>
      </c>
      <c r="G1032" s="1" t="str">
        <f t="shared" si="2"/>
        <v>Santiago LOPEZ</v>
      </c>
      <c r="H1032" s="1" t="str">
        <f>IFERROR(__xludf.DUMMYFUNCTION("""COMPUTED_VALUE"""),"27/1/2023, 17:00:00")</f>
        <v>27/1/2023, 17:00:00</v>
      </c>
      <c r="I1032" s="1" t="str">
        <f>IFERROR(__xludf.DUMMYFUNCTION("""COMPUTED_VALUE"""),"RETIRADO OK POR CLIENTE")</f>
        <v>RETIRADO OK POR CLIENTE</v>
      </c>
      <c r="J1032" s="1">
        <f t="shared" si="3"/>
        <v>6</v>
      </c>
      <c r="K1032" s="1" t="str">
        <f t="shared" si="4"/>
        <v>Entregamos tus lentes, que los disfrutes!</v>
      </c>
    </row>
    <row r="1033">
      <c r="A1033" s="1">
        <f>IFERROR(__xludf.DUMMYFUNCTION("""COMPUTED_VALUE"""),85583.0)</f>
        <v>85583</v>
      </c>
      <c r="B1033" s="5">
        <f>IFERROR(__xludf.DUMMYFUNCTION("""COMPUTED_VALUE"""),44951.440337962966)</f>
        <v>44951.44034</v>
      </c>
      <c r="C1033" s="1" t="str">
        <f>IFERROR(__xludf.DUMMYFUNCTION("""COMPUTED_VALUE"""),"ROXANA CRED")</f>
        <v>ROXANA CRED</v>
      </c>
      <c r="D1033" s="1" t="str">
        <f>IFERROR(__xludf.DUMMYFUNCTION("""COMPUTED_VALUE"""),"Reparaciones/Otros")</f>
        <v>Reparaciones/Otros</v>
      </c>
      <c r="E1033" s="1" t="str">
        <f>IFERROR(__xludf.DUMMYFUNCTION("""COMPUTED_VALUE"""),"ARTIGAS Celina")</f>
        <v>ARTIGAS Celina</v>
      </c>
      <c r="F1033" s="1" t="str">
        <f t="shared" si="1"/>
        <v>ARTIGAS </v>
      </c>
      <c r="G1033" s="1" t="str">
        <f t="shared" si="2"/>
        <v>Celina</v>
      </c>
      <c r="H1033" s="1" t="str">
        <f>IFERROR(__xludf.DUMMYFUNCTION("""COMPUTED_VALUE"""),"26/1/2023, 17:00:00")</f>
        <v>26/1/2023, 17:00:00</v>
      </c>
      <c r="I1033" s="1" t="str">
        <f>IFERROR(__xludf.DUMMYFUNCTION("""COMPUTED_VALUE"""),"Completado en SUCURSAL")</f>
        <v>Completado en SUCURSAL</v>
      </c>
      <c r="J1033" s="1">
        <f t="shared" si="3"/>
        <v>5</v>
      </c>
      <c r="K1033" s="1" t="str">
        <f t="shared" si="4"/>
        <v>Tus Lentes estan LISTAS PARA ENTREGAR, te esperamos.</v>
      </c>
    </row>
    <row r="1034">
      <c r="A1034" s="1">
        <f>IFERROR(__xludf.DUMMYFUNCTION("""COMPUTED_VALUE"""),85584.0)</f>
        <v>85584</v>
      </c>
      <c r="B1034" s="5">
        <f>IFERROR(__xludf.DUMMYFUNCTION("""COMPUTED_VALUE"""),44951.441703530094)</f>
        <v>44951.4417</v>
      </c>
      <c r="C1034" s="1" t="str">
        <f>IFERROR(__xludf.DUMMYFUNCTION("""COMPUTED_VALUE"""),"Baigorria Miguel Bruno")</f>
        <v>Baigorria Miguel Bruno</v>
      </c>
      <c r="D1034" s="1" t="str">
        <f>IFERROR(__xludf.DUMMYFUNCTION("""COMPUTED_VALUE"""),"Lentes de STOCK")</f>
        <v>Lentes de STOCK</v>
      </c>
      <c r="E1034" s="1" t="str">
        <f>IFERROR(__xludf.DUMMYFUNCTION("""COMPUTED_VALUE"""),"RIVADAVIA Rocio B")</f>
        <v>RIVADAVIA Rocio B</v>
      </c>
      <c r="F1034" s="1" t="str">
        <f t="shared" si="1"/>
        <v>RIVADAVIA </v>
      </c>
      <c r="G1034" s="1" t="str">
        <f t="shared" si="2"/>
        <v>Rocio B</v>
      </c>
      <c r="H1034" s="1" t="str">
        <f>IFERROR(__xludf.DUMMYFUNCTION("""COMPUTED_VALUE"""),"1/2/2023, 17:00:00")</f>
        <v>1/2/2023, 17:00:00</v>
      </c>
      <c r="I1034" s="1" t="str">
        <f>IFERROR(__xludf.DUMMYFUNCTION("""COMPUTED_VALUE"""),"Completado en SUCURSAL")</f>
        <v>Completado en SUCURSAL</v>
      </c>
      <c r="J1034" s="1">
        <f t="shared" si="3"/>
        <v>5</v>
      </c>
      <c r="K1034" s="1" t="str">
        <f t="shared" si="4"/>
        <v>Tus Lentes estan LISTAS PARA ENTREGAR, te esperamos.</v>
      </c>
    </row>
    <row r="1035">
      <c r="A1035" s="1">
        <f>IFERROR(__xludf.DUMMYFUNCTION("""COMPUTED_VALUE"""),85585.0)</f>
        <v>85585</v>
      </c>
      <c r="B1035" s="5">
        <f>IFERROR(__xludf.DUMMYFUNCTION("""COMPUTED_VALUE"""),44951.4536906713)</f>
        <v>44951.45369</v>
      </c>
      <c r="C1035" s="1" t="str">
        <f>IFERROR(__xludf.DUMMYFUNCTION("""COMPUTED_VALUE"""),"CASSINI EUSEBIO RAFAEL")</f>
        <v>CASSINI EUSEBIO RAFAEL</v>
      </c>
      <c r="D1035" s="1" t="str">
        <f>IFERROR(__xludf.DUMMYFUNCTION("""COMPUTED_VALUE"""),"Lentes MULTIFOCALES")</f>
        <v>Lentes MULTIFOCALES</v>
      </c>
      <c r="E1035" s="1" t="str">
        <f>IFERROR(__xludf.DUMMYFUNCTION("""COMPUTED_VALUE"""),"ARTIGAS Ivana P.")</f>
        <v>ARTIGAS Ivana P.</v>
      </c>
      <c r="F1035" s="1" t="str">
        <f t="shared" si="1"/>
        <v>ARTIGAS </v>
      </c>
      <c r="G1035" s="1" t="str">
        <f t="shared" si="2"/>
        <v>Ivana P.</v>
      </c>
      <c r="H1035" s="1" t="str">
        <f>IFERROR(__xludf.DUMMYFUNCTION("""COMPUTED_VALUE"""),"7/2/2023, 17:00:00")</f>
        <v>7/2/2023, 17:00:00</v>
      </c>
      <c r="I1035" s="1" t="str">
        <f>IFERROR(__xludf.DUMMYFUNCTION("""COMPUTED_VALUE"""),"Recibido en Laboratorio")</f>
        <v>Recibido en Laboratorio</v>
      </c>
      <c r="J1035" s="1">
        <f t="shared" si="3"/>
        <v>2</v>
      </c>
      <c r="K1035" s="1" t="str">
        <f t="shared" si="4"/>
        <v>Nuestro Laboratorio esta trabajando en tus lentes, los entregaremos en la fecha acordada.</v>
      </c>
    </row>
    <row r="1036">
      <c r="A1036" s="1">
        <f>IFERROR(__xludf.DUMMYFUNCTION("""COMPUTED_VALUE"""),85586.0)</f>
        <v>85586</v>
      </c>
      <c r="B1036" s="5">
        <f>IFERROR(__xludf.DUMMYFUNCTION("""COMPUTED_VALUE"""),44951.459968668976)</f>
        <v>44951.45997</v>
      </c>
      <c r="C1036" s="1" t="str">
        <f>IFERROR(__xludf.DUMMYFUNCTION("""COMPUTED_VALUE"""),"soria jose antonio")</f>
        <v>soria jose antonio</v>
      </c>
      <c r="D1036" s="1" t="str">
        <f>IFERROR(__xludf.DUMMYFUNCTION("""COMPUTED_VALUE"""),"Lentes de STOCK")</f>
        <v>Lentes de STOCK</v>
      </c>
      <c r="E1036" s="1" t="str">
        <f>IFERROR(__xludf.DUMMYFUNCTION("""COMPUTED_VALUE"""),"RIVADAVIA Santiago LOPEZ")</f>
        <v>RIVADAVIA Santiago LOPEZ</v>
      </c>
      <c r="F1036" s="1" t="str">
        <f t="shared" si="1"/>
        <v>RIVADAVIA </v>
      </c>
      <c r="G1036" s="1" t="str">
        <f t="shared" si="2"/>
        <v>Santiago LOPEZ</v>
      </c>
      <c r="H1036" s="1" t="str">
        <f>IFERROR(__xludf.DUMMYFUNCTION("""COMPUTED_VALUE"""),"30/1/2023, 17:00:00")</f>
        <v>30/1/2023, 17:00:00</v>
      </c>
      <c r="I1036" s="1" t="str">
        <f>IFERROR(__xludf.DUMMYFUNCTION("""COMPUTED_VALUE"""),"RETIRADO OK POR CLIENTE")</f>
        <v>RETIRADO OK POR CLIENTE</v>
      </c>
      <c r="J1036" s="1">
        <f t="shared" si="3"/>
        <v>6</v>
      </c>
      <c r="K1036" s="1" t="str">
        <f t="shared" si="4"/>
        <v>Entregamos tus lentes, que los disfrutes!</v>
      </c>
    </row>
    <row r="1037">
      <c r="A1037" s="1">
        <f>IFERROR(__xludf.DUMMYFUNCTION("""COMPUTED_VALUE"""),85587.0)</f>
        <v>85587</v>
      </c>
      <c r="B1037" s="5">
        <f>IFERROR(__xludf.DUMMYFUNCTION("""COMPUTED_VALUE"""),44951.46248391204)</f>
        <v>44951.46248</v>
      </c>
      <c r="C1037" s="1" t="str">
        <f>IFERROR(__xludf.DUMMYFUNCTION("""COMPUTED_VALUE"""),"FERNANDEZ HUGO BARBARITO")</f>
        <v>FERNANDEZ HUGO BARBARITO</v>
      </c>
      <c r="D1037" s="1" t="str">
        <f>IFERROR(__xludf.DUMMYFUNCTION("""COMPUTED_VALUE"""),"Lentes de STOCK")</f>
        <v>Lentes de STOCK</v>
      </c>
      <c r="E1037" s="1" t="str">
        <f>IFERROR(__xludf.DUMMYFUNCTION("""COMPUTED_VALUE"""),"RIVADAVIA Rocio B")</f>
        <v>RIVADAVIA Rocio B</v>
      </c>
      <c r="F1037" s="1" t="str">
        <f t="shared" si="1"/>
        <v>RIVADAVIA </v>
      </c>
      <c r="G1037" s="1" t="str">
        <f t="shared" si="2"/>
        <v>Rocio B</v>
      </c>
      <c r="H1037" s="1" t="str">
        <f>IFERROR(__xludf.DUMMYFUNCTION("""COMPUTED_VALUE"""),"1/2/2023, 17:00:00")</f>
        <v>1/2/2023, 17:00:00</v>
      </c>
      <c r="I1037" s="1" t="str">
        <f>IFERROR(__xludf.DUMMYFUNCTION("""COMPUTED_VALUE"""),"RETIRADO OK POR CLIENTE")</f>
        <v>RETIRADO OK POR CLIENTE</v>
      </c>
      <c r="J1037" s="1">
        <f t="shared" si="3"/>
        <v>6</v>
      </c>
      <c r="K1037" s="1" t="str">
        <f t="shared" si="4"/>
        <v>Entregamos tus lentes, que los disfrutes!</v>
      </c>
    </row>
    <row r="1038">
      <c r="A1038" s="1">
        <f>IFERROR(__xludf.DUMMYFUNCTION("""COMPUTED_VALUE"""),85588.0)</f>
        <v>85588</v>
      </c>
      <c r="B1038" s="5">
        <f>IFERROR(__xludf.DUMMYFUNCTION("""COMPUTED_VALUE"""),44951.463902222225)</f>
        <v>44951.4639</v>
      </c>
      <c r="C1038" s="1" t="str">
        <f>IFERROR(__xludf.DUMMYFUNCTION("""COMPUTED_VALUE"""),"DIEZ ANDREA ")</f>
        <v>DIEZ ANDREA </v>
      </c>
      <c r="D1038" s="1" t="str">
        <f>IFERROR(__xludf.DUMMYFUNCTION("""COMPUTED_VALUE"""),"Lentes MULTIFOCALES")</f>
        <v>Lentes MULTIFOCALES</v>
      </c>
      <c r="E1038" s="1" t="str">
        <f>IFERROR(__xludf.DUMMYFUNCTION("""COMPUTED_VALUE"""),"ARTIGAS Cristian C.")</f>
        <v>ARTIGAS Cristian C.</v>
      </c>
      <c r="F1038" s="1" t="str">
        <f t="shared" si="1"/>
        <v>ARTIGAS </v>
      </c>
      <c r="G1038" s="1" t="str">
        <f t="shared" si="2"/>
        <v>Cristian C.</v>
      </c>
      <c r="H1038" s="1" t="str">
        <f>IFERROR(__xludf.DUMMYFUNCTION("""COMPUTED_VALUE"""),"9/2/2023, 17:00:00")</f>
        <v>9/2/2023, 17:00:00</v>
      </c>
      <c r="I1038" s="1" t="str">
        <f>IFERROR(__xludf.DUMMYFUNCTION("""COMPUTED_VALUE"""),"RETIRADO OK POR CLIENTE")</f>
        <v>RETIRADO OK POR CLIENTE</v>
      </c>
      <c r="J1038" s="1">
        <f t="shared" si="3"/>
        <v>6</v>
      </c>
      <c r="K1038" s="1" t="str">
        <f t="shared" si="4"/>
        <v>Entregamos tus lentes, que los disfrutes!</v>
      </c>
    </row>
    <row r="1039">
      <c r="A1039" s="1">
        <f>IFERROR(__xludf.DUMMYFUNCTION("""COMPUTED_VALUE"""),85589.0)</f>
        <v>85589</v>
      </c>
      <c r="B1039" s="5">
        <f>IFERROR(__xludf.DUMMYFUNCTION("""COMPUTED_VALUE"""),44951.46733395834)</f>
        <v>44951.46733</v>
      </c>
      <c r="C1039" s="1" t="str">
        <f>IFERROR(__xludf.DUMMYFUNCTION("""COMPUTED_VALUE"""),"ALVAREZ DIEZ MARIA PAZ ")</f>
        <v>ALVAREZ DIEZ MARIA PAZ </v>
      </c>
      <c r="D1039" s="1" t="str">
        <f>IFERROR(__xludf.DUMMYFUNCTION("""COMPUTED_VALUE"""),"Lentes de STOCK")</f>
        <v>Lentes de STOCK</v>
      </c>
      <c r="E1039" s="1" t="str">
        <f>IFERROR(__xludf.DUMMYFUNCTION("""COMPUTED_VALUE"""),"ARTIGAS Cristian C.")</f>
        <v>ARTIGAS Cristian C.</v>
      </c>
      <c r="F1039" s="1" t="str">
        <f t="shared" si="1"/>
        <v>ARTIGAS </v>
      </c>
      <c r="G1039" s="1" t="str">
        <f t="shared" si="2"/>
        <v>Cristian C.</v>
      </c>
      <c r="H1039" s="1" t="str">
        <f>IFERROR(__xludf.DUMMYFUNCTION("""COMPUTED_VALUE"""),"1/2/2023, 17:00:00")</f>
        <v>1/2/2023, 17:00:00</v>
      </c>
      <c r="I1039" s="1" t="str">
        <f>IFERROR(__xludf.DUMMYFUNCTION("""COMPUTED_VALUE"""),"Completado en SUCURSAL")</f>
        <v>Completado en SUCURSAL</v>
      </c>
      <c r="J1039" s="1">
        <f t="shared" si="3"/>
        <v>5</v>
      </c>
      <c r="K1039" s="1" t="str">
        <f t="shared" si="4"/>
        <v>Tus Lentes estan LISTAS PARA ENTREGAR, te esperamos.</v>
      </c>
    </row>
    <row r="1040">
      <c r="A1040" s="1">
        <f>IFERROR(__xludf.DUMMYFUNCTION("""COMPUTED_VALUE"""),85590.0)</f>
        <v>85590</v>
      </c>
      <c r="B1040" s="5">
        <f>IFERROR(__xludf.DUMMYFUNCTION("""COMPUTED_VALUE"""),44951.47211333334)</f>
        <v>44951.47211</v>
      </c>
      <c r="C1040" s="1" t="str">
        <f>IFERROR(__xludf.DUMMYFUNCTION("""COMPUTED_VALUE"""),"Barbeito Luis")</f>
        <v>Barbeito Luis</v>
      </c>
      <c r="D1040" s="1" t="str">
        <f>IFERROR(__xludf.DUMMYFUNCTION("""COMPUTED_VALUE"""),"Reparaciones/Otros")</f>
        <v>Reparaciones/Otros</v>
      </c>
      <c r="E1040" s="1" t="str">
        <f>IFERROR(__xludf.DUMMYFUNCTION("""COMPUTED_VALUE"""),"RIVADAVIA Rocio B")</f>
        <v>RIVADAVIA Rocio B</v>
      </c>
      <c r="F1040" s="1" t="str">
        <f t="shared" si="1"/>
        <v>RIVADAVIA </v>
      </c>
      <c r="G1040" s="1" t="str">
        <f t="shared" si="2"/>
        <v>Rocio B</v>
      </c>
      <c r="H1040" s="1" t="str">
        <f>IFERROR(__xludf.DUMMYFUNCTION("""COMPUTED_VALUE"""),"26/1/2023, 17:00:00")</f>
        <v>26/1/2023, 17:00:00</v>
      </c>
      <c r="I1040" s="1" t="str">
        <f>IFERROR(__xludf.DUMMYFUNCTION("""COMPUTED_VALUE"""),"Completado en SUCURSAL")</f>
        <v>Completado en SUCURSAL</v>
      </c>
      <c r="J1040" s="1">
        <f t="shared" si="3"/>
        <v>5</v>
      </c>
      <c r="K1040" s="1" t="str">
        <f t="shared" si="4"/>
        <v>Tus Lentes estan LISTAS PARA ENTREGAR, te esperamos.</v>
      </c>
    </row>
    <row r="1041">
      <c r="A1041" s="1">
        <f>IFERROR(__xludf.DUMMYFUNCTION("""COMPUTED_VALUE"""),85591.0)</f>
        <v>85591</v>
      </c>
      <c r="B1041" s="5">
        <f>IFERROR(__xludf.DUMMYFUNCTION("""COMPUTED_VALUE"""),44951.474486782405)</f>
        <v>44951.47449</v>
      </c>
      <c r="C1041" s="1" t="str">
        <f>IFERROR(__xludf.DUMMYFUNCTION("""COMPUTED_VALUE"""),"nieto guillermo")</f>
        <v>nieto guillermo</v>
      </c>
      <c r="D1041" s="1" t="str">
        <f>IFERROR(__xludf.DUMMYFUNCTION("""COMPUTED_VALUE"""),"Lentes de LABORATORIO")</f>
        <v>Lentes de LABORATORIO</v>
      </c>
      <c r="E1041" s="1" t="str">
        <f>IFERROR(__xludf.DUMMYFUNCTION("""COMPUTED_VALUE"""),"RIVADAVIA Santiago N")</f>
        <v>RIVADAVIA Santiago N</v>
      </c>
      <c r="F1041" s="1" t="str">
        <f t="shared" si="1"/>
        <v>RIVADAVIA </v>
      </c>
      <c r="G1041" s="1" t="str">
        <f t="shared" si="2"/>
        <v>Santiago N</v>
      </c>
      <c r="H1041" s="1" t="str">
        <f>IFERROR(__xludf.DUMMYFUNCTION("""COMPUTED_VALUE"""),"1/2/2023, 17:00:00")</f>
        <v>1/2/2023, 17:00:00</v>
      </c>
      <c r="I1041" s="1" t="str">
        <f>IFERROR(__xludf.DUMMYFUNCTION("""COMPUTED_VALUE"""),"Completado en SUCURSAL")</f>
        <v>Completado en SUCURSAL</v>
      </c>
      <c r="J1041" s="1">
        <f t="shared" si="3"/>
        <v>5</v>
      </c>
      <c r="K1041" s="1" t="str">
        <f t="shared" si="4"/>
        <v>Tus Lentes estan LISTAS PARA ENTREGAR, te esperamos.</v>
      </c>
    </row>
    <row r="1042">
      <c r="A1042" s="1">
        <f>IFERROR(__xludf.DUMMYFUNCTION("""COMPUTED_VALUE"""),85592.0)</f>
        <v>85592</v>
      </c>
      <c r="B1042" s="5">
        <f>IFERROR(__xludf.DUMMYFUNCTION("""COMPUTED_VALUE"""),44951.47603261574)</f>
        <v>44951.47603</v>
      </c>
      <c r="C1042" s="1" t="str">
        <f>IFERROR(__xludf.DUMMYFUNCTION("""COMPUTED_VALUE"""),"Rosas Julian")</f>
        <v>Rosas Julian</v>
      </c>
      <c r="D1042" s="1" t="str">
        <f>IFERROR(__xludf.DUMMYFUNCTION("""COMPUTED_VALUE"""),"Lentes de STOCK")</f>
        <v>Lentes de STOCK</v>
      </c>
      <c r="E1042" s="1" t="str">
        <f>IFERROR(__xludf.DUMMYFUNCTION("""COMPUTED_VALUE"""),"RIVADAVIA Rocio B")</f>
        <v>RIVADAVIA Rocio B</v>
      </c>
      <c r="F1042" s="1" t="str">
        <f t="shared" si="1"/>
        <v>RIVADAVIA </v>
      </c>
      <c r="G1042" s="1" t="str">
        <f t="shared" si="2"/>
        <v>Rocio B</v>
      </c>
      <c r="H1042" s="1" t="str">
        <f>IFERROR(__xludf.DUMMYFUNCTION("""COMPUTED_VALUE"""),"1/2/2023, 17:00:00")</f>
        <v>1/2/2023, 17:00:00</v>
      </c>
      <c r="I1042" s="1" t="str">
        <f>IFERROR(__xludf.DUMMYFUNCTION("""COMPUTED_VALUE"""),"Completado en SUCURSAL")</f>
        <v>Completado en SUCURSAL</v>
      </c>
      <c r="J1042" s="1">
        <f t="shared" si="3"/>
        <v>5</v>
      </c>
      <c r="K1042" s="1" t="str">
        <f t="shared" si="4"/>
        <v>Tus Lentes estan LISTAS PARA ENTREGAR, te esperamos.</v>
      </c>
    </row>
    <row r="1043">
      <c r="A1043" s="1">
        <f>IFERROR(__xludf.DUMMYFUNCTION("""COMPUTED_VALUE"""),85593.0)</f>
        <v>85593</v>
      </c>
      <c r="B1043" s="5">
        <f>IFERROR(__xludf.DUMMYFUNCTION("""COMPUTED_VALUE"""),44951.47927994213)</f>
        <v>44951.47928</v>
      </c>
      <c r="C1043" s="1" t="str">
        <f>IFERROR(__xludf.DUMMYFUNCTION("""COMPUTED_VALUE"""),"OJEDA CARINA ANDREA")</f>
        <v>OJEDA CARINA ANDREA</v>
      </c>
      <c r="D1043" s="1" t="str">
        <f>IFERROR(__xludf.DUMMYFUNCTION("""COMPUTED_VALUE"""),"Lentes MULTIFOCALES")</f>
        <v>Lentes MULTIFOCALES</v>
      </c>
      <c r="E1043" s="1" t="str">
        <f>IFERROR(__xludf.DUMMYFUNCTION("""COMPUTED_VALUE"""),"RIVADAVIA Luciana")</f>
        <v>RIVADAVIA Luciana</v>
      </c>
      <c r="F1043" s="1" t="str">
        <f t="shared" si="1"/>
        <v>RIVADAVIA </v>
      </c>
      <c r="G1043" s="1" t="str">
        <f t="shared" si="2"/>
        <v>Luciana</v>
      </c>
      <c r="H1043" s="1" t="str">
        <f>IFERROR(__xludf.DUMMYFUNCTION("""COMPUTED_VALUE"""),"13/2/2023, 17:00:00")</f>
        <v>13/2/2023, 17:00:00</v>
      </c>
      <c r="I1043" s="1" t="str">
        <f>IFERROR(__xludf.DUMMYFUNCTION("""COMPUTED_VALUE"""),"RETIRADO OK POR CLIENTE")</f>
        <v>RETIRADO OK POR CLIENTE</v>
      </c>
      <c r="J1043" s="1">
        <f t="shared" si="3"/>
        <v>6</v>
      </c>
      <c r="K1043" s="1" t="str">
        <f t="shared" si="4"/>
        <v>Entregamos tus lentes, que los disfrutes!</v>
      </c>
    </row>
    <row r="1044">
      <c r="A1044" s="1">
        <f>IFERROR(__xludf.DUMMYFUNCTION("""COMPUTED_VALUE"""),85594.0)</f>
        <v>85594</v>
      </c>
      <c r="B1044" s="5">
        <f>IFERROR(__xludf.DUMMYFUNCTION("""COMPUTED_VALUE"""),44951.4836409375)</f>
        <v>44951.48364</v>
      </c>
      <c r="C1044" s="1" t="str">
        <f>IFERROR(__xludf.DUMMYFUNCTION("""COMPUTED_VALUE"""),"SANCHEZ, IGNACIO ADRUGAL")</f>
        <v>SANCHEZ, IGNACIO ADRUGAL</v>
      </c>
      <c r="D1044" s="1" t="str">
        <f>IFERROR(__xludf.DUMMYFUNCTION("""COMPUTED_VALUE"""),"Lentes de STOCK")</f>
        <v>Lentes de STOCK</v>
      </c>
      <c r="E1044" s="1" t="str">
        <f>IFERROR(__xludf.DUMMYFUNCTION("""COMPUTED_VALUE"""),"RIVADAVIA Santiago LOPEZ")</f>
        <v>RIVADAVIA Santiago LOPEZ</v>
      </c>
      <c r="F1044" s="1" t="str">
        <f t="shared" si="1"/>
        <v>RIVADAVIA </v>
      </c>
      <c r="G1044" s="1" t="str">
        <f t="shared" si="2"/>
        <v>Santiago LOPEZ</v>
      </c>
      <c r="H1044" s="1" t="str">
        <f>IFERROR(__xludf.DUMMYFUNCTION("""COMPUTED_VALUE"""),"30/1/2023, 17:00:00")</f>
        <v>30/1/2023, 17:00:00</v>
      </c>
      <c r="I1044" s="1" t="str">
        <f>IFERROR(__xludf.DUMMYFUNCTION("""COMPUTED_VALUE"""),"RETIRADO OK POR CLIENTE")</f>
        <v>RETIRADO OK POR CLIENTE</v>
      </c>
      <c r="J1044" s="1">
        <f t="shared" si="3"/>
        <v>6</v>
      </c>
      <c r="K1044" s="1" t="str">
        <f t="shared" si="4"/>
        <v>Entregamos tus lentes, que los disfrutes!</v>
      </c>
    </row>
    <row r="1045">
      <c r="A1045" s="1">
        <f>IFERROR(__xludf.DUMMYFUNCTION("""COMPUTED_VALUE"""),85595.0)</f>
        <v>85595</v>
      </c>
      <c r="B1045" s="5">
        <f>IFERROR(__xludf.DUMMYFUNCTION("""COMPUTED_VALUE"""),44951.487164583334)</f>
        <v>44951.48716</v>
      </c>
      <c r="C1045" s="1" t="str">
        <f>IFERROR(__xludf.DUMMYFUNCTION("""COMPUTED_VALUE"""),"MOYANO JUAN MANUEL")</f>
        <v>MOYANO JUAN MANUEL</v>
      </c>
      <c r="D1045" s="1" t="str">
        <f>IFERROR(__xludf.DUMMYFUNCTION("""COMPUTED_VALUE"""),"Lentes de STOCK")</f>
        <v>Lentes de STOCK</v>
      </c>
      <c r="E1045" s="1" t="str">
        <f>IFERROR(__xludf.DUMMYFUNCTION("""COMPUTED_VALUE"""),"ARTIGAS Ivana P.")</f>
        <v>ARTIGAS Ivana P.</v>
      </c>
      <c r="F1045" s="1" t="str">
        <f t="shared" si="1"/>
        <v>ARTIGAS </v>
      </c>
      <c r="G1045" s="1" t="str">
        <f t="shared" si="2"/>
        <v>Ivana P.</v>
      </c>
      <c r="H1045" s="1" t="str">
        <f>IFERROR(__xludf.DUMMYFUNCTION("""COMPUTED_VALUE"""),"31/1/2023, 17:00:00")</f>
        <v>31/1/2023, 17:00:00</v>
      </c>
      <c r="I1045" s="1" t="str">
        <f>IFERROR(__xludf.DUMMYFUNCTION("""COMPUTED_VALUE"""),"En Armado Hoy")</f>
        <v>En Armado Hoy</v>
      </c>
      <c r="J1045" s="1">
        <f t="shared" si="3"/>
        <v>3</v>
      </c>
      <c r="K1045" s="1" t="str">
        <f t="shared" si="4"/>
        <v>Estamos terminando los ultimos detalles de tus lentes, los terminaremos el dia de hoy.</v>
      </c>
    </row>
    <row r="1046">
      <c r="A1046" s="1">
        <f>IFERROR(__xludf.DUMMYFUNCTION("""COMPUTED_VALUE"""),85596.0)</f>
        <v>85596</v>
      </c>
      <c r="B1046" s="5">
        <f>IFERROR(__xludf.DUMMYFUNCTION("""COMPUTED_VALUE"""),44951.490596006945)</f>
        <v>44951.4906</v>
      </c>
      <c r="C1046" s="1" t="str">
        <f>IFERROR(__xludf.DUMMYFUNCTION("""COMPUTED_VALUE"""),"SANCHEZ, NICOLE AGOSTINA")</f>
        <v>SANCHEZ, NICOLE AGOSTINA</v>
      </c>
      <c r="D1046" s="1" t="str">
        <f>IFERROR(__xludf.DUMMYFUNCTION("""COMPUTED_VALUE"""),"Lentes de STOCK")</f>
        <v>Lentes de STOCK</v>
      </c>
      <c r="E1046" s="1" t="str">
        <f>IFERROR(__xludf.DUMMYFUNCTION("""COMPUTED_VALUE"""),"RIVADAVIA Santiago LOPEZ")</f>
        <v>RIVADAVIA Santiago LOPEZ</v>
      </c>
      <c r="F1046" s="1" t="str">
        <f t="shared" si="1"/>
        <v>RIVADAVIA </v>
      </c>
      <c r="G1046" s="1" t="str">
        <f t="shared" si="2"/>
        <v>Santiago LOPEZ</v>
      </c>
      <c r="H1046" s="1" t="str">
        <f>IFERROR(__xludf.DUMMYFUNCTION("""COMPUTED_VALUE"""),"28/1/2023, 17:00:00")</f>
        <v>28/1/2023, 17:00:00</v>
      </c>
      <c r="I1046" s="1" t="str">
        <f>IFERROR(__xludf.DUMMYFUNCTION("""COMPUTED_VALUE"""),"RETIRADO OK POR CLIENTE")</f>
        <v>RETIRADO OK POR CLIENTE</v>
      </c>
      <c r="J1046" s="1">
        <f t="shared" si="3"/>
        <v>6</v>
      </c>
      <c r="K1046" s="1" t="str">
        <f t="shared" si="4"/>
        <v>Entregamos tus lentes, que los disfrutes!</v>
      </c>
    </row>
    <row r="1047">
      <c r="A1047" s="1">
        <f>IFERROR(__xludf.DUMMYFUNCTION("""COMPUTED_VALUE"""),85597.0)</f>
        <v>85597</v>
      </c>
      <c r="B1047" s="5">
        <f>IFERROR(__xludf.DUMMYFUNCTION("""COMPUTED_VALUE"""),44951.4916747338)</f>
        <v>44951.49167</v>
      </c>
      <c r="C1047" s="1" t="str">
        <f>IFERROR(__xludf.DUMMYFUNCTION("""COMPUTED_VALUE"""),"CISNEROS MORA JOSEFINA ")</f>
        <v>CISNEROS MORA JOSEFINA </v>
      </c>
      <c r="D1047" s="1" t="str">
        <f>IFERROR(__xludf.DUMMYFUNCTION("""COMPUTED_VALUE"""),"Lentes MULTIFOCALES")</f>
        <v>Lentes MULTIFOCALES</v>
      </c>
      <c r="E1047" s="1" t="str">
        <f>IFERROR(__xludf.DUMMYFUNCTION("""COMPUTED_VALUE"""),"RIVADAVIA Marcela L")</f>
        <v>RIVADAVIA Marcela L</v>
      </c>
      <c r="F1047" s="1" t="str">
        <f t="shared" si="1"/>
        <v>RIVADAVIA </v>
      </c>
      <c r="G1047" s="1" t="str">
        <f t="shared" si="2"/>
        <v>Marcela L</v>
      </c>
      <c r="H1047" s="1" t="str">
        <f>IFERROR(__xludf.DUMMYFUNCTION("""COMPUTED_VALUE"""),"10/2/2023, 17:00:00")</f>
        <v>10/2/2023, 17:00:00</v>
      </c>
      <c r="I1047" s="1" t="str">
        <f>IFERROR(__xludf.DUMMYFUNCTION("""COMPUTED_VALUE"""),"RETIRADO OK POR CLIENTE")</f>
        <v>RETIRADO OK POR CLIENTE</v>
      </c>
      <c r="J1047" s="1">
        <f t="shared" si="3"/>
        <v>6</v>
      </c>
      <c r="K1047" s="1" t="str">
        <f t="shared" si="4"/>
        <v>Entregamos tus lentes, que los disfrutes!</v>
      </c>
    </row>
    <row r="1048">
      <c r="A1048" s="1">
        <f>IFERROR(__xludf.DUMMYFUNCTION("""COMPUTED_VALUE"""),85598.0)</f>
        <v>85598</v>
      </c>
      <c r="B1048" s="5">
        <f>IFERROR(__xludf.DUMMYFUNCTION("""COMPUTED_VALUE"""),44951.49784116898)</f>
        <v>44951.49784</v>
      </c>
      <c r="C1048" s="1" t="str">
        <f>IFERROR(__xludf.DUMMYFUNCTION("""COMPUTED_VALUE"""),"FLORES JOSE")</f>
        <v>FLORES JOSE</v>
      </c>
      <c r="D1048" s="1" t="str">
        <f>IFERROR(__xludf.DUMMYFUNCTION("""COMPUTED_VALUE"""),"Reparaciones/Otros")</f>
        <v>Reparaciones/Otros</v>
      </c>
      <c r="E1048" s="1" t="str">
        <f>IFERROR(__xludf.DUMMYFUNCTION("""COMPUTED_VALUE"""),"ARTIGAS Ivana P.")</f>
        <v>ARTIGAS Ivana P.</v>
      </c>
      <c r="F1048" s="1" t="str">
        <f t="shared" si="1"/>
        <v>ARTIGAS </v>
      </c>
      <c r="G1048" s="1" t="str">
        <f t="shared" si="2"/>
        <v>Ivana P.</v>
      </c>
      <c r="H1048" s="1" t="str">
        <f>IFERROR(__xludf.DUMMYFUNCTION("""COMPUTED_VALUE"""),"26/1/2023, 17:00:00")</f>
        <v>26/1/2023, 17:00:00</v>
      </c>
      <c r="I1048" s="1" t="str">
        <f>IFERROR(__xludf.DUMMYFUNCTION("""COMPUTED_VALUE"""),"Recibido en Laboratorio")</f>
        <v>Recibido en Laboratorio</v>
      </c>
      <c r="J1048" s="1">
        <f t="shared" si="3"/>
        <v>2</v>
      </c>
      <c r="K1048" s="1" t="str">
        <f t="shared" si="4"/>
        <v>Nuestro Laboratorio esta trabajando en tus lentes, los entregaremos en la fecha acordada.</v>
      </c>
    </row>
    <row r="1049">
      <c r="A1049" s="1">
        <f>IFERROR(__xludf.DUMMYFUNCTION("""COMPUTED_VALUE"""),85599.0)</f>
        <v>85599</v>
      </c>
      <c r="B1049" s="5">
        <f>IFERROR(__xludf.DUMMYFUNCTION("""COMPUTED_VALUE"""),44951.49894228009)</f>
        <v>44951.49894</v>
      </c>
      <c r="C1049" s="1" t="str">
        <f>IFERROR(__xludf.DUMMYFUNCTION("""COMPUTED_VALUE"""),"VEGA LUIS RODOLFO")</f>
        <v>VEGA LUIS RODOLFO</v>
      </c>
      <c r="D1049" s="1" t="str">
        <f>IFERROR(__xludf.DUMMYFUNCTION("""COMPUTED_VALUE"""),"Lentes de STOCK")</f>
        <v>Lentes de STOCK</v>
      </c>
      <c r="E1049" s="1" t="str">
        <f>IFERROR(__xludf.DUMMYFUNCTION("""COMPUTED_VALUE"""),"ARTIGAS Cristian C.")</f>
        <v>ARTIGAS Cristian C.</v>
      </c>
      <c r="F1049" s="1" t="str">
        <f t="shared" si="1"/>
        <v>ARTIGAS </v>
      </c>
      <c r="G1049" s="1" t="str">
        <f t="shared" si="2"/>
        <v>Cristian C.</v>
      </c>
      <c r="H1049" s="1" t="str">
        <f>IFERROR(__xludf.DUMMYFUNCTION("""COMPUTED_VALUE"""),"1/2/2023, 17:00:00")</f>
        <v>1/2/2023, 17:00:00</v>
      </c>
      <c r="I1049" s="1" t="str">
        <f>IFERROR(__xludf.DUMMYFUNCTION("""COMPUTED_VALUE"""),"Completado en SUCURSAL")</f>
        <v>Completado en SUCURSAL</v>
      </c>
      <c r="J1049" s="1">
        <f t="shared" si="3"/>
        <v>5</v>
      </c>
      <c r="K1049" s="1" t="str">
        <f t="shared" si="4"/>
        <v>Tus Lentes estan LISTAS PARA ENTREGAR, te esperamos.</v>
      </c>
    </row>
    <row r="1050">
      <c r="A1050" s="1">
        <f>IFERROR(__xludf.DUMMYFUNCTION("""COMPUTED_VALUE"""),85600.0)</f>
        <v>85600</v>
      </c>
      <c r="B1050" s="5">
        <f>IFERROR(__xludf.DUMMYFUNCTION("""COMPUTED_VALUE"""),44951.50175517361)</f>
        <v>44951.50176</v>
      </c>
      <c r="C1050" s="1" t="str">
        <f>IFERROR(__xludf.DUMMYFUNCTION("""COMPUTED_VALUE"""),"Muñoz Miguel Angel")</f>
        <v>Muñoz Miguel Angel</v>
      </c>
      <c r="D1050" s="1" t="str">
        <f>IFERROR(__xludf.DUMMYFUNCTION("""COMPUTED_VALUE"""),"Reparaciones/Otros")</f>
        <v>Reparaciones/Otros</v>
      </c>
      <c r="E1050" s="1" t="str">
        <f>IFERROR(__xludf.DUMMYFUNCTION("""COMPUTED_VALUE"""),"RIVADAVIA Rocio B")</f>
        <v>RIVADAVIA Rocio B</v>
      </c>
      <c r="F1050" s="1" t="str">
        <f t="shared" si="1"/>
        <v>RIVADAVIA </v>
      </c>
      <c r="G1050" s="1" t="str">
        <f t="shared" si="2"/>
        <v>Rocio B</v>
      </c>
      <c r="H1050" s="1" t="str">
        <f>IFERROR(__xludf.DUMMYFUNCTION("""COMPUTED_VALUE"""),"27/1/2023, 17:00:00")</f>
        <v>27/1/2023, 17:00:00</v>
      </c>
      <c r="I1050" s="1" t="str">
        <f>IFERROR(__xludf.DUMMYFUNCTION("""COMPUTED_VALUE"""),"Completado en SUCURSAL")</f>
        <v>Completado en SUCURSAL</v>
      </c>
      <c r="J1050" s="1">
        <f t="shared" si="3"/>
        <v>5</v>
      </c>
      <c r="K1050" s="1" t="str">
        <f t="shared" si="4"/>
        <v>Tus Lentes estan LISTAS PARA ENTREGAR, te esperamos.</v>
      </c>
    </row>
    <row r="1051">
      <c r="A1051" s="1">
        <f>IFERROR(__xludf.DUMMYFUNCTION("""COMPUTED_VALUE"""),85601.0)</f>
        <v>85601</v>
      </c>
      <c r="B1051" s="5">
        <f>IFERROR(__xludf.DUMMYFUNCTION("""COMPUTED_VALUE"""),44951.5223716551)</f>
        <v>44951.52237</v>
      </c>
      <c r="C1051" s="1" t="str">
        <f>IFERROR(__xludf.DUMMYFUNCTION("""COMPUTED_VALUE"""),"SOSA LILIANA ")</f>
        <v>SOSA LILIANA </v>
      </c>
      <c r="D1051" s="1" t="str">
        <f>IFERROR(__xludf.DUMMYFUNCTION("""COMPUTED_VALUE"""),"Lentes de STOCK")</f>
        <v>Lentes de STOCK</v>
      </c>
      <c r="E1051" s="1" t="str">
        <f>IFERROR(__xludf.DUMMYFUNCTION("""COMPUTED_VALUE"""),"ARTIGAS Cristian C.")</f>
        <v>ARTIGAS Cristian C.</v>
      </c>
      <c r="F1051" s="1" t="str">
        <f t="shared" si="1"/>
        <v>ARTIGAS </v>
      </c>
      <c r="G1051" s="1" t="str">
        <f t="shared" si="2"/>
        <v>Cristian C.</v>
      </c>
      <c r="H1051" s="1" t="str">
        <f>IFERROR(__xludf.DUMMYFUNCTION("""COMPUTED_VALUE"""),"2/2/2023, 17:00:00")</f>
        <v>2/2/2023, 17:00:00</v>
      </c>
      <c r="I1051" s="1" t="str">
        <f>IFERROR(__xludf.DUMMYFUNCTION("""COMPUTED_VALUE"""),"Completado en SUCURSAL")</f>
        <v>Completado en SUCURSAL</v>
      </c>
      <c r="J1051" s="1">
        <f t="shared" si="3"/>
        <v>5</v>
      </c>
      <c r="K1051" s="1" t="str">
        <f t="shared" si="4"/>
        <v>Tus Lentes estan LISTAS PARA ENTREGAR, te esperamos.</v>
      </c>
    </row>
    <row r="1052">
      <c r="A1052" s="1">
        <f>IFERROR(__xludf.DUMMYFUNCTION("""COMPUTED_VALUE"""),85602.0)</f>
        <v>85602</v>
      </c>
      <c r="B1052" s="5">
        <f>IFERROR(__xludf.DUMMYFUNCTION("""COMPUTED_VALUE"""),44951.52262209491)</f>
        <v>44951.52262</v>
      </c>
      <c r="C1052" s="1" t="str">
        <f>IFERROR(__xludf.DUMMYFUNCTION("""COMPUTED_VALUE"""),"SOSA MELANY")</f>
        <v>SOSA MELANY</v>
      </c>
      <c r="D1052" s="1" t="str">
        <f>IFERROR(__xludf.DUMMYFUNCTION("""COMPUTED_VALUE"""),"Lentes de STOCK")</f>
        <v>Lentes de STOCK</v>
      </c>
      <c r="E1052" s="1" t="str">
        <f>IFERROR(__xludf.DUMMYFUNCTION("""COMPUTED_VALUE"""),"ARTIGAS Cristian C.")</f>
        <v>ARTIGAS Cristian C.</v>
      </c>
      <c r="F1052" s="1" t="str">
        <f t="shared" si="1"/>
        <v>ARTIGAS </v>
      </c>
      <c r="G1052" s="1" t="str">
        <f t="shared" si="2"/>
        <v>Cristian C.</v>
      </c>
      <c r="H1052" s="1" t="str">
        <f>IFERROR(__xludf.DUMMYFUNCTION("""COMPUTED_VALUE"""),"2/2/2023, 17:00:00")</f>
        <v>2/2/2023, 17:00:00</v>
      </c>
      <c r="I1052" s="1" t="str">
        <f>IFERROR(__xludf.DUMMYFUNCTION("""COMPUTED_VALUE"""),"Completado en SUCURSAL")</f>
        <v>Completado en SUCURSAL</v>
      </c>
      <c r="J1052" s="1">
        <f t="shared" si="3"/>
        <v>5</v>
      </c>
      <c r="K1052" s="1" t="str">
        <f t="shared" si="4"/>
        <v>Tus Lentes estan LISTAS PARA ENTREGAR, te esperamos.</v>
      </c>
    </row>
    <row r="1053">
      <c r="A1053" s="1">
        <f>IFERROR(__xludf.DUMMYFUNCTION("""COMPUTED_VALUE"""),85603.0)</f>
        <v>85603</v>
      </c>
      <c r="B1053" s="5">
        <f>IFERROR(__xludf.DUMMYFUNCTION("""COMPUTED_VALUE"""),44951.5257468287)</f>
        <v>44951.52575</v>
      </c>
      <c r="C1053" s="1" t="str">
        <f>IFERROR(__xludf.DUMMYFUNCTION("""COMPUTED_VALUE"""),"ALEGRIA JOAQUIN ")</f>
        <v>ALEGRIA JOAQUIN </v>
      </c>
      <c r="D1053" s="1" t="str">
        <f>IFERROR(__xludf.DUMMYFUNCTION("""COMPUTED_VALUE"""),"Lentes de STOCK")</f>
        <v>Lentes de STOCK</v>
      </c>
      <c r="E1053" s="1" t="str">
        <f>IFERROR(__xludf.DUMMYFUNCTION("""COMPUTED_VALUE"""),"RIVADAVIA Luciana")</f>
        <v>RIVADAVIA Luciana</v>
      </c>
      <c r="F1053" s="1" t="str">
        <f t="shared" si="1"/>
        <v>RIVADAVIA </v>
      </c>
      <c r="G1053" s="1" t="str">
        <f t="shared" si="2"/>
        <v>Luciana</v>
      </c>
      <c r="H1053" s="1" t="str">
        <f>IFERROR(__xludf.DUMMYFUNCTION("""COMPUTED_VALUE"""),"1/2/2023, 17:00:00")</f>
        <v>1/2/2023, 17:00:00</v>
      </c>
      <c r="I1053" s="1" t="str">
        <f>IFERROR(__xludf.DUMMYFUNCTION("""COMPUTED_VALUE"""),"Completado en SUCURSAL")</f>
        <v>Completado en SUCURSAL</v>
      </c>
      <c r="J1053" s="1">
        <f t="shared" si="3"/>
        <v>5</v>
      </c>
      <c r="K1053" s="1" t="str">
        <f t="shared" si="4"/>
        <v>Tus Lentes estan LISTAS PARA ENTREGAR, te esperamos.</v>
      </c>
    </row>
    <row r="1054">
      <c r="A1054" s="1">
        <f>IFERROR(__xludf.DUMMYFUNCTION("""COMPUTED_VALUE"""),85604.0)</f>
        <v>85604</v>
      </c>
      <c r="B1054" s="5">
        <f>IFERROR(__xludf.DUMMYFUNCTION("""COMPUTED_VALUE"""),44951.53709005787)</f>
        <v>44951.53709</v>
      </c>
      <c r="C1054" s="1" t="str">
        <f>IFERROR(__xludf.DUMMYFUNCTION("""COMPUTED_VALUE"""),"JOFRE SILVIA")</f>
        <v>JOFRE SILVIA</v>
      </c>
      <c r="D1054" s="1" t="str">
        <f>IFERROR(__xludf.DUMMYFUNCTION("""COMPUTED_VALUE"""),"Lentes de STOCK")</f>
        <v>Lentes de STOCK</v>
      </c>
      <c r="E1054" s="1" t="str">
        <f>IFERROR(__xludf.DUMMYFUNCTION("""COMPUTED_VALUE"""),"ARTIGAS Ivana P.")</f>
        <v>ARTIGAS Ivana P.</v>
      </c>
      <c r="F1054" s="1" t="str">
        <f t="shared" si="1"/>
        <v>ARTIGAS </v>
      </c>
      <c r="G1054" s="1" t="str">
        <f t="shared" si="2"/>
        <v>Ivana P.</v>
      </c>
      <c r="H1054" s="1" t="str">
        <f>IFERROR(__xludf.DUMMYFUNCTION("""COMPUTED_VALUE"""),"28/1/2023, 17:00:00")</f>
        <v>28/1/2023, 17:00:00</v>
      </c>
      <c r="I1054" s="1" t="str">
        <f>IFERROR(__xludf.DUMMYFUNCTION("""COMPUTED_VALUE"""),"RETIRADO OK POR CLIENTE")</f>
        <v>RETIRADO OK POR CLIENTE</v>
      </c>
      <c r="J1054" s="1">
        <f t="shared" si="3"/>
        <v>6</v>
      </c>
      <c r="K1054" s="1" t="str">
        <f t="shared" si="4"/>
        <v>Entregamos tus lentes, que los disfrutes!</v>
      </c>
    </row>
    <row r="1055">
      <c r="A1055" s="1">
        <f>IFERROR(__xludf.DUMMYFUNCTION("""COMPUTED_VALUE"""),85605.0)</f>
        <v>85605</v>
      </c>
      <c r="B1055" s="5">
        <f>IFERROR(__xludf.DUMMYFUNCTION("""COMPUTED_VALUE"""),44951.53783774306)</f>
        <v>44951.53784</v>
      </c>
      <c r="C1055" s="1" t="str">
        <f>IFERROR(__xludf.DUMMYFUNCTION("""COMPUTED_VALUE"""),"donadel osvaldo")</f>
        <v>donadel osvaldo</v>
      </c>
      <c r="D1055" s="1" t="str">
        <f>IFERROR(__xludf.DUMMYFUNCTION("""COMPUTED_VALUE"""),"Lentes de STOCK")</f>
        <v>Lentes de STOCK</v>
      </c>
      <c r="E1055" s="1" t="str">
        <f>IFERROR(__xludf.DUMMYFUNCTION("""COMPUTED_VALUE"""),"RIVADAVIA Santiago N")</f>
        <v>RIVADAVIA Santiago N</v>
      </c>
      <c r="F1055" s="1" t="str">
        <f t="shared" si="1"/>
        <v>RIVADAVIA </v>
      </c>
      <c r="G1055" s="1" t="str">
        <f t="shared" si="2"/>
        <v>Santiago N</v>
      </c>
      <c r="H1055" s="1" t="str">
        <f>IFERROR(__xludf.DUMMYFUNCTION("""COMPUTED_VALUE"""),"27/1/2023, 17:00:00")</f>
        <v>27/1/2023, 17:00:00</v>
      </c>
      <c r="I1055" s="1" t="str">
        <f>IFERROR(__xludf.DUMMYFUNCTION("""COMPUTED_VALUE"""),"RETIRADO OK POR CLIENTE")</f>
        <v>RETIRADO OK POR CLIENTE</v>
      </c>
      <c r="J1055" s="1">
        <f t="shared" si="3"/>
        <v>6</v>
      </c>
      <c r="K1055" s="1" t="str">
        <f t="shared" si="4"/>
        <v>Entregamos tus lentes, que los disfrutes!</v>
      </c>
    </row>
    <row r="1056">
      <c r="A1056" s="1">
        <f>IFERROR(__xludf.DUMMYFUNCTION("""COMPUTED_VALUE"""),85606.0)</f>
        <v>85606</v>
      </c>
      <c r="B1056" s="5">
        <f>IFERROR(__xludf.DUMMYFUNCTION("""COMPUTED_VALUE"""),44951.54033679398)</f>
        <v>44951.54034</v>
      </c>
      <c r="C1056" s="1" t="str">
        <f>IFERROR(__xludf.DUMMYFUNCTION("""COMPUTED_VALUE"""),"BAIGIORRIA RUTH")</f>
        <v>BAIGIORRIA RUTH</v>
      </c>
      <c r="D1056" s="1" t="str">
        <f>IFERROR(__xludf.DUMMYFUNCTION("""COMPUTED_VALUE"""),"Reparaciones/Otros")</f>
        <v>Reparaciones/Otros</v>
      </c>
      <c r="E1056" s="1" t="str">
        <f>IFERROR(__xludf.DUMMYFUNCTION("""COMPUTED_VALUE"""),"ARTIGAS Cristian C.")</f>
        <v>ARTIGAS Cristian C.</v>
      </c>
      <c r="F1056" s="1" t="str">
        <f t="shared" si="1"/>
        <v>ARTIGAS </v>
      </c>
      <c r="G1056" s="1" t="str">
        <f t="shared" si="2"/>
        <v>Cristian C.</v>
      </c>
      <c r="H1056" s="1" t="str">
        <f>IFERROR(__xludf.DUMMYFUNCTION("""COMPUTED_VALUE"""),"26/1/2023, 17:00:00")</f>
        <v>26/1/2023, 17:00:00</v>
      </c>
      <c r="I1056" s="1" t="str">
        <f>IFERROR(__xludf.DUMMYFUNCTION("""COMPUTED_VALUE"""),"Recibido en Laboratorio")</f>
        <v>Recibido en Laboratorio</v>
      </c>
      <c r="J1056" s="1">
        <f t="shared" si="3"/>
        <v>2</v>
      </c>
      <c r="K1056" s="1" t="str">
        <f t="shared" si="4"/>
        <v>Nuestro Laboratorio esta trabajando en tus lentes, los entregaremos en la fecha acordada.</v>
      </c>
    </row>
    <row r="1057">
      <c r="A1057" s="1">
        <f>IFERROR(__xludf.DUMMYFUNCTION("""COMPUTED_VALUE"""),85607.0)</f>
        <v>85607</v>
      </c>
      <c r="B1057" s="5">
        <f>IFERROR(__xludf.DUMMYFUNCTION("""COMPUTED_VALUE"""),44951.54575157407)</f>
        <v>44951.54575</v>
      </c>
      <c r="C1057" s="1" t="str">
        <f>IFERROR(__xludf.DUMMYFUNCTION("""COMPUTED_VALUE"""),"Rivarola Axel")</f>
        <v>Rivarola Axel</v>
      </c>
      <c r="D1057" s="1" t="str">
        <f>IFERROR(__xludf.DUMMYFUNCTION("""COMPUTED_VALUE"""),"Lentes de STOCK")</f>
        <v>Lentes de STOCK</v>
      </c>
      <c r="E1057" s="1" t="str">
        <f>IFERROR(__xludf.DUMMYFUNCTION("""COMPUTED_VALUE"""),"RIVADAVIA Rocio B")</f>
        <v>RIVADAVIA Rocio B</v>
      </c>
      <c r="F1057" s="1" t="str">
        <f t="shared" si="1"/>
        <v>RIVADAVIA </v>
      </c>
      <c r="G1057" s="1" t="str">
        <f t="shared" si="2"/>
        <v>Rocio B</v>
      </c>
      <c r="H1057" s="1" t="str">
        <f>IFERROR(__xludf.DUMMYFUNCTION("""COMPUTED_VALUE"""),"2/2/2023, 17:00:00")</f>
        <v>2/2/2023, 17:00:00</v>
      </c>
      <c r="I1057" s="1" t="str">
        <f>IFERROR(__xludf.DUMMYFUNCTION("""COMPUTED_VALUE"""),"Completado en SUCURSAL")</f>
        <v>Completado en SUCURSAL</v>
      </c>
      <c r="J1057" s="1">
        <f t="shared" si="3"/>
        <v>5</v>
      </c>
      <c r="K1057" s="1" t="str">
        <f t="shared" si="4"/>
        <v>Tus Lentes estan LISTAS PARA ENTREGAR, te esperamos.</v>
      </c>
    </row>
    <row r="1058">
      <c r="A1058" s="1">
        <f>IFERROR(__xludf.DUMMYFUNCTION("""COMPUTED_VALUE"""),85608.0)</f>
        <v>85608</v>
      </c>
      <c r="B1058" s="5">
        <f>IFERROR(__xludf.DUMMYFUNCTION("""COMPUTED_VALUE"""),44951.545911759255)</f>
        <v>44951.54591</v>
      </c>
      <c r="C1058" s="1" t="str">
        <f>IFERROR(__xludf.DUMMYFUNCTION("""COMPUTED_VALUE"""),"BENITEZ ELIDA")</f>
        <v>BENITEZ ELIDA</v>
      </c>
      <c r="D1058" s="1" t="str">
        <f>IFERROR(__xludf.DUMMYFUNCTION("""COMPUTED_VALUE"""),"Lentes BIFOCALES")</f>
        <v>Lentes BIFOCALES</v>
      </c>
      <c r="E1058" s="1" t="str">
        <f>IFERROR(__xludf.DUMMYFUNCTION("""COMPUTED_VALUE"""),"ARTIGAS Ivana P.")</f>
        <v>ARTIGAS Ivana P.</v>
      </c>
      <c r="F1058" s="1" t="str">
        <f t="shared" si="1"/>
        <v>ARTIGAS </v>
      </c>
      <c r="G1058" s="1" t="str">
        <f t="shared" si="2"/>
        <v>Ivana P.</v>
      </c>
      <c r="H1058" s="1" t="str">
        <f>IFERROR(__xludf.DUMMYFUNCTION("""COMPUTED_VALUE"""),"28/1/2023, 17:00:00")</f>
        <v>28/1/2023, 17:00:00</v>
      </c>
      <c r="I1058" s="1" t="str">
        <f>IFERROR(__xludf.DUMMYFUNCTION("""COMPUTED_VALUE"""),"Completado en SUCURSAL")</f>
        <v>Completado en SUCURSAL</v>
      </c>
      <c r="J1058" s="1">
        <f t="shared" si="3"/>
        <v>5</v>
      </c>
      <c r="K1058" s="1" t="str">
        <f t="shared" si="4"/>
        <v>Tus Lentes estan LISTAS PARA ENTREGAR, te esperamos.</v>
      </c>
    </row>
    <row r="1059">
      <c r="A1059" s="1">
        <f>IFERROR(__xludf.DUMMYFUNCTION("""COMPUTED_VALUE"""),85609.0)</f>
        <v>85609</v>
      </c>
      <c r="B1059" s="5">
        <f>IFERROR(__xludf.DUMMYFUNCTION("""COMPUTED_VALUE"""),44951.55659944445)</f>
        <v>44951.5566</v>
      </c>
      <c r="C1059" s="1" t="str">
        <f>IFERROR(__xludf.DUMMYFUNCTION("""COMPUTED_VALUE"""),"BORIZ MARIA EUGENIA")</f>
        <v>BORIZ MARIA EUGENIA</v>
      </c>
      <c r="D1059" s="1" t="str">
        <f>IFERROR(__xludf.DUMMYFUNCTION("""COMPUTED_VALUE"""),"Reparaciones/Otros")</f>
        <v>Reparaciones/Otros</v>
      </c>
      <c r="E1059" s="1" t="str">
        <f>IFERROR(__xludf.DUMMYFUNCTION("""COMPUTED_VALUE"""),"RIVADAVIA Marcela L")</f>
        <v>RIVADAVIA Marcela L</v>
      </c>
      <c r="F1059" s="1" t="str">
        <f t="shared" si="1"/>
        <v>RIVADAVIA </v>
      </c>
      <c r="G1059" s="1" t="str">
        <f t="shared" si="2"/>
        <v>Marcela L</v>
      </c>
      <c r="H1059" s="1" t="str">
        <f>IFERROR(__xludf.DUMMYFUNCTION("""COMPUTED_VALUE"""),"26/1/2023, 17:00:00")</f>
        <v>26/1/2023, 17:00:00</v>
      </c>
      <c r="I1059" s="1"/>
      <c r="J1059" s="1">
        <f t="shared" si="3"/>
        <v>0</v>
      </c>
      <c r="K1059" s="1" t="str">
        <f t="shared" si="4"/>
        <v/>
      </c>
    </row>
    <row r="1060">
      <c r="A1060" s="1">
        <f>IFERROR(__xludf.DUMMYFUNCTION("""COMPUTED_VALUE"""),85610.0)</f>
        <v>85610</v>
      </c>
      <c r="B1060" s="5">
        <f>IFERROR(__xludf.DUMMYFUNCTION("""COMPUTED_VALUE"""),44951.563053460646)</f>
        <v>44951.56305</v>
      </c>
      <c r="C1060" s="1" t="str">
        <f>IFERROR(__xludf.DUMMYFUNCTION("""COMPUTED_VALUE"""),"ESCALANTE MARIA JOSE")</f>
        <v>ESCALANTE MARIA JOSE</v>
      </c>
      <c r="D1060" s="1" t="str">
        <f>IFERROR(__xludf.DUMMYFUNCTION("""COMPUTED_VALUE"""),"Lentes de LABORATORIO")</f>
        <v>Lentes de LABORATORIO</v>
      </c>
      <c r="E1060" s="1" t="str">
        <f>IFERROR(__xludf.DUMMYFUNCTION("""COMPUTED_VALUE"""),"RIVADAVIA Santiago LOPEZ")</f>
        <v>RIVADAVIA Santiago LOPEZ</v>
      </c>
      <c r="F1060" s="1" t="str">
        <f t="shared" si="1"/>
        <v>RIVADAVIA </v>
      </c>
      <c r="G1060" s="1" t="str">
        <f t="shared" si="2"/>
        <v>Santiago LOPEZ</v>
      </c>
      <c r="H1060" s="1" t="str">
        <f>IFERROR(__xludf.DUMMYFUNCTION("""COMPUTED_VALUE"""),"7/2/2023, 17:00:00")</f>
        <v>7/2/2023, 17:00:00</v>
      </c>
      <c r="I1060" s="1" t="str">
        <f>IFERROR(__xludf.DUMMYFUNCTION("""COMPUTED_VALUE"""),"RETIRADO OK POR CLIENTE")</f>
        <v>RETIRADO OK POR CLIENTE</v>
      </c>
      <c r="J1060" s="1">
        <f t="shared" si="3"/>
        <v>6</v>
      </c>
      <c r="K1060" s="1" t="str">
        <f t="shared" si="4"/>
        <v>Entregamos tus lentes, que los disfrutes!</v>
      </c>
    </row>
    <row r="1061">
      <c r="A1061" s="1">
        <f>IFERROR(__xludf.DUMMYFUNCTION("""COMPUTED_VALUE"""),85611.0)</f>
        <v>85611</v>
      </c>
      <c r="B1061" s="5">
        <f>IFERROR(__xludf.DUMMYFUNCTION("""COMPUTED_VALUE"""),44951.726355983796)</f>
        <v>44951.72636</v>
      </c>
      <c r="C1061" s="1" t="str">
        <f>IFERROR(__xludf.DUMMYFUNCTION("""COMPUTED_VALUE"""),"MORENO NATALIA")</f>
        <v>MORENO NATALIA</v>
      </c>
      <c r="D1061" s="1" t="str">
        <f>IFERROR(__xludf.DUMMYFUNCTION("""COMPUTED_VALUE"""),"Lentes de STOCK")</f>
        <v>Lentes de STOCK</v>
      </c>
      <c r="E1061" s="1" t="str">
        <f>IFERROR(__xludf.DUMMYFUNCTION("""COMPUTED_VALUE"""),"ARTIGAS Cristian C.")</f>
        <v>ARTIGAS Cristian C.</v>
      </c>
      <c r="F1061" s="1" t="str">
        <f t="shared" si="1"/>
        <v>ARTIGAS </v>
      </c>
      <c r="G1061" s="1" t="str">
        <f t="shared" si="2"/>
        <v>Cristian C.</v>
      </c>
      <c r="H1061" s="1" t="str">
        <f>IFERROR(__xludf.DUMMYFUNCTION("""COMPUTED_VALUE"""),"1/2/2023, 17:00:00")</f>
        <v>1/2/2023, 17:00:00</v>
      </c>
      <c r="I1061" s="1" t="str">
        <f>IFERROR(__xludf.DUMMYFUNCTION("""COMPUTED_VALUE"""),"En Armado Hoy")</f>
        <v>En Armado Hoy</v>
      </c>
      <c r="J1061" s="1">
        <f t="shared" si="3"/>
        <v>3</v>
      </c>
      <c r="K1061" s="1" t="str">
        <f t="shared" si="4"/>
        <v>Estamos terminando los ultimos detalles de tus lentes, los terminaremos el dia de hoy.</v>
      </c>
    </row>
    <row r="1062">
      <c r="A1062" s="1">
        <f>IFERROR(__xludf.DUMMYFUNCTION("""COMPUTED_VALUE"""),85612.0)</f>
        <v>85612</v>
      </c>
      <c r="B1062" s="5">
        <f>IFERROR(__xludf.DUMMYFUNCTION("""COMPUTED_VALUE"""),44951.73719788194)</f>
        <v>44951.7372</v>
      </c>
      <c r="C1062" s="1" t="str">
        <f>IFERROR(__xludf.DUMMYFUNCTION("""COMPUTED_VALUE"""),"Saa Jorge Fabian")</f>
        <v>Saa Jorge Fabian</v>
      </c>
      <c r="D1062" s="1" t="str">
        <f>IFERROR(__xludf.DUMMYFUNCTION("""COMPUTED_VALUE"""),"Reparaciones/Otros")</f>
        <v>Reparaciones/Otros</v>
      </c>
      <c r="E1062" s="1" t="str">
        <f>IFERROR(__xludf.DUMMYFUNCTION("""COMPUTED_VALUE"""),"RIVADAVIA Rocio B")</f>
        <v>RIVADAVIA Rocio B</v>
      </c>
      <c r="F1062" s="1" t="str">
        <f t="shared" si="1"/>
        <v>RIVADAVIA </v>
      </c>
      <c r="G1062" s="1" t="str">
        <f t="shared" si="2"/>
        <v>Rocio B</v>
      </c>
      <c r="H1062" s="1" t="str">
        <f>IFERROR(__xludf.DUMMYFUNCTION("""COMPUTED_VALUE"""),"26/1/2023, 17:00:00")</f>
        <v>26/1/2023, 17:00:00</v>
      </c>
      <c r="I1062" s="1" t="str">
        <f>IFERROR(__xludf.DUMMYFUNCTION("""COMPUTED_VALUE"""),"Completado en SUCURSAL")</f>
        <v>Completado en SUCURSAL</v>
      </c>
      <c r="J1062" s="1">
        <f t="shared" si="3"/>
        <v>5</v>
      </c>
      <c r="K1062" s="1" t="str">
        <f t="shared" si="4"/>
        <v>Tus Lentes estan LISTAS PARA ENTREGAR, te esperamos.</v>
      </c>
    </row>
    <row r="1063">
      <c r="A1063" s="1">
        <f>IFERROR(__xludf.DUMMYFUNCTION("""COMPUTED_VALUE"""),85613.0)</f>
        <v>85613</v>
      </c>
      <c r="B1063" s="5">
        <f>IFERROR(__xludf.DUMMYFUNCTION("""COMPUTED_VALUE"""),44951.740275937496)</f>
        <v>44951.74028</v>
      </c>
      <c r="C1063" s="1" t="str">
        <f>IFERROR(__xludf.DUMMYFUNCTION("""COMPUTED_VALUE"""),"AZZI GRACIELA")</f>
        <v>AZZI GRACIELA</v>
      </c>
      <c r="D1063" s="1" t="str">
        <f>IFERROR(__xludf.DUMMYFUNCTION("""COMPUTED_VALUE"""),"Reparaciones/Otros")</f>
        <v>Reparaciones/Otros</v>
      </c>
      <c r="E1063" s="1" t="str">
        <f>IFERROR(__xludf.DUMMYFUNCTION("""COMPUTED_VALUE"""),"RIVADAVIA Santiago LOPEZ")</f>
        <v>RIVADAVIA Santiago LOPEZ</v>
      </c>
      <c r="F1063" s="1" t="str">
        <f t="shared" si="1"/>
        <v>RIVADAVIA </v>
      </c>
      <c r="G1063" s="1" t="str">
        <f t="shared" si="2"/>
        <v>Santiago LOPEZ</v>
      </c>
      <c r="H1063" s="1" t="str">
        <f>IFERROR(__xludf.DUMMYFUNCTION("""COMPUTED_VALUE"""),"26/1/2023, 17:00:00")</f>
        <v>26/1/2023, 17:00:00</v>
      </c>
      <c r="I1063" s="1" t="str">
        <f>IFERROR(__xludf.DUMMYFUNCTION("""COMPUTED_VALUE"""),"Completado en SUCURSAL")</f>
        <v>Completado en SUCURSAL</v>
      </c>
      <c r="J1063" s="1">
        <f t="shared" si="3"/>
        <v>5</v>
      </c>
      <c r="K1063" s="1" t="str">
        <f t="shared" si="4"/>
        <v>Tus Lentes estan LISTAS PARA ENTREGAR, te esperamos.</v>
      </c>
    </row>
    <row r="1064">
      <c r="A1064" s="1">
        <f>IFERROR(__xludf.DUMMYFUNCTION("""COMPUTED_VALUE"""),85614.0)</f>
        <v>85614</v>
      </c>
      <c r="B1064" s="5">
        <f>IFERROR(__xludf.DUMMYFUNCTION("""COMPUTED_VALUE"""),44951.74172479167)</f>
        <v>44951.74172</v>
      </c>
      <c r="C1064" s="1" t="str">
        <f>IFERROR(__xludf.DUMMYFUNCTION("""COMPUTED_VALUE"""),"MAGALLANES HUGO ")</f>
        <v>MAGALLANES HUGO </v>
      </c>
      <c r="D1064" s="1" t="str">
        <f>IFERROR(__xludf.DUMMYFUNCTION("""COMPUTED_VALUE"""),"Lentes de STOCK")</f>
        <v>Lentes de STOCK</v>
      </c>
      <c r="E1064" s="1" t="str">
        <f>IFERROR(__xludf.DUMMYFUNCTION("""COMPUTED_VALUE"""),"ARTIGAS Cristian C.")</f>
        <v>ARTIGAS Cristian C.</v>
      </c>
      <c r="F1064" s="1" t="str">
        <f t="shared" si="1"/>
        <v>ARTIGAS </v>
      </c>
      <c r="G1064" s="1" t="str">
        <f t="shared" si="2"/>
        <v>Cristian C.</v>
      </c>
      <c r="H1064" s="1" t="str">
        <f>IFERROR(__xludf.DUMMYFUNCTION("""COMPUTED_VALUE"""),"2/2/2023, 17:00:00")</f>
        <v>2/2/2023, 17:00:00</v>
      </c>
      <c r="I1064" s="1" t="str">
        <f>IFERROR(__xludf.DUMMYFUNCTION("""COMPUTED_VALUE"""),"Completado en SUCURSAL")</f>
        <v>Completado en SUCURSAL</v>
      </c>
      <c r="J1064" s="1">
        <f t="shared" si="3"/>
        <v>5</v>
      </c>
      <c r="K1064" s="1" t="str">
        <f t="shared" si="4"/>
        <v>Tus Lentes estan LISTAS PARA ENTREGAR, te esperamos.</v>
      </c>
    </row>
    <row r="1065">
      <c r="A1065" s="1">
        <f>IFERROR(__xludf.DUMMYFUNCTION("""COMPUTED_VALUE"""),85615.0)</f>
        <v>85615</v>
      </c>
      <c r="B1065" s="5">
        <f>IFERROR(__xludf.DUMMYFUNCTION("""COMPUTED_VALUE"""),44951.77333019676)</f>
        <v>44951.77333</v>
      </c>
      <c r="C1065" s="1" t="str">
        <f>IFERROR(__xludf.DUMMYFUNCTION("""COMPUTED_VALUE"""),"ZEBALLOS ROBERTO")</f>
        <v>ZEBALLOS ROBERTO</v>
      </c>
      <c r="D1065" s="1" t="str">
        <f>IFERROR(__xludf.DUMMYFUNCTION("""COMPUTED_VALUE"""),"Lentes de STOCK")</f>
        <v>Lentes de STOCK</v>
      </c>
      <c r="E1065" s="1" t="str">
        <f>IFERROR(__xludf.DUMMYFUNCTION("""COMPUTED_VALUE"""),"ARTIGAS Cristian C.")</f>
        <v>ARTIGAS Cristian C.</v>
      </c>
      <c r="F1065" s="1" t="str">
        <f t="shared" si="1"/>
        <v>ARTIGAS </v>
      </c>
      <c r="G1065" s="1" t="str">
        <f t="shared" si="2"/>
        <v>Cristian C.</v>
      </c>
      <c r="H1065" s="1" t="str">
        <f>IFERROR(__xludf.DUMMYFUNCTION("""COMPUTED_VALUE"""),"31/1/2023, 17:00:00")</f>
        <v>31/1/2023, 17:00:00</v>
      </c>
      <c r="I1065" s="1" t="str">
        <f>IFERROR(__xludf.DUMMYFUNCTION("""COMPUTED_VALUE"""),"En Armado Hoy")</f>
        <v>En Armado Hoy</v>
      </c>
      <c r="J1065" s="1">
        <f t="shared" si="3"/>
        <v>3</v>
      </c>
      <c r="K1065" s="1" t="str">
        <f t="shared" si="4"/>
        <v>Estamos terminando los ultimos detalles de tus lentes, los terminaremos el dia de hoy.</v>
      </c>
    </row>
    <row r="1066">
      <c r="A1066" s="1">
        <f>IFERROR(__xludf.DUMMYFUNCTION("""COMPUTED_VALUE"""),85616.0)</f>
        <v>85616</v>
      </c>
      <c r="B1066" s="5">
        <f>IFERROR(__xludf.DUMMYFUNCTION("""COMPUTED_VALUE"""),44951.77623258102)</f>
        <v>44951.77623</v>
      </c>
      <c r="C1066" s="1" t="str">
        <f>IFERROR(__xludf.DUMMYFUNCTION("""COMPUTED_VALUE"""),"MENICHETTI DARDO")</f>
        <v>MENICHETTI DARDO</v>
      </c>
      <c r="D1066" s="1" t="str">
        <f>IFERROR(__xludf.DUMMYFUNCTION("""COMPUTED_VALUE"""),"Reparaciones/Otros")</f>
        <v>Reparaciones/Otros</v>
      </c>
      <c r="E1066" s="1" t="str">
        <f>IFERROR(__xludf.DUMMYFUNCTION("""COMPUTED_VALUE"""),"ARTIGAS Ivana P.")</f>
        <v>ARTIGAS Ivana P.</v>
      </c>
      <c r="F1066" s="1" t="str">
        <f t="shared" si="1"/>
        <v>ARTIGAS </v>
      </c>
      <c r="G1066" s="1" t="str">
        <f t="shared" si="2"/>
        <v>Ivana P.</v>
      </c>
      <c r="H1066" s="1" t="str">
        <f>IFERROR(__xludf.DUMMYFUNCTION("""COMPUTED_VALUE"""),"26/1/2023, 17:00:00")</f>
        <v>26/1/2023, 17:00:00</v>
      </c>
      <c r="I1066" s="1" t="str">
        <f>IFERROR(__xludf.DUMMYFUNCTION("""COMPUTED_VALUE"""),"Recibido en Laboratorio")</f>
        <v>Recibido en Laboratorio</v>
      </c>
      <c r="J1066" s="1">
        <f t="shared" si="3"/>
        <v>2</v>
      </c>
      <c r="K1066" s="1" t="str">
        <f t="shared" si="4"/>
        <v>Nuestro Laboratorio esta trabajando en tus lentes, los entregaremos en la fecha acordada.</v>
      </c>
    </row>
    <row r="1067">
      <c r="A1067" s="1">
        <f>IFERROR(__xludf.DUMMYFUNCTION("""COMPUTED_VALUE"""),85617.0)</f>
        <v>85617</v>
      </c>
      <c r="B1067" s="5">
        <f>IFERROR(__xludf.DUMMYFUNCTION("""COMPUTED_VALUE"""),44951.7807512037)</f>
        <v>44951.78075</v>
      </c>
      <c r="C1067" s="1" t="str">
        <f>IFERROR(__xludf.DUMMYFUNCTION("""COMPUTED_VALUE"""),"VEGA NAOMI")</f>
        <v>VEGA NAOMI</v>
      </c>
      <c r="D1067" s="1" t="str">
        <f>IFERROR(__xludf.DUMMYFUNCTION("""COMPUTED_VALUE"""),"Lentes de STOCK")</f>
        <v>Lentes de STOCK</v>
      </c>
      <c r="E1067" s="1" t="str">
        <f>IFERROR(__xludf.DUMMYFUNCTION("""COMPUTED_VALUE"""),"ARTIGAS Ivana P.")</f>
        <v>ARTIGAS Ivana P.</v>
      </c>
      <c r="F1067" s="1" t="str">
        <f t="shared" si="1"/>
        <v>ARTIGAS </v>
      </c>
      <c r="G1067" s="1" t="str">
        <f t="shared" si="2"/>
        <v>Ivana P.</v>
      </c>
      <c r="H1067" s="1" t="str">
        <f>IFERROR(__xludf.DUMMYFUNCTION("""COMPUTED_VALUE"""),"30/1/2023, 17:00:00")</f>
        <v>30/1/2023, 17:00:00</v>
      </c>
      <c r="I1067" s="1" t="str">
        <f>IFERROR(__xludf.DUMMYFUNCTION("""COMPUTED_VALUE"""),"RETIRADO OK POR CLIENTE")</f>
        <v>RETIRADO OK POR CLIENTE</v>
      </c>
      <c r="J1067" s="1">
        <f t="shared" si="3"/>
        <v>6</v>
      </c>
      <c r="K1067" s="1" t="str">
        <f t="shared" si="4"/>
        <v>Entregamos tus lentes, que los disfrutes!</v>
      </c>
    </row>
    <row r="1068">
      <c r="A1068" s="1">
        <f>IFERROR(__xludf.DUMMYFUNCTION("""COMPUTED_VALUE"""),85618.0)</f>
        <v>85618</v>
      </c>
      <c r="B1068" s="5">
        <f>IFERROR(__xludf.DUMMYFUNCTION("""COMPUTED_VALUE"""),44951.78704328704)</f>
        <v>44951.78704</v>
      </c>
      <c r="C1068" s="1" t="str">
        <f>IFERROR(__xludf.DUMMYFUNCTION("""COMPUTED_VALUE"""),"lucero roxana")</f>
        <v>lucero roxana</v>
      </c>
      <c r="D1068" s="1" t="str">
        <f>IFERROR(__xludf.DUMMYFUNCTION("""COMPUTED_VALUE"""),"Lentes MULTIFOCALES")</f>
        <v>Lentes MULTIFOCALES</v>
      </c>
      <c r="E1068" s="1" t="str">
        <f>IFERROR(__xludf.DUMMYFUNCTION("""COMPUTED_VALUE"""),"RIVADAVIA Santiago N")</f>
        <v>RIVADAVIA Santiago N</v>
      </c>
      <c r="F1068" s="1" t="str">
        <f t="shared" si="1"/>
        <v>RIVADAVIA </v>
      </c>
      <c r="G1068" s="1" t="str">
        <f t="shared" si="2"/>
        <v>Santiago N</v>
      </c>
      <c r="H1068" s="1" t="str">
        <f>IFERROR(__xludf.DUMMYFUNCTION("""COMPUTED_VALUE"""),"7/2/2023, 17:00:00")</f>
        <v>7/2/2023, 17:00:00</v>
      </c>
      <c r="I1068" s="1" t="str">
        <f>IFERROR(__xludf.DUMMYFUNCTION("""COMPUTED_VALUE"""),"Recibido en Laboratorio")</f>
        <v>Recibido en Laboratorio</v>
      </c>
      <c r="J1068" s="1">
        <f t="shared" si="3"/>
        <v>2</v>
      </c>
      <c r="K1068" s="1" t="str">
        <f t="shared" si="4"/>
        <v>Nuestro Laboratorio esta trabajando en tus lentes, los entregaremos en la fecha acordada.</v>
      </c>
    </row>
    <row r="1069">
      <c r="A1069" s="1">
        <f>IFERROR(__xludf.DUMMYFUNCTION("""COMPUTED_VALUE"""),85619.0)</f>
        <v>85619</v>
      </c>
      <c r="B1069" s="5">
        <f>IFERROR(__xludf.DUMMYFUNCTION("""COMPUTED_VALUE"""),44951.801733229164)</f>
        <v>44951.80173</v>
      </c>
      <c r="C1069" s="1" t="str">
        <f>IFERROR(__xludf.DUMMYFUNCTION("""COMPUTED_VALUE"""),"SANDRA SOLOSANO ")</f>
        <v>SANDRA SOLOSANO </v>
      </c>
      <c r="D1069" s="1" t="str">
        <f>IFERROR(__xludf.DUMMYFUNCTION("""COMPUTED_VALUE"""),"Reparaciones/Otros")</f>
        <v>Reparaciones/Otros</v>
      </c>
      <c r="E1069" s="1" t="str">
        <f>IFERROR(__xludf.DUMMYFUNCTION("""COMPUTED_VALUE"""),"ARTIGAS Celina")</f>
        <v>ARTIGAS Celina</v>
      </c>
      <c r="F1069" s="1" t="str">
        <f t="shared" si="1"/>
        <v>ARTIGAS </v>
      </c>
      <c r="G1069" s="1" t="str">
        <f t="shared" si="2"/>
        <v>Celina</v>
      </c>
      <c r="H1069" s="1" t="str">
        <f>IFERROR(__xludf.DUMMYFUNCTION("""COMPUTED_VALUE"""),"26/1/2023, 17:00:00")</f>
        <v>26/1/2023, 17:00:00</v>
      </c>
      <c r="I1069" s="1" t="str">
        <f>IFERROR(__xludf.DUMMYFUNCTION("""COMPUTED_VALUE"""),"Completado en SUCURSAL")</f>
        <v>Completado en SUCURSAL</v>
      </c>
      <c r="J1069" s="1">
        <f t="shared" si="3"/>
        <v>5</v>
      </c>
      <c r="K1069" s="1" t="str">
        <f t="shared" si="4"/>
        <v>Tus Lentes estan LISTAS PARA ENTREGAR, te esperamos.</v>
      </c>
    </row>
    <row r="1070">
      <c r="A1070" s="1">
        <f>IFERROR(__xludf.DUMMYFUNCTION("""COMPUTED_VALUE"""),85620.0)</f>
        <v>85620</v>
      </c>
      <c r="B1070" s="5">
        <f>IFERROR(__xludf.DUMMYFUNCTION("""COMPUTED_VALUE"""),44951.80330762731)</f>
        <v>44951.80331</v>
      </c>
      <c r="C1070" s="1" t="str">
        <f>IFERROR(__xludf.DUMMYFUNCTION("""COMPUTED_VALUE"""),"MELIAN CARLOS")</f>
        <v>MELIAN CARLOS</v>
      </c>
      <c r="D1070" s="1" t="str">
        <f>IFERROR(__xludf.DUMMYFUNCTION("""COMPUTED_VALUE"""),"Lentes de STOCK")</f>
        <v>Lentes de STOCK</v>
      </c>
      <c r="E1070" s="1" t="str">
        <f>IFERROR(__xludf.DUMMYFUNCTION("""COMPUTED_VALUE"""),"RIVADAVIA Luciana")</f>
        <v>RIVADAVIA Luciana</v>
      </c>
      <c r="F1070" s="1" t="str">
        <f t="shared" si="1"/>
        <v>RIVADAVIA </v>
      </c>
      <c r="G1070" s="1" t="str">
        <f t="shared" si="2"/>
        <v>Luciana</v>
      </c>
      <c r="H1070" s="1" t="str">
        <f>IFERROR(__xludf.DUMMYFUNCTION("""COMPUTED_VALUE"""),"30/1/2023, 17:00:00")</f>
        <v>30/1/2023, 17:00:00</v>
      </c>
      <c r="I1070" s="1" t="str">
        <f>IFERROR(__xludf.DUMMYFUNCTION("""COMPUTED_VALUE"""),"Completado en SUCURSAL")</f>
        <v>Completado en SUCURSAL</v>
      </c>
      <c r="J1070" s="1">
        <f t="shared" si="3"/>
        <v>5</v>
      </c>
      <c r="K1070" s="1" t="str">
        <f t="shared" si="4"/>
        <v>Tus Lentes estan LISTAS PARA ENTREGAR, te esperamos.</v>
      </c>
    </row>
    <row r="1071">
      <c r="A1071" s="1">
        <f>IFERROR(__xludf.DUMMYFUNCTION("""COMPUTED_VALUE"""),85621.0)</f>
        <v>85621</v>
      </c>
      <c r="B1071" s="5">
        <f>IFERROR(__xludf.DUMMYFUNCTION("""COMPUTED_VALUE"""),44951.81802805555)</f>
        <v>44951.81803</v>
      </c>
      <c r="C1071" s="1" t="str">
        <f>IFERROR(__xludf.DUMMYFUNCTION("""COMPUTED_VALUE"""),"RIVERO ERNESTO")</f>
        <v>RIVERO ERNESTO</v>
      </c>
      <c r="D1071" s="1" t="str">
        <f>IFERROR(__xludf.DUMMYFUNCTION("""COMPUTED_VALUE"""),"Lentes de STOCK")</f>
        <v>Lentes de STOCK</v>
      </c>
      <c r="E1071" s="1" t="str">
        <f>IFERROR(__xludf.DUMMYFUNCTION("""COMPUTED_VALUE"""),"ARTIGAS Ivana P.")</f>
        <v>ARTIGAS Ivana P.</v>
      </c>
      <c r="F1071" s="1" t="str">
        <f t="shared" si="1"/>
        <v>ARTIGAS </v>
      </c>
      <c r="G1071" s="1" t="str">
        <f t="shared" si="2"/>
        <v>Ivana P.</v>
      </c>
      <c r="H1071" s="1" t="str">
        <f>IFERROR(__xludf.DUMMYFUNCTION("""COMPUTED_VALUE"""),"31/1/2023, 17:00:00")</f>
        <v>31/1/2023, 17:00:00</v>
      </c>
      <c r="I1071" s="1"/>
      <c r="J1071" s="1">
        <f t="shared" si="3"/>
        <v>0</v>
      </c>
      <c r="K1071" s="1" t="str">
        <f t="shared" si="4"/>
        <v/>
      </c>
    </row>
    <row r="1072">
      <c r="A1072" s="1">
        <f>IFERROR(__xludf.DUMMYFUNCTION("""COMPUTED_VALUE"""),85622.0)</f>
        <v>85622</v>
      </c>
      <c r="B1072" s="5">
        <f>IFERROR(__xludf.DUMMYFUNCTION("""COMPUTED_VALUE"""),44951.819242881946)</f>
        <v>44951.81924</v>
      </c>
      <c r="C1072" s="1" t="str">
        <f>IFERROR(__xludf.DUMMYFUNCTION("""COMPUTED_VALUE"""),"GARCIA MARIA DEL CARMEN ")</f>
        <v>GARCIA MARIA DEL CARMEN </v>
      </c>
      <c r="D1072" s="1" t="str">
        <f>IFERROR(__xludf.DUMMYFUNCTION("""COMPUTED_VALUE"""),"Reparaciones/Otros")</f>
        <v>Reparaciones/Otros</v>
      </c>
      <c r="E1072" s="1" t="str">
        <f>IFERROR(__xludf.DUMMYFUNCTION("""COMPUTED_VALUE"""),"ARTIGAS Celina")</f>
        <v>ARTIGAS Celina</v>
      </c>
      <c r="F1072" s="1" t="str">
        <f t="shared" si="1"/>
        <v>ARTIGAS </v>
      </c>
      <c r="G1072" s="1" t="str">
        <f t="shared" si="2"/>
        <v>Celina</v>
      </c>
      <c r="H1072" s="1" t="str">
        <f>IFERROR(__xludf.DUMMYFUNCTION("""COMPUTED_VALUE"""),"28/1/2023, 17:00:00")</f>
        <v>28/1/2023, 17:00:00</v>
      </c>
      <c r="I1072" s="1" t="str">
        <f>IFERROR(__xludf.DUMMYFUNCTION("""COMPUTED_VALUE"""),"Recibido en Laboratorio")</f>
        <v>Recibido en Laboratorio</v>
      </c>
      <c r="J1072" s="1">
        <f t="shared" si="3"/>
        <v>2</v>
      </c>
      <c r="K1072" s="1" t="str">
        <f t="shared" si="4"/>
        <v>Nuestro Laboratorio esta trabajando en tus lentes, los entregaremos en la fecha acordada.</v>
      </c>
    </row>
    <row r="1073">
      <c r="A1073" s="1">
        <f>IFERROR(__xludf.DUMMYFUNCTION("""COMPUTED_VALUE"""),85623.0)</f>
        <v>85623</v>
      </c>
      <c r="B1073" s="5">
        <f>IFERROR(__xludf.DUMMYFUNCTION("""COMPUTED_VALUE"""),44951.82048541667)</f>
        <v>44951.82049</v>
      </c>
      <c r="C1073" s="1" t="str">
        <f>IFERROR(__xludf.DUMMYFUNCTION("""COMPUTED_VALUE"""),"cabañez ramon")</f>
        <v>cabañez ramon</v>
      </c>
      <c r="D1073" s="1" t="str">
        <f>IFERROR(__xludf.DUMMYFUNCTION("""COMPUTED_VALUE"""),"Reparaciones/Otros")</f>
        <v>Reparaciones/Otros</v>
      </c>
      <c r="E1073" s="1" t="str">
        <f>IFERROR(__xludf.DUMMYFUNCTION("""COMPUTED_VALUE"""),"RIVADAVIA Santiago N")</f>
        <v>RIVADAVIA Santiago N</v>
      </c>
      <c r="F1073" s="1" t="str">
        <f t="shared" si="1"/>
        <v>RIVADAVIA </v>
      </c>
      <c r="G1073" s="1" t="str">
        <f t="shared" si="2"/>
        <v>Santiago N</v>
      </c>
      <c r="H1073" s="1" t="str">
        <f>IFERROR(__xludf.DUMMYFUNCTION("""COMPUTED_VALUE"""),"26/1/2023, 17:00:00")</f>
        <v>26/1/2023, 17:00:00</v>
      </c>
      <c r="I1073" s="1" t="str">
        <f>IFERROR(__xludf.DUMMYFUNCTION("""COMPUTED_VALUE"""),"Completado en SUCURSAL")</f>
        <v>Completado en SUCURSAL</v>
      </c>
      <c r="J1073" s="1">
        <f t="shared" si="3"/>
        <v>5</v>
      </c>
      <c r="K1073" s="1" t="str">
        <f t="shared" si="4"/>
        <v>Tus Lentes estan LISTAS PARA ENTREGAR, te esperamos.</v>
      </c>
    </row>
    <row r="1074">
      <c r="A1074" s="1">
        <f>IFERROR(__xludf.DUMMYFUNCTION("""COMPUTED_VALUE"""),85624.0)</f>
        <v>85624</v>
      </c>
      <c r="B1074" s="5">
        <f>IFERROR(__xludf.DUMMYFUNCTION("""COMPUTED_VALUE"""),44951.822806435186)</f>
        <v>44951.82281</v>
      </c>
      <c r="C1074" s="1" t="str">
        <f>IFERROR(__xludf.DUMMYFUNCTION("""COMPUTED_VALUE"""),"RIVERO ERNESTO")</f>
        <v>RIVERO ERNESTO</v>
      </c>
      <c r="D1074" s="1" t="str">
        <f>IFERROR(__xludf.DUMMYFUNCTION("""COMPUTED_VALUE"""),"Lentes de STOCK")</f>
        <v>Lentes de STOCK</v>
      </c>
      <c r="E1074" s="1" t="str">
        <f>IFERROR(__xludf.DUMMYFUNCTION("""COMPUTED_VALUE"""),"ARTIGAS Ivana P.")</f>
        <v>ARTIGAS Ivana P.</v>
      </c>
      <c r="F1074" s="1" t="str">
        <f t="shared" si="1"/>
        <v>ARTIGAS </v>
      </c>
      <c r="G1074" s="1" t="str">
        <f t="shared" si="2"/>
        <v>Ivana P.</v>
      </c>
      <c r="H1074" s="1" t="str">
        <f>IFERROR(__xludf.DUMMYFUNCTION("""COMPUTED_VALUE"""),"28/1/2023, 17:00:00")</f>
        <v>28/1/2023, 17:00:00</v>
      </c>
      <c r="I1074" s="1" t="str">
        <f>IFERROR(__xludf.DUMMYFUNCTION("""COMPUTED_VALUE"""),"RETIRADO OK POR CLIENTE")</f>
        <v>RETIRADO OK POR CLIENTE</v>
      </c>
      <c r="J1074" s="1">
        <f t="shared" si="3"/>
        <v>6</v>
      </c>
      <c r="K1074" s="1" t="str">
        <f t="shared" si="4"/>
        <v>Entregamos tus lentes, que los disfrutes!</v>
      </c>
    </row>
    <row r="1075">
      <c r="A1075" s="1">
        <f>IFERROR(__xludf.DUMMYFUNCTION("""COMPUTED_VALUE"""),85625.0)</f>
        <v>85625</v>
      </c>
      <c r="B1075" s="5">
        <f>IFERROR(__xludf.DUMMYFUNCTION("""COMPUTED_VALUE"""),44951.82837083333)</f>
        <v>44951.82837</v>
      </c>
      <c r="C1075" s="1" t="str">
        <f>IFERROR(__xludf.DUMMYFUNCTION("""COMPUTED_VALUE"""),"CABRERA MAXIMILIANO")</f>
        <v>CABRERA MAXIMILIANO</v>
      </c>
      <c r="D1075" s="1" t="str">
        <f>IFERROR(__xludf.DUMMYFUNCTION("""COMPUTED_VALUE"""),"Lentes de STOCK")</f>
        <v>Lentes de STOCK</v>
      </c>
      <c r="E1075" s="1" t="str">
        <f>IFERROR(__xludf.DUMMYFUNCTION("""COMPUTED_VALUE"""),"RIVADAVIA Luciana")</f>
        <v>RIVADAVIA Luciana</v>
      </c>
      <c r="F1075" s="1" t="str">
        <f t="shared" si="1"/>
        <v>RIVADAVIA </v>
      </c>
      <c r="G1075" s="1" t="str">
        <f t="shared" si="2"/>
        <v>Luciana</v>
      </c>
      <c r="H1075" s="1" t="str">
        <f>IFERROR(__xludf.DUMMYFUNCTION("""COMPUTED_VALUE"""),"31/1/2023, 17:00:00")</f>
        <v>31/1/2023, 17:00:00</v>
      </c>
      <c r="I1075" s="1" t="str">
        <f>IFERROR(__xludf.DUMMYFUNCTION("""COMPUTED_VALUE"""),"Completado en SUCURSAL")</f>
        <v>Completado en SUCURSAL</v>
      </c>
      <c r="J1075" s="1">
        <f t="shared" si="3"/>
        <v>5</v>
      </c>
      <c r="K1075" s="1" t="str">
        <f t="shared" si="4"/>
        <v>Tus Lentes estan LISTAS PARA ENTREGAR, te esperamos.</v>
      </c>
    </row>
    <row r="1076">
      <c r="A1076" s="1">
        <f>IFERROR(__xludf.DUMMYFUNCTION("""COMPUTED_VALUE"""),85626.0)</f>
        <v>85626</v>
      </c>
      <c r="B1076" s="5">
        <f>IFERROR(__xludf.DUMMYFUNCTION("""COMPUTED_VALUE"""),44951.83006591436)</f>
        <v>44951.83007</v>
      </c>
      <c r="C1076" s="1" t="str">
        <f>IFERROR(__xludf.DUMMYFUNCTION("""COMPUTED_VALUE"""),"PAREDES ELIAS NATANAEL")</f>
        <v>PAREDES ELIAS NATANAEL</v>
      </c>
      <c r="D1076" s="1" t="str">
        <f>IFERROR(__xludf.DUMMYFUNCTION("""COMPUTED_VALUE"""),"Lentes de STOCK")</f>
        <v>Lentes de STOCK</v>
      </c>
      <c r="E1076" s="1" t="str">
        <f>IFERROR(__xludf.DUMMYFUNCTION("""COMPUTED_VALUE"""),"ARTIGAS Cristian C.")</f>
        <v>ARTIGAS Cristian C.</v>
      </c>
      <c r="F1076" s="1" t="str">
        <f t="shared" si="1"/>
        <v>ARTIGAS </v>
      </c>
      <c r="G1076" s="1" t="str">
        <f t="shared" si="2"/>
        <v>Cristian C.</v>
      </c>
      <c r="H1076" s="1" t="str">
        <f>IFERROR(__xludf.DUMMYFUNCTION("""COMPUTED_VALUE"""),"2/2/2023, 17:00:00")</f>
        <v>2/2/2023, 17:00:00</v>
      </c>
      <c r="I1076" s="1" t="str">
        <f>IFERROR(__xludf.DUMMYFUNCTION("""COMPUTED_VALUE"""),"RETIRADO OK POR CLIENTE")</f>
        <v>RETIRADO OK POR CLIENTE</v>
      </c>
      <c r="J1076" s="1">
        <f t="shared" si="3"/>
        <v>6</v>
      </c>
      <c r="K1076" s="1" t="str">
        <f t="shared" si="4"/>
        <v>Entregamos tus lentes, que los disfrutes!</v>
      </c>
    </row>
    <row r="1077">
      <c r="A1077" s="1">
        <f>IFERROR(__xludf.DUMMYFUNCTION("""COMPUTED_VALUE"""),85627.0)</f>
        <v>85627</v>
      </c>
      <c r="B1077" s="5">
        <f>IFERROR(__xludf.DUMMYFUNCTION("""COMPUTED_VALUE"""),44951.831671886575)</f>
        <v>44951.83167</v>
      </c>
      <c r="C1077" s="1" t="str">
        <f>IFERROR(__xludf.DUMMYFUNCTION("""COMPUTED_VALUE"""),"quiroga jose ")</f>
        <v>quiroga jose </v>
      </c>
      <c r="D1077" s="1" t="str">
        <f>IFERROR(__xludf.DUMMYFUNCTION("""COMPUTED_VALUE"""),"Lentes BIFOCALES")</f>
        <v>Lentes BIFOCALES</v>
      </c>
      <c r="E1077" s="1" t="str">
        <f>IFERROR(__xludf.DUMMYFUNCTION("""COMPUTED_VALUE"""),"RIVADAVIA Santiago N")</f>
        <v>RIVADAVIA Santiago N</v>
      </c>
      <c r="F1077" s="1" t="str">
        <f t="shared" si="1"/>
        <v>RIVADAVIA </v>
      </c>
      <c r="G1077" s="1" t="str">
        <f t="shared" si="2"/>
        <v>Santiago N</v>
      </c>
      <c r="H1077" s="1" t="str">
        <f>IFERROR(__xludf.DUMMYFUNCTION("""COMPUTED_VALUE"""),"3/2/2023, 17:00:00")</f>
        <v>3/2/2023, 17:00:00</v>
      </c>
      <c r="I1077" s="1" t="str">
        <f>IFERROR(__xludf.DUMMYFUNCTION("""COMPUTED_VALUE"""),"Completado en SUCURSAL")</f>
        <v>Completado en SUCURSAL</v>
      </c>
      <c r="J1077" s="1">
        <f t="shared" si="3"/>
        <v>5</v>
      </c>
      <c r="K1077" s="1" t="str">
        <f t="shared" si="4"/>
        <v>Tus Lentes estan LISTAS PARA ENTREGAR, te esperamos.</v>
      </c>
    </row>
    <row r="1078">
      <c r="A1078" s="1">
        <f>IFERROR(__xludf.DUMMYFUNCTION("""COMPUTED_VALUE"""),85628.0)</f>
        <v>85628</v>
      </c>
      <c r="B1078" s="5">
        <f>IFERROR(__xludf.DUMMYFUNCTION("""COMPUTED_VALUE"""),44951.839473541666)</f>
        <v>44951.83947</v>
      </c>
      <c r="C1078" s="1" t="str">
        <f>IFERROR(__xludf.DUMMYFUNCTION("""COMPUTED_VALUE"""),"VICENTELA ROLANDO OSCAR")</f>
        <v>VICENTELA ROLANDO OSCAR</v>
      </c>
      <c r="D1078" s="1" t="str">
        <f>IFERROR(__xludf.DUMMYFUNCTION("""COMPUTED_VALUE"""),"Reparaciones/Otros")</f>
        <v>Reparaciones/Otros</v>
      </c>
      <c r="E1078" s="1" t="str">
        <f>IFERROR(__xludf.DUMMYFUNCTION("""COMPUTED_VALUE"""),"RIVADAVIA Javier")</f>
        <v>RIVADAVIA Javier</v>
      </c>
      <c r="F1078" s="1" t="str">
        <f t="shared" si="1"/>
        <v>RIVADAVIA </v>
      </c>
      <c r="G1078" s="1" t="str">
        <f t="shared" si="2"/>
        <v>Javier</v>
      </c>
      <c r="H1078" s="1" t="str">
        <f>IFERROR(__xludf.DUMMYFUNCTION("""COMPUTED_VALUE"""),"26/1/2023, 17:00:00")</f>
        <v>26/1/2023, 17:00:00</v>
      </c>
      <c r="I1078" s="1"/>
      <c r="J1078" s="1">
        <f t="shared" si="3"/>
        <v>0</v>
      </c>
      <c r="K1078" s="1" t="str">
        <f t="shared" si="4"/>
        <v/>
      </c>
    </row>
    <row r="1079">
      <c r="A1079" s="1">
        <f>IFERROR(__xludf.DUMMYFUNCTION("""COMPUTED_VALUE"""),85629.0)</f>
        <v>85629</v>
      </c>
      <c r="B1079" s="5">
        <f>IFERROR(__xludf.DUMMYFUNCTION("""COMPUTED_VALUE"""),44951.844531574076)</f>
        <v>44951.84453</v>
      </c>
      <c r="C1079" s="1" t="str">
        <f>IFERROR(__xludf.DUMMYFUNCTION("""COMPUTED_VALUE"""),"AGUILAR WALTER FACUNDO")</f>
        <v>AGUILAR WALTER FACUNDO</v>
      </c>
      <c r="D1079" s="1" t="str">
        <f>IFERROR(__xludf.DUMMYFUNCTION("""COMPUTED_VALUE"""),"Lentes de STOCK")</f>
        <v>Lentes de STOCK</v>
      </c>
      <c r="E1079" s="1" t="str">
        <f>IFERROR(__xludf.DUMMYFUNCTION("""COMPUTED_VALUE"""),"RIVADAVIA Santiago LOPEZ")</f>
        <v>RIVADAVIA Santiago LOPEZ</v>
      </c>
      <c r="F1079" s="1" t="str">
        <f t="shared" si="1"/>
        <v>RIVADAVIA </v>
      </c>
      <c r="G1079" s="1" t="str">
        <f t="shared" si="2"/>
        <v>Santiago LOPEZ</v>
      </c>
      <c r="H1079" s="1" t="str">
        <f>IFERROR(__xludf.DUMMYFUNCTION("""COMPUTED_VALUE"""),"28/1/2023, 17:00:00")</f>
        <v>28/1/2023, 17:00:00</v>
      </c>
      <c r="I1079" s="1" t="str">
        <f>IFERROR(__xludf.DUMMYFUNCTION("""COMPUTED_VALUE"""),"RETIRADO OK POR CLIENTE")</f>
        <v>RETIRADO OK POR CLIENTE</v>
      </c>
      <c r="J1079" s="1">
        <f t="shared" si="3"/>
        <v>6</v>
      </c>
      <c r="K1079" s="1" t="str">
        <f t="shared" si="4"/>
        <v>Entregamos tus lentes, que los disfrutes!</v>
      </c>
    </row>
    <row r="1080">
      <c r="A1080" s="1">
        <f>IFERROR(__xludf.DUMMYFUNCTION("""COMPUTED_VALUE"""),85630.0)</f>
        <v>85630</v>
      </c>
      <c r="B1080" s="5">
        <f>IFERROR(__xludf.DUMMYFUNCTION("""COMPUTED_VALUE"""),44951.847292673614)</f>
        <v>44951.84729</v>
      </c>
      <c r="C1080" s="1" t="str">
        <f>IFERROR(__xludf.DUMMYFUNCTION("""COMPUTED_VALUE"""),"CHAILE ")</f>
        <v>CHAILE </v>
      </c>
      <c r="D1080" s="1" t="str">
        <f>IFERROR(__xludf.DUMMYFUNCTION("""COMPUTED_VALUE"""),"Lentes de STOCK")</f>
        <v>Lentes de STOCK</v>
      </c>
      <c r="E1080" s="1" t="str">
        <f>IFERROR(__xludf.DUMMYFUNCTION("""COMPUTED_VALUE"""),"ARTIGAS Cristian C.")</f>
        <v>ARTIGAS Cristian C.</v>
      </c>
      <c r="F1080" s="1" t="str">
        <f t="shared" si="1"/>
        <v>ARTIGAS </v>
      </c>
      <c r="G1080" s="1" t="str">
        <f t="shared" si="2"/>
        <v>Cristian C.</v>
      </c>
      <c r="H1080" s="1" t="str">
        <f>IFERROR(__xludf.DUMMYFUNCTION("""COMPUTED_VALUE"""),"2/2/2023, 17:00:00")</f>
        <v>2/2/2023, 17:00:00</v>
      </c>
      <c r="I1080" s="1" t="str">
        <f>IFERROR(__xludf.DUMMYFUNCTION("""COMPUTED_VALUE"""),"RETIRADO OK POR CLIENTE")</f>
        <v>RETIRADO OK POR CLIENTE</v>
      </c>
      <c r="J1080" s="1">
        <f t="shared" si="3"/>
        <v>6</v>
      </c>
      <c r="K1080" s="1" t="str">
        <f t="shared" si="4"/>
        <v>Entregamos tus lentes, que los disfrutes!</v>
      </c>
    </row>
    <row r="1081">
      <c r="A1081" s="1">
        <f>IFERROR(__xludf.DUMMYFUNCTION("""COMPUTED_VALUE"""),85631.0)</f>
        <v>85631</v>
      </c>
      <c r="B1081" s="5">
        <f>IFERROR(__xludf.DUMMYFUNCTION("""COMPUTED_VALUE"""),44951.86787094908)</f>
        <v>44951.86787</v>
      </c>
      <c r="C1081" s="1" t="str">
        <f>IFERROR(__xludf.DUMMYFUNCTION("""COMPUTED_VALUE"""),"SOSA BARROSO LUIS")</f>
        <v>SOSA BARROSO LUIS</v>
      </c>
      <c r="D1081" s="1" t="str">
        <f>IFERROR(__xludf.DUMMYFUNCTION("""COMPUTED_VALUE"""),"Lentes de STOCK")</f>
        <v>Lentes de STOCK</v>
      </c>
      <c r="E1081" s="1" t="str">
        <f>IFERROR(__xludf.DUMMYFUNCTION("""COMPUTED_VALUE"""),"RIVADAVIA Santiago LOPEZ")</f>
        <v>RIVADAVIA Santiago LOPEZ</v>
      </c>
      <c r="F1081" s="1" t="str">
        <f t="shared" si="1"/>
        <v>RIVADAVIA </v>
      </c>
      <c r="G1081" s="1" t="str">
        <f t="shared" si="2"/>
        <v>Santiago LOPEZ</v>
      </c>
      <c r="H1081" s="1" t="str">
        <f>IFERROR(__xludf.DUMMYFUNCTION("""COMPUTED_VALUE"""),"28/1/2023, 17:00:00")</f>
        <v>28/1/2023, 17:00:00</v>
      </c>
      <c r="I1081" s="1" t="str">
        <f>IFERROR(__xludf.DUMMYFUNCTION("""COMPUTED_VALUE"""),"RETIRADO OK POR CLIENTE")</f>
        <v>RETIRADO OK POR CLIENTE</v>
      </c>
      <c r="J1081" s="1">
        <f t="shared" si="3"/>
        <v>6</v>
      </c>
      <c r="K1081" s="1" t="str">
        <f t="shared" si="4"/>
        <v>Entregamos tus lentes, que los disfrutes!</v>
      </c>
    </row>
    <row r="1082">
      <c r="A1082" s="1">
        <f>IFERROR(__xludf.DUMMYFUNCTION("""COMPUTED_VALUE"""),85632.0)</f>
        <v>85632</v>
      </c>
      <c r="B1082" s="5">
        <f>IFERROR(__xludf.DUMMYFUNCTION("""COMPUTED_VALUE"""),44952.3825668287)</f>
        <v>44952.38257</v>
      </c>
      <c r="C1082" s="1" t="str">
        <f>IFERROR(__xludf.DUMMYFUNCTION("""COMPUTED_VALUE"""),"SOSA DOMINGA")</f>
        <v>SOSA DOMINGA</v>
      </c>
      <c r="D1082" s="1" t="str">
        <f>IFERROR(__xludf.DUMMYFUNCTION("""COMPUTED_VALUE"""),"Lentes de STOCK")</f>
        <v>Lentes de STOCK</v>
      </c>
      <c r="E1082" s="1" t="str">
        <f>IFERROR(__xludf.DUMMYFUNCTION("""COMPUTED_VALUE"""),"ARTIGAS Ivana P.")</f>
        <v>ARTIGAS Ivana P.</v>
      </c>
      <c r="F1082" s="1" t="str">
        <f t="shared" si="1"/>
        <v>ARTIGAS </v>
      </c>
      <c r="G1082" s="1" t="str">
        <f t="shared" si="2"/>
        <v>Ivana P.</v>
      </c>
      <c r="H1082" s="1" t="str">
        <f>IFERROR(__xludf.DUMMYFUNCTION("""COMPUTED_VALUE"""),"31/1/2023, 17:00:00")</f>
        <v>31/1/2023, 17:00:00</v>
      </c>
      <c r="I1082" s="1" t="str">
        <f>IFERROR(__xludf.DUMMYFUNCTION("""COMPUTED_VALUE"""),"Completado en SUCURSAL")</f>
        <v>Completado en SUCURSAL</v>
      </c>
      <c r="J1082" s="1">
        <f t="shared" si="3"/>
        <v>5</v>
      </c>
      <c r="K1082" s="1" t="str">
        <f t="shared" si="4"/>
        <v>Tus Lentes estan LISTAS PARA ENTREGAR, te esperamos.</v>
      </c>
    </row>
    <row r="1083">
      <c r="A1083" s="1">
        <f>IFERROR(__xludf.DUMMYFUNCTION("""COMPUTED_VALUE"""),85633.0)</f>
        <v>85633</v>
      </c>
      <c r="B1083" s="5">
        <f>IFERROR(__xludf.DUMMYFUNCTION("""COMPUTED_VALUE"""),44952.39495407407)</f>
        <v>44952.39495</v>
      </c>
      <c r="C1083" s="1" t="str">
        <f>IFERROR(__xludf.DUMMYFUNCTION("""COMPUTED_VALUE"""),"DANIEL TROENTLE")</f>
        <v>DANIEL TROENTLE</v>
      </c>
      <c r="D1083" s="1" t="str">
        <f>IFERROR(__xludf.DUMMYFUNCTION("""COMPUTED_VALUE"""),"Reparaciones/Otros")</f>
        <v>Reparaciones/Otros</v>
      </c>
      <c r="E1083" s="1" t="str">
        <f>IFERROR(__xludf.DUMMYFUNCTION("""COMPUTED_VALUE"""),"ARTIGAS Celina")</f>
        <v>ARTIGAS Celina</v>
      </c>
      <c r="F1083" s="1" t="str">
        <f t="shared" si="1"/>
        <v>ARTIGAS </v>
      </c>
      <c r="G1083" s="1" t="str">
        <f t="shared" si="2"/>
        <v>Celina</v>
      </c>
      <c r="H1083" s="1" t="str">
        <f>IFERROR(__xludf.DUMMYFUNCTION("""COMPUTED_VALUE"""),"27/1/2023, 17:00:00")</f>
        <v>27/1/2023, 17:00:00</v>
      </c>
      <c r="I1083" s="1" t="str">
        <f>IFERROR(__xludf.DUMMYFUNCTION("""COMPUTED_VALUE"""),"Recibido en Laboratorio")</f>
        <v>Recibido en Laboratorio</v>
      </c>
      <c r="J1083" s="1">
        <f t="shared" si="3"/>
        <v>2</v>
      </c>
      <c r="K1083" s="1" t="str">
        <f t="shared" si="4"/>
        <v>Nuestro Laboratorio esta trabajando en tus lentes, los entregaremos en la fecha acordada.</v>
      </c>
    </row>
    <row r="1084">
      <c r="A1084" s="1">
        <f>IFERROR(__xludf.DUMMYFUNCTION("""COMPUTED_VALUE"""),85634.0)</f>
        <v>85634</v>
      </c>
      <c r="B1084" s="5">
        <f>IFERROR(__xludf.DUMMYFUNCTION("""COMPUTED_VALUE"""),44952.3957293287)</f>
        <v>44952.39573</v>
      </c>
      <c r="C1084" s="1" t="str">
        <f>IFERROR(__xludf.DUMMYFUNCTION("""COMPUTED_VALUE"""),"OROZCO RUTH")</f>
        <v>OROZCO RUTH</v>
      </c>
      <c r="D1084" s="1" t="str">
        <f>IFERROR(__xludf.DUMMYFUNCTION("""COMPUTED_VALUE"""),"Lentes de STOCK")</f>
        <v>Lentes de STOCK</v>
      </c>
      <c r="E1084" s="1" t="str">
        <f>IFERROR(__xludf.DUMMYFUNCTION("""COMPUTED_VALUE"""),"RIVADAVIA Daniel CM")</f>
        <v>RIVADAVIA Daniel CM</v>
      </c>
      <c r="F1084" s="1" t="str">
        <f t="shared" si="1"/>
        <v>RIVADAVIA </v>
      </c>
      <c r="G1084" s="1" t="str">
        <f t="shared" si="2"/>
        <v>Daniel CM</v>
      </c>
      <c r="H1084" s="1" t="str">
        <f>IFERROR(__xludf.DUMMYFUNCTION("""COMPUTED_VALUE"""),"30/1/2023, 18:00:00")</f>
        <v>30/1/2023, 18:00:00</v>
      </c>
      <c r="I1084" s="1" t="str">
        <f>IFERROR(__xludf.DUMMYFUNCTION("""COMPUTED_VALUE"""),"Completado en SUCURSAL")</f>
        <v>Completado en SUCURSAL</v>
      </c>
      <c r="J1084" s="1">
        <f t="shared" si="3"/>
        <v>5</v>
      </c>
      <c r="K1084" s="1" t="str">
        <f t="shared" si="4"/>
        <v>Tus Lentes estan LISTAS PARA ENTREGAR, te esperamos.</v>
      </c>
    </row>
    <row r="1085">
      <c r="A1085" s="1">
        <f>IFERROR(__xludf.DUMMYFUNCTION("""COMPUTED_VALUE"""),85635.0)</f>
        <v>85635</v>
      </c>
      <c r="B1085" s="5">
        <f>IFERROR(__xludf.DUMMYFUNCTION("""COMPUTED_VALUE"""),44952.40019002315)</f>
        <v>44952.40019</v>
      </c>
      <c r="C1085" s="1" t="str">
        <f>IFERROR(__xludf.DUMMYFUNCTION("""COMPUTED_VALUE"""),"altavilla guillermina")</f>
        <v>altavilla guillermina</v>
      </c>
      <c r="D1085" s="1" t="str">
        <f>IFERROR(__xludf.DUMMYFUNCTION("""COMPUTED_VALUE"""),"Lentes de STOCK")</f>
        <v>Lentes de STOCK</v>
      </c>
      <c r="E1085" s="1" t="str">
        <f>IFERROR(__xludf.DUMMYFUNCTION("""COMPUTED_VALUE"""),"RIVADAVIA Santiago N")</f>
        <v>RIVADAVIA Santiago N</v>
      </c>
      <c r="F1085" s="1" t="str">
        <f t="shared" si="1"/>
        <v>RIVADAVIA </v>
      </c>
      <c r="G1085" s="1" t="str">
        <f t="shared" si="2"/>
        <v>Santiago N</v>
      </c>
      <c r="H1085" s="1" t="str">
        <f>IFERROR(__xludf.DUMMYFUNCTION("""COMPUTED_VALUE"""),"31/1/2023, 17:00:00")</f>
        <v>31/1/2023, 17:00:00</v>
      </c>
      <c r="I1085" s="1" t="str">
        <f>IFERROR(__xludf.DUMMYFUNCTION("""COMPUTED_VALUE"""),"Completado en SUCURSAL")</f>
        <v>Completado en SUCURSAL</v>
      </c>
      <c r="J1085" s="1">
        <f t="shared" si="3"/>
        <v>5</v>
      </c>
      <c r="K1085" s="1" t="str">
        <f t="shared" si="4"/>
        <v>Tus Lentes estan LISTAS PARA ENTREGAR, te esperamos.</v>
      </c>
    </row>
    <row r="1086">
      <c r="A1086" s="1">
        <f>IFERROR(__xludf.DUMMYFUNCTION("""COMPUTED_VALUE"""),85636.0)</f>
        <v>85636</v>
      </c>
      <c r="B1086" s="5">
        <f>IFERROR(__xludf.DUMMYFUNCTION("""COMPUTED_VALUE"""),44952.40155241898)</f>
        <v>44952.40155</v>
      </c>
      <c r="C1086" s="1" t="str">
        <f>IFERROR(__xludf.DUMMYFUNCTION("""COMPUTED_VALUE"""),"JUAREZ LIDIA")</f>
        <v>JUAREZ LIDIA</v>
      </c>
      <c r="D1086" s="1" t="str">
        <f>IFERROR(__xludf.DUMMYFUNCTION("""COMPUTED_VALUE"""),"Lentes de STOCK")</f>
        <v>Lentes de STOCK</v>
      </c>
      <c r="E1086" s="1" t="str">
        <f>IFERROR(__xludf.DUMMYFUNCTION("""COMPUTED_VALUE"""),"RIVADAVIA Santiago LOPEZ")</f>
        <v>RIVADAVIA Santiago LOPEZ</v>
      </c>
      <c r="F1086" s="1" t="str">
        <f t="shared" si="1"/>
        <v>RIVADAVIA </v>
      </c>
      <c r="G1086" s="1" t="str">
        <f t="shared" si="2"/>
        <v>Santiago LOPEZ</v>
      </c>
      <c r="H1086" s="1" t="str">
        <f>IFERROR(__xludf.DUMMYFUNCTION("""COMPUTED_VALUE"""),"30/1/2023, 17:00:00")</f>
        <v>30/1/2023, 17:00:00</v>
      </c>
      <c r="I1086" s="1" t="str">
        <f>IFERROR(__xludf.DUMMYFUNCTION("""COMPUTED_VALUE"""),"Completado en SUCURSAL")</f>
        <v>Completado en SUCURSAL</v>
      </c>
      <c r="J1086" s="1">
        <f t="shared" si="3"/>
        <v>5</v>
      </c>
      <c r="K1086" s="1" t="str">
        <f t="shared" si="4"/>
        <v>Tus Lentes estan LISTAS PARA ENTREGAR, te esperamos.</v>
      </c>
    </row>
    <row r="1087">
      <c r="A1087" s="1">
        <f>IFERROR(__xludf.DUMMYFUNCTION("""COMPUTED_VALUE"""),85637.0)</f>
        <v>85637</v>
      </c>
      <c r="B1087" s="5">
        <f>IFERROR(__xludf.DUMMYFUNCTION("""COMPUTED_VALUE"""),44952.40758266204)</f>
        <v>44952.40758</v>
      </c>
      <c r="C1087" s="1" t="str">
        <f>IFERROR(__xludf.DUMMYFUNCTION("""COMPUTED_VALUE"""),"PINELLI JORGE")</f>
        <v>PINELLI JORGE</v>
      </c>
      <c r="D1087" s="1" t="str">
        <f>IFERROR(__xludf.DUMMYFUNCTION("""COMPUTED_VALUE"""),"Lentes de STOCK")</f>
        <v>Lentes de STOCK</v>
      </c>
      <c r="E1087" s="1" t="str">
        <f>IFERROR(__xludf.DUMMYFUNCTION("""COMPUTED_VALUE"""),"RIVADAVIA Santiago LOPEZ")</f>
        <v>RIVADAVIA Santiago LOPEZ</v>
      </c>
      <c r="F1087" s="1" t="str">
        <f t="shared" si="1"/>
        <v>RIVADAVIA </v>
      </c>
      <c r="G1087" s="1" t="str">
        <f t="shared" si="2"/>
        <v>Santiago LOPEZ</v>
      </c>
      <c r="H1087" s="1" t="str">
        <f>IFERROR(__xludf.DUMMYFUNCTION("""COMPUTED_VALUE"""),"30/1/2023, 17:00:00")</f>
        <v>30/1/2023, 17:00:00</v>
      </c>
      <c r="I1087" s="1" t="str">
        <f>IFERROR(__xludf.DUMMYFUNCTION("""COMPUTED_VALUE"""),"Completado en SUCURSAL")</f>
        <v>Completado en SUCURSAL</v>
      </c>
      <c r="J1087" s="1">
        <f t="shared" si="3"/>
        <v>5</v>
      </c>
      <c r="K1087" s="1" t="str">
        <f t="shared" si="4"/>
        <v>Tus Lentes estan LISTAS PARA ENTREGAR, te esperamos.</v>
      </c>
    </row>
    <row r="1088">
      <c r="A1088" s="1">
        <f>IFERROR(__xludf.DUMMYFUNCTION("""COMPUTED_VALUE"""),85638.0)</f>
        <v>85638</v>
      </c>
      <c r="B1088" s="5">
        <f>IFERROR(__xludf.DUMMYFUNCTION("""COMPUTED_VALUE"""),44952.408670902776)</f>
        <v>44952.40867</v>
      </c>
      <c r="C1088" s="1" t="str">
        <f>IFERROR(__xludf.DUMMYFUNCTION("""COMPUTED_VALUE"""),"OLMEDO MARIA")</f>
        <v>OLMEDO MARIA</v>
      </c>
      <c r="D1088" s="1" t="str">
        <f>IFERROR(__xludf.DUMMYFUNCTION("""COMPUTED_VALUE"""),"Reparaciones/Otros")</f>
        <v>Reparaciones/Otros</v>
      </c>
      <c r="E1088" s="1" t="str">
        <f>IFERROR(__xludf.DUMMYFUNCTION("""COMPUTED_VALUE"""),"RIVADAVIA Marcela L")</f>
        <v>RIVADAVIA Marcela L</v>
      </c>
      <c r="F1088" s="1" t="str">
        <f t="shared" si="1"/>
        <v>RIVADAVIA </v>
      </c>
      <c r="G1088" s="1" t="str">
        <f t="shared" si="2"/>
        <v>Marcela L</v>
      </c>
      <c r="H1088" s="1" t="str">
        <f>IFERROR(__xludf.DUMMYFUNCTION("""COMPUTED_VALUE"""),"27/1/2023, 17:00:00")</f>
        <v>27/1/2023, 17:00:00</v>
      </c>
      <c r="I1088" s="1" t="str">
        <f>IFERROR(__xludf.DUMMYFUNCTION("""COMPUTED_VALUE"""),"Completado en SUCURSAL")</f>
        <v>Completado en SUCURSAL</v>
      </c>
      <c r="J1088" s="1">
        <f t="shared" si="3"/>
        <v>5</v>
      </c>
      <c r="K1088" s="1" t="str">
        <f t="shared" si="4"/>
        <v>Tus Lentes estan LISTAS PARA ENTREGAR, te esperamos.</v>
      </c>
    </row>
    <row r="1089">
      <c r="A1089" s="1">
        <f>IFERROR(__xludf.DUMMYFUNCTION("""COMPUTED_VALUE"""),85639.0)</f>
        <v>85639</v>
      </c>
      <c r="B1089" s="5">
        <f>IFERROR(__xludf.DUMMYFUNCTION("""COMPUTED_VALUE"""),44952.41547195602)</f>
        <v>44952.41547</v>
      </c>
      <c r="C1089" s="1" t="str">
        <f>IFERROR(__xludf.DUMMYFUNCTION("""COMPUTED_VALUE"""),"Medero Marina Laura")</f>
        <v>Medero Marina Laura</v>
      </c>
      <c r="D1089" s="1" t="str">
        <f>IFERROR(__xludf.DUMMYFUNCTION("""COMPUTED_VALUE"""),"Lentes MULTIFOCALES")</f>
        <v>Lentes MULTIFOCALES</v>
      </c>
      <c r="E1089" s="1" t="str">
        <f>IFERROR(__xludf.DUMMYFUNCTION("""COMPUTED_VALUE"""),"RIVADAVIA Rocio B")</f>
        <v>RIVADAVIA Rocio B</v>
      </c>
      <c r="F1089" s="1" t="str">
        <f t="shared" si="1"/>
        <v>RIVADAVIA </v>
      </c>
      <c r="G1089" s="1" t="str">
        <f t="shared" si="2"/>
        <v>Rocio B</v>
      </c>
      <c r="H1089" s="1" t="str">
        <f>IFERROR(__xludf.DUMMYFUNCTION("""COMPUTED_VALUE"""),"13/2/2023, 17:00:00")</f>
        <v>13/2/2023, 17:00:00</v>
      </c>
      <c r="I1089" s="1" t="str">
        <f>IFERROR(__xludf.DUMMYFUNCTION("""COMPUTED_VALUE"""),"Recibido en Laboratorio")</f>
        <v>Recibido en Laboratorio</v>
      </c>
      <c r="J1089" s="1">
        <f t="shared" si="3"/>
        <v>2</v>
      </c>
      <c r="K1089" s="1" t="str">
        <f t="shared" si="4"/>
        <v>Nuestro Laboratorio esta trabajando en tus lentes, los entregaremos en la fecha acordada.</v>
      </c>
    </row>
    <row r="1090">
      <c r="A1090" s="1">
        <f>IFERROR(__xludf.DUMMYFUNCTION("""COMPUTED_VALUE"""),85640.0)</f>
        <v>85640</v>
      </c>
      <c r="B1090" s="5">
        <f>IFERROR(__xludf.DUMMYFUNCTION("""COMPUTED_VALUE"""),44952.417368078706)</f>
        <v>44952.41737</v>
      </c>
      <c r="C1090" s="1" t="str">
        <f>IFERROR(__xludf.DUMMYFUNCTION("""COMPUTED_VALUE"""),"OVIEDO ARRIETA ERIKA")</f>
        <v>OVIEDO ARRIETA ERIKA</v>
      </c>
      <c r="D1090" s="1" t="str">
        <f>IFERROR(__xludf.DUMMYFUNCTION("""COMPUTED_VALUE"""),"Lentes de STOCK")</f>
        <v>Lentes de STOCK</v>
      </c>
      <c r="E1090" s="1" t="str">
        <f>IFERROR(__xludf.DUMMYFUNCTION("""COMPUTED_VALUE"""),"RIVADAVIA Santiago LOPEZ")</f>
        <v>RIVADAVIA Santiago LOPEZ</v>
      </c>
      <c r="F1090" s="1" t="str">
        <f t="shared" si="1"/>
        <v>RIVADAVIA </v>
      </c>
      <c r="G1090" s="1" t="str">
        <f t="shared" si="2"/>
        <v>Santiago LOPEZ</v>
      </c>
      <c r="H1090" s="1" t="str">
        <f>IFERROR(__xludf.DUMMYFUNCTION("""COMPUTED_VALUE"""),"30/1/2023, 17:00:00")</f>
        <v>30/1/2023, 17:00:00</v>
      </c>
      <c r="I1090" s="1" t="str">
        <f>IFERROR(__xludf.DUMMYFUNCTION("""COMPUTED_VALUE"""),"RETIRADO OK POR CLIENTE")</f>
        <v>RETIRADO OK POR CLIENTE</v>
      </c>
      <c r="J1090" s="1">
        <f t="shared" si="3"/>
        <v>6</v>
      </c>
      <c r="K1090" s="1" t="str">
        <f t="shared" si="4"/>
        <v>Entregamos tus lentes, que los disfrutes!</v>
      </c>
    </row>
    <row r="1091">
      <c r="A1091" s="1">
        <f>IFERROR(__xludf.DUMMYFUNCTION("""COMPUTED_VALUE"""),85641.0)</f>
        <v>85641</v>
      </c>
      <c r="B1091" s="5">
        <f>IFERROR(__xludf.DUMMYFUNCTION("""COMPUTED_VALUE"""),44952.41798474537)</f>
        <v>44952.41798</v>
      </c>
      <c r="C1091" s="1" t="str">
        <f>IFERROR(__xludf.DUMMYFUNCTION("""COMPUTED_VALUE"""),"SABATINI JULIO CESAR")</f>
        <v>SABATINI JULIO CESAR</v>
      </c>
      <c r="D1091" s="1" t="str">
        <f>IFERROR(__xludf.DUMMYFUNCTION("""COMPUTED_VALUE"""),"Lentes MULTIFOCALES")</f>
        <v>Lentes MULTIFOCALES</v>
      </c>
      <c r="E1091" s="1" t="str">
        <f>IFERROR(__xludf.DUMMYFUNCTION("""COMPUTED_VALUE"""),"ARTIGAS Ivana P.")</f>
        <v>ARTIGAS Ivana P.</v>
      </c>
      <c r="F1091" s="1" t="str">
        <f t="shared" si="1"/>
        <v>ARTIGAS </v>
      </c>
      <c r="G1091" s="1" t="str">
        <f t="shared" si="2"/>
        <v>Ivana P.</v>
      </c>
      <c r="H1091" s="1" t="str">
        <f>IFERROR(__xludf.DUMMYFUNCTION("""COMPUTED_VALUE"""),"8/2/2023, 17:00:00")</f>
        <v>8/2/2023, 17:00:00</v>
      </c>
      <c r="I1091" s="1" t="str">
        <f>IFERROR(__xludf.DUMMYFUNCTION("""COMPUTED_VALUE"""),"RETIRADO OK POR CLIENTE")</f>
        <v>RETIRADO OK POR CLIENTE</v>
      </c>
      <c r="J1091" s="1">
        <f t="shared" si="3"/>
        <v>6</v>
      </c>
      <c r="K1091" s="1" t="str">
        <f t="shared" si="4"/>
        <v>Entregamos tus lentes, que los disfrutes!</v>
      </c>
    </row>
    <row r="1092">
      <c r="A1092" s="1">
        <f>IFERROR(__xludf.DUMMYFUNCTION("""COMPUTED_VALUE"""),85642.0)</f>
        <v>85642</v>
      </c>
      <c r="B1092" s="5">
        <f>IFERROR(__xludf.DUMMYFUNCTION("""COMPUTED_VALUE"""),44952.424351967595)</f>
        <v>44952.42435</v>
      </c>
      <c r="C1092" s="1" t="str">
        <f>IFERROR(__xludf.DUMMYFUNCTION("""COMPUTED_VALUE"""),"BATISTELLO OSCAR ROMULO")</f>
        <v>BATISTELLO OSCAR ROMULO</v>
      </c>
      <c r="D1092" s="1" t="str">
        <f>IFERROR(__xludf.DUMMYFUNCTION("""COMPUTED_VALUE"""),"Lentes de STOCK")</f>
        <v>Lentes de STOCK</v>
      </c>
      <c r="E1092" s="1" t="str">
        <f>IFERROR(__xludf.DUMMYFUNCTION("""COMPUTED_VALUE"""),"RIVADAVIA Marcela L")</f>
        <v>RIVADAVIA Marcela L</v>
      </c>
      <c r="F1092" s="1" t="str">
        <f t="shared" si="1"/>
        <v>RIVADAVIA </v>
      </c>
      <c r="G1092" s="1" t="str">
        <f t="shared" si="2"/>
        <v>Marcela L</v>
      </c>
      <c r="H1092" s="1" t="str">
        <f>IFERROR(__xludf.DUMMYFUNCTION("""COMPUTED_VALUE"""),"6/2/2023, 17:00:00")</f>
        <v>6/2/2023, 17:00:00</v>
      </c>
      <c r="I1092" s="1" t="str">
        <f>IFERROR(__xludf.DUMMYFUNCTION("""COMPUTED_VALUE"""),"Recibido en Laboratorio")</f>
        <v>Recibido en Laboratorio</v>
      </c>
      <c r="J1092" s="1">
        <f t="shared" si="3"/>
        <v>2</v>
      </c>
      <c r="K1092" s="1" t="str">
        <f t="shared" si="4"/>
        <v>Nuestro Laboratorio esta trabajando en tus lentes, los entregaremos en la fecha acordada.</v>
      </c>
    </row>
    <row r="1093">
      <c r="A1093" s="1">
        <f>IFERROR(__xludf.DUMMYFUNCTION("""COMPUTED_VALUE"""),85643.0)</f>
        <v>85643</v>
      </c>
      <c r="B1093" s="5">
        <f>IFERROR(__xludf.DUMMYFUNCTION("""COMPUTED_VALUE"""),44952.42770865741)</f>
        <v>44952.42771</v>
      </c>
      <c r="C1093" s="1" t="str">
        <f>IFERROR(__xludf.DUMMYFUNCTION("""COMPUTED_VALUE"""),"FERNANDEZ PATRICIA")</f>
        <v>FERNANDEZ PATRICIA</v>
      </c>
      <c r="D1093" s="1" t="str">
        <f>IFERROR(__xludf.DUMMYFUNCTION("""COMPUTED_VALUE"""),"Lentes BIFOCALES")</f>
        <v>Lentes BIFOCALES</v>
      </c>
      <c r="E1093" s="1" t="str">
        <f>IFERROR(__xludf.DUMMYFUNCTION("""COMPUTED_VALUE"""),"RIVADAVIA Santiago LOPEZ")</f>
        <v>RIVADAVIA Santiago LOPEZ</v>
      </c>
      <c r="F1093" s="1" t="str">
        <f t="shared" si="1"/>
        <v>RIVADAVIA </v>
      </c>
      <c r="G1093" s="1" t="str">
        <f t="shared" si="2"/>
        <v>Santiago LOPEZ</v>
      </c>
      <c r="H1093" s="1" t="str">
        <f>IFERROR(__xludf.DUMMYFUNCTION("""COMPUTED_VALUE"""),"1/2/2023, 17:00:00")</f>
        <v>1/2/2023, 17:00:00</v>
      </c>
      <c r="I1093" s="1" t="str">
        <f>IFERROR(__xludf.DUMMYFUNCTION("""COMPUTED_VALUE"""),"RETIRADO OK POR CLIENTE")</f>
        <v>RETIRADO OK POR CLIENTE</v>
      </c>
      <c r="J1093" s="1">
        <f t="shared" si="3"/>
        <v>6</v>
      </c>
      <c r="K1093" s="1" t="str">
        <f t="shared" si="4"/>
        <v>Entregamos tus lentes, que los disfrutes!</v>
      </c>
    </row>
    <row r="1094">
      <c r="A1094" s="1">
        <f>IFERROR(__xludf.DUMMYFUNCTION("""COMPUTED_VALUE"""),85644.0)</f>
        <v>85644</v>
      </c>
      <c r="B1094" s="5">
        <f>IFERROR(__xludf.DUMMYFUNCTION("""COMPUTED_VALUE"""),44952.433904791666)</f>
        <v>44952.4339</v>
      </c>
      <c r="C1094" s="1" t="str">
        <f>IFERROR(__xludf.DUMMYFUNCTION("""COMPUTED_VALUE"""),"GIL ALCIRA NELIDA")</f>
        <v>GIL ALCIRA NELIDA</v>
      </c>
      <c r="D1094" s="1" t="str">
        <f>IFERROR(__xludf.DUMMYFUNCTION("""COMPUTED_VALUE"""),"Lentes de STOCK")</f>
        <v>Lentes de STOCK</v>
      </c>
      <c r="E1094" s="1" t="str">
        <f>IFERROR(__xludf.DUMMYFUNCTION("""COMPUTED_VALUE"""),"ARTIGAS Cristian C.")</f>
        <v>ARTIGAS Cristian C.</v>
      </c>
      <c r="F1094" s="1" t="str">
        <f t="shared" si="1"/>
        <v>ARTIGAS </v>
      </c>
      <c r="G1094" s="1" t="str">
        <f t="shared" si="2"/>
        <v>Cristian C.</v>
      </c>
      <c r="H1094" s="1" t="str">
        <f>IFERROR(__xludf.DUMMYFUNCTION("""COMPUTED_VALUE"""),"2/2/2023, 17:00:00")</f>
        <v>2/2/2023, 17:00:00</v>
      </c>
      <c r="I1094" s="1" t="str">
        <f>IFERROR(__xludf.DUMMYFUNCTION("""COMPUTED_VALUE"""),"RETIRADO OK POR CLIENTE")</f>
        <v>RETIRADO OK POR CLIENTE</v>
      </c>
      <c r="J1094" s="1">
        <f t="shared" si="3"/>
        <v>6</v>
      </c>
      <c r="K1094" s="1" t="str">
        <f t="shared" si="4"/>
        <v>Entregamos tus lentes, que los disfrutes!</v>
      </c>
    </row>
    <row r="1095">
      <c r="A1095" s="1">
        <f>IFERROR(__xludf.DUMMYFUNCTION("""COMPUTED_VALUE"""),85645.0)</f>
        <v>85645</v>
      </c>
      <c r="B1095" s="5">
        <f>IFERROR(__xludf.DUMMYFUNCTION("""COMPUTED_VALUE"""),44952.4417612963)</f>
        <v>44952.44176</v>
      </c>
      <c r="C1095" s="1" t="str">
        <f>IFERROR(__xludf.DUMMYFUNCTION("""COMPUTED_VALUE"""),"GODOY DANIEL")</f>
        <v>GODOY DANIEL</v>
      </c>
      <c r="D1095" s="1" t="str">
        <f>IFERROR(__xludf.DUMMYFUNCTION("""COMPUTED_VALUE"""),"Lentes MULTIFOCALES")</f>
        <v>Lentes MULTIFOCALES</v>
      </c>
      <c r="E1095" s="1" t="str">
        <f>IFERROR(__xludf.DUMMYFUNCTION("""COMPUTED_VALUE"""),"ARTIGAS Ivana P.")</f>
        <v>ARTIGAS Ivana P.</v>
      </c>
      <c r="F1095" s="1" t="str">
        <f t="shared" si="1"/>
        <v>ARTIGAS </v>
      </c>
      <c r="G1095" s="1" t="str">
        <f t="shared" si="2"/>
        <v>Ivana P.</v>
      </c>
      <c r="H1095" s="1" t="str">
        <f>IFERROR(__xludf.DUMMYFUNCTION("""COMPUTED_VALUE"""),"8/2/2023, 17:00:00")</f>
        <v>8/2/2023, 17:00:00</v>
      </c>
      <c r="I1095" s="1" t="str">
        <f>IFERROR(__xludf.DUMMYFUNCTION("""COMPUTED_VALUE"""),"RETIRADO OK POR CLIENTE")</f>
        <v>RETIRADO OK POR CLIENTE</v>
      </c>
      <c r="J1095" s="1">
        <f t="shared" si="3"/>
        <v>6</v>
      </c>
      <c r="K1095" s="1" t="str">
        <f t="shared" si="4"/>
        <v>Entregamos tus lentes, que los disfrutes!</v>
      </c>
    </row>
    <row r="1096">
      <c r="A1096" s="1">
        <f>IFERROR(__xludf.DUMMYFUNCTION("""COMPUTED_VALUE"""),85646.0)</f>
        <v>85646</v>
      </c>
      <c r="B1096" s="5">
        <f>IFERROR(__xludf.DUMMYFUNCTION("""COMPUTED_VALUE"""),44952.44386863426)</f>
        <v>44952.44387</v>
      </c>
      <c r="C1096" s="1" t="str">
        <f>IFERROR(__xludf.DUMMYFUNCTION("""COMPUTED_VALUE"""),"RODRIGUEZ MARIA ROSA")</f>
        <v>RODRIGUEZ MARIA ROSA</v>
      </c>
      <c r="D1096" s="1" t="str">
        <f>IFERROR(__xludf.DUMMYFUNCTION("""COMPUTED_VALUE"""),"Lentes de STOCK")</f>
        <v>Lentes de STOCK</v>
      </c>
      <c r="E1096" s="1" t="str">
        <f>IFERROR(__xludf.DUMMYFUNCTION("""COMPUTED_VALUE"""),"ARTIGAS Cristian C.")</f>
        <v>ARTIGAS Cristian C.</v>
      </c>
      <c r="F1096" s="1" t="str">
        <f t="shared" si="1"/>
        <v>ARTIGAS </v>
      </c>
      <c r="G1096" s="1" t="str">
        <f t="shared" si="2"/>
        <v>Cristian C.</v>
      </c>
      <c r="H1096" s="1" t="str">
        <f>IFERROR(__xludf.DUMMYFUNCTION("""COMPUTED_VALUE"""),"2/2/2023, 17:00:00")</f>
        <v>2/2/2023, 17:00:00</v>
      </c>
      <c r="I1096" s="1" t="str">
        <f>IFERROR(__xludf.DUMMYFUNCTION("""COMPUTED_VALUE"""),"En Armado Hoy")</f>
        <v>En Armado Hoy</v>
      </c>
      <c r="J1096" s="1">
        <f t="shared" si="3"/>
        <v>3</v>
      </c>
      <c r="K1096" s="1" t="str">
        <f t="shared" si="4"/>
        <v>Estamos terminando los ultimos detalles de tus lentes, los terminaremos el dia de hoy.</v>
      </c>
    </row>
    <row r="1097">
      <c r="A1097" s="1">
        <f>IFERROR(__xludf.DUMMYFUNCTION("""COMPUTED_VALUE"""),85647.0)</f>
        <v>85647</v>
      </c>
      <c r="B1097" s="5">
        <f>IFERROR(__xludf.DUMMYFUNCTION("""COMPUTED_VALUE"""),44952.44877880787)</f>
        <v>44952.44878</v>
      </c>
      <c r="C1097" s="1" t="str">
        <f>IFERROR(__xludf.DUMMYFUNCTION("""COMPUTED_VALUE"""),"FERNANDEZ MARTA")</f>
        <v>FERNANDEZ MARTA</v>
      </c>
      <c r="D1097" s="1" t="str">
        <f>IFERROR(__xludf.DUMMYFUNCTION("""COMPUTED_VALUE"""),"Lentes de STOCK")</f>
        <v>Lentes de STOCK</v>
      </c>
      <c r="E1097" s="1" t="str">
        <f>IFERROR(__xludf.DUMMYFUNCTION("""COMPUTED_VALUE"""),"RIVADAVIA Luciana")</f>
        <v>RIVADAVIA Luciana</v>
      </c>
      <c r="F1097" s="1" t="str">
        <f t="shared" si="1"/>
        <v>RIVADAVIA </v>
      </c>
      <c r="G1097" s="1" t="str">
        <f t="shared" si="2"/>
        <v>Luciana</v>
      </c>
      <c r="H1097" s="1" t="str">
        <f>IFERROR(__xludf.DUMMYFUNCTION("""COMPUTED_VALUE"""),"1/2/2023, 17:00:00")</f>
        <v>1/2/2023, 17:00:00</v>
      </c>
      <c r="I1097" s="1" t="str">
        <f>IFERROR(__xludf.DUMMYFUNCTION("""COMPUTED_VALUE"""),"Completado en SUCURSAL")</f>
        <v>Completado en SUCURSAL</v>
      </c>
      <c r="J1097" s="1">
        <f t="shared" si="3"/>
        <v>5</v>
      </c>
      <c r="K1097" s="1" t="str">
        <f t="shared" si="4"/>
        <v>Tus Lentes estan LISTAS PARA ENTREGAR, te esperamos.</v>
      </c>
    </row>
    <row r="1098">
      <c r="A1098" s="1">
        <f>IFERROR(__xludf.DUMMYFUNCTION("""COMPUTED_VALUE"""),85648.0)</f>
        <v>85648</v>
      </c>
      <c r="B1098" s="5">
        <f>IFERROR(__xludf.DUMMYFUNCTION("""COMPUTED_VALUE"""),44952.44884967593)</f>
        <v>44952.44885</v>
      </c>
      <c r="C1098" s="1" t="str">
        <f>IFERROR(__xludf.DUMMYFUNCTION("""COMPUTED_VALUE"""),"TICONA LEONORA")</f>
        <v>TICONA LEONORA</v>
      </c>
      <c r="D1098" s="1" t="str">
        <f>IFERROR(__xludf.DUMMYFUNCTION("""COMPUTED_VALUE"""),"Reparaciones/Otros")</f>
        <v>Reparaciones/Otros</v>
      </c>
      <c r="E1098" s="1" t="str">
        <f>IFERROR(__xludf.DUMMYFUNCTION("""COMPUTED_VALUE"""),"RIVADAVIA Santiago LOPEZ")</f>
        <v>RIVADAVIA Santiago LOPEZ</v>
      </c>
      <c r="F1098" s="1" t="str">
        <f t="shared" si="1"/>
        <v>RIVADAVIA </v>
      </c>
      <c r="G1098" s="1" t="str">
        <f t="shared" si="2"/>
        <v>Santiago LOPEZ</v>
      </c>
      <c r="H1098" s="1" t="str">
        <f>IFERROR(__xludf.DUMMYFUNCTION("""COMPUTED_VALUE"""),"27/1/2023, 17:00:00")</f>
        <v>27/1/2023, 17:00:00</v>
      </c>
      <c r="I1098" s="1" t="str">
        <f>IFERROR(__xludf.DUMMYFUNCTION("""COMPUTED_VALUE"""),"Completado en SUCURSAL")</f>
        <v>Completado en SUCURSAL</v>
      </c>
      <c r="J1098" s="1">
        <f t="shared" si="3"/>
        <v>5</v>
      </c>
      <c r="K1098" s="1" t="str">
        <f t="shared" si="4"/>
        <v>Tus Lentes estan LISTAS PARA ENTREGAR, te esperamos.</v>
      </c>
    </row>
    <row r="1099">
      <c r="A1099" s="1">
        <f>IFERROR(__xludf.DUMMYFUNCTION("""COMPUTED_VALUE"""),85649.0)</f>
        <v>85649</v>
      </c>
      <c r="B1099" s="5">
        <f>IFERROR(__xludf.DUMMYFUNCTION("""COMPUTED_VALUE"""),44952.45295651621)</f>
        <v>44952.45296</v>
      </c>
      <c r="C1099" s="1" t="str">
        <f>IFERROR(__xludf.DUMMYFUNCTION("""COMPUTED_VALUE"""),"Lencina Juan Luis")</f>
        <v>Lencina Juan Luis</v>
      </c>
      <c r="D1099" s="1" t="str">
        <f>IFERROR(__xludf.DUMMYFUNCTION("""COMPUTED_VALUE"""),"Lentes de STOCK")</f>
        <v>Lentes de STOCK</v>
      </c>
      <c r="E1099" s="1" t="str">
        <f>IFERROR(__xludf.DUMMYFUNCTION("""COMPUTED_VALUE"""),"RIVADAVIA Rocio B")</f>
        <v>RIVADAVIA Rocio B</v>
      </c>
      <c r="F1099" s="1" t="str">
        <f t="shared" si="1"/>
        <v>RIVADAVIA </v>
      </c>
      <c r="G1099" s="1" t="str">
        <f t="shared" si="2"/>
        <v>Rocio B</v>
      </c>
      <c r="H1099" s="1" t="str">
        <f>IFERROR(__xludf.DUMMYFUNCTION("""COMPUTED_VALUE"""),"2/2/2023, 17:00:00")</f>
        <v>2/2/2023, 17:00:00</v>
      </c>
      <c r="I1099" s="1" t="str">
        <f>IFERROR(__xludf.DUMMYFUNCTION("""COMPUTED_VALUE"""),"RETIRADO OK POR CLIENTE")</f>
        <v>RETIRADO OK POR CLIENTE</v>
      </c>
      <c r="J1099" s="1">
        <f t="shared" si="3"/>
        <v>6</v>
      </c>
      <c r="K1099" s="1" t="str">
        <f t="shared" si="4"/>
        <v>Entregamos tus lentes, que los disfrutes!</v>
      </c>
    </row>
    <row r="1100">
      <c r="A1100" s="1">
        <f>IFERROR(__xludf.DUMMYFUNCTION("""COMPUTED_VALUE"""),85650.0)</f>
        <v>85650</v>
      </c>
      <c r="B1100" s="5">
        <f>IFERROR(__xludf.DUMMYFUNCTION("""COMPUTED_VALUE"""),44952.45871856481)</f>
        <v>44952.45872</v>
      </c>
      <c r="C1100" s="1" t="str">
        <f>IFERROR(__xludf.DUMMYFUNCTION("""COMPUTED_VALUE"""),"DIAZ CIRO LEONARDO")</f>
        <v>DIAZ CIRO LEONARDO</v>
      </c>
      <c r="D1100" s="1" t="str">
        <f>IFERROR(__xludf.DUMMYFUNCTION("""COMPUTED_VALUE"""),"Lentes de STOCK")</f>
        <v>Lentes de STOCK</v>
      </c>
      <c r="E1100" s="1" t="str">
        <f>IFERROR(__xludf.DUMMYFUNCTION("""COMPUTED_VALUE"""),"ARTIGAS Cristian C.")</f>
        <v>ARTIGAS Cristian C.</v>
      </c>
      <c r="F1100" s="1" t="str">
        <f t="shared" si="1"/>
        <v>ARTIGAS </v>
      </c>
      <c r="G1100" s="1" t="str">
        <f t="shared" si="2"/>
        <v>Cristian C.</v>
      </c>
      <c r="H1100" s="1" t="str">
        <f>IFERROR(__xludf.DUMMYFUNCTION("""COMPUTED_VALUE"""),"2/2/2023, 17:00:00")</f>
        <v>2/2/2023, 17:00:00</v>
      </c>
      <c r="I1100" s="1" t="str">
        <f>IFERROR(__xludf.DUMMYFUNCTION("""COMPUTED_VALUE"""),"RETIRADO OK POR CLIENTE")</f>
        <v>RETIRADO OK POR CLIENTE</v>
      </c>
      <c r="J1100" s="1">
        <f t="shared" si="3"/>
        <v>6</v>
      </c>
      <c r="K1100" s="1" t="str">
        <f t="shared" si="4"/>
        <v>Entregamos tus lentes, que los disfrutes!</v>
      </c>
    </row>
    <row r="1101">
      <c r="A1101" s="1">
        <f>IFERROR(__xludf.DUMMYFUNCTION("""COMPUTED_VALUE"""),85651.0)</f>
        <v>85651</v>
      </c>
      <c r="B1101" s="5">
        <f>IFERROR(__xludf.DUMMYFUNCTION("""COMPUTED_VALUE"""),44952.46012383101)</f>
        <v>44952.46012</v>
      </c>
      <c r="C1101" s="1" t="str">
        <f>IFERROR(__xludf.DUMMYFUNCTION("""COMPUTED_VALUE"""),"BARROSO PAULA ")</f>
        <v>BARROSO PAULA </v>
      </c>
      <c r="D1101" s="1" t="str">
        <f>IFERROR(__xludf.DUMMYFUNCTION("""COMPUTED_VALUE"""),"Reparaciones/Otros")</f>
        <v>Reparaciones/Otros</v>
      </c>
      <c r="E1101" s="1" t="str">
        <f>IFERROR(__xludf.DUMMYFUNCTION("""COMPUTED_VALUE"""),"ARTIGAS Celina")</f>
        <v>ARTIGAS Celina</v>
      </c>
      <c r="F1101" s="1" t="str">
        <f t="shared" si="1"/>
        <v>ARTIGAS </v>
      </c>
      <c r="G1101" s="1" t="str">
        <f t="shared" si="2"/>
        <v>Celina</v>
      </c>
      <c r="H1101" s="1" t="str">
        <f>IFERROR(__xludf.DUMMYFUNCTION("""COMPUTED_VALUE"""),"27/1/2023, 17:00:00")</f>
        <v>27/1/2023, 17:00:00</v>
      </c>
      <c r="I1101" s="1" t="str">
        <f>IFERROR(__xludf.DUMMYFUNCTION("""COMPUTED_VALUE"""),"Completado en SUCURSAL")</f>
        <v>Completado en SUCURSAL</v>
      </c>
      <c r="J1101" s="1">
        <f t="shared" si="3"/>
        <v>5</v>
      </c>
      <c r="K1101" s="1" t="str">
        <f t="shared" si="4"/>
        <v>Tus Lentes estan LISTAS PARA ENTREGAR, te esperamos.</v>
      </c>
    </row>
    <row r="1102">
      <c r="A1102" s="1">
        <f>IFERROR(__xludf.DUMMYFUNCTION("""COMPUTED_VALUE"""),85652.0)</f>
        <v>85652</v>
      </c>
      <c r="B1102" s="5">
        <f>IFERROR(__xludf.DUMMYFUNCTION("""COMPUTED_VALUE"""),44952.47341877315)</f>
        <v>44952.47342</v>
      </c>
      <c r="C1102" s="1" t="str">
        <f>IFERROR(__xludf.DUMMYFUNCTION("""COMPUTED_VALUE"""),"Lucero Francisco")</f>
        <v>Lucero Francisco</v>
      </c>
      <c r="D1102" s="1" t="str">
        <f>IFERROR(__xludf.DUMMYFUNCTION("""COMPUTED_VALUE"""),"Lentes de STOCK")</f>
        <v>Lentes de STOCK</v>
      </c>
      <c r="E1102" s="1" t="str">
        <f>IFERROR(__xludf.DUMMYFUNCTION("""COMPUTED_VALUE"""),"RIVADAVIA Rocio B")</f>
        <v>RIVADAVIA Rocio B</v>
      </c>
      <c r="F1102" s="1" t="str">
        <f t="shared" si="1"/>
        <v>RIVADAVIA </v>
      </c>
      <c r="G1102" s="1" t="str">
        <f t="shared" si="2"/>
        <v>Rocio B</v>
      </c>
      <c r="H1102" s="1" t="str">
        <f>IFERROR(__xludf.DUMMYFUNCTION("""COMPUTED_VALUE"""),"1/2/2023, 17:00:00")</f>
        <v>1/2/2023, 17:00:00</v>
      </c>
      <c r="I1102" s="1" t="str">
        <f>IFERROR(__xludf.DUMMYFUNCTION("""COMPUTED_VALUE"""),"Completado en SUCURSAL")</f>
        <v>Completado en SUCURSAL</v>
      </c>
      <c r="J1102" s="1">
        <f t="shared" si="3"/>
        <v>5</v>
      </c>
      <c r="K1102" s="1" t="str">
        <f t="shared" si="4"/>
        <v>Tus Lentes estan LISTAS PARA ENTREGAR, te esperamos.</v>
      </c>
    </row>
    <row r="1103">
      <c r="A1103" s="1">
        <f>IFERROR(__xludf.DUMMYFUNCTION("""COMPUTED_VALUE"""),85653.0)</f>
        <v>85653</v>
      </c>
      <c r="B1103" s="5">
        <f>IFERROR(__xludf.DUMMYFUNCTION("""COMPUTED_VALUE"""),44952.47426927084)</f>
        <v>44952.47427</v>
      </c>
      <c r="C1103" s="1" t="str">
        <f>IFERROR(__xludf.DUMMYFUNCTION("""COMPUTED_VALUE"""),"ESCUDERO CARMEN LIDIA")</f>
        <v>ESCUDERO CARMEN LIDIA</v>
      </c>
      <c r="D1103" s="1" t="str">
        <f>IFERROR(__xludf.DUMMYFUNCTION("""COMPUTED_VALUE"""),"Lentes de STOCK")</f>
        <v>Lentes de STOCK</v>
      </c>
      <c r="E1103" s="1" t="str">
        <f>IFERROR(__xludf.DUMMYFUNCTION("""COMPUTED_VALUE"""),"ARTIGAS Cristian C.")</f>
        <v>ARTIGAS Cristian C.</v>
      </c>
      <c r="F1103" s="1" t="str">
        <f t="shared" si="1"/>
        <v>ARTIGAS </v>
      </c>
      <c r="G1103" s="1" t="str">
        <f t="shared" si="2"/>
        <v>Cristian C.</v>
      </c>
      <c r="H1103" s="1" t="str">
        <f>IFERROR(__xludf.DUMMYFUNCTION("""COMPUTED_VALUE"""),"1/2/2023, 17:00:00")</f>
        <v>1/2/2023, 17:00:00</v>
      </c>
      <c r="I1103" s="1" t="str">
        <f>IFERROR(__xludf.DUMMYFUNCTION("""COMPUTED_VALUE"""),"Completado en SUCURSAL")</f>
        <v>Completado en SUCURSAL</v>
      </c>
      <c r="J1103" s="1">
        <f t="shared" si="3"/>
        <v>5</v>
      </c>
      <c r="K1103" s="1" t="str">
        <f t="shared" si="4"/>
        <v>Tus Lentes estan LISTAS PARA ENTREGAR, te esperamos.</v>
      </c>
    </row>
    <row r="1104">
      <c r="A1104" s="1">
        <f>IFERROR(__xludf.DUMMYFUNCTION("""COMPUTED_VALUE"""),85654.0)</f>
        <v>85654</v>
      </c>
      <c r="B1104" s="5">
        <f>IFERROR(__xludf.DUMMYFUNCTION("""COMPUTED_VALUE"""),44952.474986967594)</f>
        <v>44952.47499</v>
      </c>
      <c r="C1104" s="1" t="str">
        <f>IFERROR(__xludf.DUMMYFUNCTION("""COMPUTED_VALUE"""),"Quiroga Nancy")</f>
        <v>Quiroga Nancy</v>
      </c>
      <c r="D1104" s="1" t="str">
        <f>IFERROR(__xludf.DUMMYFUNCTION("""COMPUTED_VALUE"""),"Lentes de STOCK")</f>
        <v>Lentes de STOCK</v>
      </c>
      <c r="E1104" s="1" t="str">
        <f>IFERROR(__xludf.DUMMYFUNCTION("""COMPUTED_VALUE"""),"RIVADAVIA Rocio B")</f>
        <v>RIVADAVIA Rocio B</v>
      </c>
      <c r="F1104" s="1" t="str">
        <f t="shared" si="1"/>
        <v>RIVADAVIA </v>
      </c>
      <c r="G1104" s="1" t="str">
        <f t="shared" si="2"/>
        <v>Rocio B</v>
      </c>
      <c r="H1104" s="1" t="str">
        <f>IFERROR(__xludf.DUMMYFUNCTION("""COMPUTED_VALUE"""),"1/2/2023, 17:00:00")</f>
        <v>1/2/2023, 17:00:00</v>
      </c>
      <c r="I1104" s="1" t="str">
        <f>IFERROR(__xludf.DUMMYFUNCTION("""COMPUTED_VALUE"""),"Completado en SUCURSAL")</f>
        <v>Completado en SUCURSAL</v>
      </c>
      <c r="J1104" s="1">
        <f t="shared" si="3"/>
        <v>5</v>
      </c>
      <c r="K1104" s="1" t="str">
        <f t="shared" si="4"/>
        <v>Tus Lentes estan LISTAS PARA ENTREGAR, te esperamos.</v>
      </c>
    </row>
    <row r="1105">
      <c r="A1105" s="1">
        <f>IFERROR(__xludf.DUMMYFUNCTION("""COMPUTED_VALUE"""),85655.0)</f>
        <v>85655</v>
      </c>
      <c r="B1105" s="5">
        <f>IFERROR(__xludf.DUMMYFUNCTION("""COMPUTED_VALUE"""),44952.47847905093)</f>
        <v>44952.47848</v>
      </c>
      <c r="C1105" s="1" t="str">
        <f>IFERROR(__xludf.DUMMYFUNCTION("""COMPUTED_VALUE"""),"RUIZ MARCO")</f>
        <v>RUIZ MARCO</v>
      </c>
      <c r="D1105" s="1" t="str">
        <f>IFERROR(__xludf.DUMMYFUNCTION("""COMPUTED_VALUE"""),"Lentes de STOCK")</f>
        <v>Lentes de STOCK</v>
      </c>
      <c r="E1105" s="1" t="str">
        <f>IFERROR(__xludf.DUMMYFUNCTION("""COMPUTED_VALUE"""),"ARTIGAS Ivana P.")</f>
        <v>ARTIGAS Ivana P.</v>
      </c>
      <c r="F1105" s="1" t="str">
        <f t="shared" si="1"/>
        <v>ARTIGAS </v>
      </c>
      <c r="G1105" s="1" t="str">
        <f t="shared" si="2"/>
        <v>Ivana P.</v>
      </c>
      <c r="H1105" s="1" t="str">
        <f>IFERROR(__xludf.DUMMYFUNCTION("""COMPUTED_VALUE"""),"31/1/2023, 17:00:00")</f>
        <v>31/1/2023, 17:00:00</v>
      </c>
      <c r="I1105" s="1" t="str">
        <f>IFERROR(__xludf.DUMMYFUNCTION("""COMPUTED_VALUE"""),"RETIRADO OK POR CLIENTE")</f>
        <v>RETIRADO OK POR CLIENTE</v>
      </c>
      <c r="J1105" s="1">
        <f t="shared" si="3"/>
        <v>6</v>
      </c>
      <c r="K1105" s="1" t="str">
        <f t="shared" si="4"/>
        <v>Entregamos tus lentes, que los disfrutes!</v>
      </c>
    </row>
    <row r="1106">
      <c r="A1106" s="1">
        <f>IFERROR(__xludf.DUMMYFUNCTION("""COMPUTED_VALUE"""),85656.0)</f>
        <v>85656</v>
      </c>
      <c r="B1106" s="5">
        <f>IFERROR(__xludf.DUMMYFUNCTION("""COMPUTED_VALUE"""),44952.48092221065)</f>
        <v>44952.48092</v>
      </c>
      <c r="C1106" s="1" t="str">
        <f>IFERROR(__xludf.DUMMYFUNCTION("""COMPUTED_VALUE"""),"lahinton claudia")</f>
        <v>lahinton claudia</v>
      </c>
      <c r="D1106" s="1" t="str">
        <f>IFERROR(__xludf.DUMMYFUNCTION("""COMPUTED_VALUE"""),"Lentes de STOCK")</f>
        <v>Lentes de STOCK</v>
      </c>
      <c r="E1106" s="1" t="str">
        <f>IFERROR(__xludf.DUMMYFUNCTION("""COMPUTED_VALUE"""),"RIVADAVIA Santiago N")</f>
        <v>RIVADAVIA Santiago N</v>
      </c>
      <c r="F1106" s="1" t="str">
        <f t="shared" si="1"/>
        <v>RIVADAVIA </v>
      </c>
      <c r="G1106" s="1" t="str">
        <f t="shared" si="2"/>
        <v>Santiago N</v>
      </c>
      <c r="H1106" s="1" t="str">
        <f>IFERROR(__xludf.DUMMYFUNCTION("""COMPUTED_VALUE"""),"30/1/2023, 17:00:00")</f>
        <v>30/1/2023, 17:00:00</v>
      </c>
      <c r="I1106" s="1" t="str">
        <f>IFERROR(__xludf.DUMMYFUNCTION("""COMPUTED_VALUE"""),"Completado en SUCURSAL")</f>
        <v>Completado en SUCURSAL</v>
      </c>
      <c r="J1106" s="1">
        <f t="shared" si="3"/>
        <v>5</v>
      </c>
      <c r="K1106" s="1" t="str">
        <f t="shared" si="4"/>
        <v>Tus Lentes estan LISTAS PARA ENTREGAR, te esperamos.</v>
      </c>
    </row>
    <row r="1107">
      <c r="A1107" s="1">
        <f>IFERROR(__xludf.DUMMYFUNCTION("""COMPUTED_VALUE"""),85657.0)</f>
        <v>85657</v>
      </c>
      <c r="B1107" s="5">
        <f>IFERROR(__xludf.DUMMYFUNCTION("""COMPUTED_VALUE"""),44952.48475826389)</f>
        <v>44952.48476</v>
      </c>
      <c r="C1107" s="1" t="str">
        <f>IFERROR(__xludf.DUMMYFUNCTION("""COMPUTED_VALUE"""),"RIVEROS JOSE")</f>
        <v>RIVEROS JOSE</v>
      </c>
      <c r="D1107" s="1" t="str">
        <f>IFERROR(__xludf.DUMMYFUNCTION("""COMPUTED_VALUE"""),"Lentes de STOCK")</f>
        <v>Lentes de STOCK</v>
      </c>
      <c r="E1107" s="1" t="str">
        <f>IFERROR(__xludf.DUMMYFUNCTION("""COMPUTED_VALUE"""),"ARTIGAS Ivana P.")</f>
        <v>ARTIGAS Ivana P.</v>
      </c>
      <c r="F1107" s="1" t="str">
        <f t="shared" si="1"/>
        <v>ARTIGAS </v>
      </c>
      <c r="G1107" s="1" t="str">
        <f t="shared" si="2"/>
        <v>Ivana P.</v>
      </c>
      <c r="H1107" s="1" t="str">
        <f>IFERROR(__xludf.DUMMYFUNCTION("""COMPUTED_VALUE"""),"7/2/2023, 17:00:00")</f>
        <v>7/2/2023, 17:00:00</v>
      </c>
      <c r="I1107" s="1" t="str">
        <f>IFERROR(__xludf.DUMMYFUNCTION("""COMPUTED_VALUE"""),"Recibido en Laboratorio")</f>
        <v>Recibido en Laboratorio</v>
      </c>
      <c r="J1107" s="1">
        <f t="shared" si="3"/>
        <v>2</v>
      </c>
      <c r="K1107" s="1" t="str">
        <f t="shared" si="4"/>
        <v>Nuestro Laboratorio esta trabajando en tus lentes, los entregaremos en la fecha acordada.</v>
      </c>
    </row>
    <row r="1108">
      <c r="A1108" s="1">
        <f>IFERROR(__xludf.DUMMYFUNCTION("""COMPUTED_VALUE"""),85658.0)</f>
        <v>85658</v>
      </c>
      <c r="B1108" s="5">
        <f>IFERROR(__xludf.DUMMYFUNCTION("""COMPUTED_VALUE"""),44952.48860519676)</f>
        <v>44952.48861</v>
      </c>
      <c r="C1108" s="1" t="str">
        <f>IFERROR(__xludf.DUMMYFUNCTION("""COMPUTED_VALUE"""),"LUNA RODOLFO")</f>
        <v>LUNA RODOLFO</v>
      </c>
      <c r="D1108" s="1" t="str">
        <f>IFERROR(__xludf.DUMMYFUNCTION("""COMPUTED_VALUE"""),"Lentes de STOCK")</f>
        <v>Lentes de STOCK</v>
      </c>
      <c r="E1108" s="1" t="str">
        <f>IFERROR(__xludf.DUMMYFUNCTION("""COMPUTED_VALUE"""),"ARTIGAS Ivana P.")</f>
        <v>ARTIGAS Ivana P.</v>
      </c>
      <c r="F1108" s="1" t="str">
        <f t="shared" si="1"/>
        <v>ARTIGAS </v>
      </c>
      <c r="G1108" s="1" t="str">
        <f t="shared" si="2"/>
        <v>Ivana P.</v>
      </c>
      <c r="H1108" s="1" t="str">
        <f>IFERROR(__xludf.DUMMYFUNCTION("""COMPUTED_VALUE"""),"30/1/2023, 17:00:00")</f>
        <v>30/1/2023, 17:00:00</v>
      </c>
      <c r="I1108" s="1" t="str">
        <f>IFERROR(__xludf.DUMMYFUNCTION("""COMPUTED_VALUE"""),"Completado en SUCURSAL")</f>
        <v>Completado en SUCURSAL</v>
      </c>
      <c r="J1108" s="1">
        <f t="shared" si="3"/>
        <v>5</v>
      </c>
      <c r="K1108" s="1" t="str">
        <f t="shared" si="4"/>
        <v>Tus Lentes estan LISTAS PARA ENTREGAR, te esperamos.</v>
      </c>
    </row>
    <row r="1109">
      <c r="A1109" s="1">
        <f>IFERROR(__xludf.DUMMYFUNCTION("""COMPUTED_VALUE"""),85659.0)</f>
        <v>85659</v>
      </c>
      <c r="B1109" s="5">
        <f>IFERROR(__xludf.DUMMYFUNCTION("""COMPUTED_VALUE"""),44952.49960490741)</f>
        <v>44952.4996</v>
      </c>
      <c r="C1109" s="1" t="str">
        <f>IFERROR(__xludf.DUMMYFUNCTION("""COMPUTED_VALUE"""),"GARRO JUAN OMAR")</f>
        <v>GARRO JUAN OMAR</v>
      </c>
      <c r="D1109" s="1" t="str">
        <f>IFERROR(__xludf.DUMMYFUNCTION("""COMPUTED_VALUE"""),"Reparaciones/Otros")</f>
        <v>Reparaciones/Otros</v>
      </c>
      <c r="E1109" s="1" t="str">
        <f>IFERROR(__xludf.DUMMYFUNCTION("""COMPUTED_VALUE"""),"RIVADAVIA Luciana")</f>
        <v>RIVADAVIA Luciana</v>
      </c>
      <c r="F1109" s="1" t="str">
        <f t="shared" si="1"/>
        <v>RIVADAVIA </v>
      </c>
      <c r="G1109" s="1" t="str">
        <f t="shared" si="2"/>
        <v>Luciana</v>
      </c>
      <c r="H1109" s="1" t="str">
        <f>IFERROR(__xludf.DUMMYFUNCTION("""COMPUTED_VALUE"""),"27/1/2023, 17:00:00")</f>
        <v>27/1/2023, 17:00:00</v>
      </c>
      <c r="I1109" s="1" t="str">
        <f>IFERROR(__xludf.DUMMYFUNCTION("""COMPUTED_VALUE"""),"Completado en SUCURSAL")</f>
        <v>Completado en SUCURSAL</v>
      </c>
      <c r="J1109" s="1">
        <f t="shared" si="3"/>
        <v>5</v>
      </c>
      <c r="K1109" s="1" t="str">
        <f t="shared" si="4"/>
        <v>Tus Lentes estan LISTAS PARA ENTREGAR, te esperamos.</v>
      </c>
    </row>
    <row r="1110">
      <c r="A1110" s="1">
        <f>IFERROR(__xludf.DUMMYFUNCTION("""COMPUTED_VALUE"""),85660.0)</f>
        <v>85660</v>
      </c>
      <c r="B1110" s="5">
        <f>IFERROR(__xludf.DUMMYFUNCTION("""COMPUTED_VALUE"""),44952.49968355324)</f>
        <v>44952.49968</v>
      </c>
      <c r="C1110" s="1" t="str">
        <f>IFERROR(__xludf.DUMMYFUNCTION("""COMPUTED_VALUE"""),"BARROSO SUSANA")</f>
        <v>BARROSO SUSANA</v>
      </c>
      <c r="D1110" s="1" t="str">
        <f>IFERROR(__xludf.DUMMYFUNCTION("""COMPUTED_VALUE"""),"Lentes de STOCK")</f>
        <v>Lentes de STOCK</v>
      </c>
      <c r="E1110" s="1" t="str">
        <f>IFERROR(__xludf.DUMMYFUNCTION("""COMPUTED_VALUE"""),"ARTIGAS Ivana P.")</f>
        <v>ARTIGAS Ivana P.</v>
      </c>
      <c r="F1110" s="1" t="str">
        <f t="shared" si="1"/>
        <v>ARTIGAS </v>
      </c>
      <c r="G1110" s="1" t="str">
        <f t="shared" si="2"/>
        <v>Ivana P.</v>
      </c>
      <c r="H1110" s="1" t="str">
        <f>IFERROR(__xludf.DUMMYFUNCTION("""COMPUTED_VALUE"""),"30/1/2023, 17:00:00")</f>
        <v>30/1/2023, 17:00:00</v>
      </c>
      <c r="I1110" s="1" t="str">
        <f>IFERROR(__xludf.DUMMYFUNCTION("""COMPUTED_VALUE"""),"RETIRADO OK POR CLIENTE")</f>
        <v>RETIRADO OK POR CLIENTE</v>
      </c>
      <c r="J1110" s="1">
        <f t="shared" si="3"/>
        <v>6</v>
      </c>
      <c r="K1110" s="1" t="str">
        <f t="shared" si="4"/>
        <v>Entregamos tus lentes, que los disfrutes!</v>
      </c>
    </row>
    <row r="1111">
      <c r="A1111" s="1">
        <f>IFERROR(__xludf.DUMMYFUNCTION("""COMPUTED_VALUE"""),85661.0)</f>
        <v>85661</v>
      </c>
      <c r="B1111" s="5">
        <f>IFERROR(__xludf.DUMMYFUNCTION("""COMPUTED_VALUE"""),44952.52919631945)</f>
        <v>44952.5292</v>
      </c>
      <c r="C1111" s="1" t="str">
        <f>IFERROR(__xludf.DUMMYFUNCTION("""COMPUTED_VALUE"""),"SANJURJO ENRIQUE")</f>
        <v>SANJURJO ENRIQUE</v>
      </c>
      <c r="D1111" s="1" t="str">
        <f>IFERROR(__xludf.DUMMYFUNCTION("""COMPUTED_VALUE"""),"Lentes de STOCK")</f>
        <v>Lentes de STOCK</v>
      </c>
      <c r="E1111" s="1" t="str">
        <f>IFERROR(__xludf.DUMMYFUNCTION("""COMPUTED_VALUE"""),"ARTIGAS Ivana P.")</f>
        <v>ARTIGAS Ivana P.</v>
      </c>
      <c r="F1111" s="1" t="str">
        <f t="shared" si="1"/>
        <v>ARTIGAS </v>
      </c>
      <c r="G1111" s="1" t="str">
        <f t="shared" si="2"/>
        <v>Ivana P.</v>
      </c>
      <c r="H1111" s="1" t="str">
        <f>IFERROR(__xludf.DUMMYFUNCTION("""COMPUTED_VALUE"""),"30/1/2023, 17:00:00")</f>
        <v>30/1/2023, 17:00:00</v>
      </c>
      <c r="I1111" s="1" t="str">
        <f>IFERROR(__xludf.DUMMYFUNCTION("""COMPUTED_VALUE"""),"Completado en SUCURSAL")</f>
        <v>Completado en SUCURSAL</v>
      </c>
      <c r="J1111" s="1">
        <f t="shared" si="3"/>
        <v>5</v>
      </c>
      <c r="K1111" s="1" t="str">
        <f t="shared" si="4"/>
        <v>Tus Lentes estan LISTAS PARA ENTREGAR, te esperamos.</v>
      </c>
    </row>
    <row r="1112">
      <c r="A1112" s="1">
        <f>IFERROR(__xludf.DUMMYFUNCTION("""COMPUTED_VALUE"""),85662.0)</f>
        <v>85662</v>
      </c>
      <c r="B1112" s="5">
        <f>IFERROR(__xludf.DUMMYFUNCTION("""COMPUTED_VALUE"""),44952.53323681713)</f>
        <v>44952.53324</v>
      </c>
      <c r="C1112" s="1" t="str">
        <f>IFERROR(__xludf.DUMMYFUNCTION("""COMPUTED_VALUE""")," LEDESMA ALEXIA")</f>
        <v> LEDESMA ALEXIA</v>
      </c>
      <c r="D1112" s="1" t="str">
        <f>IFERROR(__xludf.DUMMYFUNCTION("""COMPUTED_VALUE"""),"Lentes de STOCK")</f>
        <v>Lentes de STOCK</v>
      </c>
      <c r="E1112" s="1" t="str">
        <f>IFERROR(__xludf.DUMMYFUNCTION("""COMPUTED_VALUE"""),"ARTIGAS Cristian C.")</f>
        <v>ARTIGAS Cristian C.</v>
      </c>
      <c r="F1112" s="1" t="str">
        <f t="shared" si="1"/>
        <v>ARTIGAS </v>
      </c>
      <c r="G1112" s="1" t="str">
        <f t="shared" si="2"/>
        <v>Cristian C.</v>
      </c>
      <c r="H1112" s="1" t="str">
        <f>IFERROR(__xludf.DUMMYFUNCTION("""COMPUTED_VALUE"""),"2/2/2023, 17:00:00")</f>
        <v>2/2/2023, 17:00:00</v>
      </c>
      <c r="I1112" s="1" t="str">
        <f>IFERROR(__xludf.DUMMYFUNCTION("""COMPUTED_VALUE"""),"Completado en SUCURSAL")</f>
        <v>Completado en SUCURSAL</v>
      </c>
      <c r="J1112" s="1">
        <f t="shared" si="3"/>
        <v>5</v>
      </c>
      <c r="K1112" s="1" t="str">
        <f t="shared" si="4"/>
        <v>Tus Lentes estan LISTAS PARA ENTREGAR, te esperamos.</v>
      </c>
    </row>
    <row r="1113">
      <c r="A1113" s="1">
        <f>IFERROR(__xludf.DUMMYFUNCTION("""COMPUTED_VALUE"""),85663.0)</f>
        <v>85663</v>
      </c>
      <c r="B1113" s="5">
        <f>IFERROR(__xludf.DUMMYFUNCTION("""COMPUTED_VALUE"""),44952.54054689815)</f>
        <v>44952.54055</v>
      </c>
      <c r="C1113" s="1" t="str">
        <f>IFERROR(__xludf.DUMMYFUNCTION("""COMPUTED_VALUE"""),"CASTILLO BECERRA THOMAS ")</f>
        <v>CASTILLO BECERRA THOMAS </v>
      </c>
      <c r="D1113" s="1" t="str">
        <f>IFERROR(__xludf.DUMMYFUNCTION("""COMPUTED_VALUE"""),"Lentes de STOCK")</f>
        <v>Lentes de STOCK</v>
      </c>
      <c r="E1113" s="1" t="str">
        <f>IFERROR(__xludf.DUMMYFUNCTION("""COMPUTED_VALUE"""),"RIVADAVIA Luciana")</f>
        <v>RIVADAVIA Luciana</v>
      </c>
      <c r="F1113" s="1" t="str">
        <f t="shared" si="1"/>
        <v>RIVADAVIA </v>
      </c>
      <c r="G1113" s="1" t="str">
        <f t="shared" si="2"/>
        <v>Luciana</v>
      </c>
      <c r="H1113" s="1" t="str">
        <f>IFERROR(__xludf.DUMMYFUNCTION("""COMPUTED_VALUE"""),"1/2/2023, 17:00:00")</f>
        <v>1/2/2023, 17:00:00</v>
      </c>
      <c r="I1113" s="1" t="str">
        <f>IFERROR(__xludf.DUMMYFUNCTION("""COMPUTED_VALUE"""),"Completado en SUCURSAL")</f>
        <v>Completado en SUCURSAL</v>
      </c>
      <c r="J1113" s="1">
        <f t="shared" si="3"/>
        <v>5</v>
      </c>
      <c r="K1113" s="1" t="str">
        <f t="shared" si="4"/>
        <v>Tus Lentes estan LISTAS PARA ENTREGAR, te esperamos.</v>
      </c>
    </row>
    <row r="1114">
      <c r="A1114" s="1">
        <f>IFERROR(__xludf.DUMMYFUNCTION("""COMPUTED_VALUE"""),85664.0)</f>
        <v>85664</v>
      </c>
      <c r="B1114" s="5">
        <f>IFERROR(__xludf.DUMMYFUNCTION("""COMPUTED_VALUE"""),44952.54121119213)</f>
        <v>44952.54121</v>
      </c>
      <c r="C1114" s="1" t="str">
        <f>IFERROR(__xludf.DUMMYFUNCTION("""COMPUTED_VALUE"""),"PONCE RICARDO ANIBAL")</f>
        <v>PONCE RICARDO ANIBAL</v>
      </c>
      <c r="D1114" s="1" t="str">
        <f>IFERROR(__xludf.DUMMYFUNCTION("""COMPUTED_VALUE"""),"Lentes de STOCK")</f>
        <v>Lentes de STOCK</v>
      </c>
      <c r="E1114" s="1" t="str">
        <f>IFERROR(__xludf.DUMMYFUNCTION("""COMPUTED_VALUE"""),"RIVADAVIA Marcela L")</f>
        <v>RIVADAVIA Marcela L</v>
      </c>
      <c r="F1114" s="1" t="str">
        <f t="shared" si="1"/>
        <v>RIVADAVIA </v>
      </c>
      <c r="G1114" s="1" t="str">
        <f t="shared" si="2"/>
        <v>Marcela L</v>
      </c>
      <c r="H1114" s="1" t="str">
        <f>IFERROR(__xludf.DUMMYFUNCTION("""COMPUTED_VALUE"""),"30/1/2023, 17:00:00")</f>
        <v>30/1/2023, 17:00:00</v>
      </c>
      <c r="I1114" s="1" t="str">
        <f>IFERROR(__xludf.DUMMYFUNCTION("""COMPUTED_VALUE"""),"Completado en SUCURSAL")</f>
        <v>Completado en SUCURSAL</v>
      </c>
      <c r="J1114" s="1">
        <f t="shared" si="3"/>
        <v>5</v>
      </c>
      <c r="K1114" s="1" t="str">
        <f t="shared" si="4"/>
        <v>Tus Lentes estan LISTAS PARA ENTREGAR, te esperamos.</v>
      </c>
    </row>
    <row r="1115">
      <c r="A1115" s="1">
        <f>IFERROR(__xludf.DUMMYFUNCTION("""COMPUTED_VALUE"""),85665.0)</f>
        <v>85665</v>
      </c>
      <c r="B1115" s="5">
        <f>IFERROR(__xludf.DUMMYFUNCTION("""COMPUTED_VALUE"""),44952.56013716436)</f>
        <v>44952.56014</v>
      </c>
      <c r="C1115" s="1" t="str">
        <f>IFERROR(__xludf.DUMMYFUNCTION("""COMPUTED_VALUE"""),"MELISA PRODIND")</f>
        <v>MELISA PRODIND</v>
      </c>
      <c r="D1115" s="1" t="str">
        <f>IFERROR(__xludf.DUMMYFUNCTION("""COMPUTED_VALUE"""),"Lentes de STOCK")</f>
        <v>Lentes de STOCK</v>
      </c>
      <c r="E1115" s="1" t="str">
        <f>IFERROR(__xludf.DUMMYFUNCTION("""COMPUTED_VALUE"""),"ARTIGAS Ivana P.")</f>
        <v>ARTIGAS Ivana P.</v>
      </c>
      <c r="F1115" s="1" t="str">
        <f t="shared" si="1"/>
        <v>ARTIGAS </v>
      </c>
      <c r="G1115" s="1" t="str">
        <f t="shared" si="2"/>
        <v>Ivana P.</v>
      </c>
      <c r="H1115" s="1" t="str">
        <f>IFERROR(__xludf.DUMMYFUNCTION("""COMPUTED_VALUE"""),"30/1/2023, 17:00:00")</f>
        <v>30/1/2023, 17:00:00</v>
      </c>
      <c r="I1115" s="1" t="str">
        <f>IFERROR(__xludf.DUMMYFUNCTION("""COMPUTED_VALUE"""),"RETIRADO OK POR CLIENTE")</f>
        <v>RETIRADO OK POR CLIENTE</v>
      </c>
      <c r="J1115" s="1">
        <f t="shared" si="3"/>
        <v>6</v>
      </c>
      <c r="K1115" s="1" t="str">
        <f t="shared" si="4"/>
        <v>Entregamos tus lentes, que los disfrutes!</v>
      </c>
    </row>
    <row r="1116">
      <c r="A1116" s="1">
        <f>IFERROR(__xludf.DUMMYFUNCTION("""COMPUTED_VALUE"""),85666.0)</f>
        <v>85666</v>
      </c>
      <c r="B1116" s="5">
        <f>IFERROR(__xludf.DUMMYFUNCTION("""COMPUTED_VALUE"""),44952.717843032406)</f>
        <v>44952.71784</v>
      </c>
      <c r="C1116" s="1" t="str">
        <f>IFERROR(__xludf.DUMMYFUNCTION("""COMPUTED_VALUE"""),"URRICELQUI GUILLERMO")</f>
        <v>URRICELQUI GUILLERMO</v>
      </c>
      <c r="D1116" s="1" t="str">
        <f>IFERROR(__xludf.DUMMYFUNCTION("""COMPUTED_VALUE"""),"Reparaciones/Otros")</f>
        <v>Reparaciones/Otros</v>
      </c>
      <c r="E1116" s="1" t="str">
        <f>IFERROR(__xludf.DUMMYFUNCTION("""COMPUTED_VALUE"""),"RIVADAVIA Luciana")</f>
        <v>RIVADAVIA Luciana</v>
      </c>
      <c r="F1116" s="1" t="str">
        <f t="shared" si="1"/>
        <v>RIVADAVIA </v>
      </c>
      <c r="G1116" s="1" t="str">
        <f t="shared" si="2"/>
        <v>Luciana</v>
      </c>
      <c r="H1116" s="1" t="str">
        <f>IFERROR(__xludf.DUMMYFUNCTION("""COMPUTED_VALUE"""),"30/1/2023, 17:00:00")</f>
        <v>30/1/2023, 17:00:00</v>
      </c>
      <c r="I1116" s="1" t="str">
        <f>IFERROR(__xludf.DUMMYFUNCTION("""COMPUTED_VALUE"""),"Enviado a Sucursal")</f>
        <v>Enviado a Sucursal</v>
      </c>
      <c r="J1116" s="1">
        <f t="shared" si="3"/>
        <v>4</v>
      </c>
      <c r="K1116" s="1" t="str">
        <f t="shared" si="4"/>
        <v>Tus lentes estan viajando a la sucursal para su entrega.</v>
      </c>
    </row>
    <row r="1117">
      <c r="A1117" s="1">
        <f>IFERROR(__xludf.DUMMYFUNCTION("""COMPUTED_VALUE"""),85667.0)</f>
        <v>85667</v>
      </c>
      <c r="B1117" s="5">
        <f>IFERROR(__xludf.DUMMYFUNCTION("""COMPUTED_VALUE"""),44952.740881562495)</f>
        <v>44952.74088</v>
      </c>
      <c r="C1117" s="1" t="str">
        <f>IFERROR(__xludf.DUMMYFUNCTION("""COMPUTED_VALUE"""),"SILVINA VILLEGAS")</f>
        <v>SILVINA VILLEGAS</v>
      </c>
      <c r="D1117" s="1" t="str">
        <f>IFERROR(__xludf.DUMMYFUNCTION("""COMPUTED_VALUE"""),"Reparaciones/Otros")</f>
        <v>Reparaciones/Otros</v>
      </c>
      <c r="E1117" s="1" t="str">
        <f>IFERROR(__xludf.DUMMYFUNCTION("""COMPUTED_VALUE"""),"ARTIGAS Celina")</f>
        <v>ARTIGAS Celina</v>
      </c>
      <c r="F1117" s="1" t="str">
        <f t="shared" si="1"/>
        <v>ARTIGAS </v>
      </c>
      <c r="G1117" s="1" t="str">
        <f t="shared" si="2"/>
        <v>Celina</v>
      </c>
      <c r="H1117" s="1" t="str">
        <f>IFERROR(__xludf.DUMMYFUNCTION("""COMPUTED_VALUE"""),"27/1/2023, 17:00:00")</f>
        <v>27/1/2023, 17:00:00</v>
      </c>
      <c r="I1117" s="1" t="str">
        <f>IFERROR(__xludf.DUMMYFUNCTION("""COMPUTED_VALUE"""),"Completado en SUCURSAL")</f>
        <v>Completado en SUCURSAL</v>
      </c>
      <c r="J1117" s="1">
        <f t="shared" si="3"/>
        <v>5</v>
      </c>
      <c r="K1117" s="1" t="str">
        <f t="shared" si="4"/>
        <v>Tus Lentes estan LISTAS PARA ENTREGAR, te esperamos.</v>
      </c>
    </row>
    <row r="1118">
      <c r="A1118" s="1">
        <f>IFERROR(__xludf.DUMMYFUNCTION("""COMPUTED_VALUE"""),85668.0)</f>
        <v>85668</v>
      </c>
      <c r="B1118" s="5">
        <f>IFERROR(__xludf.DUMMYFUNCTION("""COMPUTED_VALUE"""),44952.75869582176)</f>
        <v>44952.7587</v>
      </c>
      <c r="C1118" s="1" t="str">
        <f>IFERROR(__xludf.DUMMYFUNCTION("""COMPUTED_VALUE"""),"ROMERO ARIEL")</f>
        <v>ROMERO ARIEL</v>
      </c>
      <c r="D1118" s="1" t="str">
        <f>IFERROR(__xludf.DUMMYFUNCTION("""COMPUTED_VALUE"""),"Reparaciones/Otros")</f>
        <v>Reparaciones/Otros</v>
      </c>
      <c r="E1118" s="1" t="str">
        <f>IFERROR(__xludf.DUMMYFUNCTION("""COMPUTED_VALUE"""),"ARTIGAS Ivana P.")</f>
        <v>ARTIGAS Ivana P.</v>
      </c>
      <c r="F1118" s="1" t="str">
        <f t="shared" si="1"/>
        <v>ARTIGAS </v>
      </c>
      <c r="G1118" s="1" t="str">
        <f t="shared" si="2"/>
        <v>Ivana P.</v>
      </c>
      <c r="H1118" s="1" t="str">
        <f>IFERROR(__xludf.DUMMYFUNCTION("""COMPUTED_VALUE"""),"30/1/2023, 17:00:00")</f>
        <v>30/1/2023, 17:00:00</v>
      </c>
      <c r="I1118" s="1" t="str">
        <f>IFERROR(__xludf.DUMMYFUNCTION("""COMPUTED_VALUE"""),"Completado en SUCURSAL")</f>
        <v>Completado en SUCURSAL</v>
      </c>
      <c r="J1118" s="1">
        <f t="shared" si="3"/>
        <v>5</v>
      </c>
      <c r="K1118" s="1" t="str">
        <f t="shared" si="4"/>
        <v>Tus Lentes estan LISTAS PARA ENTREGAR, te esperamos.</v>
      </c>
    </row>
    <row r="1119">
      <c r="A1119" s="1">
        <f>IFERROR(__xludf.DUMMYFUNCTION("""COMPUTED_VALUE"""),85669.0)</f>
        <v>85669</v>
      </c>
      <c r="B1119" s="5">
        <f>IFERROR(__xludf.DUMMYFUNCTION("""COMPUTED_VALUE"""),44952.76218252315)</f>
        <v>44952.76218</v>
      </c>
      <c r="C1119" s="1" t="str">
        <f>IFERROR(__xludf.DUMMYFUNCTION("""COMPUTED_VALUE"""),"MOLINA JUAN ")</f>
        <v>MOLINA JUAN </v>
      </c>
      <c r="D1119" s="1" t="str">
        <f>IFERROR(__xludf.DUMMYFUNCTION("""COMPUTED_VALUE"""),"Reparaciones/Otros")</f>
        <v>Reparaciones/Otros</v>
      </c>
      <c r="E1119" s="1" t="str">
        <f>IFERROR(__xludf.DUMMYFUNCTION("""COMPUTED_VALUE"""),"ARTIGAS Celina")</f>
        <v>ARTIGAS Celina</v>
      </c>
      <c r="F1119" s="1" t="str">
        <f t="shared" si="1"/>
        <v>ARTIGAS </v>
      </c>
      <c r="G1119" s="1" t="str">
        <f t="shared" si="2"/>
        <v>Celina</v>
      </c>
      <c r="H1119" s="1" t="str">
        <f>IFERROR(__xludf.DUMMYFUNCTION("""COMPUTED_VALUE"""),"30/1/2023, 17:00:00")</f>
        <v>30/1/2023, 17:00:00</v>
      </c>
      <c r="I1119" s="1" t="str">
        <f>IFERROR(__xludf.DUMMYFUNCTION("""COMPUTED_VALUE"""),"Completado en SUCURSAL")</f>
        <v>Completado en SUCURSAL</v>
      </c>
      <c r="J1119" s="1">
        <f t="shared" si="3"/>
        <v>5</v>
      </c>
      <c r="K1119" s="1" t="str">
        <f t="shared" si="4"/>
        <v>Tus Lentes estan LISTAS PARA ENTREGAR, te esperamos.</v>
      </c>
    </row>
    <row r="1120">
      <c r="A1120" s="1">
        <f>IFERROR(__xludf.DUMMYFUNCTION("""COMPUTED_VALUE"""),85670.0)</f>
        <v>85670</v>
      </c>
      <c r="B1120" s="5">
        <f>IFERROR(__xludf.DUMMYFUNCTION("""COMPUTED_VALUE"""),44952.76856986111)</f>
        <v>44952.76857</v>
      </c>
      <c r="C1120" s="1" t="str">
        <f>IFERROR(__xludf.DUMMYFUNCTION("""COMPUTED_VALUE"""),"MARTINEZ OSCAR ALFREDO")</f>
        <v>MARTINEZ OSCAR ALFREDO</v>
      </c>
      <c r="D1120" s="1" t="str">
        <f>IFERROR(__xludf.DUMMYFUNCTION("""COMPUTED_VALUE"""),"Lentes de STOCK")</f>
        <v>Lentes de STOCK</v>
      </c>
      <c r="E1120" s="1" t="str">
        <f>IFERROR(__xludf.DUMMYFUNCTION("""COMPUTED_VALUE"""),"RIVADAVIA Santiago LOPEZ")</f>
        <v>RIVADAVIA Santiago LOPEZ</v>
      </c>
      <c r="F1120" s="1" t="str">
        <f t="shared" si="1"/>
        <v>RIVADAVIA </v>
      </c>
      <c r="G1120" s="1" t="str">
        <f t="shared" si="2"/>
        <v>Santiago LOPEZ</v>
      </c>
      <c r="H1120" s="1" t="str">
        <f>IFERROR(__xludf.DUMMYFUNCTION("""COMPUTED_VALUE"""),"30/1/2023, 17:00:00")</f>
        <v>30/1/2023, 17:00:00</v>
      </c>
      <c r="I1120" s="1" t="str">
        <f>IFERROR(__xludf.DUMMYFUNCTION("""COMPUTED_VALUE"""),"RETIRADO OK POR CLIENTE")</f>
        <v>RETIRADO OK POR CLIENTE</v>
      </c>
      <c r="J1120" s="1">
        <f t="shared" si="3"/>
        <v>6</v>
      </c>
      <c r="K1120" s="1" t="str">
        <f t="shared" si="4"/>
        <v>Entregamos tus lentes, que los disfrutes!</v>
      </c>
    </row>
    <row r="1121">
      <c r="A1121" s="1">
        <f>IFERROR(__xludf.DUMMYFUNCTION("""COMPUTED_VALUE"""),85671.0)</f>
        <v>85671</v>
      </c>
      <c r="B1121" s="5">
        <f>IFERROR(__xludf.DUMMYFUNCTION("""COMPUTED_VALUE"""),44952.77463917824)</f>
        <v>44952.77464</v>
      </c>
      <c r="C1121" s="1" t="str">
        <f>IFERROR(__xludf.DUMMYFUNCTION("""COMPUTED_VALUE"""),"PALLERO MARIA ESTER")</f>
        <v>PALLERO MARIA ESTER</v>
      </c>
      <c r="D1121" s="1" t="str">
        <f>IFERROR(__xludf.DUMMYFUNCTION("""COMPUTED_VALUE"""),"Lentes de STOCK")</f>
        <v>Lentes de STOCK</v>
      </c>
      <c r="E1121" s="1" t="str">
        <f>IFERROR(__xludf.DUMMYFUNCTION("""COMPUTED_VALUE"""),"ARTIGAS Ivana P.")</f>
        <v>ARTIGAS Ivana P.</v>
      </c>
      <c r="F1121" s="1" t="str">
        <f t="shared" si="1"/>
        <v>ARTIGAS </v>
      </c>
      <c r="G1121" s="1" t="str">
        <f t="shared" si="2"/>
        <v>Ivana P.</v>
      </c>
      <c r="H1121" s="1" t="str">
        <f>IFERROR(__xludf.DUMMYFUNCTION("""COMPUTED_VALUE"""),"30/1/2023, 17:00:00")</f>
        <v>30/1/2023, 17:00:00</v>
      </c>
      <c r="I1121" s="1" t="str">
        <f>IFERROR(__xludf.DUMMYFUNCTION("""COMPUTED_VALUE"""),"Completado en SUCURSAL")</f>
        <v>Completado en SUCURSAL</v>
      </c>
      <c r="J1121" s="1">
        <f t="shared" si="3"/>
        <v>5</v>
      </c>
      <c r="K1121" s="1" t="str">
        <f t="shared" si="4"/>
        <v>Tus Lentes estan LISTAS PARA ENTREGAR, te esperamos.</v>
      </c>
    </row>
    <row r="1122">
      <c r="A1122" s="1">
        <f>IFERROR(__xludf.DUMMYFUNCTION("""COMPUTED_VALUE"""),85672.0)</f>
        <v>85672</v>
      </c>
      <c r="B1122" s="5">
        <f>IFERROR(__xludf.DUMMYFUNCTION("""COMPUTED_VALUE"""),44952.77654111111)</f>
        <v>44952.77654</v>
      </c>
      <c r="C1122" s="1" t="str">
        <f>IFERROR(__xludf.DUMMYFUNCTION("""COMPUTED_VALUE"""),"JOFRE RAUL")</f>
        <v>JOFRE RAUL</v>
      </c>
      <c r="D1122" s="1" t="str">
        <f>IFERROR(__xludf.DUMMYFUNCTION("""COMPUTED_VALUE"""),"Reparaciones/Otros")</f>
        <v>Reparaciones/Otros</v>
      </c>
      <c r="E1122" s="1" t="str">
        <f>IFERROR(__xludf.DUMMYFUNCTION("""COMPUTED_VALUE"""),"ARTIGAS Cristian C.")</f>
        <v>ARTIGAS Cristian C.</v>
      </c>
      <c r="F1122" s="1" t="str">
        <f t="shared" si="1"/>
        <v>ARTIGAS </v>
      </c>
      <c r="G1122" s="1" t="str">
        <f t="shared" si="2"/>
        <v>Cristian C.</v>
      </c>
      <c r="H1122" s="1" t="str">
        <f>IFERROR(__xludf.DUMMYFUNCTION("""COMPUTED_VALUE"""),"31/1/2023, 17:00:00")</f>
        <v>31/1/2023, 17:00:00</v>
      </c>
      <c r="I1122" s="1" t="str">
        <f>IFERROR(__xludf.DUMMYFUNCTION("""COMPUTED_VALUE"""),"En Armado Hoy")</f>
        <v>En Armado Hoy</v>
      </c>
      <c r="J1122" s="1">
        <f t="shared" si="3"/>
        <v>3</v>
      </c>
      <c r="K1122" s="1" t="str">
        <f t="shared" si="4"/>
        <v>Estamos terminando los ultimos detalles de tus lentes, los terminaremos el dia de hoy.</v>
      </c>
    </row>
    <row r="1123">
      <c r="A1123" s="1">
        <f>IFERROR(__xludf.DUMMYFUNCTION("""COMPUTED_VALUE"""),85673.0)</f>
        <v>85673</v>
      </c>
      <c r="B1123" s="5">
        <f>IFERROR(__xludf.DUMMYFUNCTION("""COMPUTED_VALUE"""),44952.79029938657)</f>
        <v>44952.7903</v>
      </c>
      <c r="C1123" s="1" t="str">
        <f>IFERROR(__xludf.DUMMYFUNCTION("""COMPUTED_VALUE"""),"LOMORO MARIA")</f>
        <v>LOMORO MARIA</v>
      </c>
      <c r="D1123" s="1" t="str">
        <f>IFERROR(__xludf.DUMMYFUNCTION("""COMPUTED_VALUE"""),"Lentes de STOCK")</f>
        <v>Lentes de STOCK</v>
      </c>
      <c r="E1123" s="1" t="str">
        <f>IFERROR(__xludf.DUMMYFUNCTION("""COMPUTED_VALUE"""),"RIVADAVIA Javier")</f>
        <v>RIVADAVIA Javier</v>
      </c>
      <c r="F1123" s="1" t="str">
        <f t="shared" si="1"/>
        <v>RIVADAVIA </v>
      </c>
      <c r="G1123" s="1" t="str">
        <f t="shared" si="2"/>
        <v>Javier</v>
      </c>
      <c r="H1123" s="1" t="str">
        <f>IFERROR(__xludf.DUMMYFUNCTION("""COMPUTED_VALUE"""),"1/2/2023, 17:00:00")</f>
        <v>1/2/2023, 17:00:00</v>
      </c>
      <c r="I1123" s="1" t="str">
        <f>IFERROR(__xludf.DUMMYFUNCTION("""COMPUTED_VALUE"""),"RETIRADO OK POR CLIENTE")</f>
        <v>RETIRADO OK POR CLIENTE</v>
      </c>
      <c r="J1123" s="1">
        <f t="shared" si="3"/>
        <v>6</v>
      </c>
      <c r="K1123" s="1" t="str">
        <f t="shared" si="4"/>
        <v>Entregamos tus lentes, que los disfrutes!</v>
      </c>
    </row>
    <row r="1124">
      <c r="A1124" s="1">
        <f>IFERROR(__xludf.DUMMYFUNCTION("""COMPUTED_VALUE"""),85674.0)</f>
        <v>85674</v>
      </c>
      <c r="B1124" s="5">
        <f>IFERROR(__xludf.DUMMYFUNCTION("""COMPUTED_VALUE"""),44952.79608266204)</f>
        <v>44952.79608</v>
      </c>
      <c r="C1124" s="1" t="str">
        <f>IFERROR(__xludf.DUMMYFUNCTION("""COMPUTED_VALUE"""),"AVERSA FABRIZZIO")</f>
        <v>AVERSA FABRIZZIO</v>
      </c>
      <c r="D1124" s="1" t="str">
        <f>IFERROR(__xludf.DUMMYFUNCTION("""COMPUTED_VALUE"""),"Lentes de STOCK")</f>
        <v>Lentes de STOCK</v>
      </c>
      <c r="E1124" s="1" t="str">
        <f>IFERROR(__xludf.DUMMYFUNCTION("""COMPUTED_VALUE"""),"ARTIGAS Ivana P.")</f>
        <v>ARTIGAS Ivana P.</v>
      </c>
      <c r="F1124" s="1" t="str">
        <f t="shared" si="1"/>
        <v>ARTIGAS </v>
      </c>
      <c r="G1124" s="1" t="str">
        <f t="shared" si="2"/>
        <v>Ivana P.</v>
      </c>
      <c r="H1124" s="1" t="str">
        <f>IFERROR(__xludf.DUMMYFUNCTION("""COMPUTED_VALUE"""),"31/1/2023, 17:00:00")</f>
        <v>31/1/2023, 17:00:00</v>
      </c>
      <c r="I1124" s="1" t="str">
        <f>IFERROR(__xludf.DUMMYFUNCTION("""COMPUTED_VALUE"""),"Completado en SUCURSAL")</f>
        <v>Completado en SUCURSAL</v>
      </c>
      <c r="J1124" s="1">
        <f t="shared" si="3"/>
        <v>5</v>
      </c>
      <c r="K1124" s="1" t="str">
        <f t="shared" si="4"/>
        <v>Tus Lentes estan LISTAS PARA ENTREGAR, te esperamos.</v>
      </c>
    </row>
    <row r="1125">
      <c r="A1125" s="1">
        <f>IFERROR(__xludf.DUMMYFUNCTION("""COMPUTED_VALUE"""),85675.0)</f>
        <v>85675</v>
      </c>
      <c r="B1125" s="5">
        <f>IFERROR(__xludf.DUMMYFUNCTION("""COMPUTED_VALUE"""),44952.802364999996)</f>
        <v>44952.80237</v>
      </c>
      <c r="C1125" s="1" t="str">
        <f>IFERROR(__xludf.DUMMYFUNCTION("""COMPUTED_VALUE"""),"ALBINO LUIS")</f>
        <v>ALBINO LUIS</v>
      </c>
      <c r="D1125" s="1" t="str">
        <f>IFERROR(__xludf.DUMMYFUNCTION("""COMPUTED_VALUE"""),"Lentes de STOCK")</f>
        <v>Lentes de STOCK</v>
      </c>
      <c r="E1125" s="1" t="str">
        <f>IFERROR(__xludf.DUMMYFUNCTION("""COMPUTED_VALUE"""),"ARTIGAS Ivana P.")</f>
        <v>ARTIGAS Ivana P.</v>
      </c>
      <c r="F1125" s="1" t="str">
        <f t="shared" si="1"/>
        <v>ARTIGAS </v>
      </c>
      <c r="G1125" s="1" t="str">
        <f t="shared" si="2"/>
        <v>Ivana P.</v>
      </c>
      <c r="H1125" s="1" t="str">
        <f>IFERROR(__xludf.DUMMYFUNCTION("""COMPUTED_VALUE"""),"31/1/2023, 17:00:00")</f>
        <v>31/1/2023, 17:00:00</v>
      </c>
      <c r="I1125" s="1" t="str">
        <f>IFERROR(__xludf.DUMMYFUNCTION("""COMPUTED_VALUE"""),"RETIRADO OK POR CLIENTE")</f>
        <v>RETIRADO OK POR CLIENTE</v>
      </c>
      <c r="J1125" s="1">
        <f t="shared" si="3"/>
        <v>6</v>
      </c>
      <c r="K1125" s="1" t="str">
        <f t="shared" si="4"/>
        <v>Entregamos tus lentes, que los disfrutes!</v>
      </c>
    </row>
    <row r="1126">
      <c r="A1126" s="1">
        <f>IFERROR(__xludf.DUMMYFUNCTION("""COMPUTED_VALUE"""),85676.0)</f>
        <v>85676</v>
      </c>
      <c r="B1126" s="5">
        <f>IFERROR(__xludf.DUMMYFUNCTION("""COMPUTED_VALUE"""),44952.80237784723)</f>
        <v>44952.80238</v>
      </c>
      <c r="C1126" s="1" t="str">
        <f>IFERROR(__xludf.DUMMYFUNCTION("""COMPUTED_VALUE"""),"TORRES ALDANA ")</f>
        <v>TORRES ALDANA </v>
      </c>
      <c r="D1126" s="1" t="str">
        <f>IFERROR(__xludf.DUMMYFUNCTION("""COMPUTED_VALUE"""),"Lentes de LABORATORIO")</f>
        <v>Lentes de LABORATORIO</v>
      </c>
      <c r="E1126" s="1" t="str">
        <f>IFERROR(__xludf.DUMMYFUNCTION("""COMPUTED_VALUE"""),"ARTIGAS Cristian C.")</f>
        <v>ARTIGAS Cristian C.</v>
      </c>
      <c r="F1126" s="1" t="str">
        <f t="shared" si="1"/>
        <v>ARTIGAS </v>
      </c>
      <c r="G1126" s="1" t="str">
        <f t="shared" si="2"/>
        <v>Cristian C.</v>
      </c>
      <c r="H1126" s="1" t="str">
        <f>IFERROR(__xludf.DUMMYFUNCTION("""COMPUTED_VALUE"""),"9/2/2023, 17:00:00")</f>
        <v>9/2/2023, 17:00:00</v>
      </c>
      <c r="I1126" s="1" t="str">
        <f>IFERROR(__xludf.DUMMYFUNCTION("""COMPUTED_VALUE"""),"RETIRADO OK POR CLIENTE")</f>
        <v>RETIRADO OK POR CLIENTE</v>
      </c>
      <c r="J1126" s="1">
        <f t="shared" si="3"/>
        <v>6</v>
      </c>
      <c r="K1126" s="1" t="str">
        <f t="shared" si="4"/>
        <v>Entregamos tus lentes, que los disfrutes!</v>
      </c>
    </row>
    <row r="1127">
      <c r="A1127" s="1">
        <f>IFERROR(__xludf.DUMMYFUNCTION("""COMPUTED_VALUE"""),85677.0)</f>
        <v>85677</v>
      </c>
      <c r="B1127" s="5">
        <f>IFERROR(__xludf.DUMMYFUNCTION("""COMPUTED_VALUE"""),44952.831227256946)</f>
        <v>44952.83123</v>
      </c>
      <c r="C1127" s="1" t="str">
        <f>IFERROR(__xludf.DUMMYFUNCTION("""COMPUTED_VALUE"""),"PUERTAS OLGA")</f>
        <v>PUERTAS OLGA</v>
      </c>
      <c r="D1127" s="1" t="str">
        <f>IFERROR(__xludf.DUMMYFUNCTION("""COMPUTED_VALUE"""),"Reparaciones/Otros")</f>
        <v>Reparaciones/Otros</v>
      </c>
      <c r="E1127" s="1" t="str">
        <f>IFERROR(__xludf.DUMMYFUNCTION("""COMPUTED_VALUE"""),"ARTIGAS Ivana P.")</f>
        <v>ARTIGAS Ivana P.</v>
      </c>
      <c r="F1127" s="1" t="str">
        <f t="shared" si="1"/>
        <v>ARTIGAS </v>
      </c>
      <c r="G1127" s="1" t="str">
        <f t="shared" si="2"/>
        <v>Ivana P.</v>
      </c>
      <c r="H1127" s="1" t="str">
        <f>IFERROR(__xludf.DUMMYFUNCTION("""COMPUTED_VALUE"""),"27/1/2023, 17:00:00")</f>
        <v>27/1/2023, 17:00:00</v>
      </c>
      <c r="I1127" s="1" t="str">
        <f>IFERROR(__xludf.DUMMYFUNCTION("""COMPUTED_VALUE"""),"Completado en SUCURSAL")</f>
        <v>Completado en SUCURSAL</v>
      </c>
      <c r="J1127" s="1">
        <f t="shared" si="3"/>
        <v>5</v>
      </c>
      <c r="K1127" s="1" t="str">
        <f t="shared" si="4"/>
        <v>Tus Lentes estan LISTAS PARA ENTREGAR, te esperamos.</v>
      </c>
    </row>
    <row r="1128">
      <c r="A1128" s="1">
        <f>IFERROR(__xludf.DUMMYFUNCTION("""COMPUTED_VALUE"""),85678.0)</f>
        <v>85678</v>
      </c>
      <c r="B1128" s="5">
        <f>IFERROR(__xludf.DUMMYFUNCTION("""COMPUTED_VALUE"""),44952.84490311342)</f>
        <v>44952.8449</v>
      </c>
      <c r="C1128" s="1" t="str">
        <f>IFERROR(__xludf.DUMMYFUNCTION("""COMPUTED_VALUE"""),"ARROYUELO ARIEL")</f>
        <v>ARROYUELO ARIEL</v>
      </c>
      <c r="D1128" s="1" t="str">
        <f>IFERROR(__xludf.DUMMYFUNCTION("""COMPUTED_VALUE"""),"Lentes de STOCK")</f>
        <v>Lentes de STOCK</v>
      </c>
      <c r="E1128" s="1" t="str">
        <f>IFERROR(__xludf.DUMMYFUNCTION("""COMPUTED_VALUE"""),"RIVADAVIA Luciana")</f>
        <v>RIVADAVIA Luciana</v>
      </c>
      <c r="F1128" s="1" t="str">
        <f t="shared" si="1"/>
        <v>RIVADAVIA </v>
      </c>
      <c r="G1128" s="1" t="str">
        <f t="shared" si="2"/>
        <v>Luciana</v>
      </c>
      <c r="H1128" s="1" t="str">
        <f>IFERROR(__xludf.DUMMYFUNCTION("""COMPUTED_VALUE"""),"1/2/2023, 17:00:00")</f>
        <v>1/2/2023, 17:00:00</v>
      </c>
      <c r="I1128" s="1" t="str">
        <f>IFERROR(__xludf.DUMMYFUNCTION("""COMPUTED_VALUE"""),"Completado en SUCURSAL")</f>
        <v>Completado en SUCURSAL</v>
      </c>
      <c r="J1128" s="1">
        <f t="shared" si="3"/>
        <v>5</v>
      </c>
      <c r="K1128" s="1" t="str">
        <f t="shared" si="4"/>
        <v>Tus Lentes estan LISTAS PARA ENTREGAR, te esperamos.</v>
      </c>
    </row>
    <row r="1129">
      <c r="A1129" s="1">
        <f>IFERROR(__xludf.DUMMYFUNCTION("""COMPUTED_VALUE"""),85679.0)</f>
        <v>85679</v>
      </c>
      <c r="B1129" s="5">
        <f>IFERROR(__xludf.DUMMYFUNCTION("""COMPUTED_VALUE"""),44952.86167402778)</f>
        <v>44952.86167</v>
      </c>
      <c r="C1129" s="1" t="str">
        <f>IFERROR(__xludf.DUMMYFUNCTION("""COMPUTED_VALUE"""),"rosso gachy")</f>
        <v>rosso gachy</v>
      </c>
      <c r="D1129" s="1" t="str">
        <f>IFERROR(__xludf.DUMMYFUNCTION("""COMPUTED_VALUE"""),"Lentes de STOCK")</f>
        <v>Lentes de STOCK</v>
      </c>
      <c r="E1129" s="1" t="str">
        <f>IFERROR(__xludf.DUMMYFUNCTION("""COMPUTED_VALUE"""),"RIVADAVIA Santiago N")</f>
        <v>RIVADAVIA Santiago N</v>
      </c>
      <c r="F1129" s="1" t="str">
        <f t="shared" si="1"/>
        <v>RIVADAVIA </v>
      </c>
      <c r="G1129" s="1" t="str">
        <f t="shared" si="2"/>
        <v>Santiago N</v>
      </c>
      <c r="H1129" s="1" t="str">
        <f>IFERROR(__xludf.DUMMYFUNCTION("""COMPUTED_VALUE"""),"28/1/2023, 17:00:00")</f>
        <v>28/1/2023, 17:00:00</v>
      </c>
      <c r="I1129" s="1" t="str">
        <f>IFERROR(__xludf.DUMMYFUNCTION("""COMPUTED_VALUE"""),"RETIRADO OK POR CLIENTE")</f>
        <v>RETIRADO OK POR CLIENTE</v>
      </c>
      <c r="J1129" s="1">
        <f t="shared" si="3"/>
        <v>6</v>
      </c>
      <c r="K1129" s="1" t="str">
        <f t="shared" si="4"/>
        <v>Entregamos tus lentes, que los disfrutes!</v>
      </c>
    </row>
    <row r="1130">
      <c r="A1130" s="1">
        <f>IFERROR(__xludf.DUMMYFUNCTION("""COMPUTED_VALUE"""),85680.0)</f>
        <v>85680</v>
      </c>
      <c r="B1130" s="5">
        <f>IFERROR(__xludf.DUMMYFUNCTION("""COMPUTED_VALUE"""),44953.377981990736)</f>
        <v>44953.37798</v>
      </c>
      <c r="C1130" s="1" t="str">
        <f>IFERROR(__xludf.DUMMYFUNCTION("""COMPUTED_VALUE"""),"otero juan carlos")</f>
        <v>otero juan carlos</v>
      </c>
      <c r="D1130" s="1" t="str">
        <f>IFERROR(__xludf.DUMMYFUNCTION("""COMPUTED_VALUE"""),"Reparaciones/Otros")</f>
        <v>Reparaciones/Otros</v>
      </c>
      <c r="E1130" s="1" t="str">
        <f>IFERROR(__xludf.DUMMYFUNCTION("""COMPUTED_VALUE"""),"RIVADAVIA Daniel CM")</f>
        <v>RIVADAVIA Daniel CM</v>
      </c>
      <c r="F1130" s="1" t="str">
        <f t="shared" si="1"/>
        <v>RIVADAVIA </v>
      </c>
      <c r="G1130" s="1" t="str">
        <f t="shared" si="2"/>
        <v>Daniel CM</v>
      </c>
      <c r="H1130" s="1" t="str">
        <f>IFERROR(__xludf.DUMMYFUNCTION("""COMPUTED_VALUE"""),"28/1/2023, 17:00:00")</f>
        <v>28/1/2023, 17:00:00</v>
      </c>
      <c r="I1130" s="1" t="str">
        <f>IFERROR(__xludf.DUMMYFUNCTION("""COMPUTED_VALUE"""),"Recibido en Laboratorio")</f>
        <v>Recibido en Laboratorio</v>
      </c>
      <c r="J1130" s="1">
        <f t="shared" si="3"/>
        <v>2</v>
      </c>
      <c r="K1130" s="1" t="str">
        <f t="shared" si="4"/>
        <v>Nuestro Laboratorio esta trabajando en tus lentes, los entregaremos en la fecha acordada.</v>
      </c>
    </row>
    <row r="1131">
      <c r="A1131" s="1">
        <f>IFERROR(__xludf.DUMMYFUNCTION("""COMPUTED_VALUE"""),85681.0)</f>
        <v>85681</v>
      </c>
      <c r="B1131" s="5">
        <f>IFERROR(__xludf.DUMMYFUNCTION("""COMPUTED_VALUE"""),44953.38103434027)</f>
        <v>44953.38103</v>
      </c>
      <c r="C1131" s="1" t="str">
        <f>IFERROR(__xludf.DUMMYFUNCTION("""COMPUTED_VALUE"""),"SOSA LIDIO")</f>
        <v>SOSA LIDIO</v>
      </c>
      <c r="D1131" s="1" t="str">
        <f>IFERROR(__xludf.DUMMYFUNCTION("""COMPUTED_VALUE"""),"Reparaciones/Otros")</f>
        <v>Reparaciones/Otros</v>
      </c>
      <c r="E1131" s="1" t="str">
        <f>IFERROR(__xludf.DUMMYFUNCTION("""COMPUTED_VALUE"""),"ARTIGAS Ivana P.")</f>
        <v>ARTIGAS Ivana P.</v>
      </c>
      <c r="F1131" s="1" t="str">
        <f t="shared" si="1"/>
        <v>ARTIGAS </v>
      </c>
      <c r="G1131" s="1" t="str">
        <f t="shared" si="2"/>
        <v>Ivana P.</v>
      </c>
      <c r="H1131" s="1" t="str">
        <f>IFERROR(__xludf.DUMMYFUNCTION("""COMPUTED_VALUE"""),"30/1/2023, 17:00:00")</f>
        <v>30/1/2023, 17:00:00</v>
      </c>
      <c r="I1131" s="1" t="str">
        <f>IFERROR(__xludf.DUMMYFUNCTION("""COMPUTED_VALUE"""),"Completado en SUCURSAL")</f>
        <v>Completado en SUCURSAL</v>
      </c>
      <c r="J1131" s="1">
        <f t="shared" si="3"/>
        <v>5</v>
      </c>
      <c r="K1131" s="1" t="str">
        <f t="shared" si="4"/>
        <v>Tus Lentes estan LISTAS PARA ENTREGAR, te esperamos.</v>
      </c>
    </row>
    <row r="1132">
      <c r="A1132" s="1">
        <f>IFERROR(__xludf.DUMMYFUNCTION("""COMPUTED_VALUE"""),85682.0)</f>
        <v>85682</v>
      </c>
      <c r="B1132" s="5">
        <f>IFERROR(__xludf.DUMMYFUNCTION("""COMPUTED_VALUE"""),44953.40059305556)</f>
        <v>44953.40059</v>
      </c>
      <c r="C1132" s="1" t="str">
        <f>IFERROR(__xludf.DUMMYFUNCTION("""COMPUTED_VALUE"""),"ALBORNOZ SANDRA")</f>
        <v>ALBORNOZ SANDRA</v>
      </c>
      <c r="D1132" s="1" t="str">
        <f>IFERROR(__xludf.DUMMYFUNCTION("""COMPUTED_VALUE"""),"Lentes de STOCK")</f>
        <v>Lentes de STOCK</v>
      </c>
      <c r="E1132" s="1" t="str">
        <f>IFERROR(__xludf.DUMMYFUNCTION("""COMPUTED_VALUE"""),"ARTIGAS Ivana P.")</f>
        <v>ARTIGAS Ivana P.</v>
      </c>
      <c r="F1132" s="1" t="str">
        <f t="shared" si="1"/>
        <v>ARTIGAS </v>
      </c>
      <c r="G1132" s="1" t="str">
        <f t="shared" si="2"/>
        <v>Ivana P.</v>
      </c>
      <c r="H1132" s="1" t="str">
        <f>IFERROR(__xludf.DUMMYFUNCTION("""COMPUTED_VALUE"""),"1/2/2023, 17:00:00")</f>
        <v>1/2/2023, 17:00:00</v>
      </c>
      <c r="I1132" s="1" t="str">
        <f>IFERROR(__xludf.DUMMYFUNCTION("""COMPUTED_VALUE"""),"RETIRADO OK POR CLIENTE")</f>
        <v>RETIRADO OK POR CLIENTE</v>
      </c>
      <c r="J1132" s="1">
        <f t="shared" si="3"/>
        <v>6</v>
      </c>
      <c r="K1132" s="1" t="str">
        <f t="shared" si="4"/>
        <v>Entregamos tus lentes, que los disfrutes!</v>
      </c>
    </row>
    <row r="1133">
      <c r="A1133" s="1">
        <f>IFERROR(__xludf.DUMMYFUNCTION("""COMPUTED_VALUE"""),85683.0)</f>
        <v>85683</v>
      </c>
      <c r="B1133" s="5">
        <f>IFERROR(__xludf.DUMMYFUNCTION("""COMPUTED_VALUE"""),44953.40352530092)</f>
        <v>44953.40353</v>
      </c>
      <c r="C1133" s="1" t="str">
        <f>IFERROR(__xludf.DUMMYFUNCTION("""COMPUTED_VALUE"""),"TOLEDO LUIS")</f>
        <v>TOLEDO LUIS</v>
      </c>
      <c r="D1133" s="1" t="str">
        <f>IFERROR(__xludf.DUMMYFUNCTION("""COMPUTED_VALUE"""),"Lentes de STOCK")</f>
        <v>Lentes de STOCK</v>
      </c>
      <c r="E1133" s="1" t="str">
        <f>IFERROR(__xludf.DUMMYFUNCTION("""COMPUTED_VALUE"""),"ARTIGAS Ivana P.")</f>
        <v>ARTIGAS Ivana P.</v>
      </c>
      <c r="F1133" s="1" t="str">
        <f t="shared" si="1"/>
        <v>ARTIGAS </v>
      </c>
      <c r="G1133" s="1" t="str">
        <f t="shared" si="2"/>
        <v>Ivana P.</v>
      </c>
      <c r="H1133" s="1" t="str">
        <f>IFERROR(__xludf.DUMMYFUNCTION("""COMPUTED_VALUE"""),"30/1/2023, 17:00:00")</f>
        <v>30/1/2023, 17:00:00</v>
      </c>
      <c r="I1133" s="1" t="str">
        <f>IFERROR(__xludf.DUMMYFUNCTION("""COMPUTED_VALUE"""),"RETIRADO OK POR CLIENTE")</f>
        <v>RETIRADO OK POR CLIENTE</v>
      </c>
      <c r="J1133" s="1">
        <f t="shared" si="3"/>
        <v>6</v>
      </c>
      <c r="K1133" s="1" t="str">
        <f t="shared" si="4"/>
        <v>Entregamos tus lentes, que los disfrutes!</v>
      </c>
    </row>
    <row r="1134">
      <c r="A1134" s="1">
        <f>IFERROR(__xludf.DUMMYFUNCTION("""COMPUTED_VALUE"""),85684.0)</f>
        <v>85684</v>
      </c>
      <c r="B1134" s="5">
        <f>IFERROR(__xludf.DUMMYFUNCTION("""COMPUTED_VALUE"""),44953.40741519676)</f>
        <v>44953.40742</v>
      </c>
      <c r="C1134" s="1" t="str">
        <f>IFERROR(__xludf.DUMMYFUNCTION("""COMPUTED_VALUE"""),"cid fabricio")</f>
        <v>cid fabricio</v>
      </c>
      <c r="D1134" s="1" t="str">
        <f>IFERROR(__xludf.DUMMYFUNCTION("""COMPUTED_VALUE"""),"Lentes de STOCK")</f>
        <v>Lentes de STOCK</v>
      </c>
      <c r="E1134" s="1" t="str">
        <f>IFERROR(__xludf.DUMMYFUNCTION("""COMPUTED_VALUE"""),"RIVADAVIA Santiago N")</f>
        <v>RIVADAVIA Santiago N</v>
      </c>
      <c r="F1134" s="1" t="str">
        <f t="shared" si="1"/>
        <v>RIVADAVIA </v>
      </c>
      <c r="G1134" s="1" t="str">
        <f t="shared" si="2"/>
        <v>Santiago N</v>
      </c>
      <c r="H1134" s="1" t="str">
        <f>IFERROR(__xludf.DUMMYFUNCTION("""COMPUTED_VALUE"""),"31/1/2023, 17:00:00")</f>
        <v>31/1/2023, 17:00:00</v>
      </c>
      <c r="I1134" s="1" t="str">
        <f>IFERROR(__xludf.DUMMYFUNCTION("""COMPUTED_VALUE"""),"RETIRADO OK POR CLIENTE")</f>
        <v>RETIRADO OK POR CLIENTE</v>
      </c>
      <c r="J1134" s="1">
        <f t="shared" si="3"/>
        <v>6</v>
      </c>
      <c r="K1134" s="1" t="str">
        <f t="shared" si="4"/>
        <v>Entregamos tus lentes, que los disfrutes!</v>
      </c>
    </row>
    <row r="1135">
      <c r="A1135" s="1">
        <f>IFERROR(__xludf.DUMMYFUNCTION("""COMPUTED_VALUE"""),85685.0)</f>
        <v>85685</v>
      </c>
      <c r="B1135" s="5">
        <f>IFERROR(__xludf.DUMMYFUNCTION("""COMPUTED_VALUE"""),44953.41037243056)</f>
        <v>44953.41037</v>
      </c>
      <c r="C1135" s="1" t="str">
        <f>IFERROR(__xludf.DUMMYFUNCTION("""COMPUTED_VALUE"""),"COLBURN ESTEFANIA")</f>
        <v>COLBURN ESTEFANIA</v>
      </c>
      <c r="D1135" s="1" t="str">
        <f>IFERROR(__xludf.DUMMYFUNCTION("""COMPUTED_VALUE"""),"Lentes de STOCK")</f>
        <v>Lentes de STOCK</v>
      </c>
      <c r="E1135" s="1" t="str">
        <f>IFERROR(__xludf.DUMMYFUNCTION("""COMPUTED_VALUE"""),"ARTIGAS Ivana P.")</f>
        <v>ARTIGAS Ivana P.</v>
      </c>
      <c r="F1135" s="1" t="str">
        <f t="shared" si="1"/>
        <v>ARTIGAS </v>
      </c>
      <c r="G1135" s="1" t="str">
        <f t="shared" si="2"/>
        <v>Ivana P.</v>
      </c>
      <c r="H1135" s="1" t="str">
        <f>IFERROR(__xludf.DUMMYFUNCTION("""COMPUTED_VALUE"""),"1/2/2023, 17:00:00")</f>
        <v>1/2/2023, 17:00:00</v>
      </c>
      <c r="I1135" s="1" t="str">
        <f>IFERROR(__xludf.DUMMYFUNCTION("""COMPUTED_VALUE"""),"Completado en SUCURSAL")</f>
        <v>Completado en SUCURSAL</v>
      </c>
      <c r="J1135" s="1">
        <f t="shared" si="3"/>
        <v>5</v>
      </c>
      <c r="K1135" s="1" t="str">
        <f t="shared" si="4"/>
        <v>Tus Lentes estan LISTAS PARA ENTREGAR, te esperamos.</v>
      </c>
    </row>
    <row r="1136">
      <c r="A1136" s="1">
        <f>IFERROR(__xludf.DUMMYFUNCTION("""COMPUTED_VALUE"""),85686.0)</f>
        <v>85686</v>
      </c>
      <c r="B1136" s="5">
        <f>IFERROR(__xludf.DUMMYFUNCTION("""COMPUTED_VALUE"""),44953.41293746528)</f>
        <v>44953.41294</v>
      </c>
      <c r="C1136" s="1" t="str">
        <f>IFERROR(__xludf.DUMMYFUNCTION("""COMPUTED_VALUE"""),"MARIÑO ROBERTO ")</f>
        <v>MARIÑO ROBERTO </v>
      </c>
      <c r="D1136" s="1" t="str">
        <f>IFERROR(__xludf.DUMMYFUNCTION("""COMPUTED_VALUE"""),"Lentes de STOCK")</f>
        <v>Lentes de STOCK</v>
      </c>
      <c r="E1136" s="1" t="str">
        <f>IFERROR(__xludf.DUMMYFUNCTION("""COMPUTED_VALUE"""),"ARTIGAS Cristian C.")</f>
        <v>ARTIGAS Cristian C.</v>
      </c>
      <c r="F1136" s="1" t="str">
        <f t="shared" si="1"/>
        <v>ARTIGAS </v>
      </c>
      <c r="G1136" s="1" t="str">
        <f t="shared" si="2"/>
        <v>Cristian C.</v>
      </c>
      <c r="H1136" s="1" t="str">
        <f>IFERROR(__xludf.DUMMYFUNCTION("""COMPUTED_VALUE"""),"3/2/2023, 17:00:00")</f>
        <v>3/2/2023, 17:00:00</v>
      </c>
      <c r="I1136" s="1" t="str">
        <f>IFERROR(__xludf.DUMMYFUNCTION("""COMPUTED_VALUE"""),"RETIRADO OK POR CLIENTE")</f>
        <v>RETIRADO OK POR CLIENTE</v>
      </c>
      <c r="J1136" s="1">
        <f t="shared" si="3"/>
        <v>6</v>
      </c>
      <c r="K1136" s="1" t="str">
        <f t="shared" si="4"/>
        <v>Entregamos tus lentes, que los disfrutes!</v>
      </c>
    </row>
    <row r="1137">
      <c r="A1137" s="1">
        <f>IFERROR(__xludf.DUMMYFUNCTION("""COMPUTED_VALUE"""),85687.0)</f>
        <v>85687</v>
      </c>
      <c r="B1137" s="5">
        <f>IFERROR(__xludf.DUMMYFUNCTION("""COMPUTED_VALUE"""),44953.413249571764)</f>
        <v>44953.41325</v>
      </c>
      <c r="C1137" s="1" t="str">
        <f>IFERROR(__xludf.DUMMYFUNCTION("""COMPUTED_VALUE"""),"Luna Ernestina")</f>
        <v>Luna Ernestina</v>
      </c>
      <c r="D1137" s="1" t="str">
        <f>IFERROR(__xludf.DUMMYFUNCTION("""COMPUTED_VALUE"""),"Lentes de STOCK")</f>
        <v>Lentes de STOCK</v>
      </c>
      <c r="E1137" s="1" t="str">
        <f>IFERROR(__xludf.DUMMYFUNCTION("""COMPUTED_VALUE"""),"RIVADAVIA Rocio B")</f>
        <v>RIVADAVIA Rocio B</v>
      </c>
      <c r="F1137" s="1" t="str">
        <f t="shared" si="1"/>
        <v>RIVADAVIA </v>
      </c>
      <c r="G1137" s="1" t="str">
        <f t="shared" si="2"/>
        <v>Rocio B</v>
      </c>
      <c r="H1137" s="1" t="str">
        <f>IFERROR(__xludf.DUMMYFUNCTION("""COMPUTED_VALUE"""),"2/2/2023, 17:00:00")</f>
        <v>2/2/2023, 17:00:00</v>
      </c>
      <c r="I1137" s="1" t="str">
        <f>IFERROR(__xludf.DUMMYFUNCTION("""COMPUTED_VALUE"""),"Completado en SUCURSAL")</f>
        <v>Completado en SUCURSAL</v>
      </c>
      <c r="J1137" s="1">
        <f t="shared" si="3"/>
        <v>5</v>
      </c>
      <c r="K1137" s="1" t="str">
        <f t="shared" si="4"/>
        <v>Tus Lentes estan LISTAS PARA ENTREGAR, te esperamos.</v>
      </c>
    </row>
    <row r="1138">
      <c r="A1138" s="1">
        <f>IFERROR(__xludf.DUMMYFUNCTION("""COMPUTED_VALUE"""),85688.0)</f>
        <v>85688</v>
      </c>
      <c r="B1138" s="5">
        <f>IFERROR(__xludf.DUMMYFUNCTION("""COMPUTED_VALUE"""),44953.41949056713)</f>
        <v>44953.41949</v>
      </c>
      <c r="C1138" s="1" t="str">
        <f>IFERROR(__xludf.DUMMYFUNCTION("""COMPUTED_VALUE"""),"RODRIGUEZ MARIA CRISTINA")</f>
        <v>RODRIGUEZ MARIA CRISTINA</v>
      </c>
      <c r="D1138" s="1" t="str">
        <f>IFERROR(__xludf.DUMMYFUNCTION("""COMPUTED_VALUE"""),"Reparaciones/Otros")</f>
        <v>Reparaciones/Otros</v>
      </c>
      <c r="E1138" s="1" t="str">
        <f>IFERROR(__xludf.DUMMYFUNCTION("""COMPUTED_VALUE"""),"ARTIGAS Cristian C.")</f>
        <v>ARTIGAS Cristian C.</v>
      </c>
      <c r="F1138" s="1" t="str">
        <f t="shared" si="1"/>
        <v>ARTIGAS </v>
      </c>
      <c r="G1138" s="1" t="str">
        <f t="shared" si="2"/>
        <v>Cristian C.</v>
      </c>
      <c r="H1138" s="1" t="str">
        <f>IFERROR(__xludf.DUMMYFUNCTION("""COMPUTED_VALUE"""),"30/1/2023, 17:00:00")</f>
        <v>30/1/2023, 17:00:00</v>
      </c>
      <c r="I1138" s="1" t="str">
        <f>IFERROR(__xludf.DUMMYFUNCTION("""COMPUTED_VALUE"""),"Completado en SUCURSAL")</f>
        <v>Completado en SUCURSAL</v>
      </c>
      <c r="J1138" s="1">
        <f t="shared" si="3"/>
        <v>5</v>
      </c>
      <c r="K1138" s="1" t="str">
        <f t="shared" si="4"/>
        <v>Tus Lentes estan LISTAS PARA ENTREGAR, te esperamos.</v>
      </c>
    </row>
    <row r="1139">
      <c r="A1139" s="1">
        <f>IFERROR(__xludf.DUMMYFUNCTION("""COMPUTED_VALUE"""),85689.0)</f>
        <v>85689</v>
      </c>
      <c r="B1139" s="5">
        <f>IFERROR(__xludf.DUMMYFUNCTION("""COMPUTED_VALUE"""),44953.420980740746)</f>
        <v>44953.42098</v>
      </c>
      <c r="C1139" s="1" t="str">
        <f>IFERROR(__xludf.DUMMYFUNCTION("""COMPUTED_VALUE"""),"RAMIRO ROMINA")</f>
        <v>RAMIRO ROMINA</v>
      </c>
      <c r="D1139" s="1" t="str">
        <f>IFERROR(__xludf.DUMMYFUNCTION("""COMPUTED_VALUE"""),"Reparaciones/Otros")</f>
        <v>Reparaciones/Otros</v>
      </c>
      <c r="E1139" s="1" t="str">
        <f>IFERROR(__xludf.DUMMYFUNCTION("""COMPUTED_VALUE"""),"RIVADAVIA Marcela L")</f>
        <v>RIVADAVIA Marcela L</v>
      </c>
      <c r="F1139" s="1" t="str">
        <f t="shared" si="1"/>
        <v>RIVADAVIA </v>
      </c>
      <c r="G1139" s="1" t="str">
        <f t="shared" si="2"/>
        <v>Marcela L</v>
      </c>
      <c r="H1139" s="1" t="str">
        <f>IFERROR(__xludf.DUMMYFUNCTION("""COMPUTED_VALUE"""),"28/1/2023, 17:00:00")</f>
        <v>28/1/2023, 17:00:00</v>
      </c>
      <c r="I1139" s="1" t="str">
        <f>IFERROR(__xludf.DUMMYFUNCTION("""COMPUTED_VALUE"""),"Completado en SUCURSAL")</f>
        <v>Completado en SUCURSAL</v>
      </c>
      <c r="J1139" s="1">
        <f t="shared" si="3"/>
        <v>5</v>
      </c>
      <c r="K1139" s="1" t="str">
        <f t="shared" si="4"/>
        <v>Tus Lentes estan LISTAS PARA ENTREGAR, te esperamos.</v>
      </c>
    </row>
    <row r="1140">
      <c r="A1140" s="1">
        <f>IFERROR(__xludf.DUMMYFUNCTION("""COMPUTED_VALUE"""),85690.0)</f>
        <v>85690</v>
      </c>
      <c r="B1140" s="5">
        <f>IFERROR(__xludf.DUMMYFUNCTION("""COMPUTED_VALUE"""),44953.43189184028)</f>
        <v>44953.43189</v>
      </c>
      <c r="C1140" s="1" t="str">
        <f>IFERROR(__xludf.DUMMYFUNCTION("""COMPUTED_VALUE"""),"ARAYA MARIA ESPERANZA")</f>
        <v>ARAYA MARIA ESPERANZA</v>
      </c>
      <c r="D1140" s="1" t="str">
        <f>IFERROR(__xludf.DUMMYFUNCTION("""COMPUTED_VALUE"""),"Lentes de STOCK")</f>
        <v>Lentes de STOCK</v>
      </c>
      <c r="E1140" s="1" t="str">
        <f>IFERROR(__xludf.DUMMYFUNCTION("""COMPUTED_VALUE"""),"RIVADAVIA Luciana")</f>
        <v>RIVADAVIA Luciana</v>
      </c>
      <c r="F1140" s="1" t="str">
        <f t="shared" si="1"/>
        <v>RIVADAVIA </v>
      </c>
      <c r="G1140" s="1" t="str">
        <f t="shared" si="2"/>
        <v>Luciana</v>
      </c>
      <c r="H1140" s="1" t="str">
        <f>IFERROR(__xludf.DUMMYFUNCTION("""COMPUTED_VALUE"""),"2/2/2023, 17:00:00")</f>
        <v>2/2/2023, 17:00:00</v>
      </c>
      <c r="I1140" s="1" t="str">
        <f>IFERROR(__xludf.DUMMYFUNCTION("""COMPUTED_VALUE"""),"Completado en SUCURSAL")</f>
        <v>Completado en SUCURSAL</v>
      </c>
      <c r="J1140" s="1">
        <f t="shared" si="3"/>
        <v>5</v>
      </c>
      <c r="K1140" s="1" t="str">
        <f t="shared" si="4"/>
        <v>Tus Lentes estan LISTAS PARA ENTREGAR, te esperamos.</v>
      </c>
    </row>
    <row r="1141">
      <c r="A1141" s="1">
        <f>IFERROR(__xludf.DUMMYFUNCTION("""COMPUTED_VALUE"""),85691.0)</f>
        <v>85691</v>
      </c>
      <c r="B1141" s="5">
        <f>IFERROR(__xludf.DUMMYFUNCTION("""COMPUTED_VALUE"""),44953.43240896991)</f>
        <v>44953.43241</v>
      </c>
      <c r="C1141" s="1" t="str">
        <f>IFERROR(__xludf.DUMMYFUNCTION("""COMPUTED_VALUE"""),"CASTRO ELCIRA CRISTINA")</f>
        <v>CASTRO ELCIRA CRISTINA</v>
      </c>
      <c r="D1141" s="1" t="str">
        <f>IFERROR(__xludf.DUMMYFUNCTION("""COMPUTED_VALUE"""),"Lentes de STOCK")</f>
        <v>Lentes de STOCK</v>
      </c>
      <c r="E1141" s="1" t="str">
        <f>IFERROR(__xludf.DUMMYFUNCTION("""COMPUTED_VALUE"""),"RIVADAVIA Marcela L")</f>
        <v>RIVADAVIA Marcela L</v>
      </c>
      <c r="F1141" s="1" t="str">
        <f t="shared" si="1"/>
        <v>RIVADAVIA </v>
      </c>
      <c r="G1141" s="1" t="str">
        <f t="shared" si="2"/>
        <v>Marcela L</v>
      </c>
      <c r="H1141" s="1" t="str">
        <f>IFERROR(__xludf.DUMMYFUNCTION("""COMPUTED_VALUE"""),"31/1/2023, 17:00:00")</f>
        <v>31/1/2023, 17:00:00</v>
      </c>
      <c r="I1141" s="1" t="str">
        <f>IFERROR(__xludf.DUMMYFUNCTION("""COMPUTED_VALUE"""),"RETIRADO OK POR CLIENTE")</f>
        <v>RETIRADO OK POR CLIENTE</v>
      </c>
      <c r="J1141" s="1">
        <f t="shared" si="3"/>
        <v>6</v>
      </c>
      <c r="K1141" s="1" t="str">
        <f t="shared" si="4"/>
        <v>Entregamos tus lentes, que los disfrutes!</v>
      </c>
    </row>
    <row r="1142">
      <c r="A1142" s="1">
        <f>IFERROR(__xludf.DUMMYFUNCTION("""COMPUTED_VALUE"""),85692.0)</f>
        <v>85692</v>
      </c>
      <c r="B1142" s="5">
        <f>IFERROR(__xludf.DUMMYFUNCTION("""COMPUTED_VALUE"""),44953.43437726852)</f>
        <v>44953.43438</v>
      </c>
      <c r="C1142" s="1" t="str">
        <f>IFERROR(__xludf.DUMMYFUNCTION("""COMPUTED_VALUE"""),"Salinas Raso Laura")</f>
        <v>Salinas Raso Laura</v>
      </c>
      <c r="D1142" s="1" t="str">
        <f>IFERROR(__xludf.DUMMYFUNCTION("""COMPUTED_VALUE"""),"Lentes de STOCK")</f>
        <v>Lentes de STOCK</v>
      </c>
      <c r="E1142" s="1" t="str">
        <f>IFERROR(__xludf.DUMMYFUNCTION("""COMPUTED_VALUE"""),"RIVADAVIA Rocio B")</f>
        <v>RIVADAVIA Rocio B</v>
      </c>
      <c r="F1142" s="1" t="str">
        <f t="shared" si="1"/>
        <v>RIVADAVIA </v>
      </c>
      <c r="G1142" s="1" t="str">
        <f t="shared" si="2"/>
        <v>Rocio B</v>
      </c>
      <c r="H1142" s="1" t="str">
        <f>IFERROR(__xludf.DUMMYFUNCTION("""COMPUTED_VALUE"""),"3/2/2023, 17:00:00")</f>
        <v>3/2/2023, 17:00:00</v>
      </c>
      <c r="I1142" s="1" t="str">
        <f>IFERROR(__xludf.DUMMYFUNCTION("""COMPUTED_VALUE"""),"Enviado a Sucursal")</f>
        <v>Enviado a Sucursal</v>
      </c>
      <c r="J1142" s="1">
        <f t="shared" si="3"/>
        <v>4</v>
      </c>
      <c r="K1142" s="1" t="str">
        <f t="shared" si="4"/>
        <v>Tus lentes estan viajando a la sucursal para su entrega.</v>
      </c>
    </row>
    <row r="1143">
      <c r="A1143" s="1">
        <f>IFERROR(__xludf.DUMMYFUNCTION("""COMPUTED_VALUE"""),85693.0)</f>
        <v>85693</v>
      </c>
      <c r="B1143" s="5">
        <f>IFERROR(__xludf.DUMMYFUNCTION("""COMPUTED_VALUE"""),44953.445343113424)</f>
        <v>44953.44534</v>
      </c>
      <c r="C1143" s="1" t="str">
        <f>IFERROR(__xludf.DUMMYFUNCTION("""COMPUTED_VALUE"""),"MUÑOZ RAMONA EDITH")</f>
        <v>MUÑOZ RAMONA EDITH</v>
      </c>
      <c r="D1143" s="1" t="str">
        <f>IFERROR(__xludf.DUMMYFUNCTION("""COMPUTED_VALUE"""),"Lentes de LABORATORIO")</f>
        <v>Lentes de LABORATORIO</v>
      </c>
      <c r="E1143" s="1" t="str">
        <f>IFERROR(__xludf.DUMMYFUNCTION("""COMPUTED_VALUE"""),"RIVADAVIA Marcela L")</f>
        <v>RIVADAVIA Marcela L</v>
      </c>
      <c r="F1143" s="1" t="str">
        <f t="shared" si="1"/>
        <v>RIVADAVIA </v>
      </c>
      <c r="G1143" s="1" t="str">
        <f t="shared" si="2"/>
        <v>Marcela L</v>
      </c>
      <c r="H1143" s="1" t="str">
        <f>IFERROR(__xludf.DUMMYFUNCTION("""COMPUTED_VALUE"""),"6/2/2023, 17:00:00")</f>
        <v>6/2/2023, 17:00:00</v>
      </c>
      <c r="I1143" s="1" t="str">
        <f>IFERROR(__xludf.DUMMYFUNCTION("""COMPUTED_VALUE"""),"En Armado Hoy")</f>
        <v>En Armado Hoy</v>
      </c>
      <c r="J1143" s="1">
        <f t="shared" si="3"/>
        <v>3</v>
      </c>
      <c r="K1143" s="1" t="str">
        <f t="shared" si="4"/>
        <v>Estamos terminando los ultimos detalles de tus lentes, los terminaremos el dia de hoy.</v>
      </c>
    </row>
    <row r="1144">
      <c r="A1144" s="1">
        <f>IFERROR(__xludf.DUMMYFUNCTION("""COMPUTED_VALUE"""),85694.0)</f>
        <v>85694</v>
      </c>
      <c r="B1144" s="5">
        <f>IFERROR(__xludf.DUMMYFUNCTION("""COMPUTED_VALUE"""),44953.44730803241)</f>
        <v>44953.44731</v>
      </c>
      <c r="C1144" s="1" t="str">
        <f>IFERROR(__xludf.DUMMYFUNCTION("""COMPUTED_VALUE"""),"HANNUN ANTONIO")</f>
        <v>HANNUN ANTONIO</v>
      </c>
      <c r="D1144" s="1" t="str">
        <f>IFERROR(__xludf.DUMMYFUNCTION("""COMPUTED_VALUE"""),"Lentes BIFOCALES")</f>
        <v>Lentes BIFOCALES</v>
      </c>
      <c r="E1144" s="1" t="str">
        <f>IFERROR(__xludf.DUMMYFUNCTION("""COMPUTED_VALUE"""),"ARTIGAS Ivana P.")</f>
        <v>ARTIGAS Ivana P.</v>
      </c>
      <c r="F1144" s="1" t="str">
        <f t="shared" si="1"/>
        <v>ARTIGAS </v>
      </c>
      <c r="G1144" s="1" t="str">
        <f t="shared" si="2"/>
        <v>Ivana P.</v>
      </c>
      <c r="H1144" s="1" t="str">
        <f>IFERROR(__xludf.DUMMYFUNCTION("""COMPUTED_VALUE"""),"1/2/2023, 17:00:00")</f>
        <v>1/2/2023, 17:00:00</v>
      </c>
      <c r="I1144" s="1" t="str">
        <f>IFERROR(__xludf.DUMMYFUNCTION("""COMPUTED_VALUE"""),"RETIRADO OK POR CLIENTE")</f>
        <v>RETIRADO OK POR CLIENTE</v>
      </c>
      <c r="J1144" s="1">
        <f t="shared" si="3"/>
        <v>6</v>
      </c>
      <c r="K1144" s="1" t="str">
        <f t="shared" si="4"/>
        <v>Entregamos tus lentes, que los disfrutes!</v>
      </c>
    </row>
    <row r="1145">
      <c r="A1145" s="1">
        <f>IFERROR(__xludf.DUMMYFUNCTION("""COMPUTED_VALUE"""),85695.0)</f>
        <v>85695</v>
      </c>
      <c r="B1145" s="5">
        <f>IFERROR(__xludf.DUMMYFUNCTION("""COMPUTED_VALUE"""),44953.45272043982)</f>
        <v>44953.45272</v>
      </c>
      <c r="C1145" s="1" t="str">
        <f>IFERROR(__xludf.DUMMYFUNCTION("""COMPUTED_VALUE"""),"serrano marta elsa")</f>
        <v>serrano marta elsa</v>
      </c>
      <c r="D1145" s="1" t="str">
        <f>IFERROR(__xludf.DUMMYFUNCTION("""COMPUTED_VALUE"""),"Lentes de STOCK")</f>
        <v>Lentes de STOCK</v>
      </c>
      <c r="E1145" s="1" t="str">
        <f>IFERROR(__xludf.DUMMYFUNCTION("""COMPUTED_VALUE"""),"RIVADAVIA Santiago LOPEZ")</f>
        <v>RIVADAVIA Santiago LOPEZ</v>
      </c>
      <c r="F1145" s="1" t="str">
        <f t="shared" si="1"/>
        <v>RIVADAVIA </v>
      </c>
      <c r="G1145" s="1" t="str">
        <f t="shared" si="2"/>
        <v>Santiago LOPEZ</v>
      </c>
      <c r="H1145" s="1" t="str">
        <f>IFERROR(__xludf.DUMMYFUNCTION("""COMPUTED_VALUE"""),"31/1/2023, 17:00:00")</f>
        <v>31/1/2023, 17:00:00</v>
      </c>
      <c r="I1145" s="1" t="str">
        <f>IFERROR(__xludf.DUMMYFUNCTION("""COMPUTED_VALUE"""),"Completado en SUCURSAL")</f>
        <v>Completado en SUCURSAL</v>
      </c>
      <c r="J1145" s="1">
        <f t="shared" si="3"/>
        <v>5</v>
      </c>
      <c r="K1145" s="1" t="str">
        <f t="shared" si="4"/>
        <v>Tus Lentes estan LISTAS PARA ENTREGAR, te esperamos.</v>
      </c>
    </row>
    <row r="1146">
      <c r="A1146" s="1">
        <f>IFERROR(__xludf.DUMMYFUNCTION("""COMPUTED_VALUE"""),85696.0)</f>
        <v>85696</v>
      </c>
      <c r="B1146" s="5">
        <f>IFERROR(__xludf.DUMMYFUNCTION("""COMPUTED_VALUE"""),44953.45530341435)</f>
        <v>44953.4553</v>
      </c>
      <c r="C1146" s="1" t="str">
        <f>IFERROR(__xludf.DUMMYFUNCTION("""COMPUTED_VALUE"""),"LUCERO PEDRO OMAR")</f>
        <v>LUCERO PEDRO OMAR</v>
      </c>
      <c r="D1146" s="1" t="str">
        <f>IFERROR(__xludf.DUMMYFUNCTION("""COMPUTED_VALUE"""),"Lentes de STOCK")</f>
        <v>Lentes de STOCK</v>
      </c>
      <c r="E1146" s="1" t="str">
        <f>IFERROR(__xludf.DUMMYFUNCTION("""COMPUTED_VALUE"""),"ARTIGAS Cristian C.")</f>
        <v>ARTIGAS Cristian C.</v>
      </c>
      <c r="F1146" s="1" t="str">
        <f t="shared" si="1"/>
        <v>ARTIGAS </v>
      </c>
      <c r="G1146" s="1" t="str">
        <f t="shared" si="2"/>
        <v>Cristian C.</v>
      </c>
      <c r="H1146" s="1" t="str">
        <f>IFERROR(__xludf.DUMMYFUNCTION("""COMPUTED_VALUE"""),"2/2/2023, 17:00:00")</f>
        <v>2/2/2023, 17:00:00</v>
      </c>
      <c r="I1146" s="1" t="str">
        <f>IFERROR(__xludf.DUMMYFUNCTION("""COMPUTED_VALUE"""),"RETIRADO OK POR CLIENTE")</f>
        <v>RETIRADO OK POR CLIENTE</v>
      </c>
      <c r="J1146" s="1">
        <f t="shared" si="3"/>
        <v>6</v>
      </c>
      <c r="K1146" s="1" t="str">
        <f t="shared" si="4"/>
        <v>Entregamos tus lentes, que los disfrutes!</v>
      </c>
    </row>
    <row r="1147">
      <c r="A1147" s="1">
        <f>IFERROR(__xludf.DUMMYFUNCTION("""COMPUTED_VALUE"""),85697.0)</f>
        <v>85697</v>
      </c>
      <c r="B1147" s="5">
        <f>IFERROR(__xludf.DUMMYFUNCTION("""COMPUTED_VALUE"""),44953.46418917824)</f>
        <v>44953.46419</v>
      </c>
      <c r="C1147" s="1" t="str">
        <f>IFERROR(__xludf.DUMMYFUNCTION("""COMPUTED_VALUE"""),"TORRES ANGELA")</f>
        <v>TORRES ANGELA</v>
      </c>
      <c r="D1147" s="1" t="str">
        <f>IFERROR(__xludf.DUMMYFUNCTION("""COMPUTED_VALUE"""),"Reparaciones/Otros")</f>
        <v>Reparaciones/Otros</v>
      </c>
      <c r="E1147" s="1" t="str">
        <f>IFERROR(__xludf.DUMMYFUNCTION("""COMPUTED_VALUE"""),"RIVADAVIA Daniel CM")</f>
        <v>RIVADAVIA Daniel CM</v>
      </c>
      <c r="F1147" s="1" t="str">
        <f t="shared" si="1"/>
        <v>RIVADAVIA </v>
      </c>
      <c r="G1147" s="1" t="str">
        <f t="shared" si="2"/>
        <v>Daniel CM</v>
      </c>
      <c r="H1147" s="1" t="str">
        <f>IFERROR(__xludf.DUMMYFUNCTION("""COMPUTED_VALUE"""),"30/1/2023, 17:00:00")</f>
        <v>30/1/2023, 17:00:00</v>
      </c>
      <c r="I1147" s="1" t="str">
        <f>IFERROR(__xludf.DUMMYFUNCTION("""COMPUTED_VALUE"""),"Completado en SUCURSAL")</f>
        <v>Completado en SUCURSAL</v>
      </c>
      <c r="J1147" s="1">
        <f t="shared" si="3"/>
        <v>5</v>
      </c>
      <c r="K1147" s="1" t="str">
        <f t="shared" si="4"/>
        <v>Tus Lentes estan LISTAS PARA ENTREGAR, te esperamos.</v>
      </c>
    </row>
    <row r="1148">
      <c r="A1148" s="1">
        <f>IFERROR(__xludf.DUMMYFUNCTION("""COMPUTED_VALUE"""),85698.0)</f>
        <v>85698</v>
      </c>
      <c r="B1148" s="5">
        <f>IFERROR(__xludf.DUMMYFUNCTION("""COMPUTED_VALUE"""),44953.464869421296)</f>
        <v>44953.46487</v>
      </c>
      <c r="C1148" s="1" t="str">
        <f>IFERROR(__xludf.DUMMYFUNCTION("""COMPUTED_VALUE"""),"GATICA RENEE SANTOS")</f>
        <v>GATICA RENEE SANTOS</v>
      </c>
      <c r="D1148" s="1" t="str">
        <f>IFERROR(__xludf.DUMMYFUNCTION("""COMPUTED_VALUE"""),"Lentes de STOCK")</f>
        <v>Lentes de STOCK</v>
      </c>
      <c r="E1148" s="1" t="str">
        <f>IFERROR(__xludf.DUMMYFUNCTION("""COMPUTED_VALUE"""),"RIVADAVIA Marcela L")</f>
        <v>RIVADAVIA Marcela L</v>
      </c>
      <c r="F1148" s="1" t="str">
        <f t="shared" si="1"/>
        <v>RIVADAVIA </v>
      </c>
      <c r="G1148" s="1" t="str">
        <f t="shared" si="2"/>
        <v>Marcela L</v>
      </c>
      <c r="H1148" s="1" t="str">
        <f>IFERROR(__xludf.DUMMYFUNCTION("""COMPUTED_VALUE"""),"2/2/2023, 17:00:00")</f>
        <v>2/2/2023, 17:00:00</v>
      </c>
      <c r="I1148" s="1" t="str">
        <f>IFERROR(__xludf.DUMMYFUNCTION("""COMPUTED_VALUE"""),"RETIRADO OK POR CLIENTE")</f>
        <v>RETIRADO OK POR CLIENTE</v>
      </c>
      <c r="J1148" s="1">
        <f t="shared" si="3"/>
        <v>6</v>
      </c>
      <c r="K1148" s="1" t="str">
        <f t="shared" si="4"/>
        <v>Entregamos tus lentes, que los disfrutes!</v>
      </c>
    </row>
    <row r="1149">
      <c r="A1149" s="1">
        <f>IFERROR(__xludf.DUMMYFUNCTION("""COMPUTED_VALUE"""),85699.0)</f>
        <v>85699</v>
      </c>
      <c r="B1149" s="5">
        <f>IFERROR(__xludf.DUMMYFUNCTION("""COMPUTED_VALUE"""),44953.46871444445)</f>
        <v>44953.46871</v>
      </c>
      <c r="C1149" s="1" t="str">
        <f>IFERROR(__xludf.DUMMYFUNCTION("""COMPUTED_VALUE"""),"OLGUIN FRANCISCO")</f>
        <v>OLGUIN FRANCISCO</v>
      </c>
      <c r="D1149" s="1" t="str">
        <f>IFERROR(__xludf.DUMMYFUNCTION("""COMPUTED_VALUE"""),"Lentes MULTIFOCALES")</f>
        <v>Lentes MULTIFOCALES</v>
      </c>
      <c r="E1149" s="1" t="str">
        <f>IFERROR(__xludf.DUMMYFUNCTION("""COMPUTED_VALUE"""),"ARTIGAS Cristian C.")</f>
        <v>ARTIGAS Cristian C.</v>
      </c>
      <c r="F1149" s="1" t="str">
        <f t="shared" si="1"/>
        <v>ARTIGAS </v>
      </c>
      <c r="G1149" s="1" t="str">
        <f t="shared" si="2"/>
        <v>Cristian C.</v>
      </c>
      <c r="H1149" s="1" t="str">
        <f>IFERROR(__xludf.DUMMYFUNCTION("""COMPUTED_VALUE"""),"13/2/2023, 17:00:00")</f>
        <v>13/2/2023, 17:00:00</v>
      </c>
      <c r="I1149" s="1" t="str">
        <f>IFERROR(__xludf.DUMMYFUNCTION("""COMPUTED_VALUE"""),"Completado en SUCURSAL")</f>
        <v>Completado en SUCURSAL</v>
      </c>
      <c r="J1149" s="1">
        <f t="shared" si="3"/>
        <v>5</v>
      </c>
      <c r="K1149" s="1" t="str">
        <f t="shared" si="4"/>
        <v>Tus Lentes estan LISTAS PARA ENTREGAR, te esperamos.</v>
      </c>
    </row>
    <row r="1150">
      <c r="A1150" s="1">
        <f>IFERROR(__xludf.DUMMYFUNCTION("""COMPUTED_VALUE"""),85700.0)</f>
        <v>85700</v>
      </c>
      <c r="B1150" s="5">
        <f>IFERROR(__xludf.DUMMYFUNCTION("""COMPUTED_VALUE"""),44953.47064663195)</f>
        <v>44953.47065</v>
      </c>
      <c r="C1150" s="1" t="str">
        <f>IFERROR(__xludf.DUMMYFUNCTION("""COMPUTED_VALUE"""),"NIETO MATIAS")</f>
        <v>NIETO MATIAS</v>
      </c>
      <c r="D1150" s="1" t="str">
        <f>IFERROR(__xludf.DUMMYFUNCTION("""COMPUTED_VALUE"""),"Lentes de STOCK")</f>
        <v>Lentes de STOCK</v>
      </c>
      <c r="E1150" s="1" t="str">
        <f>IFERROR(__xludf.DUMMYFUNCTION("""COMPUTED_VALUE"""),"RIVADAVIA Luciana")</f>
        <v>RIVADAVIA Luciana</v>
      </c>
      <c r="F1150" s="1" t="str">
        <f t="shared" si="1"/>
        <v>RIVADAVIA </v>
      </c>
      <c r="G1150" s="1" t="str">
        <f t="shared" si="2"/>
        <v>Luciana</v>
      </c>
      <c r="H1150" s="1" t="str">
        <f>IFERROR(__xludf.DUMMYFUNCTION("""COMPUTED_VALUE"""),"2/2/2023, 17:00:00")</f>
        <v>2/2/2023, 17:00:00</v>
      </c>
      <c r="I1150" s="1" t="str">
        <f>IFERROR(__xludf.DUMMYFUNCTION("""COMPUTED_VALUE"""),"Completado en SUCURSAL")</f>
        <v>Completado en SUCURSAL</v>
      </c>
      <c r="J1150" s="1">
        <f t="shared" si="3"/>
        <v>5</v>
      </c>
      <c r="K1150" s="1" t="str">
        <f t="shared" si="4"/>
        <v>Tus Lentes estan LISTAS PARA ENTREGAR, te esperamos.</v>
      </c>
    </row>
    <row r="1151">
      <c r="A1151" s="1">
        <f>IFERROR(__xludf.DUMMYFUNCTION("""COMPUTED_VALUE"""),85701.0)</f>
        <v>85701</v>
      </c>
      <c r="B1151" s="5">
        <f>IFERROR(__xludf.DUMMYFUNCTION("""COMPUTED_VALUE"""),44953.47342425926)</f>
        <v>44953.47342</v>
      </c>
      <c r="C1151" s="1" t="str">
        <f>IFERROR(__xludf.DUMMYFUNCTION("""COMPUTED_VALUE"""),"GONZALEZ HECTOR DOMINGO")</f>
        <v>GONZALEZ HECTOR DOMINGO</v>
      </c>
      <c r="D1151" s="1" t="str">
        <f>IFERROR(__xludf.DUMMYFUNCTION("""COMPUTED_VALUE"""),"Reparaciones/Otros")</f>
        <v>Reparaciones/Otros</v>
      </c>
      <c r="E1151" s="1" t="str">
        <f>IFERROR(__xludf.DUMMYFUNCTION("""COMPUTED_VALUE"""),"RIVADAVIA Marcela L")</f>
        <v>RIVADAVIA Marcela L</v>
      </c>
      <c r="F1151" s="1" t="str">
        <f t="shared" si="1"/>
        <v>RIVADAVIA </v>
      </c>
      <c r="G1151" s="1" t="str">
        <f t="shared" si="2"/>
        <v>Marcela L</v>
      </c>
      <c r="H1151" s="1" t="str">
        <f>IFERROR(__xludf.DUMMYFUNCTION("""COMPUTED_VALUE"""),"28/1/2023, 17:00:00")</f>
        <v>28/1/2023, 17:00:00</v>
      </c>
      <c r="I1151" s="1" t="str">
        <f>IFERROR(__xludf.DUMMYFUNCTION("""COMPUTED_VALUE"""),"Enviado a Sucursal")</f>
        <v>Enviado a Sucursal</v>
      </c>
      <c r="J1151" s="1">
        <f t="shared" si="3"/>
        <v>4</v>
      </c>
      <c r="K1151" s="1" t="str">
        <f t="shared" si="4"/>
        <v>Tus lentes estan viajando a la sucursal para su entrega.</v>
      </c>
    </row>
    <row r="1152">
      <c r="A1152" s="1">
        <f>IFERROR(__xludf.DUMMYFUNCTION("""COMPUTED_VALUE"""),85702.0)</f>
        <v>85702</v>
      </c>
      <c r="B1152" s="5">
        <f>IFERROR(__xludf.DUMMYFUNCTION("""COMPUTED_VALUE"""),44953.47826993055)</f>
        <v>44953.47827</v>
      </c>
      <c r="C1152" s="1" t="str">
        <f>IFERROR(__xludf.DUMMYFUNCTION("""COMPUTED_VALUE"""),"PALACIO JOSE ELIASAR")</f>
        <v>PALACIO JOSE ELIASAR</v>
      </c>
      <c r="D1152" s="1" t="str">
        <f>IFERROR(__xludf.DUMMYFUNCTION("""COMPUTED_VALUE"""),"Lentes de STOCK")</f>
        <v>Lentes de STOCK</v>
      </c>
      <c r="E1152" s="1" t="str">
        <f>IFERROR(__xludf.DUMMYFUNCTION("""COMPUTED_VALUE"""),"RIVADAVIA Rocio B")</f>
        <v>RIVADAVIA Rocio B</v>
      </c>
      <c r="F1152" s="1" t="str">
        <f t="shared" si="1"/>
        <v>RIVADAVIA </v>
      </c>
      <c r="G1152" s="1" t="str">
        <f t="shared" si="2"/>
        <v>Rocio B</v>
      </c>
      <c r="H1152" s="1" t="str">
        <f>IFERROR(__xludf.DUMMYFUNCTION("""COMPUTED_VALUE"""),"8/2/2023, 17:00:00")</f>
        <v>8/2/2023, 17:00:00</v>
      </c>
      <c r="I1152" s="1" t="str">
        <f>IFERROR(__xludf.DUMMYFUNCTION("""COMPUTED_VALUE"""),"RETIRADO OK POR CLIENTE")</f>
        <v>RETIRADO OK POR CLIENTE</v>
      </c>
      <c r="J1152" s="1">
        <f t="shared" si="3"/>
        <v>6</v>
      </c>
      <c r="K1152" s="1" t="str">
        <f t="shared" si="4"/>
        <v>Entregamos tus lentes, que los disfrutes!</v>
      </c>
    </row>
    <row r="1153">
      <c r="A1153" s="1">
        <f>IFERROR(__xludf.DUMMYFUNCTION("""COMPUTED_VALUE"""),85703.0)</f>
        <v>85703</v>
      </c>
      <c r="B1153" s="5">
        <f>IFERROR(__xludf.DUMMYFUNCTION("""COMPUTED_VALUE"""),44953.47856853009)</f>
        <v>44953.47857</v>
      </c>
      <c r="C1153" s="1" t="str">
        <f>IFERROR(__xludf.DUMMYFUNCTION("""COMPUTED_VALUE"""),"BENITES ALFREDO")</f>
        <v>BENITES ALFREDO</v>
      </c>
      <c r="D1153" s="1" t="str">
        <f>IFERROR(__xludf.DUMMYFUNCTION("""COMPUTED_VALUE"""),"Lentes de STOCK")</f>
        <v>Lentes de STOCK</v>
      </c>
      <c r="E1153" s="1" t="str">
        <f>IFERROR(__xludf.DUMMYFUNCTION("""COMPUTED_VALUE"""),"ARTIGAS Ivana P.")</f>
        <v>ARTIGAS Ivana P.</v>
      </c>
      <c r="F1153" s="1" t="str">
        <f t="shared" si="1"/>
        <v>ARTIGAS </v>
      </c>
      <c r="G1153" s="1" t="str">
        <f t="shared" si="2"/>
        <v>Ivana P.</v>
      </c>
      <c r="H1153" s="1" t="str">
        <f>IFERROR(__xludf.DUMMYFUNCTION("""COMPUTED_VALUE"""),"1/2/2023, 17:00:00")</f>
        <v>1/2/2023, 17:00:00</v>
      </c>
      <c r="I1153" s="1" t="str">
        <f>IFERROR(__xludf.DUMMYFUNCTION("""COMPUTED_VALUE"""),"RETIRADO OK POR CLIENTE")</f>
        <v>RETIRADO OK POR CLIENTE</v>
      </c>
      <c r="J1153" s="1">
        <f t="shared" si="3"/>
        <v>6</v>
      </c>
      <c r="K1153" s="1" t="str">
        <f t="shared" si="4"/>
        <v>Entregamos tus lentes, que los disfrutes!</v>
      </c>
    </row>
    <row r="1154">
      <c r="A1154" s="1">
        <f>IFERROR(__xludf.DUMMYFUNCTION("""COMPUTED_VALUE"""),85704.0)</f>
        <v>85704</v>
      </c>
      <c r="B1154" s="5">
        <f>IFERROR(__xludf.DUMMYFUNCTION("""COMPUTED_VALUE"""),44953.487759641204)</f>
        <v>44953.48776</v>
      </c>
      <c r="C1154" s="1" t="str">
        <f>IFERROR(__xludf.DUMMYFUNCTION("""COMPUTED_VALUE"""),"rosario saa")</f>
        <v>rosario saa</v>
      </c>
      <c r="D1154" s="1" t="str">
        <f>IFERROR(__xludf.DUMMYFUNCTION("""COMPUTED_VALUE"""),"Reparaciones/Otros")</f>
        <v>Reparaciones/Otros</v>
      </c>
      <c r="E1154" s="1" t="str">
        <f>IFERROR(__xludf.DUMMYFUNCTION("""COMPUTED_VALUE"""),"RIVADAVIA Santiago LOPEZ")</f>
        <v>RIVADAVIA Santiago LOPEZ</v>
      </c>
      <c r="F1154" s="1" t="str">
        <f t="shared" si="1"/>
        <v>RIVADAVIA </v>
      </c>
      <c r="G1154" s="1" t="str">
        <f t="shared" si="2"/>
        <v>Santiago LOPEZ</v>
      </c>
      <c r="H1154" s="1" t="str">
        <f>IFERROR(__xludf.DUMMYFUNCTION("""COMPUTED_VALUE"""),"28/1/2023, 17:00:00")</f>
        <v>28/1/2023, 17:00:00</v>
      </c>
      <c r="I1154" s="1" t="str">
        <f>IFERROR(__xludf.DUMMYFUNCTION("""COMPUTED_VALUE"""),"Enviado a Sucursal")</f>
        <v>Enviado a Sucursal</v>
      </c>
      <c r="J1154" s="1">
        <f t="shared" si="3"/>
        <v>4</v>
      </c>
      <c r="K1154" s="1" t="str">
        <f t="shared" si="4"/>
        <v>Tus lentes estan viajando a la sucursal para su entrega.</v>
      </c>
    </row>
    <row r="1155">
      <c r="A1155" s="1">
        <f>IFERROR(__xludf.DUMMYFUNCTION("""COMPUTED_VALUE"""),85705.0)</f>
        <v>85705</v>
      </c>
      <c r="B1155" s="5">
        <f>IFERROR(__xludf.DUMMYFUNCTION("""COMPUTED_VALUE"""),44953.48976391203)</f>
        <v>44953.48976</v>
      </c>
      <c r="C1155" s="1" t="str">
        <f>IFERROR(__xludf.DUMMYFUNCTION("""COMPUTED_VALUE"""),"Guevara Juan")</f>
        <v>Guevara Juan</v>
      </c>
      <c r="D1155" s="1" t="str">
        <f>IFERROR(__xludf.DUMMYFUNCTION("""COMPUTED_VALUE"""),"Lentes de STOCK")</f>
        <v>Lentes de STOCK</v>
      </c>
      <c r="E1155" s="1" t="str">
        <f>IFERROR(__xludf.DUMMYFUNCTION("""COMPUTED_VALUE"""),"RIVADAVIA Rocio B")</f>
        <v>RIVADAVIA Rocio B</v>
      </c>
      <c r="F1155" s="1" t="str">
        <f t="shared" si="1"/>
        <v>RIVADAVIA </v>
      </c>
      <c r="G1155" s="1" t="str">
        <f t="shared" si="2"/>
        <v>Rocio B</v>
      </c>
      <c r="H1155" s="1" t="str">
        <f>IFERROR(__xludf.DUMMYFUNCTION("""COMPUTED_VALUE"""),"2/2/2023, 17:00:00")</f>
        <v>2/2/2023, 17:00:00</v>
      </c>
      <c r="I1155" s="1" t="str">
        <f>IFERROR(__xludf.DUMMYFUNCTION("""COMPUTED_VALUE"""),"Enviado a Sucursal")</f>
        <v>Enviado a Sucursal</v>
      </c>
      <c r="J1155" s="1">
        <f t="shared" si="3"/>
        <v>4</v>
      </c>
      <c r="K1155" s="1" t="str">
        <f t="shared" si="4"/>
        <v>Tus lentes estan viajando a la sucursal para su entrega.</v>
      </c>
    </row>
    <row r="1156">
      <c r="A1156" s="1">
        <f>IFERROR(__xludf.DUMMYFUNCTION("""COMPUTED_VALUE"""),85706.0)</f>
        <v>85706</v>
      </c>
      <c r="B1156" s="5">
        <f>IFERROR(__xludf.DUMMYFUNCTION("""COMPUTED_VALUE"""),44953.499470995375)</f>
        <v>44953.49947</v>
      </c>
      <c r="C1156" s="1" t="str">
        <f>IFERROR(__xludf.DUMMYFUNCTION("""COMPUTED_VALUE"""),"DREILI MARIA TERESA")</f>
        <v>DREILI MARIA TERESA</v>
      </c>
      <c r="D1156" s="1" t="str">
        <f>IFERROR(__xludf.DUMMYFUNCTION("""COMPUTED_VALUE"""),"Reparaciones/Otros")</f>
        <v>Reparaciones/Otros</v>
      </c>
      <c r="E1156" s="1" t="str">
        <f>IFERROR(__xludf.DUMMYFUNCTION("""COMPUTED_VALUE"""),"RIVADAVIA Marcela L")</f>
        <v>RIVADAVIA Marcela L</v>
      </c>
      <c r="F1156" s="1" t="str">
        <f t="shared" si="1"/>
        <v>RIVADAVIA </v>
      </c>
      <c r="G1156" s="1" t="str">
        <f t="shared" si="2"/>
        <v>Marcela L</v>
      </c>
      <c r="H1156" s="1" t="str">
        <f>IFERROR(__xludf.DUMMYFUNCTION("""COMPUTED_VALUE"""),"28/1/2023, 17:00:00")</f>
        <v>28/1/2023, 17:00:00</v>
      </c>
      <c r="I1156" s="1" t="str">
        <f>IFERROR(__xludf.DUMMYFUNCTION("""COMPUTED_VALUE"""),"Recibido en Laboratorio")</f>
        <v>Recibido en Laboratorio</v>
      </c>
      <c r="J1156" s="1">
        <f t="shared" si="3"/>
        <v>2</v>
      </c>
      <c r="K1156" s="1" t="str">
        <f t="shared" si="4"/>
        <v>Nuestro Laboratorio esta trabajando en tus lentes, los entregaremos en la fecha acordada.</v>
      </c>
    </row>
    <row r="1157">
      <c r="A1157" s="1">
        <f>IFERROR(__xludf.DUMMYFUNCTION("""COMPUTED_VALUE"""),85707.0)</f>
        <v>85707</v>
      </c>
      <c r="B1157" s="5">
        <f>IFERROR(__xludf.DUMMYFUNCTION("""COMPUTED_VALUE"""),44953.50315483796)</f>
        <v>44953.50315</v>
      </c>
      <c r="C1157" s="1" t="str">
        <f>IFERROR(__xludf.DUMMYFUNCTION("""COMPUTED_VALUE"""),"PEREYRA RUBEN")</f>
        <v>PEREYRA RUBEN</v>
      </c>
      <c r="D1157" s="1" t="str">
        <f>IFERROR(__xludf.DUMMYFUNCTION("""COMPUTED_VALUE"""),"Lentes de STOCK")</f>
        <v>Lentes de STOCK</v>
      </c>
      <c r="E1157" s="1" t="str">
        <f>IFERROR(__xludf.DUMMYFUNCTION("""COMPUTED_VALUE"""),"ARTIGAS Ivana P.")</f>
        <v>ARTIGAS Ivana P.</v>
      </c>
      <c r="F1157" s="1" t="str">
        <f t="shared" si="1"/>
        <v>ARTIGAS </v>
      </c>
      <c r="G1157" s="1" t="str">
        <f t="shared" si="2"/>
        <v>Ivana P.</v>
      </c>
      <c r="H1157" s="1" t="str">
        <f>IFERROR(__xludf.DUMMYFUNCTION("""COMPUTED_VALUE"""),"1/2/2023, 17:00:00")</f>
        <v>1/2/2023, 17:00:00</v>
      </c>
      <c r="I1157" s="1" t="str">
        <f>IFERROR(__xludf.DUMMYFUNCTION("""COMPUTED_VALUE"""),"RETIRADO OK POR CLIENTE")</f>
        <v>RETIRADO OK POR CLIENTE</v>
      </c>
      <c r="J1157" s="1">
        <f t="shared" si="3"/>
        <v>6</v>
      </c>
      <c r="K1157" s="1" t="str">
        <f t="shared" si="4"/>
        <v>Entregamos tus lentes, que los disfrutes!</v>
      </c>
    </row>
    <row r="1158">
      <c r="A1158" s="1">
        <f>IFERROR(__xludf.DUMMYFUNCTION("""COMPUTED_VALUE"""),85708.0)</f>
        <v>85708</v>
      </c>
      <c r="B1158" s="5">
        <f>IFERROR(__xludf.DUMMYFUNCTION("""COMPUTED_VALUE"""),44953.505363460645)</f>
        <v>44953.50536</v>
      </c>
      <c r="C1158" s="1" t="str">
        <f>IFERROR(__xludf.DUMMYFUNCTION("""COMPUTED_VALUE"""),"SALINAS ESTEFANIA GIMENA")</f>
        <v>SALINAS ESTEFANIA GIMENA</v>
      </c>
      <c r="D1158" s="1" t="str">
        <f>IFERROR(__xludf.DUMMYFUNCTION("""COMPUTED_VALUE"""),"Lentes de STOCK")</f>
        <v>Lentes de STOCK</v>
      </c>
      <c r="E1158" s="1" t="str">
        <f>IFERROR(__xludf.DUMMYFUNCTION("""COMPUTED_VALUE"""),"ARTIGAS Cristian C.")</f>
        <v>ARTIGAS Cristian C.</v>
      </c>
      <c r="F1158" s="1" t="str">
        <f t="shared" si="1"/>
        <v>ARTIGAS </v>
      </c>
      <c r="G1158" s="1" t="str">
        <f t="shared" si="2"/>
        <v>Cristian C.</v>
      </c>
      <c r="H1158" s="1" t="str">
        <f>IFERROR(__xludf.DUMMYFUNCTION("""COMPUTED_VALUE"""),"2/2/2023, 17:00:00")</f>
        <v>2/2/2023, 17:00:00</v>
      </c>
      <c r="I1158" s="1" t="str">
        <f>IFERROR(__xludf.DUMMYFUNCTION("""COMPUTED_VALUE"""),"Completado en SUCURSAL")</f>
        <v>Completado en SUCURSAL</v>
      </c>
      <c r="J1158" s="1">
        <f t="shared" si="3"/>
        <v>5</v>
      </c>
      <c r="K1158" s="1" t="str">
        <f t="shared" si="4"/>
        <v>Tus Lentes estan LISTAS PARA ENTREGAR, te esperamos.</v>
      </c>
    </row>
    <row r="1159">
      <c r="A1159" s="1">
        <f>IFERROR(__xludf.DUMMYFUNCTION("""COMPUTED_VALUE"""),85709.0)</f>
        <v>85709</v>
      </c>
      <c r="B1159" s="5">
        <f>IFERROR(__xludf.DUMMYFUNCTION("""COMPUTED_VALUE"""),44953.50986262731)</f>
        <v>44953.50986</v>
      </c>
      <c r="C1159" s="1" t="str">
        <f>IFERROR(__xludf.DUMMYFUNCTION("""COMPUTED_VALUE"""),"PAEZ LUDMILA")</f>
        <v>PAEZ LUDMILA</v>
      </c>
      <c r="D1159" s="1" t="str">
        <f>IFERROR(__xludf.DUMMYFUNCTION("""COMPUTED_VALUE"""),"Lentes de STOCK")</f>
        <v>Lentes de STOCK</v>
      </c>
      <c r="E1159" s="1" t="str">
        <f>IFERROR(__xludf.DUMMYFUNCTION("""COMPUTED_VALUE"""),"ARTIGAS Ivana P.")</f>
        <v>ARTIGAS Ivana P.</v>
      </c>
      <c r="F1159" s="1" t="str">
        <f t="shared" si="1"/>
        <v>ARTIGAS </v>
      </c>
      <c r="G1159" s="1" t="str">
        <f t="shared" si="2"/>
        <v>Ivana P.</v>
      </c>
      <c r="H1159" s="1" t="str">
        <f>IFERROR(__xludf.DUMMYFUNCTION("""COMPUTED_VALUE"""),"31/1/2023, 17:00:00")</f>
        <v>31/1/2023, 17:00:00</v>
      </c>
      <c r="I1159" s="1" t="str">
        <f>IFERROR(__xludf.DUMMYFUNCTION("""COMPUTED_VALUE"""),"Completado en SUCURSAL")</f>
        <v>Completado en SUCURSAL</v>
      </c>
      <c r="J1159" s="1">
        <f t="shared" si="3"/>
        <v>5</v>
      </c>
      <c r="K1159" s="1" t="str">
        <f t="shared" si="4"/>
        <v>Tus Lentes estan LISTAS PARA ENTREGAR, te esperamos.</v>
      </c>
    </row>
    <row r="1160">
      <c r="A1160" s="1">
        <f>IFERROR(__xludf.DUMMYFUNCTION("""COMPUTED_VALUE"""),85710.0)</f>
        <v>85710</v>
      </c>
      <c r="B1160" s="5">
        <f>IFERROR(__xludf.DUMMYFUNCTION("""COMPUTED_VALUE"""),44953.51249930555)</f>
        <v>44953.5125</v>
      </c>
      <c r="C1160" s="1" t="str">
        <f>IFERROR(__xludf.DUMMYFUNCTION("""COMPUTED_VALUE"""),"BUSTOS NICOLAS")</f>
        <v>BUSTOS NICOLAS</v>
      </c>
      <c r="D1160" s="1" t="str">
        <f>IFERROR(__xludf.DUMMYFUNCTION("""COMPUTED_VALUE"""),"Reparaciones/Otros")</f>
        <v>Reparaciones/Otros</v>
      </c>
      <c r="E1160" s="1" t="str">
        <f>IFERROR(__xludf.DUMMYFUNCTION("""COMPUTED_VALUE"""),"ARTIGAS Cristian C.")</f>
        <v>ARTIGAS Cristian C.</v>
      </c>
      <c r="F1160" s="1" t="str">
        <f t="shared" si="1"/>
        <v>ARTIGAS </v>
      </c>
      <c r="G1160" s="1" t="str">
        <f t="shared" si="2"/>
        <v>Cristian C.</v>
      </c>
      <c r="H1160" s="1" t="str">
        <f>IFERROR(__xludf.DUMMYFUNCTION("""COMPUTED_VALUE"""),"31/1/2023, 17:00:00")</f>
        <v>31/1/2023, 17:00:00</v>
      </c>
      <c r="I1160" s="1" t="str">
        <f>IFERROR(__xludf.DUMMYFUNCTION("""COMPUTED_VALUE"""),"RETIRADO OK POR CLIENTE")</f>
        <v>RETIRADO OK POR CLIENTE</v>
      </c>
      <c r="J1160" s="1">
        <f t="shared" si="3"/>
        <v>6</v>
      </c>
      <c r="K1160" s="1" t="str">
        <f t="shared" si="4"/>
        <v>Entregamos tus lentes, que los disfrutes!</v>
      </c>
    </row>
    <row r="1161">
      <c r="A1161" s="1">
        <f>IFERROR(__xludf.DUMMYFUNCTION("""COMPUTED_VALUE"""),85711.0)</f>
        <v>85711</v>
      </c>
      <c r="B1161" s="5">
        <f>IFERROR(__xludf.DUMMYFUNCTION("""COMPUTED_VALUE"""),44953.51461439815)</f>
        <v>44953.51461</v>
      </c>
      <c r="C1161" s="1" t="str">
        <f>IFERROR(__xludf.DUMMYFUNCTION("""COMPUTED_VALUE"""),"RODRIGUEZ LAURA")</f>
        <v>RODRIGUEZ LAURA</v>
      </c>
      <c r="D1161" s="1" t="str">
        <f>IFERROR(__xludf.DUMMYFUNCTION("""COMPUTED_VALUE"""),"Lentes de STOCK")</f>
        <v>Lentes de STOCK</v>
      </c>
      <c r="E1161" s="1" t="str">
        <f>IFERROR(__xludf.DUMMYFUNCTION("""COMPUTED_VALUE"""),"RIVADAVIA Luciana")</f>
        <v>RIVADAVIA Luciana</v>
      </c>
      <c r="F1161" s="1" t="str">
        <f t="shared" si="1"/>
        <v>RIVADAVIA </v>
      </c>
      <c r="G1161" s="1" t="str">
        <f t="shared" si="2"/>
        <v>Luciana</v>
      </c>
      <c r="H1161" s="1" t="str">
        <f>IFERROR(__xludf.DUMMYFUNCTION("""COMPUTED_VALUE"""),"2/2/2023, 17:00:00")</f>
        <v>2/2/2023, 17:00:00</v>
      </c>
      <c r="I1161" s="1" t="str">
        <f>IFERROR(__xludf.DUMMYFUNCTION("""COMPUTED_VALUE"""),"Completado en SUCURSAL")</f>
        <v>Completado en SUCURSAL</v>
      </c>
      <c r="J1161" s="1">
        <f t="shared" si="3"/>
        <v>5</v>
      </c>
      <c r="K1161" s="1" t="str">
        <f t="shared" si="4"/>
        <v>Tus Lentes estan LISTAS PARA ENTREGAR, te esperamos.</v>
      </c>
    </row>
    <row r="1162">
      <c r="A1162" s="1">
        <f>IFERROR(__xludf.DUMMYFUNCTION("""COMPUTED_VALUE"""),85712.0)</f>
        <v>85712</v>
      </c>
      <c r="B1162" s="5">
        <f>IFERROR(__xludf.DUMMYFUNCTION("""COMPUTED_VALUE"""),44953.53389116898)</f>
        <v>44953.53389</v>
      </c>
      <c r="C1162" s="1" t="str">
        <f>IFERROR(__xludf.DUMMYFUNCTION("""COMPUTED_VALUE"""),"SALINAS MARIA BELEN")</f>
        <v>SALINAS MARIA BELEN</v>
      </c>
      <c r="D1162" s="1" t="str">
        <f>IFERROR(__xludf.DUMMYFUNCTION("""COMPUTED_VALUE"""),"Lentes de STOCK")</f>
        <v>Lentes de STOCK</v>
      </c>
      <c r="E1162" s="1" t="str">
        <f>IFERROR(__xludf.DUMMYFUNCTION("""COMPUTED_VALUE"""),"RIVADAVIA Marcela L")</f>
        <v>RIVADAVIA Marcela L</v>
      </c>
      <c r="F1162" s="1" t="str">
        <f t="shared" si="1"/>
        <v>RIVADAVIA </v>
      </c>
      <c r="G1162" s="1" t="str">
        <f t="shared" si="2"/>
        <v>Marcela L</v>
      </c>
      <c r="H1162" s="1" t="str">
        <f>IFERROR(__xludf.DUMMYFUNCTION("""COMPUTED_VALUE"""),"1/2/2023, 17:00:00")</f>
        <v>1/2/2023, 17:00:00</v>
      </c>
      <c r="I1162" s="1" t="str">
        <f>IFERROR(__xludf.DUMMYFUNCTION("""COMPUTED_VALUE"""),"Completado en SUCURSAL")</f>
        <v>Completado en SUCURSAL</v>
      </c>
      <c r="J1162" s="1">
        <f t="shared" si="3"/>
        <v>5</v>
      </c>
      <c r="K1162" s="1" t="str">
        <f t="shared" si="4"/>
        <v>Tus Lentes estan LISTAS PARA ENTREGAR, te esperamos.</v>
      </c>
    </row>
    <row r="1163">
      <c r="A1163" s="1">
        <f>IFERROR(__xludf.DUMMYFUNCTION("""COMPUTED_VALUE"""),85713.0)</f>
        <v>85713</v>
      </c>
      <c r="B1163" s="5">
        <f>IFERROR(__xludf.DUMMYFUNCTION("""COMPUTED_VALUE"""),44953.535839930555)</f>
        <v>44953.53584</v>
      </c>
      <c r="C1163" s="1" t="str">
        <f>IFERROR(__xludf.DUMMYFUNCTION("""COMPUTED_VALUE"""),"GOMEZ CARMEN ")</f>
        <v>GOMEZ CARMEN </v>
      </c>
      <c r="D1163" s="1" t="str">
        <f>IFERROR(__xludf.DUMMYFUNCTION("""COMPUTED_VALUE"""),"Lentes de STOCK")</f>
        <v>Lentes de STOCK</v>
      </c>
      <c r="E1163" s="1" t="str">
        <f>IFERROR(__xludf.DUMMYFUNCTION("""COMPUTED_VALUE"""),"RIVADAVIA Luciana")</f>
        <v>RIVADAVIA Luciana</v>
      </c>
      <c r="F1163" s="1" t="str">
        <f t="shared" si="1"/>
        <v>RIVADAVIA </v>
      </c>
      <c r="G1163" s="1" t="str">
        <f t="shared" si="2"/>
        <v>Luciana</v>
      </c>
      <c r="H1163" s="1" t="str">
        <f>IFERROR(__xludf.DUMMYFUNCTION("""COMPUTED_VALUE"""),"1/2/2023, 17:00:00")</f>
        <v>1/2/2023, 17:00:00</v>
      </c>
      <c r="I1163" s="1" t="str">
        <f>IFERROR(__xludf.DUMMYFUNCTION("""COMPUTED_VALUE"""),"Completado en SUCURSAL")</f>
        <v>Completado en SUCURSAL</v>
      </c>
      <c r="J1163" s="1">
        <f t="shared" si="3"/>
        <v>5</v>
      </c>
      <c r="K1163" s="1" t="str">
        <f t="shared" si="4"/>
        <v>Tus Lentes estan LISTAS PARA ENTREGAR, te esperamos.</v>
      </c>
    </row>
    <row r="1164">
      <c r="A1164" s="1">
        <f>IFERROR(__xludf.DUMMYFUNCTION("""COMPUTED_VALUE"""),85714.0)</f>
        <v>85714</v>
      </c>
      <c r="B1164" s="5">
        <f>IFERROR(__xludf.DUMMYFUNCTION("""COMPUTED_VALUE"""),44953.53787097222)</f>
        <v>44953.53787</v>
      </c>
      <c r="C1164" s="1" t="str">
        <f>IFERROR(__xludf.DUMMYFUNCTION("""COMPUTED_VALUE"""),"OJEDA  GUILLERMO")</f>
        <v>OJEDA  GUILLERMO</v>
      </c>
      <c r="D1164" s="1" t="str">
        <f>IFERROR(__xludf.DUMMYFUNCTION("""COMPUTED_VALUE"""),"Lentes de STOCK")</f>
        <v>Lentes de STOCK</v>
      </c>
      <c r="E1164" s="1" t="str">
        <f>IFERROR(__xludf.DUMMYFUNCTION("""COMPUTED_VALUE"""),"ARTIGAS Ivana P.")</f>
        <v>ARTIGAS Ivana P.</v>
      </c>
      <c r="F1164" s="1" t="str">
        <f t="shared" si="1"/>
        <v>ARTIGAS </v>
      </c>
      <c r="G1164" s="1" t="str">
        <f t="shared" si="2"/>
        <v>Ivana P.</v>
      </c>
      <c r="H1164" s="1" t="str">
        <f>IFERROR(__xludf.DUMMYFUNCTION("""COMPUTED_VALUE"""),"31/1/2023, 17:00:00")</f>
        <v>31/1/2023, 17:00:00</v>
      </c>
      <c r="I1164" s="1" t="str">
        <f>IFERROR(__xludf.DUMMYFUNCTION("""COMPUTED_VALUE"""),"RETIRADO OK POR CLIENTE")</f>
        <v>RETIRADO OK POR CLIENTE</v>
      </c>
      <c r="J1164" s="1">
        <f t="shared" si="3"/>
        <v>6</v>
      </c>
      <c r="K1164" s="1" t="str">
        <f t="shared" si="4"/>
        <v>Entregamos tus lentes, que los disfrutes!</v>
      </c>
    </row>
    <row r="1165">
      <c r="A1165" s="1">
        <f>IFERROR(__xludf.DUMMYFUNCTION("""COMPUTED_VALUE"""),85715.0)</f>
        <v>85715</v>
      </c>
      <c r="B1165" s="5">
        <f>IFERROR(__xludf.DUMMYFUNCTION("""COMPUTED_VALUE"""),44953.54140351852)</f>
        <v>44953.5414</v>
      </c>
      <c r="C1165" s="1" t="str">
        <f>IFERROR(__xludf.DUMMYFUNCTION("""COMPUTED_VALUE"""),"Gomez Sheila")</f>
        <v>Gomez Sheila</v>
      </c>
      <c r="D1165" s="1" t="str">
        <f>IFERROR(__xludf.DUMMYFUNCTION("""COMPUTED_VALUE"""),"Lentes de LABORATORIO")</f>
        <v>Lentes de LABORATORIO</v>
      </c>
      <c r="E1165" s="1" t="str">
        <f>IFERROR(__xludf.DUMMYFUNCTION("""COMPUTED_VALUE"""),"RIVADAVIA Rocio B")</f>
        <v>RIVADAVIA Rocio B</v>
      </c>
      <c r="F1165" s="1" t="str">
        <f t="shared" si="1"/>
        <v>RIVADAVIA </v>
      </c>
      <c r="G1165" s="1" t="str">
        <f t="shared" si="2"/>
        <v>Rocio B</v>
      </c>
      <c r="H1165" s="1" t="str">
        <f>IFERROR(__xludf.DUMMYFUNCTION("""COMPUTED_VALUE"""),"10/2/2023, 17:00:00")</f>
        <v>10/2/2023, 17:00:00</v>
      </c>
      <c r="I1165" s="1" t="str">
        <f>IFERROR(__xludf.DUMMYFUNCTION("""COMPUTED_VALUE"""),"RETIRADO OK POR CLIENTE")</f>
        <v>RETIRADO OK POR CLIENTE</v>
      </c>
      <c r="J1165" s="1">
        <f t="shared" si="3"/>
        <v>6</v>
      </c>
      <c r="K1165" s="1" t="str">
        <f t="shared" si="4"/>
        <v>Entregamos tus lentes, que los disfrutes!</v>
      </c>
    </row>
    <row r="1166">
      <c r="A1166" s="1">
        <f>IFERROR(__xludf.DUMMYFUNCTION("""COMPUTED_VALUE"""),85716.0)</f>
        <v>85716</v>
      </c>
      <c r="B1166" s="5">
        <f>IFERROR(__xludf.DUMMYFUNCTION("""COMPUTED_VALUE"""),44953.54804576389)</f>
        <v>44953.54805</v>
      </c>
      <c r="C1166" s="1" t="str">
        <f>IFERROR(__xludf.DUMMYFUNCTION("""COMPUTED_VALUE"""),"ORTEGA SILVINA")</f>
        <v>ORTEGA SILVINA</v>
      </c>
      <c r="D1166" s="1" t="str">
        <f>IFERROR(__xludf.DUMMYFUNCTION("""COMPUTED_VALUE"""),"Reparaciones/Otros")</f>
        <v>Reparaciones/Otros</v>
      </c>
      <c r="E1166" s="1" t="str">
        <f>IFERROR(__xludf.DUMMYFUNCTION("""COMPUTED_VALUE"""),"RIVADAVIA Marcela L")</f>
        <v>RIVADAVIA Marcela L</v>
      </c>
      <c r="F1166" s="1" t="str">
        <f t="shared" si="1"/>
        <v>RIVADAVIA </v>
      </c>
      <c r="G1166" s="1" t="str">
        <f t="shared" si="2"/>
        <v>Marcela L</v>
      </c>
      <c r="H1166" s="1" t="str">
        <f>IFERROR(__xludf.DUMMYFUNCTION("""COMPUTED_VALUE"""),"28/1/2023, 17:00:00")</f>
        <v>28/1/2023, 17:00:00</v>
      </c>
      <c r="I1166" s="1" t="str">
        <f>IFERROR(__xludf.DUMMYFUNCTION("""COMPUTED_VALUE"""),"Recibido en Laboratorio")</f>
        <v>Recibido en Laboratorio</v>
      </c>
      <c r="J1166" s="1">
        <f t="shared" si="3"/>
        <v>2</v>
      </c>
      <c r="K1166" s="1" t="str">
        <f t="shared" si="4"/>
        <v>Nuestro Laboratorio esta trabajando en tus lentes, los entregaremos en la fecha acordada.</v>
      </c>
    </row>
    <row r="1167">
      <c r="A1167" s="1">
        <f>IFERROR(__xludf.DUMMYFUNCTION("""COMPUTED_VALUE"""),85717.0)</f>
        <v>85717</v>
      </c>
      <c r="B1167" s="5">
        <f>IFERROR(__xludf.DUMMYFUNCTION("""COMPUTED_VALUE"""),44953.553545393515)</f>
        <v>44953.55355</v>
      </c>
      <c r="C1167" s="1" t="str">
        <f>IFERROR(__xludf.DUMMYFUNCTION("""COMPUTED_VALUE"""),"MUÑOZ MARIA DEL CARMEN")</f>
        <v>MUÑOZ MARIA DEL CARMEN</v>
      </c>
      <c r="D1167" s="1" t="str">
        <f>IFERROR(__xludf.DUMMYFUNCTION("""COMPUTED_VALUE"""),"Lentes MULTIFOCALES")</f>
        <v>Lentes MULTIFOCALES</v>
      </c>
      <c r="E1167" s="1" t="str">
        <f>IFERROR(__xludf.DUMMYFUNCTION("""COMPUTED_VALUE"""),"ARTIGAS Ivana P.")</f>
        <v>ARTIGAS Ivana P.</v>
      </c>
      <c r="F1167" s="1" t="str">
        <f t="shared" si="1"/>
        <v>ARTIGAS </v>
      </c>
      <c r="G1167" s="1" t="str">
        <f t="shared" si="2"/>
        <v>Ivana P.</v>
      </c>
      <c r="H1167" s="1" t="str">
        <f>IFERROR(__xludf.DUMMYFUNCTION("""COMPUTED_VALUE"""),"9/2/2023, 17:00:00")</f>
        <v>9/2/2023, 17:00:00</v>
      </c>
      <c r="I1167" s="1" t="str">
        <f>IFERROR(__xludf.DUMMYFUNCTION("""COMPUTED_VALUE"""),"RETIRADO OK POR CLIENTE")</f>
        <v>RETIRADO OK POR CLIENTE</v>
      </c>
      <c r="J1167" s="1">
        <f t="shared" si="3"/>
        <v>6</v>
      </c>
      <c r="K1167" s="1" t="str">
        <f t="shared" si="4"/>
        <v>Entregamos tus lentes, que los disfrutes!</v>
      </c>
    </row>
    <row r="1168">
      <c r="A1168" s="1">
        <f>IFERROR(__xludf.DUMMYFUNCTION("""COMPUTED_VALUE"""),85718.0)</f>
        <v>85718</v>
      </c>
      <c r="B1168" s="5">
        <f>IFERROR(__xludf.DUMMYFUNCTION("""COMPUTED_VALUE"""),44953.5537009375)</f>
        <v>44953.5537</v>
      </c>
      <c r="C1168" s="1" t="str">
        <f>IFERROR(__xludf.DUMMYFUNCTION("""COMPUTED_VALUE"""),"Martina Elizabeth")</f>
        <v>Martina Elizabeth</v>
      </c>
      <c r="D1168" s="1" t="str">
        <f>IFERROR(__xludf.DUMMYFUNCTION("""COMPUTED_VALUE"""),"Lentes MULTIFOCALES")</f>
        <v>Lentes MULTIFOCALES</v>
      </c>
      <c r="E1168" s="1" t="str">
        <f>IFERROR(__xludf.DUMMYFUNCTION("""COMPUTED_VALUE"""),"RIVADAVIA Rocio B")</f>
        <v>RIVADAVIA Rocio B</v>
      </c>
      <c r="F1168" s="1" t="str">
        <f t="shared" si="1"/>
        <v>RIVADAVIA </v>
      </c>
      <c r="G1168" s="1" t="str">
        <f t="shared" si="2"/>
        <v>Rocio B</v>
      </c>
      <c r="H1168" s="1" t="str">
        <f>IFERROR(__xludf.DUMMYFUNCTION("""COMPUTED_VALUE"""),"15/2/2023, 17:00:00")</f>
        <v>15/2/2023, 17:00:00</v>
      </c>
      <c r="I1168" s="1" t="str">
        <f>IFERROR(__xludf.DUMMYFUNCTION("""COMPUTED_VALUE"""),"RETIRADO OK POR CLIENTE")</f>
        <v>RETIRADO OK POR CLIENTE</v>
      </c>
      <c r="J1168" s="1">
        <f t="shared" si="3"/>
        <v>6</v>
      </c>
      <c r="K1168" s="1" t="str">
        <f t="shared" si="4"/>
        <v>Entregamos tus lentes, que los disfrutes!</v>
      </c>
    </row>
    <row r="1169">
      <c r="A1169" s="1">
        <f>IFERROR(__xludf.DUMMYFUNCTION("""COMPUTED_VALUE"""),85719.0)</f>
        <v>85719</v>
      </c>
      <c r="B1169" s="5">
        <f>IFERROR(__xludf.DUMMYFUNCTION("""COMPUTED_VALUE"""),44953.55414461806)</f>
        <v>44953.55414</v>
      </c>
      <c r="C1169" s="1" t="str">
        <f>IFERROR(__xludf.DUMMYFUNCTION("""COMPUTED_VALUE"""),"MOYANO JENNIFER")</f>
        <v>MOYANO JENNIFER</v>
      </c>
      <c r="D1169" s="1" t="str">
        <f>IFERROR(__xludf.DUMMYFUNCTION("""COMPUTED_VALUE"""),"Lentes de STOCK")</f>
        <v>Lentes de STOCK</v>
      </c>
      <c r="E1169" s="1" t="str">
        <f>IFERROR(__xludf.DUMMYFUNCTION("""COMPUTED_VALUE"""),"ARTIGAS Cristian C.")</f>
        <v>ARTIGAS Cristian C.</v>
      </c>
      <c r="F1169" s="1" t="str">
        <f t="shared" si="1"/>
        <v>ARTIGAS </v>
      </c>
      <c r="G1169" s="1" t="str">
        <f t="shared" si="2"/>
        <v>Cristian C.</v>
      </c>
      <c r="H1169" s="1" t="str">
        <f>IFERROR(__xludf.DUMMYFUNCTION("""COMPUTED_VALUE"""),"3/2/2023, 17:00:00")</f>
        <v>3/2/2023, 17:00:00</v>
      </c>
      <c r="I1169" s="1" t="str">
        <f>IFERROR(__xludf.DUMMYFUNCTION("""COMPUTED_VALUE"""),"RETIRADO OK POR CLIENTE")</f>
        <v>RETIRADO OK POR CLIENTE</v>
      </c>
      <c r="J1169" s="1">
        <f t="shared" si="3"/>
        <v>6</v>
      </c>
      <c r="K1169" s="1" t="str">
        <f t="shared" si="4"/>
        <v>Entregamos tus lentes, que los disfrutes!</v>
      </c>
    </row>
    <row r="1170">
      <c r="A1170" s="1">
        <f>IFERROR(__xludf.DUMMYFUNCTION("""COMPUTED_VALUE"""),85720.0)</f>
        <v>85720</v>
      </c>
      <c r="B1170" s="5">
        <f>IFERROR(__xludf.DUMMYFUNCTION("""COMPUTED_VALUE"""),44953.561476006944)</f>
        <v>44953.56148</v>
      </c>
      <c r="C1170" s="1" t="str">
        <f>IFERROR(__xludf.DUMMYFUNCTION("""COMPUTED_VALUE"""),"GLUSMAN VALERIA")</f>
        <v>GLUSMAN VALERIA</v>
      </c>
      <c r="D1170" s="1" t="str">
        <f>IFERROR(__xludf.DUMMYFUNCTION("""COMPUTED_VALUE"""),"Lentes MULTIFOCALES")</f>
        <v>Lentes MULTIFOCALES</v>
      </c>
      <c r="E1170" s="1" t="str">
        <f>IFERROR(__xludf.DUMMYFUNCTION("""COMPUTED_VALUE"""),"RIVADAVIA Santiago LOPEZ")</f>
        <v>RIVADAVIA Santiago LOPEZ</v>
      </c>
      <c r="F1170" s="1" t="str">
        <f t="shared" si="1"/>
        <v>RIVADAVIA </v>
      </c>
      <c r="G1170" s="1" t="str">
        <f t="shared" si="2"/>
        <v>Santiago LOPEZ</v>
      </c>
      <c r="H1170" s="1" t="str">
        <f>IFERROR(__xludf.DUMMYFUNCTION("""COMPUTED_VALUE"""),"9/2/2023, 17:00:00")</f>
        <v>9/2/2023, 17:00:00</v>
      </c>
      <c r="I1170" s="1" t="str">
        <f>IFERROR(__xludf.DUMMYFUNCTION("""COMPUTED_VALUE"""),"RETIRADO OK POR CLIENTE")</f>
        <v>RETIRADO OK POR CLIENTE</v>
      </c>
      <c r="J1170" s="1">
        <f t="shared" si="3"/>
        <v>6</v>
      </c>
      <c r="K1170" s="1" t="str">
        <f t="shared" si="4"/>
        <v>Entregamos tus lentes, que los disfrutes!</v>
      </c>
    </row>
    <row r="1171">
      <c r="A1171" s="1">
        <f>IFERROR(__xludf.DUMMYFUNCTION("""COMPUTED_VALUE"""),85721.0)</f>
        <v>85721</v>
      </c>
      <c r="B1171" s="5">
        <f>IFERROR(__xludf.DUMMYFUNCTION("""COMPUTED_VALUE"""),44953.710761504626)</f>
        <v>44953.71076</v>
      </c>
      <c r="C1171" s="1" t="str">
        <f>IFERROR(__xludf.DUMMYFUNCTION("""COMPUTED_VALUE"""),"PALMA CAMILA")</f>
        <v>PALMA CAMILA</v>
      </c>
      <c r="D1171" s="1" t="str">
        <f>IFERROR(__xludf.DUMMYFUNCTION("""COMPUTED_VALUE"""),"Lentes de STOCK")</f>
        <v>Lentes de STOCK</v>
      </c>
      <c r="E1171" s="1" t="str">
        <f>IFERROR(__xludf.DUMMYFUNCTION("""COMPUTED_VALUE"""),"ARTIGAS Cristian C.")</f>
        <v>ARTIGAS Cristian C.</v>
      </c>
      <c r="F1171" s="1" t="str">
        <f t="shared" si="1"/>
        <v>ARTIGAS </v>
      </c>
      <c r="G1171" s="1" t="str">
        <f t="shared" si="2"/>
        <v>Cristian C.</v>
      </c>
      <c r="H1171" s="1" t="str">
        <f>IFERROR(__xludf.DUMMYFUNCTION("""COMPUTED_VALUE"""),"3/2/2023, 17:00:00")</f>
        <v>3/2/2023, 17:00:00</v>
      </c>
      <c r="I1171" s="1" t="str">
        <f>IFERROR(__xludf.DUMMYFUNCTION("""COMPUTED_VALUE"""),"RETIRADO OK POR CLIENTE")</f>
        <v>RETIRADO OK POR CLIENTE</v>
      </c>
      <c r="J1171" s="1">
        <f t="shared" si="3"/>
        <v>6</v>
      </c>
      <c r="K1171" s="1" t="str">
        <f t="shared" si="4"/>
        <v>Entregamos tus lentes, que los disfrutes!</v>
      </c>
    </row>
    <row r="1172">
      <c r="A1172" s="1">
        <f>IFERROR(__xludf.DUMMYFUNCTION("""COMPUTED_VALUE"""),85722.0)</f>
        <v>85722</v>
      </c>
      <c r="B1172" s="5">
        <f>IFERROR(__xludf.DUMMYFUNCTION("""COMPUTED_VALUE"""),44953.722765949075)</f>
        <v>44953.72277</v>
      </c>
      <c r="C1172" s="1" t="str">
        <f>IFERROR(__xludf.DUMMYFUNCTION("""COMPUTED_VALUE"""),"SOSA SILVIA INES   ")</f>
        <v>SOSA SILVIA INES   </v>
      </c>
      <c r="D1172" s="1" t="str">
        <f>IFERROR(__xludf.DUMMYFUNCTION("""COMPUTED_VALUE"""),"Lentes de STOCK")</f>
        <v>Lentes de STOCK</v>
      </c>
      <c r="E1172" s="1" t="str">
        <f>IFERROR(__xludf.DUMMYFUNCTION("""COMPUTED_VALUE"""),"ARTIGAS Cristian C.")</f>
        <v>ARTIGAS Cristian C.</v>
      </c>
      <c r="F1172" s="1" t="str">
        <f t="shared" si="1"/>
        <v>ARTIGAS </v>
      </c>
      <c r="G1172" s="1" t="str">
        <f t="shared" si="2"/>
        <v>Cristian C.</v>
      </c>
      <c r="H1172" s="1" t="str">
        <f>IFERROR(__xludf.DUMMYFUNCTION("""COMPUTED_VALUE"""),"03/2/2023, 17:00:00")</f>
        <v>03/2/2023, 17:00:00</v>
      </c>
      <c r="I1172" s="1" t="str">
        <f>IFERROR(__xludf.DUMMYFUNCTION("""COMPUTED_VALUE"""),"RETIRADO OK POR CLIENTE")</f>
        <v>RETIRADO OK POR CLIENTE</v>
      </c>
      <c r="J1172" s="1">
        <f t="shared" si="3"/>
        <v>6</v>
      </c>
      <c r="K1172" s="1" t="str">
        <f t="shared" si="4"/>
        <v>Entregamos tus lentes, que los disfrutes!</v>
      </c>
    </row>
    <row r="1173">
      <c r="A1173" s="1">
        <f>IFERROR(__xludf.DUMMYFUNCTION("""COMPUTED_VALUE"""),85723.0)</f>
        <v>85723</v>
      </c>
      <c r="B1173" s="5">
        <f>IFERROR(__xludf.DUMMYFUNCTION("""COMPUTED_VALUE"""),44953.723836944446)</f>
        <v>44953.72384</v>
      </c>
      <c r="C1173" s="1" t="str">
        <f>IFERROR(__xludf.DUMMYFUNCTION("""COMPUTED_VALUE"""),"WERCHARACKI CARLOS")</f>
        <v>WERCHARACKI CARLOS</v>
      </c>
      <c r="D1173" s="1" t="str">
        <f>IFERROR(__xludf.DUMMYFUNCTION("""COMPUTED_VALUE"""),"Lentes de STOCK")</f>
        <v>Lentes de STOCK</v>
      </c>
      <c r="E1173" s="1" t="str">
        <f>IFERROR(__xludf.DUMMYFUNCTION("""COMPUTED_VALUE"""),"ARTIGAS Ivana P.")</f>
        <v>ARTIGAS Ivana P.</v>
      </c>
      <c r="F1173" s="1" t="str">
        <f t="shared" si="1"/>
        <v>ARTIGAS </v>
      </c>
      <c r="G1173" s="1" t="str">
        <f t="shared" si="2"/>
        <v>Ivana P.</v>
      </c>
      <c r="H1173" s="1" t="str">
        <f>IFERROR(__xludf.DUMMYFUNCTION("""COMPUTED_VALUE"""),"8/2/2023, 17:00:00")</f>
        <v>8/2/2023, 17:00:00</v>
      </c>
      <c r="I1173" s="1" t="str">
        <f>IFERROR(__xludf.DUMMYFUNCTION("""COMPUTED_VALUE"""),"RETIRADO OK POR CLIENTE")</f>
        <v>RETIRADO OK POR CLIENTE</v>
      </c>
      <c r="J1173" s="1">
        <f t="shared" si="3"/>
        <v>6</v>
      </c>
      <c r="K1173" s="1" t="str">
        <f t="shared" si="4"/>
        <v>Entregamos tus lentes, que los disfrutes!</v>
      </c>
    </row>
    <row r="1174">
      <c r="A1174" s="1">
        <f>IFERROR(__xludf.DUMMYFUNCTION("""COMPUTED_VALUE"""),85724.0)</f>
        <v>85724</v>
      </c>
      <c r="B1174" s="5">
        <f>IFERROR(__xludf.DUMMYFUNCTION("""COMPUTED_VALUE"""),44953.728956666666)</f>
        <v>44953.72896</v>
      </c>
      <c r="C1174" s="1" t="str">
        <f>IFERROR(__xludf.DUMMYFUNCTION("""COMPUTED_VALUE"""),"DE PETRI SILVINA STEFANI")</f>
        <v>DE PETRI SILVINA STEFANI</v>
      </c>
      <c r="D1174" s="1" t="str">
        <f>IFERROR(__xludf.DUMMYFUNCTION("""COMPUTED_VALUE"""),"Lentes de STOCK")</f>
        <v>Lentes de STOCK</v>
      </c>
      <c r="E1174" s="1" t="str">
        <f>IFERROR(__xludf.DUMMYFUNCTION("""COMPUTED_VALUE"""),"RIVADAVIA Marcela L")</f>
        <v>RIVADAVIA Marcela L</v>
      </c>
      <c r="F1174" s="1" t="str">
        <f t="shared" si="1"/>
        <v>RIVADAVIA </v>
      </c>
      <c r="G1174" s="1" t="str">
        <f t="shared" si="2"/>
        <v>Marcela L</v>
      </c>
      <c r="H1174" s="1" t="str">
        <f>IFERROR(__xludf.DUMMYFUNCTION("""COMPUTED_VALUE"""),"1/2/2023, 17:00:00")</f>
        <v>1/2/2023, 17:00:00</v>
      </c>
      <c r="I1174" s="1" t="str">
        <f>IFERROR(__xludf.DUMMYFUNCTION("""COMPUTED_VALUE"""),"Completado en SUCURSAL")</f>
        <v>Completado en SUCURSAL</v>
      </c>
      <c r="J1174" s="1">
        <f t="shared" si="3"/>
        <v>5</v>
      </c>
      <c r="K1174" s="1" t="str">
        <f t="shared" si="4"/>
        <v>Tus Lentes estan LISTAS PARA ENTREGAR, te esperamos.</v>
      </c>
    </row>
    <row r="1175">
      <c r="A1175" s="1">
        <f>IFERROR(__xludf.DUMMYFUNCTION("""COMPUTED_VALUE"""),85725.0)</f>
        <v>85725</v>
      </c>
      <c r="B1175" s="5">
        <f>IFERROR(__xludf.DUMMYFUNCTION("""COMPUTED_VALUE"""),44953.76184332176)</f>
        <v>44953.76184</v>
      </c>
      <c r="C1175" s="1" t="str">
        <f>IFERROR(__xludf.DUMMYFUNCTION("""COMPUTED_VALUE"""),"ALANIZ MARIA")</f>
        <v>ALANIZ MARIA</v>
      </c>
      <c r="D1175" s="1" t="str">
        <f>IFERROR(__xludf.DUMMYFUNCTION("""COMPUTED_VALUE"""),"Lentes de STOCK")</f>
        <v>Lentes de STOCK</v>
      </c>
      <c r="E1175" s="1" t="str">
        <f>IFERROR(__xludf.DUMMYFUNCTION("""COMPUTED_VALUE"""),"ARTIGAS Ivana P.")</f>
        <v>ARTIGAS Ivana P.</v>
      </c>
      <c r="F1175" s="1" t="str">
        <f t="shared" si="1"/>
        <v>ARTIGAS </v>
      </c>
      <c r="G1175" s="1" t="str">
        <f t="shared" si="2"/>
        <v>Ivana P.</v>
      </c>
      <c r="H1175" s="1" t="str">
        <f>IFERROR(__xludf.DUMMYFUNCTION("""COMPUTED_VALUE"""),"2/2/2023, 17:00:00")</f>
        <v>2/2/2023, 17:00:00</v>
      </c>
      <c r="I1175" s="1" t="str">
        <f>IFERROR(__xludf.DUMMYFUNCTION("""COMPUTED_VALUE"""),"Completado en SUCURSAL")</f>
        <v>Completado en SUCURSAL</v>
      </c>
      <c r="J1175" s="1">
        <f t="shared" si="3"/>
        <v>5</v>
      </c>
      <c r="K1175" s="1" t="str">
        <f t="shared" si="4"/>
        <v>Tus Lentes estan LISTAS PARA ENTREGAR, te esperamos.</v>
      </c>
    </row>
    <row r="1176">
      <c r="A1176" s="1">
        <f>IFERROR(__xludf.DUMMYFUNCTION("""COMPUTED_VALUE"""),85726.0)</f>
        <v>85726</v>
      </c>
      <c r="B1176" s="5">
        <f>IFERROR(__xludf.DUMMYFUNCTION("""COMPUTED_VALUE"""),44953.76766521991)</f>
        <v>44953.76767</v>
      </c>
      <c r="C1176" s="1" t="str">
        <f>IFERROR(__xludf.DUMMYFUNCTION("""COMPUTED_VALUE"""),"laura sarlenga")</f>
        <v>laura sarlenga</v>
      </c>
      <c r="D1176" s="1" t="str">
        <f>IFERROR(__xludf.DUMMYFUNCTION("""COMPUTED_VALUE"""),"Reparaciones/Otros")</f>
        <v>Reparaciones/Otros</v>
      </c>
      <c r="E1176" s="1" t="str">
        <f>IFERROR(__xludf.DUMMYFUNCTION("""COMPUTED_VALUE"""),"RIVADAVIA Daniel CM")</f>
        <v>RIVADAVIA Daniel CM</v>
      </c>
      <c r="F1176" s="1" t="str">
        <f t="shared" si="1"/>
        <v>RIVADAVIA </v>
      </c>
      <c r="G1176" s="1" t="str">
        <f t="shared" si="2"/>
        <v>Daniel CM</v>
      </c>
      <c r="H1176" s="1" t="str">
        <f>IFERROR(__xludf.DUMMYFUNCTION("""COMPUTED_VALUE"""),"30/1/2023, 17:00:00")</f>
        <v>30/1/2023, 17:00:00</v>
      </c>
      <c r="I1176" s="1" t="str">
        <f>IFERROR(__xludf.DUMMYFUNCTION("""COMPUTED_VALUE"""),"Completado en SUCURSAL")</f>
        <v>Completado en SUCURSAL</v>
      </c>
      <c r="J1176" s="1">
        <f t="shared" si="3"/>
        <v>5</v>
      </c>
      <c r="K1176" s="1" t="str">
        <f t="shared" si="4"/>
        <v>Tus Lentes estan LISTAS PARA ENTREGAR, te esperamos.</v>
      </c>
    </row>
    <row r="1177">
      <c r="A1177" s="1">
        <f>IFERROR(__xludf.DUMMYFUNCTION("""COMPUTED_VALUE"""),85727.0)</f>
        <v>85727</v>
      </c>
      <c r="B1177" s="5">
        <f>IFERROR(__xludf.DUMMYFUNCTION("""COMPUTED_VALUE"""),44953.768060347225)</f>
        <v>44953.76806</v>
      </c>
      <c r="C1177" s="1" t="str">
        <f>IFERROR(__xludf.DUMMYFUNCTION("""COMPUTED_VALUE"""),"SALINAS OTILIA")</f>
        <v>SALINAS OTILIA</v>
      </c>
      <c r="D1177" s="1" t="str">
        <f>IFERROR(__xludf.DUMMYFUNCTION("""COMPUTED_VALUE"""),"Lentes de STOCK")</f>
        <v>Lentes de STOCK</v>
      </c>
      <c r="E1177" s="1" t="str">
        <f>IFERROR(__xludf.DUMMYFUNCTION("""COMPUTED_VALUE"""),"ARTIGAS Cristian C.")</f>
        <v>ARTIGAS Cristian C.</v>
      </c>
      <c r="F1177" s="1" t="str">
        <f t="shared" si="1"/>
        <v>ARTIGAS </v>
      </c>
      <c r="G1177" s="1" t="str">
        <f t="shared" si="2"/>
        <v>Cristian C.</v>
      </c>
      <c r="H1177" s="1" t="str">
        <f>IFERROR(__xludf.DUMMYFUNCTION("""COMPUTED_VALUE"""),"2/2/2023, 17:00:00")</f>
        <v>2/2/2023, 17:00:00</v>
      </c>
      <c r="I1177" s="1" t="str">
        <f>IFERROR(__xludf.DUMMYFUNCTION("""COMPUTED_VALUE"""),"RETIRADO OK POR CLIENTE")</f>
        <v>RETIRADO OK POR CLIENTE</v>
      </c>
      <c r="J1177" s="1">
        <f t="shared" si="3"/>
        <v>6</v>
      </c>
      <c r="K1177" s="1" t="str">
        <f t="shared" si="4"/>
        <v>Entregamos tus lentes, que los disfrutes!</v>
      </c>
    </row>
    <row r="1178">
      <c r="A1178" s="1">
        <f>IFERROR(__xludf.DUMMYFUNCTION("""COMPUTED_VALUE"""),85728.0)</f>
        <v>85728</v>
      </c>
      <c r="B1178" s="5">
        <f>IFERROR(__xludf.DUMMYFUNCTION("""COMPUTED_VALUE"""),44953.77173793982)</f>
        <v>44953.77174</v>
      </c>
      <c r="C1178" s="1" t="str">
        <f>IFERROR(__xludf.DUMMYFUNCTION("""COMPUTED_VALUE"""),"FALCO ATILIO ERNESTO")</f>
        <v>FALCO ATILIO ERNESTO</v>
      </c>
      <c r="D1178" s="1" t="str">
        <f>IFERROR(__xludf.DUMMYFUNCTION("""COMPUTED_VALUE"""),"Lentes BIFOCALES")</f>
        <v>Lentes BIFOCALES</v>
      </c>
      <c r="E1178" s="1" t="str">
        <f>IFERROR(__xludf.DUMMYFUNCTION("""COMPUTED_VALUE"""),"RIVADAVIA Luciana")</f>
        <v>RIVADAVIA Luciana</v>
      </c>
      <c r="F1178" s="1" t="str">
        <f t="shared" si="1"/>
        <v>RIVADAVIA </v>
      </c>
      <c r="G1178" s="1" t="str">
        <f t="shared" si="2"/>
        <v>Luciana</v>
      </c>
      <c r="H1178" s="1" t="str">
        <f>IFERROR(__xludf.DUMMYFUNCTION("""COMPUTED_VALUE"""),"14/2/2023, 17:00:00")</f>
        <v>14/2/2023, 17:00:00</v>
      </c>
      <c r="I1178" s="1" t="str">
        <f>IFERROR(__xludf.DUMMYFUNCTION("""COMPUTED_VALUE"""),"RETIRADO OK POR CLIENTE")</f>
        <v>RETIRADO OK POR CLIENTE</v>
      </c>
      <c r="J1178" s="1">
        <f t="shared" si="3"/>
        <v>6</v>
      </c>
      <c r="K1178" s="1" t="str">
        <f t="shared" si="4"/>
        <v>Entregamos tus lentes, que los disfrutes!</v>
      </c>
    </row>
    <row r="1179">
      <c r="A1179" s="1">
        <f>IFERROR(__xludf.DUMMYFUNCTION("""COMPUTED_VALUE"""),85729.0)</f>
        <v>85729</v>
      </c>
      <c r="B1179" s="5">
        <f>IFERROR(__xludf.DUMMYFUNCTION("""COMPUTED_VALUE"""),44953.77635407407)</f>
        <v>44953.77635</v>
      </c>
      <c r="C1179" s="1" t="str">
        <f>IFERROR(__xludf.DUMMYFUNCTION("""COMPUTED_VALUE"""),"TORRES GLADYS")</f>
        <v>TORRES GLADYS</v>
      </c>
      <c r="D1179" s="1" t="str">
        <f>IFERROR(__xludf.DUMMYFUNCTION("""COMPUTED_VALUE"""),"Lentes de STOCK")</f>
        <v>Lentes de STOCK</v>
      </c>
      <c r="E1179" s="1" t="str">
        <f>IFERROR(__xludf.DUMMYFUNCTION("""COMPUTED_VALUE"""),"RIVADAVIA Javier")</f>
        <v>RIVADAVIA Javier</v>
      </c>
      <c r="F1179" s="1" t="str">
        <f t="shared" si="1"/>
        <v>RIVADAVIA </v>
      </c>
      <c r="G1179" s="1" t="str">
        <f t="shared" si="2"/>
        <v>Javier</v>
      </c>
      <c r="H1179" s="1" t="str">
        <f>IFERROR(__xludf.DUMMYFUNCTION("""COMPUTED_VALUE"""),"30/1/2023, 17:00:00")</f>
        <v>30/1/2023, 17:00:00</v>
      </c>
      <c r="I1179" s="1" t="str">
        <f>IFERROR(__xludf.DUMMYFUNCTION("""COMPUTED_VALUE"""),"Completado en SUCURSAL")</f>
        <v>Completado en SUCURSAL</v>
      </c>
      <c r="J1179" s="1">
        <f t="shared" si="3"/>
        <v>5</v>
      </c>
      <c r="K1179" s="1" t="str">
        <f t="shared" si="4"/>
        <v>Tus Lentes estan LISTAS PARA ENTREGAR, te esperamos.</v>
      </c>
    </row>
    <row r="1180">
      <c r="A1180" s="1">
        <f>IFERROR(__xludf.DUMMYFUNCTION("""COMPUTED_VALUE"""),85730.0)</f>
        <v>85730</v>
      </c>
      <c r="B1180" s="5">
        <f>IFERROR(__xludf.DUMMYFUNCTION("""COMPUTED_VALUE"""),44953.793029189816)</f>
        <v>44953.79303</v>
      </c>
      <c r="C1180" s="1" t="str">
        <f>IFERROR(__xludf.DUMMYFUNCTION("""COMPUTED_VALUE"""),"GONCALVES YANINA")</f>
        <v>GONCALVES YANINA</v>
      </c>
      <c r="D1180" s="1" t="str">
        <f>IFERROR(__xludf.DUMMYFUNCTION("""COMPUTED_VALUE"""),"Lentes de STOCK")</f>
        <v>Lentes de STOCK</v>
      </c>
      <c r="E1180" s="1" t="str">
        <f>IFERROR(__xludf.DUMMYFUNCTION("""COMPUTED_VALUE"""),"ARTIGAS Cristian C.")</f>
        <v>ARTIGAS Cristian C.</v>
      </c>
      <c r="F1180" s="1" t="str">
        <f t="shared" si="1"/>
        <v>ARTIGAS </v>
      </c>
      <c r="G1180" s="1" t="str">
        <f t="shared" si="2"/>
        <v>Cristian C.</v>
      </c>
      <c r="H1180" s="1" t="str">
        <f>IFERROR(__xludf.DUMMYFUNCTION("""COMPUTED_VALUE"""),"2/2/2023, 17:00:00")</f>
        <v>2/2/2023, 17:00:00</v>
      </c>
      <c r="I1180" s="1" t="str">
        <f>IFERROR(__xludf.DUMMYFUNCTION("""COMPUTED_VALUE"""),"RETIRADO OK POR CLIENTE")</f>
        <v>RETIRADO OK POR CLIENTE</v>
      </c>
      <c r="J1180" s="1">
        <f t="shared" si="3"/>
        <v>6</v>
      </c>
      <c r="K1180" s="1" t="str">
        <f t="shared" si="4"/>
        <v>Entregamos tus lentes, que los disfrutes!</v>
      </c>
    </row>
    <row r="1181">
      <c r="A1181" s="1">
        <f>IFERROR(__xludf.DUMMYFUNCTION("""COMPUTED_VALUE"""),85731.0)</f>
        <v>85731</v>
      </c>
      <c r="B1181" s="5">
        <f>IFERROR(__xludf.DUMMYFUNCTION("""COMPUTED_VALUE"""),44953.79767244213)</f>
        <v>44953.79767</v>
      </c>
      <c r="C1181" s="1" t="str">
        <f>IFERROR(__xludf.DUMMYFUNCTION("""COMPUTED_VALUE"""),"Perroni Xenia Andrea ")</f>
        <v>Perroni Xenia Andrea </v>
      </c>
      <c r="D1181" s="1" t="str">
        <f>IFERROR(__xludf.DUMMYFUNCTION("""COMPUTED_VALUE"""),"Lentes de STOCK")</f>
        <v>Lentes de STOCK</v>
      </c>
      <c r="E1181" s="1" t="str">
        <f>IFERROR(__xludf.DUMMYFUNCTION("""COMPUTED_VALUE"""),"RIVADAVIA Javier")</f>
        <v>RIVADAVIA Javier</v>
      </c>
      <c r="F1181" s="1" t="str">
        <f t="shared" si="1"/>
        <v>RIVADAVIA </v>
      </c>
      <c r="G1181" s="1" t="str">
        <f t="shared" si="2"/>
        <v>Javier</v>
      </c>
      <c r="H1181" s="1" t="str">
        <f>IFERROR(__xludf.DUMMYFUNCTION("""COMPUTED_VALUE"""),"1/2/2023, 17:00:00")</f>
        <v>1/2/2023, 17:00:00</v>
      </c>
      <c r="I1181" s="1" t="str">
        <f>IFERROR(__xludf.DUMMYFUNCTION("""COMPUTED_VALUE"""),"Completado en SUCURSAL")</f>
        <v>Completado en SUCURSAL</v>
      </c>
      <c r="J1181" s="1">
        <f t="shared" si="3"/>
        <v>5</v>
      </c>
      <c r="K1181" s="1" t="str">
        <f t="shared" si="4"/>
        <v>Tus Lentes estan LISTAS PARA ENTREGAR, te esperamos.</v>
      </c>
    </row>
    <row r="1182">
      <c r="A1182" s="1">
        <f>IFERROR(__xludf.DUMMYFUNCTION("""COMPUTED_VALUE"""),85732.0)</f>
        <v>85732</v>
      </c>
      <c r="B1182" s="5">
        <f>IFERROR(__xludf.DUMMYFUNCTION("""COMPUTED_VALUE"""),44953.804229664354)</f>
        <v>44953.80423</v>
      </c>
      <c r="C1182" s="1" t="str">
        <f>IFERROR(__xludf.DUMMYFUNCTION("""COMPUTED_VALUE"""),"PINELLI MARIA LUCIANA")</f>
        <v>PINELLI MARIA LUCIANA</v>
      </c>
      <c r="D1182" s="1" t="str">
        <f>IFERROR(__xludf.DUMMYFUNCTION("""COMPUTED_VALUE"""),"Lentes de STOCK")</f>
        <v>Lentes de STOCK</v>
      </c>
      <c r="E1182" s="1" t="str">
        <f>IFERROR(__xludf.DUMMYFUNCTION("""COMPUTED_VALUE"""),"RIVADAVIA Santiago LOPEZ")</f>
        <v>RIVADAVIA Santiago LOPEZ</v>
      </c>
      <c r="F1182" s="1" t="str">
        <f t="shared" si="1"/>
        <v>RIVADAVIA </v>
      </c>
      <c r="G1182" s="1" t="str">
        <f t="shared" si="2"/>
        <v>Santiago LOPEZ</v>
      </c>
      <c r="H1182" s="1" t="str">
        <f>IFERROR(__xludf.DUMMYFUNCTION("""COMPUTED_VALUE"""),"31/1/2023, 17:00:00")</f>
        <v>31/1/2023, 17:00:00</v>
      </c>
      <c r="I1182" s="1" t="str">
        <f>IFERROR(__xludf.DUMMYFUNCTION("""COMPUTED_VALUE"""),"Completado en SUCURSAL")</f>
        <v>Completado en SUCURSAL</v>
      </c>
      <c r="J1182" s="1">
        <f t="shared" si="3"/>
        <v>5</v>
      </c>
      <c r="K1182" s="1" t="str">
        <f t="shared" si="4"/>
        <v>Tus Lentes estan LISTAS PARA ENTREGAR, te esperamos.</v>
      </c>
    </row>
    <row r="1183">
      <c r="A1183" s="1">
        <f>IFERROR(__xludf.DUMMYFUNCTION("""COMPUTED_VALUE"""),85733.0)</f>
        <v>85733</v>
      </c>
      <c r="B1183" s="5">
        <f>IFERROR(__xludf.DUMMYFUNCTION("""COMPUTED_VALUE"""),44953.80595579861)</f>
        <v>44953.80596</v>
      </c>
      <c r="C1183" s="1" t="str">
        <f>IFERROR(__xludf.DUMMYFUNCTION("""COMPUTED_VALUE"""),"SALINAS KATERINNE ALDANA")</f>
        <v>SALINAS KATERINNE ALDANA</v>
      </c>
      <c r="D1183" s="1" t="str">
        <f>IFERROR(__xludf.DUMMYFUNCTION("""COMPUTED_VALUE"""),"Lentes de LABORATORIO")</f>
        <v>Lentes de LABORATORIO</v>
      </c>
      <c r="E1183" s="1" t="str">
        <f>IFERROR(__xludf.DUMMYFUNCTION("""COMPUTED_VALUE"""),"RIVADAVIA Marcela L")</f>
        <v>RIVADAVIA Marcela L</v>
      </c>
      <c r="F1183" s="1" t="str">
        <f t="shared" si="1"/>
        <v>RIVADAVIA </v>
      </c>
      <c r="G1183" s="1" t="str">
        <f t="shared" si="2"/>
        <v>Marcela L</v>
      </c>
      <c r="H1183" s="1" t="str">
        <f>IFERROR(__xludf.DUMMYFUNCTION("""COMPUTED_VALUE"""),"3/2/2023, 17:00:00")</f>
        <v>3/2/2023, 17:00:00</v>
      </c>
      <c r="I1183" s="1" t="str">
        <f>IFERROR(__xludf.DUMMYFUNCTION("""COMPUTED_VALUE"""),"Completado en SUCURSAL")</f>
        <v>Completado en SUCURSAL</v>
      </c>
      <c r="J1183" s="1">
        <f t="shared" si="3"/>
        <v>5</v>
      </c>
      <c r="K1183" s="1" t="str">
        <f t="shared" si="4"/>
        <v>Tus Lentes estan LISTAS PARA ENTREGAR, te esperamos.</v>
      </c>
    </row>
    <row r="1184">
      <c r="A1184" s="1">
        <f>IFERROR(__xludf.DUMMYFUNCTION("""COMPUTED_VALUE"""),85734.0)</f>
        <v>85734</v>
      </c>
      <c r="B1184" s="5">
        <f>IFERROR(__xludf.DUMMYFUNCTION("""COMPUTED_VALUE"""),44953.81984509259)</f>
        <v>44953.81985</v>
      </c>
      <c r="C1184" s="1" t="str">
        <f>IFERROR(__xludf.DUMMYFUNCTION("""COMPUTED_VALUE"""),"AGUIAR CRISTIAN JONATHAN")</f>
        <v>AGUIAR CRISTIAN JONATHAN</v>
      </c>
      <c r="D1184" s="1" t="str">
        <f>IFERROR(__xludf.DUMMYFUNCTION("""COMPUTED_VALUE"""),"Lentes de LABORATORIO")</f>
        <v>Lentes de LABORATORIO</v>
      </c>
      <c r="E1184" s="1" t="str">
        <f>IFERROR(__xludf.DUMMYFUNCTION("""COMPUTED_VALUE"""),"RIVADAVIA Marcela L")</f>
        <v>RIVADAVIA Marcela L</v>
      </c>
      <c r="F1184" s="1" t="str">
        <f t="shared" si="1"/>
        <v>RIVADAVIA </v>
      </c>
      <c r="G1184" s="1" t="str">
        <f t="shared" si="2"/>
        <v>Marcela L</v>
      </c>
      <c r="H1184" s="1" t="str">
        <f>IFERROR(__xludf.DUMMYFUNCTION("""COMPUTED_VALUE"""),"8/2/2023, 17:00:00")</f>
        <v>8/2/2023, 17:00:00</v>
      </c>
      <c r="I1184" s="1" t="str">
        <f>IFERROR(__xludf.DUMMYFUNCTION("""COMPUTED_VALUE"""),"RETIRADO OK POR CLIENTE")</f>
        <v>RETIRADO OK POR CLIENTE</v>
      </c>
      <c r="J1184" s="1">
        <f t="shared" si="3"/>
        <v>6</v>
      </c>
      <c r="K1184" s="1" t="str">
        <f t="shared" si="4"/>
        <v>Entregamos tus lentes, que los disfrutes!</v>
      </c>
    </row>
    <row r="1185">
      <c r="A1185" s="1">
        <f>IFERROR(__xludf.DUMMYFUNCTION("""COMPUTED_VALUE"""),85735.0)</f>
        <v>85735</v>
      </c>
      <c r="B1185" s="5">
        <f>IFERROR(__xludf.DUMMYFUNCTION("""COMPUTED_VALUE"""),44953.82986666667)</f>
        <v>44953.82987</v>
      </c>
      <c r="C1185" s="1" t="str">
        <f>IFERROR(__xludf.DUMMYFUNCTION("""COMPUTED_VALUE"""),"RADDI SERGIO")</f>
        <v>RADDI SERGIO</v>
      </c>
      <c r="D1185" s="1" t="str">
        <f>IFERROR(__xludf.DUMMYFUNCTION("""COMPUTED_VALUE"""),"Reparaciones/Otros")</f>
        <v>Reparaciones/Otros</v>
      </c>
      <c r="E1185" s="1" t="str">
        <f>IFERROR(__xludf.DUMMYFUNCTION("""COMPUTED_VALUE"""),"RIVADAVIA Daniel CM")</f>
        <v>RIVADAVIA Daniel CM</v>
      </c>
      <c r="F1185" s="1" t="str">
        <f t="shared" si="1"/>
        <v>RIVADAVIA </v>
      </c>
      <c r="G1185" s="1" t="str">
        <f t="shared" si="2"/>
        <v>Daniel CM</v>
      </c>
      <c r="H1185" s="1" t="str">
        <f>IFERROR(__xludf.DUMMYFUNCTION("""COMPUTED_VALUE"""),"30/1/2023, 18:00:00")</f>
        <v>30/1/2023, 18:00:00</v>
      </c>
      <c r="I1185" s="1" t="str">
        <f>IFERROR(__xludf.DUMMYFUNCTION("""COMPUTED_VALUE"""),"Completado en SUCURSAL")</f>
        <v>Completado en SUCURSAL</v>
      </c>
      <c r="J1185" s="1">
        <f t="shared" si="3"/>
        <v>5</v>
      </c>
      <c r="K1185" s="1" t="str">
        <f t="shared" si="4"/>
        <v>Tus Lentes estan LISTAS PARA ENTREGAR, te esperamos.</v>
      </c>
    </row>
    <row r="1186">
      <c r="A1186" s="1">
        <f>IFERROR(__xludf.DUMMYFUNCTION("""COMPUTED_VALUE"""),85736.0)</f>
        <v>85736</v>
      </c>
      <c r="B1186" s="5">
        <f>IFERROR(__xludf.DUMMYFUNCTION("""COMPUTED_VALUE"""),44953.83247011574)</f>
        <v>44953.83247</v>
      </c>
      <c r="C1186" s="1" t="str">
        <f>IFERROR(__xludf.DUMMYFUNCTION("""COMPUTED_VALUE"""),"alagia ayelen")</f>
        <v>alagia ayelen</v>
      </c>
      <c r="D1186" s="1" t="str">
        <f>IFERROR(__xludf.DUMMYFUNCTION("""COMPUTED_VALUE"""),"Lentes de STOCK")</f>
        <v>Lentes de STOCK</v>
      </c>
      <c r="E1186" s="1" t="str">
        <f>IFERROR(__xludf.DUMMYFUNCTION("""COMPUTED_VALUE"""),"RIVADAVIA Santiago N")</f>
        <v>RIVADAVIA Santiago N</v>
      </c>
      <c r="F1186" s="1" t="str">
        <f t="shared" si="1"/>
        <v>RIVADAVIA </v>
      </c>
      <c r="G1186" s="1" t="str">
        <f t="shared" si="2"/>
        <v>Santiago N</v>
      </c>
      <c r="H1186" s="1" t="str">
        <f>IFERROR(__xludf.DUMMYFUNCTION("""COMPUTED_VALUE"""),"2/2/2023, 17:00:00")</f>
        <v>2/2/2023, 17:00:00</v>
      </c>
      <c r="I1186" s="1" t="str">
        <f>IFERROR(__xludf.DUMMYFUNCTION("""COMPUTED_VALUE"""),"RETIRADO OK POR CLIENTE")</f>
        <v>RETIRADO OK POR CLIENTE</v>
      </c>
      <c r="J1186" s="1">
        <f t="shared" si="3"/>
        <v>6</v>
      </c>
      <c r="K1186" s="1" t="str">
        <f t="shared" si="4"/>
        <v>Entregamos tus lentes, que los disfrutes!</v>
      </c>
    </row>
    <row r="1187">
      <c r="A1187" s="1">
        <f>IFERROR(__xludf.DUMMYFUNCTION("""COMPUTED_VALUE"""),85737.0)</f>
        <v>85737</v>
      </c>
      <c r="B1187" s="5">
        <f>IFERROR(__xludf.DUMMYFUNCTION("""COMPUTED_VALUE"""),44953.83901127314)</f>
        <v>44953.83901</v>
      </c>
      <c r="C1187" s="1" t="str">
        <f>IFERROR(__xludf.DUMMYFUNCTION("""COMPUTED_VALUE"""),"Pallero Delia")</f>
        <v>Pallero Delia</v>
      </c>
      <c r="D1187" s="1" t="str">
        <f>IFERROR(__xludf.DUMMYFUNCTION("""COMPUTED_VALUE"""),"Lentes de STOCK")</f>
        <v>Lentes de STOCK</v>
      </c>
      <c r="E1187" s="1" t="str">
        <f>IFERROR(__xludf.DUMMYFUNCTION("""COMPUTED_VALUE"""),"RIVADAVIA Rocio B")</f>
        <v>RIVADAVIA Rocio B</v>
      </c>
      <c r="F1187" s="1" t="str">
        <f t="shared" si="1"/>
        <v>RIVADAVIA </v>
      </c>
      <c r="G1187" s="1" t="str">
        <f t="shared" si="2"/>
        <v>Rocio B</v>
      </c>
      <c r="H1187" s="1" t="str">
        <f>IFERROR(__xludf.DUMMYFUNCTION("""COMPUTED_VALUE"""),"2/2/2023, 17:00:00")</f>
        <v>2/2/2023, 17:00:00</v>
      </c>
      <c r="I1187" s="1" t="str">
        <f>IFERROR(__xludf.DUMMYFUNCTION("""COMPUTED_VALUE"""),"Completado en SUCURSAL")</f>
        <v>Completado en SUCURSAL</v>
      </c>
      <c r="J1187" s="1">
        <f t="shared" si="3"/>
        <v>5</v>
      </c>
      <c r="K1187" s="1" t="str">
        <f t="shared" si="4"/>
        <v>Tus Lentes estan LISTAS PARA ENTREGAR, te esperamos.</v>
      </c>
    </row>
    <row r="1188">
      <c r="A1188" s="1">
        <f>IFERROR(__xludf.DUMMYFUNCTION("""COMPUTED_VALUE"""),85738.0)</f>
        <v>85738</v>
      </c>
      <c r="B1188" s="5">
        <f>IFERROR(__xludf.DUMMYFUNCTION("""COMPUTED_VALUE"""),44953.841972152775)</f>
        <v>44953.84197</v>
      </c>
      <c r="C1188" s="1" t="str">
        <f>IFERROR(__xludf.DUMMYFUNCTION("""COMPUTED_VALUE"""),"tissera carlos")</f>
        <v>tissera carlos</v>
      </c>
      <c r="D1188" s="1" t="str">
        <f>IFERROR(__xludf.DUMMYFUNCTION("""COMPUTED_VALUE"""),"Lentes de STOCK")</f>
        <v>Lentes de STOCK</v>
      </c>
      <c r="E1188" s="1" t="str">
        <f>IFERROR(__xludf.DUMMYFUNCTION("""COMPUTED_VALUE"""),"RIVADAVIA Santiago N")</f>
        <v>RIVADAVIA Santiago N</v>
      </c>
      <c r="F1188" s="1" t="str">
        <f t="shared" si="1"/>
        <v>RIVADAVIA </v>
      </c>
      <c r="G1188" s="1" t="str">
        <f t="shared" si="2"/>
        <v>Santiago N</v>
      </c>
      <c r="H1188" s="1" t="str">
        <f>IFERROR(__xludf.DUMMYFUNCTION("""COMPUTED_VALUE"""),"30/1/2023, 17:00:00")</f>
        <v>30/1/2023, 17:00:00</v>
      </c>
      <c r="I1188" s="1" t="str">
        <f>IFERROR(__xludf.DUMMYFUNCTION("""COMPUTED_VALUE"""),"Completado en SUCURSAL")</f>
        <v>Completado en SUCURSAL</v>
      </c>
      <c r="J1188" s="1">
        <f t="shared" si="3"/>
        <v>5</v>
      </c>
      <c r="K1188" s="1" t="str">
        <f t="shared" si="4"/>
        <v>Tus Lentes estan LISTAS PARA ENTREGAR, te esperamos.</v>
      </c>
    </row>
    <row r="1189">
      <c r="A1189" s="1">
        <f>IFERROR(__xludf.DUMMYFUNCTION("""COMPUTED_VALUE"""),85739.0)</f>
        <v>85739</v>
      </c>
      <c r="B1189" s="5">
        <f>IFERROR(__xludf.DUMMYFUNCTION("""COMPUTED_VALUE"""),44953.85202427083)</f>
        <v>44953.85202</v>
      </c>
      <c r="C1189" s="1" t="str">
        <f>IFERROR(__xludf.DUMMYFUNCTION("""COMPUTED_VALUE"""),"callegaro martina")</f>
        <v>callegaro martina</v>
      </c>
      <c r="D1189" s="1" t="str">
        <f>IFERROR(__xludf.DUMMYFUNCTION("""COMPUTED_VALUE"""),"Lentes de STOCK")</f>
        <v>Lentes de STOCK</v>
      </c>
      <c r="E1189" s="1" t="str">
        <f>IFERROR(__xludf.DUMMYFUNCTION("""COMPUTED_VALUE"""),"RIVADAVIA Santiago N")</f>
        <v>RIVADAVIA Santiago N</v>
      </c>
      <c r="F1189" s="1" t="str">
        <f t="shared" si="1"/>
        <v>RIVADAVIA </v>
      </c>
      <c r="G1189" s="1" t="str">
        <f t="shared" si="2"/>
        <v>Santiago N</v>
      </c>
      <c r="H1189" s="1" t="str">
        <f>IFERROR(__xludf.DUMMYFUNCTION("""COMPUTED_VALUE"""),"30/1/2023, 17:00:00")</f>
        <v>30/1/2023, 17:00:00</v>
      </c>
      <c r="I1189" s="1" t="str">
        <f>IFERROR(__xludf.DUMMYFUNCTION("""COMPUTED_VALUE"""),"RETIRADO OK POR CLIENTE")</f>
        <v>RETIRADO OK POR CLIENTE</v>
      </c>
      <c r="J1189" s="1">
        <f t="shared" si="3"/>
        <v>6</v>
      </c>
      <c r="K1189" s="1" t="str">
        <f t="shared" si="4"/>
        <v>Entregamos tus lentes, que los disfrutes!</v>
      </c>
    </row>
    <row r="1190">
      <c r="A1190" s="1">
        <f>IFERROR(__xludf.DUMMYFUNCTION("""COMPUTED_VALUE"""),85740.0)</f>
        <v>85740</v>
      </c>
      <c r="B1190" s="5">
        <f>IFERROR(__xludf.DUMMYFUNCTION("""COMPUTED_VALUE"""),44954.390074780094)</f>
        <v>44954.39007</v>
      </c>
      <c r="C1190" s="1" t="str">
        <f>IFERROR(__xludf.DUMMYFUNCTION("""COMPUTED_VALUE"""),"ESCUDERO MARCOS FRANCISCO")</f>
        <v>ESCUDERO MARCOS FRANCISCO</v>
      </c>
      <c r="D1190" s="1" t="str">
        <f>IFERROR(__xludf.DUMMYFUNCTION("""COMPUTED_VALUE"""),"Lentes de STOCK")</f>
        <v>Lentes de STOCK</v>
      </c>
      <c r="E1190" s="1" t="str">
        <f>IFERROR(__xludf.DUMMYFUNCTION("""COMPUTED_VALUE"""),"ARTIGAS Ivana P.")</f>
        <v>ARTIGAS Ivana P.</v>
      </c>
      <c r="F1190" s="1" t="str">
        <f t="shared" si="1"/>
        <v>ARTIGAS </v>
      </c>
      <c r="G1190" s="1" t="str">
        <f t="shared" si="2"/>
        <v>Ivana P.</v>
      </c>
      <c r="H1190" s="1" t="str">
        <f>IFERROR(__xludf.DUMMYFUNCTION("""COMPUTED_VALUE"""),"1/2/2023, 17:00:00")</f>
        <v>1/2/2023, 17:00:00</v>
      </c>
      <c r="I1190" s="1" t="str">
        <f>IFERROR(__xludf.DUMMYFUNCTION("""COMPUTED_VALUE"""),"Completado en SUCURSAL")</f>
        <v>Completado en SUCURSAL</v>
      </c>
      <c r="J1190" s="1">
        <f t="shared" si="3"/>
        <v>5</v>
      </c>
      <c r="K1190" s="1" t="str">
        <f t="shared" si="4"/>
        <v>Tus Lentes estan LISTAS PARA ENTREGAR, te esperamos.</v>
      </c>
    </row>
    <row r="1191">
      <c r="A1191" s="1">
        <f>IFERROR(__xludf.DUMMYFUNCTION("""COMPUTED_VALUE"""),85741.0)</f>
        <v>85741</v>
      </c>
      <c r="B1191" s="5">
        <f>IFERROR(__xludf.DUMMYFUNCTION("""COMPUTED_VALUE"""),44954.39394730324)</f>
        <v>44954.39395</v>
      </c>
      <c r="C1191" s="1" t="str">
        <f>IFERROR(__xludf.DUMMYFUNCTION("""COMPUTED_VALUE"""),"Roble Miriam")</f>
        <v>Roble Miriam</v>
      </c>
      <c r="D1191" s="1" t="str">
        <f>IFERROR(__xludf.DUMMYFUNCTION("""COMPUTED_VALUE"""),"Lentes de STOCK")</f>
        <v>Lentes de STOCK</v>
      </c>
      <c r="E1191" s="1" t="str">
        <f>IFERROR(__xludf.DUMMYFUNCTION("""COMPUTED_VALUE"""),"RIVADAVIA Rocio B")</f>
        <v>RIVADAVIA Rocio B</v>
      </c>
      <c r="F1191" s="1" t="str">
        <f t="shared" si="1"/>
        <v>RIVADAVIA </v>
      </c>
      <c r="G1191" s="1" t="str">
        <f t="shared" si="2"/>
        <v>Rocio B</v>
      </c>
      <c r="H1191" s="1" t="str">
        <f>IFERROR(__xludf.DUMMYFUNCTION("""COMPUTED_VALUE"""),"3/2/2023, 17:00:00")</f>
        <v>3/2/2023, 17:00:00</v>
      </c>
      <c r="I1191" s="1" t="str">
        <f>IFERROR(__xludf.DUMMYFUNCTION("""COMPUTED_VALUE"""),"Completado en SUCURSAL")</f>
        <v>Completado en SUCURSAL</v>
      </c>
      <c r="J1191" s="1">
        <f t="shared" si="3"/>
        <v>5</v>
      </c>
      <c r="K1191" s="1" t="str">
        <f t="shared" si="4"/>
        <v>Tus Lentes estan LISTAS PARA ENTREGAR, te esperamos.</v>
      </c>
    </row>
    <row r="1192">
      <c r="A1192" s="1">
        <f>IFERROR(__xludf.DUMMYFUNCTION("""COMPUTED_VALUE"""),85742.0)</f>
        <v>85742</v>
      </c>
      <c r="B1192" s="5">
        <f>IFERROR(__xludf.DUMMYFUNCTION("""COMPUTED_VALUE"""),44954.39644181713)</f>
        <v>44954.39644</v>
      </c>
      <c r="C1192" s="1" t="str">
        <f>IFERROR(__xludf.DUMMYFUNCTION("""COMPUTED_VALUE"""),"MONARDE JORGE")</f>
        <v>MONARDE JORGE</v>
      </c>
      <c r="D1192" s="1" t="str">
        <f>IFERROR(__xludf.DUMMYFUNCTION("""COMPUTED_VALUE"""),"Lentes MULTIFOCALES")</f>
        <v>Lentes MULTIFOCALES</v>
      </c>
      <c r="E1192" s="1" t="str">
        <f>IFERROR(__xludf.DUMMYFUNCTION("""COMPUTED_VALUE"""),"RIVADAVIA Santiago LOPEZ")</f>
        <v>RIVADAVIA Santiago LOPEZ</v>
      </c>
      <c r="F1192" s="1" t="str">
        <f t="shared" si="1"/>
        <v>RIVADAVIA </v>
      </c>
      <c r="G1192" s="1" t="str">
        <f t="shared" si="2"/>
        <v>Santiago LOPEZ</v>
      </c>
      <c r="H1192" s="1" t="str">
        <f>IFERROR(__xludf.DUMMYFUNCTION("""COMPUTED_VALUE"""),"13/2/2023, 17:00:00")</f>
        <v>13/2/2023, 17:00:00</v>
      </c>
      <c r="I1192" s="1" t="str">
        <f>IFERROR(__xludf.DUMMYFUNCTION("""COMPUTED_VALUE"""),"RETIRADO OK POR CLIENTE")</f>
        <v>RETIRADO OK POR CLIENTE</v>
      </c>
      <c r="J1192" s="1">
        <f t="shared" si="3"/>
        <v>6</v>
      </c>
      <c r="K1192" s="1" t="str">
        <f t="shared" si="4"/>
        <v>Entregamos tus lentes, que los disfrutes!</v>
      </c>
    </row>
    <row r="1193">
      <c r="A1193" s="1">
        <f>IFERROR(__xludf.DUMMYFUNCTION("""COMPUTED_VALUE"""),85743.0)</f>
        <v>85743</v>
      </c>
      <c r="B1193" s="5">
        <f>IFERROR(__xludf.DUMMYFUNCTION("""COMPUTED_VALUE"""),44954.39889186343)</f>
        <v>44954.39889</v>
      </c>
      <c r="C1193" s="1" t="str">
        <f>IFERROR(__xludf.DUMMYFUNCTION("""COMPUTED_VALUE"""),"CARMEN SUSANA")</f>
        <v>CARMEN SUSANA</v>
      </c>
      <c r="D1193" s="1" t="str">
        <f>IFERROR(__xludf.DUMMYFUNCTION("""COMPUTED_VALUE"""),"Reparaciones/Otros")</f>
        <v>Reparaciones/Otros</v>
      </c>
      <c r="E1193" s="1" t="str">
        <f>IFERROR(__xludf.DUMMYFUNCTION("""COMPUTED_VALUE"""),"ARTIGAS Celina")</f>
        <v>ARTIGAS Celina</v>
      </c>
      <c r="F1193" s="1" t="str">
        <f t="shared" si="1"/>
        <v>ARTIGAS </v>
      </c>
      <c r="G1193" s="1" t="str">
        <f t="shared" si="2"/>
        <v>Celina</v>
      </c>
      <c r="H1193" s="1" t="str">
        <f>IFERROR(__xludf.DUMMYFUNCTION("""COMPUTED_VALUE"""),"30/1/2023, 17:00:00")</f>
        <v>30/1/2023, 17:00:00</v>
      </c>
      <c r="I1193" s="1" t="str">
        <f>IFERROR(__xludf.DUMMYFUNCTION("""COMPUTED_VALUE"""),"Completado en SUCURSAL")</f>
        <v>Completado en SUCURSAL</v>
      </c>
      <c r="J1193" s="1">
        <f t="shared" si="3"/>
        <v>5</v>
      </c>
      <c r="K1193" s="1" t="str">
        <f t="shared" si="4"/>
        <v>Tus Lentes estan LISTAS PARA ENTREGAR, te esperamos.</v>
      </c>
    </row>
    <row r="1194">
      <c r="A1194" s="1">
        <f>IFERROR(__xludf.DUMMYFUNCTION("""COMPUTED_VALUE"""),85744.0)</f>
        <v>85744</v>
      </c>
      <c r="B1194" s="5">
        <f>IFERROR(__xludf.DUMMYFUNCTION("""COMPUTED_VALUE"""),44954.404976817124)</f>
        <v>44954.40498</v>
      </c>
      <c r="C1194" s="1" t="str">
        <f>IFERROR(__xludf.DUMMYFUNCTION("""COMPUTED_VALUE"""),"LUCERO JULIO / AMCOR")</f>
        <v>LUCERO JULIO / AMCOR</v>
      </c>
      <c r="D1194" s="1" t="str">
        <f>IFERROR(__xludf.DUMMYFUNCTION("""COMPUTED_VALUE"""),"Lentes MULTIFOCALES")</f>
        <v>Lentes MULTIFOCALES</v>
      </c>
      <c r="E1194" s="1" t="str">
        <f>IFERROR(__xludf.DUMMYFUNCTION("""COMPUTED_VALUE"""),"ARTIGAS Ivana P.")</f>
        <v>ARTIGAS Ivana P.</v>
      </c>
      <c r="F1194" s="1" t="str">
        <f t="shared" si="1"/>
        <v>ARTIGAS </v>
      </c>
      <c r="G1194" s="1" t="str">
        <f t="shared" si="2"/>
        <v>Ivana P.</v>
      </c>
      <c r="H1194" s="1" t="str">
        <f>IFERROR(__xludf.DUMMYFUNCTION("""COMPUTED_VALUE"""),"9/2/2023, 17:00:00")</f>
        <v>9/2/2023, 17:00:00</v>
      </c>
      <c r="I1194" s="1" t="str">
        <f>IFERROR(__xludf.DUMMYFUNCTION("""COMPUTED_VALUE"""),"RETIRADO OK POR CLIENTE")</f>
        <v>RETIRADO OK POR CLIENTE</v>
      </c>
      <c r="J1194" s="1">
        <f t="shared" si="3"/>
        <v>6</v>
      </c>
      <c r="K1194" s="1" t="str">
        <f t="shared" si="4"/>
        <v>Entregamos tus lentes, que los disfrutes!</v>
      </c>
    </row>
    <row r="1195">
      <c r="A1195" s="1">
        <f>IFERROR(__xludf.DUMMYFUNCTION("""COMPUTED_VALUE"""),85745.0)</f>
        <v>85745</v>
      </c>
      <c r="B1195" s="5">
        <f>IFERROR(__xludf.DUMMYFUNCTION("""COMPUTED_VALUE"""),44954.405052789356)</f>
        <v>44954.40505</v>
      </c>
      <c r="C1195" s="1" t="str">
        <f>IFERROR(__xludf.DUMMYFUNCTION("""COMPUTED_VALUE"""),"gatica blanca norma")</f>
        <v>gatica blanca norma</v>
      </c>
      <c r="D1195" s="1" t="str">
        <f>IFERROR(__xludf.DUMMYFUNCTION("""COMPUTED_VALUE"""),"Lentes de STOCK")</f>
        <v>Lentes de STOCK</v>
      </c>
      <c r="E1195" s="1" t="str">
        <f>IFERROR(__xludf.DUMMYFUNCTION("""COMPUTED_VALUE"""),"RIVADAVIA Santiago N")</f>
        <v>RIVADAVIA Santiago N</v>
      </c>
      <c r="F1195" s="1" t="str">
        <f t="shared" si="1"/>
        <v>RIVADAVIA </v>
      </c>
      <c r="G1195" s="1" t="str">
        <f t="shared" si="2"/>
        <v>Santiago N</v>
      </c>
      <c r="H1195" s="1" t="str">
        <f>IFERROR(__xludf.DUMMYFUNCTION("""COMPUTED_VALUE"""),"31/1/2023, 17:00:00 -")</f>
        <v>31/1/2023, 17:00:00 -</v>
      </c>
      <c r="I1195" s="1" t="str">
        <f>IFERROR(__xludf.DUMMYFUNCTION("""COMPUTED_VALUE"""),"Completado en SUCURSAL")</f>
        <v>Completado en SUCURSAL</v>
      </c>
      <c r="J1195" s="1">
        <f t="shared" si="3"/>
        <v>5</v>
      </c>
      <c r="K1195" s="1" t="str">
        <f t="shared" si="4"/>
        <v>Tus Lentes estan LISTAS PARA ENTREGAR, te esperamos.</v>
      </c>
    </row>
    <row r="1196">
      <c r="A1196" s="1">
        <f>IFERROR(__xludf.DUMMYFUNCTION("""COMPUTED_VALUE"""),85746.0)</f>
        <v>85746</v>
      </c>
      <c r="B1196" s="5">
        <f>IFERROR(__xludf.DUMMYFUNCTION("""COMPUTED_VALUE"""),44954.40842978009)</f>
        <v>44954.40843</v>
      </c>
      <c r="C1196" s="1" t="str">
        <f>IFERROR(__xludf.DUMMYFUNCTION("""COMPUTED_VALUE"""),"coriza salinas micaela")</f>
        <v>coriza salinas micaela</v>
      </c>
      <c r="D1196" s="1" t="str">
        <f>IFERROR(__xludf.DUMMYFUNCTION("""COMPUTED_VALUE"""),"Lentes de STOCK")</f>
        <v>Lentes de STOCK</v>
      </c>
      <c r="E1196" s="1" t="str">
        <f>IFERROR(__xludf.DUMMYFUNCTION("""COMPUTED_VALUE"""),"RIVADAVIA Daniel CM")</f>
        <v>RIVADAVIA Daniel CM</v>
      </c>
      <c r="F1196" s="1" t="str">
        <f t="shared" si="1"/>
        <v>RIVADAVIA </v>
      </c>
      <c r="G1196" s="1" t="str">
        <f t="shared" si="2"/>
        <v>Daniel CM</v>
      </c>
      <c r="H1196" s="1" t="str">
        <f>IFERROR(__xludf.DUMMYFUNCTION("""COMPUTED_VALUE"""),"2/2/2023, 17:00:00")</f>
        <v>2/2/2023, 17:00:00</v>
      </c>
      <c r="I1196" s="1" t="str">
        <f>IFERROR(__xludf.DUMMYFUNCTION("""COMPUTED_VALUE"""),"Completado en SUCURSAL")</f>
        <v>Completado en SUCURSAL</v>
      </c>
      <c r="J1196" s="1">
        <f t="shared" si="3"/>
        <v>5</v>
      </c>
      <c r="K1196" s="1" t="str">
        <f t="shared" si="4"/>
        <v>Tus Lentes estan LISTAS PARA ENTREGAR, te esperamos.</v>
      </c>
    </row>
    <row r="1197">
      <c r="A1197" s="1">
        <f>IFERROR(__xludf.DUMMYFUNCTION("""COMPUTED_VALUE"""),85747.0)</f>
        <v>85747</v>
      </c>
      <c r="B1197" s="5">
        <f>IFERROR(__xludf.DUMMYFUNCTION("""COMPUTED_VALUE"""),44954.42126880787)</f>
        <v>44954.42127</v>
      </c>
      <c r="C1197" s="1" t="str">
        <f>IFERROR(__xludf.DUMMYFUNCTION("""COMPUTED_VALUE"""),"GOMEZ MIRTA")</f>
        <v>GOMEZ MIRTA</v>
      </c>
      <c r="D1197" s="1" t="str">
        <f>IFERROR(__xludf.DUMMYFUNCTION("""COMPUTED_VALUE"""),"Lentes de STOCK")</f>
        <v>Lentes de STOCK</v>
      </c>
      <c r="E1197" s="1" t="str">
        <f>IFERROR(__xludf.DUMMYFUNCTION("""COMPUTED_VALUE"""),"ARTIGAS Ivana P.")</f>
        <v>ARTIGAS Ivana P.</v>
      </c>
      <c r="F1197" s="1" t="str">
        <f t="shared" si="1"/>
        <v>ARTIGAS </v>
      </c>
      <c r="G1197" s="1" t="str">
        <f t="shared" si="2"/>
        <v>Ivana P.</v>
      </c>
      <c r="H1197" s="1" t="str">
        <f>IFERROR(__xludf.DUMMYFUNCTION("""COMPUTED_VALUE"""),"31/1/2023, 17:00:00")</f>
        <v>31/1/2023, 17:00:00</v>
      </c>
      <c r="I1197" s="1" t="str">
        <f>IFERROR(__xludf.DUMMYFUNCTION("""COMPUTED_VALUE"""),"Completado en SUCURSAL")</f>
        <v>Completado en SUCURSAL</v>
      </c>
      <c r="J1197" s="1">
        <f t="shared" si="3"/>
        <v>5</v>
      </c>
      <c r="K1197" s="1" t="str">
        <f t="shared" si="4"/>
        <v>Tus Lentes estan LISTAS PARA ENTREGAR, te esperamos.</v>
      </c>
    </row>
    <row r="1198">
      <c r="A1198" s="1">
        <f>IFERROR(__xludf.DUMMYFUNCTION("""COMPUTED_VALUE"""),85748.0)</f>
        <v>85748</v>
      </c>
      <c r="B1198" s="5">
        <f>IFERROR(__xludf.DUMMYFUNCTION("""COMPUTED_VALUE"""),44954.43041162037)</f>
        <v>44954.43041</v>
      </c>
      <c r="C1198" s="1" t="str">
        <f>IFERROR(__xludf.DUMMYFUNCTION("""COMPUTED_VALUE"""),"PARISOTTO FLORENCIA")</f>
        <v>PARISOTTO FLORENCIA</v>
      </c>
      <c r="D1198" s="1" t="str">
        <f>IFERROR(__xludf.DUMMYFUNCTION("""COMPUTED_VALUE"""),"Lentes de STOCK")</f>
        <v>Lentes de STOCK</v>
      </c>
      <c r="E1198" s="1" t="str">
        <f>IFERROR(__xludf.DUMMYFUNCTION("""COMPUTED_VALUE"""),"RIVADAVIA Javier")</f>
        <v>RIVADAVIA Javier</v>
      </c>
      <c r="F1198" s="1" t="str">
        <f t="shared" si="1"/>
        <v>RIVADAVIA </v>
      </c>
      <c r="G1198" s="1" t="str">
        <f t="shared" si="2"/>
        <v>Javier</v>
      </c>
      <c r="H1198" s="1" t="str">
        <f>IFERROR(__xludf.DUMMYFUNCTION("""COMPUTED_VALUE"""),"2/2/2023, 17:00:00")</f>
        <v>2/2/2023, 17:00:00</v>
      </c>
      <c r="I1198" s="1" t="str">
        <f>IFERROR(__xludf.DUMMYFUNCTION("""COMPUTED_VALUE"""),"Completado en SUCURSAL")</f>
        <v>Completado en SUCURSAL</v>
      </c>
      <c r="J1198" s="1">
        <f t="shared" si="3"/>
        <v>5</v>
      </c>
      <c r="K1198" s="1" t="str">
        <f t="shared" si="4"/>
        <v>Tus Lentes estan LISTAS PARA ENTREGAR, te esperamos.</v>
      </c>
    </row>
    <row r="1199">
      <c r="A1199" s="1">
        <f>IFERROR(__xludf.DUMMYFUNCTION("""COMPUTED_VALUE"""),85749.0)</f>
        <v>85749</v>
      </c>
      <c r="B1199" s="5">
        <f>IFERROR(__xludf.DUMMYFUNCTION("""COMPUTED_VALUE"""),44954.43411393519)</f>
        <v>44954.43411</v>
      </c>
      <c r="C1199" s="1" t="str">
        <f>IFERROR(__xludf.DUMMYFUNCTION("""COMPUTED_VALUE"""),"RODRIGUEZ NOEMI ADRIANA")</f>
        <v>RODRIGUEZ NOEMI ADRIANA</v>
      </c>
      <c r="D1199" s="1" t="str">
        <f>IFERROR(__xludf.DUMMYFUNCTION("""COMPUTED_VALUE"""),"Lentes de STOCK")</f>
        <v>Lentes de STOCK</v>
      </c>
      <c r="E1199" s="1" t="str">
        <f>IFERROR(__xludf.DUMMYFUNCTION("""COMPUTED_VALUE"""),"RIVADAVIA Rocio B")</f>
        <v>RIVADAVIA Rocio B</v>
      </c>
      <c r="F1199" s="1" t="str">
        <f t="shared" si="1"/>
        <v>RIVADAVIA </v>
      </c>
      <c r="G1199" s="1" t="str">
        <f t="shared" si="2"/>
        <v>Rocio B</v>
      </c>
      <c r="H1199" s="1" t="str">
        <f>IFERROR(__xludf.DUMMYFUNCTION("""COMPUTED_VALUE"""),"2/2/2023, 17:00:00")</f>
        <v>2/2/2023, 17:00:00</v>
      </c>
      <c r="I1199" s="1" t="str">
        <f>IFERROR(__xludf.DUMMYFUNCTION("""COMPUTED_VALUE"""),"RETIRADO OK POR CLIENTE")</f>
        <v>RETIRADO OK POR CLIENTE</v>
      </c>
      <c r="J1199" s="1">
        <f t="shared" si="3"/>
        <v>6</v>
      </c>
      <c r="K1199" s="1" t="str">
        <f t="shared" si="4"/>
        <v>Entregamos tus lentes, que los disfrutes!</v>
      </c>
    </row>
    <row r="1200">
      <c r="A1200" s="1">
        <f>IFERROR(__xludf.DUMMYFUNCTION("""COMPUTED_VALUE"""),85750.0)</f>
        <v>85750</v>
      </c>
      <c r="B1200" s="5">
        <f>IFERROR(__xludf.DUMMYFUNCTION("""COMPUTED_VALUE"""),44954.44285283565)</f>
        <v>44954.44285</v>
      </c>
      <c r="C1200" s="1" t="str">
        <f>IFERROR(__xludf.DUMMYFUNCTION("""COMPUTED_VALUE"""),"FARIAS MARIA ISABEL")</f>
        <v>FARIAS MARIA ISABEL</v>
      </c>
      <c r="D1200" s="1" t="str">
        <f>IFERROR(__xludf.DUMMYFUNCTION("""COMPUTED_VALUE"""),"Lentes de STOCK")</f>
        <v>Lentes de STOCK</v>
      </c>
      <c r="E1200" s="1" t="str">
        <f>IFERROR(__xludf.DUMMYFUNCTION("""COMPUTED_VALUE"""),"ARTIGAS Cristian C.")</f>
        <v>ARTIGAS Cristian C.</v>
      </c>
      <c r="F1200" s="1" t="str">
        <f t="shared" si="1"/>
        <v>ARTIGAS </v>
      </c>
      <c r="G1200" s="1" t="str">
        <f t="shared" si="2"/>
        <v>Cristian C.</v>
      </c>
      <c r="H1200" s="1" t="str">
        <f>IFERROR(__xludf.DUMMYFUNCTION("""COMPUTED_VALUE"""),"3/2/2023, 17:00:00")</f>
        <v>3/2/2023, 17:00:00</v>
      </c>
      <c r="I1200" s="1" t="str">
        <f>IFERROR(__xludf.DUMMYFUNCTION("""COMPUTED_VALUE"""),"RETIRADO OK POR CLIENTE")</f>
        <v>RETIRADO OK POR CLIENTE</v>
      </c>
      <c r="J1200" s="1">
        <f t="shared" si="3"/>
        <v>6</v>
      </c>
      <c r="K1200" s="1" t="str">
        <f t="shared" si="4"/>
        <v>Entregamos tus lentes, que los disfrutes!</v>
      </c>
    </row>
    <row r="1201">
      <c r="A1201" s="1">
        <f>IFERROR(__xludf.DUMMYFUNCTION("""COMPUTED_VALUE"""),85751.0)</f>
        <v>85751</v>
      </c>
      <c r="B1201" s="5">
        <f>IFERROR(__xludf.DUMMYFUNCTION("""COMPUTED_VALUE"""),44954.44450482639)</f>
        <v>44954.4445</v>
      </c>
      <c r="C1201" s="1" t="str">
        <f>IFERROR(__xludf.DUMMYFUNCTION("""COMPUTED_VALUE"""),"pereyra sebastian")</f>
        <v>pereyra sebastian</v>
      </c>
      <c r="D1201" s="1" t="str">
        <f>IFERROR(__xludf.DUMMYFUNCTION("""COMPUTED_VALUE"""),"Lentes MULTIFOCALES")</f>
        <v>Lentes MULTIFOCALES</v>
      </c>
      <c r="E1201" s="1" t="str">
        <f>IFERROR(__xludf.DUMMYFUNCTION("""COMPUTED_VALUE"""),"RIVADAVIA Santiago N")</f>
        <v>RIVADAVIA Santiago N</v>
      </c>
      <c r="F1201" s="1" t="str">
        <f t="shared" si="1"/>
        <v>RIVADAVIA </v>
      </c>
      <c r="G1201" s="1" t="str">
        <f t="shared" si="2"/>
        <v>Santiago N</v>
      </c>
      <c r="H1201" s="1" t="str">
        <f>IFERROR(__xludf.DUMMYFUNCTION("""COMPUTED_VALUE"""),"10/2/2023, 17:00:00")</f>
        <v>10/2/2023, 17:00:00</v>
      </c>
      <c r="I1201" s="1" t="str">
        <f>IFERROR(__xludf.DUMMYFUNCTION("""COMPUTED_VALUE"""),"RETIRADO OK POR CLIENTE")</f>
        <v>RETIRADO OK POR CLIENTE</v>
      </c>
      <c r="J1201" s="1">
        <f t="shared" si="3"/>
        <v>6</v>
      </c>
      <c r="K1201" s="1" t="str">
        <f t="shared" si="4"/>
        <v>Entregamos tus lentes, que los disfrutes!</v>
      </c>
    </row>
    <row r="1202">
      <c r="A1202" s="1">
        <f>IFERROR(__xludf.DUMMYFUNCTION("""COMPUTED_VALUE"""),85752.0)</f>
        <v>85752</v>
      </c>
      <c r="B1202" s="5">
        <f>IFERROR(__xludf.DUMMYFUNCTION("""COMPUTED_VALUE"""),44954.451418564815)</f>
        <v>44954.45142</v>
      </c>
      <c r="C1202" s="1" t="str">
        <f>IFERROR(__xludf.DUMMYFUNCTION("""COMPUTED_VALUE"""),"ROCCO LEONOR ALBINA")</f>
        <v>ROCCO LEONOR ALBINA</v>
      </c>
      <c r="D1202" s="1" t="str">
        <f>IFERROR(__xludf.DUMMYFUNCTION("""COMPUTED_VALUE"""),"Reparaciones/Otros")</f>
        <v>Reparaciones/Otros</v>
      </c>
      <c r="E1202" s="1" t="str">
        <f>IFERROR(__xludf.DUMMYFUNCTION("""COMPUTED_VALUE"""),"ARTIGAS Cristian C.")</f>
        <v>ARTIGAS Cristian C.</v>
      </c>
      <c r="F1202" s="1" t="str">
        <f t="shared" si="1"/>
        <v>ARTIGAS </v>
      </c>
      <c r="G1202" s="1" t="str">
        <f t="shared" si="2"/>
        <v>Cristian C.</v>
      </c>
      <c r="H1202" s="1" t="str">
        <f>IFERROR(__xludf.DUMMYFUNCTION("""COMPUTED_VALUE"""),"30/1/2023, 17:00:00")</f>
        <v>30/1/2023, 17:00:00</v>
      </c>
      <c r="I1202" s="1" t="str">
        <f>IFERROR(__xludf.DUMMYFUNCTION("""COMPUTED_VALUE"""),"Completado en SUCURSAL")</f>
        <v>Completado en SUCURSAL</v>
      </c>
      <c r="J1202" s="1">
        <f t="shared" si="3"/>
        <v>5</v>
      </c>
      <c r="K1202" s="1" t="str">
        <f t="shared" si="4"/>
        <v>Tus Lentes estan LISTAS PARA ENTREGAR, te esperamos.</v>
      </c>
    </row>
    <row r="1203">
      <c r="A1203" s="1">
        <f>IFERROR(__xludf.DUMMYFUNCTION("""COMPUTED_VALUE"""),85753.0)</f>
        <v>85753</v>
      </c>
      <c r="B1203" s="5">
        <f>IFERROR(__xludf.DUMMYFUNCTION("""COMPUTED_VALUE"""),44954.455501296296)</f>
        <v>44954.4555</v>
      </c>
      <c r="C1203" s="1" t="str">
        <f>IFERROR(__xludf.DUMMYFUNCTION("""COMPUTED_VALUE"""),"PARDO SANDRA")</f>
        <v>PARDO SANDRA</v>
      </c>
      <c r="D1203" s="1" t="str">
        <f>IFERROR(__xludf.DUMMYFUNCTION("""COMPUTED_VALUE"""),"Lentes MULTIFOCALES")</f>
        <v>Lentes MULTIFOCALES</v>
      </c>
      <c r="E1203" s="1" t="str">
        <f>IFERROR(__xludf.DUMMYFUNCTION("""COMPUTED_VALUE"""),"ARTIGAS Ivana P.")</f>
        <v>ARTIGAS Ivana P.</v>
      </c>
      <c r="F1203" s="1" t="str">
        <f t="shared" si="1"/>
        <v>ARTIGAS </v>
      </c>
      <c r="G1203" s="1" t="str">
        <f t="shared" si="2"/>
        <v>Ivana P.</v>
      </c>
      <c r="H1203" s="1" t="str">
        <f>IFERROR(__xludf.DUMMYFUNCTION("""COMPUTED_VALUE"""),"11/2/2023, 17:00:00")</f>
        <v>11/2/2023, 17:00:00</v>
      </c>
      <c r="I1203" s="1" t="str">
        <f>IFERROR(__xludf.DUMMYFUNCTION("""COMPUTED_VALUE"""),"RETIRADO OK POR CLIENTE")</f>
        <v>RETIRADO OK POR CLIENTE</v>
      </c>
      <c r="J1203" s="1">
        <f t="shared" si="3"/>
        <v>6</v>
      </c>
      <c r="K1203" s="1" t="str">
        <f t="shared" si="4"/>
        <v>Entregamos tus lentes, que los disfrutes!</v>
      </c>
    </row>
    <row r="1204">
      <c r="A1204" s="1">
        <f>IFERROR(__xludf.DUMMYFUNCTION("""COMPUTED_VALUE"""),85754.0)</f>
        <v>85754</v>
      </c>
      <c r="B1204" s="5">
        <f>IFERROR(__xludf.DUMMYFUNCTION("""COMPUTED_VALUE"""),44954.45976712963)</f>
        <v>44954.45977</v>
      </c>
      <c r="C1204" s="1" t="str">
        <f>IFERROR(__xludf.DUMMYFUNCTION("""COMPUTED_VALUE"""),"VAZQUEZ FRANCISCO  GONZALO")</f>
        <v>VAZQUEZ FRANCISCO  GONZALO</v>
      </c>
      <c r="D1204" s="1" t="str">
        <f>IFERROR(__xludf.DUMMYFUNCTION("""COMPUTED_VALUE"""),"Lentes de STOCK")</f>
        <v>Lentes de STOCK</v>
      </c>
      <c r="E1204" s="1" t="str">
        <f>IFERROR(__xludf.DUMMYFUNCTION("""COMPUTED_VALUE"""),"ARTIGAS Cristian C.")</f>
        <v>ARTIGAS Cristian C.</v>
      </c>
      <c r="F1204" s="1" t="str">
        <f t="shared" si="1"/>
        <v>ARTIGAS </v>
      </c>
      <c r="G1204" s="1" t="str">
        <f t="shared" si="2"/>
        <v>Cristian C.</v>
      </c>
      <c r="H1204" s="1" t="str">
        <f>IFERROR(__xludf.DUMMYFUNCTION("""COMPUTED_VALUE"""),"3/2/2023, 17:00:00")</f>
        <v>3/2/2023, 17:00:00</v>
      </c>
      <c r="I1204" s="1" t="str">
        <f>IFERROR(__xludf.DUMMYFUNCTION("""COMPUTED_VALUE"""),"Completado en SUCURSAL")</f>
        <v>Completado en SUCURSAL</v>
      </c>
      <c r="J1204" s="1">
        <f t="shared" si="3"/>
        <v>5</v>
      </c>
      <c r="K1204" s="1" t="str">
        <f t="shared" si="4"/>
        <v>Tus Lentes estan LISTAS PARA ENTREGAR, te esperamos.</v>
      </c>
    </row>
    <row r="1205">
      <c r="A1205" s="1">
        <f>IFERROR(__xludf.DUMMYFUNCTION("""COMPUTED_VALUE"""),85755.0)</f>
        <v>85755</v>
      </c>
      <c r="B1205" s="5">
        <f>IFERROR(__xludf.DUMMYFUNCTION("""COMPUTED_VALUE"""),44954.46724599537)</f>
        <v>44954.46725</v>
      </c>
      <c r="C1205" s="1" t="str">
        <f>IFERROR(__xludf.DUMMYFUNCTION("""COMPUTED_VALUE"""),"LAMAS NORBERTO")</f>
        <v>LAMAS NORBERTO</v>
      </c>
      <c r="D1205" s="1" t="str">
        <f>IFERROR(__xludf.DUMMYFUNCTION("""COMPUTED_VALUE"""),"Lentes MULTIFOCALES")</f>
        <v>Lentes MULTIFOCALES</v>
      </c>
      <c r="E1205" s="1" t="str">
        <f>IFERROR(__xludf.DUMMYFUNCTION("""COMPUTED_VALUE"""),"ARTIGAS Ivana P.")</f>
        <v>ARTIGAS Ivana P.</v>
      </c>
      <c r="F1205" s="1" t="str">
        <f t="shared" si="1"/>
        <v>ARTIGAS </v>
      </c>
      <c r="G1205" s="1" t="str">
        <f t="shared" si="2"/>
        <v>Ivana P.</v>
      </c>
      <c r="H1205" s="1" t="str">
        <f>IFERROR(__xludf.DUMMYFUNCTION("""COMPUTED_VALUE"""),"11/2/2023, 17:00:00")</f>
        <v>11/2/2023, 17:00:00</v>
      </c>
      <c r="I1205" s="1" t="str">
        <f>IFERROR(__xludf.DUMMYFUNCTION("""COMPUTED_VALUE"""),"RETIRADO OK POR CLIENTE")</f>
        <v>RETIRADO OK POR CLIENTE</v>
      </c>
      <c r="J1205" s="1">
        <f t="shared" si="3"/>
        <v>6</v>
      </c>
      <c r="K1205" s="1" t="str">
        <f t="shared" si="4"/>
        <v>Entregamos tus lentes, que los disfrutes!</v>
      </c>
    </row>
    <row r="1206">
      <c r="A1206" s="1">
        <f>IFERROR(__xludf.DUMMYFUNCTION("""COMPUTED_VALUE"""),85756.0)</f>
        <v>85756</v>
      </c>
      <c r="B1206" s="5">
        <f>IFERROR(__xludf.DUMMYFUNCTION("""COMPUTED_VALUE"""),44954.46804641203)</f>
        <v>44954.46805</v>
      </c>
      <c r="C1206" s="1" t="str">
        <f>IFERROR(__xludf.DUMMYFUNCTION("""COMPUTED_VALUE"""),"ysaguirre gisela")</f>
        <v>ysaguirre gisela</v>
      </c>
      <c r="D1206" s="1" t="str">
        <f>IFERROR(__xludf.DUMMYFUNCTION("""COMPUTED_VALUE"""),"Lentes de STOCK")</f>
        <v>Lentes de STOCK</v>
      </c>
      <c r="E1206" s="1" t="str">
        <f>IFERROR(__xludf.DUMMYFUNCTION("""COMPUTED_VALUE"""),"RIVADAVIA Santiago N")</f>
        <v>RIVADAVIA Santiago N</v>
      </c>
      <c r="F1206" s="1" t="str">
        <f t="shared" si="1"/>
        <v>RIVADAVIA </v>
      </c>
      <c r="G1206" s="1" t="str">
        <f t="shared" si="2"/>
        <v>Santiago N</v>
      </c>
      <c r="H1206" s="1" t="str">
        <f>IFERROR(__xludf.DUMMYFUNCTION("""COMPUTED_VALUE"""),"31/1/2023, 17:00:00")</f>
        <v>31/1/2023, 17:00:00</v>
      </c>
      <c r="I1206" s="1" t="str">
        <f>IFERROR(__xludf.DUMMYFUNCTION("""COMPUTED_VALUE"""),"Completado en SUCURSAL")</f>
        <v>Completado en SUCURSAL</v>
      </c>
      <c r="J1206" s="1">
        <f t="shared" si="3"/>
        <v>5</v>
      </c>
      <c r="K1206" s="1" t="str">
        <f t="shared" si="4"/>
        <v>Tus Lentes estan LISTAS PARA ENTREGAR, te esperamos.</v>
      </c>
    </row>
    <row r="1207">
      <c r="A1207" s="1">
        <f>IFERROR(__xludf.DUMMYFUNCTION("""COMPUTED_VALUE"""),85757.0)</f>
        <v>85757</v>
      </c>
      <c r="B1207" s="5">
        <f>IFERROR(__xludf.DUMMYFUNCTION("""COMPUTED_VALUE"""),44954.46939960648)</f>
        <v>44954.4694</v>
      </c>
      <c r="C1207" s="1" t="str">
        <f>IFERROR(__xludf.DUMMYFUNCTION("""COMPUTED_VALUE"""),"MARIÑO REGGINA")</f>
        <v>MARIÑO REGGINA</v>
      </c>
      <c r="D1207" s="1" t="str">
        <f>IFERROR(__xludf.DUMMYFUNCTION("""COMPUTED_VALUE"""),"Lentes de STOCK")</f>
        <v>Lentes de STOCK</v>
      </c>
      <c r="E1207" s="1" t="str">
        <f>IFERROR(__xludf.DUMMYFUNCTION("""COMPUTED_VALUE"""),"ARTIGAS Cristian C.")</f>
        <v>ARTIGAS Cristian C.</v>
      </c>
      <c r="F1207" s="1" t="str">
        <f t="shared" si="1"/>
        <v>ARTIGAS </v>
      </c>
      <c r="G1207" s="1" t="str">
        <f t="shared" si="2"/>
        <v>Cristian C.</v>
      </c>
      <c r="H1207" s="1" t="str">
        <f>IFERROR(__xludf.DUMMYFUNCTION("""COMPUTED_VALUE"""),"3/2/2023, 17:00:00")</f>
        <v>3/2/2023, 17:00:00</v>
      </c>
      <c r="I1207" s="1" t="str">
        <f>IFERROR(__xludf.DUMMYFUNCTION("""COMPUTED_VALUE"""),"RETIRADO OK POR CLIENTE")</f>
        <v>RETIRADO OK POR CLIENTE</v>
      </c>
      <c r="J1207" s="1">
        <f t="shared" si="3"/>
        <v>6</v>
      </c>
      <c r="K1207" s="1" t="str">
        <f t="shared" si="4"/>
        <v>Entregamos tus lentes, que los disfrutes!</v>
      </c>
    </row>
    <row r="1208">
      <c r="A1208" s="1">
        <f>IFERROR(__xludf.DUMMYFUNCTION("""COMPUTED_VALUE"""),85758.0)</f>
        <v>85758</v>
      </c>
      <c r="B1208" s="5">
        <f>IFERROR(__xludf.DUMMYFUNCTION("""COMPUTED_VALUE"""),44954.47137100695)</f>
        <v>44954.47137</v>
      </c>
      <c r="C1208" s="1" t="str">
        <f>IFERROR(__xludf.DUMMYFUNCTION("""COMPUTED_VALUE"""),"ALLENDE FANNY NOEMI")</f>
        <v>ALLENDE FANNY NOEMI</v>
      </c>
      <c r="D1208" s="1" t="str">
        <f>IFERROR(__xludf.DUMMYFUNCTION("""COMPUTED_VALUE"""),"Lentes BIFOCALES")</f>
        <v>Lentes BIFOCALES</v>
      </c>
      <c r="E1208" s="1" t="str">
        <f>IFERROR(__xludf.DUMMYFUNCTION("""COMPUTED_VALUE"""),"RIVADAVIA Daniel CM")</f>
        <v>RIVADAVIA Daniel CM</v>
      </c>
      <c r="F1208" s="1" t="str">
        <f t="shared" si="1"/>
        <v>RIVADAVIA </v>
      </c>
      <c r="G1208" s="1" t="str">
        <f t="shared" si="2"/>
        <v>Daniel CM</v>
      </c>
      <c r="H1208" s="1" t="str">
        <f>IFERROR(__xludf.DUMMYFUNCTION("""COMPUTED_VALUE"""),"1/2/2023, 17:00:00")</f>
        <v>1/2/2023, 17:00:00</v>
      </c>
      <c r="I1208" s="1" t="str">
        <f>IFERROR(__xludf.DUMMYFUNCTION("""COMPUTED_VALUE"""),"Completado en SUCURSAL")</f>
        <v>Completado en SUCURSAL</v>
      </c>
      <c r="J1208" s="1">
        <f t="shared" si="3"/>
        <v>5</v>
      </c>
      <c r="K1208" s="1" t="str">
        <f t="shared" si="4"/>
        <v>Tus Lentes estan LISTAS PARA ENTREGAR, te esperamos.</v>
      </c>
    </row>
    <row r="1209">
      <c r="A1209" s="1">
        <f>IFERROR(__xludf.DUMMYFUNCTION("""COMPUTED_VALUE"""),85759.0)</f>
        <v>85759</v>
      </c>
      <c r="B1209" s="5">
        <f>IFERROR(__xludf.DUMMYFUNCTION("""COMPUTED_VALUE"""),44954.49436399306)</f>
        <v>44954.49436</v>
      </c>
      <c r="C1209" s="1" t="str">
        <f>IFERROR(__xludf.DUMMYFUNCTION("""COMPUTED_VALUE"""),"Perez Viviana")</f>
        <v>Perez Viviana</v>
      </c>
      <c r="D1209" s="1" t="str">
        <f>IFERROR(__xludf.DUMMYFUNCTION("""COMPUTED_VALUE"""),"Lentes de STOCK")</f>
        <v>Lentes de STOCK</v>
      </c>
      <c r="E1209" s="1" t="str">
        <f>IFERROR(__xludf.DUMMYFUNCTION("""COMPUTED_VALUE"""),"RIVADAVIA Rocio B")</f>
        <v>RIVADAVIA Rocio B</v>
      </c>
      <c r="F1209" s="1" t="str">
        <f t="shared" si="1"/>
        <v>RIVADAVIA </v>
      </c>
      <c r="G1209" s="1" t="str">
        <f t="shared" si="2"/>
        <v>Rocio B</v>
      </c>
      <c r="H1209" s="1" t="str">
        <f>IFERROR(__xludf.DUMMYFUNCTION("""COMPUTED_VALUE"""),"2/2/2023, 17:00:00")</f>
        <v>2/2/2023, 17:00:00</v>
      </c>
      <c r="I1209" s="1" t="str">
        <f>IFERROR(__xludf.DUMMYFUNCTION("""COMPUTED_VALUE"""),"Completado en SUCURSAL")</f>
        <v>Completado en SUCURSAL</v>
      </c>
      <c r="J1209" s="1">
        <f t="shared" si="3"/>
        <v>5</v>
      </c>
      <c r="K1209" s="1" t="str">
        <f t="shared" si="4"/>
        <v>Tus Lentes estan LISTAS PARA ENTREGAR, te esperamos.</v>
      </c>
    </row>
    <row r="1210">
      <c r="A1210" s="1">
        <f>IFERROR(__xludf.DUMMYFUNCTION("""COMPUTED_VALUE"""),85760.0)</f>
        <v>85760</v>
      </c>
      <c r="B1210" s="5">
        <f>IFERROR(__xludf.DUMMYFUNCTION("""COMPUTED_VALUE"""),44954.49587047454)</f>
        <v>44954.49587</v>
      </c>
      <c r="C1210" s="1" t="str">
        <f>IFERROR(__xludf.DUMMYFUNCTION("""COMPUTED_VALUE"""),"VILLEGAS SAIEG SANTINO")</f>
        <v>VILLEGAS SAIEG SANTINO</v>
      </c>
      <c r="D1210" s="1" t="str">
        <f>IFERROR(__xludf.DUMMYFUNCTION("""COMPUTED_VALUE"""),"Lentes de STOCK")</f>
        <v>Lentes de STOCK</v>
      </c>
      <c r="E1210" s="1" t="str">
        <f>IFERROR(__xludf.DUMMYFUNCTION("""COMPUTED_VALUE"""),"RIVADAVIA Luciana")</f>
        <v>RIVADAVIA Luciana</v>
      </c>
      <c r="F1210" s="1" t="str">
        <f t="shared" si="1"/>
        <v>RIVADAVIA </v>
      </c>
      <c r="G1210" s="1" t="str">
        <f t="shared" si="2"/>
        <v>Luciana</v>
      </c>
      <c r="H1210" s="1" t="str">
        <f>IFERROR(__xludf.DUMMYFUNCTION("""COMPUTED_VALUE"""),"2/2/2023, 17:00:00")</f>
        <v>2/2/2023, 17:00:00</v>
      </c>
      <c r="I1210" s="1" t="str">
        <f>IFERROR(__xludf.DUMMYFUNCTION("""COMPUTED_VALUE"""),"Completado en SUCURSAL")</f>
        <v>Completado en SUCURSAL</v>
      </c>
      <c r="J1210" s="1">
        <f t="shared" si="3"/>
        <v>5</v>
      </c>
      <c r="K1210" s="1" t="str">
        <f t="shared" si="4"/>
        <v>Tus Lentes estan LISTAS PARA ENTREGAR, te esperamos.</v>
      </c>
    </row>
    <row r="1211">
      <c r="A1211" s="1">
        <f>IFERROR(__xludf.DUMMYFUNCTION("""COMPUTED_VALUE"""),85761.0)</f>
        <v>85761</v>
      </c>
      <c r="B1211" s="5">
        <f>IFERROR(__xludf.DUMMYFUNCTION("""COMPUTED_VALUE"""),44954.497961747686)</f>
        <v>44954.49796</v>
      </c>
      <c r="C1211" s="1" t="str">
        <f>IFERROR(__xludf.DUMMYFUNCTION("""COMPUTED_VALUE"""),"PAVEZ CAMILA")</f>
        <v>PAVEZ CAMILA</v>
      </c>
      <c r="D1211" s="1" t="str">
        <f>IFERROR(__xludf.DUMMYFUNCTION("""COMPUTED_VALUE"""),"Lentes de STOCK")</f>
        <v>Lentes de STOCK</v>
      </c>
      <c r="E1211" s="1" t="str">
        <f>IFERROR(__xludf.DUMMYFUNCTION("""COMPUTED_VALUE"""),"RIVADAVIA Santiago LOPEZ")</f>
        <v>RIVADAVIA Santiago LOPEZ</v>
      </c>
      <c r="F1211" s="1" t="str">
        <f t="shared" si="1"/>
        <v>RIVADAVIA </v>
      </c>
      <c r="G1211" s="1" t="str">
        <f t="shared" si="2"/>
        <v>Santiago LOPEZ</v>
      </c>
      <c r="H1211" s="1" t="str">
        <f>IFERROR(__xludf.DUMMYFUNCTION("""COMPUTED_VALUE"""),"31/1/2023, 17:00:00")</f>
        <v>31/1/2023, 17:00:00</v>
      </c>
      <c r="I1211" s="1" t="str">
        <f>IFERROR(__xludf.DUMMYFUNCTION("""COMPUTED_VALUE"""),"Enviado a Sucursal")</f>
        <v>Enviado a Sucursal</v>
      </c>
      <c r="J1211" s="1">
        <f t="shared" si="3"/>
        <v>4</v>
      </c>
      <c r="K1211" s="1" t="str">
        <f t="shared" si="4"/>
        <v>Tus lentes estan viajando a la sucursal para su entrega.</v>
      </c>
    </row>
    <row r="1212">
      <c r="A1212" s="1">
        <f>IFERROR(__xludf.DUMMYFUNCTION("""COMPUTED_VALUE"""),85762.0)</f>
        <v>85762</v>
      </c>
      <c r="B1212" s="5">
        <f>IFERROR(__xludf.DUMMYFUNCTION("""COMPUTED_VALUE"""),44954.49838534722)</f>
        <v>44954.49839</v>
      </c>
      <c r="C1212" s="1" t="str">
        <f>IFERROR(__xludf.DUMMYFUNCTION("""COMPUTED_VALUE"""),"berdugo claudia")</f>
        <v>berdugo claudia</v>
      </c>
      <c r="D1212" s="1" t="str">
        <f>IFERROR(__xludf.DUMMYFUNCTION("""COMPUTED_VALUE"""),"Lentes MULTIFOCALES")</f>
        <v>Lentes MULTIFOCALES</v>
      </c>
      <c r="E1212" s="1" t="str">
        <f>IFERROR(__xludf.DUMMYFUNCTION("""COMPUTED_VALUE"""),"RIVADAVIA Santiago N")</f>
        <v>RIVADAVIA Santiago N</v>
      </c>
      <c r="F1212" s="1" t="str">
        <f t="shared" si="1"/>
        <v>RIVADAVIA </v>
      </c>
      <c r="G1212" s="1" t="str">
        <f t="shared" si="2"/>
        <v>Santiago N</v>
      </c>
      <c r="H1212" s="1" t="str">
        <f>IFERROR(__xludf.DUMMYFUNCTION("""COMPUTED_VALUE"""),"10/2/2023, 17:00:00")</f>
        <v>10/2/2023, 17:00:00</v>
      </c>
      <c r="I1212" s="1" t="str">
        <f>IFERROR(__xludf.DUMMYFUNCTION("""COMPUTED_VALUE"""),"RETIRADO OK POR CLIENTE")</f>
        <v>RETIRADO OK POR CLIENTE</v>
      </c>
      <c r="J1212" s="1">
        <f t="shared" si="3"/>
        <v>6</v>
      </c>
      <c r="K1212" s="1" t="str">
        <f t="shared" si="4"/>
        <v>Entregamos tus lentes, que los disfrutes!</v>
      </c>
    </row>
    <row r="1213">
      <c r="A1213" s="1">
        <f>IFERROR(__xludf.DUMMYFUNCTION("""COMPUTED_VALUE"""),85763.0)</f>
        <v>85763</v>
      </c>
      <c r="B1213" s="5">
        <f>IFERROR(__xludf.DUMMYFUNCTION("""COMPUTED_VALUE"""),44954.50868515046)</f>
        <v>44954.50869</v>
      </c>
      <c r="C1213" s="1" t="str">
        <f>IFERROR(__xludf.DUMMYFUNCTION("""COMPUTED_VALUE"""),"TECACHUC MARIA ANGEL ")</f>
        <v>TECACHUC MARIA ANGEL </v>
      </c>
      <c r="D1213" s="1" t="str">
        <f>IFERROR(__xludf.DUMMYFUNCTION("""COMPUTED_VALUE"""),"Reparaciones/Otros")</f>
        <v>Reparaciones/Otros</v>
      </c>
      <c r="E1213" s="1" t="str">
        <f>IFERROR(__xludf.DUMMYFUNCTION("""COMPUTED_VALUE"""),"ARTIGAS Cristian C.")</f>
        <v>ARTIGAS Cristian C.</v>
      </c>
      <c r="F1213" s="1" t="str">
        <f t="shared" si="1"/>
        <v>ARTIGAS </v>
      </c>
      <c r="G1213" s="1" t="str">
        <f t="shared" si="2"/>
        <v>Cristian C.</v>
      </c>
      <c r="H1213" s="1" t="str">
        <f>IFERROR(__xludf.DUMMYFUNCTION("""COMPUTED_VALUE"""),"1/2/2023, 17:00:00")</f>
        <v>1/2/2023, 17:00:00</v>
      </c>
      <c r="I1213" s="1"/>
      <c r="J1213" s="1">
        <f t="shared" si="3"/>
        <v>0</v>
      </c>
      <c r="K1213" s="1" t="str">
        <f t="shared" si="4"/>
        <v/>
      </c>
    </row>
    <row r="1214">
      <c r="A1214" s="1">
        <f>IFERROR(__xludf.DUMMYFUNCTION("""COMPUTED_VALUE"""),85764.0)</f>
        <v>85764</v>
      </c>
      <c r="B1214" s="5">
        <f>IFERROR(__xludf.DUMMYFUNCTION("""COMPUTED_VALUE"""),44954.508887627315)</f>
        <v>44954.50889</v>
      </c>
      <c r="C1214" s="1" t="str">
        <f>IFERROR(__xludf.DUMMYFUNCTION("""COMPUTED_VALUE"""),"OJEDA OSCAR FABIAN ")</f>
        <v>OJEDA OSCAR FABIAN </v>
      </c>
      <c r="D1214" s="1" t="str">
        <f>IFERROR(__xludf.DUMMYFUNCTION("""COMPUTED_VALUE"""),"Lentes de LABORATORIO")</f>
        <v>Lentes de LABORATORIO</v>
      </c>
      <c r="E1214" s="1" t="str">
        <f>IFERROR(__xludf.DUMMYFUNCTION("""COMPUTED_VALUE"""),"RIVADAVIA Luciana")</f>
        <v>RIVADAVIA Luciana</v>
      </c>
      <c r="F1214" s="1" t="str">
        <f t="shared" si="1"/>
        <v>RIVADAVIA </v>
      </c>
      <c r="G1214" s="1" t="str">
        <f t="shared" si="2"/>
        <v>Luciana</v>
      </c>
      <c r="H1214" s="1" t="str">
        <f>IFERROR(__xludf.DUMMYFUNCTION("""COMPUTED_VALUE"""),"15/2/2023, 17:00:00")</f>
        <v>15/2/2023, 17:00:00</v>
      </c>
      <c r="I1214" s="1" t="str">
        <f>IFERROR(__xludf.DUMMYFUNCTION("""COMPUTED_VALUE"""),"RETIRADO OK POR CLIENTE")</f>
        <v>RETIRADO OK POR CLIENTE</v>
      </c>
      <c r="J1214" s="1">
        <f t="shared" si="3"/>
        <v>6</v>
      </c>
      <c r="K1214" s="1" t="str">
        <f t="shared" si="4"/>
        <v>Entregamos tus lentes, que los disfrutes!</v>
      </c>
    </row>
    <row r="1215">
      <c r="A1215" s="1">
        <f>IFERROR(__xludf.DUMMYFUNCTION("""COMPUTED_VALUE"""),85765.0)</f>
        <v>85765</v>
      </c>
      <c r="B1215" s="5">
        <f>IFERROR(__xludf.DUMMYFUNCTION("""COMPUTED_VALUE"""),44954.5138999537)</f>
        <v>44954.5139</v>
      </c>
      <c r="C1215" s="1" t="str">
        <f>IFERROR(__xludf.DUMMYFUNCTION("""COMPUTED_VALUE"""),"RIVAS MARCELO / AMCOR")</f>
        <v>RIVAS MARCELO / AMCOR</v>
      </c>
      <c r="D1215" s="1" t="str">
        <f>IFERROR(__xludf.DUMMYFUNCTION("""COMPUTED_VALUE"""),"Lentes MULTIFOCALES")</f>
        <v>Lentes MULTIFOCALES</v>
      </c>
      <c r="E1215" s="1" t="str">
        <f>IFERROR(__xludf.DUMMYFUNCTION("""COMPUTED_VALUE"""),"ARTIGAS Ivana P.")</f>
        <v>ARTIGAS Ivana P.</v>
      </c>
      <c r="F1215" s="1" t="str">
        <f t="shared" si="1"/>
        <v>ARTIGAS </v>
      </c>
      <c r="G1215" s="1" t="str">
        <f t="shared" si="2"/>
        <v>Ivana P.</v>
      </c>
      <c r="H1215" s="1" t="str">
        <f>IFERROR(__xludf.DUMMYFUNCTION("""COMPUTED_VALUE"""),"10/2/2023, 17:00:00")</f>
        <v>10/2/2023, 17:00:00</v>
      </c>
      <c r="I1215" s="1" t="str">
        <f>IFERROR(__xludf.DUMMYFUNCTION("""COMPUTED_VALUE"""),"RETIRADO OK POR CLIENTE")</f>
        <v>RETIRADO OK POR CLIENTE</v>
      </c>
      <c r="J1215" s="1">
        <f t="shared" si="3"/>
        <v>6</v>
      </c>
      <c r="K1215" s="1" t="str">
        <f t="shared" si="4"/>
        <v>Entregamos tus lentes, que los disfrutes!</v>
      </c>
    </row>
    <row r="1216">
      <c r="A1216" s="1">
        <f>IFERROR(__xludf.DUMMYFUNCTION("""COMPUTED_VALUE"""),85766.0)</f>
        <v>85766</v>
      </c>
      <c r="B1216" s="5">
        <f>IFERROR(__xludf.DUMMYFUNCTION("""COMPUTED_VALUE"""),44954.52507711806)</f>
        <v>44954.52508</v>
      </c>
      <c r="C1216" s="1" t="str">
        <f>IFERROR(__xludf.DUMMYFUNCTION("""COMPUTED_VALUE"""),"DIAZ MAYO FERNANDO")</f>
        <v>DIAZ MAYO FERNANDO</v>
      </c>
      <c r="D1216" s="1" t="str">
        <f>IFERROR(__xludf.DUMMYFUNCTION("""COMPUTED_VALUE"""),"Reparaciones/Otros")</f>
        <v>Reparaciones/Otros</v>
      </c>
      <c r="E1216" s="1" t="str">
        <f>IFERROR(__xludf.DUMMYFUNCTION("""COMPUTED_VALUE"""),"RIVADAVIA Javier")</f>
        <v>RIVADAVIA Javier</v>
      </c>
      <c r="F1216" s="1" t="str">
        <f t="shared" si="1"/>
        <v>RIVADAVIA </v>
      </c>
      <c r="G1216" s="1" t="str">
        <f t="shared" si="2"/>
        <v>Javier</v>
      </c>
      <c r="H1216" s="1" t="str">
        <f>IFERROR(__xludf.DUMMYFUNCTION("""COMPUTED_VALUE"""),"30/1/2023, 17:00:00")</f>
        <v>30/1/2023, 17:00:00</v>
      </c>
      <c r="I1216" s="1" t="str">
        <f>IFERROR(__xludf.DUMMYFUNCTION("""COMPUTED_VALUE"""),"Completado en SUCURSAL")</f>
        <v>Completado en SUCURSAL</v>
      </c>
      <c r="J1216" s="1">
        <f t="shared" si="3"/>
        <v>5</v>
      </c>
      <c r="K1216" s="1" t="str">
        <f t="shared" si="4"/>
        <v>Tus Lentes estan LISTAS PARA ENTREGAR, te esperamos.</v>
      </c>
    </row>
    <row r="1217">
      <c r="A1217" s="1">
        <f>IFERROR(__xludf.DUMMYFUNCTION("""COMPUTED_VALUE"""),85767.0)</f>
        <v>85767</v>
      </c>
      <c r="B1217" s="5">
        <f>IFERROR(__xludf.DUMMYFUNCTION("""COMPUTED_VALUE"""),44954.52513054398)</f>
        <v>44954.52513</v>
      </c>
      <c r="C1217" s="1" t="str">
        <f>IFERROR(__xludf.DUMMYFUNCTION("""COMPUTED_VALUE"""),"ORTIZ DANI")</f>
        <v>ORTIZ DANI</v>
      </c>
      <c r="D1217" s="1" t="str">
        <f>IFERROR(__xludf.DUMMYFUNCTION("""COMPUTED_VALUE"""),"Reparaciones/Otros")</f>
        <v>Reparaciones/Otros</v>
      </c>
      <c r="E1217" s="1" t="str">
        <f>IFERROR(__xludf.DUMMYFUNCTION("""COMPUTED_VALUE"""),"ARTIGAS Celina")</f>
        <v>ARTIGAS Celina</v>
      </c>
      <c r="F1217" s="1" t="str">
        <f t="shared" si="1"/>
        <v>ARTIGAS </v>
      </c>
      <c r="G1217" s="1" t="str">
        <f t="shared" si="2"/>
        <v>Celina</v>
      </c>
      <c r="H1217" s="1" t="str">
        <f>IFERROR(__xludf.DUMMYFUNCTION("""COMPUTED_VALUE"""),"30/1/2023, 17:00:00")</f>
        <v>30/1/2023, 17:00:00</v>
      </c>
      <c r="I1217" s="1" t="str">
        <f>IFERROR(__xludf.DUMMYFUNCTION("""COMPUTED_VALUE"""),"Completado en SUCURSAL")</f>
        <v>Completado en SUCURSAL</v>
      </c>
      <c r="J1217" s="1">
        <f t="shared" si="3"/>
        <v>5</v>
      </c>
      <c r="K1217" s="1" t="str">
        <f t="shared" si="4"/>
        <v>Tus Lentes estan LISTAS PARA ENTREGAR, te esperamos.</v>
      </c>
    </row>
    <row r="1218">
      <c r="A1218" s="1">
        <f>IFERROR(__xludf.DUMMYFUNCTION("""COMPUTED_VALUE"""),85768.0)</f>
        <v>85768</v>
      </c>
      <c r="B1218" s="5">
        <f>IFERROR(__xludf.DUMMYFUNCTION("""COMPUTED_VALUE"""),44954.525835555556)</f>
        <v>44954.52584</v>
      </c>
      <c r="C1218" s="1" t="str">
        <f>IFERROR(__xludf.DUMMYFUNCTION("""COMPUTED_VALUE"""),"ANDRADA NESTOR")</f>
        <v>ANDRADA NESTOR</v>
      </c>
      <c r="D1218" s="1" t="str">
        <f>IFERROR(__xludf.DUMMYFUNCTION("""COMPUTED_VALUE"""),"Lentes de STOCK")</f>
        <v>Lentes de STOCK</v>
      </c>
      <c r="E1218" s="1" t="str">
        <f>IFERROR(__xludf.DUMMYFUNCTION("""COMPUTED_VALUE"""),"RIVADAVIA Luciana")</f>
        <v>RIVADAVIA Luciana</v>
      </c>
      <c r="F1218" s="1" t="str">
        <f t="shared" si="1"/>
        <v>RIVADAVIA </v>
      </c>
      <c r="G1218" s="1" t="str">
        <f t="shared" si="2"/>
        <v>Luciana</v>
      </c>
      <c r="H1218" s="1" t="str">
        <f>IFERROR(__xludf.DUMMYFUNCTION("""COMPUTED_VALUE"""),"2/2/2023, 17:00:00")</f>
        <v>2/2/2023, 17:00:00</v>
      </c>
      <c r="I1218" s="1" t="str">
        <f>IFERROR(__xludf.DUMMYFUNCTION("""COMPUTED_VALUE"""),"Completado en SUCURSAL")</f>
        <v>Completado en SUCURSAL</v>
      </c>
      <c r="J1218" s="1">
        <f t="shared" si="3"/>
        <v>5</v>
      </c>
      <c r="K1218" s="1" t="str">
        <f t="shared" si="4"/>
        <v>Tus Lentes estan LISTAS PARA ENTREGAR, te esperamos.</v>
      </c>
    </row>
    <row r="1219">
      <c r="A1219" s="1">
        <f>IFERROR(__xludf.DUMMYFUNCTION("""COMPUTED_VALUE"""),85769.0)</f>
        <v>85769</v>
      </c>
      <c r="B1219" s="5">
        <f>IFERROR(__xludf.DUMMYFUNCTION("""COMPUTED_VALUE"""),44954.52602752315)</f>
        <v>44954.52603</v>
      </c>
      <c r="C1219" s="1" t="str">
        <f>IFERROR(__xludf.DUMMYFUNCTION("""COMPUTED_VALUE"""),"BUSTOS SILVIA")</f>
        <v>BUSTOS SILVIA</v>
      </c>
      <c r="D1219" s="1" t="str">
        <f>IFERROR(__xludf.DUMMYFUNCTION("""COMPUTED_VALUE"""),"Lentes de STOCK")</f>
        <v>Lentes de STOCK</v>
      </c>
      <c r="E1219" s="1" t="str">
        <f>IFERROR(__xludf.DUMMYFUNCTION("""COMPUTED_VALUE"""),"ARTIGAS Ivana P.")</f>
        <v>ARTIGAS Ivana P.</v>
      </c>
      <c r="F1219" s="1" t="str">
        <f t="shared" si="1"/>
        <v>ARTIGAS </v>
      </c>
      <c r="G1219" s="1" t="str">
        <f t="shared" si="2"/>
        <v>Ivana P.</v>
      </c>
      <c r="H1219" s="1" t="str">
        <f>IFERROR(__xludf.DUMMYFUNCTION("""COMPUTED_VALUE"""),"31/1/2023, 17:00:00")</f>
        <v>31/1/2023, 17:00:00</v>
      </c>
      <c r="I1219" s="1" t="str">
        <f>IFERROR(__xludf.DUMMYFUNCTION("""COMPUTED_VALUE"""),"Completado en SUCURSAL")</f>
        <v>Completado en SUCURSAL</v>
      </c>
      <c r="J1219" s="1">
        <f t="shared" si="3"/>
        <v>5</v>
      </c>
      <c r="K1219" s="1" t="str">
        <f t="shared" si="4"/>
        <v>Tus Lentes estan LISTAS PARA ENTREGAR, te esperamos.</v>
      </c>
    </row>
    <row r="1220">
      <c r="A1220" s="1">
        <f>IFERROR(__xludf.DUMMYFUNCTION("""COMPUTED_VALUE"""),85770.0)</f>
        <v>85770</v>
      </c>
      <c r="B1220" s="5">
        <f>IFERROR(__xludf.DUMMYFUNCTION("""COMPUTED_VALUE"""),44954.53847493055)</f>
        <v>44954.53847</v>
      </c>
      <c r="C1220" s="1" t="str">
        <f>IFERROR(__xludf.DUMMYFUNCTION("""COMPUTED_VALUE"""),"VILLEGAS JORGE ALDO")</f>
        <v>VILLEGAS JORGE ALDO</v>
      </c>
      <c r="D1220" s="1" t="str">
        <f>IFERROR(__xludf.DUMMYFUNCTION("""COMPUTED_VALUE"""),"Lentes BIFOCALES")</f>
        <v>Lentes BIFOCALES</v>
      </c>
      <c r="E1220" s="1" t="str">
        <f>IFERROR(__xludf.DUMMYFUNCTION("""COMPUTED_VALUE"""),"RIVADAVIA Javier")</f>
        <v>RIVADAVIA Javier</v>
      </c>
      <c r="F1220" s="1" t="str">
        <f t="shared" si="1"/>
        <v>RIVADAVIA </v>
      </c>
      <c r="G1220" s="1" t="str">
        <f t="shared" si="2"/>
        <v>Javier</v>
      </c>
      <c r="H1220" s="1" t="str">
        <f>IFERROR(__xludf.DUMMYFUNCTION("""COMPUTED_VALUE"""),"11/2/2023, 17:00:00")</f>
        <v>11/2/2023, 17:00:00</v>
      </c>
      <c r="I1220" s="1" t="str">
        <f>IFERROR(__xludf.DUMMYFUNCTION("""COMPUTED_VALUE"""),"RETIRADO OK POR CLIENTE")</f>
        <v>RETIRADO OK POR CLIENTE</v>
      </c>
      <c r="J1220" s="1">
        <f t="shared" si="3"/>
        <v>6</v>
      </c>
      <c r="K1220" s="1" t="str">
        <f t="shared" si="4"/>
        <v>Entregamos tus lentes, que los disfrutes!</v>
      </c>
    </row>
    <row r="1221">
      <c r="A1221" s="1">
        <f>IFERROR(__xludf.DUMMYFUNCTION("""COMPUTED_VALUE"""),85771.0)</f>
        <v>85771</v>
      </c>
      <c r="B1221" s="5">
        <f>IFERROR(__xludf.DUMMYFUNCTION("""COMPUTED_VALUE"""),44956.37833931713)</f>
        <v>44956.37834</v>
      </c>
      <c r="C1221" s="1" t="str">
        <f>IFERROR(__xludf.DUMMYFUNCTION("""COMPUTED_VALUE"""),"Leyes Yesica")</f>
        <v>Leyes Yesica</v>
      </c>
      <c r="D1221" s="1" t="str">
        <f>IFERROR(__xludf.DUMMYFUNCTION("""COMPUTED_VALUE"""),"Reparaciones/Otros")</f>
        <v>Reparaciones/Otros</v>
      </c>
      <c r="E1221" s="1" t="str">
        <f>IFERROR(__xludf.DUMMYFUNCTION("""COMPUTED_VALUE"""),"RIVADAVIA Rocio B")</f>
        <v>RIVADAVIA Rocio B</v>
      </c>
      <c r="F1221" s="1" t="str">
        <f t="shared" si="1"/>
        <v>RIVADAVIA </v>
      </c>
      <c r="G1221" s="1" t="str">
        <f t="shared" si="2"/>
        <v>Rocio B</v>
      </c>
      <c r="H1221" s="1" t="str">
        <f>IFERROR(__xludf.DUMMYFUNCTION("""COMPUTED_VALUE"""),"31/1/2023, 17:00:00")</f>
        <v>31/1/2023, 17:00:00</v>
      </c>
      <c r="I1221" s="1" t="str">
        <f>IFERROR(__xludf.DUMMYFUNCTION("""COMPUTED_VALUE"""),"Completado en SUCURSAL")</f>
        <v>Completado en SUCURSAL</v>
      </c>
      <c r="J1221" s="1">
        <f t="shared" si="3"/>
        <v>5</v>
      </c>
      <c r="K1221" s="1" t="str">
        <f t="shared" si="4"/>
        <v>Tus Lentes estan LISTAS PARA ENTREGAR, te esperamos.</v>
      </c>
    </row>
    <row r="1222">
      <c r="A1222" s="1">
        <f>IFERROR(__xludf.DUMMYFUNCTION("""COMPUTED_VALUE"""),85772.0)</f>
        <v>85772</v>
      </c>
      <c r="B1222" s="5">
        <f>IFERROR(__xludf.DUMMYFUNCTION("""COMPUTED_VALUE"""),44956.382428680554)</f>
        <v>44956.38243</v>
      </c>
      <c r="C1222" s="1" t="str">
        <f>IFERROR(__xludf.DUMMYFUNCTION("""COMPUTED_VALUE"""),"HERRERA SONIA")</f>
        <v>HERRERA SONIA</v>
      </c>
      <c r="D1222" s="1" t="str">
        <f>IFERROR(__xludf.DUMMYFUNCTION("""COMPUTED_VALUE"""),"Reparaciones/Otros")</f>
        <v>Reparaciones/Otros</v>
      </c>
      <c r="E1222" s="1" t="str">
        <f>IFERROR(__xludf.DUMMYFUNCTION("""COMPUTED_VALUE"""),"ARTIGAS Cristian C.")</f>
        <v>ARTIGAS Cristian C.</v>
      </c>
      <c r="F1222" s="1" t="str">
        <f t="shared" si="1"/>
        <v>ARTIGAS </v>
      </c>
      <c r="G1222" s="1" t="str">
        <f t="shared" si="2"/>
        <v>Cristian C.</v>
      </c>
      <c r="H1222" s="1" t="str">
        <f>IFERROR(__xludf.DUMMYFUNCTION("""COMPUTED_VALUE"""),"1/2/2023, 17:00:00")</f>
        <v>1/2/2023, 17:00:00</v>
      </c>
      <c r="I1222" s="1" t="str">
        <f>IFERROR(__xludf.DUMMYFUNCTION("""COMPUTED_VALUE"""),"Recibido en Laboratorio")</f>
        <v>Recibido en Laboratorio</v>
      </c>
      <c r="J1222" s="1">
        <f t="shared" si="3"/>
        <v>2</v>
      </c>
      <c r="K1222" s="1" t="str">
        <f t="shared" si="4"/>
        <v>Nuestro Laboratorio esta trabajando en tus lentes, los entregaremos en la fecha acordada.</v>
      </c>
    </row>
    <row r="1223">
      <c r="A1223" s="1">
        <f>IFERROR(__xludf.DUMMYFUNCTION("""COMPUTED_VALUE"""),85773.0)</f>
        <v>85773</v>
      </c>
      <c r="B1223" s="5">
        <f>IFERROR(__xludf.DUMMYFUNCTION("""COMPUTED_VALUE"""),44956.38395137731)</f>
        <v>44956.38395</v>
      </c>
      <c r="C1223" s="1" t="str">
        <f>IFERROR(__xludf.DUMMYFUNCTION("""COMPUTED_VALUE"""),"ECHENIQUE DELIA ESTER")</f>
        <v>ECHENIQUE DELIA ESTER</v>
      </c>
      <c r="D1223" s="1" t="str">
        <f>IFERROR(__xludf.DUMMYFUNCTION("""COMPUTED_VALUE"""),"Lentes BIFOCALES")</f>
        <v>Lentes BIFOCALES</v>
      </c>
      <c r="E1223" s="1" t="str">
        <f>IFERROR(__xludf.DUMMYFUNCTION("""COMPUTED_VALUE"""),"RIVADAVIA Marcela L")</f>
        <v>RIVADAVIA Marcela L</v>
      </c>
      <c r="F1223" s="1" t="str">
        <f t="shared" si="1"/>
        <v>RIVADAVIA </v>
      </c>
      <c r="G1223" s="1" t="str">
        <f t="shared" si="2"/>
        <v>Marcela L</v>
      </c>
      <c r="H1223" s="1" t="str">
        <f>IFERROR(__xludf.DUMMYFUNCTION("""COMPUTED_VALUE"""),"3/2/2023, 17:00:00")</f>
        <v>3/2/2023, 17:00:00</v>
      </c>
      <c r="I1223" s="1" t="str">
        <f>IFERROR(__xludf.DUMMYFUNCTION("""COMPUTED_VALUE"""),"Completado en SUCURSAL")</f>
        <v>Completado en SUCURSAL</v>
      </c>
      <c r="J1223" s="1">
        <f t="shared" si="3"/>
        <v>5</v>
      </c>
      <c r="K1223" s="1" t="str">
        <f t="shared" si="4"/>
        <v>Tus Lentes estan LISTAS PARA ENTREGAR, te esperamos.</v>
      </c>
    </row>
    <row r="1224">
      <c r="A1224" s="1">
        <f>IFERROR(__xludf.DUMMYFUNCTION("""COMPUTED_VALUE"""),85774.0)</f>
        <v>85774</v>
      </c>
      <c r="B1224" s="5">
        <f>IFERROR(__xludf.DUMMYFUNCTION("""COMPUTED_VALUE"""),44956.39669862269)</f>
        <v>44956.3967</v>
      </c>
      <c r="C1224" s="1" t="str">
        <f>IFERROR(__xludf.DUMMYFUNCTION("""COMPUTED_VALUE"""),"FUNES LUISA")</f>
        <v>FUNES LUISA</v>
      </c>
      <c r="D1224" s="1" t="str">
        <f>IFERROR(__xludf.DUMMYFUNCTION("""COMPUTED_VALUE"""),"Reparaciones/Otros")</f>
        <v>Reparaciones/Otros</v>
      </c>
      <c r="E1224" s="1" t="str">
        <f>IFERROR(__xludf.DUMMYFUNCTION("""COMPUTED_VALUE"""),"ARTIGAS Cristian C.")</f>
        <v>ARTIGAS Cristian C.</v>
      </c>
      <c r="F1224" s="1" t="str">
        <f t="shared" si="1"/>
        <v>ARTIGAS </v>
      </c>
      <c r="G1224" s="1" t="str">
        <f t="shared" si="2"/>
        <v>Cristian C.</v>
      </c>
      <c r="H1224" s="1" t="str">
        <f>IFERROR(__xludf.DUMMYFUNCTION("""COMPUTED_VALUE"""),"31/1/2023, 17:00:00")</f>
        <v>31/1/2023, 17:00:00</v>
      </c>
      <c r="I1224" s="1" t="str">
        <f>IFERROR(__xludf.DUMMYFUNCTION("""COMPUTED_VALUE"""),"Completado en SUCURSAL")</f>
        <v>Completado en SUCURSAL</v>
      </c>
      <c r="J1224" s="1">
        <f t="shared" si="3"/>
        <v>5</v>
      </c>
      <c r="K1224" s="1" t="str">
        <f t="shared" si="4"/>
        <v>Tus Lentes estan LISTAS PARA ENTREGAR, te esperamos.</v>
      </c>
    </row>
    <row r="1225">
      <c r="A1225" s="1">
        <f>IFERROR(__xludf.DUMMYFUNCTION("""COMPUTED_VALUE"""),85775.0)</f>
        <v>85775</v>
      </c>
      <c r="B1225" s="5">
        <f>IFERROR(__xludf.DUMMYFUNCTION("""COMPUTED_VALUE"""),44956.39674935185)</f>
        <v>44956.39675</v>
      </c>
      <c r="C1225" s="1" t="str">
        <f>IFERROR(__xludf.DUMMYFUNCTION("""COMPUTED_VALUE"""),"CABAÑEZ MARIA DEL CARMEN")</f>
        <v>CABAÑEZ MARIA DEL CARMEN</v>
      </c>
      <c r="D1225" s="1" t="str">
        <f>IFERROR(__xludf.DUMMYFUNCTION("""COMPUTED_VALUE"""),"Lentes de STOCK")</f>
        <v>Lentes de STOCK</v>
      </c>
      <c r="E1225" s="1" t="str">
        <f>IFERROR(__xludf.DUMMYFUNCTION("""COMPUTED_VALUE"""),"RIVADAVIA Marcela L")</f>
        <v>RIVADAVIA Marcela L</v>
      </c>
      <c r="F1225" s="1" t="str">
        <f t="shared" si="1"/>
        <v>RIVADAVIA </v>
      </c>
      <c r="G1225" s="1" t="str">
        <f t="shared" si="2"/>
        <v>Marcela L</v>
      </c>
      <c r="H1225" s="1" t="str">
        <f>IFERROR(__xludf.DUMMYFUNCTION("""COMPUTED_VALUE"""),"1/2/2023, 17:00:00")</f>
        <v>1/2/2023, 17:00:00</v>
      </c>
      <c r="I1225" s="1" t="str">
        <f>IFERROR(__xludf.DUMMYFUNCTION("""COMPUTED_VALUE"""),"Completado en SUCURSAL")</f>
        <v>Completado en SUCURSAL</v>
      </c>
      <c r="J1225" s="1">
        <f t="shared" si="3"/>
        <v>5</v>
      </c>
      <c r="K1225" s="1" t="str">
        <f t="shared" si="4"/>
        <v>Tus Lentes estan LISTAS PARA ENTREGAR, te esperamos.</v>
      </c>
    </row>
    <row r="1226">
      <c r="A1226" s="1">
        <f>IFERROR(__xludf.DUMMYFUNCTION("""COMPUTED_VALUE"""),85776.0)</f>
        <v>85776</v>
      </c>
      <c r="B1226" s="5">
        <f>IFERROR(__xludf.DUMMYFUNCTION("""COMPUTED_VALUE"""),44956.403583148145)</f>
        <v>44956.40358</v>
      </c>
      <c r="C1226" s="1" t="str">
        <f>IFERROR(__xludf.DUMMYFUNCTION("""COMPUTED_VALUE"""),"MORALES IVANA")</f>
        <v>MORALES IVANA</v>
      </c>
      <c r="D1226" s="1" t="str">
        <f>IFERROR(__xludf.DUMMYFUNCTION("""COMPUTED_VALUE"""),"Lentes de STOCK")</f>
        <v>Lentes de STOCK</v>
      </c>
      <c r="E1226" s="1" t="str">
        <f>IFERROR(__xludf.DUMMYFUNCTION("""COMPUTED_VALUE"""),"RIVADAVIA Daniel CM")</f>
        <v>RIVADAVIA Daniel CM</v>
      </c>
      <c r="F1226" s="1" t="str">
        <f t="shared" si="1"/>
        <v>RIVADAVIA </v>
      </c>
      <c r="G1226" s="1" t="str">
        <f t="shared" si="2"/>
        <v>Daniel CM</v>
      </c>
      <c r="H1226" s="1" t="str">
        <f>IFERROR(__xludf.DUMMYFUNCTION("""COMPUTED_VALUE"""),"2/2/2023, 17:00:00")</f>
        <v>2/2/2023, 17:00:00</v>
      </c>
      <c r="I1226" s="1" t="str">
        <f>IFERROR(__xludf.DUMMYFUNCTION("""COMPUTED_VALUE"""),"Completado en SUCURSAL")</f>
        <v>Completado en SUCURSAL</v>
      </c>
      <c r="J1226" s="1">
        <f t="shared" si="3"/>
        <v>5</v>
      </c>
      <c r="K1226" s="1" t="str">
        <f t="shared" si="4"/>
        <v>Tus Lentes estan LISTAS PARA ENTREGAR, te esperamos.</v>
      </c>
    </row>
    <row r="1227">
      <c r="A1227" s="1">
        <f>IFERROR(__xludf.DUMMYFUNCTION("""COMPUTED_VALUE"""),85777.0)</f>
        <v>85777</v>
      </c>
      <c r="B1227" s="5">
        <f>IFERROR(__xludf.DUMMYFUNCTION("""COMPUTED_VALUE"""),44956.40363064814)</f>
        <v>44956.40363</v>
      </c>
      <c r="C1227" s="1" t="str">
        <f>IFERROR(__xludf.DUMMYFUNCTION("""COMPUTED_VALUE"""),"ochoa otilia")</f>
        <v>ochoa otilia</v>
      </c>
      <c r="D1227" s="1" t="str">
        <f>IFERROR(__xludf.DUMMYFUNCTION("""COMPUTED_VALUE"""),"Reparaciones/Otros")</f>
        <v>Reparaciones/Otros</v>
      </c>
      <c r="E1227" s="1" t="str">
        <f>IFERROR(__xludf.DUMMYFUNCTION("""COMPUTED_VALUE"""),"ARTIGAS Cristian C.")</f>
        <v>ARTIGAS Cristian C.</v>
      </c>
      <c r="F1227" s="1" t="str">
        <f t="shared" si="1"/>
        <v>ARTIGAS </v>
      </c>
      <c r="G1227" s="1" t="str">
        <f t="shared" si="2"/>
        <v>Cristian C.</v>
      </c>
      <c r="H1227" s="1" t="str">
        <f>IFERROR(__xludf.DUMMYFUNCTION("""COMPUTED_VALUE"""),"1/2/2023, 17:00:00")</f>
        <v>1/2/2023, 17:00:00</v>
      </c>
      <c r="I1227" s="1" t="str">
        <f>IFERROR(__xludf.DUMMYFUNCTION("""COMPUTED_VALUE"""),"Completado en SUCURSAL")</f>
        <v>Completado en SUCURSAL</v>
      </c>
      <c r="J1227" s="1">
        <f t="shared" si="3"/>
        <v>5</v>
      </c>
      <c r="K1227" s="1" t="str">
        <f t="shared" si="4"/>
        <v>Tus Lentes estan LISTAS PARA ENTREGAR, te esperamos.</v>
      </c>
    </row>
    <row r="1228">
      <c r="A1228" s="1">
        <f>IFERROR(__xludf.DUMMYFUNCTION("""COMPUTED_VALUE"""),85778.0)</f>
        <v>85778</v>
      </c>
      <c r="B1228" s="5">
        <f>IFERROR(__xludf.DUMMYFUNCTION("""COMPUTED_VALUE"""),44956.40770964121)</f>
        <v>44956.40771</v>
      </c>
      <c r="C1228" s="1" t="str">
        <f>IFERROR(__xludf.DUMMYFUNCTION("""COMPUTED_VALUE"""),"Fernandez Lautaro")</f>
        <v>Fernandez Lautaro</v>
      </c>
      <c r="D1228" s="1" t="str">
        <f>IFERROR(__xludf.DUMMYFUNCTION("""COMPUTED_VALUE"""),"Reparaciones/Otros")</f>
        <v>Reparaciones/Otros</v>
      </c>
      <c r="E1228" s="1" t="str">
        <f>IFERROR(__xludf.DUMMYFUNCTION("""COMPUTED_VALUE"""),"RIVADAVIA Rocio B")</f>
        <v>RIVADAVIA Rocio B</v>
      </c>
      <c r="F1228" s="1" t="str">
        <f t="shared" si="1"/>
        <v>RIVADAVIA </v>
      </c>
      <c r="G1228" s="1" t="str">
        <f t="shared" si="2"/>
        <v>Rocio B</v>
      </c>
      <c r="H1228" s="1" t="str">
        <f>IFERROR(__xludf.DUMMYFUNCTION("""COMPUTED_VALUE"""),"31/1/2023, 17:00:00")</f>
        <v>31/1/2023, 17:00:00</v>
      </c>
      <c r="I1228" s="1" t="str">
        <f>IFERROR(__xludf.DUMMYFUNCTION("""COMPUTED_VALUE"""),"Completado en SUCURSAL")</f>
        <v>Completado en SUCURSAL</v>
      </c>
      <c r="J1228" s="1">
        <f t="shared" si="3"/>
        <v>5</v>
      </c>
      <c r="K1228" s="1" t="str">
        <f t="shared" si="4"/>
        <v>Tus Lentes estan LISTAS PARA ENTREGAR, te esperamos.</v>
      </c>
    </row>
    <row r="1229">
      <c r="A1229" s="1">
        <f>IFERROR(__xludf.DUMMYFUNCTION("""COMPUTED_VALUE"""),85779.0)</f>
        <v>85779</v>
      </c>
      <c r="B1229" s="5">
        <f>IFERROR(__xludf.DUMMYFUNCTION("""COMPUTED_VALUE"""),44956.410641689814)</f>
        <v>44956.41064</v>
      </c>
      <c r="C1229" s="1" t="str">
        <f>IFERROR(__xludf.DUMMYFUNCTION("""COMPUTED_VALUE"""),"SOSA NORMA")</f>
        <v>SOSA NORMA</v>
      </c>
      <c r="D1229" s="1" t="str">
        <f>IFERROR(__xludf.DUMMYFUNCTION("""COMPUTED_VALUE"""),"Lentes de STOCK")</f>
        <v>Lentes de STOCK</v>
      </c>
      <c r="E1229" s="1" t="str">
        <f>IFERROR(__xludf.DUMMYFUNCTION("""COMPUTED_VALUE"""),"ARTIGAS Cristian C.")</f>
        <v>ARTIGAS Cristian C.</v>
      </c>
      <c r="F1229" s="1" t="str">
        <f t="shared" si="1"/>
        <v>ARTIGAS </v>
      </c>
      <c r="G1229" s="1" t="str">
        <f t="shared" si="2"/>
        <v>Cristian C.</v>
      </c>
      <c r="H1229" s="1" t="str">
        <f>IFERROR(__xludf.DUMMYFUNCTION("""COMPUTED_VALUE"""),"3/2/2023, 17:00:00")</f>
        <v>3/2/2023, 17:00:00</v>
      </c>
      <c r="I1229" s="1" t="str">
        <f>IFERROR(__xludf.DUMMYFUNCTION("""COMPUTED_VALUE"""),"Completado en SUCURSAL")</f>
        <v>Completado en SUCURSAL</v>
      </c>
      <c r="J1229" s="1">
        <f t="shared" si="3"/>
        <v>5</v>
      </c>
      <c r="K1229" s="1" t="str">
        <f t="shared" si="4"/>
        <v>Tus Lentes estan LISTAS PARA ENTREGAR, te esperamos.</v>
      </c>
    </row>
    <row r="1230">
      <c r="A1230" s="1">
        <f>IFERROR(__xludf.DUMMYFUNCTION("""COMPUTED_VALUE"""),85780.0)</f>
        <v>85780</v>
      </c>
      <c r="B1230" s="5">
        <f>IFERROR(__xludf.DUMMYFUNCTION("""COMPUTED_VALUE"""),44956.4116503125)</f>
        <v>44956.41165</v>
      </c>
      <c r="C1230" s="1" t="str">
        <f>IFERROR(__xludf.DUMMYFUNCTION("""COMPUTED_VALUE"""),"Dho Alicia Never")</f>
        <v>Dho Alicia Never</v>
      </c>
      <c r="D1230" s="1" t="str">
        <f>IFERROR(__xludf.DUMMYFUNCTION("""COMPUTED_VALUE"""),"Reparaciones/Otros")</f>
        <v>Reparaciones/Otros</v>
      </c>
      <c r="E1230" s="1" t="str">
        <f>IFERROR(__xludf.DUMMYFUNCTION("""COMPUTED_VALUE"""),"RIVADAVIA Rocio B")</f>
        <v>RIVADAVIA Rocio B</v>
      </c>
      <c r="F1230" s="1" t="str">
        <f t="shared" si="1"/>
        <v>RIVADAVIA </v>
      </c>
      <c r="G1230" s="1" t="str">
        <f t="shared" si="2"/>
        <v>Rocio B</v>
      </c>
      <c r="H1230" s="1" t="str">
        <f>IFERROR(__xludf.DUMMYFUNCTION("""COMPUTED_VALUE"""),"31/1/2023, 17:00:00")</f>
        <v>31/1/2023, 17:00:00</v>
      </c>
      <c r="I1230" s="1" t="str">
        <f>IFERROR(__xludf.DUMMYFUNCTION("""COMPUTED_VALUE"""),"Completado en SUCURSAL")</f>
        <v>Completado en SUCURSAL</v>
      </c>
      <c r="J1230" s="1">
        <f t="shared" si="3"/>
        <v>5</v>
      </c>
      <c r="K1230" s="1" t="str">
        <f t="shared" si="4"/>
        <v>Tus Lentes estan LISTAS PARA ENTREGAR, te esperamos.</v>
      </c>
    </row>
    <row r="1231">
      <c r="A1231" s="1">
        <f>IFERROR(__xludf.DUMMYFUNCTION("""COMPUTED_VALUE"""),85781.0)</f>
        <v>85781</v>
      </c>
      <c r="B1231" s="5">
        <f>IFERROR(__xludf.DUMMYFUNCTION("""COMPUTED_VALUE"""),44956.41429001157)</f>
        <v>44956.41429</v>
      </c>
      <c r="C1231" s="1" t="str">
        <f>IFERROR(__xludf.DUMMYFUNCTION("""COMPUTED_VALUE"""),"LESCANO MARIA SUSANA")</f>
        <v>LESCANO MARIA SUSANA</v>
      </c>
      <c r="D1231" s="1" t="str">
        <f>IFERROR(__xludf.DUMMYFUNCTION("""COMPUTED_VALUE"""),"Reparaciones/Otros")</f>
        <v>Reparaciones/Otros</v>
      </c>
      <c r="E1231" s="1" t="str">
        <f>IFERROR(__xludf.DUMMYFUNCTION("""COMPUTED_VALUE"""),"ARTIGAS Cristian C.")</f>
        <v>ARTIGAS Cristian C.</v>
      </c>
      <c r="F1231" s="1" t="str">
        <f t="shared" si="1"/>
        <v>ARTIGAS </v>
      </c>
      <c r="G1231" s="1" t="str">
        <f t="shared" si="2"/>
        <v>Cristian C.</v>
      </c>
      <c r="H1231" s="1" t="str">
        <f>IFERROR(__xludf.DUMMYFUNCTION("""COMPUTED_VALUE"""),"31/1/2023, 17:00:00")</f>
        <v>31/1/2023, 17:00:00</v>
      </c>
      <c r="I1231" s="1" t="str">
        <f>IFERROR(__xludf.DUMMYFUNCTION("""COMPUTED_VALUE"""),"Recibido en Laboratorio")</f>
        <v>Recibido en Laboratorio</v>
      </c>
      <c r="J1231" s="1">
        <f t="shared" si="3"/>
        <v>2</v>
      </c>
      <c r="K1231" s="1" t="str">
        <f t="shared" si="4"/>
        <v>Nuestro Laboratorio esta trabajando en tus lentes, los entregaremos en la fecha acordada.</v>
      </c>
    </row>
    <row r="1232">
      <c r="A1232" s="1">
        <f>IFERROR(__xludf.DUMMYFUNCTION("""COMPUTED_VALUE"""),85782.0)</f>
        <v>85782</v>
      </c>
      <c r="B1232" s="5">
        <f>IFERROR(__xludf.DUMMYFUNCTION("""COMPUTED_VALUE"""),44956.436196145834)</f>
        <v>44956.4362</v>
      </c>
      <c r="C1232" s="1" t="str">
        <f>IFERROR(__xludf.DUMMYFUNCTION("""COMPUTED_VALUE"""),"GODOY JUAN PABLO")</f>
        <v>GODOY JUAN PABLO</v>
      </c>
      <c r="D1232" s="1" t="str">
        <f>IFERROR(__xludf.DUMMYFUNCTION("""COMPUTED_VALUE"""),"Lentes de STOCK")</f>
        <v>Lentes de STOCK</v>
      </c>
      <c r="E1232" s="1" t="str">
        <f>IFERROR(__xludf.DUMMYFUNCTION("""COMPUTED_VALUE"""),"ARTIGAS Cristian C.")</f>
        <v>ARTIGAS Cristian C.</v>
      </c>
      <c r="F1232" s="1" t="str">
        <f t="shared" si="1"/>
        <v>ARTIGAS </v>
      </c>
      <c r="G1232" s="1" t="str">
        <f t="shared" si="2"/>
        <v>Cristian C.</v>
      </c>
      <c r="H1232" s="1" t="str">
        <f>IFERROR(__xludf.DUMMYFUNCTION("""COMPUTED_VALUE"""),"3/2/2023, 17:00:00")</f>
        <v>3/2/2023, 17:00:00</v>
      </c>
      <c r="I1232" s="1" t="str">
        <f>IFERROR(__xludf.DUMMYFUNCTION("""COMPUTED_VALUE"""),"RETIRADO OK POR CLIENTE")</f>
        <v>RETIRADO OK POR CLIENTE</v>
      </c>
      <c r="J1232" s="1">
        <f t="shared" si="3"/>
        <v>6</v>
      </c>
      <c r="K1232" s="1" t="str">
        <f t="shared" si="4"/>
        <v>Entregamos tus lentes, que los disfrutes!</v>
      </c>
    </row>
    <row r="1233">
      <c r="A1233" s="1">
        <f>IFERROR(__xludf.DUMMYFUNCTION("""COMPUTED_VALUE"""),85783.0)</f>
        <v>85783</v>
      </c>
      <c r="B1233" s="5">
        <f>IFERROR(__xludf.DUMMYFUNCTION("""COMPUTED_VALUE"""),44956.43970369213)</f>
        <v>44956.4397</v>
      </c>
      <c r="C1233" s="1" t="str">
        <f>IFERROR(__xludf.DUMMYFUNCTION("""COMPUTED_VALUE"""),"FERNANDEZ NORMA MABEL")</f>
        <v>FERNANDEZ NORMA MABEL</v>
      </c>
      <c r="D1233" s="1" t="str">
        <f>IFERROR(__xludf.DUMMYFUNCTION("""COMPUTED_VALUE"""),"Reparaciones/Otros")</f>
        <v>Reparaciones/Otros</v>
      </c>
      <c r="E1233" s="1" t="str">
        <f>IFERROR(__xludf.DUMMYFUNCTION("""COMPUTED_VALUE"""),"ARTIGAS Cristian C.")</f>
        <v>ARTIGAS Cristian C.</v>
      </c>
      <c r="F1233" s="1" t="str">
        <f t="shared" si="1"/>
        <v>ARTIGAS </v>
      </c>
      <c r="G1233" s="1" t="str">
        <f t="shared" si="2"/>
        <v>Cristian C.</v>
      </c>
      <c r="H1233" s="1" t="str">
        <f>IFERROR(__xludf.DUMMYFUNCTION("""COMPUTED_VALUE"""),"2/2/2023, 17:00:00")</f>
        <v>2/2/2023, 17:00:00</v>
      </c>
      <c r="I1233" s="1" t="str">
        <f>IFERROR(__xludf.DUMMYFUNCTION("""COMPUTED_VALUE"""),"Completado en SUCURSAL")</f>
        <v>Completado en SUCURSAL</v>
      </c>
      <c r="J1233" s="1">
        <f t="shared" si="3"/>
        <v>5</v>
      </c>
      <c r="K1233" s="1" t="str">
        <f t="shared" si="4"/>
        <v>Tus Lentes estan LISTAS PARA ENTREGAR, te esperamos.</v>
      </c>
    </row>
    <row r="1234">
      <c r="A1234" s="1">
        <f>IFERROR(__xludf.DUMMYFUNCTION("""COMPUTED_VALUE"""),85784.0)</f>
        <v>85784</v>
      </c>
      <c r="B1234" s="5">
        <f>IFERROR(__xludf.DUMMYFUNCTION("""COMPUTED_VALUE"""),44956.44439927083)</f>
        <v>44956.4444</v>
      </c>
      <c r="C1234" s="1" t="str">
        <f>IFERROR(__xludf.DUMMYFUNCTION("""COMPUTED_VALUE"""),"AGUIRRE JOSEFA BEATRIZ")</f>
        <v>AGUIRRE JOSEFA BEATRIZ</v>
      </c>
      <c r="D1234" s="1" t="str">
        <f>IFERROR(__xludf.DUMMYFUNCTION("""COMPUTED_VALUE"""),"Lentes de STOCK")</f>
        <v>Lentes de STOCK</v>
      </c>
      <c r="E1234" s="1" t="str">
        <f>IFERROR(__xludf.DUMMYFUNCTION("""COMPUTED_VALUE"""),"RIVADAVIA Marcela L")</f>
        <v>RIVADAVIA Marcela L</v>
      </c>
      <c r="F1234" s="1" t="str">
        <f t="shared" si="1"/>
        <v>RIVADAVIA </v>
      </c>
      <c r="G1234" s="1" t="str">
        <f t="shared" si="2"/>
        <v>Marcela L</v>
      </c>
      <c r="H1234" s="1" t="str">
        <f>IFERROR(__xludf.DUMMYFUNCTION("""COMPUTED_VALUE"""),"15/2/2023, 17:00:00")</f>
        <v>15/2/2023, 17:00:00</v>
      </c>
      <c r="I1234" s="1" t="str">
        <f>IFERROR(__xludf.DUMMYFUNCTION("""COMPUTED_VALUE"""),"Completado en SUCURSAL")</f>
        <v>Completado en SUCURSAL</v>
      </c>
      <c r="J1234" s="1">
        <f t="shared" si="3"/>
        <v>5</v>
      </c>
      <c r="K1234" s="1" t="str">
        <f t="shared" si="4"/>
        <v>Tus Lentes estan LISTAS PARA ENTREGAR, te esperamos.</v>
      </c>
    </row>
    <row r="1235">
      <c r="A1235" s="1">
        <f>IFERROR(__xludf.DUMMYFUNCTION("""COMPUTED_VALUE"""),85785.0)</f>
        <v>85785</v>
      </c>
      <c r="B1235" s="5">
        <f>IFERROR(__xludf.DUMMYFUNCTION("""COMPUTED_VALUE"""),44956.44590730324)</f>
        <v>44956.44591</v>
      </c>
      <c r="C1235" s="1" t="str">
        <f>IFERROR(__xludf.DUMMYFUNCTION("""COMPUTED_VALUE"""),"LUCERO PEREZ MICAELA ")</f>
        <v>LUCERO PEREZ MICAELA </v>
      </c>
      <c r="D1235" s="1" t="str">
        <f>IFERROR(__xludf.DUMMYFUNCTION("""COMPUTED_VALUE"""),"Reparaciones/Otros")</f>
        <v>Reparaciones/Otros</v>
      </c>
      <c r="E1235" s="1" t="str">
        <f>IFERROR(__xludf.DUMMYFUNCTION("""COMPUTED_VALUE"""),"ARTIGAS Cristian C.")</f>
        <v>ARTIGAS Cristian C.</v>
      </c>
      <c r="F1235" s="1" t="str">
        <f t="shared" si="1"/>
        <v>ARTIGAS </v>
      </c>
      <c r="G1235" s="1" t="str">
        <f t="shared" si="2"/>
        <v>Cristian C.</v>
      </c>
      <c r="H1235" s="1" t="str">
        <f>IFERROR(__xludf.DUMMYFUNCTION("""COMPUTED_VALUE"""),"01/02/2023, 17:00:00")</f>
        <v>01/02/2023, 17:00:00</v>
      </c>
      <c r="I1235" s="1" t="str">
        <f>IFERROR(__xludf.DUMMYFUNCTION("""COMPUTED_VALUE"""),"Completado en SUCURSAL")</f>
        <v>Completado en SUCURSAL</v>
      </c>
      <c r="J1235" s="1">
        <f t="shared" si="3"/>
        <v>5</v>
      </c>
      <c r="K1235" s="1" t="str">
        <f t="shared" si="4"/>
        <v>Tus Lentes estan LISTAS PARA ENTREGAR, te esperamos.</v>
      </c>
    </row>
    <row r="1236">
      <c r="A1236" s="1">
        <f>IFERROR(__xludf.DUMMYFUNCTION("""COMPUTED_VALUE"""),85786.0)</f>
        <v>85786</v>
      </c>
      <c r="B1236" s="5">
        <f>IFERROR(__xludf.DUMMYFUNCTION("""COMPUTED_VALUE"""),44956.45140773148)</f>
        <v>44956.45141</v>
      </c>
      <c r="C1236" s="1" t="str">
        <f>IFERROR(__xludf.DUMMYFUNCTION("""COMPUTED_VALUE"""),"Albornoz Alejandra")</f>
        <v>Albornoz Alejandra</v>
      </c>
      <c r="D1236" s="1" t="str">
        <f>IFERROR(__xludf.DUMMYFUNCTION("""COMPUTED_VALUE"""),"Reparaciones/Otros")</f>
        <v>Reparaciones/Otros</v>
      </c>
      <c r="E1236" s="1" t="str">
        <f>IFERROR(__xludf.DUMMYFUNCTION("""COMPUTED_VALUE"""),"RIVADAVIA Santiago LOPEZ")</f>
        <v>RIVADAVIA Santiago LOPEZ</v>
      </c>
      <c r="F1236" s="1" t="str">
        <f t="shared" si="1"/>
        <v>RIVADAVIA </v>
      </c>
      <c r="G1236" s="1" t="str">
        <f t="shared" si="2"/>
        <v>Santiago LOPEZ</v>
      </c>
      <c r="H1236" s="1" t="str">
        <f>IFERROR(__xludf.DUMMYFUNCTION("""COMPUTED_VALUE"""),"31/1/2023, 17:00:00")</f>
        <v>31/1/2023, 17:00:00</v>
      </c>
      <c r="I1236" s="1" t="str">
        <f>IFERROR(__xludf.DUMMYFUNCTION("""COMPUTED_VALUE"""),"Enviado a Sucursal")</f>
        <v>Enviado a Sucursal</v>
      </c>
      <c r="J1236" s="1">
        <f t="shared" si="3"/>
        <v>4</v>
      </c>
      <c r="K1236" s="1" t="str">
        <f t="shared" si="4"/>
        <v>Tus lentes estan viajando a la sucursal para su entrega.</v>
      </c>
    </row>
    <row r="1237">
      <c r="A1237" s="1">
        <f>IFERROR(__xludf.DUMMYFUNCTION("""COMPUTED_VALUE"""),85787.0)</f>
        <v>85787</v>
      </c>
      <c r="B1237" s="5">
        <f>IFERROR(__xludf.DUMMYFUNCTION("""COMPUTED_VALUE"""),44956.45368939815)</f>
        <v>44956.45369</v>
      </c>
      <c r="C1237" s="1" t="str">
        <f>IFERROR(__xludf.DUMMYFUNCTION("""COMPUTED_VALUE"""),"Lima Lorena")</f>
        <v>Lima Lorena</v>
      </c>
      <c r="D1237" s="1" t="str">
        <f>IFERROR(__xludf.DUMMYFUNCTION("""COMPUTED_VALUE"""),"Reparaciones/Otros")</f>
        <v>Reparaciones/Otros</v>
      </c>
      <c r="E1237" s="1" t="str">
        <f>IFERROR(__xludf.DUMMYFUNCTION("""COMPUTED_VALUE"""),"ARTIGAS Sandra G")</f>
        <v>ARTIGAS Sandra G</v>
      </c>
      <c r="F1237" s="1" t="str">
        <f t="shared" si="1"/>
        <v>ARTIGAS </v>
      </c>
      <c r="G1237" s="1" t="str">
        <f t="shared" si="2"/>
        <v>Sandra G</v>
      </c>
      <c r="H1237" s="1" t="str">
        <f>IFERROR(__xludf.DUMMYFUNCTION("""COMPUTED_VALUE"""),"31/1/2023, 17:00:00")</f>
        <v>31/1/2023, 17:00:00</v>
      </c>
      <c r="I1237" s="1" t="str">
        <f>IFERROR(__xludf.DUMMYFUNCTION("""COMPUTED_VALUE"""),"Completado en SUCURSAL")</f>
        <v>Completado en SUCURSAL</v>
      </c>
      <c r="J1237" s="1">
        <f t="shared" si="3"/>
        <v>5</v>
      </c>
      <c r="K1237" s="1" t="str">
        <f t="shared" si="4"/>
        <v>Tus Lentes estan LISTAS PARA ENTREGAR, te esperamos.</v>
      </c>
    </row>
    <row r="1238">
      <c r="A1238" s="1">
        <f>IFERROR(__xludf.DUMMYFUNCTION("""COMPUTED_VALUE"""),85788.0)</f>
        <v>85788</v>
      </c>
      <c r="B1238" s="5">
        <f>IFERROR(__xludf.DUMMYFUNCTION("""COMPUTED_VALUE"""),44956.46321636574)</f>
        <v>44956.46322</v>
      </c>
      <c r="C1238" s="1" t="str">
        <f>IFERROR(__xludf.DUMMYFUNCTION("""COMPUTED_VALUE"""),"Frias Silvia Noemii")</f>
        <v>Frias Silvia Noemii</v>
      </c>
      <c r="D1238" s="1" t="str">
        <f>IFERROR(__xludf.DUMMYFUNCTION("""COMPUTED_VALUE"""),"Lentes de LABORATORIO")</f>
        <v>Lentes de LABORATORIO</v>
      </c>
      <c r="E1238" s="1" t="str">
        <f>IFERROR(__xludf.DUMMYFUNCTION("""COMPUTED_VALUE"""),"RIVADAVIA Rocio B")</f>
        <v>RIVADAVIA Rocio B</v>
      </c>
      <c r="F1238" s="1" t="str">
        <f t="shared" si="1"/>
        <v>RIVADAVIA </v>
      </c>
      <c r="G1238" s="1" t="str">
        <f t="shared" si="2"/>
        <v>Rocio B</v>
      </c>
      <c r="H1238" s="1" t="str">
        <f>IFERROR(__xludf.DUMMYFUNCTION("""COMPUTED_VALUE"""),"10/2/2023, 17:00:00")</f>
        <v>10/2/2023, 17:00:00</v>
      </c>
      <c r="I1238" s="1" t="str">
        <f>IFERROR(__xludf.DUMMYFUNCTION("""COMPUTED_VALUE"""),"RETIRADO OK POR CLIENTE")</f>
        <v>RETIRADO OK POR CLIENTE</v>
      </c>
      <c r="J1238" s="1">
        <f t="shared" si="3"/>
        <v>6</v>
      </c>
      <c r="K1238" s="1" t="str">
        <f t="shared" si="4"/>
        <v>Entregamos tus lentes, que los disfrutes!</v>
      </c>
    </row>
    <row r="1239">
      <c r="A1239" s="1">
        <f>IFERROR(__xludf.DUMMYFUNCTION("""COMPUTED_VALUE"""),85789.0)</f>
        <v>85789</v>
      </c>
      <c r="B1239" s="5">
        <f>IFERROR(__xludf.DUMMYFUNCTION("""COMPUTED_VALUE"""),44956.46364324074)</f>
        <v>44956.46364</v>
      </c>
      <c r="C1239" s="1" t="str">
        <f>IFERROR(__xludf.DUMMYFUNCTION("""COMPUTED_VALUE"""),"MUÑOZ JUAN CARLOS")</f>
        <v>MUÑOZ JUAN CARLOS</v>
      </c>
      <c r="D1239" s="1" t="str">
        <f>IFERROR(__xludf.DUMMYFUNCTION("""COMPUTED_VALUE"""),"Lentes de STOCK")</f>
        <v>Lentes de STOCK</v>
      </c>
      <c r="E1239" s="1" t="str">
        <f>IFERROR(__xludf.DUMMYFUNCTION("""COMPUTED_VALUE"""),"ARTIGAS Cristian C.")</f>
        <v>ARTIGAS Cristian C.</v>
      </c>
      <c r="F1239" s="1" t="str">
        <f t="shared" si="1"/>
        <v>ARTIGAS </v>
      </c>
      <c r="G1239" s="1" t="str">
        <f t="shared" si="2"/>
        <v>Cristian C.</v>
      </c>
      <c r="H1239" s="1" t="str">
        <f>IFERROR(__xludf.DUMMYFUNCTION("""COMPUTED_VALUE"""),"6/2/2023, 17:00:00")</f>
        <v>6/2/2023, 17:00:00</v>
      </c>
      <c r="I1239" s="1" t="str">
        <f>IFERROR(__xludf.DUMMYFUNCTION("""COMPUTED_VALUE"""),"RETIRADO OK POR CLIENTE")</f>
        <v>RETIRADO OK POR CLIENTE</v>
      </c>
      <c r="J1239" s="1">
        <f t="shared" si="3"/>
        <v>6</v>
      </c>
      <c r="K1239" s="1" t="str">
        <f t="shared" si="4"/>
        <v>Entregamos tus lentes, que los disfrutes!</v>
      </c>
    </row>
    <row r="1240">
      <c r="A1240" s="1">
        <f>IFERROR(__xludf.DUMMYFUNCTION("""COMPUTED_VALUE"""),85790.0)</f>
        <v>85790</v>
      </c>
      <c r="B1240" s="5">
        <f>IFERROR(__xludf.DUMMYFUNCTION("""COMPUTED_VALUE"""),44956.46366005787)</f>
        <v>44956.46366</v>
      </c>
      <c r="C1240" s="1" t="str">
        <f>IFERROR(__xludf.DUMMYFUNCTION("""COMPUTED_VALUE"""),"BARBEITO RAMON")</f>
        <v>BARBEITO RAMON</v>
      </c>
      <c r="D1240" s="1" t="str">
        <f>IFERROR(__xludf.DUMMYFUNCTION("""COMPUTED_VALUE"""),"Lentes MULTIFOCALES")</f>
        <v>Lentes MULTIFOCALES</v>
      </c>
      <c r="E1240" s="1" t="str">
        <f>IFERROR(__xludf.DUMMYFUNCTION("""COMPUTED_VALUE"""),"Otro (LUCIANA ARTIGAS)")</f>
        <v>Otro (LUCIANA ARTIGAS)</v>
      </c>
      <c r="F1240" s="1" t="str">
        <f t="shared" si="1"/>
        <v>Otro </v>
      </c>
      <c r="G1240" s="1" t="str">
        <f t="shared" si="2"/>
        <v>(LUCIANA ARTIGAS)</v>
      </c>
      <c r="H1240" s="1" t="str">
        <f>IFERROR(__xludf.DUMMYFUNCTION("""COMPUTED_VALUE"""),"17/2/2023, 17:00:00")</f>
        <v>17/2/2023, 17:00:00</v>
      </c>
      <c r="I1240" s="1" t="str">
        <f>IFERROR(__xludf.DUMMYFUNCTION("""COMPUTED_VALUE"""),"RETIRADO OK POR CLIENTE")</f>
        <v>RETIRADO OK POR CLIENTE</v>
      </c>
      <c r="J1240" s="1">
        <f t="shared" si="3"/>
        <v>6</v>
      </c>
      <c r="K1240" s="1" t="str">
        <f t="shared" si="4"/>
        <v>Entregamos tus lentes, que los disfrutes!</v>
      </c>
    </row>
    <row r="1241">
      <c r="A1241" s="1">
        <f>IFERROR(__xludf.DUMMYFUNCTION("""COMPUTED_VALUE"""),85791.0)</f>
        <v>85791</v>
      </c>
      <c r="B1241" s="5">
        <f>IFERROR(__xludf.DUMMYFUNCTION("""COMPUTED_VALUE"""),44956.46961326389)</f>
        <v>44956.46961</v>
      </c>
      <c r="C1241" s="1" t="str">
        <f>IFERROR(__xludf.DUMMYFUNCTION("""COMPUTED_VALUE"""),"FONTANA RICARDO")</f>
        <v>FONTANA RICARDO</v>
      </c>
      <c r="D1241" s="1" t="str">
        <f>IFERROR(__xludf.DUMMYFUNCTION("""COMPUTED_VALUE"""),"Lentes de STOCK")</f>
        <v>Lentes de STOCK</v>
      </c>
      <c r="E1241" s="1" t="str">
        <f>IFERROR(__xludf.DUMMYFUNCTION("""COMPUTED_VALUE"""),"ARTIGAS Cristian C.")</f>
        <v>ARTIGAS Cristian C.</v>
      </c>
      <c r="F1241" s="1" t="str">
        <f t="shared" si="1"/>
        <v>ARTIGAS </v>
      </c>
      <c r="G1241" s="1" t="str">
        <f t="shared" si="2"/>
        <v>Cristian C.</v>
      </c>
      <c r="H1241" s="1" t="str">
        <f>IFERROR(__xludf.DUMMYFUNCTION("""COMPUTED_VALUE"""),"6/2/2023, 17:00:00")</f>
        <v>6/2/2023, 17:00:00</v>
      </c>
      <c r="I1241" s="1" t="str">
        <f>IFERROR(__xludf.DUMMYFUNCTION("""COMPUTED_VALUE"""),"RETIRADO OK POR CLIENTE")</f>
        <v>RETIRADO OK POR CLIENTE</v>
      </c>
      <c r="J1241" s="1">
        <f t="shared" si="3"/>
        <v>6</v>
      </c>
      <c r="K1241" s="1" t="str">
        <f t="shared" si="4"/>
        <v>Entregamos tus lentes, que los disfrutes!</v>
      </c>
    </row>
    <row r="1242">
      <c r="A1242" s="1">
        <f>IFERROR(__xludf.DUMMYFUNCTION("""COMPUTED_VALUE"""),85792.0)</f>
        <v>85792</v>
      </c>
      <c r="B1242" s="5">
        <f>IFERROR(__xludf.DUMMYFUNCTION("""COMPUTED_VALUE"""),44956.47016694445)</f>
        <v>44956.47017</v>
      </c>
      <c r="C1242" s="1" t="str">
        <f>IFERROR(__xludf.DUMMYFUNCTION("""COMPUTED_VALUE"""),"villagra maria aida")</f>
        <v>villagra maria aida</v>
      </c>
      <c r="D1242" s="1" t="str">
        <f>IFERROR(__xludf.DUMMYFUNCTION("""COMPUTED_VALUE"""),"Lentes de STOCK")</f>
        <v>Lentes de STOCK</v>
      </c>
      <c r="E1242" s="1" t="str">
        <f>IFERROR(__xludf.DUMMYFUNCTION("""COMPUTED_VALUE"""),"RIVADAVIA Santiago N")</f>
        <v>RIVADAVIA Santiago N</v>
      </c>
      <c r="F1242" s="1" t="str">
        <f t="shared" si="1"/>
        <v>RIVADAVIA </v>
      </c>
      <c r="G1242" s="1" t="str">
        <f t="shared" si="2"/>
        <v>Santiago N</v>
      </c>
      <c r="H1242" s="1" t="str">
        <f>IFERROR(__xludf.DUMMYFUNCTION("""COMPUTED_VALUE"""),"1/2/2023, 17:00:00")</f>
        <v>1/2/2023, 17:00:00</v>
      </c>
      <c r="I1242" s="1" t="str">
        <f>IFERROR(__xludf.DUMMYFUNCTION("""COMPUTED_VALUE"""),"RETIRADO OK POR CLIENTE")</f>
        <v>RETIRADO OK POR CLIENTE</v>
      </c>
      <c r="J1242" s="1">
        <f t="shared" si="3"/>
        <v>6</v>
      </c>
      <c r="K1242" s="1" t="str">
        <f t="shared" si="4"/>
        <v>Entregamos tus lentes, que los disfrutes!</v>
      </c>
    </row>
    <row r="1243">
      <c r="A1243" s="1">
        <f>IFERROR(__xludf.DUMMYFUNCTION("""COMPUTED_VALUE"""),85793.0)</f>
        <v>85793</v>
      </c>
      <c r="B1243" s="5">
        <f>IFERROR(__xludf.DUMMYFUNCTION("""COMPUTED_VALUE"""),44956.48178287037)</f>
        <v>44956.48178</v>
      </c>
      <c r="C1243" s="1" t="str">
        <f>IFERROR(__xludf.DUMMYFUNCTION("""COMPUTED_VALUE"""),"ROCH YOLANDA ANTONIA")</f>
        <v>ROCH YOLANDA ANTONIA</v>
      </c>
      <c r="D1243" s="1" t="str">
        <f>IFERROR(__xludf.DUMMYFUNCTION("""COMPUTED_VALUE"""),"Lentes de STOCK")</f>
        <v>Lentes de STOCK</v>
      </c>
      <c r="E1243" s="1" t="str">
        <f>IFERROR(__xludf.DUMMYFUNCTION("""COMPUTED_VALUE"""),"RIVADAVIA Santiago LOPEZ")</f>
        <v>RIVADAVIA Santiago LOPEZ</v>
      </c>
      <c r="F1243" s="1" t="str">
        <f t="shared" si="1"/>
        <v>RIVADAVIA </v>
      </c>
      <c r="G1243" s="1" t="str">
        <f t="shared" si="2"/>
        <v>Santiago LOPEZ</v>
      </c>
      <c r="H1243" s="1" t="str">
        <f>IFERROR(__xludf.DUMMYFUNCTION("""COMPUTED_VALUE"""),"1/2/2023, 17:00:00")</f>
        <v>1/2/2023, 17:00:00</v>
      </c>
      <c r="I1243" s="1" t="str">
        <f>IFERROR(__xludf.DUMMYFUNCTION("""COMPUTED_VALUE"""),"Completado en SUCURSAL")</f>
        <v>Completado en SUCURSAL</v>
      </c>
      <c r="J1243" s="1">
        <f t="shared" si="3"/>
        <v>5</v>
      </c>
      <c r="K1243" s="1" t="str">
        <f t="shared" si="4"/>
        <v>Tus Lentes estan LISTAS PARA ENTREGAR, te esperamos.</v>
      </c>
    </row>
    <row r="1244">
      <c r="A1244" s="1">
        <f>IFERROR(__xludf.DUMMYFUNCTION("""COMPUTED_VALUE"""),85794.0)</f>
        <v>85794</v>
      </c>
      <c r="B1244" s="5">
        <f>IFERROR(__xludf.DUMMYFUNCTION("""COMPUTED_VALUE"""),44956.48435896991)</f>
        <v>44956.48436</v>
      </c>
      <c r="C1244" s="1" t="str">
        <f>IFERROR(__xludf.DUMMYFUNCTION("""COMPUTED_VALUE"""),"GARRO LUISA ESTHE")</f>
        <v>GARRO LUISA ESTHE</v>
      </c>
      <c r="D1244" s="1" t="str">
        <f>IFERROR(__xludf.DUMMYFUNCTION("""COMPUTED_VALUE"""),"Lentes de STOCK")</f>
        <v>Lentes de STOCK</v>
      </c>
      <c r="E1244" s="1" t="str">
        <f>IFERROR(__xludf.DUMMYFUNCTION("""COMPUTED_VALUE"""),"ARTIGAS Cristian C.")</f>
        <v>ARTIGAS Cristian C.</v>
      </c>
      <c r="F1244" s="1" t="str">
        <f t="shared" si="1"/>
        <v>ARTIGAS </v>
      </c>
      <c r="G1244" s="1" t="str">
        <f t="shared" si="2"/>
        <v>Cristian C.</v>
      </c>
      <c r="H1244" s="1" t="str">
        <f>IFERROR(__xludf.DUMMYFUNCTION("""COMPUTED_VALUE"""),"6/2/2023, 17:00:00")</f>
        <v>6/2/2023, 17:00:00</v>
      </c>
      <c r="I1244" s="1" t="str">
        <f>IFERROR(__xludf.DUMMYFUNCTION("""COMPUTED_VALUE"""),"En Armado Hoy")</f>
        <v>En Armado Hoy</v>
      </c>
      <c r="J1244" s="1">
        <f t="shared" si="3"/>
        <v>3</v>
      </c>
      <c r="K1244" s="1" t="str">
        <f t="shared" si="4"/>
        <v>Estamos terminando los ultimos detalles de tus lentes, los terminaremos el dia de hoy.</v>
      </c>
    </row>
    <row r="1245">
      <c r="A1245" s="1">
        <f>IFERROR(__xludf.DUMMYFUNCTION("""COMPUTED_VALUE"""),85795.0)</f>
        <v>85795</v>
      </c>
      <c r="B1245" s="5">
        <f>IFERROR(__xludf.DUMMYFUNCTION("""COMPUTED_VALUE"""),44956.486950879626)</f>
        <v>44956.48695</v>
      </c>
      <c r="C1245" s="1" t="str">
        <f>IFERROR(__xludf.DUMMYFUNCTION("""COMPUTED_VALUE"""),"CASTELLAN LILIA")</f>
        <v>CASTELLAN LILIA</v>
      </c>
      <c r="D1245" s="1" t="str">
        <f>IFERROR(__xludf.DUMMYFUNCTION("""COMPUTED_VALUE"""),"Reparaciones/Otros")</f>
        <v>Reparaciones/Otros</v>
      </c>
      <c r="E1245" s="1" t="str">
        <f>IFERROR(__xludf.DUMMYFUNCTION("""COMPUTED_VALUE"""),"RIVADAVIA Daniel CM")</f>
        <v>RIVADAVIA Daniel CM</v>
      </c>
      <c r="F1245" s="1" t="str">
        <f t="shared" si="1"/>
        <v>RIVADAVIA </v>
      </c>
      <c r="G1245" s="1" t="str">
        <f t="shared" si="2"/>
        <v>Daniel CM</v>
      </c>
      <c r="H1245" s="1" t="str">
        <f>IFERROR(__xludf.DUMMYFUNCTION("""COMPUTED_VALUE"""),"1/2/2023, 17:00:00")</f>
        <v>1/2/2023, 17:00:00</v>
      </c>
      <c r="I1245" s="1" t="str">
        <f>IFERROR(__xludf.DUMMYFUNCTION("""COMPUTED_VALUE"""),"Completado en SUCURSAL")</f>
        <v>Completado en SUCURSAL</v>
      </c>
      <c r="J1245" s="1">
        <f t="shared" si="3"/>
        <v>5</v>
      </c>
      <c r="K1245" s="1" t="str">
        <f t="shared" si="4"/>
        <v>Tus Lentes estan LISTAS PARA ENTREGAR, te esperamos.</v>
      </c>
    </row>
    <row r="1246">
      <c r="A1246" s="1">
        <f>IFERROR(__xludf.DUMMYFUNCTION("""COMPUTED_VALUE"""),85796.0)</f>
        <v>85796</v>
      </c>
      <c r="B1246" s="5">
        <f>IFERROR(__xludf.DUMMYFUNCTION("""COMPUTED_VALUE"""),44956.48780403935)</f>
        <v>44956.4878</v>
      </c>
      <c r="C1246" s="1" t="str">
        <f>IFERROR(__xludf.DUMMYFUNCTION("""COMPUTED_VALUE"""),"OROZCO MARIA DELIA")</f>
        <v>OROZCO MARIA DELIA</v>
      </c>
      <c r="D1246" s="1" t="str">
        <f>IFERROR(__xludf.DUMMYFUNCTION("""COMPUTED_VALUE"""),"Reparaciones/Otros")</f>
        <v>Reparaciones/Otros</v>
      </c>
      <c r="E1246" s="1" t="str">
        <f>IFERROR(__xludf.DUMMYFUNCTION("""COMPUTED_VALUE"""),"RIVADAVIA Santiago LOPEZ")</f>
        <v>RIVADAVIA Santiago LOPEZ</v>
      </c>
      <c r="F1246" s="1" t="str">
        <f t="shared" si="1"/>
        <v>RIVADAVIA </v>
      </c>
      <c r="G1246" s="1" t="str">
        <f t="shared" si="2"/>
        <v>Santiago LOPEZ</v>
      </c>
      <c r="H1246" s="1" t="str">
        <f>IFERROR(__xludf.DUMMYFUNCTION("""COMPUTED_VALUE"""),"31/1/2023, 17:00:00")</f>
        <v>31/1/2023, 17:00:00</v>
      </c>
      <c r="I1246" s="1" t="str">
        <f>IFERROR(__xludf.DUMMYFUNCTION("""COMPUTED_VALUE"""),"Enviado a Sucursal")</f>
        <v>Enviado a Sucursal</v>
      </c>
      <c r="J1246" s="1">
        <f t="shared" si="3"/>
        <v>4</v>
      </c>
      <c r="K1246" s="1" t="str">
        <f t="shared" si="4"/>
        <v>Tus lentes estan viajando a la sucursal para su entrega.</v>
      </c>
    </row>
    <row r="1247">
      <c r="A1247" s="1">
        <f>IFERROR(__xludf.DUMMYFUNCTION("""COMPUTED_VALUE"""),85797.0)</f>
        <v>85797</v>
      </c>
      <c r="B1247" s="5">
        <f>IFERROR(__xludf.DUMMYFUNCTION("""COMPUTED_VALUE"""),44956.488806574074)</f>
        <v>44956.48881</v>
      </c>
      <c r="C1247" s="1" t="str">
        <f>IFERROR(__xludf.DUMMYFUNCTION("""COMPUTED_VALUE"""),"CALDERON LARA ")</f>
        <v>CALDERON LARA </v>
      </c>
      <c r="D1247" s="1" t="str">
        <f>IFERROR(__xludf.DUMMYFUNCTION("""COMPUTED_VALUE"""),"Reparaciones/Otros")</f>
        <v>Reparaciones/Otros</v>
      </c>
      <c r="E1247" s="1" t="str">
        <f>IFERROR(__xludf.DUMMYFUNCTION("""COMPUTED_VALUE"""),"ARTIGAS Cristian C.")</f>
        <v>ARTIGAS Cristian C.</v>
      </c>
      <c r="F1247" s="1" t="str">
        <f t="shared" si="1"/>
        <v>ARTIGAS </v>
      </c>
      <c r="G1247" s="1" t="str">
        <f t="shared" si="2"/>
        <v>Cristian C.</v>
      </c>
      <c r="H1247" s="1" t="str">
        <f>IFERROR(__xludf.DUMMYFUNCTION("""COMPUTED_VALUE"""),"2/2/2023, 17:00:00")</f>
        <v>2/2/2023, 17:00:00</v>
      </c>
      <c r="I1247" s="1" t="str">
        <f>IFERROR(__xludf.DUMMYFUNCTION("""COMPUTED_VALUE"""),"Completado en SUCURSAL")</f>
        <v>Completado en SUCURSAL</v>
      </c>
      <c r="J1247" s="1">
        <f t="shared" si="3"/>
        <v>5</v>
      </c>
      <c r="K1247" s="1" t="str">
        <f t="shared" si="4"/>
        <v>Tus Lentes estan LISTAS PARA ENTREGAR, te esperamos.</v>
      </c>
    </row>
    <row r="1248">
      <c r="A1248" s="1">
        <f>IFERROR(__xludf.DUMMYFUNCTION("""COMPUTED_VALUE"""),85798.0)</f>
        <v>85798</v>
      </c>
      <c r="B1248" s="5">
        <f>IFERROR(__xludf.DUMMYFUNCTION("""COMPUTED_VALUE"""),44956.49092655093)</f>
        <v>44956.49093</v>
      </c>
      <c r="C1248" s="1" t="str">
        <f>IFERROR(__xludf.DUMMYFUNCTION("""COMPUTED_VALUE"""),"SERNA JUAN CARLOS")</f>
        <v>SERNA JUAN CARLOS</v>
      </c>
      <c r="D1248" s="1" t="str">
        <f>IFERROR(__xludf.DUMMYFUNCTION("""COMPUTED_VALUE"""),"Lentes de STOCK")</f>
        <v>Lentes de STOCK</v>
      </c>
      <c r="E1248" s="1" t="str">
        <f>IFERROR(__xludf.DUMMYFUNCTION("""COMPUTED_VALUE"""),"Otro (LUCIANA ARTIGAS)")</f>
        <v>Otro (LUCIANA ARTIGAS)</v>
      </c>
      <c r="F1248" s="1" t="str">
        <f t="shared" si="1"/>
        <v>Otro </v>
      </c>
      <c r="G1248" s="1" t="str">
        <f t="shared" si="2"/>
        <v>(LUCIANA ARTIGAS)</v>
      </c>
      <c r="H1248" s="1" t="str">
        <f>IFERROR(__xludf.DUMMYFUNCTION("""COMPUTED_VALUE"""),"3/2/2023, 17:00:00")</f>
        <v>3/2/2023, 17:00:00</v>
      </c>
      <c r="I1248" s="1" t="str">
        <f>IFERROR(__xludf.DUMMYFUNCTION("""COMPUTED_VALUE"""),"RETIRADO OK POR CLIENTE")</f>
        <v>RETIRADO OK POR CLIENTE</v>
      </c>
      <c r="J1248" s="1">
        <f t="shared" si="3"/>
        <v>6</v>
      </c>
      <c r="K1248" s="1" t="str">
        <f t="shared" si="4"/>
        <v>Entregamos tus lentes, que los disfrutes!</v>
      </c>
    </row>
    <row r="1249">
      <c r="A1249" s="1">
        <f>IFERROR(__xludf.DUMMYFUNCTION("""COMPUTED_VALUE"""),85799.0)</f>
        <v>85799</v>
      </c>
      <c r="B1249" s="5">
        <f>IFERROR(__xludf.DUMMYFUNCTION("""COMPUTED_VALUE"""),44956.49298383102)</f>
        <v>44956.49298</v>
      </c>
      <c r="C1249" s="1" t="str">
        <f>IFERROR(__xludf.DUMMYFUNCTION("""COMPUTED_VALUE"""),"Puertas Blanca")</f>
        <v>Puertas Blanca</v>
      </c>
      <c r="D1249" s="1" t="str">
        <f>IFERROR(__xludf.DUMMYFUNCTION("""COMPUTED_VALUE"""),"Reparaciones/Otros")</f>
        <v>Reparaciones/Otros</v>
      </c>
      <c r="E1249" s="1" t="str">
        <f>IFERROR(__xludf.DUMMYFUNCTION("""COMPUTED_VALUE"""),"RIVADAVIA Rocio B")</f>
        <v>RIVADAVIA Rocio B</v>
      </c>
      <c r="F1249" s="1" t="str">
        <f t="shared" si="1"/>
        <v>RIVADAVIA </v>
      </c>
      <c r="G1249" s="1" t="str">
        <f t="shared" si="2"/>
        <v>Rocio B</v>
      </c>
      <c r="H1249" s="1" t="str">
        <f>IFERROR(__xludf.DUMMYFUNCTION("""COMPUTED_VALUE"""),"31/1/2023, 17:00:00")</f>
        <v>31/1/2023, 17:00:00</v>
      </c>
      <c r="I1249" s="1" t="str">
        <f>IFERROR(__xludf.DUMMYFUNCTION("""COMPUTED_VALUE"""),"Enviado a Sucursal")</f>
        <v>Enviado a Sucursal</v>
      </c>
      <c r="J1249" s="1">
        <f t="shared" si="3"/>
        <v>4</v>
      </c>
      <c r="K1249" s="1" t="str">
        <f t="shared" si="4"/>
        <v>Tus lentes estan viajando a la sucursal para su entrega.</v>
      </c>
    </row>
    <row r="1250">
      <c r="A1250" s="1">
        <f>IFERROR(__xludf.DUMMYFUNCTION("""COMPUTED_VALUE"""),85800.0)</f>
        <v>85800</v>
      </c>
      <c r="B1250" s="5">
        <f>IFERROR(__xludf.DUMMYFUNCTION("""COMPUTED_VALUE"""),44956.4932440625)</f>
        <v>44956.49324</v>
      </c>
      <c r="C1250" s="1" t="str">
        <f>IFERROR(__xludf.DUMMYFUNCTION("""COMPUTED_VALUE"""),"Britos Marcelo")</f>
        <v>Britos Marcelo</v>
      </c>
      <c r="D1250" s="1" t="str">
        <f>IFERROR(__xludf.DUMMYFUNCTION("""COMPUTED_VALUE"""),"Reparaciones/Otros")</f>
        <v>Reparaciones/Otros</v>
      </c>
      <c r="E1250" s="1" t="str">
        <f>IFERROR(__xludf.DUMMYFUNCTION("""COMPUTED_VALUE"""),"ARTIGAS Sandra G")</f>
        <v>ARTIGAS Sandra G</v>
      </c>
      <c r="F1250" s="1" t="str">
        <f t="shared" si="1"/>
        <v>ARTIGAS </v>
      </c>
      <c r="G1250" s="1" t="str">
        <f t="shared" si="2"/>
        <v>Sandra G</v>
      </c>
      <c r="H1250" s="1" t="str">
        <f>IFERROR(__xludf.DUMMYFUNCTION("""COMPUTED_VALUE"""),"2/2/2023, 17:00:00")</f>
        <v>2/2/2023, 17:00:00</v>
      </c>
      <c r="I1250" s="1" t="str">
        <f>IFERROR(__xludf.DUMMYFUNCTION("""COMPUTED_VALUE"""),"Completado en SUCURSAL")</f>
        <v>Completado en SUCURSAL</v>
      </c>
      <c r="J1250" s="1">
        <f t="shared" si="3"/>
        <v>5</v>
      </c>
      <c r="K1250" s="1" t="str">
        <f t="shared" si="4"/>
        <v>Tus Lentes estan LISTAS PARA ENTREGAR, te esperamos.</v>
      </c>
    </row>
    <row r="1251">
      <c r="A1251" s="1">
        <f>IFERROR(__xludf.DUMMYFUNCTION("""COMPUTED_VALUE"""),85801.0)</f>
        <v>85801</v>
      </c>
      <c r="B1251" s="5">
        <f>IFERROR(__xludf.DUMMYFUNCTION("""COMPUTED_VALUE"""),44956.49479322917)</f>
        <v>44956.49479</v>
      </c>
      <c r="C1251" s="1" t="str">
        <f>IFERROR(__xludf.DUMMYFUNCTION("""COMPUTED_VALUE"""),"MOCDESE CRISTINA SANTOS")</f>
        <v>MOCDESE CRISTINA SANTOS</v>
      </c>
      <c r="D1251" s="1" t="str">
        <f>IFERROR(__xludf.DUMMYFUNCTION("""COMPUTED_VALUE"""),"Lentes de STOCK")</f>
        <v>Lentes de STOCK</v>
      </c>
      <c r="E1251" s="1" t="str">
        <f>IFERROR(__xludf.DUMMYFUNCTION("""COMPUTED_VALUE"""),"RIVADAVIA Santiago LOPEZ")</f>
        <v>RIVADAVIA Santiago LOPEZ</v>
      </c>
      <c r="F1251" s="1" t="str">
        <f t="shared" si="1"/>
        <v>RIVADAVIA </v>
      </c>
      <c r="G1251" s="1" t="str">
        <f t="shared" si="2"/>
        <v>Santiago LOPEZ</v>
      </c>
      <c r="H1251" s="1" t="str">
        <f>IFERROR(__xludf.DUMMYFUNCTION("""COMPUTED_VALUE"""),"1/2/2023, 17:00:00")</f>
        <v>1/2/2023, 17:00:00</v>
      </c>
      <c r="I1251" s="1" t="str">
        <f>IFERROR(__xludf.DUMMYFUNCTION("""COMPUTED_VALUE"""),"Completado en SUCURSAL")</f>
        <v>Completado en SUCURSAL</v>
      </c>
      <c r="J1251" s="1">
        <f t="shared" si="3"/>
        <v>5</v>
      </c>
      <c r="K1251" s="1" t="str">
        <f t="shared" si="4"/>
        <v>Tus Lentes estan LISTAS PARA ENTREGAR, te esperamos.</v>
      </c>
    </row>
    <row r="1252">
      <c r="A1252" s="1">
        <f>IFERROR(__xludf.DUMMYFUNCTION("""COMPUTED_VALUE"""),85802.0)</f>
        <v>85802</v>
      </c>
      <c r="B1252" s="5">
        <f>IFERROR(__xludf.DUMMYFUNCTION("""COMPUTED_VALUE"""),44956.495319270834)</f>
        <v>44956.49532</v>
      </c>
      <c r="C1252" s="1" t="str">
        <f>IFERROR(__xludf.DUMMYFUNCTION("""COMPUTED_VALUE"""),"Balverde Nelida Beatriz")</f>
        <v>Balverde Nelida Beatriz</v>
      </c>
      <c r="D1252" s="1" t="str">
        <f>IFERROR(__xludf.DUMMYFUNCTION("""COMPUTED_VALUE"""),"Reparaciones/Otros")</f>
        <v>Reparaciones/Otros</v>
      </c>
      <c r="E1252" s="1" t="str">
        <f>IFERROR(__xludf.DUMMYFUNCTION("""COMPUTED_VALUE"""),"RIVADAVIA Rocio B")</f>
        <v>RIVADAVIA Rocio B</v>
      </c>
      <c r="F1252" s="1" t="str">
        <f t="shared" si="1"/>
        <v>RIVADAVIA </v>
      </c>
      <c r="G1252" s="1" t="str">
        <f t="shared" si="2"/>
        <v>Rocio B</v>
      </c>
      <c r="H1252" s="1" t="str">
        <f>IFERROR(__xludf.DUMMYFUNCTION("""COMPUTED_VALUE"""),"31/1/2023, 17:00:00")</f>
        <v>31/1/2023, 17:00:00</v>
      </c>
      <c r="I1252" s="1" t="str">
        <f>IFERROR(__xludf.DUMMYFUNCTION("""COMPUTED_VALUE"""),"Completado en SUCURSAL")</f>
        <v>Completado en SUCURSAL</v>
      </c>
      <c r="J1252" s="1">
        <f t="shared" si="3"/>
        <v>5</v>
      </c>
      <c r="K1252" s="1" t="str">
        <f t="shared" si="4"/>
        <v>Tus Lentes estan LISTAS PARA ENTREGAR, te esperamos.</v>
      </c>
    </row>
    <row r="1253">
      <c r="A1253" s="1">
        <f>IFERROR(__xludf.DUMMYFUNCTION("""COMPUTED_VALUE"""),85803.0)</f>
        <v>85803</v>
      </c>
      <c r="B1253" s="5">
        <f>IFERROR(__xludf.DUMMYFUNCTION("""COMPUTED_VALUE"""),44956.497660486115)</f>
        <v>44956.49766</v>
      </c>
      <c r="C1253" s="1" t="str">
        <f>IFERROR(__xludf.DUMMYFUNCTION("""COMPUTED_VALUE"""),"PELLERITI MARIA CRISTINA")</f>
        <v>PELLERITI MARIA CRISTINA</v>
      </c>
      <c r="D1253" s="1" t="str">
        <f>IFERROR(__xludf.DUMMYFUNCTION("""COMPUTED_VALUE"""),"Lentes de STOCK")</f>
        <v>Lentes de STOCK</v>
      </c>
      <c r="E1253" s="1" t="str">
        <f>IFERROR(__xludf.DUMMYFUNCTION("""COMPUTED_VALUE"""),"RIVADAVIA Marcela L")</f>
        <v>RIVADAVIA Marcela L</v>
      </c>
      <c r="F1253" s="1" t="str">
        <f t="shared" si="1"/>
        <v>RIVADAVIA </v>
      </c>
      <c r="G1253" s="1" t="str">
        <f t="shared" si="2"/>
        <v>Marcela L</v>
      </c>
      <c r="H1253" s="1" t="str">
        <f>IFERROR(__xludf.DUMMYFUNCTION("""COMPUTED_VALUE"""),"2/2/2023, 17:00:00")</f>
        <v>2/2/2023, 17:00:00</v>
      </c>
      <c r="I1253" s="1" t="str">
        <f>IFERROR(__xludf.DUMMYFUNCTION("""COMPUTED_VALUE"""),"Completado en SUCURSAL")</f>
        <v>Completado en SUCURSAL</v>
      </c>
      <c r="J1253" s="1">
        <f t="shared" si="3"/>
        <v>5</v>
      </c>
      <c r="K1253" s="1" t="str">
        <f t="shared" si="4"/>
        <v>Tus Lentes estan LISTAS PARA ENTREGAR, te esperamos.</v>
      </c>
    </row>
    <row r="1254">
      <c r="A1254" s="1">
        <f>IFERROR(__xludf.DUMMYFUNCTION("""COMPUTED_VALUE"""),85804.0)</f>
        <v>85804</v>
      </c>
      <c r="B1254" s="5">
        <f>IFERROR(__xludf.DUMMYFUNCTION("""COMPUTED_VALUE"""),44956.49877893519)</f>
        <v>44956.49878</v>
      </c>
      <c r="C1254" s="1" t="str">
        <f>IFERROR(__xludf.DUMMYFUNCTION("""COMPUTED_VALUE"""),"MILAGROS GERBER")</f>
        <v>MILAGROS GERBER</v>
      </c>
      <c r="D1254" s="1" t="str">
        <f>IFERROR(__xludf.DUMMYFUNCTION("""COMPUTED_VALUE"""),"Reparaciones/Otros")</f>
        <v>Reparaciones/Otros</v>
      </c>
      <c r="E1254" s="1" t="str">
        <f>IFERROR(__xludf.DUMMYFUNCTION("""COMPUTED_VALUE"""),"RIVADAVIA Santiago LOPEZ")</f>
        <v>RIVADAVIA Santiago LOPEZ</v>
      </c>
      <c r="F1254" s="1" t="str">
        <f t="shared" si="1"/>
        <v>RIVADAVIA </v>
      </c>
      <c r="G1254" s="1" t="str">
        <f t="shared" si="2"/>
        <v>Santiago LOPEZ</v>
      </c>
      <c r="H1254" s="1" t="str">
        <f>IFERROR(__xludf.DUMMYFUNCTION("""COMPUTED_VALUE"""),"31/1/2023, 17:00:00")</f>
        <v>31/1/2023, 17:00:00</v>
      </c>
      <c r="I1254" s="1" t="str">
        <f>IFERROR(__xludf.DUMMYFUNCTION("""COMPUTED_VALUE"""),"Enviado a Sucursal")</f>
        <v>Enviado a Sucursal</v>
      </c>
      <c r="J1254" s="1">
        <f t="shared" si="3"/>
        <v>4</v>
      </c>
      <c r="K1254" s="1" t="str">
        <f t="shared" si="4"/>
        <v>Tus lentes estan viajando a la sucursal para su entrega.</v>
      </c>
    </row>
    <row r="1255">
      <c r="A1255" s="1">
        <f>IFERROR(__xludf.DUMMYFUNCTION("""COMPUTED_VALUE"""),85805.0)</f>
        <v>85805</v>
      </c>
      <c r="B1255" s="5">
        <f>IFERROR(__xludf.DUMMYFUNCTION("""COMPUTED_VALUE"""),44956.50184542824)</f>
        <v>44956.50185</v>
      </c>
      <c r="C1255" s="1" t="str">
        <f>IFERROR(__xludf.DUMMYFUNCTION("""COMPUTED_VALUE"""),"ALVARADO CARLA")</f>
        <v>ALVARADO CARLA</v>
      </c>
      <c r="D1255" s="1" t="str">
        <f>IFERROR(__xludf.DUMMYFUNCTION("""COMPUTED_VALUE"""),"Reparaciones/Otros")</f>
        <v>Reparaciones/Otros</v>
      </c>
      <c r="E1255" s="1" t="str">
        <f>IFERROR(__xludf.DUMMYFUNCTION("""COMPUTED_VALUE"""),"RIVADAVIA Santiago LOPEZ")</f>
        <v>RIVADAVIA Santiago LOPEZ</v>
      </c>
      <c r="F1255" s="1" t="str">
        <f t="shared" si="1"/>
        <v>RIVADAVIA </v>
      </c>
      <c r="G1255" s="1" t="str">
        <f t="shared" si="2"/>
        <v>Santiago LOPEZ</v>
      </c>
      <c r="H1255" s="1" t="str">
        <f>IFERROR(__xludf.DUMMYFUNCTION("""COMPUTED_VALUE"""),"6/2/2023, 17:00:00")</f>
        <v>6/2/2023, 17:00:00</v>
      </c>
      <c r="I1255" s="1" t="str">
        <f>IFERROR(__xludf.DUMMYFUNCTION("""COMPUTED_VALUE"""),"Recibido en Laboratorio")</f>
        <v>Recibido en Laboratorio</v>
      </c>
      <c r="J1255" s="1">
        <f t="shared" si="3"/>
        <v>2</v>
      </c>
      <c r="K1255" s="1" t="str">
        <f t="shared" si="4"/>
        <v>Nuestro Laboratorio esta trabajando en tus lentes, los entregaremos en la fecha acordada.</v>
      </c>
    </row>
    <row r="1256">
      <c r="A1256" s="1">
        <f>IFERROR(__xludf.DUMMYFUNCTION("""COMPUTED_VALUE"""),85806.0)</f>
        <v>85806</v>
      </c>
      <c r="B1256" s="5">
        <f>IFERROR(__xludf.DUMMYFUNCTION("""COMPUTED_VALUE"""),44956.50224752315)</f>
        <v>44956.50225</v>
      </c>
      <c r="C1256" s="1" t="str">
        <f>IFERROR(__xludf.DUMMYFUNCTION("""COMPUTED_VALUE"""),"FEUDIS CLERIA ALBA")</f>
        <v>FEUDIS CLERIA ALBA</v>
      </c>
      <c r="D1256" s="1" t="str">
        <f>IFERROR(__xludf.DUMMYFUNCTION("""COMPUTED_VALUE"""),"Lentes de STOCK")</f>
        <v>Lentes de STOCK</v>
      </c>
      <c r="E1256" s="1" t="str">
        <f>IFERROR(__xludf.DUMMYFUNCTION("""COMPUTED_VALUE"""),"RIVADAVIA Marcela L")</f>
        <v>RIVADAVIA Marcela L</v>
      </c>
      <c r="F1256" s="1" t="str">
        <f t="shared" si="1"/>
        <v>RIVADAVIA </v>
      </c>
      <c r="G1256" s="1" t="str">
        <f t="shared" si="2"/>
        <v>Marcela L</v>
      </c>
      <c r="H1256" s="1" t="str">
        <f>IFERROR(__xludf.DUMMYFUNCTION("""COMPUTED_VALUE"""),"2/2/2023, 17:00:00")</f>
        <v>2/2/2023, 17:00:00</v>
      </c>
      <c r="I1256" s="1" t="str">
        <f>IFERROR(__xludf.DUMMYFUNCTION("""COMPUTED_VALUE"""),"RETIRADO OK POR CLIENTE")</f>
        <v>RETIRADO OK POR CLIENTE</v>
      </c>
      <c r="J1256" s="1">
        <f t="shared" si="3"/>
        <v>6</v>
      </c>
      <c r="K1256" s="1" t="str">
        <f t="shared" si="4"/>
        <v>Entregamos tus lentes, que los disfrutes!</v>
      </c>
    </row>
    <row r="1257">
      <c r="A1257" s="1">
        <f>IFERROR(__xludf.DUMMYFUNCTION("""COMPUTED_VALUE"""),85807.0)</f>
        <v>85807</v>
      </c>
      <c r="B1257" s="5">
        <f>IFERROR(__xludf.DUMMYFUNCTION("""COMPUTED_VALUE"""),44956.5026512037)</f>
        <v>44956.50265</v>
      </c>
      <c r="C1257" s="1" t="str">
        <f>IFERROR(__xludf.DUMMYFUNCTION("""COMPUTED_VALUE"""),"Rivero Ernesto")</f>
        <v>Rivero Ernesto</v>
      </c>
      <c r="D1257" s="1" t="str">
        <f>IFERROR(__xludf.DUMMYFUNCTION("""COMPUTED_VALUE"""),"Lentes de STOCK")</f>
        <v>Lentes de STOCK</v>
      </c>
      <c r="E1257" s="1" t="str">
        <f>IFERROR(__xludf.DUMMYFUNCTION("""COMPUTED_VALUE"""),"ARTIGAS Sandra G")</f>
        <v>ARTIGAS Sandra G</v>
      </c>
      <c r="F1257" s="1" t="str">
        <f t="shared" si="1"/>
        <v>ARTIGAS </v>
      </c>
      <c r="G1257" s="1" t="str">
        <f t="shared" si="2"/>
        <v>Sandra G</v>
      </c>
      <c r="H1257" s="1" t="str">
        <f>IFERROR(__xludf.DUMMYFUNCTION("""COMPUTED_VALUE"""),"2/2/2023, 17:00:00")</f>
        <v>2/2/2023, 17:00:00</v>
      </c>
      <c r="I1257" s="1" t="str">
        <f>IFERROR(__xludf.DUMMYFUNCTION("""COMPUTED_VALUE"""),"Completado en SUCURSAL")</f>
        <v>Completado en SUCURSAL</v>
      </c>
      <c r="J1257" s="1">
        <f t="shared" si="3"/>
        <v>5</v>
      </c>
      <c r="K1257" s="1" t="str">
        <f t="shared" si="4"/>
        <v>Tus Lentes estan LISTAS PARA ENTREGAR, te esperamos.</v>
      </c>
    </row>
    <row r="1258">
      <c r="A1258" s="1">
        <f>IFERROR(__xludf.DUMMYFUNCTION("""COMPUTED_VALUE"""),85808.0)</f>
        <v>85808</v>
      </c>
      <c r="B1258" s="5">
        <f>IFERROR(__xludf.DUMMYFUNCTION("""COMPUTED_VALUE"""),44956.522326226856)</f>
        <v>44956.52233</v>
      </c>
      <c r="C1258" s="1" t="str">
        <f>IFERROR(__xludf.DUMMYFUNCTION("""COMPUTED_VALUE"""),"MIRANDA SANDRA")</f>
        <v>MIRANDA SANDRA</v>
      </c>
      <c r="D1258" s="1" t="str">
        <f>IFERROR(__xludf.DUMMYFUNCTION("""COMPUTED_VALUE"""),"Reparaciones/Otros")</f>
        <v>Reparaciones/Otros</v>
      </c>
      <c r="E1258" s="1" t="str">
        <f>IFERROR(__xludf.DUMMYFUNCTION("""COMPUTED_VALUE"""),"RIVADAVIA Santiago N")</f>
        <v>RIVADAVIA Santiago N</v>
      </c>
      <c r="F1258" s="1" t="str">
        <f t="shared" si="1"/>
        <v>RIVADAVIA </v>
      </c>
      <c r="G1258" s="1" t="str">
        <f t="shared" si="2"/>
        <v>Santiago N</v>
      </c>
      <c r="H1258" s="1" t="str">
        <f>IFERROR(__xludf.DUMMYFUNCTION("""COMPUTED_VALUE"""),"31/1/2023, 17:00:00")</f>
        <v>31/1/2023, 17:00:00</v>
      </c>
      <c r="I1258" s="1" t="str">
        <f>IFERROR(__xludf.DUMMYFUNCTION("""COMPUTED_VALUE"""),"Completado en SUCURSAL")</f>
        <v>Completado en SUCURSAL</v>
      </c>
      <c r="J1258" s="1">
        <f t="shared" si="3"/>
        <v>5</v>
      </c>
      <c r="K1258" s="1" t="str">
        <f t="shared" si="4"/>
        <v>Tus Lentes estan LISTAS PARA ENTREGAR, te esperamos.</v>
      </c>
    </row>
    <row r="1259">
      <c r="A1259" s="1">
        <f>IFERROR(__xludf.DUMMYFUNCTION("""COMPUTED_VALUE"""),85809.0)</f>
        <v>85809</v>
      </c>
      <c r="B1259" s="5">
        <f>IFERROR(__xludf.DUMMYFUNCTION("""COMPUTED_VALUE"""),44956.523330219905)</f>
        <v>44956.52333</v>
      </c>
      <c r="C1259" s="1" t="str">
        <f>IFERROR(__xludf.DUMMYFUNCTION("""COMPUTED_VALUE"""),"Ramos Sergio")</f>
        <v>Ramos Sergio</v>
      </c>
      <c r="D1259" s="1" t="str">
        <f>IFERROR(__xludf.DUMMYFUNCTION("""COMPUTED_VALUE"""),"Lentes de STOCK")</f>
        <v>Lentes de STOCK</v>
      </c>
      <c r="E1259" s="1" t="str">
        <f>IFERROR(__xludf.DUMMYFUNCTION("""COMPUTED_VALUE"""),"RIVADAVIA Rocio B")</f>
        <v>RIVADAVIA Rocio B</v>
      </c>
      <c r="F1259" s="1" t="str">
        <f t="shared" si="1"/>
        <v>RIVADAVIA </v>
      </c>
      <c r="G1259" s="1" t="str">
        <f t="shared" si="2"/>
        <v>Rocio B</v>
      </c>
      <c r="H1259" s="1" t="str">
        <f>IFERROR(__xludf.DUMMYFUNCTION("""COMPUTED_VALUE"""),"6/2/2023, 17:00:00")</f>
        <v>6/2/2023, 17:00:00</v>
      </c>
      <c r="I1259" s="1" t="str">
        <f>IFERROR(__xludf.DUMMYFUNCTION("""COMPUTED_VALUE"""),"En Armado Hoy")</f>
        <v>En Armado Hoy</v>
      </c>
      <c r="J1259" s="1">
        <f t="shared" si="3"/>
        <v>3</v>
      </c>
      <c r="K1259" s="1" t="str">
        <f t="shared" si="4"/>
        <v>Estamos terminando los ultimos detalles de tus lentes, los terminaremos el dia de hoy.</v>
      </c>
    </row>
    <row r="1260">
      <c r="A1260" s="1">
        <f>IFERROR(__xludf.DUMMYFUNCTION("""COMPUTED_VALUE"""),85810.0)</f>
        <v>85810</v>
      </c>
      <c r="B1260" s="5">
        <f>IFERROR(__xludf.DUMMYFUNCTION("""COMPUTED_VALUE"""),44956.52389453704)</f>
        <v>44956.52389</v>
      </c>
      <c r="C1260" s="1" t="str">
        <f>IFERROR(__xludf.DUMMYFUNCTION("""COMPUTED_VALUE"""),"ZAPATA ROXANA")</f>
        <v>ZAPATA ROXANA</v>
      </c>
      <c r="D1260" s="1" t="str">
        <f>IFERROR(__xludf.DUMMYFUNCTION("""COMPUTED_VALUE"""),"Lentes de STOCK")</f>
        <v>Lentes de STOCK</v>
      </c>
      <c r="E1260" s="1" t="str">
        <f>IFERROR(__xludf.DUMMYFUNCTION("""COMPUTED_VALUE"""),"ARTIGAS Cristian C.")</f>
        <v>ARTIGAS Cristian C.</v>
      </c>
      <c r="F1260" s="1" t="str">
        <f t="shared" si="1"/>
        <v>ARTIGAS </v>
      </c>
      <c r="G1260" s="1" t="str">
        <f t="shared" si="2"/>
        <v>Cristian C.</v>
      </c>
      <c r="H1260" s="1" t="str">
        <f>IFERROR(__xludf.DUMMYFUNCTION("""COMPUTED_VALUE"""),"6/2/2023, 17:00:00")</f>
        <v>6/2/2023, 17:00:00</v>
      </c>
      <c r="I1260" s="1" t="str">
        <f>IFERROR(__xludf.DUMMYFUNCTION("""COMPUTED_VALUE"""),"RETIRADO OK POR CLIENTE")</f>
        <v>RETIRADO OK POR CLIENTE</v>
      </c>
      <c r="J1260" s="1">
        <f t="shared" si="3"/>
        <v>6</v>
      </c>
      <c r="K1260" s="1" t="str">
        <f t="shared" si="4"/>
        <v>Entregamos tus lentes, que los disfrutes!</v>
      </c>
    </row>
    <row r="1261">
      <c r="A1261" s="1">
        <f>IFERROR(__xludf.DUMMYFUNCTION("""COMPUTED_VALUE"""),85811.0)</f>
        <v>85811</v>
      </c>
      <c r="B1261" s="5">
        <f>IFERROR(__xludf.DUMMYFUNCTION("""COMPUTED_VALUE"""),44956.525541006944)</f>
        <v>44956.52554</v>
      </c>
      <c r="C1261" s="1" t="str">
        <f>IFERROR(__xludf.DUMMYFUNCTION("""COMPUTED_VALUE"""),"Becerra Agustin")</f>
        <v>Becerra Agustin</v>
      </c>
      <c r="D1261" s="1" t="str">
        <f>IFERROR(__xludf.DUMMYFUNCTION("""COMPUTED_VALUE"""),"Lentes de STOCK")</f>
        <v>Lentes de STOCK</v>
      </c>
      <c r="E1261" s="1" t="str">
        <f>IFERROR(__xludf.DUMMYFUNCTION("""COMPUTED_VALUE"""),"RIVADAVIA Rocio B")</f>
        <v>RIVADAVIA Rocio B</v>
      </c>
      <c r="F1261" s="1" t="str">
        <f t="shared" si="1"/>
        <v>RIVADAVIA </v>
      </c>
      <c r="G1261" s="1" t="str">
        <f t="shared" si="2"/>
        <v>Rocio B</v>
      </c>
      <c r="H1261" s="1" t="str">
        <f>IFERROR(__xludf.DUMMYFUNCTION("""COMPUTED_VALUE"""),"6/2/2023, 17:00:00")</f>
        <v>6/2/2023, 17:00:00</v>
      </c>
      <c r="I1261" s="1" t="str">
        <f>IFERROR(__xludf.DUMMYFUNCTION("""COMPUTED_VALUE"""),"RETIRADO OK POR CLIENTE")</f>
        <v>RETIRADO OK POR CLIENTE</v>
      </c>
      <c r="J1261" s="1">
        <f t="shared" si="3"/>
        <v>6</v>
      </c>
      <c r="K1261" s="1" t="str">
        <f t="shared" si="4"/>
        <v>Entregamos tus lentes, que los disfrutes!</v>
      </c>
    </row>
    <row r="1262">
      <c r="A1262" s="1">
        <f>IFERROR(__xludf.DUMMYFUNCTION("""COMPUTED_VALUE"""),85812.0)</f>
        <v>85812</v>
      </c>
      <c r="B1262" s="5">
        <f>IFERROR(__xludf.DUMMYFUNCTION("""COMPUTED_VALUE"""),44956.526284189815)</f>
        <v>44956.52628</v>
      </c>
      <c r="C1262" s="1" t="str">
        <f>IFERROR(__xludf.DUMMYFUNCTION("""COMPUTED_VALUE"""),"quiroga tomas")</f>
        <v>quiroga tomas</v>
      </c>
      <c r="D1262" s="1" t="str">
        <f>IFERROR(__xludf.DUMMYFUNCTION("""COMPUTED_VALUE"""),"Lentes de STOCK")</f>
        <v>Lentes de STOCK</v>
      </c>
      <c r="E1262" s="1" t="str">
        <f>IFERROR(__xludf.DUMMYFUNCTION("""COMPUTED_VALUE"""),"RIVADAVIA Santiago N")</f>
        <v>RIVADAVIA Santiago N</v>
      </c>
      <c r="F1262" s="1" t="str">
        <f t="shared" si="1"/>
        <v>RIVADAVIA </v>
      </c>
      <c r="G1262" s="1" t="str">
        <f t="shared" si="2"/>
        <v>Santiago N</v>
      </c>
      <c r="H1262" s="1" t="str">
        <f>IFERROR(__xludf.DUMMYFUNCTION("""COMPUTED_VALUE"""),"2/2/2023, 17:00:00")</f>
        <v>2/2/2023, 17:00:00</v>
      </c>
      <c r="I1262" s="1" t="str">
        <f>IFERROR(__xludf.DUMMYFUNCTION("""COMPUTED_VALUE"""),"RETIRADO OK POR CLIENTE")</f>
        <v>RETIRADO OK POR CLIENTE</v>
      </c>
      <c r="J1262" s="1">
        <f t="shared" si="3"/>
        <v>6</v>
      </c>
      <c r="K1262" s="1" t="str">
        <f t="shared" si="4"/>
        <v>Entregamos tus lentes, que los disfrutes!</v>
      </c>
    </row>
    <row r="1263">
      <c r="A1263" s="1">
        <f>IFERROR(__xludf.DUMMYFUNCTION("""COMPUTED_VALUE"""),85813.0)</f>
        <v>85813</v>
      </c>
      <c r="B1263" s="5">
        <f>IFERROR(__xludf.DUMMYFUNCTION("""COMPUTED_VALUE"""),44956.527811747685)</f>
        <v>44956.52781</v>
      </c>
      <c r="C1263" s="1" t="str">
        <f>IFERROR(__xludf.DUMMYFUNCTION("""COMPUTED_VALUE"""),"LOBOS RODOLFO")</f>
        <v>LOBOS RODOLFO</v>
      </c>
      <c r="D1263" s="1" t="str">
        <f>IFERROR(__xludf.DUMMYFUNCTION("""COMPUTED_VALUE"""),"Lentes MULTIFOCALES")</f>
        <v>Lentes MULTIFOCALES</v>
      </c>
      <c r="E1263" s="1" t="str">
        <f>IFERROR(__xludf.DUMMYFUNCTION("""COMPUTED_VALUE"""),"RIVADAVIA Santiago LOPEZ")</f>
        <v>RIVADAVIA Santiago LOPEZ</v>
      </c>
      <c r="F1263" s="1" t="str">
        <f t="shared" si="1"/>
        <v>RIVADAVIA </v>
      </c>
      <c r="G1263" s="1" t="str">
        <f t="shared" si="2"/>
        <v>Santiago LOPEZ</v>
      </c>
      <c r="H1263" s="1" t="str">
        <f>IFERROR(__xludf.DUMMYFUNCTION("""COMPUTED_VALUE"""),"14/2/2023, 17:00:00")</f>
        <v>14/2/2023, 17:00:00</v>
      </c>
      <c r="I1263" s="1" t="str">
        <f>IFERROR(__xludf.DUMMYFUNCTION("""COMPUTED_VALUE"""),"RETIRADO OK POR CLIENTE")</f>
        <v>RETIRADO OK POR CLIENTE</v>
      </c>
      <c r="J1263" s="1">
        <f t="shared" si="3"/>
        <v>6</v>
      </c>
      <c r="K1263" s="1" t="str">
        <f t="shared" si="4"/>
        <v>Entregamos tus lentes, que los disfrutes!</v>
      </c>
    </row>
    <row r="1264">
      <c r="A1264" s="1">
        <f>IFERROR(__xludf.DUMMYFUNCTION("""COMPUTED_VALUE"""),85814.0)</f>
        <v>85814</v>
      </c>
      <c r="B1264" s="5">
        <f>IFERROR(__xludf.DUMMYFUNCTION("""COMPUTED_VALUE"""),44956.53041939814)</f>
        <v>44956.53042</v>
      </c>
      <c r="C1264" s="1" t="str">
        <f>IFERROR(__xludf.DUMMYFUNCTION("""COMPUTED_VALUE"""),"Estrada Mirta Matilde")</f>
        <v>Estrada Mirta Matilde</v>
      </c>
      <c r="D1264" s="1" t="str">
        <f>IFERROR(__xludf.DUMMYFUNCTION("""COMPUTED_VALUE"""),"Lentes de STOCK")</f>
        <v>Lentes de STOCK</v>
      </c>
      <c r="E1264" s="1" t="str">
        <f>IFERROR(__xludf.DUMMYFUNCTION("""COMPUTED_VALUE"""),"RIVADAVIA Rocio B")</f>
        <v>RIVADAVIA Rocio B</v>
      </c>
      <c r="F1264" s="1" t="str">
        <f t="shared" si="1"/>
        <v>RIVADAVIA </v>
      </c>
      <c r="G1264" s="1" t="str">
        <f t="shared" si="2"/>
        <v>Rocio B</v>
      </c>
      <c r="H1264" s="1" t="str">
        <f>IFERROR(__xludf.DUMMYFUNCTION("""COMPUTED_VALUE"""),"3/2/2023, 17:00:00")</f>
        <v>3/2/2023, 17:00:00</v>
      </c>
      <c r="I1264" s="1" t="str">
        <f>IFERROR(__xludf.DUMMYFUNCTION("""COMPUTED_VALUE"""),"Completado en SUCURSAL")</f>
        <v>Completado en SUCURSAL</v>
      </c>
      <c r="J1264" s="1">
        <f t="shared" si="3"/>
        <v>5</v>
      </c>
      <c r="K1264" s="1" t="str">
        <f t="shared" si="4"/>
        <v>Tus Lentes estan LISTAS PARA ENTREGAR, te esperamos.</v>
      </c>
    </row>
    <row r="1265">
      <c r="A1265" s="1">
        <f>IFERROR(__xludf.DUMMYFUNCTION("""COMPUTED_VALUE"""),85815.0)</f>
        <v>85815</v>
      </c>
      <c r="B1265" s="5">
        <f>IFERROR(__xludf.DUMMYFUNCTION("""COMPUTED_VALUE"""),44956.53309761574)</f>
        <v>44956.5331</v>
      </c>
      <c r="C1265" s="1" t="str">
        <f>IFERROR(__xludf.DUMMYFUNCTION("""COMPUTED_VALUE"""),"ECHENIQUE JUAN CANCIO")</f>
        <v>ECHENIQUE JUAN CANCIO</v>
      </c>
      <c r="D1265" s="1" t="str">
        <f>IFERROR(__xludf.DUMMYFUNCTION("""COMPUTED_VALUE"""),"Lentes de STOCK")</f>
        <v>Lentes de STOCK</v>
      </c>
      <c r="E1265" s="1" t="str">
        <f>IFERROR(__xludf.DUMMYFUNCTION("""COMPUTED_VALUE"""),"ARTIGAS Cristian C.")</f>
        <v>ARTIGAS Cristian C.</v>
      </c>
      <c r="F1265" s="1" t="str">
        <f t="shared" si="1"/>
        <v>ARTIGAS </v>
      </c>
      <c r="G1265" s="1" t="str">
        <f t="shared" si="2"/>
        <v>Cristian C.</v>
      </c>
      <c r="H1265" s="1" t="str">
        <f>IFERROR(__xludf.DUMMYFUNCTION("""COMPUTED_VALUE"""),"6/2/2023, 17:00:00")</f>
        <v>6/2/2023, 17:00:00</v>
      </c>
      <c r="I1265" s="1" t="str">
        <f>IFERROR(__xludf.DUMMYFUNCTION("""COMPUTED_VALUE"""),"RETIRADO OK POR CLIENTE")</f>
        <v>RETIRADO OK POR CLIENTE</v>
      </c>
      <c r="J1265" s="1">
        <f t="shared" si="3"/>
        <v>6</v>
      </c>
      <c r="K1265" s="1" t="str">
        <f t="shared" si="4"/>
        <v>Entregamos tus lentes, que los disfrutes!</v>
      </c>
    </row>
    <row r="1266">
      <c r="A1266" s="1">
        <f>IFERROR(__xludf.DUMMYFUNCTION("""COMPUTED_VALUE"""),85816.0)</f>
        <v>85816</v>
      </c>
      <c r="B1266" s="5">
        <f>IFERROR(__xludf.DUMMYFUNCTION("""COMPUTED_VALUE"""),44956.5395511574)</f>
        <v>44956.53955</v>
      </c>
      <c r="C1266" s="1" t="str">
        <f>IFERROR(__xludf.DUMMYFUNCTION("""COMPUTED_VALUE"""),"Fernandez Agustina")</f>
        <v>Fernandez Agustina</v>
      </c>
      <c r="D1266" s="1" t="str">
        <f>IFERROR(__xludf.DUMMYFUNCTION("""COMPUTED_VALUE"""),"Lentes de STOCK")</f>
        <v>Lentes de STOCK</v>
      </c>
      <c r="E1266" s="1" t="str">
        <f>IFERROR(__xludf.DUMMYFUNCTION("""COMPUTED_VALUE"""),"RIVADAVIA Rocio B")</f>
        <v>RIVADAVIA Rocio B</v>
      </c>
      <c r="F1266" s="1" t="str">
        <f t="shared" si="1"/>
        <v>RIVADAVIA </v>
      </c>
      <c r="G1266" s="1" t="str">
        <f t="shared" si="2"/>
        <v>Rocio B</v>
      </c>
      <c r="H1266" s="1" t="str">
        <f>IFERROR(__xludf.DUMMYFUNCTION("""COMPUTED_VALUE"""),"6/2/2023, 17:00:00")</f>
        <v>6/2/2023, 17:00:00</v>
      </c>
      <c r="I1266" s="1" t="str">
        <f>IFERROR(__xludf.DUMMYFUNCTION("""COMPUTED_VALUE"""),"RETIRADO OK POR CLIENTE")</f>
        <v>RETIRADO OK POR CLIENTE</v>
      </c>
      <c r="J1266" s="1">
        <f t="shared" si="3"/>
        <v>6</v>
      </c>
      <c r="K1266" s="1" t="str">
        <f t="shared" si="4"/>
        <v>Entregamos tus lentes, que los disfrutes!</v>
      </c>
    </row>
    <row r="1267">
      <c r="A1267" s="1">
        <f>IFERROR(__xludf.DUMMYFUNCTION("""COMPUTED_VALUE"""),85817.0)</f>
        <v>85817</v>
      </c>
      <c r="B1267" s="5">
        <f>IFERROR(__xludf.DUMMYFUNCTION("""COMPUTED_VALUE"""),44956.5457116551)</f>
        <v>44956.54571</v>
      </c>
      <c r="C1267" s="1" t="str">
        <f>IFERROR(__xludf.DUMMYFUNCTION("""COMPUTED_VALUE"""),"Gargiulo Silvia")</f>
        <v>Gargiulo Silvia</v>
      </c>
      <c r="D1267" s="1" t="str">
        <f>IFERROR(__xludf.DUMMYFUNCTION("""COMPUTED_VALUE"""),"Lentes de STOCK")</f>
        <v>Lentes de STOCK</v>
      </c>
      <c r="E1267" s="1" t="str">
        <f>IFERROR(__xludf.DUMMYFUNCTION("""COMPUTED_VALUE"""),"RIVADAVIA Rocio B")</f>
        <v>RIVADAVIA Rocio B</v>
      </c>
      <c r="F1267" s="1" t="str">
        <f t="shared" si="1"/>
        <v>RIVADAVIA </v>
      </c>
      <c r="G1267" s="1" t="str">
        <f t="shared" si="2"/>
        <v>Rocio B</v>
      </c>
      <c r="H1267" s="1" t="str">
        <f>IFERROR(__xludf.DUMMYFUNCTION("""COMPUTED_VALUE"""),"3/2/2023, 17:00:00")</f>
        <v>3/2/2023, 17:00:00</v>
      </c>
      <c r="I1267" s="1" t="str">
        <f>IFERROR(__xludf.DUMMYFUNCTION("""COMPUTED_VALUE"""),"RETIRADO OK POR CLIENTE")</f>
        <v>RETIRADO OK POR CLIENTE</v>
      </c>
      <c r="J1267" s="1">
        <f t="shared" si="3"/>
        <v>6</v>
      </c>
      <c r="K1267" s="1" t="str">
        <f t="shared" si="4"/>
        <v>Entregamos tus lentes, que los disfrutes!</v>
      </c>
    </row>
    <row r="1268">
      <c r="A1268" s="1">
        <f>IFERROR(__xludf.DUMMYFUNCTION("""COMPUTED_VALUE"""),85818.0)</f>
        <v>85818</v>
      </c>
      <c r="B1268" s="5">
        <f>IFERROR(__xludf.DUMMYFUNCTION("""COMPUTED_VALUE"""),44956.551446944446)</f>
        <v>44956.55145</v>
      </c>
      <c r="C1268" s="1" t="str">
        <f>IFERROR(__xludf.DUMMYFUNCTION("""COMPUTED_VALUE"""),"Suarez Juan")</f>
        <v>Suarez Juan</v>
      </c>
      <c r="D1268" s="1" t="str">
        <f>IFERROR(__xludf.DUMMYFUNCTION("""COMPUTED_VALUE"""),"Reparaciones/Otros")</f>
        <v>Reparaciones/Otros</v>
      </c>
      <c r="E1268" s="1" t="str">
        <f>IFERROR(__xludf.DUMMYFUNCTION("""COMPUTED_VALUE"""),"ARTIGAS Sandra G")</f>
        <v>ARTIGAS Sandra G</v>
      </c>
      <c r="F1268" s="1" t="str">
        <f t="shared" si="1"/>
        <v>ARTIGAS </v>
      </c>
      <c r="G1268" s="1" t="str">
        <f t="shared" si="2"/>
        <v>Sandra G</v>
      </c>
      <c r="H1268" s="1" t="str">
        <f>IFERROR(__xludf.DUMMYFUNCTION("""COMPUTED_VALUE"""),"2/2/2023, 17:00:00")</f>
        <v>2/2/2023, 17:00:00</v>
      </c>
      <c r="I1268" s="1" t="str">
        <f>IFERROR(__xludf.DUMMYFUNCTION("""COMPUTED_VALUE"""),"Recibido en Laboratorio")</f>
        <v>Recibido en Laboratorio</v>
      </c>
      <c r="J1268" s="1">
        <f t="shared" si="3"/>
        <v>2</v>
      </c>
      <c r="K1268" s="1" t="str">
        <f t="shared" si="4"/>
        <v>Nuestro Laboratorio esta trabajando en tus lentes, los entregaremos en la fecha acordada.</v>
      </c>
    </row>
    <row r="1269">
      <c r="A1269" s="1">
        <f>IFERROR(__xludf.DUMMYFUNCTION("""COMPUTED_VALUE"""),85819.0)</f>
        <v>85819</v>
      </c>
      <c r="B1269" s="5">
        <f>IFERROR(__xludf.DUMMYFUNCTION("""COMPUTED_VALUE"""),44956.72436423611)</f>
        <v>44956.72436</v>
      </c>
      <c r="C1269" s="1" t="str">
        <f>IFERROR(__xludf.DUMMYFUNCTION("""COMPUTED_VALUE"""),"LEDESMA EMILIANO")</f>
        <v>LEDESMA EMILIANO</v>
      </c>
      <c r="D1269" s="1" t="str">
        <f>IFERROR(__xludf.DUMMYFUNCTION("""COMPUTED_VALUE"""),"Reparaciones/Otros")</f>
        <v>Reparaciones/Otros</v>
      </c>
      <c r="E1269" s="1" t="str">
        <f>IFERROR(__xludf.DUMMYFUNCTION("""COMPUTED_VALUE"""),"ARTIGAS Cristian C.")</f>
        <v>ARTIGAS Cristian C.</v>
      </c>
      <c r="F1269" s="1" t="str">
        <f t="shared" si="1"/>
        <v>ARTIGAS </v>
      </c>
      <c r="G1269" s="1" t="str">
        <f t="shared" si="2"/>
        <v>Cristian C.</v>
      </c>
      <c r="H1269" s="1" t="str">
        <f>IFERROR(__xludf.DUMMYFUNCTION("""COMPUTED_VALUE"""),"1/2/2023, 17:00:00")</f>
        <v>1/2/2023, 17:00:00</v>
      </c>
      <c r="I1269" s="1" t="str">
        <f>IFERROR(__xludf.DUMMYFUNCTION("""COMPUTED_VALUE"""),"Recibido en Laboratorio")</f>
        <v>Recibido en Laboratorio</v>
      </c>
      <c r="J1269" s="1">
        <f t="shared" si="3"/>
        <v>2</v>
      </c>
      <c r="K1269" s="1" t="str">
        <f t="shared" si="4"/>
        <v>Nuestro Laboratorio esta trabajando en tus lentes, los entregaremos en la fecha acordada.</v>
      </c>
    </row>
    <row r="1270">
      <c r="A1270" s="1">
        <f>IFERROR(__xludf.DUMMYFUNCTION("""COMPUTED_VALUE"""),85820.0)</f>
        <v>85820</v>
      </c>
      <c r="B1270" s="5">
        <f>IFERROR(__xludf.DUMMYFUNCTION("""COMPUTED_VALUE"""),44956.738363136574)</f>
        <v>44956.73836</v>
      </c>
      <c r="C1270" s="1" t="str">
        <f>IFERROR(__xludf.DUMMYFUNCTION("""COMPUTED_VALUE"""),"genini helena")</f>
        <v>genini helena</v>
      </c>
      <c r="D1270" s="1" t="str">
        <f>IFERROR(__xludf.DUMMYFUNCTION("""COMPUTED_VALUE"""),"Lentes de STOCK")</f>
        <v>Lentes de STOCK</v>
      </c>
      <c r="E1270" s="1" t="str">
        <f>IFERROR(__xludf.DUMMYFUNCTION("""COMPUTED_VALUE"""),"RIVADAVIA Santiago N")</f>
        <v>RIVADAVIA Santiago N</v>
      </c>
      <c r="F1270" s="1" t="str">
        <f t="shared" si="1"/>
        <v>RIVADAVIA </v>
      </c>
      <c r="G1270" s="1" t="str">
        <f t="shared" si="2"/>
        <v>Santiago N</v>
      </c>
      <c r="H1270" s="1" t="str">
        <f>IFERROR(__xludf.DUMMYFUNCTION("""COMPUTED_VALUE"""),"2/2/2023, 17:00:00")</f>
        <v>2/2/2023, 17:00:00</v>
      </c>
      <c r="I1270" s="1" t="str">
        <f>IFERROR(__xludf.DUMMYFUNCTION("""COMPUTED_VALUE"""),"Completado en SUCURSAL")</f>
        <v>Completado en SUCURSAL</v>
      </c>
      <c r="J1270" s="1">
        <f t="shared" si="3"/>
        <v>5</v>
      </c>
      <c r="K1270" s="1" t="str">
        <f t="shared" si="4"/>
        <v>Tus Lentes estan LISTAS PARA ENTREGAR, te esperamos.</v>
      </c>
    </row>
    <row r="1271">
      <c r="A1271" s="1">
        <f>IFERROR(__xludf.DUMMYFUNCTION("""COMPUTED_VALUE"""),85821.0)</f>
        <v>85821</v>
      </c>
      <c r="B1271" s="5">
        <f>IFERROR(__xludf.DUMMYFUNCTION("""COMPUTED_VALUE"""),44956.73999018519)</f>
        <v>44956.73999</v>
      </c>
      <c r="C1271" s="1" t="str">
        <f>IFERROR(__xludf.DUMMYFUNCTION("""COMPUTED_VALUE"""),"abrahamn rosa")</f>
        <v>abrahamn rosa</v>
      </c>
      <c r="D1271" s="1" t="str">
        <f>IFERROR(__xludf.DUMMYFUNCTION("""COMPUTED_VALUE"""),"Lentes de STOCK")</f>
        <v>Lentes de STOCK</v>
      </c>
      <c r="E1271" s="1" t="str">
        <f>IFERROR(__xludf.DUMMYFUNCTION("""COMPUTED_VALUE"""),"RIVADAVIA Santiago N")</f>
        <v>RIVADAVIA Santiago N</v>
      </c>
      <c r="F1271" s="1" t="str">
        <f t="shared" si="1"/>
        <v>RIVADAVIA </v>
      </c>
      <c r="G1271" s="1" t="str">
        <f t="shared" si="2"/>
        <v>Santiago N</v>
      </c>
      <c r="H1271" s="1" t="str">
        <f>IFERROR(__xludf.DUMMYFUNCTION("""COMPUTED_VALUE"""),"2/2/2023, 17:00:00")</f>
        <v>2/2/2023, 17:00:00</v>
      </c>
      <c r="I1271" s="1" t="str">
        <f>IFERROR(__xludf.DUMMYFUNCTION("""COMPUTED_VALUE"""),"Completado en SUCURSAL")</f>
        <v>Completado en SUCURSAL</v>
      </c>
      <c r="J1271" s="1">
        <f t="shared" si="3"/>
        <v>5</v>
      </c>
      <c r="K1271" s="1" t="str">
        <f t="shared" si="4"/>
        <v>Tus Lentes estan LISTAS PARA ENTREGAR, te esperamos.</v>
      </c>
    </row>
    <row r="1272">
      <c r="A1272" s="1">
        <f>IFERROR(__xludf.DUMMYFUNCTION("""COMPUTED_VALUE"""),85822.0)</f>
        <v>85822</v>
      </c>
      <c r="B1272" s="5">
        <f>IFERROR(__xludf.DUMMYFUNCTION("""COMPUTED_VALUE"""),44956.74133462963)</f>
        <v>44956.74133</v>
      </c>
      <c r="C1272" s="1" t="str">
        <f>IFERROR(__xludf.DUMMYFUNCTION("""COMPUTED_VALUE"""),"GARCIA NELLY")</f>
        <v>GARCIA NELLY</v>
      </c>
      <c r="D1272" s="1" t="str">
        <f>IFERROR(__xludf.DUMMYFUNCTION("""COMPUTED_VALUE"""),"Lentes de STOCK")</f>
        <v>Lentes de STOCK</v>
      </c>
      <c r="E1272" s="1" t="str">
        <f>IFERROR(__xludf.DUMMYFUNCTION("""COMPUTED_VALUE"""),"RIVADAVIA Daniel CM")</f>
        <v>RIVADAVIA Daniel CM</v>
      </c>
      <c r="F1272" s="1" t="str">
        <f t="shared" si="1"/>
        <v>RIVADAVIA </v>
      </c>
      <c r="G1272" s="1" t="str">
        <f t="shared" si="2"/>
        <v>Daniel CM</v>
      </c>
      <c r="H1272" s="1" t="str">
        <f>IFERROR(__xludf.DUMMYFUNCTION("""COMPUTED_VALUE"""),"8/2/2023, 17:00:00")</f>
        <v>8/2/2023, 17:00:00</v>
      </c>
      <c r="I1272" s="1" t="str">
        <f>IFERROR(__xludf.DUMMYFUNCTION("""COMPUTED_VALUE"""),"RETIRADO OK POR CLIENTE")</f>
        <v>RETIRADO OK POR CLIENTE</v>
      </c>
      <c r="J1272" s="1">
        <f t="shared" si="3"/>
        <v>6</v>
      </c>
      <c r="K1272" s="1" t="str">
        <f t="shared" si="4"/>
        <v>Entregamos tus lentes, que los disfrutes!</v>
      </c>
    </row>
    <row r="1273">
      <c r="A1273" s="1">
        <f>IFERROR(__xludf.DUMMYFUNCTION("""COMPUTED_VALUE"""),85823.0)</f>
        <v>85823</v>
      </c>
      <c r="B1273" s="5">
        <f>IFERROR(__xludf.DUMMYFUNCTION("""COMPUTED_VALUE"""),44956.76198299769)</f>
        <v>44956.76198</v>
      </c>
      <c r="C1273" s="1" t="str">
        <f>IFERROR(__xludf.DUMMYFUNCTION("""COMPUTED_VALUE"""),"NUÑEZ SERGIO")</f>
        <v>NUÑEZ SERGIO</v>
      </c>
      <c r="D1273" s="1" t="str">
        <f>IFERROR(__xludf.DUMMYFUNCTION("""COMPUTED_VALUE"""),"Lentes de STOCK")</f>
        <v>Lentes de STOCK</v>
      </c>
      <c r="E1273" s="1" t="str">
        <f>IFERROR(__xludf.DUMMYFUNCTION("""COMPUTED_VALUE"""),"RIVADAVIA Daniel CM")</f>
        <v>RIVADAVIA Daniel CM</v>
      </c>
      <c r="F1273" s="1" t="str">
        <f t="shared" si="1"/>
        <v>RIVADAVIA </v>
      </c>
      <c r="G1273" s="1" t="str">
        <f t="shared" si="2"/>
        <v>Daniel CM</v>
      </c>
      <c r="H1273" s="1" t="str">
        <f>IFERROR(__xludf.DUMMYFUNCTION("""COMPUTED_VALUE"""),"1/2/2023, 18:00:00")</f>
        <v>1/2/2023, 18:00:00</v>
      </c>
      <c r="I1273" s="1" t="str">
        <f>IFERROR(__xludf.DUMMYFUNCTION("""COMPUTED_VALUE"""),"Recibido en Laboratorio")</f>
        <v>Recibido en Laboratorio</v>
      </c>
      <c r="J1273" s="1">
        <f t="shared" si="3"/>
        <v>2</v>
      </c>
      <c r="K1273" s="1" t="str">
        <f t="shared" si="4"/>
        <v>Nuestro Laboratorio esta trabajando en tus lentes, los entregaremos en la fecha acordada.</v>
      </c>
    </row>
    <row r="1274">
      <c r="A1274" s="1">
        <f>IFERROR(__xludf.DUMMYFUNCTION("""COMPUTED_VALUE"""),85824.0)</f>
        <v>85824</v>
      </c>
      <c r="B1274" s="5">
        <f>IFERROR(__xludf.DUMMYFUNCTION("""COMPUTED_VALUE"""),44956.76282513889)</f>
        <v>44956.76283</v>
      </c>
      <c r="C1274" s="1" t="str">
        <f>IFERROR(__xludf.DUMMYFUNCTION("""COMPUTED_VALUE"""),"MORALES CABRAL LIDIA MARGARITA")</f>
        <v>MORALES CABRAL LIDIA MARGARITA</v>
      </c>
      <c r="D1274" s="1" t="str">
        <f>IFERROR(__xludf.DUMMYFUNCTION("""COMPUTED_VALUE"""),"Lentes de STOCK")</f>
        <v>Lentes de STOCK</v>
      </c>
      <c r="E1274" s="1" t="str">
        <f>IFERROR(__xludf.DUMMYFUNCTION("""COMPUTED_VALUE"""),"ARTIGAS Cristian C.")</f>
        <v>ARTIGAS Cristian C.</v>
      </c>
      <c r="F1274" s="1" t="str">
        <f t="shared" si="1"/>
        <v>ARTIGAS </v>
      </c>
      <c r="G1274" s="1" t="str">
        <f t="shared" si="2"/>
        <v>Cristian C.</v>
      </c>
      <c r="H1274" s="1" t="str">
        <f>IFERROR(__xludf.DUMMYFUNCTION("""COMPUTED_VALUE"""),"7/2/2023, 17:00:00")</f>
        <v>7/2/2023, 17:00:00</v>
      </c>
      <c r="I1274" s="1" t="str">
        <f>IFERROR(__xludf.DUMMYFUNCTION("""COMPUTED_VALUE"""),"RETIRADO OK POR CLIENTE")</f>
        <v>RETIRADO OK POR CLIENTE</v>
      </c>
      <c r="J1274" s="1">
        <f t="shared" si="3"/>
        <v>6</v>
      </c>
      <c r="K1274" s="1" t="str">
        <f t="shared" si="4"/>
        <v>Entregamos tus lentes, que los disfrutes!</v>
      </c>
    </row>
    <row r="1275">
      <c r="A1275" s="1">
        <f>IFERROR(__xludf.DUMMYFUNCTION("""COMPUTED_VALUE"""),85825.0)</f>
        <v>85825</v>
      </c>
      <c r="B1275" s="5">
        <f>IFERROR(__xludf.DUMMYFUNCTION("""COMPUTED_VALUE"""),44956.78054440972)</f>
        <v>44956.78054</v>
      </c>
      <c r="C1275" s="1" t="str">
        <f>IFERROR(__xludf.DUMMYFUNCTION("""COMPUTED_VALUE"""),"SUAREZ OCAÑA JUAN IGNACIO")</f>
        <v>SUAREZ OCAÑA JUAN IGNACIO</v>
      </c>
      <c r="D1275" s="1" t="str">
        <f>IFERROR(__xludf.DUMMYFUNCTION("""COMPUTED_VALUE"""),"Lentes de STOCK")</f>
        <v>Lentes de STOCK</v>
      </c>
      <c r="E1275" s="1" t="str">
        <f>IFERROR(__xludf.DUMMYFUNCTION("""COMPUTED_VALUE"""),"RIVADAVIA Javier")</f>
        <v>RIVADAVIA Javier</v>
      </c>
      <c r="F1275" s="1" t="str">
        <f t="shared" si="1"/>
        <v>RIVADAVIA </v>
      </c>
      <c r="G1275" s="1" t="str">
        <f t="shared" si="2"/>
        <v>Javier</v>
      </c>
      <c r="H1275" s="1" t="str">
        <f>IFERROR(__xludf.DUMMYFUNCTION("""COMPUTED_VALUE"""),"2/2/2023, 17:00:00")</f>
        <v>2/2/2023, 17:00:00</v>
      </c>
      <c r="I1275" s="1" t="str">
        <f>IFERROR(__xludf.DUMMYFUNCTION("""COMPUTED_VALUE"""),"RETIRADO OK POR CLIENTE")</f>
        <v>RETIRADO OK POR CLIENTE</v>
      </c>
      <c r="J1275" s="1">
        <f t="shared" si="3"/>
        <v>6</v>
      </c>
      <c r="K1275" s="1" t="str">
        <f t="shared" si="4"/>
        <v>Entregamos tus lentes, que los disfrutes!</v>
      </c>
    </row>
    <row r="1276">
      <c r="A1276" s="1">
        <f>IFERROR(__xludf.DUMMYFUNCTION("""COMPUTED_VALUE"""),85826.0)</f>
        <v>85826</v>
      </c>
      <c r="B1276" s="5">
        <f>IFERROR(__xludf.DUMMYFUNCTION("""COMPUTED_VALUE"""),44956.78068678241)</f>
        <v>44956.78069</v>
      </c>
      <c r="C1276" s="1" t="str">
        <f>IFERROR(__xludf.DUMMYFUNCTION("""COMPUTED_VALUE"""),"Molina Gaston")</f>
        <v>Molina Gaston</v>
      </c>
      <c r="D1276" s="1" t="str">
        <f>IFERROR(__xludf.DUMMYFUNCTION("""COMPUTED_VALUE"""),"Lentes de STOCK")</f>
        <v>Lentes de STOCK</v>
      </c>
      <c r="E1276" s="1" t="str">
        <f>IFERROR(__xludf.DUMMYFUNCTION("""COMPUTED_VALUE"""),"RIVADAVIA Rocio B")</f>
        <v>RIVADAVIA Rocio B</v>
      </c>
      <c r="F1276" s="1" t="str">
        <f t="shared" si="1"/>
        <v>RIVADAVIA </v>
      </c>
      <c r="G1276" s="1" t="str">
        <f t="shared" si="2"/>
        <v>Rocio B</v>
      </c>
      <c r="H1276" s="1" t="str">
        <f>IFERROR(__xludf.DUMMYFUNCTION("""COMPUTED_VALUE"""),"6/2/2023, 17:00:00")</f>
        <v>6/2/2023, 17:00:00</v>
      </c>
      <c r="I1276" s="1" t="str">
        <f>IFERROR(__xludf.DUMMYFUNCTION("""COMPUTED_VALUE"""),"En Armado Hoy")</f>
        <v>En Armado Hoy</v>
      </c>
      <c r="J1276" s="1">
        <f t="shared" si="3"/>
        <v>3</v>
      </c>
      <c r="K1276" s="1" t="str">
        <f t="shared" si="4"/>
        <v>Estamos terminando los ultimos detalles de tus lentes, los terminaremos el dia de hoy.</v>
      </c>
    </row>
    <row r="1277">
      <c r="A1277" s="1">
        <f>IFERROR(__xludf.DUMMYFUNCTION("""COMPUTED_VALUE"""),85827.0)</f>
        <v>85827</v>
      </c>
      <c r="B1277" s="5">
        <f>IFERROR(__xludf.DUMMYFUNCTION("""COMPUTED_VALUE"""),44956.78662370371)</f>
        <v>44956.78662</v>
      </c>
      <c r="C1277" s="1" t="str">
        <f>IFERROR(__xludf.DUMMYFUNCTION("""COMPUTED_VALUE"""),"CALIGARIS ELDER JOSE")</f>
        <v>CALIGARIS ELDER JOSE</v>
      </c>
      <c r="D1277" s="1" t="str">
        <f>IFERROR(__xludf.DUMMYFUNCTION("""COMPUTED_VALUE"""),"Lentes de STOCK")</f>
        <v>Lentes de STOCK</v>
      </c>
      <c r="E1277" s="1" t="str">
        <f>IFERROR(__xludf.DUMMYFUNCTION("""COMPUTED_VALUE"""),"RIVADAVIA Santiago LOPEZ")</f>
        <v>RIVADAVIA Santiago LOPEZ</v>
      </c>
      <c r="F1277" s="1" t="str">
        <f t="shared" si="1"/>
        <v>RIVADAVIA </v>
      </c>
      <c r="G1277" s="1" t="str">
        <f t="shared" si="2"/>
        <v>Santiago LOPEZ</v>
      </c>
      <c r="H1277" s="1" t="str">
        <f>IFERROR(__xludf.DUMMYFUNCTION("""COMPUTED_VALUE"""),"1/2/2023, 17:00:00")</f>
        <v>1/2/2023, 17:00:00</v>
      </c>
      <c r="I1277" s="1" t="str">
        <f>IFERROR(__xludf.DUMMYFUNCTION("""COMPUTED_VALUE"""),"Completado en SUCURSAL")</f>
        <v>Completado en SUCURSAL</v>
      </c>
      <c r="J1277" s="1">
        <f t="shared" si="3"/>
        <v>5</v>
      </c>
      <c r="K1277" s="1" t="str">
        <f t="shared" si="4"/>
        <v>Tus Lentes estan LISTAS PARA ENTREGAR, te esperamos.</v>
      </c>
    </row>
    <row r="1278">
      <c r="A1278" s="1">
        <f>IFERROR(__xludf.DUMMYFUNCTION("""COMPUTED_VALUE"""),85828.0)</f>
        <v>85828</v>
      </c>
      <c r="B1278" s="5">
        <f>IFERROR(__xludf.DUMMYFUNCTION("""COMPUTED_VALUE"""),44956.793842025465)</f>
        <v>44956.79384</v>
      </c>
      <c r="C1278" s="1" t="str">
        <f>IFERROR(__xludf.DUMMYFUNCTION("""COMPUTED_VALUE"""),"ABROQUINO KARINA ROXANA")</f>
        <v>ABROQUINO KARINA ROXANA</v>
      </c>
      <c r="D1278" s="1" t="str">
        <f>IFERROR(__xludf.DUMMYFUNCTION("""COMPUTED_VALUE"""),"Lentes de STOCK")</f>
        <v>Lentes de STOCK</v>
      </c>
      <c r="E1278" s="1" t="str">
        <f>IFERROR(__xludf.DUMMYFUNCTION("""COMPUTED_VALUE"""),"ARTIGAS Cristian C.")</f>
        <v>ARTIGAS Cristian C.</v>
      </c>
      <c r="F1278" s="1" t="str">
        <f t="shared" si="1"/>
        <v>ARTIGAS </v>
      </c>
      <c r="G1278" s="1" t="str">
        <f t="shared" si="2"/>
        <v>Cristian C.</v>
      </c>
      <c r="H1278" s="1" t="str">
        <f>IFERROR(__xludf.DUMMYFUNCTION("""COMPUTED_VALUE"""),"7/2/2023, 17:00:00")</f>
        <v>7/2/2023, 17:00:00</v>
      </c>
      <c r="I1278" s="1" t="str">
        <f>IFERROR(__xludf.DUMMYFUNCTION("""COMPUTED_VALUE"""),"RETIRADO OK POR CLIENTE")</f>
        <v>RETIRADO OK POR CLIENTE</v>
      </c>
      <c r="J1278" s="1">
        <f t="shared" si="3"/>
        <v>6</v>
      </c>
      <c r="K1278" s="1" t="str">
        <f t="shared" si="4"/>
        <v>Entregamos tus lentes, que los disfrutes!</v>
      </c>
    </row>
    <row r="1279">
      <c r="A1279" s="1">
        <f>IFERROR(__xludf.DUMMYFUNCTION("""COMPUTED_VALUE"""),85829.0)</f>
        <v>85829</v>
      </c>
      <c r="B1279" s="5">
        <f>IFERROR(__xludf.DUMMYFUNCTION("""COMPUTED_VALUE"""),44956.79868400463)</f>
        <v>44956.79868</v>
      </c>
      <c r="C1279" s="1" t="str">
        <f>IFERROR(__xludf.DUMMYFUNCTION("""COMPUTED_VALUE"""),"FERNANDEZ FILOMENA")</f>
        <v>FERNANDEZ FILOMENA</v>
      </c>
      <c r="D1279" s="1" t="str">
        <f>IFERROR(__xludf.DUMMYFUNCTION("""COMPUTED_VALUE"""),"Lentes de LABORATORIO")</f>
        <v>Lentes de LABORATORIO</v>
      </c>
      <c r="E1279" s="1" t="str">
        <f>IFERROR(__xludf.DUMMYFUNCTION("""COMPUTED_VALUE"""),"RIVADAVIA Santiago LOPEZ")</f>
        <v>RIVADAVIA Santiago LOPEZ</v>
      </c>
      <c r="F1279" s="1" t="str">
        <f t="shared" si="1"/>
        <v>RIVADAVIA </v>
      </c>
      <c r="G1279" s="1" t="str">
        <f t="shared" si="2"/>
        <v>Santiago LOPEZ</v>
      </c>
      <c r="H1279" s="1" t="str">
        <f>IFERROR(__xludf.DUMMYFUNCTION("""COMPUTED_VALUE"""),"14/2/2023, 17:00:00")</f>
        <v>14/2/2023, 17:00:00</v>
      </c>
      <c r="I1279" s="1" t="str">
        <f>IFERROR(__xludf.DUMMYFUNCTION("""COMPUTED_VALUE"""),"RETIRADO OK POR CLIENTE")</f>
        <v>RETIRADO OK POR CLIENTE</v>
      </c>
      <c r="J1279" s="1">
        <f t="shared" si="3"/>
        <v>6</v>
      </c>
      <c r="K1279" s="1" t="str">
        <f t="shared" si="4"/>
        <v>Entregamos tus lentes, que los disfrutes!</v>
      </c>
    </row>
    <row r="1280">
      <c r="A1280" s="1">
        <f>IFERROR(__xludf.DUMMYFUNCTION("""COMPUTED_VALUE"""),85830.0)</f>
        <v>85830</v>
      </c>
      <c r="B1280" s="5">
        <f>IFERROR(__xludf.DUMMYFUNCTION("""COMPUTED_VALUE"""),44956.80753569445)</f>
        <v>44956.80754</v>
      </c>
      <c r="C1280" s="1" t="str">
        <f>IFERROR(__xludf.DUMMYFUNCTION("""COMPUTED_VALUE"""),"IRUSTA CHAVEZ SANTIAGO")</f>
        <v>IRUSTA CHAVEZ SANTIAGO</v>
      </c>
      <c r="D1280" s="1" t="str">
        <f>IFERROR(__xludf.DUMMYFUNCTION("""COMPUTED_VALUE"""),"Reparaciones/Otros")</f>
        <v>Reparaciones/Otros</v>
      </c>
      <c r="E1280" s="1" t="str">
        <f>IFERROR(__xludf.DUMMYFUNCTION("""COMPUTED_VALUE"""),"ARTIGAS Cristian C.")</f>
        <v>ARTIGAS Cristian C.</v>
      </c>
      <c r="F1280" s="1" t="str">
        <f t="shared" si="1"/>
        <v>ARTIGAS </v>
      </c>
      <c r="G1280" s="1" t="str">
        <f t="shared" si="2"/>
        <v>Cristian C.</v>
      </c>
      <c r="H1280" s="1" t="str">
        <f>IFERROR(__xludf.DUMMYFUNCTION("""COMPUTED_VALUE"""),"2/2/2023, 17:00:00")</f>
        <v>2/2/2023, 17:00:00</v>
      </c>
      <c r="I1280" s="1" t="str">
        <f>IFERROR(__xludf.DUMMYFUNCTION("""COMPUTED_VALUE"""),"Completado en SUCURSAL")</f>
        <v>Completado en SUCURSAL</v>
      </c>
      <c r="J1280" s="1">
        <f t="shared" si="3"/>
        <v>5</v>
      </c>
      <c r="K1280" s="1" t="str">
        <f t="shared" si="4"/>
        <v>Tus Lentes estan LISTAS PARA ENTREGAR, te esperamos.</v>
      </c>
    </row>
    <row r="1281">
      <c r="A1281" s="1">
        <f>IFERROR(__xludf.DUMMYFUNCTION("""COMPUTED_VALUE"""),85831.0)</f>
        <v>85831</v>
      </c>
      <c r="B1281" s="5">
        <f>IFERROR(__xludf.DUMMYFUNCTION("""COMPUTED_VALUE"""),44956.81067416667)</f>
        <v>44956.81067</v>
      </c>
      <c r="C1281" s="1" t="str">
        <f>IFERROR(__xludf.DUMMYFUNCTION("""COMPUTED_VALUE"""),"Gutierrez Marin Roberto ")</f>
        <v>Gutierrez Marin Roberto </v>
      </c>
      <c r="D1281" s="1" t="str">
        <f>IFERROR(__xludf.DUMMYFUNCTION("""COMPUTED_VALUE"""),"Lentes de STOCK")</f>
        <v>Lentes de STOCK</v>
      </c>
      <c r="E1281" s="1" t="str">
        <f>IFERROR(__xludf.DUMMYFUNCTION("""COMPUTED_VALUE"""),"RIVADAVIA Rocio B")</f>
        <v>RIVADAVIA Rocio B</v>
      </c>
      <c r="F1281" s="1" t="str">
        <f t="shared" si="1"/>
        <v>RIVADAVIA </v>
      </c>
      <c r="G1281" s="1" t="str">
        <f t="shared" si="2"/>
        <v>Rocio B</v>
      </c>
      <c r="H1281" s="1" t="str">
        <f>IFERROR(__xludf.DUMMYFUNCTION("""COMPUTED_VALUE"""),"9/2/2023, 17:00:00")</f>
        <v>9/2/2023, 17:00:00</v>
      </c>
      <c r="I1281" s="1" t="str">
        <f>IFERROR(__xludf.DUMMYFUNCTION("""COMPUTED_VALUE"""),"Recibido en Laboratorio")</f>
        <v>Recibido en Laboratorio</v>
      </c>
      <c r="J1281" s="1">
        <f t="shared" si="3"/>
        <v>2</v>
      </c>
      <c r="K1281" s="1" t="str">
        <f t="shared" si="4"/>
        <v>Nuestro Laboratorio esta trabajando en tus lentes, los entregaremos en la fecha acordada.</v>
      </c>
    </row>
    <row r="1282">
      <c r="A1282" s="1">
        <f>IFERROR(__xludf.DUMMYFUNCTION("""COMPUTED_VALUE"""),85832.0)</f>
        <v>85832</v>
      </c>
      <c r="B1282" s="5">
        <f>IFERROR(__xludf.DUMMYFUNCTION("""COMPUTED_VALUE"""),44956.81641201389)</f>
        <v>44956.81641</v>
      </c>
      <c r="C1282" s="1" t="str">
        <f>IFERROR(__xludf.DUMMYFUNCTION("""COMPUTED_VALUE"""),"MENDOZA")</f>
        <v>MENDOZA</v>
      </c>
      <c r="D1282" s="1" t="str">
        <f>IFERROR(__xludf.DUMMYFUNCTION("""COMPUTED_VALUE"""),"Reparaciones/Otros")</f>
        <v>Reparaciones/Otros</v>
      </c>
      <c r="E1282" s="1" t="str">
        <f>IFERROR(__xludf.DUMMYFUNCTION("""COMPUTED_VALUE"""),"RIVADAVIA Santiago N")</f>
        <v>RIVADAVIA Santiago N</v>
      </c>
      <c r="F1282" s="1" t="str">
        <f t="shared" si="1"/>
        <v>RIVADAVIA </v>
      </c>
      <c r="G1282" s="1" t="str">
        <f t="shared" si="2"/>
        <v>Santiago N</v>
      </c>
      <c r="H1282" s="1" t="str">
        <f>IFERROR(__xludf.DUMMYFUNCTION("""COMPUTED_VALUE"""),"31/1/2023, 18:00:00")</f>
        <v>31/1/2023, 18:00:00</v>
      </c>
      <c r="I1282" s="1" t="str">
        <f>IFERROR(__xludf.DUMMYFUNCTION("""COMPUTED_VALUE"""),"Completado en SUCURSAL")</f>
        <v>Completado en SUCURSAL</v>
      </c>
      <c r="J1282" s="1">
        <f t="shared" si="3"/>
        <v>5</v>
      </c>
      <c r="K1282" s="1" t="str">
        <f t="shared" si="4"/>
        <v>Tus Lentes estan LISTAS PARA ENTREGAR, te esperamos.</v>
      </c>
    </row>
    <row r="1283">
      <c r="A1283" s="1">
        <f>IFERROR(__xludf.DUMMYFUNCTION("""COMPUTED_VALUE"""),85833.0)</f>
        <v>85833</v>
      </c>
      <c r="B1283" s="5">
        <f>IFERROR(__xludf.DUMMYFUNCTION("""COMPUTED_VALUE"""),44956.82108041667)</f>
        <v>44956.82108</v>
      </c>
      <c r="C1283" s="1" t="str">
        <f>IFERROR(__xludf.DUMMYFUNCTION("""COMPUTED_VALUE"""),"Aguero Gustavo")</f>
        <v>Aguero Gustavo</v>
      </c>
      <c r="D1283" s="1" t="str">
        <f>IFERROR(__xludf.DUMMYFUNCTION("""COMPUTED_VALUE"""),"Reparaciones/Otros")</f>
        <v>Reparaciones/Otros</v>
      </c>
      <c r="E1283" s="1" t="str">
        <f>IFERROR(__xludf.DUMMYFUNCTION("""COMPUTED_VALUE"""),"ARTIGAS Sandra G")</f>
        <v>ARTIGAS Sandra G</v>
      </c>
      <c r="F1283" s="1" t="str">
        <f t="shared" si="1"/>
        <v>ARTIGAS </v>
      </c>
      <c r="G1283" s="1" t="str">
        <f t="shared" si="2"/>
        <v>Sandra G</v>
      </c>
      <c r="H1283" s="1" t="str">
        <f>IFERROR(__xludf.DUMMYFUNCTION("""COMPUTED_VALUE"""),"1/2/2023, 17:00:00")</f>
        <v>1/2/2023, 17:00:00</v>
      </c>
      <c r="I1283" s="1" t="str">
        <f>IFERROR(__xludf.DUMMYFUNCTION("""COMPUTED_VALUE"""),"Completado en SUCURSAL")</f>
        <v>Completado en SUCURSAL</v>
      </c>
      <c r="J1283" s="1">
        <f t="shared" si="3"/>
        <v>5</v>
      </c>
      <c r="K1283" s="1" t="str">
        <f t="shared" si="4"/>
        <v>Tus Lentes estan LISTAS PARA ENTREGAR, te esperamos.</v>
      </c>
    </row>
    <row r="1284">
      <c r="A1284" s="1">
        <f>IFERROR(__xludf.DUMMYFUNCTION("""COMPUTED_VALUE"""),85834.0)</f>
        <v>85834</v>
      </c>
      <c r="B1284" s="5">
        <f>IFERROR(__xludf.DUMMYFUNCTION("""COMPUTED_VALUE"""),44956.82157601852)</f>
        <v>44956.82158</v>
      </c>
      <c r="C1284" s="1" t="str">
        <f>IFERROR(__xludf.DUMMYFUNCTION("""COMPUTED_VALUE"""),"ROCIO MICAELA ALANIZ")</f>
        <v>ROCIO MICAELA ALANIZ</v>
      </c>
      <c r="D1284" s="1" t="str">
        <f>IFERROR(__xludf.DUMMYFUNCTION("""COMPUTED_VALUE"""),"Lentes de STOCK")</f>
        <v>Lentes de STOCK</v>
      </c>
      <c r="E1284" s="1" t="str">
        <f>IFERROR(__xludf.DUMMYFUNCTION("""COMPUTED_VALUE"""),"RIVADAVIA Javier")</f>
        <v>RIVADAVIA Javier</v>
      </c>
      <c r="F1284" s="1" t="str">
        <f t="shared" si="1"/>
        <v>RIVADAVIA </v>
      </c>
      <c r="G1284" s="1" t="str">
        <f t="shared" si="2"/>
        <v>Javier</v>
      </c>
      <c r="H1284" s="1" t="str">
        <f>IFERROR(__xludf.DUMMYFUNCTION("""COMPUTED_VALUE"""),"6/2/2023, 17:00:00")</f>
        <v>6/2/2023, 17:00:00</v>
      </c>
      <c r="I1284" s="1" t="str">
        <f>IFERROR(__xludf.DUMMYFUNCTION("""COMPUTED_VALUE"""),"En Armado Hoy")</f>
        <v>En Armado Hoy</v>
      </c>
      <c r="J1284" s="1">
        <f t="shared" si="3"/>
        <v>3</v>
      </c>
      <c r="K1284" s="1" t="str">
        <f t="shared" si="4"/>
        <v>Estamos terminando los ultimos detalles de tus lentes, los terminaremos el dia de hoy.</v>
      </c>
    </row>
    <row r="1285">
      <c r="A1285" s="1">
        <f>IFERROR(__xludf.DUMMYFUNCTION("""COMPUTED_VALUE"""),85835.0)</f>
        <v>85835</v>
      </c>
      <c r="B1285" s="5">
        <f>IFERROR(__xludf.DUMMYFUNCTION("""COMPUTED_VALUE"""),44956.8585166088)</f>
        <v>44956.85852</v>
      </c>
      <c r="C1285" s="1" t="str">
        <f>IFERROR(__xludf.DUMMYFUNCTION("""COMPUTED_VALUE"""),"LEZCANO VANESA ")</f>
        <v>LEZCANO VANESA </v>
      </c>
      <c r="D1285" s="1" t="str">
        <f>IFERROR(__xludf.DUMMYFUNCTION("""COMPUTED_VALUE"""),"Reparaciones/Otros")</f>
        <v>Reparaciones/Otros</v>
      </c>
      <c r="E1285" s="1" t="str">
        <f>IFERROR(__xludf.DUMMYFUNCTION("""COMPUTED_VALUE"""),"RIVADAVIA Luciana")</f>
        <v>RIVADAVIA Luciana</v>
      </c>
      <c r="F1285" s="1" t="str">
        <f t="shared" si="1"/>
        <v>RIVADAVIA </v>
      </c>
      <c r="G1285" s="1" t="str">
        <f t="shared" si="2"/>
        <v>Luciana</v>
      </c>
      <c r="H1285" s="1" t="str">
        <f>IFERROR(__xludf.DUMMYFUNCTION("""COMPUTED_VALUE"""),"31/1/2023, 17:00:00")</f>
        <v>31/1/2023, 17:00:00</v>
      </c>
      <c r="I1285" s="1" t="str">
        <f>IFERROR(__xludf.DUMMYFUNCTION("""COMPUTED_VALUE"""),"Completado en SUCURSAL")</f>
        <v>Completado en SUCURSAL</v>
      </c>
      <c r="J1285" s="1">
        <f t="shared" si="3"/>
        <v>5</v>
      </c>
      <c r="K1285" s="1" t="str">
        <f t="shared" si="4"/>
        <v>Tus Lentes estan LISTAS PARA ENTREGAR, te esperamos.</v>
      </c>
    </row>
    <row r="1286">
      <c r="A1286" s="1">
        <f>IFERROR(__xludf.DUMMYFUNCTION("""COMPUTED_VALUE"""),85836.0)</f>
        <v>85836</v>
      </c>
      <c r="B1286" s="5">
        <f>IFERROR(__xludf.DUMMYFUNCTION("""COMPUTED_VALUE"""),44957.38111646991)</f>
        <v>44957.38112</v>
      </c>
      <c r="C1286" s="1" t="str">
        <f>IFERROR(__xludf.DUMMYFUNCTION("""COMPUTED_VALUE"""),"GONZALEZ ROCIO")</f>
        <v>GONZALEZ ROCIO</v>
      </c>
      <c r="D1286" s="1" t="str">
        <f>IFERROR(__xludf.DUMMYFUNCTION("""COMPUTED_VALUE"""),"Lentes de STOCK")</f>
        <v>Lentes de STOCK</v>
      </c>
      <c r="E1286" s="1" t="str">
        <f>IFERROR(__xludf.DUMMYFUNCTION("""COMPUTED_VALUE"""),"RIVADAVIA Santiago N")</f>
        <v>RIVADAVIA Santiago N</v>
      </c>
      <c r="F1286" s="1" t="str">
        <f t="shared" si="1"/>
        <v>RIVADAVIA </v>
      </c>
      <c r="G1286" s="1" t="str">
        <f t="shared" si="2"/>
        <v>Santiago N</v>
      </c>
      <c r="H1286" s="1" t="str">
        <f>IFERROR(__xludf.DUMMYFUNCTION("""COMPUTED_VALUE"""),"3/2/2023, 17:00:00")</f>
        <v>3/2/2023, 17:00:00</v>
      </c>
      <c r="I1286" s="1" t="str">
        <f>IFERROR(__xludf.DUMMYFUNCTION("""COMPUTED_VALUE"""),"Completado en SUCURSAL")</f>
        <v>Completado en SUCURSAL</v>
      </c>
      <c r="J1286" s="1">
        <f t="shared" si="3"/>
        <v>5</v>
      </c>
      <c r="K1286" s="1" t="str">
        <f t="shared" si="4"/>
        <v>Tus Lentes estan LISTAS PARA ENTREGAR, te esperamos.</v>
      </c>
    </row>
    <row r="1287">
      <c r="A1287" s="1">
        <f>IFERROR(__xludf.DUMMYFUNCTION("""COMPUTED_VALUE"""),85837.0)</f>
        <v>85837</v>
      </c>
      <c r="B1287" s="5">
        <f>IFERROR(__xludf.DUMMYFUNCTION("""COMPUTED_VALUE"""),44957.3901966088)</f>
        <v>44957.3902</v>
      </c>
      <c r="C1287" s="1" t="str">
        <f>IFERROR(__xludf.DUMMYFUNCTION("""COMPUTED_VALUE"""),"Aleman Pabla")</f>
        <v>Aleman Pabla</v>
      </c>
      <c r="D1287" s="1" t="str">
        <f>IFERROR(__xludf.DUMMYFUNCTION("""COMPUTED_VALUE"""),"Lentes BIFOCALES")</f>
        <v>Lentes BIFOCALES</v>
      </c>
      <c r="E1287" s="1" t="str">
        <f>IFERROR(__xludf.DUMMYFUNCTION("""COMPUTED_VALUE"""),"ARTIGAS Roció")</f>
        <v>ARTIGAS Roció</v>
      </c>
      <c r="F1287" s="1" t="str">
        <f t="shared" si="1"/>
        <v>ARTIGAS </v>
      </c>
      <c r="G1287" s="1" t="str">
        <f t="shared" si="2"/>
        <v>Roció</v>
      </c>
      <c r="H1287" s="1" t="str">
        <f>IFERROR(__xludf.DUMMYFUNCTION("""COMPUTED_VALUE"""),"7/2/2023, 17:00:00")</f>
        <v>7/2/2023, 17:00:00</v>
      </c>
      <c r="I1287" s="1" t="str">
        <f>IFERROR(__xludf.DUMMYFUNCTION("""COMPUTED_VALUE"""),"Recibido en Laboratorio")</f>
        <v>Recibido en Laboratorio</v>
      </c>
      <c r="J1287" s="1">
        <f t="shared" si="3"/>
        <v>2</v>
      </c>
      <c r="K1287" s="1" t="str">
        <f t="shared" si="4"/>
        <v>Nuestro Laboratorio esta trabajando en tus lentes, los entregaremos en la fecha acordada.</v>
      </c>
    </row>
    <row r="1288">
      <c r="A1288" s="1">
        <f>IFERROR(__xludf.DUMMYFUNCTION("""COMPUTED_VALUE"""),85838.0)</f>
        <v>85838</v>
      </c>
      <c r="B1288" s="5">
        <f>IFERROR(__xludf.DUMMYFUNCTION("""COMPUTED_VALUE"""),44957.39151959491)</f>
        <v>44957.39152</v>
      </c>
      <c r="C1288" s="1" t="str">
        <f>IFERROR(__xludf.DUMMYFUNCTION("""COMPUTED_VALUE"""),"BALDERRAMA MARIA ALEJANDRA")</f>
        <v>BALDERRAMA MARIA ALEJANDRA</v>
      </c>
      <c r="D1288" s="1" t="str">
        <f>IFERROR(__xludf.DUMMYFUNCTION("""COMPUTED_VALUE"""),"Lentes de STOCK")</f>
        <v>Lentes de STOCK</v>
      </c>
      <c r="E1288" s="1" t="str">
        <f>IFERROR(__xludf.DUMMYFUNCTION("""COMPUTED_VALUE"""),"ARTIGAS Cristian C.")</f>
        <v>ARTIGAS Cristian C.</v>
      </c>
      <c r="F1288" s="1" t="str">
        <f t="shared" si="1"/>
        <v>ARTIGAS </v>
      </c>
      <c r="G1288" s="1" t="str">
        <f t="shared" si="2"/>
        <v>Cristian C.</v>
      </c>
      <c r="H1288" s="1" t="str">
        <f>IFERROR(__xludf.DUMMYFUNCTION("""COMPUTED_VALUE"""),"8/2/2023, 17:00:00")</f>
        <v>8/2/2023, 17:00:00</v>
      </c>
      <c r="I1288" s="1" t="str">
        <f>IFERROR(__xludf.DUMMYFUNCTION("""COMPUTED_VALUE"""),"RETIRADO OK POR CLIENTE")</f>
        <v>RETIRADO OK POR CLIENTE</v>
      </c>
      <c r="J1288" s="1">
        <f t="shared" si="3"/>
        <v>6</v>
      </c>
      <c r="K1288" s="1" t="str">
        <f t="shared" si="4"/>
        <v>Entregamos tus lentes, que los disfrutes!</v>
      </c>
    </row>
    <row r="1289">
      <c r="A1289" s="1">
        <f>IFERROR(__xludf.DUMMYFUNCTION("""COMPUTED_VALUE"""),85839.0)</f>
        <v>85839</v>
      </c>
      <c r="B1289" s="5">
        <f>IFERROR(__xludf.DUMMYFUNCTION("""COMPUTED_VALUE"""),44957.391587962964)</f>
        <v>44957.39159</v>
      </c>
      <c r="C1289" s="1" t="str">
        <f>IFERROR(__xludf.DUMMYFUNCTION("""COMPUTED_VALUE"""),"GIMENEZ LEONARDO")</f>
        <v>GIMENEZ LEONARDO</v>
      </c>
      <c r="D1289" s="1" t="str">
        <f>IFERROR(__xludf.DUMMYFUNCTION("""COMPUTED_VALUE"""),"Lentes de STOCK")</f>
        <v>Lentes de STOCK</v>
      </c>
      <c r="E1289" s="1" t="str">
        <f>IFERROR(__xludf.DUMMYFUNCTION("""COMPUTED_VALUE"""),"ARTIGAS Cristian C.")</f>
        <v>ARTIGAS Cristian C.</v>
      </c>
      <c r="F1289" s="1" t="str">
        <f t="shared" si="1"/>
        <v>ARTIGAS </v>
      </c>
      <c r="G1289" s="1" t="str">
        <f t="shared" si="2"/>
        <v>Cristian C.</v>
      </c>
      <c r="H1289" s="1" t="str">
        <f>IFERROR(__xludf.DUMMYFUNCTION("""COMPUTED_VALUE"""),"8/2/2023, 17:00:00")</f>
        <v>8/2/2023, 17:00:00</v>
      </c>
      <c r="I1289" s="1" t="str">
        <f>IFERROR(__xludf.DUMMYFUNCTION("""COMPUTED_VALUE"""),"RETIRADO OK POR CLIENTE")</f>
        <v>RETIRADO OK POR CLIENTE</v>
      </c>
      <c r="J1289" s="1">
        <f t="shared" si="3"/>
        <v>6</v>
      </c>
      <c r="K1289" s="1" t="str">
        <f t="shared" si="4"/>
        <v>Entregamos tus lentes, que los disfrutes!</v>
      </c>
    </row>
    <row r="1290">
      <c r="A1290" s="1">
        <f>IFERROR(__xludf.DUMMYFUNCTION("""COMPUTED_VALUE"""),85840.0)</f>
        <v>85840</v>
      </c>
      <c r="B1290" s="5">
        <f>IFERROR(__xludf.DUMMYFUNCTION("""COMPUTED_VALUE"""),44957.401073229164)</f>
        <v>44957.40107</v>
      </c>
      <c r="C1290" s="1" t="str">
        <f>IFERROR(__xludf.DUMMYFUNCTION("""COMPUTED_VALUE"""),"arrera aldo")</f>
        <v>arrera aldo</v>
      </c>
      <c r="D1290" s="1" t="str">
        <f>IFERROR(__xludf.DUMMYFUNCTION("""COMPUTED_VALUE"""),"Lentes MULTIFOCALES")</f>
        <v>Lentes MULTIFOCALES</v>
      </c>
      <c r="E1290" s="1" t="str">
        <f>IFERROR(__xludf.DUMMYFUNCTION("""COMPUTED_VALUE"""),"RIVADAVIA Santiago N")</f>
        <v>RIVADAVIA Santiago N</v>
      </c>
      <c r="F1290" s="1" t="str">
        <f t="shared" si="1"/>
        <v>RIVADAVIA </v>
      </c>
      <c r="G1290" s="1" t="str">
        <f t="shared" si="2"/>
        <v>Santiago N</v>
      </c>
      <c r="H1290" s="1" t="str">
        <f>IFERROR(__xludf.DUMMYFUNCTION("""COMPUTED_VALUE"""),"3/2/2023, 17:00:00")</f>
        <v>3/2/2023, 17:00:00</v>
      </c>
      <c r="I1290" s="1" t="str">
        <f>IFERROR(__xludf.DUMMYFUNCTION("""COMPUTED_VALUE"""),"Completado en SUCURSAL")</f>
        <v>Completado en SUCURSAL</v>
      </c>
      <c r="J1290" s="1">
        <f t="shared" si="3"/>
        <v>5</v>
      </c>
      <c r="K1290" s="1" t="str">
        <f t="shared" si="4"/>
        <v>Tus Lentes estan LISTAS PARA ENTREGAR, te esperamos.</v>
      </c>
    </row>
    <row r="1291">
      <c r="A1291" s="1">
        <f>IFERROR(__xludf.DUMMYFUNCTION("""COMPUTED_VALUE"""),85841.0)</f>
        <v>85841</v>
      </c>
      <c r="B1291" s="5">
        <f>IFERROR(__xludf.DUMMYFUNCTION("""COMPUTED_VALUE"""),44957.4158521412)</f>
        <v>44957.41585</v>
      </c>
      <c r="C1291" s="1" t="str">
        <f>IFERROR(__xludf.DUMMYFUNCTION("""COMPUTED_VALUE"""),"ARABEL CLAUDIA BEATRIZ")</f>
        <v>ARABEL CLAUDIA BEATRIZ</v>
      </c>
      <c r="D1291" s="1" t="str">
        <f>IFERROR(__xludf.DUMMYFUNCTION("""COMPUTED_VALUE"""),"Lentes de STOCK")</f>
        <v>Lentes de STOCK</v>
      </c>
      <c r="E1291" s="1" t="str">
        <f>IFERROR(__xludf.DUMMYFUNCTION("""COMPUTED_VALUE"""),"RIVADAVIA Marcela L")</f>
        <v>RIVADAVIA Marcela L</v>
      </c>
      <c r="F1291" s="1" t="str">
        <f t="shared" si="1"/>
        <v>RIVADAVIA </v>
      </c>
      <c r="G1291" s="1" t="str">
        <f t="shared" si="2"/>
        <v>Marcela L</v>
      </c>
      <c r="H1291" s="1" t="str">
        <f>IFERROR(__xludf.DUMMYFUNCTION("""COMPUTED_VALUE"""),"7/2/2023, 17:00:00")</f>
        <v>7/2/2023, 17:00:00</v>
      </c>
      <c r="I1291" s="1" t="str">
        <f>IFERROR(__xludf.DUMMYFUNCTION("""COMPUTED_VALUE"""),"Recibido en Laboratorio")</f>
        <v>Recibido en Laboratorio</v>
      </c>
      <c r="J1291" s="1">
        <f t="shared" si="3"/>
        <v>2</v>
      </c>
      <c r="K1291" s="1" t="str">
        <f t="shared" si="4"/>
        <v>Nuestro Laboratorio esta trabajando en tus lentes, los entregaremos en la fecha acordada.</v>
      </c>
    </row>
    <row r="1292">
      <c r="A1292" s="1">
        <f>IFERROR(__xludf.DUMMYFUNCTION("""COMPUTED_VALUE"""),85842.0)</f>
        <v>85842</v>
      </c>
      <c r="B1292" s="5">
        <f>IFERROR(__xludf.DUMMYFUNCTION("""COMPUTED_VALUE"""),44957.41748060186)</f>
        <v>44957.41748</v>
      </c>
      <c r="C1292" s="1" t="str">
        <f>IFERROR(__xludf.DUMMYFUNCTION("""COMPUTED_VALUE"""),"Wanzo Anibal Rufino ")</f>
        <v>Wanzo Anibal Rufino </v>
      </c>
      <c r="D1292" s="1" t="str">
        <f>IFERROR(__xludf.DUMMYFUNCTION("""COMPUTED_VALUE"""),"Lentes de STOCK")</f>
        <v>Lentes de STOCK</v>
      </c>
      <c r="E1292" s="1" t="str">
        <f>IFERROR(__xludf.DUMMYFUNCTION("""COMPUTED_VALUE"""),"ARTIGAS Roció")</f>
        <v>ARTIGAS Roció</v>
      </c>
      <c r="F1292" s="1" t="str">
        <f t="shared" si="1"/>
        <v>ARTIGAS </v>
      </c>
      <c r="G1292" s="1" t="str">
        <f t="shared" si="2"/>
        <v>Roció</v>
      </c>
      <c r="H1292" s="1" t="str">
        <f>IFERROR(__xludf.DUMMYFUNCTION("""COMPUTED_VALUE"""),"10/2/2023, 17:00:00")</f>
        <v>10/2/2023, 17:00:00</v>
      </c>
      <c r="I1292" s="1" t="str">
        <f>IFERROR(__xludf.DUMMYFUNCTION("""COMPUTED_VALUE"""),"RETIRADO OK POR CLIENTE")</f>
        <v>RETIRADO OK POR CLIENTE</v>
      </c>
      <c r="J1292" s="1">
        <f t="shared" si="3"/>
        <v>6</v>
      </c>
      <c r="K1292" s="1" t="str">
        <f t="shared" si="4"/>
        <v>Entregamos tus lentes, que los disfrutes!</v>
      </c>
    </row>
    <row r="1293">
      <c r="A1293" s="1">
        <f>IFERROR(__xludf.DUMMYFUNCTION("""COMPUTED_VALUE"""),85843.0)</f>
        <v>85843</v>
      </c>
      <c r="B1293" s="5">
        <f>IFERROR(__xludf.DUMMYFUNCTION("""COMPUTED_VALUE"""),44957.41921451389)</f>
        <v>44957.41921</v>
      </c>
      <c r="C1293" s="1" t="str">
        <f>IFERROR(__xludf.DUMMYFUNCTION("""COMPUTED_VALUE"""),"ALANIZ SANDRA")</f>
        <v>ALANIZ SANDRA</v>
      </c>
      <c r="D1293" s="1" t="str">
        <f>IFERROR(__xludf.DUMMYFUNCTION("""COMPUTED_VALUE"""),"Reparaciones/Otros")</f>
        <v>Reparaciones/Otros</v>
      </c>
      <c r="E1293" s="1" t="str">
        <f>IFERROR(__xludf.DUMMYFUNCTION("""COMPUTED_VALUE"""),"RIVADAVIA Daniel CM")</f>
        <v>RIVADAVIA Daniel CM</v>
      </c>
      <c r="F1293" s="1" t="str">
        <f t="shared" si="1"/>
        <v>RIVADAVIA </v>
      </c>
      <c r="G1293" s="1" t="str">
        <f t="shared" si="2"/>
        <v>Daniel CM</v>
      </c>
      <c r="H1293" s="1" t="str">
        <f>IFERROR(__xludf.DUMMYFUNCTION("""COMPUTED_VALUE"""),"1/2/2023, 17:00:00")</f>
        <v>1/2/2023, 17:00:00</v>
      </c>
      <c r="I1293" s="1" t="str">
        <f>IFERROR(__xludf.DUMMYFUNCTION("""COMPUTED_VALUE"""),"Completado en SUCURSAL")</f>
        <v>Completado en SUCURSAL</v>
      </c>
      <c r="J1293" s="1">
        <f t="shared" si="3"/>
        <v>5</v>
      </c>
      <c r="K1293" s="1" t="str">
        <f t="shared" si="4"/>
        <v>Tus Lentes estan LISTAS PARA ENTREGAR, te esperamos.</v>
      </c>
    </row>
    <row r="1294">
      <c r="A1294" s="1">
        <f>IFERROR(__xludf.DUMMYFUNCTION("""COMPUTED_VALUE"""),85844.0)</f>
        <v>85844</v>
      </c>
      <c r="B1294" s="5">
        <f>IFERROR(__xludf.DUMMYFUNCTION("""COMPUTED_VALUE"""),44957.421558437505)</f>
        <v>44957.42156</v>
      </c>
      <c r="C1294" s="1" t="str">
        <f>IFERROR(__xludf.DUMMYFUNCTION("""COMPUTED_VALUE"""),"MARTIN RAQUEL")</f>
        <v>MARTIN RAQUEL</v>
      </c>
      <c r="D1294" s="1" t="str">
        <f>IFERROR(__xludf.DUMMYFUNCTION("""COMPUTED_VALUE"""),"Reparaciones/Otros")</f>
        <v>Reparaciones/Otros</v>
      </c>
      <c r="E1294" s="1" t="str">
        <f>IFERROR(__xludf.DUMMYFUNCTION("""COMPUTED_VALUE"""),"RIVADAVIA Marcela L")</f>
        <v>RIVADAVIA Marcela L</v>
      </c>
      <c r="F1294" s="1" t="str">
        <f t="shared" si="1"/>
        <v>RIVADAVIA </v>
      </c>
      <c r="G1294" s="1" t="str">
        <f t="shared" si="2"/>
        <v>Marcela L</v>
      </c>
      <c r="H1294" s="1" t="str">
        <f>IFERROR(__xludf.DUMMYFUNCTION("""COMPUTED_VALUE"""),"1/2/2023, 17:00:00")</f>
        <v>1/2/2023, 17:00:00</v>
      </c>
      <c r="I1294" s="1" t="str">
        <f>IFERROR(__xludf.DUMMYFUNCTION("""COMPUTED_VALUE"""),"Completado en SUCURSAL")</f>
        <v>Completado en SUCURSAL</v>
      </c>
      <c r="J1294" s="1">
        <f t="shared" si="3"/>
        <v>5</v>
      </c>
      <c r="K1294" s="1" t="str">
        <f t="shared" si="4"/>
        <v>Tus Lentes estan LISTAS PARA ENTREGAR, te esperamos.</v>
      </c>
    </row>
    <row r="1295">
      <c r="A1295" s="1">
        <f>IFERROR(__xludf.DUMMYFUNCTION("""COMPUTED_VALUE"""),85845.0)</f>
        <v>85845</v>
      </c>
      <c r="B1295" s="5">
        <f>IFERROR(__xludf.DUMMYFUNCTION("""COMPUTED_VALUE"""),44957.42195319444)</f>
        <v>44957.42195</v>
      </c>
      <c r="C1295" s="1" t="str">
        <f>IFERROR(__xludf.DUMMYFUNCTION("""COMPUTED_VALUE"""),"GUEVARA VICTOR HUGO")</f>
        <v>GUEVARA VICTOR HUGO</v>
      </c>
      <c r="D1295" s="1" t="str">
        <f>IFERROR(__xludf.DUMMYFUNCTION("""COMPUTED_VALUE"""),"Lentes BIFOCALES")</f>
        <v>Lentes BIFOCALES</v>
      </c>
      <c r="E1295" s="1" t="str">
        <f>IFERROR(__xludf.DUMMYFUNCTION("""COMPUTED_VALUE"""),"ARTIGAS Cristian C.")</f>
        <v>ARTIGAS Cristian C.</v>
      </c>
      <c r="F1295" s="1" t="str">
        <f t="shared" si="1"/>
        <v>ARTIGAS </v>
      </c>
      <c r="G1295" s="1" t="str">
        <f t="shared" si="2"/>
        <v>Cristian C.</v>
      </c>
      <c r="H1295" s="1" t="str">
        <f>IFERROR(__xludf.DUMMYFUNCTION("""COMPUTED_VALUE"""),"8/2/2023, 17:00:00")</f>
        <v>8/2/2023, 17:00:00</v>
      </c>
      <c r="I1295" s="1" t="str">
        <f>IFERROR(__xludf.DUMMYFUNCTION("""COMPUTED_VALUE"""),"RETIRADO OK POR CLIENTE")</f>
        <v>RETIRADO OK POR CLIENTE</v>
      </c>
      <c r="J1295" s="1">
        <f t="shared" si="3"/>
        <v>6</v>
      </c>
      <c r="K1295" s="1" t="str">
        <f t="shared" si="4"/>
        <v>Entregamos tus lentes, que los disfrutes!</v>
      </c>
    </row>
    <row r="1296">
      <c r="A1296" s="1">
        <f>IFERROR(__xludf.DUMMYFUNCTION("""COMPUTED_VALUE"""),85846.0)</f>
        <v>85846</v>
      </c>
      <c r="B1296" s="5">
        <f>IFERROR(__xludf.DUMMYFUNCTION("""COMPUTED_VALUE"""),44957.42762994213)</f>
        <v>44957.42763</v>
      </c>
      <c r="C1296" s="1" t="str">
        <f>IFERROR(__xludf.DUMMYFUNCTION("""COMPUTED_VALUE"""),"Suarez Juan")</f>
        <v>Suarez Juan</v>
      </c>
      <c r="D1296" s="1" t="str">
        <f>IFERROR(__xludf.DUMMYFUNCTION("""COMPUTED_VALUE"""),"Reparaciones/Otros")</f>
        <v>Reparaciones/Otros</v>
      </c>
      <c r="E1296" s="1" t="str">
        <f>IFERROR(__xludf.DUMMYFUNCTION("""COMPUTED_VALUE"""),"ARTIGAS Sandra G")</f>
        <v>ARTIGAS Sandra G</v>
      </c>
      <c r="F1296" s="1" t="str">
        <f t="shared" si="1"/>
        <v>ARTIGAS </v>
      </c>
      <c r="G1296" s="1" t="str">
        <f t="shared" si="2"/>
        <v>Sandra G</v>
      </c>
      <c r="H1296" s="1" t="str">
        <f>IFERROR(__xludf.DUMMYFUNCTION("""COMPUTED_VALUE"""),"2/2/2023, 17:00:00")</f>
        <v>2/2/2023, 17:00:00</v>
      </c>
      <c r="I1296" s="1" t="str">
        <f>IFERROR(__xludf.DUMMYFUNCTION("""COMPUTED_VALUE"""),"Completado en SUCURSAL")</f>
        <v>Completado en SUCURSAL</v>
      </c>
      <c r="J1296" s="1">
        <f t="shared" si="3"/>
        <v>5</v>
      </c>
      <c r="K1296" s="1" t="str">
        <f t="shared" si="4"/>
        <v>Tus Lentes estan LISTAS PARA ENTREGAR, te esperamos.</v>
      </c>
    </row>
    <row r="1297">
      <c r="A1297" s="1">
        <f>IFERROR(__xludf.DUMMYFUNCTION("""COMPUTED_VALUE"""),85847.0)</f>
        <v>85847</v>
      </c>
      <c r="B1297" s="5">
        <f>IFERROR(__xludf.DUMMYFUNCTION("""COMPUTED_VALUE"""),44957.4310471412)</f>
        <v>44957.43105</v>
      </c>
      <c r="C1297" s="1" t="str">
        <f>IFERROR(__xludf.DUMMYFUNCTION("""COMPUTED_VALUE"""),"Lima Carina")</f>
        <v>Lima Carina</v>
      </c>
      <c r="D1297" s="1" t="str">
        <f>IFERROR(__xludf.DUMMYFUNCTION("""COMPUTED_VALUE"""),"Reparaciones/Otros")</f>
        <v>Reparaciones/Otros</v>
      </c>
      <c r="E1297" s="1" t="str">
        <f>IFERROR(__xludf.DUMMYFUNCTION("""COMPUTED_VALUE"""),"ARTIGAS Roció")</f>
        <v>ARTIGAS Roció</v>
      </c>
      <c r="F1297" s="1" t="str">
        <f t="shared" si="1"/>
        <v>ARTIGAS </v>
      </c>
      <c r="G1297" s="1" t="str">
        <f t="shared" si="2"/>
        <v>Roció</v>
      </c>
      <c r="H1297" s="1" t="str">
        <f>IFERROR(__xludf.DUMMYFUNCTION("""COMPUTED_VALUE"""),"1/2/2023, 17:00:00")</f>
        <v>1/2/2023, 17:00:00</v>
      </c>
      <c r="I1297" s="1" t="str">
        <f>IFERROR(__xludf.DUMMYFUNCTION("""COMPUTED_VALUE"""),"Completado en SUCURSAL")</f>
        <v>Completado en SUCURSAL</v>
      </c>
      <c r="J1297" s="1">
        <f t="shared" si="3"/>
        <v>5</v>
      </c>
      <c r="K1297" s="1" t="str">
        <f t="shared" si="4"/>
        <v>Tus Lentes estan LISTAS PARA ENTREGAR, te esperamos.</v>
      </c>
    </row>
    <row r="1298">
      <c r="A1298" s="1">
        <f>IFERROR(__xludf.DUMMYFUNCTION("""COMPUTED_VALUE"""),85848.0)</f>
        <v>85848</v>
      </c>
      <c r="B1298" s="5">
        <f>IFERROR(__xludf.DUMMYFUNCTION("""COMPUTED_VALUE"""),44957.43359486111)</f>
        <v>44957.43359</v>
      </c>
      <c r="C1298" s="1" t="str">
        <f>IFERROR(__xludf.DUMMYFUNCTION("""COMPUTED_VALUE"""),"MUÑOZ OSCAR")</f>
        <v>MUÑOZ OSCAR</v>
      </c>
      <c r="D1298" s="1" t="str">
        <f>IFERROR(__xludf.DUMMYFUNCTION("""COMPUTED_VALUE"""),"Reparaciones/Otros")</f>
        <v>Reparaciones/Otros</v>
      </c>
      <c r="E1298" s="1" t="str">
        <f>IFERROR(__xludf.DUMMYFUNCTION("""COMPUTED_VALUE"""),"RIVADAVIA Santiago N")</f>
        <v>RIVADAVIA Santiago N</v>
      </c>
      <c r="F1298" s="1" t="str">
        <f t="shared" si="1"/>
        <v>RIVADAVIA </v>
      </c>
      <c r="G1298" s="1" t="str">
        <f t="shared" si="2"/>
        <v>Santiago N</v>
      </c>
      <c r="H1298" s="1" t="str">
        <f>IFERROR(__xludf.DUMMYFUNCTION("""COMPUTED_VALUE"""),"1/2/2023, 17:00:00")</f>
        <v>1/2/2023, 17:00:00</v>
      </c>
      <c r="I1298" s="1" t="str">
        <f>IFERROR(__xludf.DUMMYFUNCTION("""COMPUTED_VALUE"""),"Completado en SUCURSAL")</f>
        <v>Completado en SUCURSAL</v>
      </c>
      <c r="J1298" s="1">
        <f t="shared" si="3"/>
        <v>5</v>
      </c>
      <c r="K1298" s="1" t="str">
        <f t="shared" si="4"/>
        <v>Tus Lentes estan LISTAS PARA ENTREGAR, te esperamos.</v>
      </c>
    </row>
    <row r="1299">
      <c r="A1299" s="1">
        <f>IFERROR(__xludf.DUMMYFUNCTION("""COMPUTED_VALUE"""),85849.0)</f>
        <v>85849</v>
      </c>
      <c r="B1299" s="5">
        <f>IFERROR(__xludf.DUMMYFUNCTION("""COMPUTED_VALUE"""),44957.43462372685)</f>
        <v>44957.43462</v>
      </c>
      <c r="C1299" s="1" t="str">
        <f>IFERROR(__xludf.DUMMYFUNCTION("""COMPUTED_VALUE"""),"MOLINA ISABEL NORMA")</f>
        <v>MOLINA ISABEL NORMA</v>
      </c>
      <c r="D1299" s="1" t="str">
        <f>IFERROR(__xludf.DUMMYFUNCTION("""COMPUTED_VALUE"""),"Lentes de STOCK")</f>
        <v>Lentes de STOCK</v>
      </c>
      <c r="E1299" s="1" t="str">
        <f>IFERROR(__xludf.DUMMYFUNCTION("""COMPUTED_VALUE"""),"RIVADAVIA Luciana")</f>
        <v>RIVADAVIA Luciana</v>
      </c>
      <c r="F1299" s="1" t="str">
        <f t="shared" si="1"/>
        <v>RIVADAVIA </v>
      </c>
      <c r="G1299" s="1" t="str">
        <f t="shared" si="2"/>
        <v>Luciana</v>
      </c>
      <c r="H1299" s="1" t="str">
        <f>IFERROR(__xludf.DUMMYFUNCTION("""COMPUTED_VALUE"""),"3/2/2023, 17:00:00")</f>
        <v>3/2/2023, 17:00:00</v>
      </c>
      <c r="I1299" s="1" t="str">
        <f>IFERROR(__xludf.DUMMYFUNCTION("""COMPUTED_VALUE"""),"RETIRADO OK POR CLIENTE")</f>
        <v>RETIRADO OK POR CLIENTE</v>
      </c>
      <c r="J1299" s="1">
        <f t="shared" si="3"/>
        <v>6</v>
      </c>
      <c r="K1299" s="1" t="str">
        <f t="shared" si="4"/>
        <v>Entregamos tus lentes, que los disfrutes!</v>
      </c>
    </row>
    <row r="1300">
      <c r="A1300" s="1">
        <f>IFERROR(__xludf.DUMMYFUNCTION("""COMPUTED_VALUE"""),85850.0)</f>
        <v>85850</v>
      </c>
      <c r="B1300" s="5">
        <f>IFERROR(__xludf.DUMMYFUNCTION("""COMPUTED_VALUE"""),44957.4368230324)</f>
        <v>44957.43682</v>
      </c>
      <c r="C1300" s="1" t="str">
        <f>IFERROR(__xludf.DUMMYFUNCTION("""COMPUTED_VALUE"""),"moyano segundo")</f>
        <v>moyano segundo</v>
      </c>
      <c r="D1300" s="1" t="str">
        <f>IFERROR(__xludf.DUMMYFUNCTION("""COMPUTED_VALUE"""),"Lentes de STOCK")</f>
        <v>Lentes de STOCK</v>
      </c>
      <c r="E1300" s="1" t="str">
        <f>IFERROR(__xludf.DUMMYFUNCTION("""COMPUTED_VALUE"""),"RIVADAVIA Santiago N")</f>
        <v>RIVADAVIA Santiago N</v>
      </c>
      <c r="F1300" s="1" t="str">
        <f t="shared" si="1"/>
        <v>RIVADAVIA </v>
      </c>
      <c r="G1300" s="1" t="str">
        <f t="shared" si="2"/>
        <v>Santiago N</v>
      </c>
      <c r="H1300" s="1" t="str">
        <f>IFERROR(__xludf.DUMMYFUNCTION("""COMPUTED_VALUE"""),"2/2/2023, 17:00:00")</f>
        <v>2/2/2023, 17:00:00</v>
      </c>
      <c r="I1300" s="1" t="str">
        <f>IFERROR(__xludf.DUMMYFUNCTION("""COMPUTED_VALUE"""),"RETIRADO OK POR CLIENTE")</f>
        <v>RETIRADO OK POR CLIENTE</v>
      </c>
      <c r="J1300" s="1">
        <f t="shared" si="3"/>
        <v>6</v>
      </c>
      <c r="K1300" s="1" t="str">
        <f t="shared" si="4"/>
        <v>Entregamos tus lentes, que los disfrutes!</v>
      </c>
    </row>
    <row r="1301">
      <c r="A1301" s="1">
        <f>IFERROR(__xludf.DUMMYFUNCTION("""COMPUTED_VALUE"""),85851.0)</f>
        <v>85851</v>
      </c>
      <c r="B1301" s="5">
        <f>IFERROR(__xludf.DUMMYFUNCTION("""COMPUTED_VALUE"""),44957.43688355324)</f>
        <v>44957.43688</v>
      </c>
      <c r="C1301" s="1" t="str">
        <f>IFERROR(__xludf.DUMMYFUNCTION("""COMPUTED_VALUE"""),"ESCOBAR MILAGROS")</f>
        <v>ESCOBAR MILAGROS</v>
      </c>
      <c r="D1301" s="1" t="str">
        <f>IFERROR(__xludf.DUMMYFUNCTION("""COMPUTED_VALUE"""),"Lentes de STOCK")</f>
        <v>Lentes de STOCK</v>
      </c>
      <c r="E1301" s="1" t="str">
        <f>IFERROR(__xludf.DUMMYFUNCTION("""COMPUTED_VALUE"""),"RIVADAVIA Santiago LOPEZ")</f>
        <v>RIVADAVIA Santiago LOPEZ</v>
      </c>
      <c r="F1301" s="1" t="str">
        <f t="shared" si="1"/>
        <v>RIVADAVIA </v>
      </c>
      <c r="G1301" s="1" t="str">
        <f t="shared" si="2"/>
        <v>Santiago LOPEZ</v>
      </c>
      <c r="H1301" s="1" t="str">
        <f>IFERROR(__xludf.DUMMYFUNCTION("""COMPUTED_VALUE"""),"3/2/2023, 17:00:00")</f>
        <v>3/2/2023, 17:00:00</v>
      </c>
      <c r="I1301" s="1" t="str">
        <f>IFERROR(__xludf.DUMMYFUNCTION("""COMPUTED_VALUE"""),"RETIRADO OK POR CLIENTE")</f>
        <v>RETIRADO OK POR CLIENTE</v>
      </c>
      <c r="J1301" s="1">
        <f t="shared" si="3"/>
        <v>6</v>
      </c>
      <c r="K1301" s="1" t="str">
        <f t="shared" si="4"/>
        <v>Entregamos tus lentes, que los disfrutes!</v>
      </c>
    </row>
    <row r="1302">
      <c r="A1302" s="1">
        <f>IFERROR(__xludf.DUMMYFUNCTION("""COMPUTED_VALUE"""),85852.0)</f>
        <v>85852</v>
      </c>
      <c r="B1302" s="5">
        <f>IFERROR(__xludf.DUMMYFUNCTION("""COMPUTED_VALUE"""),44957.43784628472)</f>
        <v>44957.43785</v>
      </c>
      <c r="C1302" s="1" t="str">
        <f>IFERROR(__xludf.DUMMYFUNCTION("""COMPUTED_VALUE"""),"GONZALEZ LUJAN MILAGROS")</f>
        <v>GONZALEZ LUJAN MILAGROS</v>
      </c>
      <c r="D1302" s="1" t="str">
        <f>IFERROR(__xludf.DUMMYFUNCTION("""COMPUTED_VALUE"""),"Lentes de STOCK")</f>
        <v>Lentes de STOCK</v>
      </c>
      <c r="E1302" s="1" t="str">
        <f>IFERROR(__xludf.DUMMYFUNCTION("""COMPUTED_VALUE"""),"RIVADAVIA Marcela L")</f>
        <v>RIVADAVIA Marcela L</v>
      </c>
      <c r="F1302" s="1" t="str">
        <f t="shared" si="1"/>
        <v>RIVADAVIA </v>
      </c>
      <c r="G1302" s="1" t="str">
        <f t="shared" si="2"/>
        <v>Marcela L</v>
      </c>
      <c r="H1302" s="1" t="str">
        <f>IFERROR(__xludf.DUMMYFUNCTION("""COMPUTED_VALUE"""),"3/2/2023, 17:00:00")</f>
        <v>3/2/2023, 17:00:00</v>
      </c>
      <c r="I1302" s="1" t="str">
        <f>IFERROR(__xludf.DUMMYFUNCTION("""COMPUTED_VALUE"""),"Enviado a Sucursal")</f>
        <v>Enviado a Sucursal</v>
      </c>
      <c r="J1302" s="1">
        <f t="shared" si="3"/>
        <v>4</v>
      </c>
      <c r="K1302" s="1" t="str">
        <f t="shared" si="4"/>
        <v>Tus lentes estan viajando a la sucursal para su entrega.</v>
      </c>
    </row>
    <row r="1303">
      <c r="A1303" s="1">
        <f>IFERROR(__xludf.DUMMYFUNCTION("""COMPUTED_VALUE"""),85853.0)</f>
        <v>85853</v>
      </c>
      <c r="B1303" s="5">
        <f>IFERROR(__xludf.DUMMYFUNCTION("""COMPUTED_VALUE"""),44957.43845376157)</f>
        <v>44957.43845</v>
      </c>
      <c r="C1303" s="1" t="str">
        <f>IFERROR(__xludf.DUMMYFUNCTION("""COMPUTED_VALUE"""),"CABAÑEZ RUTH")</f>
        <v>CABAÑEZ RUTH</v>
      </c>
      <c r="D1303" s="1" t="str">
        <f>IFERROR(__xludf.DUMMYFUNCTION("""COMPUTED_VALUE"""),"Reparaciones/Otros")</f>
        <v>Reparaciones/Otros</v>
      </c>
      <c r="E1303" s="1" t="str">
        <f>IFERROR(__xludf.DUMMYFUNCTION("""COMPUTED_VALUE"""),"RIVADAVIA Marcela L")</f>
        <v>RIVADAVIA Marcela L</v>
      </c>
      <c r="F1303" s="1" t="str">
        <f t="shared" si="1"/>
        <v>RIVADAVIA </v>
      </c>
      <c r="G1303" s="1" t="str">
        <f t="shared" si="2"/>
        <v>Marcela L</v>
      </c>
      <c r="H1303" s="1" t="str">
        <f>IFERROR(__xludf.DUMMYFUNCTION("""COMPUTED_VALUE"""),"1/2/2023, 17:00:00")</f>
        <v>1/2/2023, 17:00:00</v>
      </c>
      <c r="I1303" s="1" t="str">
        <f>IFERROR(__xludf.DUMMYFUNCTION("""COMPUTED_VALUE"""),"Completado en SUCURSAL")</f>
        <v>Completado en SUCURSAL</v>
      </c>
      <c r="J1303" s="1">
        <f t="shared" si="3"/>
        <v>5</v>
      </c>
      <c r="K1303" s="1" t="str">
        <f t="shared" si="4"/>
        <v>Tus Lentes estan LISTAS PARA ENTREGAR, te esperamos.</v>
      </c>
    </row>
    <row r="1304">
      <c r="A1304" s="1">
        <f>IFERROR(__xludf.DUMMYFUNCTION("""COMPUTED_VALUE"""),85854.0)</f>
        <v>85854</v>
      </c>
      <c r="B1304" s="5">
        <f>IFERROR(__xludf.DUMMYFUNCTION("""COMPUTED_VALUE"""),44957.43911274306)</f>
        <v>44957.43911</v>
      </c>
      <c r="C1304" s="1" t="str">
        <f>IFERROR(__xludf.DUMMYFUNCTION("""COMPUTED_VALUE"""),"berardo pablo")</f>
        <v>berardo pablo</v>
      </c>
      <c r="D1304" s="1" t="str">
        <f>IFERROR(__xludf.DUMMYFUNCTION("""COMPUTED_VALUE"""),"Lentes de STOCK")</f>
        <v>Lentes de STOCK</v>
      </c>
      <c r="E1304" s="1" t="str">
        <f>IFERROR(__xludf.DUMMYFUNCTION("""COMPUTED_VALUE"""),"RIVADAVIA Santiago N")</f>
        <v>RIVADAVIA Santiago N</v>
      </c>
      <c r="F1304" s="1" t="str">
        <f t="shared" si="1"/>
        <v>RIVADAVIA </v>
      </c>
      <c r="G1304" s="1" t="str">
        <f t="shared" si="2"/>
        <v>Santiago N</v>
      </c>
      <c r="H1304" s="1" t="str">
        <f>IFERROR(__xludf.DUMMYFUNCTION("""COMPUTED_VALUE"""),"2/2/2023, 17:00:00")</f>
        <v>2/2/2023, 17:00:00</v>
      </c>
      <c r="I1304" s="1" t="str">
        <f>IFERROR(__xludf.DUMMYFUNCTION("""COMPUTED_VALUE"""),"Completado en SUCURSAL")</f>
        <v>Completado en SUCURSAL</v>
      </c>
      <c r="J1304" s="1">
        <f t="shared" si="3"/>
        <v>5</v>
      </c>
      <c r="K1304" s="1" t="str">
        <f t="shared" si="4"/>
        <v>Tus Lentes estan LISTAS PARA ENTREGAR, te esperamos.</v>
      </c>
    </row>
    <row r="1305">
      <c r="A1305" s="1">
        <f>IFERROR(__xludf.DUMMYFUNCTION("""COMPUTED_VALUE"""),85855.0)</f>
        <v>85855</v>
      </c>
      <c r="B1305" s="5">
        <f>IFERROR(__xludf.DUMMYFUNCTION("""COMPUTED_VALUE"""),44957.44110440972)</f>
        <v>44957.4411</v>
      </c>
      <c r="C1305" s="1" t="str">
        <f>IFERROR(__xludf.DUMMYFUNCTION("""COMPUTED_VALUE"""),"QUINTANA GRACIELA")</f>
        <v>QUINTANA GRACIELA</v>
      </c>
      <c r="D1305" s="1" t="str">
        <f>IFERROR(__xludf.DUMMYFUNCTION("""COMPUTED_VALUE"""),"Lentes de STOCK")</f>
        <v>Lentes de STOCK</v>
      </c>
      <c r="E1305" s="1" t="str">
        <f>IFERROR(__xludf.DUMMYFUNCTION("""COMPUTED_VALUE"""),"RIVADAVIA Santiago LOPEZ")</f>
        <v>RIVADAVIA Santiago LOPEZ</v>
      </c>
      <c r="F1305" s="1" t="str">
        <f t="shared" si="1"/>
        <v>RIVADAVIA </v>
      </c>
      <c r="G1305" s="1" t="str">
        <f t="shared" si="2"/>
        <v>Santiago LOPEZ</v>
      </c>
      <c r="H1305" s="1" t="str">
        <f>IFERROR(__xludf.DUMMYFUNCTION("""COMPUTED_VALUE"""),"3/2/2023, 17:00:00")</f>
        <v>3/2/2023, 17:00:00</v>
      </c>
      <c r="I1305" s="1" t="str">
        <f>IFERROR(__xludf.DUMMYFUNCTION("""COMPUTED_VALUE"""),"RETIRADO OK POR CLIENTE")</f>
        <v>RETIRADO OK POR CLIENTE</v>
      </c>
      <c r="J1305" s="1">
        <f t="shared" si="3"/>
        <v>6</v>
      </c>
      <c r="K1305" s="1" t="str">
        <f t="shared" si="4"/>
        <v>Entregamos tus lentes, que los disfrutes!</v>
      </c>
    </row>
    <row r="1306">
      <c r="A1306" s="1">
        <f>IFERROR(__xludf.DUMMYFUNCTION("""COMPUTED_VALUE"""),85856.0)</f>
        <v>85856</v>
      </c>
      <c r="B1306" s="5">
        <f>IFERROR(__xludf.DUMMYFUNCTION("""COMPUTED_VALUE"""),44957.44834123843)</f>
        <v>44957.44834</v>
      </c>
      <c r="C1306" s="1" t="str">
        <f>IFERROR(__xludf.DUMMYFUNCTION("""COMPUTED_VALUE"""),"SOSA LUCIA")</f>
        <v>SOSA LUCIA</v>
      </c>
      <c r="D1306" s="1" t="str">
        <f>IFERROR(__xludf.DUMMYFUNCTION("""COMPUTED_VALUE"""),"Lentes de STOCK")</f>
        <v>Lentes de STOCK</v>
      </c>
      <c r="E1306" s="1" t="str">
        <f>IFERROR(__xludf.DUMMYFUNCTION("""COMPUTED_VALUE"""),"RIVADAVIA Luciana")</f>
        <v>RIVADAVIA Luciana</v>
      </c>
      <c r="F1306" s="1" t="str">
        <f t="shared" si="1"/>
        <v>RIVADAVIA </v>
      </c>
      <c r="G1306" s="1" t="str">
        <f t="shared" si="2"/>
        <v>Luciana</v>
      </c>
      <c r="H1306" s="1" t="str">
        <f>IFERROR(__xludf.DUMMYFUNCTION("""COMPUTED_VALUE"""),"3/2/2023, 17:00:00")</f>
        <v>3/2/2023, 17:00:00</v>
      </c>
      <c r="I1306" s="1" t="str">
        <f>IFERROR(__xludf.DUMMYFUNCTION("""COMPUTED_VALUE"""),"RETIRADO OK POR CLIENTE")</f>
        <v>RETIRADO OK POR CLIENTE</v>
      </c>
      <c r="J1306" s="1">
        <f t="shared" si="3"/>
        <v>6</v>
      </c>
      <c r="K1306" s="1" t="str">
        <f t="shared" si="4"/>
        <v>Entregamos tus lentes, que los disfrutes!</v>
      </c>
    </row>
    <row r="1307">
      <c r="A1307" s="1">
        <f>IFERROR(__xludf.DUMMYFUNCTION("""COMPUTED_VALUE"""),85857.0)</f>
        <v>85857</v>
      </c>
      <c r="B1307" s="5">
        <f>IFERROR(__xludf.DUMMYFUNCTION("""COMPUTED_VALUE"""),44957.45117270833)</f>
        <v>44957.45117</v>
      </c>
      <c r="C1307" s="1" t="str">
        <f>IFERROR(__xludf.DUMMYFUNCTION("""COMPUTED_VALUE"""),"De Battista Erika ")</f>
        <v>De Battista Erika </v>
      </c>
      <c r="D1307" s="1" t="str">
        <f>IFERROR(__xludf.DUMMYFUNCTION("""COMPUTED_VALUE"""),"Lentes de STOCK")</f>
        <v>Lentes de STOCK</v>
      </c>
      <c r="E1307" s="1" t="str">
        <f>IFERROR(__xludf.DUMMYFUNCTION("""COMPUTED_VALUE"""),"ARTIGAS Roció")</f>
        <v>ARTIGAS Roció</v>
      </c>
      <c r="F1307" s="1" t="str">
        <f t="shared" si="1"/>
        <v>ARTIGAS </v>
      </c>
      <c r="G1307" s="1" t="str">
        <f t="shared" si="2"/>
        <v>Roció</v>
      </c>
      <c r="H1307" s="1" t="str">
        <f>IFERROR(__xludf.DUMMYFUNCTION("""COMPUTED_VALUE"""),"7/2/2023, 17:00:00")</f>
        <v>7/2/2023, 17:00:00</v>
      </c>
      <c r="I1307" s="1" t="str">
        <f>IFERROR(__xludf.DUMMYFUNCTION("""COMPUTED_VALUE"""),"RETIRADO OK POR CLIENTE")</f>
        <v>RETIRADO OK POR CLIENTE</v>
      </c>
      <c r="J1307" s="1">
        <f t="shared" si="3"/>
        <v>6</v>
      </c>
      <c r="K1307" s="1" t="str">
        <f t="shared" si="4"/>
        <v>Entregamos tus lentes, que los disfrutes!</v>
      </c>
    </row>
    <row r="1308">
      <c r="A1308" s="1">
        <f>IFERROR(__xludf.DUMMYFUNCTION("""COMPUTED_VALUE"""),85858.0)</f>
        <v>85858</v>
      </c>
      <c r="B1308" s="5">
        <f>IFERROR(__xludf.DUMMYFUNCTION("""COMPUTED_VALUE"""),44957.453882905094)</f>
        <v>44957.45388</v>
      </c>
      <c r="C1308" s="1" t="str">
        <f>IFERROR(__xludf.DUMMYFUNCTION("""COMPUTED_VALUE"""),"DOMINGUEZ SANITIAGO")</f>
        <v>DOMINGUEZ SANITIAGO</v>
      </c>
      <c r="D1308" s="1" t="str">
        <f>IFERROR(__xludf.DUMMYFUNCTION("""COMPUTED_VALUE"""),"Lentes de STOCK")</f>
        <v>Lentes de STOCK</v>
      </c>
      <c r="E1308" s="1" t="str">
        <f>IFERROR(__xludf.DUMMYFUNCTION("""COMPUTED_VALUE"""),"RIVADAVIA Santiago LOPEZ")</f>
        <v>RIVADAVIA Santiago LOPEZ</v>
      </c>
      <c r="F1308" s="1" t="str">
        <f t="shared" si="1"/>
        <v>RIVADAVIA </v>
      </c>
      <c r="G1308" s="1" t="str">
        <f t="shared" si="2"/>
        <v>Santiago LOPEZ</v>
      </c>
      <c r="H1308" s="1" t="str">
        <f>IFERROR(__xludf.DUMMYFUNCTION("""COMPUTED_VALUE"""),"3/2/2023, 17:00:00")</f>
        <v>3/2/2023, 17:00:00</v>
      </c>
      <c r="I1308" s="1" t="str">
        <f>IFERROR(__xludf.DUMMYFUNCTION("""COMPUTED_VALUE"""),"Completado en SUCURSAL")</f>
        <v>Completado en SUCURSAL</v>
      </c>
      <c r="J1308" s="1">
        <f t="shared" si="3"/>
        <v>5</v>
      </c>
      <c r="K1308" s="1" t="str">
        <f t="shared" si="4"/>
        <v>Tus Lentes estan LISTAS PARA ENTREGAR, te esperamos.</v>
      </c>
    </row>
    <row r="1309">
      <c r="A1309" s="1">
        <f>IFERROR(__xludf.DUMMYFUNCTION("""COMPUTED_VALUE"""),85859.0)</f>
        <v>85859</v>
      </c>
      <c r="B1309" s="5">
        <f>IFERROR(__xludf.DUMMYFUNCTION("""COMPUTED_VALUE"""),44957.45853920139)</f>
        <v>44957.45854</v>
      </c>
      <c r="C1309" s="1" t="str">
        <f>IFERROR(__xludf.DUMMYFUNCTION("""COMPUTED_VALUE"""),"delicias dario")</f>
        <v>delicias dario</v>
      </c>
      <c r="D1309" s="1" t="str">
        <f>IFERROR(__xludf.DUMMYFUNCTION("""COMPUTED_VALUE"""),"Lentes de STOCK")</f>
        <v>Lentes de STOCK</v>
      </c>
      <c r="E1309" s="1" t="str">
        <f>IFERROR(__xludf.DUMMYFUNCTION("""COMPUTED_VALUE"""),"ARTIGAS Cristian C.")</f>
        <v>ARTIGAS Cristian C.</v>
      </c>
      <c r="F1309" s="1" t="str">
        <f t="shared" si="1"/>
        <v>ARTIGAS </v>
      </c>
      <c r="G1309" s="1" t="str">
        <f t="shared" si="2"/>
        <v>Cristian C.</v>
      </c>
      <c r="H1309" s="1" t="str">
        <f>IFERROR(__xludf.DUMMYFUNCTION("""COMPUTED_VALUE"""),"7/2/2023, 17:00:00")</f>
        <v>7/2/2023, 17:00:00</v>
      </c>
      <c r="I1309" s="1" t="str">
        <f>IFERROR(__xludf.DUMMYFUNCTION("""COMPUTED_VALUE"""),"RETIRADO OK POR CLIENTE")</f>
        <v>RETIRADO OK POR CLIENTE</v>
      </c>
      <c r="J1309" s="1">
        <f t="shared" si="3"/>
        <v>6</v>
      </c>
      <c r="K1309" s="1" t="str">
        <f t="shared" si="4"/>
        <v>Entregamos tus lentes, que los disfrutes!</v>
      </c>
    </row>
    <row r="1310">
      <c r="A1310" s="1">
        <f>IFERROR(__xludf.DUMMYFUNCTION("""COMPUTED_VALUE"""),85860.0)</f>
        <v>85860</v>
      </c>
      <c r="B1310" s="5">
        <f>IFERROR(__xludf.DUMMYFUNCTION("""COMPUTED_VALUE"""),44957.45995671296)</f>
        <v>44957.45996</v>
      </c>
      <c r="C1310" s="1" t="str">
        <f>IFERROR(__xludf.DUMMYFUNCTION("""COMPUTED_VALUE"""),"FERNANDEZ DEBORA")</f>
        <v>FERNANDEZ DEBORA</v>
      </c>
      <c r="D1310" s="1" t="str">
        <f>IFERROR(__xludf.DUMMYFUNCTION("""COMPUTED_VALUE"""),"Lentes de STOCK")</f>
        <v>Lentes de STOCK</v>
      </c>
      <c r="E1310" s="1" t="str">
        <f>IFERROR(__xludf.DUMMYFUNCTION("""COMPUTED_VALUE"""),"RIVADAVIA Santiago LOPEZ")</f>
        <v>RIVADAVIA Santiago LOPEZ</v>
      </c>
      <c r="F1310" s="1" t="str">
        <f t="shared" si="1"/>
        <v>RIVADAVIA </v>
      </c>
      <c r="G1310" s="1" t="str">
        <f t="shared" si="2"/>
        <v>Santiago LOPEZ</v>
      </c>
      <c r="H1310" s="1" t="str">
        <f>IFERROR(__xludf.DUMMYFUNCTION("""COMPUTED_VALUE"""),"3/2/2023, 17:00:00")</f>
        <v>3/2/2023, 17:00:00</v>
      </c>
      <c r="I1310" s="1" t="str">
        <f>IFERROR(__xludf.DUMMYFUNCTION("""COMPUTED_VALUE"""),"Completado en SUCURSAL")</f>
        <v>Completado en SUCURSAL</v>
      </c>
      <c r="J1310" s="1">
        <f t="shared" si="3"/>
        <v>5</v>
      </c>
      <c r="K1310" s="1" t="str">
        <f t="shared" si="4"/>
        <v>Tus Lentes estan LISTAS PARA ENTREGAR, te esperamos.</v>
      </c>
    </row>
    <row r="1311">
      <c r="A1311" s="1">
        <f>IFERROR(__xludf.DUMMYFUNCTION("""COMPUTED_VALUE"""),85861.0)</f>
        <v>85861</v>
      </c>
      <c r="B1311" s="5">
        <f>IFERROR(__xludf.DUMMYFUNCTION("""COMPUTED_VALUE"""),44957.46043302084)</f>
        <v>44957.46043</v>
      </c>
      <c r="C1311" s="1" t="str">
        <f>IFERROR(__xludf.DUMMYFUNCTION("""COMPUTED_VALUE"""),"RODRIGUEZ NOEMI")</f>
        <v>RODRIGUEZ NOEMI</v>
      </c>
      <c r="D1311" s="1" t="str">
        <f>IFERROR(__xludf.DUMMYFUNCTION("""COMPUTED_VALUE"""),"Reparaciones/Otros")</f>
        <v>Reparaciones/Otros</v>
      </c>
      <c r="E1311" s="1" t="str">
        <f>IFERROR(__xludf.DUMMYFUNCTION("""COMPUTED_VALUE"""),"RIVADAVIA Luciana")</f>
        <v>RIVADAVIA Luciana</v>
      </c>
      <c r="F1311" s="1" t="str">
        <f t="shared" si="1"/>
        <v>RIVADAVIA </v>
      </c>
      <c r="G1311" s="1" t="str">
        <f t="shared" si="2"/>
        <v>Luciana</v>
      </c>
      <c r="H1311" s="1" t="str">
        <f>IFERROR(__xludf.DUMMYFUNCTION("""COMPUTED_VALUE"""),"2/2/2023, 17:00:00")</f>
        <v>2/2/2023, 17:00:00</v>
      </c>
      <c r="I1311" s="1" t="str">
        <f>IFERROR(__xludf.DUMMYFUNCTION("""COMPUTED_VALUE"""),"Completado en SUCURSAL")</f>
        <v>Completado en SUCURSAL</v>
      </c>
      <c r="J1311" s="1">
        <f t="shared" si="3"/>
        <v>5</v>
      </c>
      <c r="K1311" s="1" t="str">
        <f t="shared" si="4"/>
        <v>Tus Lentes estan LISTAS PARA ENTREGAR, te esperamos.</v>
      </c>
    </row>
    <row r="1312">
      <c r="A1312" s="1">
        <f>IFERROR(__xludf.DUMMYFUNCTION("""COMPUTED_VALUE"""),85862.0)</f>
        <v>85862</v>
      </c>
      <c r="B1312" s="5">
        <f>IFERROR(__xludf.DUMMYFUNCTION("""COMPUTED_VALUE"""),44957.46694380787)</f>
        <v>44957.46694</v>
      </c>
      <c r="C1312" s="1" t="str">
        <f>IFERROR(__xludf.DUMMYFUNCTION("""COMPUTED_VALUE"""),"Correa Gervasoni Martina Belen")</f>
        <v>Correa Gervasoni Martina Belen</v>
      </c>
      <c r="D1312" s="1" t="str">
        <f>IFERROR(__xludf.DUMMYFUNCTION("""COMPUTED_VALUE"""),"Lentes de STOCK")</f>
        <v>Lentes de STOCK</v>
      </c>
      <c r="E1312" s="1" t="str">
        <f>IFERROR(__xludf.DUMMYFUNCTION("""COMPUTED_VALUE"""),"ARTIGAS Roció")</f>
        <v>ARTIGAS Roció</v>
      </c>
      <c r="F1312" s="1" t="str">
        <f t="shared" si="1"/>
        <v>ARTIGAS </v>
      </c>
      <c r="G1312" s="1" t="str">
        <f t="shared" si="2"/>
        <v>Roció</v>
      </c>
      <c r="H1312" s="1" t="str">
        <f>IFERROR(__xludf.DUMMYFUNCTION("""COMPUTED_VALUE"""),"7/2/2023, 17:00:00")</f>
        <v>7/2/2023, 17:00:00</v>
      </c>
      <c r="I1312" s="1" t="str">
        <f>IFERROR(__xludf.DUMMYFUNCTION("""COMPUTED_VALUE"""),"Recibido en Laboratorio")</f>
        <v>Recibido en Laboratorio</v>
      </c>
      <c r="J1312" s="1">
        <f t="shared" si="3"/>
        <v>2</v>
      </c>
      <c r="K1312" s="1" t="str">
        <f t="shared" si="4"/>
        <v>Nuestro Laboratorio esta trabajando en tus lentes, los entregaremos en la fecha acordada.</v>
      </c>
    </row>
    <row r="1313">
      <c r="A1313" s="1">
        <f>IFERROR(__xludf.DUMMYFUNCTION("""COMPUTED_VALUE"""),85863.0)</f>
        <v>85863</v>
      </c>
      <c r="B1313" s="5">
        <f>IFERROR(__xludf.DUMMYFUNCTION("""COMPUTED_VALUE"""),44957.47694719907)</f>
        <v>44957.47695</v>
      </c>
      <c r="C1313" s="1" t="str">
        <f>IFERROR(__xludf.DUMMYFUNCTION("""COMPUTED_VALUE"""),"Orozco Mabel")</f>
        <v>Orozco Mabel</v>
      </c>
      <c r="D1313" s="1" t="str">
        <f>IFERROR(__xludf.DUMMYFUNCTION("""COMPUTED_VALUE"""),"Reparaciones/Otros")</f>
        <v>Reparaciones/Otros</v>
      </c>
      <c r="E1313" s="1" t="str">
        <f>IFERROR(__xludf.DUMMYFUNCTION("""COMPUTED_VALUE"""),"RIVADAVIA Rocio B")</f>
        <v>RIVADAVIA Rocio B</v>
      </c>
      <c r="F1313" s="1" t="str">
        <f t="shared" si="1"/>
        <v>RIVADAVIA </v>
      </c>
      <c r="G1313" s="1" t="str">
        <f t="shared" si="2"/>
        <v>Rocio B</v>
      </c>
      <c r="H1313" s="1" t="str">
        <f>IFERROR(__xludf.DUMMYFUNCTION("""COMPUTED_VALUE"""),"3/2/2023, 17:00:00")</f>
        <v>3/2/2023, 17:00:00</v>
      </c>
      <c r="I1313" s="1" t="str">
        <f>IFERROR(__xludf.DUMMYFUNCTION("""COMPUTED_VALUE"""),"Completado en SUCURSAL")</f>
        <v>Completado en SUCURSAL</v>
      </c>
      <c r="J1313" s="1">
        <f t="shared" si="3"/>
        <v>5</v>
      </c>
      <c r="K1313" s="1" t="str">
        <f t="shared" si="4"/>
        <v>Tus Lentes estan LISTAS PARA ENTREGAR, te esperamos.</v>
      </c>
    </row>
    <row r="1314">
      <c r="A1314" s="1">
        <f>IFERROR(__xludf.DUMMYFUNCTION("""COMPUTED_VALUE"""),85864.0)</f>
        <v>85864</v>
      </c>
      <c r="B1314" s="5">
        <f>IFERROR(__xludf.DUMMYFUNCTION("""COMPUTED_VALUE"""),44957.47991258102)</f>
        <v>44957.47991</v>
      </c>
      <c r="C1314" s="1" t="str">
        <f>IFERROR(__xludf.DUMMYFUNCTION("""COMPUTED_VALUE"""),"AGUERO JOSE")</f>
        <v>AGUERO JOSE</v>
      </c>
      <c r="D1314" s="1" t="str">
        <f>IFERROR(__xludf.DUMMYFUNCTION("""COMPUTED_VALUE"""),"Lentes de STOCK")</f>
        <v>Lentes de STOCK</v>
      </c>
      <c r="E1314" s="1" t="str">
        <f>IFERROR(__xludf.DUMMYFUNCTION("""COMPUTED_VALUE"""),"ARTIGAS Cristian C.")</f>
        <v>ARTIGAS Cristian C.</v>
      </c>
      <c r="F1314" s="1" t="str">
        <f t="shared" si="1"/>
        <v>ARTIGAS </v>
      </c>
      <c r="G1314" s="1" t="str">
        <f t="shared" si="2"/>
        <v>Cristian C.</v>
      </c>
      <c r="H1314" s="1" t="str">
        <f>IFERROR(__xludf.DUMMYFUNCTION("""COMPUTED_VALUE"""),"7/2/2023, 17:00:00")</f>
        <v>7/2/2023, 17:00:00</v>
      </c>
      <c r="I1314" s="1" t="str">
        <f>IFERROR(__xludf.DUMMYFUNCTION("""COMPUTED_VALUE"""),"Recibido en Laboratorio")</f>
        <v>Recibido en Laboratorio</v>
      </c>
      <c r="J1314" s="1">
        <f t="shared" si="3"/>
        <v>2</v>
      </c>
      <c r="K1314" s="1" t="str">
        <f t="shared" si="4"/>
        <v>Nuestro Laboratorio esta trabajando en tus lentes, los entregaremos en la fecha acordada.</v>
      </c>
    </row>
    <row r="1315">
      <c r="A1315" s="1">
        <f>IFERROR(__xludf.DUMMYFUNCTION("""COMPUTED_VALUE"""),85865.0)</f>
        <v>85865</v>
      </c>
      <c r="B1315" s="5">
        <f>IFERROR(__xludf.DUMMYFUNCTION("""COMPUTED_VALUE"""),44957.48005329861)</f>
        <v>44957.48005</v>
      </c>
      <c r="C1315" s="1" t="str">
        <f>IFERROR(__xludf.DUMMYFUNCTION("""COMPUTED_VALUE"""),"GIMENEZ MARIA TERESA")</f>
        <v>GIMENEZ MARIA TERESA</v>
      </c>
      <c r="D1315" s="1" t="str">
        <f>IFERROR(__xludf.DUMMYFUNCTION("""COMPUTED_VALUE"""),"Lentes BIFOCALES")</f>
        <v>Lentes BIFOCALES</v>
      </c>
      <c r="E1315" s="1" t="str">
        <f>IFERROR(__xludf.DUMMYFUNCTION("""COMPUTED_VALUE"""),"RIVADAVIA Marcela L")</f>
        <v>RIVADAVIA Marcela L</v>
      </c>
      <c r="F1315" s="1" t="str">
        <f t="shared" si="1"/>
        <v>RIVADAVIA </v>
      </c>
      <c r="G1315" s="1" t="str">
        <f t="shared" si="2"/>
        <v>Marcela L</v>
      </c>
      <c r="H1315" s="1" t="str">
        <f>IFERROR(__xludf.DUMMYFUNCTION("""COMPUTED_VALUE"""),"3/2/2023, 17:00:00")</f>
        <v>3/2/2023, 17:00:00</v>
      </c>
      <c r="I1315" s="1" t="str">
        <f>IFERROR(__xludf.DUMMYFUNCTION("""COMPUTED_VALUE"""),"Completado en SUCURSAL")</f>
        <v>Completado en SUCURSAL</v>
      </c>
      <c r="J1315" s="1">
        <f t="shared" si="3"/>
        <v>5</v>
      </c>
      <c r="K1315" s="1" t="str">
        <f t="shared" si="4"/>
        <v>Tus Lentes estan LISTAS PARA ENTREGAR, te esperamos.</v>
      </c>
    </row>
    <row r="1316">
      <c r="A1316" s="1">
        <f>IFERROR(__xludf.DUMMYFUNCTION("""COMPUTED_VALUE"""),85866.0)</f>
        <v>85866</v>
      </c>
      <c r="B1316" s="5">
        <f>IFERROR(__xludf.DUMMYFUNCTION("""COMPUTED_VALUE"""),44957.48136618055)</f>
        <v>44957.48137</v>
      </c>
      <c r="C1316" s="1" t="str">
        <f>IFERROR(__xludf.DUMMYFUNCTION("""COMPUTED_VALUE"""),"sivitkiewicz Angelica")</f>
        <v>sivitkiewicz Angelica</v>
      </c>
      <c r="D1316" s="1" t="str">
        <f>IFERROR(__xludf.DUMMYFUNCTION("""COMPUTED_VALUE"""),"Reparaciones/Otros")</f>
        <v>Reparaciones/Otros</v>
      </c>
      <c r="E1316" s="1" t="str">
        <f>IFERROR(__xludf.DUMMYFUNCTION("""COMPUTED_VALUE"""),"ARTIGAS Sandra G")</f>
        <v>ARTIGAS Sandra G</v>
      </c>
      <c r="F1316" s="1" t="str">
        <f t="shared" si="1"/>
        <v>ARTIGAS </v>
      </c>
      <c r="G1316" s="1" t="str">
        <f t="shared" si="2"/>
        <v>Sandra G</v>
      </c>
      <c r="H1316" s="1" t="str">
        <f>IFERROR(__xludf.DUMMYFUNCTION("""COMPUTED_VALUE"""),"6/2/2023, 17:00:00")</f>
        <v>6/2/2023, 17:00:00</v>
      </c>
      <c r="I1316" s="1" t="str">
        <f>IFERROR(__xludf.DUMMYFUNCTION("""COMPUTED_VALUE"""),"Recibido en Laboratorio")</f>
        <v>Recibido en Laboratorio</v>
      </c>
      <c r="J1316" s="1">
        <f t="shared" si="3"/>
        <v>2</v>
      </c>
      <c r="K1316" s="1" t="str">
        <f t="shared" si="4"/>
        <v>Nuestro Laboratorio esta trabajando en tus lentes, los entregaremos en la fecha acordada.</v>
      </c>
    </row>
    <row r="1317">
      <c r="A1317" s="1">
        <f>IFERROR(__xludf.DUMMYFUNCTION("""COMPUTED_VALUE"""),85867.0)</f>
        <v>85867</v>
      </c>
      <c r="B1317" s="5">
        <f>IFERROR(__xludf.DUMMYFUNCTION("""COMPUTED_VALUE"""),44957.48316366898)</f>
        <v>44957.48316</v>
      </c>
      <c r="C1317" s="1" t="str">
        <f>IFERROR(__xludf.DUMMYFUNCTION("""COMPUTED_VALUE"""),"RIOS LUIS")</f>
        <v>RIOS LUIS</v>
      </c>
      <c r="D1317" s="1" t="str">
        <f>IFERROR(__xludf.DUMMYFUNCTION("""COMPUTED_VALUE"""),"Reparaciones/Otros")</f>
        <v>Reparaciones/Otros</v>
      </c>
      <c r="E1317" s="1" t="str">
        <f>IFERROR(__xludf.DUMMYFUNCTION("""COMPUTED_VALUE"""),"RIVADAVIA Marcela L")</f>
        <v>RIVADAVIA Marcela L</v>
      </c>
      <c r="F1317" s="1" t="str">
        <f t="shared" si="1"/>
        <v>RIVADAVIA </v>
      </c>
      <c r="G1317" s="1" t="str">
        <f t="shared" si="2"/>
        <v>Marcela L</v>
      </c>
      <c r="H1317" s="1" t="str">
        <f>IFERROR(__xludf.DUMMYFUNCTION("""COMPUTED_VALUE"""),"1/2/2023, 17:00:00")</f>
        <v>1/2/2023, 17:00:00</v>
      </c>
      <c r="I1317" s="1" t="str">
        <f>IFERROR(__xludf.DUMMYFUNCTION("""COMPUTED_VALUE"""),"Completado en SUCURSAL")</f>
        <v>Completado en SUCURSAL</v>
      </c>
      <c r="J1317" s="1">
        <f t="shared" si="3"/>
        <v>5</v>
      </c>
      <c r="K1317" s="1" t="str">
        <f t="shared" si="4"/>
        <v>Tus Lentes estan LISTAS PARA ENTREGAR, te esperamos.</v>
      </c>
    </row>
    <row r="1318">
      <c r="A1318" s="1">
        <f>IFERROR(__xludf.DUMMYFUNCTION("""COMPUTED_VALUE"""),85868.0)</f>
        <v>85868</v>
      </c>
      <c r="B1318" s="5">
        <f>IFERROR(__xludf.DUMMYFUNCTION("""COMPUTED_VALUE"""),44957.483250081015)</f>
        <v>44957.48325</v>
      </c>
      <c r="C1318" s="1" t="str">
        <f>IFERROR(__xludf.DUMMYFUNCTION("""COMPUTED_VALUE"""),"FRIAS ELVA")</f>
        <v>FRIAS ELVA</v>
      </c>
      <c r="D1318" s="1" t="str">
        <f>IFERROR(__xludf.DUMMYFUNCTION("""COMPUTED_VALUE"""),"Reparaciones/Otros")</f>
        <v>Reparaciones/Otros</v>
      </c>
      <c r="E1318" s="1" t="str">
        <f>IFERROR(__xludf.DUMMYFUNCTION("""COMPUTED_VALUE"""),"RIVADAVIA Santiago LOPEZ")</f>
        <v>RIVADAVIA Santiago LOPEZ</v>
      </c>
      <c r="F1318" s="1" t="str">
        <f t="shared" si="1"/>
        <v>RIVADAVIA </v>
      </c>
      <c r="G1318" s="1" t="str">
        <f t="shared" si="2"/>
        <v>Santiago LOPEZ</v>
      </c>
      <c r="H1318" s="1" t="str">
        <f>IFERROR(__xludf.DUMMYFUNCTION("""COMPUTED_VALUE"""),"1/2/2023, 17:00:00")</f>
        <v>1/2/2023, 17:00:00</v>
      </c>
      <c r="I1318" s="1" t="str">
        <f>IFERROR(__xludf.DUMMYFUNCTION("""COMPUTED_VALUE"""),"Completado en SUCURSAL")</f>
        <v>Completado en SUCURSAL</v>
      </c>
      <c r="J1318" s="1">
        <f t="shared" si="3"/>
        <v>5</v>
      </c>
      <c r="K1318" s="1" t="str">
        <f t="shared" si="4"/>
        <v>Tus Lentes estan LISTAS PARA ENTREGAR, te esperamos.</v>
      </c>
    </row>
    <row r="1319">
      <c r="A1319" s="1">
        <f>IFERROR(__xludf.DUMMYFUNCTION("""COMPUTED_VALUE"""),85869.0)</f>
        <v>85869</v>
      </c>
      <c r="B1319" s="5">
        <f>IFERROR(__xludf.DUMMYFUNCTION("""COMPUTED_VALUE"""),44957.487204363424)</f>
        <v>44957.4872</v>
      </c>
      <c r="C1319" s="1" t="str">
        <f>IFERROR(__xludf.DUMMYFUNCTION("""COMPUTED_VALUE"""),"QUATROCHI MAIRA")</f>
        <v>QUATROCHI MAIRA</v>
      </c>
      <c r="D1319" s="1" t="str">
        <f>IFERROR(__xludf.DUMMYFUNCTION("""COMPUTED_VALUE"""),"Reparaciones/Otros")</f>
        <v>Reparaciones/Otros</v>
      </c>
      <c r="E1319" s="1" t="str">
        <f>IFERROR(__xludf.DUMMYFUNCTION("""COMPUTED_VALUE"""),"ARTIGAS Cristian C.")</f>
        <v>ARTIGAS Cristian C.</v>
      </c>
      <c r="F1319" s="1" t="str">
        <f t="shared" si="1"/>
        <v>ARTIGAS </v>
      </c>
      <c r="G1319" s="1" t="str">
        <f t="shared" si="2"/>
        <v>Cristian C.</v>
      </c>
      <c r="H1319" s="1" t="str">
        <f>IFERROR(__xludf.DUMMYFUNCTION("""COMPUTED_VALUE"""),"3/2/2023, 17:00:00")</f>
        <v>3/2/2023, 17:00:00</v>
      </c>
      <c r="I1319" s="1" t="str">
        <f>IFERROR(__xludf.DUMMYFUNCTION("""COMPUTED_VALUE"""),"Completado en SUCURSAL")</f>
        <v>Completado en SUCURSAL</v>
      </c>
      <c r="J1319" s="1">
        <f t="shared" si="3"/>
        <v>5</v>
      </c>
      <c r="K1319" s="1" t="str">
        <f t="shared" si="4"/>
        <v>Tus Lentes estan LISTAS PARA ENTREGAR, te esperamos.</v>
      </c>
    </row>
    <row r="1320">
      <c r="A1320" s="1">
        <f>IFERROR(__xludf.DUMMYFUNCTION("""COMPUTED_VALUE"""),85870.0)</f>
        <v>85870</v>
      </c>
      <c r="B1320" s="5">
        <f>IFERROR(__xludf.DUMMYFUNCTION("""COMPUTED_VALUE"""),44957.50010994213)</f>
        <v>44957.50011</v>
      </c>
      <c r="C1320" s="1" t="str">
        <f>IFERROR(__xludf.DUMMYFUNCTION("""COMPUTED_VALUE"""),"Alcaraz Patricia")</f>
        <v>Alcaraz Patricia</v>
      </c>
      <c r="D1320" s="1" t="str">
        <f>IFERROR(__xludf.DUMMYFUNCTION("""COMPUTED_VALUE"""),"Reparaciones/Otros")</f>
        <v>Reparaciones/Otros</v>
      </c>
      <c r="E1320" s="1" t="str">
        <f>IFERROR(__xludf.DUMMYFUNCTION("""COMPUTED_VALUE"""),"ARTIGAS Sandra G")</f>
        <v>ARTIGAS Sandra G</v>
      </c>
      <c r="F1320" s="1" t="str">
        <f t="shared" si="1"/>
        <v>ARTIGAS </v>
      </c>
      <c r="G1320" s="1" t="str">
        <f t="shared" si="2"/>
        <v>Sandra G</v>
      </c>
      <c r="H1320" s="1" t="str">
        <f>IFERROR(__xludf.DUMMYFUNCTION("""COMPUTED_VALUE"""),"7/2/2023, 17:00:00")</f>
        <v>7/2/2023, 17:00:00</v>
      </c>
      <c r="I1320" s="1" t="str">
        <f>IFERROR(__xludf.DUMMYFUNCTION("""COMPUTED_VALUE"""),"Recibido en Laboratorio")</f>
        <v>Recibido en Laboratorio</v>
      </c>
      <c r="J1320" s="1">
        <f t="shared" si="3"/>
        <v>2</v>
      </c>
      <c r="K1320" s="1" t="str">
        <f t="shared" si="4"/>
        <v>Nuestro Laboratorio esta trabajando en tus lentes, los entregaremos en la fecha acordada.</v>
      </c>
    </row>
    <row r="1321">
      <c r="A1321" s="1">
        <f>IFERROR(__xludf.DUMMYFUNCTION("""COMPUTED_VALUE"""),85871.0)</f>
        <v>85871</v>
      </c>
      <c r="B1321" s="5">
        <f>IFERROR(__xludf.DUMMYFUNCTION("""COMPUTED_VALUE"""),44957.50211315972)</f>
        <v>44957.50211</v>
      </c>
      <c r="C1321" s="1" t="str">
        <f>IFERROR(__xludf.DUMMYFUNCTION("""COMPUTED_VALUE"""),"MUÑOZ JOSE  KC OC OK")</f>
        <v>MUÑOZ JOSE  KC OC OK</v>
      </c>
      <c r="D1321" s="1" t="str">
        <f>IFERROR(__xludf.DUMMYFUNCTION("""COMPUTED_VALUE"""),"Lentes MULTIFOCALES")</f>
        <v>Lentes MULTIFOCALES</v>
      </c>
      <c r="E1321" s="1" t="str">
        <f>IFERROR(__xludf.DUMMYFUNCTION("""COMPUTED_VALUE"""),"ARTIGAS Ivana P.")</f>
        <v>ARTIGAS Ivana P.</v>
      </c>
      <c r="F1321" s="1" t="str">
        <f t="shared" si="1"/>
        <v>ARTIGAS </v>
      </c>
      <c r="G1321" s="1" t="str">
        <f t="shared" si="2"/>
        <v>Ivana P.</v>
      </c>
      <c r="H1321" s="1" t="str">
        <f>IFERROR(__xludf.DUMMYFUNCTION("""COMPUTED_VALUE"""),"13/2/2023, 17:00:00")</f>
        <v>13/2/2023, 17:00:00</v>
      </c>
      <c r="I1321" s="1" t="str">
        <f>IFERROR(__xludf.DUMMYFUNCTION("""COMPUTED_VALUE"""),"Recibido en Laboratorio")</f>
        <v>Recibido en Laboratorio</v>
      </c>
      <c r="J1321" s="1">
        <f t="shared" si="3"/>
        <v>2</v>
      </c>
      <c r="K1321" s="1" t="str">
        <f t="shared" si="4"/>
        <v>Nuestro Laboratorio esta trabajando en tus lentes, los entregaremos en la fecha acordada.</v>
      </c>
    </row>
    <row r="1322">
      <c r="A1322" s="1">
        <f>IFERROR(__xludf.DUMMYFUNCTION("""COMPUTED_VALUE"""),85872.0)</f>
        <v>85872</v>
      </c>
      <c r="B1322" s="5">
        <f>IFERROR(__xludf.DUMMYFUNCTION("""COMPUTED_VALUE"""),44957.50979405093)</f>
        <v>44957.50979</v>
      </c>
      <c r="C1322" s="1" t="str">
        <f>IFERROR(__xludf.DUMMYFUNCTION("""COMPUTED_VALUE"""),"Lucero Miriam Beatriz")</f>
        <v>Lucero Miriam Beatriz</v>
      </c>
      <c r="D1322" s="1" t="str">
        <f>IFERROR(__xludf.DUMMYFUNCTION("""COMPUTED_VALUE"""),"Lentes de STOCK")</f>
        <v>Lentes de STOCK</v>
      </c>
      <c r="E1322" s="1" t="str">
        <f>IFERROR(__xludf.DUMMYFUNCTION("""COMPUTED_VALUE"""),"ARTIGAS Roció")</f>
        <v>ARTIGAS Roció</v>
      </c>
      <c r="F1322" s="1" t="str">
        <f t="shared" si="1"/>
        <v>ARTIGAS </v>
      </c>
      <c r="G1322" s="1" t="str">
        <f t="shared" si="2"/>
        <v>Roció</v>
      </c>
      <c r="H1322" s="1" t="str">
        <f>IFERROR(__xludf.DUMMYFUNCTION("""COMPUTED_VALUE"""),"3/2/2023, 17:00:00")</f>
        <v>3/2/2023, 17:00:00</v>
      </c>
      <c r="I1322" s="1" t="str">
        <f>IFERROR(__xludf.DUMMYFUNCTION("""COMPUTED_VALUE"""),"Completado en SUCURSAL")</f>
        <v>Completado en SUCURSAL</v>
      </c>
      <c r="J1322" s="1">
        <f t="shared" si="3"/>
        <v>5</v>
      </c>
      <c r="K1322" s="1" t="str">
        <f t="shared" si="4"/>
        <v>Tus Lentes estan LISTAS PARA ENTREGAR, te esperamos.</v>
      </c>
    </row>
    <row r="1323">
      <c r="A1323" s="1">
        <f>IFERROR(__xludf.DUMMYFUNCTION("""COMPUTED_VALUE"""),85873.0)</f>
        <v>85873</v>
      </c>
      <c r="B1323" s="5">
        <f>IFERROR(__xludf.DUMMYFUNCTION("""COMPUTED_VALUE"""),44957.51419030092)</f>
        <v>44957.51419</v>
      </c>
      <c r="C1323" s="1" t="str">
        <f>IFERROR(__xludf.DUMMYFUNCTION("""COMPUTED_VALUE"""),"SOSA MARIA DEL CARMEN")</f>
        <v>SOSA MARIA DEL CARMEN</v>
      </c>
      <c r="D1323" s="1" t="str">
        <f>IFERROR(__xludf.DUMMYFUNCTION("""COMPUTED_VALUE"""),"Reparaciones/Otros")</f>
        <v>Reparaciones/Otros</v>
      </c>
      <c r="E1323" s="1" t="str">
        <f>IFERROR(__xludf.DUMMYFUNCTION("""COMPUTED_VALUE"""),"RIVADAVIA Santiago LOPEZ")</f>
        <v>RIVADAVIA Santiago LOPEZ</v>
      </c>
      <c r="F1323" s="1" t="str">
        <f t="shared" si="1"/>
        <v>RIVADAVIA </v>
      </c>
      <c r="G1323" s="1" t="str">
        <f t="shared" si="2"/>
        <v>Santiago LOPEZ</v>
      </c>
      <c r="H1323" s="1" t="str">
        <f>IFERROR(__xludf.DUMMYFUNCTION("""COMPUTED_VALUE"""),"1/2/2023, 17:00:00")</f>
        <v>1/2/2023, 17:00:00</v>
      </c>
      <c r="I1323" s="1"/>
      <c r="J1323" s="1">
        <f t="shared" si="3"/>
        <v>0</v>
      </c>
      <c r="K1323" s="1" t="str">
        <f t="shared" si="4"/>
        <v/>
      </c>
    </row>
    <row r="1324" hidden="1">
      <c r="A1324" s="1">
        <f>IFERROR(__xludf.DUMMYFUNCTION("""COMPUTED_VALUE"""),85874.0)</f>
        <v>85874</v>
      </c>
      <c r="B1324" s="5">
        <f>IFERROR(__xludf.DUMMYFUNCTION("""COMPUTED_VALUE"""),44957.514218275464)</f>
        <v>44957.51422</v>
      </c>
      <c r="C1324" s="1" t="str">
        <f>IFERROR(__xludf.DUMMYFUNCTION("""COMPUTED_VALUE"""),"MOYANO NORMA GLADIS")</f>
        <v>MOYANO NORMA GLADIS</v>
      </c>
      <c r="D1324" s="1" t="str">
        <f>IFERROR(__xludf.DUMMYFUNCTION("""COMPUTED_VALUE"""),"Lentes de STOCK")</f>
        <v>Lentes de STOCK</v>
      </c>
      <c r="E1324" s="1" t="str">
        <f>IFERROR(__xludf.DUMMYFUNCTION("""COMPUTED_VALUE"""),"RIVADAVIA Marcela L")</f>
        <v>RIVADAVIA Marcela L</v>
      </c>
      <c r="F1324" s="1" t="str">
        <f t="shared" si="1"/>
        <v>RIVADAVIA </v>
      </c>
      <c r="G1324" s="1" t="str">
        <f t="shared" si="2"/>
        <v>Marcela L</v>
      </c>
      <c r="H1324" s="1" t="str">
        <f>IFERROR(__xludf.DUMMYFUNCTION("""COMPUTED_VALUE"""),"3/2/2023, 17:00:00")</f>
        <v>3/2/2023, 17:00:00</v>
      </c>
      <c r="I1324" s="1" t="str">
        <f>IFERROR(__xludf.DUMMYFUNCTION("""COMPUTED_VALUE"""),"DEMORADO")</f>
        <v>DEMORADO</v>
      </c>
      <c r="J1324" s="1" t="str">
        <f t="shared" si="3"/>
        <v/>
      </c>
      <c r="K1324" s="1" t="str">
        <f t="shared" si="4"/>
        <v>Tuvimos una demora con tus lentes y no podremos entregarlo en las fecha acordada, estamos trabajando para terminarlos cuanto antes, te mantendremos al tanto, si es necesario contactanos via whatsapp.</v>
      </c>
    </row>
    <row r="1325">
      <c r="A1325" s="1">
        <f>IFERROR(__xludf.DUMMYFUNCTION("""COMPUTED_VALUE"""),85875.0)</f>
        <v>85875</v>
      </c>
      <c r="B1325" s="5">
        <f>IFERROR(__xludf.DUMMYFUNCTION("""COMPUTED_VALUE"""),44957.52698902778)</f>
        <v>44957.52699</v>
      </c>
      <c r="C1325" s="1" t="str">
        <f>IFERROR(__xludf.DUMMYFUNCTION("""COMPUTED_VALUE"""),"Sosa Yolanda del Carmen")</f>
        <v>Sosa Yolanda del Carmen</v>
      </c>
      <c r="D1325" s="1" t="str">
        <f>IFERROR(__xludf.DUMMYFUNCTION("""COMPUTED_VALUE"""),"Lentes de STOCK")</f>
        <v>Lentes de STOCK</v>
      </c>
      <c r="E1325" s="1" t="str">
        <f>IFERROR(__xludf.DUMMYFUNCTION("""COMPUTED_VALUE"""),"ARTIGAS Roció")</f>
        <v>ARTIGAS Roció</v>
      </c>
      <c r="F1325" s="1" t="str">
        <f t="shared" si="1"/>
        <v>ARTIGAS </v>
      </c>
      <c r="G1325" s="1" t="str">
        <f t="shared" si="2"/>
        <v>Roció</v>
      </c>
      <c r="H1325" s="1" t="str">
        <f>IFERROR(__xludf.DUMMYFUNCTION("""COMPUTED_VALUE"""),"6/2/2023, 17:00:00")</f>
        <v>6/2/2023, 17:00:00</v>
      </c>
      <c r="I1325" s="1" t="str">
        <f>IFERROR(__xludf.DUMMYFUNCTION("""COMPUTED_VALUE"""),"Completado en SUCURSAL")</f>
        <v>Completado en SUCURSAL</v>
      </c>
      <c r="J1325" s="1">
        <f t="shared" si="3"/>
        <v>5</v>
      </c>
      <c r="K1325" s="1" t="str">
        <f t="shared" si="4"/>
        <v>Tus Lentes estan LISTAS PARA ENTREGAR, te esperamos.</v>
      </c>
    </row>
    <row r="1326">
      <c r="A1326" s="1">
        <f>IFERROR(__xludf.DUMMYFUNCTION("""COMPUTED_VALUE"""),85876.0)</f>
        <v>85876</v>
      </c>
      <c r="B1326" s="5">
        <f>IFERROR(__xludf.DUMMYFUNCTION("""COMPUTED_VALUE"""),44957.52796184028)</f>
        <v>44957.52796</v>
      </c>
      <c r="C1326" s="1" t="str">
        <f>IFERROR(__xludf.DUMMYFUNCTION("""COMPUTED_VALUE"""),"SUAREZ LISANDRO")</f>
        <v>SUAREZ LISANDRO</v>
      </c>
      <c r="D1326" s="1" t="str">
        <f>IFERROR(__xludf.DUMMYFUNCTION("""COMPUTED_VALUE"""),"Lentes de STOCK")</f>
        <v>Lentes de STOCK</v>
      </c>
      <c r="E1326" s="1" t="str">
        <f>IFERROR(__xludf.DUMMYFUNCTION("""COMPUTED_VALUE"""),"RIVADAVIA Santiago N")</f>
        <v>RIVADAVIA Santiago N</v>
      </c>
      <c r="F1326" s="1" t="str">
        <f t="shared" si="1"/>
        <v>RIVADAVIA </v>
      </c>
      <c r="G1326" s="1" t="str">
        <f t="shared" si="2"/>
        <v>Santiago N</v>
      </c>
      <c r="H1326" s="1" t="str">
        <f>IFERROR(__xludf.DUMMYFUNCTION("""COMPUTED_VALUE"""),"6/2/2023, 17:00:00")</f>
        <v>6/2/2023, 17:00:00</v>
      </c>
      <c r="I1326" s="1" t="str">
        <f>IFERROR(__xludf.DUMMYFUNCTION("""COMPUTED_VALUE"""),"RETIRADO OK POR CLIENTE")</f>
        <v>RETIRADO OK POR CLIENTE</v>
      </c>
      <c r="J1326" s="1">
        <f t="shared" si="3"/>
        <v>6</v>
      </c>
      <c r="K1326" s="1" t="str">
        <f t="shared" si="4"/>
        <v>Entregamos tus lentes, que los disfrutes!</v>
      </c>
    </row>
    <row r="1327">
      <c r="A1327" s="1">
        <f>IFERROR(__xludf.DUMMYFUNCTION("""COMPUTED_VALUE"""),85877.0)</f>
        <v>85877</v>
      </c>
      <c r="B1327" s="5">
        <f>IFERROR(__xludf.DUMMYFUNCTION("""COMPUTED_VALUE"""),44957.52840887732)</f>
        <v>44957.52841</v>
      </c>
      <c r="C1327" s="1" t="str">
        <f>IFERROR(__xludf.DUMMYFUNCTION("""COMPUTED_VALUE"""),"MORENO ELSA BEATRIZ")</f>
        <v>MORENO ELSA BEATRIZ</v>
      </c>
      <c r="D1327" s="1" t="str">
        <f>IFERROR(__xludf.DUMMYFUNCTION("""COMPUTED_VALUE"""),"Lentes BIFOCALES")</f>
        <v>Lentes BIFOCALES</v>
      </c>
      <c r="E1327" s="1" t="str">
        <f>IFERROR(__xludf.DUMMYFUNCTION("""COMPUTED_VALUE"""),"ARTIGAS Cristian C.")</f>
        <v>ARTIGAS Cristian C.</v>
      </c>
      <c r="F1327" s="1" t="str">
        <f t="shared" si="1"/>
        <v>ARTIGAS </v>
      </c>
      <c r="G1327" s="1" t="str">
        <f t="shared" si="2"/>
        <v>Cristian C.</v>
      </c>
      <c r="H1327" s="1" t="str">
        <f>IFERROR(__xludf.DUMMYFUNCTION("""COMPUTED_VALUE"""),"8/2/2023, 17:00:00")</f>
        <v>8/2/2023, 17:00:00</v>
      </c>
      <c r="I1327" s="1" t="str">
        <f>IFERROR(__xludf.DUMMYFUNCTION("""COMPUTED_VALUE"""),"Recibido en Laboratorio")</f>
        <v>Recibido en Laboratorio</v>
      </c>
      <c r="J1327" s="1">
        <f t="shared" si="3"/>
        <v>2</v>
      </c>
      <c r="K1327" s="1" t="str">
        <f t="shared" si="4"/>
        <v>Nuestro Laboratorio esta trabajando en tus lentes, los entregaremos en la fecha acordada.</v>
      </c>
    </row>
    <row r="1328">
      <c r="A1328" s="1">
        <f>IFERROR(__xludf.DUMMYFUNCTION("""COMPUTED_VALUE"""),85878.0)</f>
        <v>85878</v>
      </c>
      <c r="B1328" s="5">
        <f>IFERROR(__xludf.DUMMYFUNCTION("""COMPUTED_VALUE"""),44957.52895071759)</f>
        <v>44957.52895</v>
      </c>
      <c r="C1328" s="1" t="str">
        <f>IFERROR(__xludf.DUMMYFUNCTION("""COMPUTED_VALUE"""),"Rossa Gustavo Javier")</f>
        <v>Rossa Gustavo Javier</v>
      </c>
      <c r="D1328" s="1" t="str">
        <f>IFERROR(__xludf.DUMMYFUNCTION("""COMPUTED_VALUE"""),"Lentes de STOCK")</f>
        <v>Lentes de STOCK</v>
      </c>
      <c r="E1328" s="1" t="str">
        <f>IFERROR(__xludf.DUMMYFUNCTION("""COMPUTED_VALUE"""),"ARTIGAS Roció")</f>
        <v>ARTIGAS Roció</v>
      </c>
      <c r="F1328" s="1" t="str">
        <f t="shared" si="1"/>
        <v>ARTIGAS </v>
      </c>
      <c r="G1328" s="1" t="str">
        <f t="shared" si="2"/>
        <v>Roció</v>
      </c>
      <c r="H1328" s="1" t="str">
        <f>IFERROR(__xludf.DUMMYFUNCTION("""COMPUTED_VALUE"""),"6/2/2023, 17:00:00")</f>
        <v>6/2/2023, 17:00:00</v>
      </c>
      <c r="I1328" s="1" t="str">
        <f>IFERROR(__xludf.DUMMYFUNCTION("""COMPUTED_VALUE"""),"En Armado Hoy")</f>
        <v>En Armado Hoy</v>
      </c>
      <c r="J1328" s="1">
        <f t="shared" si="3"/>
        <v>3</v>
      </c>
      <c r="K1328" s="1" t="str">
        <f t="shared" si="4"/>
        <v>Estamos terminando los ultimos detalles de tus lentes, los terminaremos el dia de hoy.</v>
      </c>
    </row>
    <row r="1329">
      <c r="A1329" s="1">
        <f>IFERROR(__xludf.DUMMYFUNCTION("""COMPUTED_VALUE"""),85879.0)</f>
        <v>85879</v>
      </c>
      <c r="B1329" s="5">
        <f>IFERROR(__xludf.DUMMYFUNCTION("""COMPUTED_VALUE"""),44957.53986157407)</f>
        <v>44957.53986</v>
      </c>
      <c r="C1329" s="1" t="str">
        <f>IFERROR(__xludf.DUMMYFUNCTION("""COMPUTED_VALUE"""),"BAIGORRIA MATIAS ")</f>
        <v>BAIGORRIA MATIAS </v>
      </c>
      <c r="D1329" s="1" t="str">
        <f>IFERROR(__xludf.DUMMYFUNCTION("""COMPUTED_VALUE"""),"Reparaciones/Otros")</f>
        <v>Reparaciones/Otros</v>
      </c>
      <c r="E1329" s="1" t="str">
        <f>IFERROR(__xludf.DUMMYFUNCTION("""COMPUTED_VALUE"""),"ARTIGAS Cristian C.")</f>
        <v>ARTIGAS Cristian C.</v>
      </c>
      <c r="F1329" s="1" t="str">
        <f t="shared" si="1"/>
        <v>ARTIGAS </v>
      </c>
      <c r="G1329" s="1" t="str">
        <f t="shared" si="2"/>
        <v>Cristian C.</v>
      </c>
      <c r="H1329" s="1" t="str">
        <f>IFERROR(__xludf.DUMMYFUNCTION("""COMPUTED_VALUE"""),"2/2/2023, 17:00:00")</f>
        <v>2/2/2023, 17:00:00</v>
      </c>
      <c r="I1329" s="1" t="str">
        <f>IFERROR(__xludf.DUMMYFUNCTION("""COMPUTED_VALUE"""),"Completado en SUCURSAL")</f>
        <v>Completado en SUCURSAL</v>
      </c>
      <c r="J1329" s="1">
        <f t="shared" si="3"/>
        <v>5</v>
      </c>
      <c r="K1329" s="1" t="str">
        <f t="shared" si="4"/>
        <v>Tus Lentes estan LISTAS PARA ENTREGAR, te esperamos.</v>
      </c>
    </row>
    <row r="1330">
      <c r="A1330" s="1">
        <f>IFERROR(__xludf.DUMMYFUNCTION("""COMPUTED_VALUE"""),85880.0)</f>
        <v>85880</v>
      </c>
      <c r="B1330" s="5">
        <f>IFERROR(__xludf.DUMMYFUNCTION("""COMPUTED_VALUE"""),44957.74268512732)</f>
        <v>44957.74269</v>
      </c>
      <c r="C1330" s="1" t="str">
        <f>IFERROR(__xludf.DUMMYFUNCTION("""COMPUTED_VALUE"""),"ROMERO CARLOS ALBERTO")</f>
        <v>ROMERO CARLOS ALBERTO</v>
      </c>
      <c r="D1330" s="1" t="str">
        <f>IFERROR(__xludf.DUMMYFUNCTION("""COMPUTED_VALUE"""),"Lentes de STOCK")</f>
        <v>Lentes de STOCK</v>
      </c>
      <c r="E1330" s="1" t="str">
        <f>IFERROR(__xludf.DUMMYFUNCTION("""COMPUTED_VALUE"""),"ARTIGAS Cristian C.")</f>
        <v>ARTIGAS Cristian C.</v>
      </c>
      <c r="F1330" s="1" t="str">
        <f t="shared" si="1"/>
        <v>ARTIGAS </v>
      </c>
      <c r="G1330" s="1" t="str">
        <f t="shared" si="2"/>
        <v>Cristian C.</v>
      </c>
      <c r="H1330" s="1" t="str">
        <f>IFERROR(__xludf.DUMMYFUNCTION("""COMPUTED_VALUE"""),"3/2/2023, 17:00:00")</f>
        <v>3/2/2023, 17:00:00</v>
      </c>
      <c r="I1330" s="1" t="str">
        <f>IFERROR(__xludf.DUMMYFUNCTION("""COMPUTED_VALUE"""),"RETIRADO OK POR CLIENTE")</f>
        <v>RETIRADO OK POR CLIENTE</v>
      </c>
      <c r="J1330" s="1">
        <f t="shared" si="3"/>
        <v>6</v>
      </c>
      <c r="K1330" s="1" t="str">
        <f t="shared" si="4"/>
        <v>Entregamos tus lentes, que los disfrutes!</v>
      </c>
    </row>
    <row r="1331">
      <c r="A1331" s="1">
        <f>IFERROR(__xludf.DUMMYFUNCTION("""COMPUTED_VALUE"""),85881.0)</f>
        <v>85881</v>
      </c>
      <c r="B1331" s="5">
        <f>IFERROR(__xludf.DUMMYFUNCTION("""COMPUTED_VALUE"""),44957.762372048615)</f>
        <v>44957.76237</v>
      </c>
      <c r="C1331" s="1" t="str">
        <f>IFERROR(__xludf.DUMMYFUNCTION("""COMPUTED_VALUE"""),"OJEDA INGRID")</f>
        <v>OJEDA INGRID</v>
      </c>
      <c r="D1331" s="1" t="str">
        <f>IFERROR(__xludf.DUMMYFUNCTION("""COMPUTED_VALUE"""),"Lentes de STOCK")</f>
        <v>Lentes de STOCK</v>
      </c>
      <c r="E1331" s="1" t="str">
        <f>IFERROR(__xludf.DUMMYFUNCTION("""COMPUTED_VALUE"""),"RIVADAVIA Santiago LOPEZ")</f>
        <v>RIVADAVIA Santiago LOPEZ</v>
      </c>
      <c r="F1331" s="1" t="str">
        <f t="shared" si="1"/>
        <v>RIVADAVIA </v>
      </c>
      <c r="G1331" s="1" t="str">
        <f t="shared" si="2"/>
        <v>Santiago LOPEZ</v>
      </c>
      <c r="H1331" s="1" t="str">
        <f>IFERROR(__xludf.DUMMYFUNCTION("""COMPUTED_VALUE"""),"3/2/2023, 17:00:00")</f>
        <v>3/2/2023, 17:00:00</v>
      </c>
      <c r="I1331" s="1" t="str">
        <f>IFERROR(__xludf.DUMMYFUNCTION("""COMPUTED_VALUE"""),"RETIRADO OK POR CLIENTE")</f>
        <v>RETIRADO OK POR CLIENTE</v>
      </c>
      <c r="J1331" s="1">
        <f t="shared" si="3"/>
        <v>6</v>
      </c>
      <c r="K1331" s="1" t="str">
        <f t="shared" si="4"/>
        <v>Entregamos tus lentes, que los disfrutes!</v>
      </c>
    </row>
    <row r="1332">
      <c r="A1332" s="1">
        <f>IFERROR(__xludf.DUMMYFUNCTION("""COMPUTED_VALUE"""),85882.0)</f>
        <v>85882</v>
      </c>
      <c r="B1332" s="5">
        <f>IFERROR(__xludf.DUMMYFUNCTION("""COMPUTED_VALUE"""),44957.76330958333)</f>
        <v>44957.76331</v>
      </c>
      <c r="C1332" s="1" t="str">
        <f>IFERROR(__xludf.DUMMYFUNCTION("""COMPUTED_VALUE"""),"Gomez MARIA NOELIA")</f>
        <v>Gomez MARIA NOELIA</v>
      </c>
      <c r="D1332" s="1" t="str">
        <f>IFERROR(__xludf.DUMMYFUNCTION("""COMPUTED_VALUE"""),"Reparaciones/Otros")</f>
        <v>Reparaciones/Otros</v>
      </c>
      <c r="E1332" s="1" t="str">
        <f>IFERROR(__xludf.DUMMYFUNCTION("""COMPUTED_VALUE"""),"ARTIGAS Roció")</f>
        <v>ARTIGAS Roció</v>
      </c>
      <c r="F1332" s="1" t="str">
        <f t="shared" si="1"/>
        <v>ARTIGAS </v>
      </c>
      <c r="G1332" s="1" t="str">
        <f t="shared" si="2"/>
        <v>Roció</v>
      </c>
      <c r="H1332" s="1" t="str">
        <f>IFERROR(__xludf.DUMMYFUNCTION("""COMPUTED_VALUE"""),"1/2/2023, 17:00:00")</f>
        <v>1/2/2023, 17:00:00</v>
      </c>
      <c r="I1332" s="1" t="str">
        <f>IFERROR(__xludf.DUMMYFUNCTION("""COMPUTED_VALUE"""),"Completado en SUCURSAL")</f>
        <v>Completado en SUCURSAL</v>
      </c>
      <c r="J1332" s="1">
        <f t="shared" si="3"/>
        <v>5</v>
      </c>
      <c r="K1332" s="1" t="str">
        <f t="shared" si="4"/>
        <v>Tus Lentes estan LISTAS PARA ENTREGAR, te esperamos.</v>
      </c>
    </row>
    <row r="1333">
      <c r="A1333" s="1">
        <f>IFERROR(__xludf.DUMMYFUNCTION("""COMPUTED_VALUE"""),85883.0)</f>
        <v>85883</v>
      </c>
      <c r="B1333" s="5">
        <f>IFERROR(__xludf.DUMMYFUNCTION("""COMPUTED_VALUE"""),44957.77128079861)</f>
        <v>44957.77128</v>
      </c>
      <c r="C1333" s="1" t="str">
        <f>IFERROR(__xludf.DUMMYFUNCTION("""COMPUTED_VALUE"""),"VELAZQUEZ LEON ")</f>
        <v>VELAZQUEZ LEON </v>
      </c>
      <c r="D1333" s="1" t="str">
        <f>IFERROR(__xludf.DUMMYFUNCTION("""COMPUTED_VALUE"""),"Lentes de STOCK")</f>
        <v>Lentes de STOCK</v>
      </c>
      <c r="E1333" s="1" t="str">
        <f>IFERROR(__xludf.DUMMYFUNCTION("""COMPUTED_VALUE"""),"ARTIGAS Cristian C.")</f>
        <v>ARTIGAS Cristian C.</v>
      </c>
      <c r="F1333" s="1" t="str">
        <f t="shared" si="1"/>
        <v>ARTIGAS </v>
      </c>
      <c r="G1333" s="1" t="str">
        <f t="shared" si="2"/>
        <v>Cristian C.</v>
      </c>
      <c r="H1333" s="1" t="str">
        <f>IFERROR(__xludf.DUMMYFUNCTION("""COMPUTED_VALUE"""),"7/2/2023, 17:00:00")</f>
        <v>7/2/2023, 17:00:00</v>
      </c>
      <c r="I1333" s="1" t="str">
        <f>IFERROR(__xludf.DUMMYFUNCTION("""COMPUTED_VALUE"""),"Recibido en Laboratorio")</f>
        <v>Recibido en Laboratorio</v>
      </c>
      <c r="J1333" s="1">
        <f t="shared" si="3"/>
        <v>2</v>
      </c>
      <c r="K1333" s="1" t="str">
        <f t="shared" si="4"/>
        <v>Nuestro Laboratorio esta trabajando en tus lentes, los entregaremos en la fecha acordada.</v>
      </c>
    </row>
    <row r="1334">
      <c r="A1334" s="1">
        <f>IFERROR(__xludf.DUMMYFUNCTION("""COMPUTED_VALUE"""),85884.0)</f>
        <v>85884</v>
      </c>
      <c r="B1334" s="5">
        <f>IFERROR(__xludf.DUMMYFUNCTION("""COMPUTED_VALUE"""),44957.772327025465)</f>
        <v>44957.77233</v>
      </c>
      <c r="C1334" s="1" t="str">
        <f>IFERROR(__xludf.DUMMYFUNCTION("""COMPUTED_VALUE"""),"MOPYANO DANILO")</f>
        <v>MOPYANO DANILO</v>
      </c>
      <c r="D1334" s="1" t="str">
        <f>IFERROR(__xludf.DUMMYFUNCTION("""COMPUTED_VALUE"""),"Reparaciones/Otros")</f>
        <v>Reparaciones/Otros</v>
      </c>
      <c r="E1334" s="1" t="str">
        <f>IFERROR(__xludf.DUMMYFUNCTION("""COMPUTED_VALUE"""),"RIVADAVIA Javier")</f>
        <v>RIVADAVIA Javier</v>
      </c>
      <c r="F1334" s="1" t="str">
        <f t="shared" si="1"/>
        <v>RIVADAVIA </v>
      </c>
      <c r="G1334" s="1" t="str">
        <f t="shared" si="2"/>
        <v>Javier</v>
      </c>
      <c r="H1334" s="1" t="str">
        <f>IFERROR(__xludf.DUMMYFUNCTION("""COMPUTED_VALUE"""),"1/2/2023, 17:00:00")</f>
        <v>1/2/2023, 17:00:00</v>
      </c>
      <c r="I1334" s="1" t="str">
        <f>IFERROR(__xludf.DUMMYFUNCTION("""COMPUTED_VALUE"""),"Completado en SUCURSAL")</f>
        <v>Completado en SUCURSAL</v>
      </c>
      <c r="J1334" s="1">
        <f t="shared" si="3"/>
        <v>5</v>
      </c>
      <c r="K1334" s="1" t="str">
        <f t="shared" si="4"/>
        <v>Tus Lentes estan LISTAS PARA ENTREGAR, te esperamos.</v>
      </c>
    </row>
    <row r="1335">
      <c r="A1335" s="1">
        <f>IFERROR(__xludf.DUMMYFUNCTION("""COMPUTED_VALUE"""),85885.0)</f>
        <v>85885</v>
      </c>
      <c r="B1335" s="5">
        <f>IFERROR(__xludf.DUMMYFUNCTION("""COMPUTED_VALUE"""),44957.77542164351)</f>
        <v>44957.77542</v>
      </c>
      <c r="C1335" s="1" t="str">
        <f>IFERROR(__xludf.DUMMYFUNCTION("""COMPUTED_VALUE"""),"GARCIA RAMON ")</f>
        <v>GARCIA RAMON </v>
      </c>
      <c r="D1335" s="1" t="str">
        <f>IFERROR(__xludf.DUMMYFUNCTION("""COMPUTED_VALUE"""),"Lentes de STOCK")</f>
        <v>Lentes de STOCK</v>
      </c>
      <c r="E1335" s="1" t="str">
        <f>IFERROR(__xludf.DUMMYFUNCTION("""COMPUTED_VALUE"""),"RIVADAVIA Luciana")</f>
        <v>RIVADAVIA Luciana</v>
      </c>
      <c r="F1335" s="1" t="str">
        <f t="shared" si="1"/>
        <v>RIVADAVIA </v>
      </c>
      <c r="G1335" s="1" t="str">
        <f t="shared" si="2"/>
        <v>Luciana</v>
      </c>
      <c r="H1335" s="1" t="str">
        <f>IFERROR(__xludf.DUMMYFUNCTION("""COMPUTED_VALUE"""),"6/2/2023, 17:00:00")</f>
        <v>6/2/2023, 17:00:00</v>
      </c>
      <c r="I1335" s="1" t="str">
        <f>IFERROR(__xludf.DUMMYFUNCTION("""COMPUTED_VALUE"""),"En Armado Hoy")</f>
        <v>En Armado Hoy</v>
      </c>
      <c r="J1335" s="1">
        <f t="shared" si="3"/>
        <v>3</v>
      </c>
      <c r="K1335" s="1" t="str">
        <f t="shared" si="4"/>
        <v>Estamos terminando los ultimos detalles de tus lentes, los terminaremos el dia de hoy.</v>
      </c>
    </row>
    <row r="1336">
      <c r="A1336" s="1">
        <f>IFERROR(__xludf.DUMMYFUNCTION("""COMPUTED_VALUE"""),85886.0)</f>
        <v>85886</v>
      </c>
      <c r="B1336" s="5">
        <f>IFERROR(__xludf.DUMMYFUNCTION("""COMPUTED_VALUE"""),44957.78158460648)</f>
        <v>44957.78158</v>
      </c>
      <c r="C1336" s="1" t="str">
        <f>IFERROR(__xludf.DUMMYFUNCTION("""COMPUTED_VALUE"""),"QUIROGA MONICA")</f>
        <v>QUIROGA MONICA</v>
      </c>
      <c r="D1336" s="1" t="str">
        <f>IFERROR(__xludf.DUMMYFUNCTION("""COMPUTED_VALUE"""),"Reparaciones/Otros")</f>
        <v>Reparaciones/Otros</v>
      </c>
      <c r="E1336" s="1" t="str">
        <f>IFERROR(__xludf.DUMMYFUNCTION("""COMPUTED_VALUE"""),"RIVADAVIA Santiago LOPEZ")</f>
        <v>RIVADAVIA Santiago LOPEZ</v>
      </c>
      <c r="F1336" s="1" t="str">
        <f t="shared" si="1"/>
        <v>RIVADAVIA </v>
      </c>
      <c r="G1336" s="1" t="str">
        <f t="shared" si="2"/>
        <v>Santiago LOPEZ</v>
      </c>
      <c r="H1336" s="1" t="str">
        <f>IFERROR(__xludf.DUMMYFUNCTION("""COMPUTED_VALUE"""),"1/2/2023, 17:00:00")</f>
        <v>1/2/2023, 17:00:00</v>
      </c>
      <c r="I1336" s="1" t="str">
        <f>IFERROR(__xludf.DUMMYFUNCTION("""COMPUTED_VALUE"""),"Completado en SUCURSAL")</f>
        <v>Completado en SUCURSAL</v>
      </c>
      <c r="J1336" s="1">
        <f t="shared" si="3"/>
        <v>5</v>
      </c>
      <c r="K1336" s="1" t="str">
        <f t="shared" si="4"/>
        <v>Tus Lentes estan LISTAS PARA ENTREGAR, te esperamos.</v>
      </c>
    </row>
    <row r="1337">
      <c r="A1337" s="1">
        <f>IFERROR(__xludf.DUMMYFUNCTION("""COMPUTED_VALUE"""),85887.0)</f>
        <v>85887</v>
      </c>
      <c r="B1337" s="5">
        <f>IFERROR(__xludf.DUMMYFUNCTION("""COMPUTED_VALUE"""),44957.792659583334)</f>
        <v>44957.79266</v>
      </c>
      <c r="C1337" s="1" t="str">
        <f>IFERROR(__xludf.DUMMYFUNCTION("""COMPUTED_VALUE"""),"Albornoz Lucas")</f>
        <v>Albornoz Lucas</v>
      </c>
      <c r="D1337" s="1" t="str">
        <f>IFERROR(__xludf.DUMMYFUNCTION("""COMPUTED_VALUE"""),"Lentes de STOCK")</f>
        <v>Lentes de STOCK</v>
      </c>
      <c r="E1337" s="1" t="str">
        <f>IFERROR(__xludf.DUMMYFUNCTION("""COMPUTED_VALUE"""),"RIVADAVIA Rocio B")</f>
        <v>RIVADAVIA Rocio B</v>
      </c>
      <c r="F1337" s="1" t="str">
        <f t="shared" si="1"/>
        <v>RIVADAVIA </v>
      </c>
      <c r="G1337" s="1" t="str">
        <f t="shared" si="2"/>
        <v>Rocio B</v>
      </c>
      <c r="H1337" s="1" t="str">
        <f>IFERROR(__xludf.DUMMYFUNCTION("""COMPUTED_VALUE"""),"9/2/2023, 17:00:00")</f>
        <v>9/2/2023, 17:00:00</v>
      </c>
      <c r="I1337" s="1" t="str">
        <f>IFERROR(__xludf.DUMMYFUNCTION("""COMPUTED_VALUE"""),"RETIRADO OK POR CLIENTE")</f>
        <v>RETIRADO OK POR CLIENTE</v>
      </c>
      <c r="J1337" s="1">
        <f t="shared" si="3"/>
        <v>6</v>
      </c>
      <c r="K1337" s="1" t="str">
        <f t="shared" si="4"/>
        <v>Entregamos tus lentes, que los disfrutes!</v>
      </c>
    </row>
    <row r="1338">
      <c r="A1338" s="1">
        <f>IFERROR(__xludf.DUMMYFUNCTION("""COMPUTED_VALUE"""),85888.0)</f>
        <v>85888</v>
      </c>
      <c r="B1338" s="5">
        <f>IFERROR(__xludf.DUMMYFUNCTION("""COMPUTED_VALUE"""),44957.794997916666)</f>
        <v>44957.795</v>
      </c>
      <c r="C1338" s="1" t="str">
        <f>IFERROR(__xludf.DUMMYFUNCTION("""COMPUTED_VALUE"""),"Antonacci Silvia Delfina")</f>
        <v>Antonacci Silvia Delfina</v>
      </c>
      <c r="D1338" s="1" t="str">
        <f>IFERROR(__xludf.DUMMYFUNCTION("""COMPUTED_VALUE"""),"Lentes MULTIFOCALES")</f>
        <v>Lentes MULTIFOCALES</v>
      </c>
      <c r="E1338" s="1" t="str">
        <f>IFERROR(__xludf.DUMMYFUNCTION("""COMPUTED_VALUE"""),"ARTIGAS Roció")</f>
        <v>ARTIGAS Roció</v>
      </c>
      <c r="F1338" s="1" t="str">
        <f t="shared" si="1"/>
        <v>ARTIGAS </v>
      </c>
      <c r="G1338" s="1" t="str">
        <f t="shared" si="2"/>
        <v>Roció</v>
      </c>
      <c r="H1338" s="1" t="str">
        <f>IFERROR(__xludf.DUMMYFUNCTION("""COMPUTED_VALUE"""),"15/2/2023, 17:00:00")</f>
        <v>15/2/2023, 17:00:00</v>
      </c>
      <c r="I1338" s="1" t="str">
        <f>IFERROR(__xludf.DUMMYFUNCTION("""COMPUTED_VALUE"""),"Completado en SUCURSAL")</f>
        <v>Completado en SUCURSAL</v>
      </c>
      <c r="J1338" s="1">
        <f t="shared" si="3"/>
        <v>5</v>
      </c>
      <c r="K1338" s="1" t="str">
        <f t="shared" si="4"/>
        <v>Tus Lentes estan LISTAS PARA ENTREGAR, te esperamos.</v>
      </c>
    </row>
    <row r="1339">
      <c r="A1339" s="1">
        <f>IFERROR(__xludf.DUMMYFUNCTION("""COMPUTED_VALUE"""),85889.0)</f>
        <v>85889</v>
      </c>
      <c r="B1339" s="5">
        <f>IFERROR(__xludf.DUMMYFUNCTION("""COMPUTED_VALUE"""),44957.82365950232)</f>
        <v>44957.82366</v>
      </c>
      <c r="C1339" s="1" t="str">
        <f>IFERROR(__xludf.DUMMYFUNCTION("""COMPUTED_VALUE"""),"abregu sara")</f>
        <v>abregu sara</v>
      </c>
      <c r="D1339" s="1" t="str">
        <f>IFERROR(__xludf.DUMMYFUNCTION("""COMPUTED_VALUE"""),"Lentes de STOCK")</f>
        <v>Lentes de STOCK</v>
      </c>
      <c r="E1339" s="1" t="str">
        <f>IFERROR(__xludf.DUMMYFUNCTION("""COMPUTED_VALUE"""),"RIVADAVIA Santiago N")</f>
        <v>RIVADAVIA Santiago N</v>
      </c>
      <c r="F1339" s="1" t="str">
        <f t="shared" si="1"/>
        <v>RIVADAVIA </v>
      </c>
      <c r="G1339" s="1" t="str">
        <f t="shared" si="2"/>
        <v>Santiago N</v>
      </c>
      <c r="H1339" s="1" t="str">
        <f>IFERROR(__xludf.DUMMYFUNCTION("""COMPUTED_VALUE"""),"3/2/2023, 17:00:00")</f>
        <v>3/2/2023, 17:00:00</v>
      </c>
      <c r="I1339" s="1" t="str">
        <f>IFERROR(__xludf.DUMMYFUNCTION("""COMPUTED_VALUE"""),"Completado en SUCURSAL")</f>
        <v>Completado en SUCURSAL</v>
      </c>
      <c r="J1339" s="1">
        <f t="shared" si="3"/>
        <v>5</v>
      </c>
      <c r="K1339" s="1" t="str">
        <f t="shared" si="4"/>
        <v>Tus Lentes estan LISTAS PARA ENTREGAR, te esperamos.</v>
      </c>
    </row>
    <row r="1340">
      <c r="A1340" s="1">
        <f>IFERROR(__xludf.DUMMYFUNCTION("""COMPUTED_VALUE"""),85890.0)</f>
        <v>85890</v>
      </c>
      <c r="B1340" s="5">
        <f>IFERROR(__xludf.DUMMYFUNCTION("""COMPUTED_VALUE"""),44957.87282982639)</f>
        <v>44957.87283</v>
      </c>
      <c r="C1340" s="1" t="str">
        <f>IFERROR(__xludf.DUMMYFUNCTION("""COMPUTED_VALUE"""),"IRALA VALERIA")</f>
        <v>IRALA VALERIA</v>
      </c>
      <c r="D1340" s="1" t="str">
        <f>IFERROR(__xludf.DUMMYFUNCTION("""COMPUTED_VALUE"""),"Lentes de STOCK")</f>
        <v>Lentes de STOCK</v>
      </c>
      <c r="E1340" s="1" t="str">
        <f>IFERROR(__xludf.DUMMYFUNCTION("""COMPUTED_VALUE"""),"RIVADAVIA Javier")</f>
        <v>RIVADAVIA Javier</v>
      </c>
      <c r="F1340" s="1" t="str">
        <f t="shared" si="1"/>
        <v>RIVADAVIA </v>
      </c>
      <c r="G1340" s="1" t="str">
        <f t="shared" si="2"/>
        <v>Javier</v>
      </c>
      <c r="H1340" s="1" t="str">
        <f>IFERROR(__xludf.DUMMYFUNCTION("""COMPUTED_VALUE"""),"6/2/2023, 17:00:00")</f>
        <v>6/2/2023, 17:00:00</v>
      </c>
      <c r="I1340" s="1" t="str">
        <f>IFERROR(__xludf.DUMMYFUNCTION("""COMPUTED_VALUE"""),"RETIRADO OK POR CLIENTE")</f>
        <v>RETIRADO OK POR CLIENTE</v>
      </c>
      <c r="J1340" s="1">
        <f t="shared" si="3"/>
        <v>6</v>
      </c>
      <c r="K1340" s="1" t="str">
        <f t="shared" si="4"/>
        <v>Entregamos tus lentes, que los disfrutes!</v>
      </c>
    </row>
    <row r="1341">
      <c r="A1341" s="1">
        <f>IFERROR(__xludf.DUMMYFUNCTION("""COMPUTED_VALUE"""),85891.0)</f>
        <v>85891</v>
      </c>
      <c r="B1341" s="5">
        <f>IFERROR(__xludf.DUMMYFUNCTION("""COMPUTED_VALUE"""),44958.38870283565)</f>
        <v>44958.3887</v>
      </c>
      <c r="C1341" s="1" t="str">
        <f>IFERROR(__xludf.DUMMYFUNCTION("""COMPUTED_VALUE"""),"Bustos Elsa Emma")</f>
        <v>Bustos Elsa Emma</v>
      </c>
      <c r="D1341" s="1" t="str">
        <f>IFERROR(__xludf.DUMMYFUNCTION("""COMPUTED_VALUE"""),"Lentes de STOCK")</f>
        <v>Lentes de STOCK</v>
      </c>
      <c r="E1341" s="1" t="str">
        <f>IFERROR(__xludf.DUMMYFUNCTION("""COMPUTED_VALUE"""),"RIVADAVIA Rocio B")</f>
        <v>RIVADAVIA Rocio B</v>
      </c>
      <c r="F1341" s="1" t="str">
        <f t="shared" si="1"/>
        <v>RIVADAVIA </v>
      </c>
      <c r="G1341" s="1" t="str">
        <f t="shared" si="2"/>
        <v>Rocio B</v>
      </c>
      <c r="H1341" s="1" t="str">
        <f>IFERROR(__xludf.DUMMYFUNCTION("""COMPUTED_VALUE"""),"8/2/2023, 17:00:00")</f>
        <v>8/2/2023, 17:00:00</v>
      </c>
      <c r="I1341" s="1" t="str">
        <f>IFERROR(__xludf.DUMMYFUNCTION("""COMPUTED_VALUE"""),"RETIRADO OK POR CLIENTE")</f>
        <v>RETIRADO OK POR CLIENTE</v>
      </c>
      <c r="J1341" s="1">
        <f t="shared" si="3"/>
        <v>6</v>
      </c>
      <c r="K1341" s="1" t="str">
        <f t="shared" si="4"/>
        <v>Entregamos tus lentes, que los disfrutes!</v>
      </c>
    </row>
    <row r="1342">
      <c r="A1342" s="1">
        <f>IFERROR(__xludf.DUMMYFUNCTION("""COMPUTED_VALUE"""),85892.0)</f>
        <v>85892</v>
      </c>
      <c r="B1342" s="5">
        <f>IFERROR(__xludf.DUMMYFUNCTION("""COMPUTED_VALUE"""),44958.401824016204)</f>
        <v>44958.40182</v>
      </c>
      <c r="C1342" s="1" t="str">
        <f>IFERROR(__xludf.DUMMYFUNCTION("""COMPUTED_VALUE"""),"Suarez Eva")</f>
        <v>Suarez Eva</v>
      </c>
      <c r="D1342" s="1" t="str">
        <f>IFERROR(__xludf.DUMMYFUNCTION("""COMPUTED_VALUE"""),"Reparaciones/Otros")</f>
        <v>Reparaciones/Otros</v>
      </c>
      <c r="E1342" s="1" t="str">
        <f>IFERROR(__xludf.DUMMYFUNCTION("""COMPUTED_VALUE"""),"ARTIGAS Sandra G")</f>
        <v>ARTIGAS Sandra G</v>
      </c>
      <c r="F1342" s="1" t="str">
        <f t="shared" si="1"/>
        <v>ARTIGAS </v>
      </c>
      <c r="G1342" s="1" t="str">
        <f t="shared" si="2"/>
        <v>Sandra G</v>
      </c>
      <c r="H1342" s="1" t="str">
        <f>IFERROR(__xludf.DUMMYFUNCTION("""COMPUTED_VALUE"""),"2/2/2023, 17:00:00")</f>
        <v>2/2/2023, 17:00:00</v>
      </c>
      <c r="I1342" s="1" t="str">
        <f>IFERROR(__xludf.DUMMYFUNCTION("""COMPUTED_VALUE"""),"Recibido en Laboratorio")</f>
        <v>Recibido en Laboratorio</v>
      </c>
      <c r="J1342" s="1">
        <f t="shared" si="3"/>
        <v>2</v>
      </c>
      <c r="K1342" s="1" t="str">
        <f t="shared" si="4"/>
        <v>Nuestro Laboratorio esta trabajando en tus lentes, los entregaremos en la fecha acordada.</v>
      </c>
    </row>
    <row r="1343">
      <c r="A1343" s="1">
        <f>IFERROR(__xludf.DUMMYFUNCTION("""COMPUTED_VALUE"""),85893.0)</f>
        <v>85893</v>
      </c>
      <c r="B1343" s="5">
        <f>IFERROR(__xludf.DUMMYFUNCTION("""COMPUTED_VALUE"""),44958.40495681713)</f>
        <v>44958.40496</v>
      </c>
      <c r="C1343" s="1" t="str">
        <f>IFERROR(__xludf.DUMMYFUNCTION("""COMPUTED_VALUE"""),"CABRERA FATIMA")</f>
        <v>CABRERA FATIMA</v>
      </c>
      <c r="D1343" s="1" t="str">
        <f>IFERROR(__xludf.DUMMYFUNCTION("""COMPUTED_VALUE"""),"Reparaciones/Otros")</f>
        <v>Reparaciones/Otros</v>
      </c>
      <c r="E1343" s="1" t="str">
        <f>IFERROR(__xludf.DUMMYFUNCTION("""COMPUTED_VALUE"""),"ARTIGAS Cristian C.")</f>
        <v>ARTIGAS Cristian C.</v>
      </c>
      <c r="F1343" s="1" t="str">
        <f t="shared" si="1"/>
        <v>ARTIGAS </v>
      </c>
      <c r="G1343" s="1" t="str">
        <f t="shared" si="2"/>
        <v>Cristian C.</v>
      </c>
      <c r="H1343" s="1" t="str">
        <f>IFERROR(__xludf.DUMMYFUNCTION("""COMPUTED_VALUE"""),"2/2/2023, 17:00:00")</f>
        <v>2/2/2023, 17:00:00</v>
      </c>
      <c r="I1343" s="1" t="str">
        <f>IFERROR(__xludf.DUMMYFUNCTION("""COMPUTED_VALUE"""),"Completado en SUCURSAL")</f>
        <v>Completado en SUCURSAL</v>
      </c>
      <c r="J1343" s="1">
        <f t="shared" si="3"/>
        <v>5</v>
      </c>
      <c r="K1343" s="1" t="str">
        <f t="shared" si="4"/>
        <v>Tus Lentes estan LISTAS PARA ENTREGAR, te esperamos.</v>
      </c>
    </row>
    <row r="1344">
      <c r="A1344" s="1">
        <f>IFERROR(__xludf.DUMMYFUNCTION("""COMPUTED_VALUE"""),85894.0)</f>
        <v>85894</v>
      </c>
      <c r="B1344" s="5">
        <f>IFERROR(__xludf.DUMMYFUNCTION("""COMPUTED_VALUE"""),44958.41744675926)</f>
        <v>44958.41745</v>
      </c>
      <c r="C1344" s="1" t="str">
        <f>IFERROR(__xludf.DUMMYFUNCTION("""COMPUTED_VALUE"""),"HERRERA CARMEN")</f>
        <v>HERRERA CARMEN</v>
      </c>
      <c r="D1344" s="1" t="str">
        <f>IFERROR(__xludf.DUMMYFUNCTION("""COMPUTED_VALUE"""),"Reparaciones/Otros")</f>
        <v>Reparaciones/Otros</v>
      </c>
      <c r="E1344" s="1" t="str">
        <f>IFERROR(__xludf.DUMMYFUNCTION("""COMPUTED_VALUE"""),"RIVADAVIA Santiago LOPEZ")</f>
        <v>RIVADAVIA Santiago LOPEZ</v>
      </c>
      <c r="F1344" s="1" t="str">
        <f t="shared" si="1"/>
        <v>RIVADAVIA </v>
      </c>
      <c r="G1344" s="1" t="str">
        <f t="shared" si="2"/>
        <v>Santiago LOPEZ</v>
      </c>
      <c r="H1344" s="1" t="str">
        <f>IFERROR(__xludf.DUMMYFUNCTION("""COMPUTED_VALUE"""),"2/2/2023, 17:00:00")</f>
        <v>2/2/2023, 17:00:00</v>
      </c>
      <c r="I1344" s="1" t="str">
        <f>IFERROR(__xludf.DUMMYFUNCTION("""COMPUTED_VALUE"""),"Completado en SUCURSAL")</f>
        <v>Completado en SUCURSAL</v>
      </c>
      <c r="J1344" s="1">
        <f t="shared" si="3"/>
        <v>5</v>
      </c>
      <c r="K1344" s="1" t="str">
        <f t="shared" si="4"/>
        <v>Tus Lentes estan LISTAS PARA ENTREGAR, te esperamos.</v>
      </c>
    </row>
    <row r="1345">
      <c r="A1345" s="1">
        <f>IFERROR(__xludf.DUMMYFUNCTION("""COMPUTED_VALUE"""),85895.0)</f>
        <v>85895</v>
      </c>
      <c r="B1345" s="5">
        <f>IFERROR(__xludf.DUMMYFUNCTION("""COMPUTED_VALUE"""),44958.42462362269)</f>
        <v>44958.42462</v>
      </c>
      <c r="C1345" s="1" t="str">
        <f>IFERROR(__xludf.DUMMYFUNCTION("""COMPUTED_VALUE"""),"sopeña otilia")</f>
        <v>sopeña otilia</v>
      </c>
      <c r="D1345" s="1" t="str">
        <f>IFERROR(__xludf.DUMMYFUNCTION("""COMPUTED_VALUE"""),"Reparaciones/Otros")</f>
        <v>Reparaciones/Otros</v>
      </c>
      <c r="E1345" s="1" t="str">
        <f>IFERROR(__xludf.DUMMYFUNCTION("""COMPUTED_VALUE"""),"RIVADAVIA Santiago N")</f>
        <v>RIVADAVIA Santiago N</v>
      </c>
      <c r="F1345" s="1" t="str">
        <f t="shared" si="1"/>
        <v>RIVADAVIA </v>
      </c>
      <c r="G1345" s="1" t="str">
        <f t="shared" si="2"/>
        <v>Santiago N</v>
      </c>
      <c r="H1345" s="1" t="str">
        <f>IFERROR(__xludf.DUMMYFUNCTION("""COMPUTED_VALUE"""),"2/2/2023, 17:00:00")</f>
        <v>2/2/2023, 17:00:00</v>
      </c>
      <c r="I1345" s="1" t="str">
        <f>IFERROR(__xludf.DUMMYFUNCTION("""COMPUTED_VALUE"""),"Completado en SUCURSAL")</f>
        <v>Completado en SUCURSAL</v>
      </c>
      <c r="J1345" s="1">
        <f t="shared" si="3"/>
        <v>5</v>
      </c>
      <c r="K1345" s="1" t="str">
        <f t="shared" si="4"/>
        <v>Tus Lentes estan LISTAS PARA ENTREGAR, te esperamos.</v>
      </c>
    </row>
    <row r="1346">
      <c r="A1346" s="1">
        <f>IFERROR(__xludf.DUMMYFUNCTION("""COMPUTED_VALUE"""),85896.0)</f>
        <v>85896</v>
      </c>
      <c r="B1346" s="5">
        <f>IFERROR(__xludf.DUMMYFUNCTION("""COMPUTED_VALUE"""),44958.43192043982)</f>
        <v>44958.43192</v>
      </c>
      <c r="C1346" s="1" t="str">
        <f>IFERROR(__xludf.DUMMYFUNCTION("""COMPUTED_VALUE"""),"Ferreyra Nilda")</f>
        <v>Ferreyra Nilda</v>
      </c>
      <c r="D1346" s="1" t="str">
        <f>IFERROR(__xludf.DUMMYFUNCTION("""COMPUTED_VALUE"""),"Lentes de STOCK")</f>
        <v>Lentes de STOCK</v>
      </c>
      <c r="E1346" s="1" t="str">
        <f>IFERROR(__xludf.DUMMYFUNCTION("""COMPUTED_VALUE"""),"ARTIGAS Roció")</f>
        <v>ARTIGAS Roció</v>
      </c>
      <c r="F1346" s="1" t="str">
        <f t="shared" si="1"/>
        <v>ARTIGAS </v>
      </c>
      <c r="G1346" s="1" t="str">
        <f t="shared" si="2"/>
        <v>Roció</v>
      </c>
      <c r="H1346" s="1" t="str">
        <f>IFERROR(__xludf.DUMMYFUNCTION("""COMPUTED_VALUE"""),"8/2/2023, 17:00:00")</f>
        <v>8/2/2023, 17:00:00</v>
      </c>
      <c r="I1346" s="1" t="str">
        <f>IFERROR(__xludf.DUMMYFUNCTION("""COMPUTED_VALUE"""),"RETIRADO OK POR CLIENTE")</f>
        <v>RETIRADO OK POR CLIENTE</v>
      </c>
      <c r="J1346" s="1">
        <f t="shared" si="3"/>
        <v>6</v>
      </c>
      <c r="K1346" s="1" t="str">
        <f t="shared" si="4"/>
        <v>Entregamos tus lentes, que los disfrutes!</v>
      </c>
    </row>
    <row r="1347">
      <c r="A1347" s="1">
        <f>IFERROR(__xludf.DUMMYFUNCTION("""COMPUTED_VALUE"""),85897.0)</f>
        <v>85897</v>
      </c>
      <c r="B1347" s="5">
        <f>IFERROR(__xludf.DUMMYFUNCTION("""COMPUTED_VALUE"""),44958.431956099535)</f>
        <v>44958.43196</v>
      </c>
      <c r="C1347" s="1" t="str">
        <f>IFERROR(__xludf.DUMMYFUNCTION("""COMPUTED_VALUE"""),"VARGAS SOFIA ")</f>
        <v>VARGAS SOFIA </v>
      </c>
      <c r="D1347" s="1" t="str">
        <f>IFERROR(__xludf.DUMMYFUNCTION("""COMPUTED_VALUE"""),"Lentes de STOCK")</f>
        <v>Lentes de STOCK</v>
      </c>
      <c r="E1347" s="1" t="str">
        <f>IFERROR(__xludf.DUMMYFUNCTION("""COMPUTED_VALUE"""),"ARTIGAS Cristian C.")</f>
        <v>ARTIGAS Cristian C.</v>
      </c>
      <c r="F1347" s="1" t="str">
        <f t="shared" si="1"/>
        <v>ARTIGAS </v>
      </c>
      <c r="G1347" s="1" t="str">
        <f t="shared" si="2"/>
        <v>Cristian C.</v>
      </c>
      <c r="H1347" s="1" t="str">
        <f>IFERROR(__xludf.DUMMYFUNCTION("""COMPUTED_VALUE"""),"9/2/2023, 17:00:00")</f>
        <v>9/2/2023, 17:00:00</v>
      </c>
      <c r="I1347" s="1" t="str">
        <f>IFERROR(__xludf.DUMMYFUNCTION("""COMPUTED_VALUE"""),"RETIRADO OK POR CLIENTE")</f>
        <v>RETIRADO OK POR CLIENTE</v>
      </c>
      <c r="J1347" s="1">
        <f t="shared" si="3"/>
        <v>6</v>
      </c>
      <c r="K1347" s="1" t="str">
        <f t="shared" si="4"/>
        <v>Entregamos tus lentes, que los disfrutes!</v>
      </c>
    </row>
    <row r="1348">
      <c r="A1348" s="1">
        <f>IFERROR(__xludf.DUMMYFUNCTION("""COMPUTED_VALUE"""),85898.0)</f>
        <v>85898</v>
      </c>
      <c r="B1348" s="5">
        <f>IFERROR(__xludf.DUMMYFUNCTION("""COMPUTED_VALUE"""),44958.43487840278)</f>
        <v>44958.43488</v>
      </c>
      <c r="C1348" s="1" t="str">
        <f>IFERROR(__xludf.DUMMYFUNCTION("""COMPUTED_VALUE"""),"rosales valeria")</f>
        <v>rosales valeria</v>
      </c>
      <c r="D1348" s="1" t="str">
        <f>IFERROR(__xludf.DUMMYFUNCTION("""COMPUTED_VALUE"""),"Lentes de STOCK")</f>
        <v>Lentes de STOCK</v>
      </c>
      <c r="E1348" s="1" t="str">
        <f>IFERROR(__xludf.DUMMYFUNCTION("""COMPUTED_VALUE"""),"RIVADAVIA Santiago LOPEZ")</f>
        <v>RIVADAVIA Santiago LOPEZ</v>
      </c>
      <c r="F1348" s="1" t="str">
        <f t="shared" si="1"/>
        <v>RIVADAVIA </v>
      </c>
      <c r="G1348" s="1" t="str">
        <f t="shared" si="2"/>
        <v>Santiago LOPEZ</v>
      </c>
      <c r="H1348" s="1" t="str">
        <f>IFERROR(__xludf.DUMMYFUNCTION("""COMPUTED_VALUE"""),"4/2/2023, 17:00:00")</f>
        <v>4/2/2023, 17:00:00</v>
      </c>
      <c r="I1348" s="1" t="str">
        <f>IFERROR(__xludf.DUMMYFUNCTION("""COMPUTED_VALUE"""),"Completado en SUCURSAL")</f>
        <v>Completado en SUCURSAL</v>
      </c>
      <c r="J1348" s="1">
        <f t="shared" si="3"/>
        <v>5</v>
      </c>
      <c r="K1348" s="1" t="str">
        <f t="shared" si="4"/>
        <v>Tus Lentes estan LISTAS PARA ENTREGAR, te esperamos.</v>
      </c>
    </row>
    <row r="1349">
      <c r="A1349" s="1">
        <f>IFERROR(__xludf.DUMMYFUNCTION("""COMPUTED_VALUE"""),85899.0)</f>
        <v>85899</v>
      </c>
      <c r="B1349" s="5">
        <f>IFERROR(__xludf.DUMMYFUNCTION("""COMPUTED_VALUE"""),44958.43777657408)</f>
        <v>44958.43778</v>
      </c>
      <c r="C1349" s="1" t="str">
        <f>IFERROR(__xludf.DUMMYFUNCTION("""COMPUTED_VALUE"""),"Quevedo Mirta")</f>
        <v>Quevedo Mirta</v>
      </c>
      <c r="D1349" s="1" t="str">
        <f>IFERROR(__xludf.DUMMYFUNCTION("""COMPUTED_VALUE"""),"Reparaciones/Otros")</f>
        <v>Reparaciones/Otros</v>
      </c>
      <c r="E1349" s="1" t="str">
        <f>IFERROR(__xludf.DUMMYFUNCTION("""COMPUTED_VALUE"""),"ARTIGAS Sandra G")</f>
        <v>ARTIGAS Sandra G</v>
      </c>
      <c r="F1349" s="1" t="str">
        <f t="shared" si="1"/>
        <v>ARTIGAS </v>
      </c>
      <c r="G1349" s="1" t="str">
        <f t="shared" si="2"/>
        <v>Sandra G</v>
      </c>
      <c r="H1349" s="1" t="str">
        <f>IFERROR(__xludf.DUMMYFUNCTION("""COMPUTED_VALUE"""),"2/2/2023, 17:00:00")</f>
        <v>2/2/2023, 17:00:00</v>
      </c>
      <c r="I1349" s="1" t="str">
        <f>IFERROR(__xludf.DUMMYFUNCTION("""COMPUTED_VALUE"""),"Completado en SUCURSAL")</f>
        <v>Completado en SUCURSAL</v>
      </c>
      <c r="J1349" s="1">
        <f t="shared" si="3"/>
        <v>5</v>
      </c>
      <c r="K1349" s="1" t="str">
        <f t="shared" si="4"/>
        <v>Tus Lentes estan LISTAS PARA ENTREGAR, te esperamos.</v>
      </c>
    </row>
    <row r="1350">
      <c r="A1350" s="1">
        <f>IFERROR(__xludf.DUMMYFUNCTION("""COMPUTED_VALUE"""),85900.0)</f>
        <v>85900</v>
      </c>
      <c r="B1350" s="5">
        <f>IFERROR(__xludf.DUMMYFUNCTION("""COMPUTED_VALUE"""),44958.445523472226)</f>
        <v>44958.44552</v>
      </c>
      <c r="C1350" s="1" t="str">
        <f>IFERROR(__xludf.DUMMYFUNCTION("""COMPUTED_VALUE"""),"GIMENEZ NORMA EDITH ")</f>
        <v>GIMENEZ NORMA EDITH </v>
      </c>
      <c r="D1350" s="1" t="str">
        <f>IFERROR(__xludf.DUMMYFUNCTION("""COMPUTED_VALUE"""),"Lentes de STOCK")</f>
        <v>Lentes de STOCK</v>
      </c>
      <c r="E1350" s="1" t="str">
        <f>IFERROR(__xludf.DUMMYFUNCTION("""COMPUTED_VALUE"""),"ARTIGAS Cristian C.")</f>
        <v>ARTIGAS Cristian C.</v>
      </c>
      <c r="F1350" s="1" t="str">
        <f t="shared" si="1"/>
        <v>ARTIGAS </v>
      </c>
      <c r="G1350" s="1" t="str">
        <f t="shared" si="2"/>
        <v>Cristian C.</v>
      </c>
      <c r="H1350" s="1" t="str">
        <f>IFERROR(__xludf.DUMMYFUNCTION("""COMPUTED_VALUE"""),"9/2/2023, 17:00:00")</f>
        <v>9/2/2023, 17:00:00</v>
      </c>
      <c r="I1350" s="1" t="str">
        <f>IFERROR(__xludf.DUMMYFUNCTION("""COMPUTED_VALUE"""),"RETIRADO OK POR CLIENTE")</f>
        <v>RETIRADO OK POR CLIENTE</v>
      </c>
      <c r="J1350" s="1">
        <f t="shared" si="3"/>
        <v>6</v>
      </c>
      <c r="K1350" s="1" t="str">
        <f t="shared" si="4"/>
        <v>Entregamos tus lentes, que los disfrutes!</v>
      </c>
    </row>
    <row r="1351">
      <c r="A1351" s="1">
        <f>IFERROR(__xludf.DUMMYFUNCTION("""COMPUTED_VALUE"""),85901.0)</f>
        <v>85901</v>
      </c>
      <c r="B1351" s="5">
        <f>IFERROR(__xludf.DUMMYFUNCTION("""COMPUTED_VALUE"""),44958.446767870366)</f>
        <v>44958.44677</v>
      </c>
      <c r="C1351" s="1" t="str">
        <f>IFERROR(__xludf.DUMMYFUNCTION("""COMPUTED_VALUE"""),"ARRIETA DELIA LUJAN")</f>
        <v>ARRIETA DELIA LUJAN</v>
      </c>
      <c r="D1351" s="1" t="str">
        <f>IFERROR(__xludf.DUMMYFUNCTION("""COMPUTED_VALUE"""),"Lentes de STOCK")</f>
        <v>Lentes de STOCK</v>
      </c>
      <c r="E1351" s="1" t="str">
        <f>IFERROR(__xludf.DUMMYFUNCTION("""COMPUTED_VALUE"""),"ARTIGAS Roció")</f>
        <v>ARTIGAS Roció</v>
      </c>
      <c r="F1351" s="1" t="str">
        <f t="shared" si="1"/>
        <v>ARTIGAS </v>
      </c>
      <c r="G1351" s="1" t="str">
        <f t="shared" si="2"/>
        <v>Roció</v>
      </c>
      <c r="H1351" s="1" t="str">
        <f>IFERROR(__xludf.DUMMYFUNCTION("""COMPUTED_VALUE"""),"8/2/2023, 17:00:00")</f>
        <v>8/2/2023, 17:00:00</v>
      </c>
      <c r="I1351" s="1" t="str">
        <f>IFERROR(__xludf.DUMMYFUNCTION("""COMPUTED_VALUE"""),"RETIRADO OK POR CLIENTE")</f>
        <v>RETIRADO OK POR CLIENTE</v>
      </c>
      <c r="J1351" s="1">
        <f t="shared" si="3"/>
        <v>6</v>
      </c>
      <c r="K1351" s="1" t="str">
        <f t="shared" si="4"/>
        <v>Entregamos tus lentes, que los disfrutes!</v>
      </c>
    </row>
    <row r="1352">
      <c r="A1352" s="1">
        <f>IFERROR(__xludf.DUMMYFUNCTION("""COMPUTED_VALUE"""),85902.0)</f>
        <v>85902</v>
      </c>
      <c r="B1352" s="5">
        <f>IFERROR(__xludf.DUMMYFUNCTION("""COMPUTED_VALUE"""),44958.450842673614)</f>
        <v>44958.45084</v>
      </c>
      <c r="C1352" s="1" t="str">
        <f>IFERROR(__xludf.DUMMYFUNCTION("""COMPUTED_VALUE"""),"FLORES NAHUEL")</f>
        <v>FLORES NAHUEL</v>
      </c>
      <c r="D1352" s="1" t="str">
        <f>IFERROR(__xludf.DUMMYFUNCTION("""COMPUTED_VALUE"""),"Lentes de STOCK")</f>
        <v>Lentes de STOCK</v>
      </c>
      <c r="E1352" s="1" t="str">
        <f>IFERROR(__xludf.DUMMYFUNCTION("""COMPUTED_VALUE"""),"RIVADAVIA Santiago LOPEZ")</f>
        <v>RIVADAVIA Santiago LOPEZ</v>
      </c>
      <c r="F1352" s="1" t="str">
        <f t="shared" si="1"/>
        <v>RIVADAVIA </v>
      </c>
      <c r="G1352" s="1" t="str">
        <f t="shared" si="2"/>
        <v>Santiago LOPEZ</v>
      </c>
      <c r="H1352" s="1" t="str">
        <f>IFERROR(__xludf.DUMMYFUNCTION("""COMPUTED_VALUE"""),"4/2/2023, 17:00:00")</f>
        <v>4/2/2023, 17:00:00</v>
      </c>
      <c r="I1352" s="1" t="str">
        <f>IFERROR(__xludf.DUMMYFUNCTION("""COMPUTED_VALUE"""),"Completado en SUCURSAL")</f>
        <v>Completado en SUCURSAL</v>
      </c>
      <c r="J1352" s="1">
        <f t="shared" si="3"/>
        <v>5</v>
      </c>
      <c r="K1352" s="1" t="str">
        <f t="shared" si="4"/>
        <v>Tus Lentes estan LISTAS PARA ENTREGAR, te esperamos.</v>
      </c>
    </row>
    <row r="1353">
      <c r="A1353" s="1">
        <f>IFERROR(__xludf.DUMMYFUNCTION("""COMPUTED_VALUE"""),85903.0)</f>
        <v>85903</v>
      </c>
      <c r="B1353" s="5">
        <f>IFERROR(__xludf.DUMMYFUNCTION("""COMPUTED_VALUE"""),44958.456528344905)</f>
        <v>44958.45653</v>
      </c>
      <c r="C1353" s="1" t="str">
        <f>IFERROR(__xludf.DUMMYFUNCTION("""COMPUTED_VALUE"""),"Lucero Roxana ")</f>
        <v>Lucero Roxana </v>
      </c>
      <c r="D1353" s="1" t="str">
        <f>IFERROR(__xludf.DUMMYFUNCTION("""COMPUTED_VALUE"""),"Reparaciones/Otros")</f>
        <v>Reparaciones/Otros</v>
      </c>
      <c r="E1353" s="1" t="str">
        <f>IFERROR(__xludf.DUMMYFUNCTION("""COMPUTED_VALUE"""),"ARTIGAS Roció")</f>
        <v>ARTIGAS Roció</v>
      </c>
      <c r="F1353" s="1" t="str">
        <f t="shared" si="1"/>
        <v>ARTIGAS </v>
      </c>
      <c r="G1353" s="1" t="str">
        <f t="shared" si="2"/>
        <v>Roció</v>
      </c>
      <c r="H1353" s="1" t="str">
        <f>IFERROR(__xludf.DUMMYFUNCTION("""COMPUTED_VALUE"""),"2/2/2023, 17:00:00")</f>
        <v>2/2/2023, 17:00:00</v>
      </c>
      <c r="I1353" s="1" t="str">
        <f>IFERROR(__xludf.DUMMYFUNCTION("""COMPUTED_VALUE"""),"Completado en SUCURSAL")</f>
        <v>Completado en SUCURSAL</v>
      </c>
      <c r="J1353" s="1">
        <f t="shared" si="3"/>
        <v>5</v>
      </c>
      <c r="K1353" s="1" t="str">
        <f t="shared" si="4"/>
        <v>Tus Lentes estan LISTAS PARA ENTREGAR, te esperamos.</v>
      </c>
    </row>
    <row r="1354">
      <c r="A1354" s="1">
        <f>IFERROR(__xludf.DUMMYFUNCTION("""COMPUTED_VALUE"""),85904.0)</f>
        <v>85904</v>
      </c>
      <c r="B1354" s="5">
        <f>IFERROR(__xludf.DUMMYFUNCTION("""COMPUTED_VALUE"""),44958.46717480324)</f>
        <v>44958.46717</v>
      </c>
      <c r="C1354" s="1" t="str">
        <f>IFERROR(__xludf.DUMMYFUNCTION("""COMPUTED_VALUE"""),"Velazquez Lourdes")</f>
        <v>Velazquez Lourdes</v>
      </c>
      <c r="D1354" s="1" t="str">
        <f>IFERROR(__xludf.DUMMYFUNCTION("""COMPUTED_VALUE"""),"Lentes de STOCK")</f>
        <v>Lentes de STOCK</v>
      </c>
      <c r="E1354" s="1" t="str">
        <f>IFERROR(__xludf.DUMMYFUNCTION("""COMPUTED_VALUE"""),"ARTIGAS Roció")</f>
        <v>ARTIGAS Roció</v>
      </c>
      <c r="F1354" s="1" t="str">
        <f t="shared" si="1"/>
        <v>ARTIGAS </v>
      </c>
      <c r="G1354" s="1" t="str">
        <f t="shared" si="2"/>
        <v>Roció</v>
      </c>
      <c r="H1354" s="1" t="str">
        <f>IFERROR(__xludf.DUMMYFUNCTION("""COMPUTED_VALUE"""),"8/2/2023, 17:00:00")</f>
        <v>8/2/2023, 17:00:00</v>
      </c>
      <c r="I1354" s="1" t="str">
        <f>IFERROR(__xludf.DUMMYFUNCTION("""COMPUTED_VALUE"""),"Recibido en Laboratorio")</f>
        <v>Recibido en Laboratorio</v>
      </c>
      <c r="J1354" s="1">
        <f t="shared" si="3"/>
        <v>2</v>
      </c>
      <c r="K1354" s="1" t="str">
        <f t="shared" si="4"/>
        <v>Nuestro Laboratorio esta trabajando en tus lentes, los entregaremos en la fecha acordada.</v>
      </c>
    </row>
    <row r="1355">
      <c r="A1355" s="1">
        <f>IFERROR(__xludf.DUMMYFUNCTION("""COMPUTED_VALUE"""),85905.0)</f>
        <v>85905</v>
      </c>
      <c r="B1355" s="5">
        <f>IFERROR(__xludf.DUMMYFUNCTION("""COMPUTED_VALUE"""),44958.46822869213)</f>
        <v>44958.46823</v>
      </c>
      <c r="C1355" s="1" t="str">
        <f>IFERROR(__xludf.DUMMYFUNCTION("""COMPUTED_VALUE"""),"luquez juan bautista")</f>
        <v>luquez juan bautista</v>
      </c>
      <c r="D1355" s="1" t="str">
        <f>IFERROR(__xludf.DUMMYFUNCTION("""COMPUTED_VALUE"""),"Reparaciones/Otros")</f>
        <v>Reparaciones/Otros</v>
      </c>
      <c r="E1355" s="1" t="str">
        <f>IFERROR(__xludf.DUMMYFUNCTION("""COMPUTED_VALUE"""),"ARTIGAS Cristian C.")</f>
        <v>ARTIGAS Cristian C.</v>
      </c>
      <c r="F1355" s="1" t="str">
        <f t="shared" si="1"/>
        <v>ARTIGAS </v>
      </c>
      <c r="G1355" s="1" t="str">
        <f t="shared" si="2"/>
        <v>Cristian C.</v>
      </c>
      <c r="H1355" s="1" t="str">
        <f>IFERROR(__xludf.DUMMYFUNCTION("""COMPUTED_VALUE"""),"2/2/2023, 17:00:00")</f>
        <v>2/2/2023, 17:00:00</v>
      </c>
      <c r="I1355" s="1" t="str">
        <f>IFERROR(__xludf.DUMMYFUNCTION("""COMPUTED_VALUE"""),"Completado en SUCURSAL")</f>
        <v>Completado en SUCURSAL</v>
      </c>
      <c r="J1355" s="1">
        <f t="shared" si="3"/>
        <v>5</v>
      </c>
      <c r="K1355" s="1" t="str">
        <f t="shared" si="4"/>
        <v>Tus Lentes estan LISTAS PARA ENTREGAR, te esperamos.</v>
      </c>
    </row>
    <row r="1356">
      <c r="A1356" s="1">
        <f>IFERROR(__xludf.DUMMYFUNCTION("""COMPUTED_VALUE"""),85906.0)</f>
        <v>85906</v>
      </c>
      <c r="B1356" s="5">
        <f>IFERROR(__xludf.DUMMYFUNCTION("""COMPUTED_VALUE"""),44958.47173978009)</f>
        <v>44958.47174</v>
      </c>
      <c r="C1356" s="1" t="str">
        <f>IFERROR(__xludf.DUMMYFUNCTION("""COMPUTED_VALUE"""),"Quistapace Oscar Vicente")</f>
        <v>Quistapace Oscar Vicente</v>
      </c>
      <c r="D1356" s="1" t="str">
        <f>IFERROR(__xludf.DUMMYFUNCTION("""COMPUTED_VALUE"""),"Lentes de STOCK")</f>
        <v>Lentes de STOCK</v>
      </c>
      <c r="E1356" s="1" t="str">
        <f>IFERROR(__xludf.DUMMYFUNCTION("""COMPUTED_VALUE"""),"ARTIGAS Roció")</f>
        <v>ARTIGAS Roció</v>
      </c>
      <c r="F1356" s="1" t="str">
        <f t="shared" si="1"/>
        <v>ARTIGAS </v>
      </c>
      <c r="G1356" s="1" t="str">
        <f t="shared" si="2"/>
        <v>Roció</v>
      </c>
      <c r="H1356" s="1" t="str">
        <f>IFERROR(__xludf.DUMMYFUNCTION("""COMPUTED_VALUE"""),"10/2/2023, 17:00:00")</f>
        <v>10/2/2023, 17:00:00</v>
      </c>
      <c r="I1356" s="1" t="str">
        <f>IFERROR(__xludf.DUMMYFUNCTION("""COMPUTED_VALUE"""),"RETIRADO OK POR CLIENTE")</f>
        <v>RETIRADO OK POR CLIENTE</v>
      </c>
      <c r="J1356" s="1">
        <f t="shared" si="3"/>
        <v>6</v>
      </c>
      <c r="K1356" s="1" t="str">
        <f t="shared" si="4"/>
        <v>Entregamos tus lentes, que los disfrutes!</v>
      </c>
    </row>
    <row r="1357">
      <c r="A1357" s="1">
        <f>IFERROR(__xludf.DUMMYFUNCTION("""COMPUTED_VALUE"""),85907.0)</f>
        <v>85907</v>
      </c>
      <c r="B1357" s="5">
        <f>IFERROR(__xludf.DUMMYFUNCTION("""COMPUTED_VALUE"""),44958.476118252314)</f>
        <v>44958.47612</v>
      </c>
      <c r="C1357" s="1" t="str">
        <f>IFERROR(__xludf.DUMMYFUNCTION("""COMPUTED_VALUE"""),"DE MATYTEO ZULEMA")</f>
        <v>DE MATYTEO ZULEMA</v>
      </c>
      <c r="D1357" s="1" t="str">
        <f>IFERROR(__xludf.DUMMYFUNCTION("""COMPUTED_VALUE"""),"Lentes de STOCK")</f>
        <v>Lentes de STOCK</v>
      </c>
      <c r="E1357" s="1" t="str">
        <f>IFERROR(__xludf.DUMMYFUNCTION("""COMPUTED_VALUE"""),"ARTIGAS Cristian C.")</f>
        <v>ARTIGAS Cristian C.</v>
      </c>
      <c r="F1357" s="1" t="str">
        <f t="shared" si="1"/>
        <v>ARTIGAS </v>
      </c>
      <c r="G1357" s="1" t="str">
        <f t="shared" si="2"/>
        <v>Cristian C.</v>
      </c>
      <c r="H1357" s="1" t="str">
        <f>IFERROR(__xludf.DUMMYFUNCTION("""COMPUTED_VALUE"""),"6/2/2023, 17:00:00")</f>
        <v>6/2/2023, 17:00:00</v>
      </c>
      <c r="I1357" s="1" t="str">
        <f>IFERROR(__xludf.DUMMYFUNCTION("""COMPUTED_VALUE"""),"RETIRADO OK POR CLIENTE")</f>
        <v>RETIRADO OK POR CLIENTE</v>
      </c>
      <c r="J1357" s="1">
        <f t="shared" si="3"/>
        <v>6</v>
      </c>
      <c r="K1357" s="1" t="str">
        <f t="shared" si="4"/>
        <v>Entregamos tus lentes, que los disfrutes!</v>
      </c>
    </row>
    <row r="1358">
      <c r="A1358" s="1">
        <f>IFERROR(__xludf.DUMMYFUNCTION("""COMPUTED_VALUE"""),85908.0)</f>
        <v>85908</v>
      </c>
      <c r="B1358" s="5">
        <f>IFERROR(__xludf.DUMMYFUNCTION("""COMPUTED_VALUE"""),44958.47785112269)</f>
        <v>44958.47785</v>
      </c>
      <c r="C1358" s="1" t="str">
        <f>IFERROR(__xludf.DUMMYFUNCTION("""COMPUTED_VALUE"""),"PRADO CORIA GEREMIAS")</f>
        <v>PRADO CORIA GEREMIAS</v>
      </c>
      <c r="D1358" s="1" t="str">
        <f>IFERROR(__xludf.DUMMYFUNCTION("""COMPUTED_VALUE"""),"Lentes de STOCK")</f>
        <v>Lentes de STOCK</v>
      </c>
      <c r="E1358" s="1" t="str">
        <f>IFERROR(__xludf.DUMMYFUNCTION("""COMPUTED_VALUE"""),"RIVADAVIA Daniel CM")</f>
        <v>RIVADAVIA Daniel CM</v>
      </c>
      <c r="F1358" s="1" t="str">
        <f t="shared" si="1"/>
        <v>RIVADAVIA </v>
      </c>
      <c r="G1358" s="1" t="str">
        <f t="shared" si="2"/>
        <v>Daniel CM</v>
      </c>
      <c r="H1358" s="1" t="str">
        <f>IFERROR(__xludf.DUMMYFUNCTION("""COMPUTED_VALUE"""),"6/2/2023, 17:00:00")</f>
        <v>6/2/2023, 17:00:00</v>
      </c>
      <c r="I1358" s="1" t="str">
        <f>IFERROR(__xludf.DUMMYFUNCTION("""COMPUTED_VALUE"""),"En Armado Hoy")</f>
        <v>En Armado Hoy</v>
      </c>
      <c r="J1358" s="1">
        <f t="shared" si="3"/>
        <v>3</v>
      </c>
      <c r="K1358" s="1" t="str">
        <f t="shared" si="4"/>
        <v>Estamos terminando los ultimos detalles de tus lentes, los terminaremos el dia de hoy.</v>
      </c>
    </row>
    <row r="1359">
      <c r="A1359" s="1">
        <f>IFERROR(__xludf.DUMMYFUNCTION("""COMPUTED_VALUE"""),85909.0)</f>
        <v>85909</v>
      </c>
      <c r="B1359" s="5">
        <f>IFERROR(__xludf.DUMMYFUNCTION("""COMPUTED_VALUE"""),44958.4795256713)</f>
        <v>44958.47953</v>
      </c>
      <c r="C1359" s="1" t="str">
        <f>IFERROR(__xludf.DUMMYFUNCTION("""COMPUTED_VALUE"""),"cittadini karina")</f>
        <v>cittadini karina</v>
      </c>
      <c r="D1359" s="1" t="str">
        <f>IFERROR(__xludf.DUMMYFUNCTION("""COMPUTED_VALUE"""),"Lentes MULTIFOCALES")</f>
        <v>Lentes MULTIFOCALES</v>
      </c>
      <c r="E1359" s="1" t="str">
        <f>IFERROR(__xludf.DUMMYFUNCTION("""COMPUTED_VALUE"""),"RIVADAVIA Santiago N")</f>
        <v>RIVADAVIA Santiago N</v>
      </c>
      <c r="F1359" s="1" t="str">
        <f t="shared" si="1"/>
        <v>RIVADAVIA </v>
      </c>
      <c r="G1359" s="1" t="str">
        <f t="shared" si="2"/>
        <v>Santiago N</v>
      </c>
      <c r="H1359" s="1" t="str">
        <f>IFERROR(__xludf.DUMMYFUNCTION("""COMPUTED_VALUE"""),"14/2/2023, 17:00:00")</f>
        <v>14/2/2023, 17:00:00</v>
      </c>
      <c r="I1359" s="1" t="str">
        <f>IFERROR(__xludf.DUMMYFUNCTION("""COMPUTED_VALUE"""),"Completado en SUCURSAL")</f>
        <v>Completado en SUCURSAL</v>
      </c>
      <c r="J1359" s="1">
        <f t="shared" si="3"/>
        <v>5</v>
      </c>
      <c r="K1359" s="1" t="str">
        <f t="shared" si="4"/>
        <v>Tus Lentes estan LISTAS PARA ENTREGAR, te esperamos.</v>
      </c>
    </row>
    <row r="1360">
      <c r="A1360" s="1">
        <f>IFERROR(__xludf.DUMMYFUNCTION("""COMPUTED_VALUE"""),85910.0)</f>
        <v>85910</v>
      </c>
      <c r="B1360" s="5">
        <f>IFERROR(__xludf.DUMMYFUNCTION("""COMPUTED_VALUE"""),44958.480683368056)</f>
        <v>44958.48068</v>
      </c>
      <c r="C1360" s="1" t="str">
        <f>IFERROR(__xludf.DUMMYFUNCTION("""COMPUTED_VALUE"""),"RETA, MARIA FELISA")</f>
        <v>RETA, MARIA FELISA</v>
      </c>
      <c r="D1360" s="1" t="str">
        <f>IFERROR(__xludf.DUMMYFUNCTION("""COMPUTED_VALUE"""),"Lentes de STOCK")</f>
        <v>Lentes de STOCK</v>
      </c>
      <c r="E1360" s="1" t="str">
        <f>IFERROR(__xludf.DUMMYFUNCTION("""COMPUTED_VALUE"""),"RIVADAVIA Santiago LOPEZ")</f>
        <v>RIVADAVIA Santiago LOPEZ</v>
      </c>
      <c r="F1360" s="1" t="str">
        <f t="shared" si="1"/>
        <v>RIVADAVIA </v>
      </c>
      <c r="G1360" s="1" t="str">
        <f t="shared" si="2"/>
        <v>Santiago LOPEZ</v>
      </c>
      <c r="H1360" s="1" t="str">
        <f>IFERROR(__xludf.DUMMYFUNCTION("""COMPUTED_VALUE"""),"4/2/2023, 17:00:00")</f>
        <v>4/2/2023, 17:00:00</v>
      </c>
      <c r="I1360" s="1" t="str">
        <f>IFERROR(__xludf.DUMMYFUNCTION("""COMPUTED_VALUE"""),"En Armado Hoy")</f>
        <v>En Armado Hoy</v>
      </c>
      <c r="J1360" s="1">
        <f t="shared" si="3"/>
        <v>3</v>
      </c>
      <c r="K1360" s="1" t="str">
        <f t="shared" si="4"/>
        <v>Estamos terminando los ultimos detalles de tus lentes, los terminaremos el dia de hoy.</v>
      </c>
    </row>
    <row r="1361">
      <c r="A1361" s="1">
        <f>IFERROR(__xludf.DUMMYFUNCTION("""COMPUTED_VALUE"""),85911.0)</f>
        <v>85911</v>
      </c>
      <c r="B1361" s="5">
        <f>IFERROR(__xludf.DUMMYFUNCTION("""COMPUTED_VALUE"""),44958.48129703704)</f>
        <v>44958.4813</v>
      </c>
      <c r="C1361" s="1" t="str">
        <f>IFERROR(__xludf.DUMMYFUNCTION("""COMPUTED_VALUE"""),"VILLEGAS ORIANA")</f>
        <v>VILLEGAS ORIANA</v>
      </c>
      <c r="D1361" s="1" t="str">
        <f>IFERROR(__xludf.DUMMYFUNCTION("""COMPUTED_VALUE"""),"Lentes de STOCK")</f>
        <v>Lentes de STOCK</v>
      </c>
      <c r="E1361" s="1" t="str">
        <f>IFERROR(__xludf.DUMMYFUNCTION("""COMPUTED_VALUE"""),"RIVADAVIA Luciana")</f>
        <v>RIVADAVIA Luciana</v>
      </c>
      <c r="F1361" s="1" t="str">
        <f t="shared" si="1"/>
        <v>RIVADAVIA </v>
      </c>
      <c r="G1361" s="1" t="str">
        <f t="shared" si="2"/>
        <v>Luciana</v>
      </c>
      <c r="H1361" s="1" t="str">
        <f>IFERROR(__xludf.DUMMYFUNCTION("""COMPUTED_VALUE"""),"9/2/2023, 17:00:00")</f>
        <v>9/2/2023, 17:00:00</v>
      </c>
      <c r="I1361" s="1" t="str">
        <f>IFERROR(__xludf.DUMMYFUNCTION("""COMPUTED_VALUE"""),"RETIRADO OK POR CLIENTE")</f>
        <v>RETIRADO OK POR CLIENTE</v>
      </c>
      <c r="J1361" s="1">
        <f t="shared" si="3"/>
        <v>6</v>
      </c>
      <c r="K1361" s="1" t="str">
        <f t="shared" si="4"/>
        <v>Entregamos tus lentes, que los disfrutes!</v>
      </c>
    </row>
    <row r="1362">
      <c r="A1362" s="1">
        <f>IFERROR(__xludf.DUMMYFUNCTION("""COMPUTED_VALUE"""),85912.0)</f>
        <v>85912</v>
      </c>
      <c r="B1362" s="5">
        <f>IFERROR(__xludf.DUMMYFUNCTION("""COMPUTED_VALUE"""),44958.48427429398)</f>
        <v>44958.48427</v>
      </c>
      <c r="C1362" s="1" t="str">
        <f>IFERROR(__xludf.DUMMYFUNCTION("""COMPUTED_VALUE"""),"Rojo Stella Maris")</f>
        <v>Rojo Stella Maris</v>
      </c>
      <c r="D1362" s="1" t="str">
        <f>IFERROR(__xludf.DUMMYFUNCTION("""COMPUTED_VALUE"""),"Lentes de STOCK")</f>
        <v>Lentes de STOCK</v>
      </c>
      <c r="E1362" s="1" t="str">
        <f>IFERROR(__xludf.DUMMYFUNCTION("""COMPUTED_VALUE"""),"ARTIGAS Roció")</f>
        <v>ARTIGAS Roció</v>
      </c>
      <c r="F1362" s="1" t="str">
        <f t="shared" si="1"/>
        <v>ARTIGAS </v>
      </c>
      <c r="G1362" s="1" t="str">
        <f t="shared" si="2"/>
        <v>Roció</v>
      </c>
      <c r="H1362" s="1" t="str">
        <f>IFERROR(__xludf.DUMMYFUNCTION("""COMPUTED_VALUE"""),"8/2/2023, 17:00:00")</f>
        <v>8/2/2023, 17:00:00</v>
      </c>
      <c r="I1362" s="1" t="str">
        <f>IFERROR(__xludf.DUMMYFUNCTION("""COMPUTED_VALUE"""),"RETIRADO OK POR CLIENTE")</f>
        <v>RETIRADO OK POR CLIENTE</v>
      </c>
      <c r="J1362" s="1">
        <f t="shared" si="3"/>
        <v>6</v>
      </c>
      <c r="K1362" s="1" t="str">
        <f t="shared" si="4"/>
        <v>Entregamos tus lentes, que los disfrutes!</v>
      </c>
    </row>
    <row r="1363">
      <c r="A1363" s="1">
        <f>IFERROR(__xludf.DUMMYFUNCTION("""COMPUTED_VALUE"""),85913.0)</f>
        <v>85913</v>
      </c>
      <c r="B1363" s="5">
        <f>IFERROR(__xludf.DUMMYFUNCTION("""COMPUTED_VALUE"""),44958.48990858796)</f>
        <v>44958.48991</v>
      </c>
      <c r="C1363" s="1" t="str">
        <f>IFERROR(__xludf.DUMMYFUNCTION("""COMPUTED_VALUE"""),"Gomez Jorge")</f>
        <v>Gomez Jorge</v>
      </c>
      <c r="D1363" s="1" t="str">
        <f>IFERROR(__xludf.DUMMYFUNCTION("""COMPUTED_VALUE"""),"Lentes de STOCK")</f>
        <v>Lentes de STOCK</v>
      </c>
      <c r="E1363" s="1" t="str">
        <f>IFERROR(__xludf.DUMMYFUNCTION("""COMPUTED_VALUE"""),"ARTIGAS Roció")</f>
        <v>ARTIGAS Roció</v>
      </c>
      <c r="F1363" s="1" t="str">
        <f t="shared" si="1"/>
        <v>ARTIGAS </v>
      </c>
      <c r="G1363" s="1" t="str">
        <f t="shared" si="2"/>
        <v>Roció</v>
      </c>
      <c r="H1363" s="1" t="str">
        <f>IFERROR(__xludf.DUMMYFUNCTION("""COMPUTED_VALUE"""),"8/2/2023, 17:00:00")</f>
        <v>8/2/2023, 17:00:00</v>
      </c>
      <c r="I1363" s="1" t="str">
        <f>IFERROR(__xludf.DUMMYFUNCTION("""COMPUTED_VALUE"""),"RETIRADO OK POR CLIENTE")</f>
        <v>RETIRADO OK POR CLIENTE</v>
      </c>
      <c r="J1363" s="1">
        <f t="shared" si="3"/>
        <v>6</v>
      </c>
      <c r="K1363" s="1" t="str">
        <f t="shared" si="4"/>
        <v>Entregamos tus lentes, que los disfrutes!</v>
      </c>
    </row>
    <row r="1364">
      <c r="A1364" s="1">
        <f>IFERROR(__xludf.DUMMYFUNCTION("""COMPUTED_VALUE"""),85914.0)</f>
        <v>85914</v>
      </c>
      <c r="B1364" s="5">
        <f>IFERROR(__xludf.DUMMYFUNCTION("""COMPUTED_VALUE"""),44958.49319175926)</f>
        <v>44958.49319</v>
      </c>
      <c r="C1364" s="1" t="str">
        <f>IFERROR(__xludf.DUMMYFUNCTION("""COMPUTED_VALUE"""),"BOLIVAR SOVEIDA")</f>
        <v>BOLIVAR SOVEIDA</v>
      </c>
      <c r="D1364" s="1" t="str">
        <f>IFERROR(__xludf.DUMMYFUNCTION("""COMPUTED_VALUE"""),"Reparaciones/Otros")</f>
        <v>Reparaciones/Otros</v>
      </c>
      <c r="E1364" s="1" t="str">
        <f>IFERROR(__xludf.DUMMYFUNCTION("""COMPUTED_VALUE"""),"ARTIGAS Roció")</f>
        <v>ARTIGAS Roció</v>
      </c>
      <c r="F1364" s="1" t="str">
        <f t="shared" si="1"/>
        <v>ARTIGAS </v>
      </c>
      <c r="G1364" s="1" t="str">
        <f t="shared" si="2"/>
        <v>Roció</v>
      </c>
      <c r="H1364" s="1" t="str">
        <f>IFERROR(__xludf.DUMMYFUNCTION("""COMPUTED_VALUE"""),"2/2/2023, 17:00:00")</f>
        <v>2/2/2023, 17:00:00</v>
      </c>
      <c r="I1364" s="1" t="str">
        <f>IFERROR(__xludf.DUMMYFUNCTION("""COMPUTED_VALUE"""),"Completado en SUCURSAL")</f>
        <v>Completado en SUCURSAL</v>
      </c>
      <c r="J1364" s="1">
        <f t="shared" si="3"/>
        <v>5</v>
      </c>
      <c r="K1364" s="1" t="str">
        <f t="shared" si="4"/>
        <v>Tus Lentes estan LISTAS PARA ENTREGAR, te esperamos.</v>
      </c>
    </row>
    <row r="1365">
      <c r="A1365" s="1">
        <f>IFERROR(__xludf.DUMMYFUNCTION("""COMPUTED_VALUE"""),85915.0)</f>
        <v>85915</v>
      </c>
      <c r="B1365" s="5">
        <f>IFERROR(__xludf.DUMMYFUNCTION("""COMPUTED_VALUE"""),44958.494811979166)</f>
        <v>44958.49481</v>
      </c>
      <c r="C1365" s="1" t="str">
        <f>IFERROR(__xludf.DUMMYFUNCTION("""COMPUTED_VALUE"""),"ALEGRIA FLORES JEREMIAS BENJAMIN")</f>
        <v>ALEGRIA FLORES JEREMIAS BENJAMIN</v>
      </c>
      <c r="D1365" s="1" t="str">
        <f>IFERROR(__xludf.DUMMYFUNCTION("""COMPUTED_VALUE"""),"Lentes de STOCK")</f>
        <v>Lentes de STOCK</v>
      </c>
      <c r="E1365" s="1" t="str">
        <f>IFERROR(__xludf.DUMMYFUNCTION("""COMPUTED_VALUE"""),"RIVADAVIA Marcela L")</f>
        <v>RIVADAVIA Marcela L</v>
      </c>
      <c r="F1365" s="1" t="str">
        <f t="shared" si="1"/>
        <v>RIVADAVIA </v>
      </c>
      <c r="G1365" s="1" t="str">
        <f t="shared" si="2"/>
        <v>Marcela L</v>
      </c>
      <c r="H1365" s="1" t="str">
        <f>IFERROR(__xludf.DUMMYFUNCTION("""COMPUTED_VALUE"""),"6/2/2023, 17:00:00")</f>
        <v>6/2/2023, 17:00:00</v>
      </c>
      <c r="I1365" s="1" t="str">
        <f>IFERROR(__xludf.DUMMYFUNCTION("""COMPUTED_VALUE"""),"En Armado Hoy")</f>
        <v>En Armado Hoy</v>
      </c>
      <c r="J1365" s="1">
        <f t="shared" si="3"/>
        <v>3</v>
      </c>
      <c r="K1365" s="1" t="str">
        <f t="shared" si="4"/>
        <v>Estamos terminando los ultimos detalles de tus lentes, los terminaremos el dia de hoy.</v>
      </c>
    </row>
    <row r="1366">
      <c r="A1366" s="1">
        <f>IFERROR(__xludf.DUMMYFUNCTION("""COMPUTED_VALUE"""),85916.0)</f>
        <v>85916</v>
      </c>
      <c r="B1366" s="5">
        <f>IFERROR(__xludf.DUMMYFUNCTION("""COMPUTED_VALUE"""),44958.49803108796)</f>
        <v>44958.49803</v>
      </c>
      <c r="C1366" s="1" t="str">
        <f>IFERROR(__xludf.DUMMYFUNCTION("""COMPUTED_VALUE"""),"CABAÑEZ JOSE ANTONIO")</f>
        <v>CABAÑEZ JOSE ANTONIO</v>
      </c>
      <c r="D1366" s="1" t="str">
        <f>IFERROR(__xludf.DUMMYFUNCTION("""COMPUTED_VALUE"""),"Lentes de STOCK")</f>
        <v>Lentes de STOCK</v>
      </c>
      <c r="E1366" s="1" t="str">
        <f>IFERROR(__xludf.DUMMYFUNCTION("""COMPUTED_VALUE"""),"ARTIGAS Roció")</f>
        <v>ARTIGAS Roció</v>
      </c>
      <c r="F1366" s="1" t="str">
        <f t="shared" si="1"/>
        <v>ARTIGAS </v>
      </c>
      <c r="G1366" s="1" t="str">
        <f t="shared" si="2"/>
        <v>Roció</v>
      </c>
      <c r="H1366" s="1" t="str">
        <f>IFERROR(__xludf.DUMMYFUNCTION("""COMPUTED_VALUE"""),"8/2/2023, 17:00:00")</f>
        <v>8/2/2023, 17:00:00</v>
      </c>
      <c r="I1366" s="1" t="str">
        <f>IFERROR(__xludf.DUMMYFUNCTION("""COMPUTED_VALUE"""),"RETIRADO OK POR CLIENTE")</f>
        <v>RETIRADO OK POR CLIENTE</v>
      </c>
      <c r="J1366" s="1">
        <f t="shared" si="3"/>
        <v>6</v>
      </c>
      <c r="K1366" s="1" t="str">
        <f t="shared" si="4"/>
        <v>Entregamos tus lentes, que los disfrutes!</v>
      </c>
    </row>
    <row r="1367">
      <c r="A1367" s="1">
        <f>IFERROR(__xludf.DUMMYFUNCTION("""COMPUTED_VALUE"""),85917.0)</f>
        <v>85917</v>
      </c>
      <c r="B1367" s="5">
        <f>IFERROR(__xludf.DUMMYFUNCTION("""COMPUTED_VALUE"""),44958.49828746528)</f>
        <v>44958.49829</v>
      </c>
      <c r="C1367" s="1" t="str">
        <f>IFERROR(__xludf.DUMMYFUNCTION("""COMPUTED_VALUE"""),"NUÑEZ EDUARDO ")</f>
        <v>NUÑEZ EDUARDO </v>
      </c>
      <c r="D1367" s="1" t="str">
        <f>IFERROR(__xludf.DUMMYFUNCTION("""COMPUTED_VALUE"""),"Lentes de STOCK")</f>
        <v>Lentes de STOCK</v>
      </c>
      <c r="E1367" s="1" t="str">
        <f>IFERROR(__xludf.DUMMYFUNCTION("""COMPUTED_VALUE"""),"RIVADAVIA Luciana")</f>
        <v>RIVADAVIA Luciana</v>
      </c>
      <c r="F1367" s="1" t="str">
        <f t="shared" si="1"/>
        <v>RIVADAVIA </v>
      </c>
      <c r="G1367" s="1" t="str">
        <f t="shared" si="2"/>
        <v>Luciana</v>
      </c>
      <c r="H1367" s="1" t="str">
        <f>IFERROR(__xludf.DUMMYFUNCTION("""COMPUTED_VALUE"""),"7/2/2023, 17:00:00")</f>
        <v>7/2/2023, 17:00:00</v>
      </c>
      <c r="I1367" s="1" t="str">
        <f>IFERROR(__xludf.DUMMYFUNCTION("""COMPUTED_VALUE"""),"RETIRADO OK POR CLIENTE")</f>
        <v>RETIRADO OK POR CLIENTE</v>
      </c>
      <c r="J1367" s="1">
        <f t="shared" si="3"/>
        <v>6</v>
      </c>
      <c r="K1367" s="1" t="str">
        <f t="shared" si="4"/>
        <v>Entregamos tus lentes, que los disfrutes!</v>
      </c>
    </row>
    <row r="1368">
      <c r="A1368" s="1">
        <f>IFERROR(__xludf.DUMMYFUNCTION("""COMPUTED_VALUE"""),85918.0)</f>
        <v>85918</v>
      </c>
      <c r="B1368" s="5">
        <f>IFERROR(__xludf.DUMMYFUNCTION("""COMPUTED_VALUE"""),44958.49922575231)</f>
        <v>44958.49923</v>
      </c>
      <c r="C1368" s="1" t="str">
        <f>IFERROR(__xludf.DUMMYFUNCTION("""COMPUTED_VALUE"""),"mallia mariano")</f>
        <v>mallia mariano</v>
      </c>
      <c r="D1368" s="1" t="str">
        <f>IFERROR(__xludf.DUMMYFUNCTION("""COMPUTED_VALUE"""),"Lentes de STOCK")</f>
        <v>Lentes de STOCK</v>
      </c>
      <c r="E1368" s="1" t="str">
        <f>IFERROR(__xludf.DUMMYFUNCTION("""COMPUTED_VALUE"""),"RIVADAVIA Santiago N")</f>
        <v>RIVADAVIA Santiago N</v>
      </c>
      <c r="F1368" s="1" t="str">
        <f t="shared" si="1"/>
        <v>RIVADAVIA </v>
      </c>
      <c r="G1368" s="1" t="str">
        <f t="shared" si="2"/>
        <v>Santiago N</v>
      </c>
      <c r="H1368" s="1" t="str">
        <f>IFERROR(__xludf.DUMMYFUNCTION("""COMPUTED_VALUE"""),"7/2/2023, 17:00:00")</f>
        <v>7/2/2023, 17:00:00</v>
      </c>
      <c r="I1368" s="1" t="str">
        <f>IFERROR(__xludf.DUMMYFUNCTION("""COMPUTED_VALUE"""),"RETIRADO OK POR CLIENTE")</f>
        <v>RETIRADO OK POR CLIENTE</v>
      </c>
      <c r="J1368" s="1">
        <f t="shared" si="3"/>
        <v>6</v>
      </c>
      <c r="K1368" s="1" t="str">
        <f t="shared" si="4"/>
        <v>Entregamos tus lentes, que los disfrutes!</v>
      </c>
    </row>
    <row r="1369">
      <c r="A1369" s="1">
        <f>IFERROR(__xludf.DUMMYFUNCTION("""COMPUTED_VALUE"""),85919.0)</f>
        <v>85919</v>
      </c>
      <c r="B1369" s="5">
        <f>IFERROR(__xludf.DUMMYFUNCTION("""COMPUTED_VALUE"""),44958.50115984953)</f>
        <v>44958.50116</v>
      </c>
      <c r="C1369" s="1" t="str">
        <f>IFERROR(__xludf.DUMMYFUNCTION("""COMPUTED_VALUE"""),"ESTRUGO ALICIA")</f>
        <v>ESTRUGO ALICIA</v>
      </c>
      <c r="D1369" s="1" t="str">
        <f>IFERROR(__xludf.DUMMYFUNCTION("""COMPUTED_VALUE"""),"Lentes MULTIFOCALES")</f>
        <v>Lentes MULTIFOCALES</v>
      </c>
      <c r="E1369" s="1" t="str">
        <f>IFERROR(__xludf.DUMMYFUNCTION("""COMPUTED_VALUE"""),"RIVADAVIA Santiago LOPEZ")</f>
        <v>RIVADAVIA Santiago LOPEZ</v>
      </c>
      <c r="F1369" s="1" t="str">
        <f t="shared" si="1"/>
        <v>RIVADAVIA </v>
      </c>
      <c r="G1369" s="1" t="str">
        <f t="shared" si="2"/>
        <v>Santiago LOPEZ</v>
      </c>
      <c r="H1369" s="1" t="str">
        <f>IFERROR(__xludf.DUMMYFUNCTION("""COMPUTED_VALUE"""),"15/2/2023, 17:00:00")</f>
        <v>15/2/2023, 17:00:00</v>
      </c>
      <c r="I1369" s="1" t="str">
        <f>IFERROR(__xludf.DUMMYFUNCTION("""COMPUTED_VALUE"""),"RETIRADO OK POR CLIENTE")</f>
        <v>RETIRADO OK POR CLIENTE</v>
      </c>
      <c r="J1369" s="1">
        <f t="shared" si="3"/>
        <v>6</v>
      </c>
      <c r="K1369" s="1" t="str">
        <f t="shared" si="4"/>
        <v>Entregamos tus lentes, que los disfrutes!</v>
      </c>
    </row>
    <row r="1370">
      <c r="A1370" s="1">
        <f>IFERROR(__xludf.DUMMYFUNCTION("""COMPUTED_VALUE"""),85920.0)</f>
        <v>85920</v>
      </c>
      <c r="B1370" s="5">
        <f>IFERROR(__xludf.DUMMYFUNCTION("""COMPUTED_VALUE"""),44958.50709537037)</f>
        <v>44958.5071</v>
      </c>
      <c r="C1370" s="1" t="str">
        <f>IFERROR(__xludf.DUMMYFUNCTION("""COMPUTED_VALUE"""),"VILLEGAS MAXIMO ")</f>
        <v>VILLEGAS MAXIMO </v>
      </c>
      <c r="D1370" s="1" t="str">
        <f>IFERROR(__xludf.DUMMYFUNCTION("""COMPUTED_VALUE"""),"Lentes de STOCK")</f>
        <v>Lentes de STOCK</v>
      </c>
      <c r="E1370" s="1" t="str">
        <f>IFERROR(__xludf.DUMMYFUNCTION("""COMPUTED_VALUE"""),"RIVADAVIA Luciana")</f>
        <v>RIVADAVIA Luciana</v>
      </c>
      <c r="F1370" s="1" t="str">
        <f t="shared" si="1"/>
        <v>RIVADAVIA </v>
      </c>
      <c r="G1370" s="1" t="str">
        <f t="shared" si="2"/>
        <v>Luciana</v>
      </c>
      <c r="H1370" s="1" t="str">
        <f>IFERROR(__xludf.DUMMYFUNCTION("""COMPUTED_VALUE"""),"6/2/2023, 17:00:00")</f>
        <v>6/2/2023, 17:00:00</v>
      </c>
      <c r="I1370" s="1" t="str">
        <f>IFERROR(__xludf.DUMMYFUNCTION("""COMPUTED_VALUE"""),"En Armado Hoy")</f>
        <v>En Armado Hoy</v>
      </c>
      <c r="J1370" s="1">
        <f t="shared" si="3"/>
        <v>3</v>
      </c>
      <c r="K1370" s="1" t="str">
        <f t="shared" si="4"/>
        <v>Estamos terminando los ultimos detalles de tus lentes, los terminaremos el dia de hoy.</v>
      </c>
    </row>
    <row r="1371">
      <c r="A1371" s="1">
        <f>IFERROR(__xludf.DUMMYFUNCTION("""COMPUTED_VALUE"""),85921.0)</f>
        <v>85921</v>
      </c>
      <c r="B1371" s="5">
        <f>IFERROR(__xludf.DUMMYFUNCTION("""COMPUTED_VALUE"""),44958.507285879634)</f>
        <v>44958.50729</v>
      </c>
      <c r="C1371" s="1" t="str">
        <f>IFERROR(__xludf.DUMMYFUNCTION("""COMPUTED_VALUE"""),"Bustos Silvia")</f>
        <v>Bustos Silvia</v>
      </c>
      <c r="D1371" s="1" t="str">
        <f>IFERROR(__xludf.DUMMYFUNCTION("""COMPUTED_VALUE"""),"Lentes de STOCK")</f>
        <v>Lentes de STOCK</v>
      </c>
      <c r="E1371" s="1" t="str">
        <f>IFERROR(__xludf.DUMMYFUNCTION("""COMPUTED_VALUE"""),"ARTIGAS Roció")</f>
        <v>ARTIGAS Roció</v>
      </c>
      <c r="F1371" s="1" t="str">
        <f t="shared" si="1"/>
        <v>ARTIGAS </v>
      </c>
      <c r="G1371" s="1" t="str">
        <f t="shared" si="2"/>
        <v>Roció</v>
      </c>
      <c r="H1371" s="1" t="str">
        <f>IFERROR(__xludf.DUMMYFUNCTION("""COMPUTED_VALUE"""),"8/2/2023, 17:00:00")</f>
        <v>8/2/2023, 17:00:00</v>
      </c>
      <c r="I1371" s="1" t="str">
        <f>IFERROR(__xludf.DUMMYFUNCTION("""COMPUTED_VALUE"""),"RETIRADO OK POR CLIENTE")</f>
        <v>RETIRADO OK POR CLIENTE</v>
      </c>
      <c r="J1371" s="1">
        <f t="shared" si="3"/>
        <v>6</v>
      </c>
      <c r="K1371" s="1" t="str">
        <f t="shared" si="4"/>
        <v>Entregamos tus lentes, que los disfrutes!</v>
      </c>
    </row>
    <row r="1372">
      <c r="A1372" s="1">
        <f>IFERROR(__xludf.DUMMYFUNCTION("""COMPUTED_VALUE"""),85922.0)</f>
        <v>85922</v>
      </c>
      <c r="B1372" s="5">
        <f>IFERROR(__xludf.DUMMYFUNCTION("""COMPUTED_VALUE"""),44958.522602048615)</f>
        <v>44958.5226</v>
      </c>
      <c r="C1372" s="1" t="str">
        <f>IFERROR(__xludf.DUMMYFUNCTION("""COMPUTED_VALUE"""),"SOSA MARIA EUGENIA")</f>
        <v>SOSA MARIA EUGENIA</v>
      </c>
      <c r="D1372" s="1" t="str">
        <f>IFERROR(__xludf.DUMMYFUNCTION("""COMPUTED_VALUE"""),"Lentes de STOCK")</f>
        <v>Lentes de STOCK</v>
      </c>
      <c r="E1372" s="1" t="str">
        <f>IFERROR(__xludf.DUMMYFUNCTION("""COMPUTED_VALUE"""),"RIVADAVIA Marcela L")</f>
        <v>RIVADAVIA Marcela L</v>
      </c>
      <c r="F1372" s="1" t="str">
        <f t="shared" si="1"/>
        <v>RIVADAVIA </v>
      </c>
      <c r="G1372" s="1" t="str">
        <f t="shared" si="2"/>
        <v>Marcela L</v>
      </c>
      <c r="H1372" s="1" t="str">
        <f>IFERROR(__xludf.DUMMYFUNCTION("""COMPUTED_VALUE"""),"7/2/2023, 17:00:00")</f>
        <v>7/2/2023, 17:00:00</v>
      </c>
      <c r="I1372" s="1" t="str">
        <f>IFERROR(__xludf.DUMMYFUNCTION("""COMPUTED_VALUE"""),"Recibido en Laboratorio")</f>
        <v>Recibido en Laboratorio</v>
      </c>
      <c r="J1372" s="1">
        <f t="shared" si="3"/>
        <v>2</v>
      </c>
      <c r="K1372" s="1" t="str">
        <f t="shared" si="4"/>
        <v>Nuestro Laboratorio esta trabajando en tus lentes, los entregaremos en la fecha acordada.</v>
      </c>
    </row>
    <row r="1373">
      <c r="A1373" s="1">
        <f>IFERROR(__xludf.DUMMYFUNCTION("""COMPUTED_VALUE"""),85923.0)</f>
        <v>85923</v>
      </c>
      <c r="B1373" s="5">
        <f>IFERROR(__xludf.DUMMYFUNCTION("""COMPUTED_VALUE"""),44958.524685717595)</f>
        <v>44958.52469</v>
      </c>
      <c r="C1373" s="1" t="str">
        <f>IFERROR(__xludf.DUMMYFUNCTION("""COMPUTED_VALUE"""),"TRANI MARCELA")</f>
        <v>TRANI MARCELA</v>
      </c>
      <c r="D1373" s="1" t="str">
        <f>IFERROR(__xludf.DUMMYFUNCTION("""COMPUTED_VALUE"""),"Lentes de STOCK")</f>
        <v>Lentes de STOCK</v>
      </c>
      <c r="E1373" s="1" t="str">
        <f>IFERROR(__xludf.DUMMYFUNCTION("""COMPUTED_VALUE"""),"RIVADAVIA Luciana")</f>
        <v>RIVADAVIA Luciana</v>
      </c>
      <c r="F1373" s="1" t="str">
        <f t="shared" si="1"/>
        <v>RIVADAVIA </v>
      </c>
      <c r="G1373" s="1" t="str">
        <f t="shared" si="2"/>
        <v>Luciana</v>
      </c>
      <c r="H1373" s="1" t="str">
        <f>IFERROR(__xludf.DUMMYFUNCTION("""COMPUTED_VALUE"""),"7/2/2023, 17:00:00")</f>
        <v>7/2/2023, 17:00:00</v>
      </c>
      <c r="I1373" s="1" t="str">
        <f>IFERROR(__xludf.DUMMYFUNCTION("""COMPUTED_VALUE"""),"Recibido en Laboratorio")</f>
        <v>Recibido en Laboratorio</v>
      </c>
      <c r="J1373" s="1">
        <f t="shared" si="3"/>
        <v>2</v>
      </c>
      <c r="K1373" s="1" t="str">
        <f t="shared" si="4"/>
        <v>Nuestro Laboratorio esta trabajando en tus lentes, los entregaremos en la fecha acordada.</v>
      </c>
    </row>
    <row r="1374">
      <c r="A1374" s="1">
        <f>IFERROR(__xludf.DUMMYFUNCTION("""COMPUTED_VALUE"""),85924.0)</f>
        <v>85924</v>
      </c>
      <c r="B1374" s="5">
        <f>IFERROR(__xludf.DUMMYFUNCTION("""COMPUTED_VALUE"""),44958.52668585649)</f>
        <v>44958.52669</v>
      </c>
      <c r="C1374" s="1" t="str">
        <f>IFERROR(__xludf.DUMMYFUNCTION("""COMPUTED_VALUE"""),"AZZI GRACIELA ")</f>
        <v>AZZI GRACIELA </v>
      </c>
      <c r="D1374" s="1" t="str">
        <f>IFERROR(__xludf.DUMMYFUNCTION("""COMPUTED_VALUE"""),"Lentes de STOCK")</f>
        <v>Lentes de STOCK</v>
      </c>
      <c r="E1374" s="1" t="str">
        <f>IFERROR(__xludf.DUMMYFUNCTION("""COMPUTED_VALUE"""),"ARTIGAS Cristian C.")</f>
        <v>ARTIGAS Cristian C.</v>
      </c>
      <c r="F1374" s="1" t="str">
        <f t="shared" si="1"/>
        <v>ARTIGAS </v>
      </c>
      <c r="G1374" s="1" t="str">
        <f t="shared" si="2"/>
        <v>Cristian C.</v>
      </c>
      <c r="H1374" s="1" t="str">
        <f>IFERROR(__xludf.DUMMYFUNCTION("""COMPUTED_VALUE"""),"7/2/2023, 17:00:00")</f>
        <v>7/2/2023, 17:00:00</v>
      </c>
      <c r="I1374" s="1" t="str">
        <f>IFERROR(__xludf.DUMMYFUNCTION("""COMPUTED_VALUE"""),"RETIRADO OK POR CLIENTE")</f>
        <v>RETIRADO OK POR CLIENTE</v>
      </c>
      <c r="J1374" s="1">
        <f t="shared" si="3"/>
        <v>6</v>
      </c>
      <c r="K1374" s="1" t="str">
        <f t="shared" si="4"/>
        <v>Entregamos tus lentes, que los disfrutes!</v>
      </c>
    </row>
    <row r="1375">
      <c r="A1375" s="1">
        <f>IFERROR(__xludf.DUMMYFUNCTION("""COMPUTED_VALUE"""),85925.0)</f>
        <v>85925</v>
      </c>
      <c r="B1375" s="5">
        <f>IFERROR(__xludf.DUMMYFUNCTION("""COMPUTED_VALUE"""),44958.52760221065)</f>
        <v>44958.5276</v>
      </c>
      <c r="C1375" s="1" t="str">
        <f>IFERROR(__xludf.DUMMYFUNCTION("""COMPUTED_VALUE"""),"flores ojeda michael")</f>
        <v>flores ojeda michael</v>
      </c>
      <c r="D1375" s="1" t="str">
        <f>IFERROR(__xludf.DUMMYFUNCTION("""COMPUTED_VALUE"""),"Lentes de STOCK")</f>
        <v>Lentes de STOCK</v>
      </c>
      <c r="E1375" s="1" t="str">
        <f>IFERROR(__xludf.DUMMYFUNCTION("""COMPUTED_VALUE"""),"RIVADAVIA Santiago N")</f>
        <v>RIVADAVIA Santiago N</v>
      </c>
      <c r="F1375" s="1" t="str">
        <f t="shared" si="1"/>
        <v>RIVADAVIA </v>
      </c>
      <c r="G1375" s="1" t="str">
        <f t="shared" si="2"/>
        <v>Santiago N</v>
      </c>
      <c r="H1375" s="1" t="str">
        <f>IFERROR(__xludf.DUMMYFUNCTION("""COMPUTED_VALUE"""),"6/2/2023, 17:00:00")</f>
        <v>6/2/2023, 17:00:00</v>
      </c>
      <c r="I1375" s="1" t="str">
        <f>IFERROR(__xludf.DUMMYFUNCTION("""COMPUTED_VALUE"""),"RETIRADO OK POR CLIENTE")</f>
        <v>RETIRADO OK POR CLIENTE</v>
      </c>
      <c r="J1375" s="1">
        <f t="shared" si="3"/>
        <v>6</v>
      </c>
      <c r="K1375" s="1" t="str">
        <f t="shared" si="4"/>
        <v>Entregamos tus lentes, que los disfrutes!</v>
      </c>
    </row>
    <row r="1376">
      <c r="A1376" s="1">
        <f>IFERROR(__xludf.DUMMYFUNCTION("""COMPUTED_VALUE"""),85926.0)</f>
        <v>85926</v>
      </c>
      <c r="B1376" s="5">
        <f>IFERROR(__xludf.DUMMYFUNCTION("""COMPUTED_VALUE"""),44958.534591805554)</f>
        <v>44958.53459</v>
      </c>
      <c r="C1376" s="1" t="str">
        <f>IFERROR(__xludf.DUMMYFUNCTION("""COMPUTED_VALUE"""),"FLORES VALERIA NOEMI")</f>
        <v>FLORES VALERIA NOEMI</v>
      </c>
      <c r="D1376" s="1" t="str">
        <f>IFERROR(__xludf.DUMMYFUNCTION("""COMPUTED_VALUE"""),"Lentes de STOCK")</f>
        <v>Lentes de STOCK</v>
      </c>
      <c r="E1376" s="1" t="str">
        <f>IFERROR(__xludf.DUMMYFUNCTION("""COMPUTED_VALUE"""),"RIVADAVIA Marcela L")</f>
        <v>RIVADAVIA Marcela L</v>
      </c>
      <c r="F1376" s="1" t="str">
        <f t="shared" si="1"/>
        <v>RIVADAVIA </v>
      </c>
      <c r="G1376" s="1" t="str">
        <f t="shared" si="2"/>
        <v>Marcela L</v>
      </c>
      <c r="H1376" s="1" t="str">
        <f>IFERROR(__xludf.DUMMYFUNCTION("""COMPUTED_VALUE"""),"7/2/2023, 17:00:00")</f>
        <v>7/2/2023, 17:00:00</v>
      </c>
      <c r="I1376" s="1" t="str">
        <f>IFERROR(__xludf.DUMMYFUNCTION("""COMPUTED_VALUE"""),"Recibido en Laboratorio")</f>
        <v>Recibido en Laboratorio</v>
      </c>
      <c r="J1376" s="1">
        <f t="shared" si="3"/>
        <v>2</v>
      </c>
      <c r="K1376" s="1" t="str">
        <f t="shared" si="4"/>
        <v>Nuestro Laboratorio esta trabajando en tus lentes, los entregaremos en la fecha acordada.</v>
      </c>
    </row>
    <row r="1377">
      <c r="A1377" s="1">
        <f>IFERROR(__xludf.DUMMYFUNCTION("""COMPUTED_VALUE"""),85927.0)</f>
        <v>85927</v>
      </c>
      <c r="B1377" s="5">
        <f>IFERROR(__xludf.DUMMYFUNCTION("""COMPUTED_VALUE"""),44958.538206296296)</f>
        <v>44958.53821</v>
      </c>
      <c r="C1377" s="1" t="str">
        <f>IFERROR(__xludf.DUMMYFUNCTION("""COMPUTED_VALUE"""),"GOMEZ MARIA")</f>
        <v>GOMEZ MARIA</v>
      </c>
      <c r="D1377" s="1" t="str">
        <f>IFERROR(__xludf.DUMMYFUNCTION("""COMPUTED_VALUE"""),"Lentes MULTIFOCALES")</f>
        <v>Lentes MULTIFOCALES</v>
      </c>
      <c r="E1377" s="1" t="str">
        <f>IFERROR(__xludf.DUMMYFUNCTION("""COMPUTED_VALUE"""),"ARTIGAS Roció")</f>
        <v>ARTIGAS Roció</v>
      </c>
      <c r="F1377" s="1" t="str">
        <f t="shared" si="1"/>
        <v>ARTIGAS </v>
      </c>
      <c r="G1377" s="1" t="str">
        <f t="shared" si="2"/>
        <v>Roció</v>
      </c>
      <c r="H1377" s="1" t="str">
        <f>IFERROR(__xludf.DUMMYFUNCTION("""COMPUTED_VALUE"""),"16/2/2023, 17:00:00")</f>
        <v>16/2/2023, 17:00:00</v>
      </c>
      <c r="I1377" s="1" t="str">
        <f>IFERROR(__xludf.DUMMYFUNCTION("""COMPUTED_VALUE"""),"RETIRADO OK POR CLIENTE")</f>
        <v>RETIRADO OK POR CLIENTE</v>
      </c>
      <c r="J1377" s="1">
        <f t="shared" si="3"/>
        <v>6</v>
      </c>
      <c r="K1377" s="1" t="str">
        <f t="shared" si="4"/>
        <v>Entregamos tus lentes, que los disfrutes!</v>
      </c>
    </row>
    <row r="1378">
      <c r="A1378" s="1">
        <f>IFERROR(__xludf.DUMMYFUNCTION("""COMPUTED_VALUE"""),85928.0)</f>
        <v>85928</v>
      </c>
      <c r="B1378" s="5">
        <f>IFERROR(__xludf.DUMMYFUNCTION("""COMPUTED_VALUE"""),44958.541183611116)</f>
        <v>44958.54118</v>
      </c>
      <c r="C1378" s="1" t="str">
        <f>IFERROR(__xludf.DUMMYFUNCTION("""COMPUTED_VALUE"""),"Gatica Jose")</f>
        <v>Gatica Jose</v>
      </c>
      <c r="D1378" s="1" t="str">
        <f>IFERROR(__xludf.DUMMYFUNCTION("""COMPUTED_VALUE"""),"Lentes de STOCK")</f>
        <v>Lentes de STOCK</v>
      </c>
      <c r="E1378" s="1" t="str">
        <f>IFERROR(__xludf.DUMMYFUNCTION("""COMPUTED_VALUE"""),"ARTIGAS Roció")</f>
        <v>ARTIGAS Roció</v>
      </c>
      <c r="F1378" s="1" t="str">
        <f t="shared" si="1"/>
        <v>ARTIGAS </v>
      </c>
      <c r="G1378" s="1" t="str">
        <f t="shared" si="2"/>
        <v>Roció</v>
      </c>
      <c r="H1378" s="1" t="str">
        <f>IFERROR(__xludf.DUMMYFUNCTION("""COMPUTED_VALUE"""),"9/2/2023, 17:00:00")</f>
        <v>9/2/2023, 17:00:00</v>
      </c>
      <c r="I1378" s="1" t="str">
        <f>IFERROR(__xludf.DUMMYFUNCTION("""COMPUTED_VALUE"""),"RETIRADO OK POR CLIENTE")</f>
        <v>RETIRADO OK POR CLIENTE</v>
      </c>
      <c r="J1378" s="1">
        <f t="shared" si="3"/>
        <v>6</v>
      </c>
      <c r="K1378" s="1" t="str">
        <f t="shared" si="4"/>
        <v>Entregamos tus lentes, que los disfrutes!</v>
      </c>
    </row>
    <row r="1379">
      <c r="A1379" s="1">
        <f>IFERROR(__xludf.DUMMYFUNCTION("""COMPUTED_VALUE"""),85929.0)</f>
        <v>85929</v>
      </c>
      <c r="B1379" s="5">
        <f>IFERROR(__xludf.DUMMYFUNCTION("""COMPUTED_VALUE"""),44958.543036863426)</f>
        <v>44958.54304</v>
      </c>
      <c r="C1379" s="1" t="str">
        <f>IFERROR(__xludf.DUMMYFUNCTION("""COMPUTED_VALUE"""),"pelozatto andrea")</f>
        <v>pelozatto andrea</v>
      </c>
      <c r="D1379" s="1" t="str">
        <f>IFERROR(__xludf.DUMMYFUNCTION("""COMPUTED_VALUE"""),"Lentes de STOCK")</f>
        <v>Lentes de STOCK</v>
      </c>
      <c r="E1379" s="1" t="str">
        <f>IFERROR(__xludf.DUMMYFUNCTION("""COMPUTED_VALUE"""),"RIVADAVIA Santiago N")</f>
        <v>RIVADAVIA Santiago N</v>
      </c>
      <c r="F1379" s="1" t="str">
        <f t="shared" si="1"/>
        <v>RIVADAVIA </v>
      </c>
      <c r="G1379" s="1" t="str">
        <f t="shared" si="2"/>
        <v>Santiago N</v>
      </c>
      <c r="H1379" s="1" t="str">
        <f>IFERROR(__xludf.DUMMYFUNCTION("""COMPUTED_VALUE"""),"3/2/2023, 17:00:00")</f>
        <v>3/2/2023, 17:00:00</v>
      </c>
      <c r="I1379" s="1" t="str">
        <f>IFERROR(__xludf.DUMMYFUNCTION("""COMPUTED_VALUE"""),"Completado en SUCURSAL")</f>
        <v>Completado en SUCURSAL</v>
      </c>
      <c r="J1379" s="1">
        <f t="shared" si="3"/>
        <v>5</v>
      </c>
      <c r="K1379" s="1" t="str">
        <f t="shared" si="4"/>
        <v>Tus Lentes estan LISTAS PARA ENTREGAR, te esperamos.</v>
      </c>
    </row>
    <row r="1380">
      <c r="A1380" s="1">
        <f>IFERROR(__xludf.DUMMYFUNCTION("""COMPUTED_VALUE"""),85930.0)</f>
        <v>85930</v>
      </c>
      <c r="B1380" s="5">
        <f>IFERROR(__xludf.DUMMYFUNCTION("""COMPUTED_VALUE"""),44958.54709835648)</f>
        <v>44958.5471</v>
      </c>
      <c r="C1380" s="1" t="str">
        <f>IFERROR(__xludf.DUMMYFUNCTION("""COMPUTED_VALUE"""),"LEDESMA ROSALES MARIA PIA")</f>
        <v>LEDESMA ROSALES MARIA PIA</v>
      </c>
      <c r="D1380" s="1" t="str">
        <f>IFERROR(__xludf.DUMMYFUNCTION("""COMPUTED_VALUE"""),"Lentes de STOCK")</f>
        <v>Lentes de STOCK</v>
      </c>
      <c r="E1380" s="1" t="str">
        <f>IFERROR(__xludf.DUMMYFUNCTION("""COMPUTED_VALUE"""),"RIVADAVIA Marcela L")</f>
        <v>RIVADAVIA Marcela L</v>
      </c>
      <c r="F1380" s="1" t="str">
        <f t="shared" si="1"/>
        <v>RIVADAVIA </v>
      </c>
      <c r="G1380" s="1" t="str">
        <f t="shared" si="2"/>
        <v>Marcela L</v>
      </c>
      <c r="H1380" s="1" t="str">
        <f>IFERROR(__xludf.DUMMYFUNCTION("""COMPUTED_VALUE"""),"7/2/2023, 17:00:00")</f>
        <v>7/2/2023, 17:00:00</v>
      </c>
      <c r="I1380" s="1" t="str">
        <f>IFERROR(__xludf.DUMMYFUNCTION("""COMPUTED_VALUE"""),"Recibido en Laboratorio")</f>
        <v>Recibido en Laboratorio</v>
      </c>
      <c r="J1380" s="1">
        <f t="shared" si="3"/>
        <v>2</v>
      </c>
      <c r="K1380" s="1" t="str">
        <f t="shared" si="4"/>
        <v>Nuestro Laboratorio esta trabajando en tus lentes, los entregaremos en la fecha acordada.</v>
      </c>
    </row>
    <row r="1381">
      <c r="A1381" s="1">
        <f>IFERROR(__xludf.DUMMYFUNCTION("""COMPUTED_VALUE"""),85931.0)</f>
        <v>85931</v>
      </c>
      <c r="B1381" s="5">
        <f>IFERROR(__xludf.DUMMYFUNCTION("""COMPUTED_VALUE"""),44958.549703055556)</f>
        <v>44958.5497</v>
      </c>
      <c r="C1381" s="1" t="str">
        <f>IFERROR(__xludf.DUMMYFUNCTION("""COMPUTED_VALUE"""),"lucero erica")</f>
        <v>lucero erica</v>
      </c>
      <c r="D1381" s="1" t="str">
        <f>IFERROR(__xludf.DUMMYFUNCTION("""COMPUTED_VALUE"""),"Reparaciones/Otros")</f>
        <v>Reparaciones/Otros</v>
      </c>
      <c r="E1381" s="1" t="str">
        <f>IFERROR(__xludf.DUMMYFUNCTION("""COMPUTED_VALUE"""),"RIVADAVIA Santiago N")</f>
        <v>RIVADAVIA Santiago N</v>
      </c>
      <c r="F1381" s="1" t="str">
        <f t="shared" si="1"/>
        <v>RIVADAVIA </v>
      </c>
      <c r="G1381" s="1" t="str">
        <f t="shared" si="2"/>
        <v>Santiago N</v>
      </c>
      <c r="H1381" s="1" t="str">
        <f>IFERROR(__xludf.DUMMYFUNCTION("""COMPUTED_VALUE"""),"2/2/2023, 17:00:00")</f>
        <v>2/2/2023, 17:00:00</v>
      </c>
      <c r="I1381" s="1" t="str">
        <f>IFERROR(__xludf.DUMMYFUNCTION("""COMPUTED_VALUE"""),"Completado en SUCURSAL")</f>
        <v>Completado en SUCURSAL</v>
      </c>
      <c r="J1381" s="1">
        <f t="shared" si="3"/>
        <v>5</v>
      </c>
      <c r="K1381" s="1" t="str">
        <f t="shared" si="4"/>
        <v>Tus Lentes estan LISTAS PARA ENTREGAR, te esperamos.</v>
      </c>
    </row>
    <row r="1382">
      <c r="A1382" s="1">
        <f>IFERROR(__xludf.DUMMYFUNCTION("""COMPUTED_VALUE"""),85932.0)</f>
        <v>85932</v>
      </c>
      <c r="B1382" s="5">
        <f>IFERROR(__xludf.DUMMYFUNCTION("""COMPUTED_VALUE"""),44958.55106946759)</f>
        <v>44958.55107</v>
      </c>
      <c r="C1382" s="1" t="str">
        <f>IFERROR(__xludf.DUMMYFUNCTION("""COMPUTED_VALUE"""),"Paez Carlos Miguel")</f>
        <v>Paez Carlos Miguel</v>
      </c>
      <c r="D1382" s="1" t="str">
        <f>IFERROR(__xludf.DUMMYFUNCTION("""COMPUTED_VALUE"""),"Reparaciones/Otros")</f>
        <v>Reparaciones/Otros</v>
      </c>
      <c r="E1382" s="1" t="str">
        <f>IFERROR(__xludf.DUMMYFUNCTION("""COMPUTED_VALUE"""),"ARTIGAS Roció")</f>
        <v>ARTIGAS Roció</v>
      </c>
      <c r="F1382" s="1" t="str">
        <f t="shared" si="1"/>
        <v>ARTIGAS </v>
      </c>
      <c r="G1382" s="1" t="str">
        <f t="shared" si="2"/>
        <v>Roció</v>
      </c>
      <c r="H1382" s="1" t="str">
        <f>IFERROR(__xludf.DUMMYFUNCTION("""COMPUTED_VALUE"""),"2/2/2023, 17:00:00")</f>
        <v>2/2/2023, 17:00:00</v>
      </c>
      <c r="I1382" s="1" t="str">
        <f>IFERROR(__xludf.DUMMYFUNCTION("""COMPUTED_VALUE"""),"Completado en SUCURSAL")</f>
        <v>Completado en SUCURSAL</v>
      </c>
      <c r="J1382" s="1">
        <f t="shared" si="3"/>
        <v>5</v>
      </c>
      <c r="K1382" s="1" t="str">
        <f t="shared" si="4"/>
        <v>Tus Lentes estan LISTAS PARA ENTREGAR, te esperamos.</v>
      </c>
    </row>
    <row r="1383">
      <c r="A1383" s="1">
        <f>IFERROR(__xludf.DUMMYFUNCTION("""COMPUTED_VALUE"""),85933.0)</f>
        <v>85933</v>
      </c>
      <c r="B1383" s="5">
        <f>IFERROR(__xludf.DUMMYFUNCTION("""COMPUTED_VALUE"""),44958.55756018519)</f>
        <v>44958.55756</v>
      </c>
      <c r="C1383" s="1" t="str">
        <f>IFERROR(__xludf.DUMMYFUNCTION("""COMPUTED_VALUE"""),"alaniz edith")</f>
        <v>alaniz edith</v>
      </c>
      <c r="D1383" s="1" t="str">
        <f>IFERROR(__xludf.DUMMYFUNCTION("""COMPUTED_VALUE"""),"Reparaciones/Otros")</f>
        <v>Reparaciones/Otros</v>
      </c>
      <c r="E1383" s="1" t="str">
        <f>IFERROR(__xludf.DUMMYFUNCTION("""COMPUTED_VALUE"""),"RIVADAVIA Rocio B")</f>
        <v>RIVADAVIA Rocio B</v>
      </c>
      <c r="F1383" s="1" t="str">
        <f t="shared" si="1"/>
        <v>RIVADAVIA </v>
      </c>
      <c r="G1383" s="1" t="str">
        <f t="shared" si="2"/>
        <v>Rocio B</v>
      </c>
      <c r="H1383" s="1" t="str">
        <f>IFERROR(__xludf.DUMMYFUNCTION("""COMPUTED_VALUE"""),"2/2/2023, 17:00:00")</f>
        <v>2/2/2023, 17:00:00</v>
      </c>
      <c r="I1383" s="1" t="str">
        <f>IFERROR(__xludf.DUMMYFUNCTION("""COMPUTED_VALUE"""),"Completado en SUCURSAL")</f>
        <v>Completado en SUCURSAL</v>
      </c>
      <c r="J1383" s="1">
        <f t="shared" si="3"/>
        <v>5</v>
      </c>
      <c r="K1383" s="1" t="str">
        <f t="shared" si="4"/>
        <v>Tus Lentes estan LISTAS PARA ENTREGAR, te esperamos.</v>
      </c>
    </row>
    <row r="1384">
      <c r="A1384" s="1">
        <f>IFERROR(__xludf.DUMMYFUNCTION("""COMPUTED_VALUE"""),85934.0)</f>
        <v>85934</v>
      </c>
      <c r="B1384" s="5">
        <f>IFERROR(__xludf.DUMMYFUNCTION("""COMPUTED_VALUE"""),44958.56453054398)</f>
        <v>44958.56453</v>
      </c>
      <c r="C1384" s="1" t="str">
        <f>IFERROR(__xludf.DUMMYFUNCTION("""COMPUTED_VALUE"""),"VERA RODOLFO ")</f>
        <v>VERA RODOLFO </v>
      </c>
      <c r="D1384" s="1" t="str">
        <f>IFERROR(__xludf.DUMMYFUNCTION("""COMPUTED_VALUE"""),"Lentes de STOCK")</f>
        <v>Lentes de STOCK</v>
      </c>
      <c r="E1384" s="1" t="str">
        <f>IFERROR(__xludf.DUMMYFUNCTION("""COMPUTED_VALUE"""),"RIVADAVIA Javier")</f>
        <v>RIVADAVIA Javier</v>
      </c>
      <c r="F1384" s="1" t="str">
        <f t="shared" si="1"/>
        <v>RIVADAVIA </v>
      </c>
      <c r="G1384" s="1" t="str">
        <f t="shared" si="2"/>
        <v>Javier</v>
      </c>
      <c r="H1384" s="1" t="str">
        <f>IFERROR(__xludf.DUMMYFUNCTION("""COMPUTED_VALUE"""),"7/2/2023, 17:00:00")</f>
        <v>7/2/2023, 17:00:00</v>
      </c>
      <c r="I1384" s="1" t="str">
        <f>IFERROR(__xludf.DUMMYFUNCTION("""COMPUTED_VALUE"""),"Completado en SUCURSAL")</f>
        <v>Completado en SUCURSAL</v>
      </c>
      <c r="J1384" s="1">
        <f t="shared" si="3"/>
        <v>5</v>
      </c>
      <c r="K1384" s="1" t="str">
        <f t="shared" si="4"/>
        <v>Tus Lentes estan LISTAS PARA ENTREGAR, te esperamos.</v>
      </c>
    </row>
    <row r="1385">
      <c r="A1385" s="1">
        <f>IFERROR(__xludf.DUMMYFUNCTION("""COMPUTED_VALUE"""),85934.0)</f>
        <v>85934</v>
      </c>
      <c r="B1385" s="5">
        <f>IFERROR(__xludf.DUMMYFUNCTION("""COMPUTED_VALUE"""),44958.56453444445)</f>
        <v>44958.56453</v>
      </c>
      <c r="C1385" s="1" t="str">
        <f>IFERROR(__xludf.DUMMYFUNCTION("""COMPUTED_VALUE"""),"LLOUSAS VALERIA")</f>
        <v>LLOUSAS VALERIA</v>
      </c>
      <c r="D1385" s="1" t="str">
        <f>IFERROR(__xludf.DUMMYFUNCTION("""COMPUTED_VALUE"""),"Reparaciones/Otros")</f>
        <v>Reparaciones/Otros</v>
      </c>
      <c r="E1385" s="1" t="str">
        <f>IFERROR(__xludf.DUMMYFUNCTION("""COMPUTED_VALUE"""),"RIVADAVIA Marcela L")</f>
        <v>RIVADAVIA Marcela L</v>
      </c>
      <c r="F1385" s="1" t="str">
        <f t="shared" si="1"/>
        <v>RIVADAVIA </v>
      </c>
      <c r="G1385" s="1" t="str">
        <f t="shared" si="2"/>
        <v>Marcela L</v>
      </c>
      <c r="H1385" s="1" t="str">
        <f>IFERROR(__xludf.DUMMYFUNCTION("""COMPUTED_VALUE"""),"2/2/2023, 17:00:00")</f>
        <v>2/2/2023, 17:00:00</v>
      </c>
      <c r="I1385" s="1"/>
      <c r="J1385" s="1">
        <f t="shared" si="3"/>
        <v>0</v>
      </c>
      <c r="K1385" s="1" t="str">
        <f t="shared" si="4"/>
        <v/>
      </c>
    </row>
    <row r="1386">
      <c r="A1386" s="1">
        <f>IFERROR(__xludf.DUMMYFUNCTION("""COMPUTED_VALUE"""),85935.0)</f>
        <v>85935</v>
      </c>
      <c r="B1386" s="5">
        <f>IFERROR(__xludf.DUMMYFUNCTION("""COMPUTED_VALUE"""),44958.56624439815)</f>
        <v>44958.56624</v>
      </c>
      <c r="C1386" s="1" t="str">
        <f>IFERROR(__xludf.DUMMYFUNCTION("""COMPUTED_VALUE"""),"VERA RODOLFO ")</f>
        <v>VERA RODOLFO </v>
      </c>
      <c r="D1386" s="1" t="str">
        <f>IFERROR(__xludf.DUMMYFUNCTION("""COMPUTED_VALUE"""),"Lentes de STOCK")</f>
        <v>Lentes de STOCK</v>
      </c>
      <c r="E1386" s="1" t="str">
        <f>IFERROR(__xludf.DUMMYFUNCTION("""COMPUTED_VALUE"""),"RIVADAVIA Javier")</f>
        <v>RIVADAVIA Javier</v>
      </c>
      <c r="F1386" s="1" t="str">
        <f t="shared" si="1"/>
        <v>RIVADAVIA </v>
      </c>
      <c r="G1386" s="1" t="str">
        <f t="shared" si="2"/>
        <v>Javier</v>
      </c>
      <c r="H1386" s="1" t="str">
        <f>IFERROR(__xludf.DUMMYFUNCTION("""COMPUTED_VALUE"""),"6/2/2023, 17:00:00")</f>
        <v>6/2/2023, 17:00:00</v>
      </c>
      <c r="I1386" s="1" t="str">
        <f>IFERROR(__xludf.DUMMYFUNCTION("""COMPUTED_VALUE"""),"Recibido en Laboratorio")</f>
        <v>Recibido en Laboratorio</v>
      </c>
      <c r="J1386" s="1">
        <f t="shared" si="3"/>
        <v>2</v>
      </c>
      <c r="K1386" s="1" t="str">
        <f t="shared" si="4"/>
        <v>Nuestro Laboratorio esta trabajando en tus lentes, los entregaremos en la fecha acordada.</v>
      </c>
    </row>
    <row r="1387">
      <c r="A1387" s="1">
        <f>IFERROR(__xludf.DUMMYFUNCTION("""COMPUTED_VALUE"""),85936.0)</f>
        <v>85936</v>
      </c>
      <c r="B1387" s="5">
        <f>IFERROR(__xludf.DUMMYFUNCTION("""COMPUTED_VALUE"""),44958.57760480324)</f>
        <v>44958.5776</v>
      </c>
      <c r="C1387" s="1" t="str">
        <f>IFERROR(__xludf.DUMMYFUNCTION("""COMPUTED_VALUE"""),"PEREIRA DEBORA ROXANA")</f>
        <v>PEREIRA DEBORA ROXANA</v>
      </c>
      <c r="D1387" s="1" t="str">
        <f>IFERROR(__xludf.DUMMYFUNCTION("""COMPUTED_VALUE"""),"Lentes de STOCK")</f>
        <v>Lentes de STOCK</v>
      </c>
      <c r="E1387" s="1" t="str">
        <f>IFERROR(__xludf.DUMMYFUNCTION("""COMPUTED_VALUE"""),"RIVADAVIA Marcela L")</f>
        <v>RIVADAVIA Marcela L</v>
      </c>
      <c r="F1387" s="1" t="str">
        <f t="shared" si="1"/>
        <v>RIVADAVIA </v>
      </c>
      <c r="G1387" s="1" t="str">
        <f t="shared" si="2"/>
        <v>Marcela L</v>
      </c>
      <c r="H1387" s="1" t="str">
        <f>IFERROR(__xludf.DUMMYFUNCTION("""COMPUTED_VALUE"""),"7/2/2023, 17:00:00")</f>
        <v>7/2/2023, 17:00:00</v>
      </c>
      <c r="I1387" s="1" t="str">
        <f>IFERROR(__xludf.DUMMYFUNCTION("""COMPUTED_VALUE"""),"RETIRADO OK POR CLIENTE")</f>
        <v>RETIRADO OK POR CLIENTE</v>
      </c>
      <c r="J1387" s="1">
        <f t="shared" si="3"/>
        <v>6</v>
      </c>
      <c r="K1387" s="1" t="str">
        <f t="shared" si="4"/>
        <v>Entregamos tus lentes, que los disfrutes!</v>
      </c>
    </row>
    <row r="1388">
      <c r="A1388" s="1">
        <f>IFERROR(__xludf.DUMMYFUNCTION("""COMPUTED_VALUE"""),85937.0)</f>
        <v>85937</v>
      </c>
      <c r="B1388" s="5">
        <f>IFERROR(__xludf.DUMMYFUNCTION("""COMPUTED_VALUE"""),44958.5787005787)</f>
        <v>44958.5787</v>
      </c>
      <c r="C1388" s="1" t="str">
        <f>IFERROR(__xludf.DUMMYFUNCTION("""COMPUTED_VALUE"""),"PEREIRA DEBORA ROXANA")</f>
        <v>PEREIRA DEBORA ROXANA</v>
      </c>
      <c r="D1388" s="1" t="str">
        <f>IFERROR(__xludf.DUMMYFUNCTION("""COMPUTED_VALUE"""),"Reparaciones/Otros")</f>
        <v>Reparaciones/Otros</v>
      </c>
      <c r="E1388" s="1" t="str">
        <f>IFERROR(__xludf.DUMMYFUNCTION("""COMPUTED_VALUE"""),"RIVADAVIA Marcela L")</f>
        <v>RIVADAVIA Marcela L</v>
      </c>
      <c r="F1388" s="1" t="str">
        <f t="shared" si="1"/>
        <v>RIVADAVIA </v>
      </c>
      <c r="G1388" s="1" t="str">
        <f t="shared" si="2"/>
        <v>Marcela L</v>
      </c>
      <c r="H1388" s="1" t="str">
        <f>IFERROR(__xludf.DUMMYFUNCTION("""COMPUTED_VALUE"""),"2/2/2023, 17:00:00")</f>
        <v>2/2/2023, 17:00:00</v>
      </c>
      <c r="I1388" s="1" t="str">
        <f>IFERROR(__xludf.DUMMYFUNCTION("""COMPUTED_VALUE"""),"Completado en SUCURSAL")</f>
        <v>Completado en SUCURSAL</v>
      </c>
      <c r="J1388" s="1">
        <f t="shared" si="3"/>
        <v>5</v>
      </c>
      <c r="K1388" s="1" t="str">
        <f t="shared" si="4"/>
        <v>Tus Lentes estan LISTAS PARA ENTREGAR, te esperamos.</v>
      </c>
    </row>
    <row r="1389">
      <c r="A1389" s="1">
        <f>IFERROR(__xludf.DUMMYFUNCTION("""COMPUTED_VALUE"""),85938.0)</f>
        <v>85938</v>
      </c>
      <c r="B1389" s="5">
        <f>IFERROR(__xludf.DUMMYFUNCTION("""COMPUTED_VALUE"""),44958.69881159722)</f>
        <v>44958.69881</v>
      </c>
      <c r="C1389" s="1" t="str">
        <f>IFERROR(__xludf.DUMMYFUNCTION("""COMPUTED_VALUE"""),"Ganado Dalila")</f>
        <v>Ganado Dalila</v>
      </c>
      <c r="D1389" s="1" t="str">
        <f>IFERROR(__xludf.DUMMYFUNCTION("""COMPUTED_VALUE"""),"Lentes de STOCK")</f>
        <v>Lentes de STOCK</v>
      </c>
      <c r="E1389" s="1" t="str">
        <f>IFERROR(__xludf.DUMMYFUNCTION("""COMPUTED_VALUE"""),"RIVADAVIA Rocio B")</f>
        <v>RIVADAVIA Rocio B</v>
      </c>
      <c r="F1389" s="1" t="str">
        <f t="shared" si="1"/>
        <v>RIVADAVIA </v>
      </c>
      <c r="G1389" s="1" t="str">
        <f t="shared" si="2"/>
        <v>Rocio B</v>
      </c>
      <c r="H1389" s="1" t="str">
        <f>IFERROR(__xludf.DUMMYFUNCTION("""COMPUTED_VALUE"""),"8/2/2023, 17:00:00")</f>
        <v>8/2/2023, 17:00:00</v>
      </c>
      <c r="I1389" s="1"/>
      <c r="J1389" s="1">
        <f t="shared" si="3"/>
        <v>0</v>
      </c>
      <c r="K1389" s="1" t="str">
        <f t="shared" si="4"/>
        <v/>
      </c>
    </row>
    <row r="1390">
      <c r="A1390" s="1">
        <f>IFERROR(__xludf.DUMMYFUNCTION("""COMPUTED_VALUE"""),85939.0)</f>
        <v>85939</v>
      </c>
      <c r="B1390" s="5">
        <f>IFERROR(__xludf.DUMMYFUNCTION("""COMPUTED_VALUE"""),44958.700381620365)</f>
        <v>44958.70038</v>
      </c>
      <c r="C1390" s="1" t="str">
        <f>IFERROR(__xludf.DUMMYFUNCTION("""COMPUTED_VALUE"""),"Ganado Dalila")</f>
        <v>Ganado Dalila</v>
      </c>
      <c r="D1390" s="1" t="str">
        <f>IFERROR(__xludf.DUMMYFUNCTION("""COMPUTED_VALUE"""),"Lentes de STOCK")</f>
        <v>Lentes de STOCK</v>
      </c>
      <c r="E1390" s="1" t="str">
        <f>IFERROR(__xludf.DUMMYFUNCTION("""COMPUTED_VALUE"""),"ARTIGAS Roció")</f>
        <v>ARTIGAS Roció</v>
      </c>
      <c r="F1390" s="1" t="str">
        <f t="shared" si="1"/>
        <v>ARTIGAS </v>
      </c>
      <c r="G1390" s="1" t="str">
        <f t="shared" si="2"/>
        <v>Roció</v>
      </c>
      <c r="H1390" s="1" t="str">
        <f>IFERROR(__xludf.DUMMYFUNCTION("""COMPUTED_VALUE"""),"8/2/2023, 17:00:00")</f>
        <v>8/2/2023, 17:00:00</v>
      </c>
      <c r="I1390" s="1" t="str">
        <f>IFERROR(__xludf.DUMMYFUNCTION("""COMPUTED_VALUE"""),"Recibido en Laboratorio")</f>
        <v>Recibido en Laboratorio</v>
      </c>
      <c r="J1390" s="1">
        <f t="shared" si="3"/>
        <v>2</v>
      </c>
      <c r="K1390" s="1" t="str">
        <f t="shared" si="4"/>
        <v>Nuestro Laboratorio esta trabajando en tus lentes, los entregaremos en la fecha acordada.</v>
      </c>
    </row>
    <row r="1391">
      <c r="A1391" s="1">
        <f>IFERROR(__xludf.DUMMYFUNCTION("""COMPUTED_VALUE"""),85940.0)</f>
        <v>85940</v>
      </c>
      <c r="B1391" s="5">
        <f>IFERROR(__xludf.DUMMYFUNCTION("""COMPUTED_VALUE"""),44958.711221527774)</f>
        <v>44958.71122</v>
      </c>
      <c r="C1391" s="1" t="str">
        <f>IFERROR(__xludf.DUMMYFUNCTION("""COMPUTED_VALUE"""),"Dorado Gaston")</f>
        <v>Dorado Gaston</v>
      </c>
      <c r="D1391" s="1" t="str">
        <f>IFERROR(__xludf.DUMMYFUNCTION("""COMPUTED_VALUE"""),"Reparaciones/Otros")</f>
        <v>Reparaciones/Otros</v>
      </c>
      <c r="E1391" s="1" t="str">
        <f>IFERROR(__xludf.DUMMYFUNCTION("""COMPUTED_VALUE"""),"ARTIGAS Sandra G")</f>
        <v>ARTIGAS Sandra G</v>
      </c>
      <c r="F1391" s="1" t="str">
        <f t="shared" si="1"/>
        <v>ARTIGAS </v>
      </c>
      <c r="G1391" s="1" t="str">
        <f t="shared" si="2"/>
        <v>Sandra G</v>
      </c>
      <c r="H1391" s="1" t="str">
        <f>IFERROR(__xludf.DUMMYFUNCTION("""COMPUTED_VALUE"""),"7/2/2023, 17:00:00")</f>
        <v>7/2/2023, 17:00:00</v>
      </c>
      <c r="I1391" s="1" t="str">
        <f>IFERROR(__xludf.DUMMYFUNCTION("""COMPUTED_VALUE"""),"Recibido en Laboratorio")</f>
        <v>Recibido en Laboratorio</v>
      </c>
      <c r="J1391" s="1">
        <f t="shared" si="3"/>
        <v>2</v>
      </c>
      <c r="K1391" s="1" t="str">
        <f t="shared" si="4"/>
        <v>Nuestro Laboratorio esta trabajando en tus lentes, los entregaremos en la fecha acordada.</v>
      </c>
    </row>
    <row r="1392">
      <c r="A1392" s="1">
        <f>IFERROR(__xludf.DUMMYFUNCTION("""COMPUTED_VALUE"""),85941.0)</f>
        <v>85941</v>
      </c>
      <c r="B1392" s="5">
        <f>IFERROR(__xludf.DUMMYFUNCTION("""COMPUTED_VALUE"""),44958.71643393519)</f>
        <v>44958.71643</v>
      </c>
      <c r="C1392" s="1" t="str">
        <f>IFERROR(__xludf.DUMMYFUNCTION("""COMPUTED_VALUE"""),"GABRIELA GONZALEZ")</f>
        <v>GABRIELA GONZALEZ</v>
      </c>
      <c r="D1392" s="1" t="str">
        <f>IFERROR(__xludf.DUMMYFUNCTION("""COMPUTED_VALUE"""),"Reparaciones/Otros")</f>
        <v>Reparaciones/Otros</v>
      </c>
      <c r="E1392" s="1" t="str">
        <f>IFERROR(__xludf.DUMMYFUNCTION("""COMPUTED_VALUE"""),"RIVADAVIA Javier")</f>
        <v>RIVADAVIA Javier</v>
      </c>
      <c r="F1392" s="1" t="str">
        <f t="shared" si="1"/>
        <v>RIVADAVIA </v>
      </c>
      <c r="G1392" s="1" t="str">
        <f t="shared" si="2"/>
        <v>Javier</v>
      </c>
      <c r="H1392" s="1" t="str">
        <f>IFERROR(__xludf.DUMMYFUNCTION("""COMPUTED_VALUE"""),"3/2/2023, 17:00:00")</f>
        <v>3/2/2023, 17:00:00</v>
      </c>
      <c r="I1392" s="1" t="str">
        <f>IFERROR(__xludf.DUMMYFUNCTION("""COMPUTED_VALUE"""),"Completado en SUCURSAL")</f>
        <v>Completado en SUCURSAL</v>
      </c>
      <c r="J1392" s="1">
        <f t="shared" si="3"/>
        <v>5</v>
      </c>
      <c r="K1392" s="1" t="str">
        <f t="shared" si="4"/>
        <v>Tus Lentes estan LISTAS PARA ENTREGAR, te esperamos.</v>
      </c>
    </row>
    <row r="1393">
      <c r="A1393" s="1">
        <f>IFERROR(__xludf.DUMMYFUNCTION("""COMPUTED_VALUE"""),85942.0)</f>
        <v>85942</v>
      </c>
      <c r="B1393" s="5">
        <f>IFERROR(__xludf.DUMMYFUNCTION("""COMPUTED_VALUE"""),44958.71668046297)</f>
        <v>44958.71668</v>
      </c>
      <c r="C1393" s="1" t="str">
        <f>IFERROR(__xludf.DUMMYFUNCTION("""COMPUTED_VALUE"""),"MORENO NATALIA")</f>
        <v>MORENO NATALIA</v>
      </c>
      <c r="D1393" s="1" t="str">
        <f>IFERROR(__xludf.DUMMYFUNCTION("""COMPUTED_VALUE"""),"Lentes de STOCK")</f>
        <v>Lentes de STOCK</v>
      </c>
      <c r="E1393" s="1" t="str">
        <f>IFERROR(__xludf.DUMMYFUNCTION("""COMPUTED_VALUE"""),"ARTIGAS Sandra G")</f>
        <v>ARTIGAS Sandra G</v>
      </c>
      <c r="F1393" s="1" t="str">
        <f t="shared" si="1"/>
        <v>ARTIGAS </v>
      </c>
      <c r="G1393" s="1" t="str">
        <f t="shared" si="2"/>
        <v>Sandra G</v>
      </c>
      <c r="H1393" s="1" t="str">
        <f>IFERROR(__xludf.DUMMYFUNCTION("""COMPUTED_VALUE"""),"4/2/2023, 17:00:00")</f>
        <v>4/2/2023, 17:00:00</v>
      </c>
      <c r="I1393" s="1" t="str">
        <f>IFERROR(__xludf.DUMMYFUNCTION("""COMPUTED_VALUE"""),"Recibido en Laboratorio")</f>
        <v>Recibido en Laboratorio</v>
      </c>
      <c r="J1393" s="1">
        <f t="shared" si="3"/>
        <v>2</v>
      </c>
      <c r="K1393" s="1" t="str">
        <f t="shared" si="4"/>
        <v>Nuestro Laboratorio esta trabajando en tus lentes, los entregaremos en la fecha acordada.</v>
      </c>
    </row>
    <row r="1394">
      <c r="A1394" s="1">
        <f>IFERROR(__xludf.DUMMYFUNCTION("""COMPUTED_VALUE"""),85943.0)</f>
        <v>85943</v>
      </c>
      <c r="B1394" s="5">
        <f>IFERROR(__xludf.DUMMYFUNCTION("""COMPUTED_VALUE"""),44958.71674016204)</f>
        <v>44958.71674</v>
      </c>
      <c r="C1394" s="1" t="str">
        <f>IFERROR(__xludf.DUMMYFUNCTION("""COMPUTED_VALUE"""),"Woicik Tiziana")</f>
        <v>Woicik Tiziana</v>
      </c>
      <c r="D1394" s="1" t="str">
        <f>IFERROR(__xludf.DUMMYFUNCTION("""COMPUTED_VALUE"""),"Lentes de STOCK")</f>
        <v>Lentes de STOCK</v>
      </c>
      <c r="E1394" s="1" t="str">
        <f>IFERROR(__xludf.DUMMYFUNCTION("""COMPUTED_VALUE"""),"ARTIGAS Roció")</f>
        <v>ARTIGAS Roció</v>
      </c>
      <c r="F1394" s="1" t="str">
        <f t="shared" si="1"/>
        <v>ARTIGAS </v>
      </c>
      <c r="G1394" s="1" t="str">
        <f t="shared" si="2"/>
        <v>Roció</v>
      </c>
      <c r="H1394" s="1" t="str">
        <f>IFERROR(__xludf.DUMMYFUNCTION("""COMPUTED_VALUE"""),"3/2/2023, 17:00:00")</f>
        <v>3/2/2023, 17:00:00</v>
      </c>
      <c r="I1394" s="1" t="str">
        <f>IFERROR(__xludf.DUMMYFUNCTION("""COMPUTED_VALUE"""),"RETIRADO OK POR CLIENTE")</f>
        <v>RETIRADO OK POR CLIENTE</v>
      </c>
      <c r="J1394" s="1">
        <f t="shared" si="3"/>
        <v>6</v>
      </c>
      <c r="K1394" s="1" t="str">
        <f t="shared" si="4"/>
        <v>Entregamos tus lentes, que los disfrutes!</v>
      </c>
    </row>
    <row r="1395">
      <c r="A1395" s="1">
        <f>IFERROR(__xludf.DUMMYFUNCTION("""COMPUTED_VALUE"""),85944.0)</f>
        <v>85944</v>
      </c>
      <c r="B1395" s="5">
        <f>IFERROR(__xludf.DUMMYFUNCTION("""COMPUTED_VALUE"""),44958.72337575231)</f>
        <v>44958.72338</v>
      </c>
      <c r="C1395" s="1" t="str">
        <f>IFERROR(__xludf.DUMMYFUNCTION("""COMPUTED_VALUE"""),"Camandona Noemi")</f>
        <v>Camandona Noemi</v>
      </c>
      <c r="D1395" s="1" t="str">
        <f>IFERROR(__xludf.DUMMYFUNCTION("""COMPUTED_VALUE"""),"Lentes de STOCK")</f>
        <v>Lentes de STOCK</v>
      </c>
      <c r="E1395" s="1" t="str">
        <f>IFERROR(__xludf.DUMMYFUNCTION("""COMPUTED_VALUE"""),"ARTIGAS Roció")</f>
        <v>ARTIGAS Roció</v>
      </c>
      <c r="F1395" s="1" t="str">
        <f t="shared" si="1"/>
        <v>ARTIGAS </v>
      </c>
      <c r="G1395" s="1" t="str">
        <f t="shared" si="2"/>
        <v>Roció</v>
      </c>
      <c r="H1395" s="1" t="str">
        <f>IFERROR(__xludf.DUMMYFUNCTION("""COMPUTED_VALUE"""),"3/2/2023, 17:00:00")</f>
        <v>3/2/2023, 17:00:00</v>
      </c>
      <c r="I1395" s="1" t="str">
        <f>IFERROR(__xludf.DUMMYFUNCTION("""COMPUTED_VALUE"""),"RETIRADO OK POR CLIENTE")</f>
        <v>RETIRADO OK POR CLIENTE</v>
      </c>
      <c r="J1395" s="1">
        <f t="shared" si="3"/>
        <v>6</v>
      </c>
      <c r="K1395" s="1" t="str">
        <f t="shared" si="4"/>
        <v>Entregamos tus lentes, que los disfrutes!</v>
      </c>
    </row>
    <row r="1396">
      <c r="A1396" s="1">
        <f>IFERROR(__xludf.DUMMYFUNCTION("""COMPUTED_VALUE"""),85945.0)</f>
        <v>85945</v>
      </c>
      <c r="B1396" s="5">
        <f>IFERROR(__xludf.DUMMYFUNCTION("""COMPUTED_VALUE"""),44958.73019619213)</f>
        <v>44958.7302</v>
      </c>
      <c r="C1396" s="1" t="str">
        <f>IFERROR(__xludf.DUMMYFUNCTION("""COMPUTED_VALUE"""),"LUCERO MARIA SANDRA")</f>
        <v>LUCERO MARIA SANDRA</v>
      </c>
      <c r="D1396" s="1" t="str">
        <f>IFERROR(__xludf.DUMMYFUNCTION("""COMPUTED_VALUE"""),"Reparaciones/Otros")</f>
        <v>Reparaciones/Otros</v>
      </c>
      <c r="E1396" s="1" t="str">
        <f>IFERROR(__xludf.DUMMYFUNCTION("""COMPUTED_VALUE"""),"RIVADAVIA Santiago LOPEZ")</f>
        <v>RIVADAVIA Santiago LOPEZ</v>
      </c>
      <c r="F1396" s="1" t="str">
        <f t="shared" si="1"/>
        <v>RIVADAVIA </v>
      </c>
      <c r="G1396" s="1" t="str">
        <f t="shared" si="2"/>
        <v>Santiago LOPEZ</v>
      </c>
      <c r="H1396" s="1" t="str">
        <f>IFERROR(__xludf.DUMMYFUNCTION("""COMPUTED_VALUE"""),"2/2/2023, 17:00:00")</f>
        <v>2/2/2023, 17:00:00</v>
      </c>
      <c r="I1396" s="1" t="str">
        <f>IFERROR(__xludf.DUMMYFUNCTION("""COMPUTED_VALUE"""),"Completado en SUCURSAL")</f>
        <v>Completado en SUCURSAL</v>
      </c>
      <c r="J1396" s="1">
        <f t="shared" si="3"/>
        <v>5</v>
      </c>
      <c r="K1396" s="1" t="str">
        <f t="shared" si="4"/>
        <v>Tus Lentes estan LISTAS PARA ENTREGAR, te esperamos.</v>
      </c>
    </row>
    <row r="1397">
      <c r="A1397" s="1">
        <f>IFERROR(__xludf.DUMMYFUNCTION("""COMPUTED_VALUE"""),85946.0)</f>
        <v>85946</v>
      </c>
      <c r="B1397" s="5">
        <f>IFERROR(__xludf.DUMMYFUNCTION("""COMPUTED_VALUE"""),44958.74120928241)</f>
        <v>44958.74121</v>
      </c>
      <c r="C1397" s="1" t="str">
        <f>IFERROR(__xludf.DUMMYFUNCTION("""COMPUTED_VALUE"""),"BECERRA PAULA CLETA")</f>
        <v>BECERRA PAULA CLETA</v>
      </c>
      <c r="D1397" s="1" t="str">
        <f>IFERROR(__xludf.DUMMYFUNCTION("""COMPUTED_VALUE"""),"Lentes de STOCK")</f>
        <v>Lentes de STOCK</v>
      </c>
      <c r="E1397" s="1" t="str">
        <f>IFERROR(__xludf.DUMMYFUNCTION("""COMPUTED_VALUE"""),"RIVADAVIA Javier")</f>
        <v>RIVADAVIA Javier</v>
      </c>
      <c r="F1397" s="1" t="str">
        <f t="shared" si="1"/>
        <v>RIVADAVIA </v>
      </c>
      <c r="G1397" s="1" t="str">
        <f t="shared" si="2"/>
        <v>Javier</v>
      </c>
      <c r="H1397" s="1" t="str">
        <f>IFERROR(__xludf.DUMMYFUNCTION("""COMPUTED_VALUE"""),"4/2/2023, 17:00:00")</f>
        <v>4/2/2023, 17:00:00</v>
      </c>
      <c r="I1397" s="1" t="str">
        <f>IFERROR(__xludf.DUMMYFUNCTION("""COMPUTED_VALUE"""),"RETIRADO OK POR CLIENTE")</f>
        <v>RETIRADO OK POR CLIENTE</v>
      </c>
      <c r="J1397" s="1">
        <f t="shared" si="3"/>
        <v>6</v>
      </c>
      <c r="K1397" s="1" t="str">
        <f t="shared" si="4"/>
        <v>Entregamos tus lentes, que los disfrutes!</v>
      </c>
    </row>
    <row r="1398">
      <c r="A1398" s="1">
        <f>IFERROR(__xludf.DUMMYFUNCTION("""COMPUTED_VALUE"""),85947.0)</f>
        <v>85947</v>
      </c>
      <c r="B1398" s="5">
        <f>IFERROR(__xludf.DUMMYFUNCTION("""COMPUTED_VALUE"""),44958.757823101856)</f>
        <v>44958.75782</v>
      </c>
      <c r="C1398" s="1" t="str">
        <f>IFERROR(__xludf.DUMMYFUNCTION("""COMPUTED_VALUE"""),"Perez Claudia")</f>
        <v>Perez Claudia</v>
      </c>
      <c r="D1398" s="1" t="str">
        <f>IFERROR(__xludf.DUMMYFUNCTION("""COMPUTED_VALUE"""),"Lentes de STOCK")</f>
        <v>Lentes de STOCK</v>
      </c>
      <c r="E1398" s="1" t="str">
        <f>IFERROR(__xludf.DUMMYFUNCTION("""COMPUTED_VALUE"""),"RIVADAVIA Rocio B")</f>
        <v>RIVADAVIA Rocio B</v>
      </c>
      <c r="F1398" s="1" t="str">
        <f t="shared" si="1"/>
        <v>RIVADAVIA </v>
      </c>
      <c r="G1398" s="1" t="str">
        <f t="shared" si="2"/>
        <v>Rocio B</v>
      </c>
      <c r="H1398" s="1" t="str">
        <f>IFERROR(__xludf.DUMMYFUNCTION("""COMPUTED_VALUE"""),"9/2/2023, 17:00:00")</f>
        <v>9/2/2023, 17:00:00</v>
      </c>
      <c r="I1398" s="1" t="str">
        <f>IFERROR(__xludf.DUMMYFUNCTION("""COMPUTED_VALUE"""),"RETIRADO OK POR CLIENTE")</f>
        <v>RETIRADO OK POR CLIENTE</v>
      </c>
      <c r="J1398" s="1">
        <f t="shared" si="3"/>
        <v>6</v>
      </c>
      <c r="K1398" s="1" t="str">
        <f t="shared" si="4"/>
        <v>Entregamos tus lentes, que los disfrutes!</v>
      </c>
    </row>
    <row r="1399">
      <c r="A1399" s="1">
        <f>IFERROR(__xludf.DUMMYFUNCTION("""COMPUTED_VALUE"""),85948.0)</f>
        <v>85948</v>
      </c>
      <c r="B1399" s="5">
        <f>IFERROR(__xludf.DUMMYFUNCTION("""COMPUTED_VALUE"""),44958.76042306713)</f>
        <v>44958.76042</v>
      </c>
      <c r="C1399" s="1" t="str">
        <f>IFERROR(__xludf.DUMMYFUNCTION("""COMPUTED_VALUE"""),"PEREIRA MARIA ISABEL ")</f>
        <v>PEREIRA MARIA ISABEL </v>
      </c>
      <c r="D1399" s="1" t="str">
        <f>IFERROR(__xludf.DUMMYFUNCTION("""COMPUTED_VALUE"""),"Lentes MULTIFOCALES")</f>
        <v>Lentes MULTIFOCALES</v>
      </c>
      <c r="E1399" s="1" t="str">
        <f>IFERROR(__xludf.DUMMYFUNCTION("""COMPUTED_VALUE"""),"ARTIGAS Cristian C.")</f>
        <v>ARTIGAS Cristian C.</v>
      </c>
      <c r="F1399" s="1" t="str">
        <f t="shared" si="1"/>
        <v>ARTIGAS </v>
      </c>
      <c r="G1399" s="1" t="str">
        <f t="shared" si="2"/>
        <v>Cristian C.</v>
      </c>
      <c r="H1399" s="1" t="str">
        <f>IFERROR(__xludf.DUMMYFUNCTION("""COMPUTED_VALUE"""),"16/2/2023, 17:00:00")</f>
        <v>16/2/2023, 17:00:00</v>
      </c>
      <c r="I1399" s="1" t="str">
        <f>IFERROR(__xludf.DUMMYFUNCTION("""COMPUTED_VALUE"""),"Completado en SUCURSAL")</f>
        <v>Completado en SUCURSAL</v>
      </c>
      <c r="J1399" s="1">
        <f t="shared" si="3"/>
        <v>5</v>
      </c>
      <c r="K1399" s="1" t="str">
        <f t="shared" si="4"/>
        <v>Tus Lentes estan LISTAS PARA ENTREGAR, te esperamos.</v>
      </c>
    </row>
    <row r="1400">
      <c r="A1400" s="1">
        <f>IFERROR(__xludf.DUMMYFUNCTION("""COMPUTED_VALUE"""),85949.0)</f>
        <v>85949</v>
      </c>
      <c r="B1400" s="5">
        <f>IFERROR(__xludf.DUMMYFUNCTION("""COMPUTED_VALUE"""),44958.764232037036)</f>
        <v>44958.76423</v>
      </c>
      <c r="C1400" s="1" t="str">
        <f>IFERROR(__xludf.DUMMYFUNCTION("""COMPUTED_VALUE"""),"ALCARAZ AGUSTIN ")</f>
        <v>ALCARAZ AGUSTIN </v>
      </c>
      <c r="D1400" s="1" t="str">
        <f>IFERROR(__xludf.DUMMYFUNCTION("""COMPUTED_VALUE"""),"Lentes de STOCK")</f>
        <v>Lentes de STOCK</v>
      </c>
      <c r="E1400" s="1" t="str">
        <f>IFERROR(__xludf.DUMMYFUNCTION("""COMPUTED_VALUE"""),"RIVADAVIA Luciana")</f>
        <v>RIVADAVIA Luciana</v>
      </c>
      <c r="F1400" s="1" t="str">
        <f t="shared" si="1"/>
        <v>RIVADAVIA </v>
      </c>
      <c r="G1400" s="1" t="str">
        <f t="shared" si="2"/>
        <v>Luciana</v>
      </c>
      <c r="H1400" s="1" t="str">
        <f>IFERROR(__xludf.DUMMYFUNCTION("""COMPUTED_VALUE"""),"4/2/2023, 17:00:00")</f>
        <v>4/2/2023, 17:00:00</v>
      </c>
      <c r="I1400" s="1" t="str">
        <f>IFERROR(__xludf.DUMMYFUNCTION("""COMPUTED_VALUE"""),"RETIRADO OK POR CLIENTE")</f>
        <v>RETIRADO OK POR CLIENTE</v>
      </c>
      <c r="J1400" s="1">
        <f t="shared" si="3"/>
        <v>6</v>
      </c>
      <c r="K1400" s="1" t="str">
        <f t="shared" si="4"/>
        <v>Entregamos tus lentes, que los disfrutes!</v>
      </c>
    </row>
    <row r="1401">
      <c r="A1401" s="1">
        <f>IFERROR(__xludf.DUMMYFUNCTION("""COMPUTED_VALUE"""),85950.0)</f>
        <v>85950</v>
      </c>
      <c r="B1401" s="5">
        <f>IFERROR(__xludf.DUMMYFUNCTION("""COMPUTED_VALUE"""),44958.765027650465)</f>
        <v>44958.76503</v>
      </c>
      <c r="C1401" s="1" t="str">
        <f>IFERROR(__xludf.DUMMYFUNCTION("""COMPUTED_VALUE"""),"Brizuela Maria de los Angeles")</f>
        <v>Brizuela Maria de los Angeles</v>
      </c>
      <c r="D1401" s="1" t="str">
        <f>IFERROR(__xludf.DUMMYFUNCTION("""COMPUTED_VALUE"""),"Reparaciones/Otros")</f>
        <v>Reparaciones/Otros</v>
      </c>
      <c r="E1401" s="1" t="str">
        <f>IFERROR(__xludf.DUMMYFUNCTION("""COMPUTED_VALUE"""),"ARTIGAS Roció")</f>
        <v>ARTIGAS Roció</v>
      </c>
      <c r="F1401" s="1" t="str">
        <f t="shared" si="1"/>
        <v>ARTIGAS </v>
      </c>
      <c r="G1401" s="1" t="str">
        <f t="shared" si="2"/>
        <v>Roció</v>
      </c>
      <c r="H1401" s="1" t="str">
        <f>IFERROR(__xludf.DUMMYFUNCTION("""COMPUTED_VALUE"""),"2/2/2023, 17:00:00")</f>
        <v>2/2/2023, 17:00:00</v>
      </c>
      <c r="I1401" s="1" t="str">
        <f>IFERROR(__xludf.DUMMYFUNCTION("""COMPUTED_VALUE"""),"Completado en SUCURSAL")</f>
        <v>Completado en SUCURSAL</v>
      </c>
      <c r="J1401" s="1">
        <f t="shared" si="3"/>
        <v>5</v>
      </c>
      <c r="K1401" s="1" t="str">
        <f t="shared" si="4"/>
        <v>Tus Lentes estan LISTAS PARA ENTREGAR, te esperamos.</v>
      </c>
    </row>
    <row r="1402">
      <c r="A1402" s="1">
        <f>IFERROR(__xludf.DUMMYFUNCTION("""COMPUTED_VALUE"""),85951.0)</f>
        <v>85951</v>
      </c>
      <c r="B1402" s="5">
        <f>IFERROR(__xludf.DUMMYFUNCTION("""COMPUTED_VALUE"""),44958.77479979167)</f>
        <v>44958.7748</v>
      </c>
      <c r="C1402" s="1" t="str">
        <f>IFERROR(__xludf.DUMMYFUNCTION("""COMPUTED_VALUE"""),"CASTILLO HERNAN")</f>
        <v>CASTILLO HERNAN</v>
      </c>
      <c r="D1402" s="1" t="str">
        <f>IFERROR(__xludf.DUMMYFUNCTION("""COMPUTED_VALUE"""),"Reparaciones/Otros")</f>
        <v>Reparaciones/Otros</v>
      </c>
      <c r="E1402" s="1" t="str">
        <f>IFERROR(__xludf.DUMMYFUNCTION("""COMPUTED_VALUE"""),"RIVADAVIA Javier")</f>
        <v>RIVADAVIA Javier</v>
      </c>
      <c r="F1402" s="1" t="str">
        <f t="shared" si="1"/>
        <v>RIVADAVIA </v>
      </c>
      <c r="G1402" s="1" t="str">
        <f t="shared" si="2"/>
        <v>Javier</v>
      </c>
      <c r="H1402" s="1" t="str">
        <f>IFERROR(__xludf.DUMMYFUNCTION("""COMPUTED_VALUE"""),"6/2/2023, 17:00:00")</f>
        <v>6/2/2023, 17:00:00</v>
      </c>
      <c r="I1402" s="1" t="str">
        <f>IFERROR(__xludf.DUMMYFUNCTION("""COMPUTED_VALUE"""),"Enviado a Sucursal")</f>
        <v>Enviado a Sucursal</v>
      </c>
      <c r="J1402" s="1">
        <f t="shared" si="3"/>
        <v>4</v>
      </c>
      <c r="K1402" s="1" t="str">
        <f t="shared" si="4"/>
        <v>Tus lentes estan viajando a la sucursal para su entrega.</v>
      </c>
    </row>
    <row r="1403">
      <c r="A1403" s="1">
        <f>IFERROR(__xludf.DUMMYFUNCTION("""COMPUTED_VALUE"""),85952.0)</f>
        <v>85952</v>
      </c>
      <c r="B1403" s="5">
        <f>IFERROR(__xludf.DUMMYFUNCTION("""COMPUTED_VALUE"""),44958.778114050925)</f>
        <v>44958.77811</v>
      </c>
      <c r="C1403" s="1" t="str">
        <f>IFERROR(__xludf.DUMMYFUNCTION("""COMPUTED_VALUE"""),"VIDELA GLADYS ")</f>
        <v>VIDELA GLADYS </v>
      </c>
      <c r="D1403" s="1" t="str">
        <f>IFERROR(__xludf.DUMMYFUNCTION("""COMPUTED_VALUE"""),"Lentes de STOCK")</f>
        <v>Lentes de STOCK</v>
      </c>
      <c r="E1403" s="1" t="str">
        <f>IFERROR(__xludf.DUMMYFUNCTION("""COMPUTED_VALUE"""),"RIVADAVIA Luciana")</f>
        <v>RIVADAVIA Luciana</v>
      </c>
      <c r="F1403" s="1" t="str">
        <f t="shared" si="1"/>
        <v>RIVADAVIA </v>
      </c>
      <c r="G1403" s="1" t="str">
        <f t="shared" si="2"/>
        <v>Luciana</v>
      </c>
      <c r="H1403" s="1" t="str">
        <f>IFERROR(__xludf.DUMMYFUNCTION("""COMPUTED_VALUE"""),"7/2/2023, 17:00:00")</f>
        <v>7/2/2023, 17:00:00</v>
      </c>
      <c r="I1403" s="1" t="str">
        <f>IFERROR(__xludf.DUMMYFUNCTION("""COMPUTED_VALUE"""),"RETIRADO OK POR CLIENTE")</f>
        <v>RETIRADO OK POR CLIENTE</v>
      </c>
      <c r="J1403" s="1">
        <f t="shared" si="3"/>
        <v>6</v>
      </c>
      <c r="K1403" s="1" t="str">
        <f t="shared" si="4"/>
        <v>Entregamos tus lentes, que los disfrutes!</v>
      </c>
    </row>
    <row r="1404">
      <c r="A1404" s="1">
        <f>IFERROR(__xludf.DUMMYFUNCTION("""COMPUTED_VALUE"""),85953.0)</f>
        <v>85953</v>
      </c>
      <c r="B1404" s="5">
        <f>IFERROR(__xludf.DUMMYFUNCTION("""COMPUTED_VALUE"""),44958.78376189814)</f>
        <v>44958.78376</v>
      </c>
      <c r="C1404" s="1" t="str">
        <f>IFERROR(__xludf.DUMMYFUNCTION("""COMPUTED_VALUE"""),"PIATTINI JOAQUIN")</f>
        <v>PIATTINI JOAQUIN</v>
      </c>
      <c r="D1404" s="1" t="str">
        <f>IFERROR(__xludf.DUMMYFUNCTION("""COMPUTED_VALUE"""),"Lentes de STOCK")</f>
        <v>Lentes de STOCK</v>
      </c>
      <c r="E1404" s="1" t="str">
        <f>IFERROR(__xludf.DUMMYFUNCTION("""COMPUTED_VALUE"""),"RIVADAVIA Santiago LOPEZ")</f>
        <v>RIVADAVIA Santiago LOPEZ</v>
      </c>
      <c r="F1404" s="1" t="str">
        <f t="shared" si="1"/>
        <v>RIVADAVIA </v>
      </c>
      <c r="G1404" s="1" t="str">
        <f t="shared" si="2"/>
        <v>Santiago LOPEZ</v>
      </c>
      <c r="H1404" s="1" t="str">
        <f>IFERROR(__xludf.DUMMYFUNCTION("""COMPUTED_VALUE"""),"4/2/2023, 17:00:00")</f>
        <v>4/2/2023, 17:00:00</v>
      </c>
      <c r="I1404" s="1" t="str">
        <f>IFERROR(__xludf.DUMMYFUNCTION("""COMPUTED_VALUE"""),"Completado en SUCURSAL")</f>
        <v>Completado en SUCURSAL</v>
      </c>
      <c r="J1404" s="1">
        <f t="shared" si="3"/>
        <v>5</v>
      </c>
      <c r="K1404" s="1" t="str">
        <f t="shared" si="4"/>
        <v>Tus Lentes estan LISTAS PARA ENTREGAR, te esperamos.</v>
      </c>
    </row>
    <row r="1405">
      <c r="A1405" s="1">
        <f>IFERROR(__xludf.DUMMYFUNCTION("""COMPUTED_VALUE"""),85954.0)</f>
        <v>85954</v>
      </c>
      <c r="B1405" s="5">
        <f>IFERROR(__xludf.DUMMYFUNCTION("""COMPUTED_VALUE"""),44958.82291645833)</f>
        <v>44958.82292</v>
      </c>
      <c r="C1405" s="1" t="str">
        <f>IFERROR(__xludf.DUMMYFUNCTION("""COMPUTED_VALUE"""),"Gonzalez Gabriela")</f>
        <v>Gonzalez Gabriela</v>
      </c>
      <c r="D1405" s="1" t="str">
        <f>IFERROR(__xludf.DUMMYFUNCTION("""COMPUTED_VALUE"""),"Lentes de STOCK")</f>
        <v>Lentes de STOCK</v>
      </c>
      <c r="E1405" s="1" t="str">
        <f>IFERROR(__xludf.DUMMYFUNCTION("""COMPUTED_VALUE"""),"ARTIGAS Sandra G")</f>
        <v>ARTIGAS Sandra G</v>
      </c>
      <c r="F1405" s="1" t="str">
        <f t="shared" si="1"/>
        <v>ARTIGAS </v>
      </c>
      <c r="G1405" s="1" t="str">
        <f t="shared" si="2"/>
        <v>Sandra G</v>
      </c>
      <c r="H1405" s="1" t="str">
        <f>IFERROR(__xludf.DUMMYFUNCTION("""COMPUTED_VALUE"""),"4/2/2023, 17:00:00")</f>
        <v>4/2/2023, 17:00:00</v>
      </c>
      <c r="I1405" s="1" t="str">
        <f>IFERROR(__xludf.DUMMYFUNCTION("""COMPUTED_VALUE"""),"Completado en SUCURSAL")</f>
        <v>Completado en SUCURSAL</v>
      </c>
      <c r="J1405" s="1">
        <f t="shared" si="3"/>
        <v>5</v>
      </c>
      <c r="K1405" s="1" t="str">
        <f t="shared" si="4"/>
        <v>Tus Lentes estan LISTAS PARA ENTREGAR, te esperamos.</v>
      </c>
    </row>
    <row r="1406">
      <c r="A1406" s="1">
        <f>IFERROR(__xludf.DUMMYFUNCTION("""COMPUTED_VALUE"""),85955.0)</f>
        <v>85955</v>
      </c>
      <c r="B1406" s="5">
        <f>IFERROR(__xludf.DUMMYFUNCTION("""COMPUTED_VALUE"""),44958.83199244213)</f>
        <v>44958.83199</v>
      </c>
      <c r="C1406" s="1" t="str">
        <f>IFERROR(__xludf.DUMMYFUNCTION("""COMPUTED_VALUE"""),"favier patricia")</f>
        <v>favier patricia</v>
      </c>
      <c r="D1406" s="1" t="str">
        <f>IFERROR(__xludf.DUMMYFUNCTION("""COMPUTED_VALUE"""),"Lentes MULTIFOCALES")</f>
        <v>Lentes MULTIFOCALES</v>
      </c>
      <c r="E1406" s="1" t="str">
        <f>IFERROR(__xludf.DUMMYFUNCTION("""COMPUTED_VALUE"""),"RIVADAVIA Santiago N")</f>
        <v>RIVADAVIA Santiago N</v>
      </c>
      <c r="F1406" s="1" t="str">
        <f t="shared" si="1"/>
        <v>RIVADAVIA </v>
      </c>
      <c r="G1406" s="1" t="str">
        <f t="shared" si="2"/>
        <v>Santiago N</v>
      </c>
      <c r="H1406" s="1" t="str">
        <f>IFERROR(__xludf.DUMMYFUNCTION("""COMPUTED_VALUE"""),"14/2/2023, 17:00:00")</f>
        <v>14/2/2023, 17:00:00</v>
      </c>
      <c r="I1406" s="1" t="str">
        <f>IFERROR(__xludf.DUMMYFUNCTION("""COMPUTED_VALUE"""),"RETIRADO OK POR CLIENTE")</f>
        <v>RETIRADO OK POR CLIENTE</v>
      </c>
      <c r="J1406" s="1">
        <f t="shared" si="3"/>
        <v>6</v>
      </c>
      <c r="K1406" s="1" t="str">
        <f t="shared" si="4"/>
        <v>Entregamos tus lentes, que los disfrutes!</v>
      </c>
    </row>
    <row r="1407">
      <c r="A1407" s="1">
        <f>IFERROR(__xludf.DUMMYFUNCTION("""COMPUTED_VALUE"""),85956.0)</f>
        <v>85956</v>
      </c>
      <c r="B1407" s="5">
        <f>IFERROR(__xludf.DUMMYFUNCTION("""COMPUTED_VALUE"""),44958.836026805555)</f>
        <v>44958.83603</v>
      </c>
      <c r="C1407" s="1" t="str">
        <f>IFERROR(__xludf.DUMMYFUNCTION("""COMPUTED_VALUE"""),"ANZORENA MARIANA")</f>
        <v>ANZORENA MARIANA</v>
      </c>
      <c r="D1407" s="1" t="str">
        <f>IFERROR(__xludf.DUMMYFUNCTION("""COMPUTED_VALUE"""),"Lentes de STOCK")</f>
        <v>Lentes de STOCK</v>
      </c>
      <c r="E1407" s="1" t="str">
        <f>IFERROR(__xludf.DUMMYFUNCTION("""COMPUTED_VALUE"""),"RIVADAVIA Santiago LOPEZ")</f>
        <v>RIVADAVIA Santiago LOPEZ</v>
      </c>
      <c r="F1407" s="1" t="str">
        <f t="shared" si="1"/>
        <v>RIVADAVIA </v>
      </c>
      <c r="G1407" s="1" t="str">
        <f t="shared" si="2"/>
        <v>Santiago LOPEZ</v>
      </c>
      <c r="H1407" s="1" t="str">
        <f>IFERROR(__xludf.DUMMYFUNCTION("""COMPUTED_VALUE"""),"3/2/2023, 17:00:00")</f>
        <v>3/2/2023, 17:00:00</v>
      </c>
      <c r="I1407" s="1"/>
      <c r="J1407" s="1">
        <f t="shared" si="3"/>
        <v>0</v>
      </c>
      <c r="K1407" s="1" t="str">
        <f t="shared" si="4"/>
        <v/>
      </c>
    </row>
    <row r="1408">
      <c r="A1408" s="1">
        <f>IFERROR(__xludf.DUMMYFUNCTION("""COMPUTED_VALUE"""),85957.0)</f>
        <v>85957</v>
      </c>
      <c r="B1408" s="5">
        <f>IFERROR(__xludf.DUMMYFUNCTION("""COMPUTED_VALUE"""),44958.85412831018)</f>
        <v>44958.85413</v>
      </c>
      <c r="C1408" s="1" t="str">
        <f>IFERROR(__xludf.DUMMYFUNCTION("""COMPUTED_VALUE"""),"ANZORENA MARIANA")</f>
        <v>ANZORENA MARIANA</v>
      </c>
      <c r="D1408" s="1" t="str">
        <f>IFERROR(__xludf.DUMMYFUNCTION("""COMPUTED_VALUE"""),"Lentes de STOCK")</f>
        <v>Lentes de STOCK</v>
      </c>
      <c r="E1408" s="1" t="str">
        <f>IFERROR(__xludf.DUMMYFUNCTION("""COMPUTED_VALUE"""),"RIVADAVIA Santiago LOPEZ")</f>
        <v>RIVADAVIA Santiago LOPEZ</v>
      </c>
      <c r="F1408" s="1" t="str">
        <f t="shared" si="1"/>
        <v>RIVADAVIA </v>
      </c>
      <c r="G1408" s="1" t="str">
        <f t="shared" si="2"/>
        <v>Santiago LOPEZ</v>
      </c>
      <c r="H1408" s="1" t="str">
        <f>IFERROR(__xludf.DUMMYFUNCTION("""COMPUTED_VALUE"""),"4/2/2023, 17:00:00")</f>
        <v>4/2/2023, 17:00:00</v>
      </c>
      <c r="I1408" s="1" t="str">
        <f>IFERROR(__xludf.DUMMYFUNCTION("""COMPUTED_VALUE"""),"Completado en SUCURSAL")</f>
        <v>Completado en SUCURSAL</v>
      </c>
      <c r="J1408" s="1">
        <f t="shared" si="3"/>
        <v>5</v>
      </c>
      <c r="K1408" s="1" t="str">
        <f t="shared" si="4"/>
        <v>Tus Lentes estan LISTAS PARA ENTREGAR, te esperamos.</v>
      </c>
    </row>
    <row r="1409">
      <c r="A1409" s="1">
        <f>IFERROR(__xludf.DUMMYFUNCTION("""COMPUTED_VALUE"""),85958.0)</f>
        <v>85958</v>
      </c>
      <c r="B1409" s="5">
        <f>IFERROR(__xludf.DUMMYFUNCTION("""COMPUTED_VALUE"""),44958.85680987268)</f>
        <v>44958.85681</v>
      </c>
      <c r="C1409" s="1" t="str">
        <f>IFERROR(__xludf.DUMMYFUNCTION("""COMPUTED_VALUE"""),"AGUERO JULIO")</f>
        <v>AGUERO JULIO</v>
      </c>
      <c r="D1409" s="1" t="str">
        <f>IFERROR(__xludf.DUMMYFUNCTION("""COMPUTED_VALUE"""),"Lentes de STOCK")</f>
        <v>Lentes de STOCK</v>
      </c>
      <c r="E1409" s="1" t="str">
        <f>IFERROR(__xludf.DUMMYFUNCTION("""COMPUTED_VALUE"""),"RIVADAVIA Santiago LOPEZ")</f>
        <v>RIVADAVIA Santiago LOPEZ</v>
      </c>
      <c r="F1409" s="1" t="str">
        <f t="shared" si="1"/>
        <v>RIVADAVIA </v>
      </c>
      <c r="G1409" s="1" t="str">
        <f t="shared" si="2"/>
        <v>Santiago LOPEZ</v>
      </c>
      <c r="H1409" s="1" t="str">
        <f>IFERROR(__xludf.DUMMYFUNCTION("""COMPUTED_VALUE"""),"4/2/2023, 17:00:00")</f>
        <v>4/2/2023, 17:00:00</v>
      </c>
      <c r="I1409" s="1" t="str">
        <f>IFERROR(__xludf.DUMMYFUNCTION("""COMPUTED_VALUE"""),"Completado en SUCURSAL")</f>
        <v>Completado en SUCURSAL</v>
      </c>
      <c r="J1409" s="1">
        <f t="shared" si="3"/>
        <v>5</v>
      </c>
      <c r="K1409" s="1" t="str">
        <f t="shared" si="4"/>
        <v>Tus Lentes estan LISTAS PARA ENTREGAR, te esperamos.</v>
      </c>
    </row>
    <row r="1410">
      <c r="A1410" s="1">
        <f>IFERROR(__xludf.DUMMYFUNCTION("""COMPUTED_VALUE"""),85959.0)</f>
        <v>85959</v>
      </c>
      <c r="B1410" s="5">
        <f>IFERROR(__xludf.DUMMYFUNCTION("""COMPUTED_VALUE"""),44958.85935318287)</f>
        <v>44958.85935</v>
      </c>
      <c r="C1410" s="1" t="str">
        <f>IFERROR(__xludf.DUMMYFUNCTION("""COMPUTED_VALUE"""),"tissrera carlos ")</f>
        <v>tissrera carlos </v>
      </c>
      <c r="D1410" s="1" t="str">
        <f>IFERROR(__xludf.DUMMYFUNCTION("""COMPUTED_VALUE"""),"Lentes de STOCK")</f>
        <v>Lentes de STOCK</v>
      </c>
      <c r="E1410" s="1" t="str">
        <f>IFERROR(__xludf.DUMMYFUNCTION("""COMPUTED_VALUE"""),"RIVADAVIA Daniel CM")</f>
        <v>RIVADAVIA Daniel CM</v>
      </c>
      <c r="F1410" s="1" t="str">
        <f t="shared" si="1"/>
        <v>RIVADAVIA </v>
      </c>
      <c r="G1410" s="1" t="str">
        <f t="shared" si="2"/>
        <v>Daniel CM</v>
      </c>
      <c r="H1410" s="1" t="str">
        <f>IFERROR(__xludf.DUMMYFUNCTION("""COMPUTED_VALUE"""),"6/2/2023, 17:00:00")</f>
        <v>6/2/2023, 17:00:00</v>
      </c>
      <c r="I1410" s="1" t="str">
        <f>IFERROR(__xludf.DUMMYFUNCTION("""COMPUTED_VALUE"""),"RETIRADO OK POR CLIENTE")</f>
        <v>RETIRADO OK POR CLIENTE</v>
      </c>
      <c r="J1410" s="1">
        <f t="shared" si="3"/>
        <v>6</v>
      </c>
      <c r="K1410" s="1" t="str">
        <f t="shared" si="4"/>
        <v>Entregamos tus lentes, que los disfrutes!</v>
      </c>
    </row>
    <row r="1411">
      <c r="A1411" s="1">
        <f>IFERROR(__xludf.DUMMYFUNCTION("""COMPUTED_VALUE"""),85960.0)</f>
        <v>85960</v>
      </c>
      <c r="B1411" s="5">
        <f>IFERROR(__xludf.DUMMYFUNCTION("""COMPUTED_VALUE"""),44959.37699605324)</f>
        <v>44959.377</v>
      </c>
      <c r="C1411" s="1" t="str">
        <f>IFERROR(__xludf.DUMMYFUNCTION("""COMPUTED_VALUE"""),"guerra leticia amanda")</f>
        <v>guerra leticia amanda</v>
      </c>
      <c r="D1411" s="1" t="str">
        <f>IFERROR(__xludf.DUMMYFUNCTION("""COMPUTED_VALUE"""),"Lentes de STOCK")</f>
        <v>Lentes de STOCK</v>
      </c>
      <c r="E1411" s="1" t="str">
        <f>IFERROR(__xludf.DUMMYFUNCTION("""COMPUTED_VALUE"""),"Online ADMIN.")</f>
        <v>Online ADMIN.</v>
      </c>
      <c r="F1411" s="1" t="str">
        <f t="shared" si="1"/>
        <v>Online </v>
      </c>
      <c r="G1411" s="1" t="str">
        <f t="shared" si="2"/>
        <v>ADMIN.</v>
      </c>
      <c r="H1411" s="1" t="str">
        <f>IFERROR(__xludf.DUMMYFUNCTION("""COMPUTED_VALUE"""),"4/2/2023, 17:00:00")</f>
        <v>4/2/2023, 17:00:00</v>
      </c>
      <c r="I1411" s="1" t="str">
        <f>IFERROR(__xludf.DUMMYFUNCTION("""COMPUTED_VALUE"""),"Completado en SUCURSAL")</f>
        <v>Completado en SUCURSAL</v>
      </c>
      <c r="J1411" s="1">
        <f t="shared" si="3"/>
        <v>5</v>
      </c>
      <c r="K1411" s="1" t="str">
        <f t="shared" si="4"/>
        <v>Tus Lentes estan LISTAS PARA ENTREGAR, te esperamos.</v>
      </c>
    </row>
    <row r="1412">
      <c r="A1412" s="1">
        <f>IFERROR(__xludf.DUMMYFUNCTION("""COMPUTED_VALUE"""),85961.0)</f>
        <v>85961</v>
      </c>
      <c r="B1412" s="5">
        <f>IFERROR(__xludf.DUMMYFUNCTION("""COMPUTED_VALUE"""),44959.39779960648)</f>
        <v>44959.3978</v>
      </c>
      <c r="C1412" s="1" t="str">
        <f>IFERROR(__xludf.DUMMYFUNCTION("""COMPUTED_VALUE"""),"Orozco Mabe")</f>
        <v>Orozco Mabe</v>
      </c>
      <c r="D1412" s="1" t="str">
        <f>IFERROR(__xludf.DUMMYFUNCTION("""COMPUTED_VALUE"""),"Reparaciones/Otros")</f>
        <v>Reparaciones/Otros</v>
      </c>
      <c r="E1412" s="1" t="str">
        <f>IFERROR(__xludf.DUMMYFUNCTION("""COMPUTED_VALUE"""),"RIVADAVIA Rocio B")</f>
        <v>RIVADAVIA Rocio B</v>
      </c>
      <c r="F1412" s="1" t="str">
        <f t="shared" si="1"/>
        <v>RIVADAVIA </v>
      </c>
      <c r="G1412" s="1" t="str">
        <f t="shared" si="2"/>
        <v>Rocio B</v>
      </c>
      <c r="H1412" s="1" t="str">
        <f>IFERROR(__xludf.DUMMYFUNCTION("""COMPUTED_VALUE"""),"3/2/2023, 17:00:00")</f>
        <v>3/2/2023, 17:00:00</v>
      </c>
      <c r="I1412" s="1"/>
      <c r="J1412" s="1">
        <f t="shared" si="3"/>
        <v>0</v>
      </c>
      <c r="K1412" s="1" t="str">
        <f t="shared" si="4"/>
        <v/>
      </c>
    </row>
    <row r="1413">
      <c r="A1413" s="1">
        <f>IFERROR(__xludf.DUMMYFUNCTION("""COMPUTED_VALUE"""),85962.0)</f>
        <v>85962</v>
      </c>
      <c r="B1413" s="5">
        <f>IFERROR(__xludf.DUMMYFUNCTION("""COMPUTED_VALUE"""),44959.39994484954)</f>
        <v>44959.39994</v>
      </c>
      <c r="C1413" s="1" t="str">
        <f>IFERROR(__xludf.DUMMYFUNCTION("""COMPUTED_VALUE"""),"MIRANDA MAXIMA")</f>
        <v>MIRANDA MAXIMA</v>
      </c>
      <c r="D1413" s="1" t="str">
        <f>IFERROR(__xludf.DUMMYFUNCTION("""COMPUTED_VALUE"""),"Lentes BIFOCALES")</f>
        <v>Lentes BIFOCALES</v>
      </c>
      <c r="E1413" s="1" t="str">
        <f>IFERROR(__xludf.DUMMYFUNCTION("""COMPUTED_VALUE"""),"RIVADAVIA Luciana")</f>
        <v>RIVADAVIA Luciana</v>
      </c>
      <c r="F1413" s="1" t="str">
        <f t="shared" si="1"/>
        <v>RIVADAVIA </v>
      </c>
      <c r="G1413" s="1" t="str">
        <f t="shared" si="2"/>
        <v>Luciana</v>
      </c>
      <c r="H1413" s="1" t="str">
        <f>IFERROR(__xludf.DUMMYFUNCTION("""COMPUTED_VALUE"""),"7/2/2023, 17:00:00")</f>
        <v>7/2/2023, 17:00:00</v>
      </c>
      <c r="I1413" s="1" t="str">
        <f>IFERROR(__xludf.DUMMYFUNCTION("""COMPUTED_VALUE"""),"Recibido en Laboratorio")</f>
        <v>Recibido en Laboratorio</v>
      </c>
      <c r="J1413" s="1">
        <f t="shared" si="3"/>
        <v>2</v>
      </c>
      <c r="K1413" s="1" t="str">
        <f t="shared" si="4"/>
        <v>Nuestro Laboratorio esta trabajando en tus lentes, los entregaremos en la fecha acordada.</v>
      </c>
    </row>
    <row r="1414">
      <c r="A1414" s="1">
        <f>IFERROR(__xludf.DUMMYFUNCTION("""COMPUTED_VALUE"""),85963.0)</f>
        <v>85963</v>
      </c>
      <c r="B1414" s="5">
        <f>IFERROR(__xludf.DUMMYFUNCTION("""COMPUTED_VALUE"""),44959.402531099535)</f>
        <v>44959.40253</v>
      </c>
      <c r="C1414" s="1" t="str">
        <f>IFERROR(__xludf.DUMMYFUNCTION("""COMPUTED_VALUE"""),"Orozco Mabel")</f>
        <v>Orozco Mabel</v>
      </c>
      <c r="D1414" s="1" t="str">
        <f>IFERROR(__xludf.DUMMYFUNCTION("""COMPUTED_VALUE"""),"Reparaciones/Otros")</f>
        <v>Reparaciones/Otros</v>
      </c>
      <c r="E1414" s="1" t="str">
        <f>IFERROR(__xludf.DUMMYFUNCTION("""COMPUTED_VALUE"""),"ARTIGAS Roció")</f>
        <v>ARTIGAS Roció</v>
      </c>
      <c r="F1414" s="1" t="str">
        <f t="shared" si="1"/>
        <v>ARTIGAS </v>
      </c>
      <c r="G1414" s="1" t="str">
        <f t="shared" si="2"/>
        <v>Roció</v>
      </c>
      <c r="H1414" s="1" t="str">
        <f>IFERROR(__xludf.DUMMYFUNCTION("""COMPUTED_VALUE"""),"3/2/2023, 17:00:00")</f>
        <v>3/2/2023, 17:00:00</v>
      </c>
      <c r="I1414" s="1"/>
      <c r="J1414" s="1">
        <f t="shared" si="3"/>
        <v>0</v>
      </c>
      <c r="K1414" s="1" t="str">
        <f t="shared" si="4"/>
        <v/>
      </c>
    </row>
    <row r="1415">
      <c r="A1415" s="1">
        <f>IFERROR(__xludf.DUMMYFUNCTION("""COMPUTED_VALUE"""),85964.0)</f>
        <v>85964</v>
      </c>
      <c r="B1415" s="5">
        <f>IFERROR(__xludf.DUMMYFUNCTION("""COMPUTED_VALUE"""),44959.40304775463)</f>
        <v>44959.40305</v>
      </c>
      <c r="C1415" s="1" t="str">
        <f>IFERROR(__xludf.DUMMYFUNCTION("""COMPUTED_VALUE"""),"Lucero Milagros")</f>
        <v>Lucero Milagros</v>
      </c>
      <c r="D1415" s="1" t="str">
        <f>IFERROR(__xludf.DUMMYFUNCTION("""COMPUTED_VALUE"""),"Reparaciones/Otros")</f>
        <v>Reparaciones/Otros</v>
      </c>
      <c r="E1415" s="1" t="str">
        <f>IFERROR(__xludf.DUMMYFUNCTION("""COMPUTED_VALUE"""),"ARTIGAS Roció")</f>
        <v>ARTIGAS Roció</v>
      </c>
      <c r="F1415" s="1" t="str">
        <f t="shared" si="1"/>
        <v>ARTIGAS </v>
      </c>
      <c r="G1415" s="1" t="str">
        <f t="shared" si="2"/>
        <v>Roció</v>
      </c>
      <c r="H1415" s="1" t="str">
        <f>IFERROR(__xludf.DUMMYFUNCTION("""COMPUTED_VALUE"""),"3/2/2023, 17:00:00")</f>
        <v>3/2/2023, 17:00:00</v>
      </c>
      <c r="I1415" s="1" t="str">
        <f>IFERROR(__xludf.DUMMYFUNCTION("""COMPUTED_VALUE"""),"Completado en SUCURSAL")</f>
        <v>Completado en SUCURSAL</v>
      </c>
      <c r="J1415" s="1">
        <f t="shared" si="3"/>
        <v>5</v>
      </c>
      <c r="K1415" s="1" t="str">
        <f t="shared" si="4"/>
        <v>Tus Lentes estan LISTAS PARA ENTREGAR, te esperamos.</v>
      </c>
    </row>
    <row r="1416">
      <c r="A1416" s="1">
        <f>IFERROR(__xludf.DUMMYFUNCTION("""COMPUTED_VALUE"""),85965.0)</f>
        <v>85965</v>
      </c>
      <c r="B1416" s="5">
        <f>IFERROR(__xludf.DUMMYFUNCTION("""COMPUTED_VALUE"""),44959.405271701384)</f>
        <v>44959.40527</v>
      </c>
      <c r="C1416" s="1" t="str">
        <f>IFERROR(__xludf.DUMMYFUNCTION("""COMPUTED_VALUE"""),"GARCIA SILVIA ")</f>
        <v>GARCIA SILVIA </v>
      </c>
      <c r="D1416" s="1" t="str">
        <f>IFERROR(__xludf.DUMMYFUNCTION("""COMPUTED_VALUE"""),"Reparaciones/Otros")</f>
        <v>Reparaciones/Otros</v>
      </c>
      <c r="E1416" s="1" t="str">
        <f>IFERROR(__xludf.DUMMYFUNCTION("""COMPUTED_VALUE"""),"ARTIGAS Cristian C.")</f>
        <v>ARTIGAS Cristian C.</v>
      </c>
      <c r="F1416" s="1" t="str">
        <f t="shared" si="1"/>
        <v>ARTIGAS </v>
      </c>
      <c r="G1416" s="1" t="str">
        <f t="shared" si="2"/>
        <v>Cristian C.</v>
      </c>
      <c r="H1416" s="1" t="str">
        <f>IFERROR(__xludf.DUMMYFUNCTION("""COMPUTED_VALUE"""),"7/2/2023, 17:00:00")</f>
        <v>7/2/2023, 17:00:00</v>
      </c>
      <c r="I1416" s="1" t="str">
        <f>IFERROR(__xludf.DUMMYFUNCTION("""COMPUTED_VALUE"""),"Recibido en Laboratorio")</f>
        <v>Recibido en Laboratorio</v>
      </c>
      <c r="J1416" s="1">
        <f t="shared" si="3"/>
        <v>2</v>
      </c>
      <c r="K1416" s="1" t="str">
        <f t="shared" si="4"/>
        <v>Nuestro Laboratorio esta trabajando en tus lentes, los entregaremos en la fecha acordada.</v>
      </c>
    </row>
    <row r="1417">
      <c r="A1417" s="1">
        <f>IFERROR(__xludf.DUMMYFUNCTION("""COMPUTED_VALUE"""),85966.0)</f>
        <v>85966</v>
      </c>
      <c r="B1417" s="5">
        <f>IFERROR(__xludf.DUMMYFUNCTION("""COMPUTED_VALUE"""),44959.41798890046)</f>
        <v>44959.41799</v>
      </c>
      <c r="C1417" s="1" t="str">
        <f>IFERROR(__xludf.DUMMYFUNCTION("""COMPUTED_VALUE"""),"ZARANDON CIRO ")</f>
        <v>ZARANDON CIRO </v>
      </c>
      <c r="D1417" s="1" t="str">
        <f>IFERROR(__xludf.DUMMYFUNCTION("""COMPUTED_VALUE"""),"Lentes de STOCK")</f>
        <v>Lentes de STOCK</v>
      </c>
      <c r="E1417" s="1" t="str">
        <f>IFERROR(__xludf.DUMMYFUNCTION("""COMPUTED_VALUE"""),"RIVADAVIA Luciana")</f>
        <v>RIVADAVIA Luciana</v>
      </c>
      <c r="F1417" s="1" t="str">
        <f t="shared" si="1"/>
        <v>RIVADAVIA </v>
      </c>
      <c r="G1417" s="1" t="str">
        <f t="shared" si="2"/>
        <v>Luciana</v>
      </c>
      <c r="H1417" s="1" t="str">
        <f>IFERROR(__xludf.DUMMYFUNCTION("""COMPUTED_VALUE"""),"13/2/2023, 17:00:00")</f>
        <v>13/2/2023, 17:00:00</v>
      </c>
      <c r="I1417" s="1" t="str">
        <f>IFERROR(__xludf.DUMMYFUNCTION("""COMPUTED_VALUE"""),"RETIRADO OK POR CLIENTE")</f>
        <v>RETIRADO OK POR CLIENTE</v>
      </c>
      <c r="J1417" s="1">
        <f t="shared" si="3"/>
        <v>6</v>
      </c>
      <c r="K1417" s="1" t="str">
        <f t="shared" si="4"/>
        <v>Entregamos tus lentes, que los disfrutes!</v>
      </c>
    </row>
    <row r="1418">
      <c r="A1418" s="1">
        <f>IFERROR(__xludf.DUMMYFUNCTION("""COMPUTED_VALUE"""),85967.0)</f>
        <v>85967</v>
      </c>
      <c r="B1418" s="5">
        <f>IFERROR(__xludf.DUMMYFUNCTION("""COMPUTED_VALUE"""),44959.41818266203)</f>
        <v>44959.41818</v>
      </c>
      <c r="C1418" s="1" t="str">
        <f>IFERROR(__xludf.DUMMYFUNCTION("""COMPUTED_VALUE"""),"mendoza felipe")</f>
        <v>mendoza felipe</v>
      </c>
      <c r="D1418" s="1" t="str">
        <f>IFERROR(__xludf.DUMMYFUNCTION("""COMPUTED_VALUE"""),"Lentes de STOCK")</f>
        <v>Lentes de STOCK</v>
      </c>
      <c r="E1418" s="1" t="str">
        <f>IFERROR(__xludf.DUMMYFUNCTION("""COMPUTED_VALUE"""),"RIVADAVIA Daniel CM")</f>
        <v>RIVADAVIA Daniel CM</v>
      </c>
      <c r="F1418" s="1" t="str">
        <f t="shared" si="1"/>
        <v>RIVADAVIA </v>
      </c>
      <c r="G1418" s="1" t="str">
        <f t="shared" si="2"/>
        <v>Daniel CM</v>
      </c>
      <c r="H1418" s="1" t="str">
        <f>IFERROR(__xludf.DUMMYFUNCTION("""COMPUTED_VALUE"""),"6/2/2023, 17:00:00")</f>
        <v>6/2/2023, 17:00:00</v>
      </c>
      <c r="I1418" s="1" t="str">
        <f>IFERROR(__xludf.DUMMYFUNCTION("""COMPUTED_VALUE"""),"En Armado Hoy")</f>
        <v>En Armado Hoy</v>
      </c>
      <c r="J1418" s="1">
        <f t="shared" si="3"/>
        <v>3</v>
      </c>
      <c r="K1418" s="1" t="str">
        <f t="shared" si="4"/>
        <v>Estamos terminando los ultimos detalles de tus lentes, los terminaremos el dia de hoy.</v>
      </c>
    </row>
    <row r="1419">
      <c r="A1419" s="1">
        <f>IFERROR(__xludf.DUMMYFUNCTION("""COMPUTED_VALUE"""),85968.0)</f>
        <v>85968</v>
      </c>
      <c r="B1419" s="5">
        <f>IFERROR(__xludf.DUMMYFUNCTION("""COMPUTED_VALUE"""),44959.423685208334)</f>
        <v>44959.42369</v>
      </c>
      <c r="C1419" s="1" t="str">
        <f>IFERROR(__xludf.DUMMYFUNCTION("""COMPUTED_VALUE"""),"GARIBOTTO FRANCISCO")</f>
        <v>GARIBOTTO FRANCISCO</v>
      </c>
      <c r="D1419" s="1" t="str">
        <f>IFERROR(__xludf.DUMMYFUNCTION("""COMPUTED_VALUE"""),"Reparaciones/Otros")</f>
        <v>Reparaciones/Otros</v>
      </c>
      <c r="E1419" s="1" t="str">
        <f>IFERROR(__xludf.DUMMYFUNCTION("""COMPUTED_VALUE"""),"ARTIGAS Cristian C.")</f>
        <v>ARTIGAS Cristian C.</v>
      </c>
      <c r="F1419" s="1" t="str">
        <f t="shared" si="1"/>
        <v>ARTIGAS </v>
      </c>
      <c r="G1419" s="1" t="str">
        <f t="shared" si="2"/>
        <v>Cristian C.</v>
      </c>
      <c r="H1419" s="1" t="str">
        <f>IFERROR(__xludf.DUMMYFUNCTION("""COMPUTED_VALUE"""),"3/2/2023, 17:00:00")</f>
        <v>3/2/2023, 17:00:00</v>
      </c>
      <c r="I1419" s="1" t="str">
        <f>IFERROR(__xludf.DUMMYFUNCTION("""COMPUTED_VALUE"""),"Completado en SUCURSAL")</f>
        <v>Completado en SUCURSAL</v>
      </c>
      <c r="J1419" s="1">
        <f t="shared" si="3"/>
        <v>5</v>
      </c>
      <c r="K1419" s="1" t="str">
        <f t="shared" si="4"/>
        <v>Tus Lentes estan LISTAS PARA ENTREGAR, te esperamos.</v>
      </c>
    </row>
    <row r="1420">
      <c r="A1420" s="1">
        <f>IFERROR(__xludf.DUMMYFUNCTION("""COMPUTED_VALUE"""),85969.0)</f>
        <v>85969</v>
      </c>
      <c r="B1420" s="5">
        <f>IFERROR(__xludf.DUMMYFUNCTION("""COMPUTED_VALUE"""),44959.42645746528)</f>
        <v>44959.42646</v>
      </c>
      <c r="C1420" s="1" t="str">
        <f>IFERROR(__xludf.DUMMYFUNCTION("""COMPUTED_VALUE"""),"Otero Orozco Mario")</f>
        <v>Otero Orozco Mario</v>
      </c>
      <c r="D1420" s="1" t="str">
        <f>IFERROR(__xludf.DUMMYFUNCTION("""COMPUTED_VALUE"""),"Lentes MULTIFOCALES")</f>
        <v>Lentes MULTIFOCALES</v>
      </c>
      <c r="E1420" s="1" t="str">
        <f>IFERROR(__xludf.DUMMYFUNCTION("""COMPUTED_VALUE"""),"ARTIGAS Roció")</f>
        <v>ARTIGAS Roció</v>
      </c>
      <c r="F1420" s="1" t="str">
        <f t="shared" si="1"/>
        <v>ARTIGAS </v>
      </c>
      <c r="G1420" s="1" t="str">
        <f t="shared" si="2"/>
        <v>Roció</v>
      </c>
      <c r="H1420" s="1" t="str">
        <f>IFERROR(__xludf.DUMMYFUNCTION("""COMPUTED_VALUE"""),"17/2/2023, 17:00:00")</f>
        <v>17/2/2023, 17:00:00</v>
      </c>
      <c r="I1420" s="1" t="str">
        <f>IFERROR(__xludf.DUMMYFUNCTION("""COMPUTED_VALUE"""),"RETIRADO OK POR CLIENTE")</f>
        <v>RETIRADO OK POR CLIENTE</v>
      </c>
      <c r="J1420" s="1">
        <f t="shared" si="3"/>
        <v>6</v>
      </c>
      <c r="K1420" s="1" t="str">
        <f t="shared" si="4"/>
        <v>Entregamos tus lentes, que los disfrutes!</v>
      </c>
    </row>
    <row r="1421">
      <c r="A1421" s="1">
        <f>IFERROR(__xludf.DUMMYFUNCTION("""COMPUTED_VALUE"""),85970.0)</f>
        <v>85970</v>
      </c>
      <c r="B1421" s="5">
        <f>IFERROR(__xludf.DUMMYFUNCTION("""COMPUTED_VALUE"""),44959.42655953704)</f>
        <v>44959.42656</v>
      </c>
      <c r="C1421" s="1" t="str">
        <f>IFERROR(__xludf.DUMMYFUNCTION("""COMPUTED_VALUE"""),"ochoa magdalena")</f>
        <v>ochoa magdalena</v>
      </c>
      <c r="D1421" s="1" t="str">
        <f>IFERROR(__xludf.DUMMYFUNCTION("""COMPUTED_VALUE"""),"Lentes de STOCK")</f>
        <v>Lentes de STOCK</v>
      </c>
      <c r="E1421" s="1" t="str">
        <f>IFERROR(__xludf.DUMMYFUNCTION("""COMPUTED_VALUE"""),"RIVADAVIA Santiago LOPEZ")</f>
        <v>RIVADAVIA Santiago LOPEZ</v>
      </c>
      <c r="F1421" s="1" t="str">
        <f t="shared" si="1"/>
        <v>RIVADAVIA </v>
      </c>
      <c r="G1421" s="1" t="str">
        <f t="shared" si="2"/>
        <v>Santiago LOPEZ</v>
      </c>
      <c r="H1421" s="1" t="str">
        <f>IFERROR(__xludf.DUMMYFUNCTION("""COMPUTED_VALUE"""),"6/2/2023, 17:00:00")</f>
        <v>6/2/2023, 17:00:00</v>
      </c>
      <c r="I1421" s="1" t="str">
        <f>IFERROR(__xludf.DUMMYFUNCTION("""COMPUTED_VALUE"""),"RETIRADO OK POR CLIENTE")</f>
        <v>RETIRADO OK POR CLIENTE</v>
      </c>
      <c r="J1421" s="1">
        <f t="shared" si="3"/>
        <v>6</v>
      </c>
      <c r="K1421" s="1" t="str">
        <f t="shared" si="4"/>
        <v>Entregamos tus lentes, que los disfrutes!</v>
      </c>
    </row>
    <row r="1422">
      <c r="A1422" s="1">
        <f>IFERROR(__xludf.DUMMYFUNCTION("""COMPUTED_VALUE"""),85971.0)</f>
        <v>85971</v>
      </c>
      <c r="B1422" s="5">
        <f>IFERROR(__xludf.DUMMYFUNCTION("""COMPUTED_VALUE"""),44959.42989576389)</f>
        <v>44959.4299</v>
      </c>
      <c r="C1422" s="1" t="str">
        <f>IFERROR(__xludf.DUMMYFUNCTION("""COMPUTED_VALUE"""),"zarandon alejandra")</f>
        <v>zarandon alejandra</v>
      </c>
      <c r="D1422" s="1" t="str">
        <f>IFERROR(__xludf.DUMMYFUNCTION("""COMPUTED_VALUE"""),"Reparaciones/Otros")</f>
        <v>Reparaciones/Otros</v>
      </c>
      <c r="E1422" s="1" t="str">
        <f>IFERROR(__xludf.DUMMYFUNCTION("""COMPUTED_VALUE"""),"RIVADAVIA Daniel CM")</f>
        <v>RIVADAVIA Daniel CM</v>
      </c>
      <c r="F1422" s="1" t="str">
        <f t="shared" si="1"/>
        <v>RIVADAVIA </v>
      </c>
      <c r="G1422" s="1" t="str">
        <f t="shared" si="2"/>
        <v>Daniel CM</v>
      </c>
      <c r="H1422" s="1" t="str">
        <f>IFERROR(__xludf.DUMMYFUNCTION("""COMPUTED_VALUE"""),"3/2/2023, 17:00:00")</f>
        <v>3/2/2023, 17:00:00</v>
      </c>
      <c r="I1422" s="1" t="str">
        <f>IFERROR(__xludf.DUMMYFUNCTION("""COMPUTED_VALUE"""),"Completado en SUCURSAL")</f>
        <v>Completado en SUCURSAL</v>
      </c>
      <c r="J1422" s="1">
        <f t="shared" si="3"/>
        <v>5</v>
      </c>
      <c r="K1422" s="1" t="str">
        <f t="shared" si="4"/>
        <v>Tus Lentes estan LISTAS PARA ENTREGAR, te esperamos.</v>
      </c>
    </row>
    <row r="1423" hidden="1">
      <c r="A1423" s="1">
        <f>IFERROR(__xludf.DUMMYFUNCTION("""COMPUTED_VALUE"""),85972.0)</f>
        <v>85972</v>
      </c>
      <c r="B1423" s="5">
        <f>IFERROR(__xludf.DUMMYFUNCTION("""COMPUTED_VALUE"""),44959.43061130787)</f>
        <v>44959.43061</v>
      </c>
      <c r="C1423" s="1" t="str">
        <f>IFERROR(__xludf.DUMMYFUNCTION("""COMPUTED_VALUE"""),"bonilla eduardo")</f>
        <v>bonilla eduardo</v>
      </c>
      <c r="D1423" s="1" t="str">
        <f>IFERROR(__xludf.DUMMYFUNCTION("""COMPUTED_VALUE"""),"Lentes de STOCK")</f>
        <v>Lentes de STOCK</v>
      </c>
      <c r="E1423" s="1" t="str">
        <f>IFERROR(__xludf.DUMMYFUNCTION("""COMPUTED_VALUE"""),"RIVADAVIA Santiago N")</f>
        <v>RIVADAVIA Santiago N</v>
      </c>
      <c r="F1423" s="1" t="str">
        <f t="shared" si="1"/>
        <v>RIVADAVIA </v>
      </c>
      <c r="G1423" s="1" t="str">
        <f t="shared" si="2"/>
        <v>Santiago N</v>
      </c>
      <c r="H1423" s="1" t="str">
        <f>IFERROR(__xludf.DUMMYFUNCTION("""COMPUTED_VALUE"""),"4/2/2023, 17:00:00")</f>
        <v>4/2/2023, 17:00:00</v>
      </c>
      <c r="I1423" s="1" t="str">
        <f>IFERROR(__xludf.DUMMYFUNCTION("""COMPUTED_VALUE"""),"DEMORADO")</f>
        <v>DEMORADO</v>
      </c>
      <c r="J1423" s="1" t="str">
        <f t="shared" si="3"/>
        <v/>
      </c>
      <c r="K1423" s="1" t="str">
        <f t="shared" si="4"/>
        <v>Tuvimos una demora con tus lentes y no podremos entregarlo en las fecha acordada, estamos trabajando para terminarlos cuanto antes, te mantendremos al tanto, si es necesario contactanos via whatsapp.</v>
      </c>
    </row>
    <row r="1424">
      <c r="A1424" s="1">
        <f>IFERROR(__xludf.DUMMYFUNCTION("""COMPUTED_VALUE"""),85973.0)</f>
        <v>85973</v>
      </c>
      <c r="B1424" s="5">
        <f>IFERROR(__xludf.DUMMYFUNCTION("""COMPUTED_VALUE"""),44959.434086458336)</f>
        <v>44959.43409</v>
      </c>
      <c r="C1424" s="1" t="str">
        <f>IFERROR(__xludf.DUMMYFUNCTION("""COMPUTED_VALUE"""),"MURUZETA ENRIQUE")</f>
        <v>MURUZETA ENRIQUE</v>
      </c>
      <c r="D1424" s="1" t="str">
        <f>IFERROR(__xludf.DUMMYFUNCTION("""COMPUTED_VALUE"""),"Reparaciones/Otros")</f>
        <v>Reparaciones/Otros</v>
      </c>
      <c r="E1424" s="1" t="str">
        <f>IFERROR(__xludf.DUMMYFUNCTION("""COMPUTED_VALUE"""),"ARTIGAS Cristian C.")</f>
        <v>ARTIGAS Cristian C.</v>
      </c>
      <c r="F1424" s="1" t="str">
        <f t="shared" si="1"/>
        <v>ARTIGAS </v>
      </c>
      <c r="G1424" s="1" t="str">
        <f t="shared" si="2"/>
        <v>Cristian C.</v>
      </c>
      <c r="H1424" s="1" t="str">
        <f>IFERROR(__xludf.DUMMYFUNCTION("""COMPUTED_VALUE"""),"7/2/2023, 17:00:00")</f>
        <v>7/2/2023, 17:00:00</v>
      </c>
      <c r="I1424" s="1" t="str">
        <f>IFERROR(__xludf.DUMMYFUNCTION("""COMPUTED_VALUE"""),"Recibido en Laboratorio")</f>
        <v>Recibido en Laboratorio</v>
      </c>
      <c r="J1424" s="1">
        <f t="shared" si="3"/>
        <v>2</v>
      </c>
      <c r="K1424" s="1" t="str">
        <f t="shared" si="4"/>
        <v>Nuestro Laboratorio esta trabajando en tus lentes, los entregaremos en la fecha acordada.</v>
      </c>
    </row>
    <row r="1425">
      <c r="A1425" s="1">
        <f>IFERROR(__xludf.DUMMYFUNCTION("""COMPUTED_VALUE"""),85974.0)</f>
        <v>85974</v>
      </c>
      <c r="B1425" s="5">
        <f>IFERROR(__xludf.DUMMYFUNCTION("""COMPUTED_VALUE"""),44959.43545268518)</f>
        <v>44959.43545</v>
      </c>
      <c r="C1425" s="1" t="str">
        <f>IFERROR(__xludf.DUMMYFUNCTION("""COMPUTED_VALUE"""),"ISMAEL CAROLINA ELISA")</f>
        <v>ISMAEL CAROLINA ELISA</v>
      </c>
      <c r="D1425" s="1" t="str">
        <f>IFERROR(__xludf.DUMMYFUNCTION("""COMPUTED_VALUE"""),"Lentes de STOCK")</f>
        <v>Lentes de STOCK</v>
      </c>
      <c r="E1425" s="1" t="str">
        <f>IFERROR(__xludf.DUMMYFUNCTION("""COMPUTED_VALUE"""),"RIVADAVIA Marcela L")</f>
        <v>RIVADAVIA Marcela L</v>
      </c>
      <c r="F1425" s="1" t="str">
        <f t="shared" si="1"/>
        <v>RIVADAVIA </v>
      </c>
      <c r="G1425" s="1" t="str">
        <f t="shared" si="2"/>
        <v>Marcela L</v>
      </c>
      <c r="H1425" s="1" t="str">
        <f>IFERROR(__xludf.DUMMYFUNCTION("""COMPUTED_VALUE"""),"7/2/2023, 17:00:00")</f>
        <v>7/2/2023, 17:00:00</v>
      </c>
      <c r="I1425" s="1" t="str">
        <f>IFERROR(__xludf.DUMMYFUNCTION("""COMPUTED_VALUE"""),"RETIRADO OK POR CLIENTE")</f>
        <v>RETIRADO OK POR CLIENTE</v>
      </c>
      <c r="J1425" s="1">
        <f t="shared" si="3"/>
        <v>6</v>
      </c>
      <c r="K1425" s="1" t="str">
        <f t="shared" si="4"/>
        <v>Entregamos tus lentes, que los disfrutes!</v>
      </c>
    </row>
    <row r="1426">
      <c r="A1426" s="1">
        <f>IFERROR(__xludf.DUMMYFUNCTION("""COMPUTED_VALUE"""),85975.0)</f>
        <v>85975</v>
      </c>
      <c r="B1426" s="5">
        <f>IFERROR(__xludf.DUMMYFUNCTION("""COMPUTED_VALUE"""),44959.44613056713)</f>
        <v>44959.44613</v>
      </c>
      <c r="C1426" s="1" t="str">
        <f>IFERROR(__xludf.DUMMYFUNCTION("""COMPUTED_VALUE"""),"nieto marta")</f>
        <v>nieto marta</v>
      </c>
      <c r="D1426" s="1" t="str">
        <f>IFERROR(__xludf.DUMMYFUNCTION("""COMPUTED_VALUE"""),"Lentes de STOCK")</f>
        <v>Lentes de STOCK</v>
      </c>
      <c r="E1426" s="1" t="str">
        <f>IFERROR(__xludf.DUMMYFUNCTION("""COMPUTED_VALUE"""),"RIVADAVIA Santiago N")</f>
        <v>RIVADAVIA Santiago N</v>
      </c>
      <c r="F1426" s="1" t="str">
        <f t="shared" si="1"/>
        <v>RIVADAVIA </v>
      </c>
      <c r="G1426" s="1" t="str">
        <f t="shared" si="2"/>
        <v>Santiago N</v>
      </c>
      <c r="H1426" s="1" t="str">
        <f>IFERROR(__xludf.DUMMYFUNCTION("""COMPUTED_VALUE"""),"4/2/2023, 17:00:00")</f>
        <v>4/2/2023, 17:00:00</v>
      </c>
      <c r="I1426" s="1" t="str">
        <f>IFERROR(__xludf.DUMMYFUNCTION("""COMPUTED_VALUE"""),"Completado en SUCURSAL")</f>
        <v>Completado en SUCURSAL</v>
      </c>
      <c r="J1426" s="1">
        <f t="shared" si="3"/>
        <v>5</v>
      </c>
      <c r="K1426" s="1" t="str">
        <f t="shared" si="4"/>
        <v>Tus Lentes estan LISTAS PARA ENTREGAR, te esperamos.</v>
      </c>
    </row>
    <row r="1427">
      <c r="A1427" s="1">
        <f>IFERROR(__xludf.DUMMYFUNCTION("""COMPUTED_VALUE"""),85976.0)</f>
        <v>85976</v>
      </c>
      <c r="B1427" s="5">
        <f>IFERROR(__xludf.DUMMYFUNCTION("""COMPUTED_VALUE"""),44959.456750763886)</f>
        <v>44959.45675</v>
      </c>
      <c r="C1427" s="1" t="str">
        <f>IFERROR(__xludf.DUMMYFUNCTION("""COMPUTED_VALUE"""),"Alvarez Lorena")</f>
        <v>Alvarez Lorena</v>
      </c>
      <c r="D1427" s="1" t="str">
        <f>IFERROR(__xludf.DUMMYFUNCTION("""COMPUTED_VALUE"""),"Reparaciones/Otros")</f>
        <v>Reparaciones/Otros</v>
      </c>
      <c r="E1427" s="1" t="str">
        <f>IFERROR(__xludf.DUMMYFUNCTION("""COMPUTED_VALUE"""),"ARTIGAS Sandra G")</f>
        <v>ARTIGAS Sandra G</v>
      </c>
      <c r="F1427" s="1" t="str">
        <f t="shared" si="1"/>
        <v>ARTIGAS </v>
      </c>
      <c r="G1427" s="1" t="str">
        <f t="shared" si="2"/>
        <v>Sandra G</v>
      </c>
      <c r="H1427" s="1" t="str">
        <f>IFERROR(__xludf.DUMMYFUNCTION("""COMPUTED_VALUE"""),"7/2/2023, 17:00:00")</f>
        <v>7/2/2023, 17:00:00</v>
      </c>
      <c r="I1427" s="1" t="str">
        <f>IFERROR(__xludf.DUMMYFUNCTION("""COMPUTED_VALUE"""),"Completado en SUCURSAL")</f>
        <v>Completado en SUCURSAL</v>
      </c>
      <c r="J1427" s="1">
        <f t="shared" si="3"/>
        <v>5</v>
      </c>
      <c r="K1427" s="1" t="str">
        <f t="shared" si="4"/>
        <v>Tus Lentes estan LISTAS PARA ENTREGAR, te esperamos.</v>
      </c>
    </row>
    <row r="1428">
      <c r="A1428" s="1">
        <f>IFERROR(__xludf.DUMMYFUNCTION("""COMPUTED_VALUE"""),85977.0)</f>
        <v>85977</v>
      </c>
      <c r="B1428" s="5">
        <f>IFERROR(__xludf.DUMMYFUNCTION("""COMPUTED_VALUE"""),44959.46107138889)</f>
        <v>44959.46107</v>
      </c>
      <c r="C1428" s="1" t="str">
        <f>IFERROR(__xludf.DUMMYFUNCTION("""COMPUTED_VALUE"""),"hijas de santa maria")</f>
        <v>hijas de santa maria</v>
      </c>
      <c r="D1428" s="1" t="str">
        <f>IFERROR(__xludf.DUMMYFUNCTION("""COMPUTED_VALUE"""),"Reparaciones/Otros")</f>
        <v>Reparaciones/Otros</v>
      </c>
      <c r="E1428" s="1" t="str">
        <f>IFERROR(__xludf.DUMMYFUNCTION("""COMPUTED_VALUE"""),"RIVADAVIA Daniel CM")</f>
        <v>RIVADAVIA Daniel CM</v>
      </c>
      <c r="F1428" s="1" t="str">
        <f t="shared" si="1"/>
        <v>RIVADAVIA </v>
      </c>
      <c r="G1428" s="1" t="str">
        <f t="shared" si="2"/>
        <v>Daniel CM</v>
      </c>
      <c r="H1428" s="1" t="str">
        <f>IFERROR(__xludf.DUMMYFUNCTION("""COMPUTED_VALUE"""),"3/2/2023, 17:00:00")</f>
        <v>3/2/2023, 17:00:00</v>
      </c>
      <c r="I1428" s="1" t="str">
        <f>IFERROR(__xludf.DUMMYFUNCTION("""COMPUTED_VALUE"""),"Completado en SUCURSAL")</f>
        <v>Completado en SUCURSAL</v>
      </c>
      <c r="J1428" s="1">
        <f t="shared" si="3"/>
        <v>5</v>
      </c>
      <c r="K1428" s="1" t="str">
        <f t="shared" si="4"/>
        <v>Tus Lentes estan LISTAS PARA ENTREGAR, te esperamos.</v>
      </c>
    </row>
    <row r="1429">
      <c r="A1429" s="1">
        <f>IFERROR(__xludf.DUMMYFUNCTION("""COMPUTED_VALUE"""),85978.0)</f>
        <v>85978</v>
      </c>
      <c r="B1429" s="5">
        <f>IFERROR(__xludf.DUMMYFUNCTION("""COMPUTED_VALUE"""),44959.46197570601)</f>
        <v>44959.46198</v>
      </c>
      <c r="C1429" s="1" t="str">
        <f>IFERROR(__xludf.DUMMYFUNCTION("""COMPUTED_VALUE"""),"MIRANDA DAIANA LUJAN")</f>
        <v>MIRANDA DAIANA LUJAN</v>
      </c>
      <c r="D1429" s="1" t="str">
        <f>IFERROR(__xludf.DUMMYFUNCTION("""COMPUTED_VALUE"""),"Lentes de STOCK")</f>
        <v>Lentes de STOCK</v>
      </c>
      <c r="E1429" s="1" t="str">
        <f>IFERROR(__xludf.DUMMYFUNCTION("""COMPUTED_VALUE"""),"RIVADAVIA Marcela L")</f>
        <v>RIVADAVIA Marcela L</v>
      </c>
      <c r="F1429" s="1" t="str">
        <f t="shared" si="1"/>
        <v>RIVADAVIA </v>
      </c>
      <c r="G1429" s="1" t="str">
        <f t="shared" si="2"/>
        <v>Marcela L</v>
      </c>
      <c r="H1429" s="1" t="str">
        <f>IFERROR(__xludf.DUMMYFUNCTION("""COMPUTED_VALUE"""),"7/2/2023, 17:00:00")</f>
        <v>7/2/2023, 17:00:00</v>
      </c>
      <c r="I1429" s="1" t="str">
        <f>IFERROR(__xludf.DUMMYFUNCTION("""COMPUTED_VALUE"""),"RETIRADO OK POR CLIENTE")</f>
        <v>RETIRADO OK POR CLIENTE</v>
      </c>
      <c r="J1429" s="1">
        <f t="shared" si="3"/>
        <v>6</v>
      </c>
      <c r="K1429" s="1" t="str">
        <f t="shared" si="4"/>
        <v>Entregamos tus lentes, que los disfrutes!</v>
      </c>
    </row>
    <row r="1430">
      <c r="A1430" s="1">
        <f>IFERROR(__xludf.DUMMYFUNCTION("""COMPUTED_VALUE"""),85979.0)</f>
        <v>85979</v>
      </c>
      <c r="B1430" s="5">
        <f>IFERROR(__xludf.DUMMYFUNCTION("""COMPUTED_VALUE"""),44959.46393085648)</f>
        <v>44959.46393</v>
      </c>
      <c r="C1430" s="1" t="str">
        <f>IFERROR(__xludf.DUMMYFUNCTION("""COMPUTED_VALUE"""),"GENNERO JORGE PABLO")</f>
        <v>GENNERO JORGE PABLO</v>
      </c>
      <c r="D1430" s="1" t="str">
        <f>IFERROR(__xludf.DUMMYFUNCTION("""COMPUTED_VALUE"""),"Lentes de LABORATORIO")</f>
        <v>Lentes de LABORATORIO</v>
      </c>
      <c r="E1430" s="1" t="str">
        <f>IFERROR(__xludf.DUMMYFUNCTION("""COMPUTED_VALUE"""),"RIVADAVIA Santiago N")</f>
        <v>RIVADAVIA Santiago N</v>
      </c>
      <c r="F1430" s="1" t="str">
        <f t="shared" si="1"/>
        <v>RIVADAVIA </v>
      </c>
      <c r="G1430" s="1" t="str">
        <f t="shared" si="2"/>
        <v>Santiago N</v>
      </c>
      <c r="H1430" s="1" t="str">
        <f>IFERROR(__xludf.DUMMYFUNCTION("""COMPUTED_VALUE"""),"13/2/2023, 17:00:00")</f>
        <v>13/2/2023, 17:00:00</v>
      </c>
      <c r="I1430" s="1" t="str">
        <f>IFERROR(__xludf.DUMMYFUNCTION("""COMPUTED_VALUE"""),"RETIRADO OK POR CLIENTE")</f>
        <v>RETIRADO OK POR CLIENTE</v>
      </c>
      <c r="J1430" s="1">
        <f t="shared" si="3"/>
        <v>6</v>
      </c>
      <c r="K1430" s="1" t="str">
        <f t="shared" si="4"/>
        <v>Entregamos tus lentes, que los disfrutes!</v>
      </c>
    </row>
    <row r="1431">
      <c r="A1431" s="1">
        <f>IFERROR(__xludf.DUMMYFUNCTION("""COMPUTED_VALUE"""),85980.0)</f>
        <v>85980</v>
      </c>
      <c r="B1431" s="5">
        <f>IFERROR(__xludf.DUMMYFUNCTION("""COMPUTED_VALUE"""),44959.46456976852)</f>
        <v>44959.46457</v>
      </c>
      <c r="C1431" s="1" t="str">
        <f>IFERROR(__xludf.DUMMYFUNCTION("""COMPUTED_VALUE"""),"acevedo ramon")</f>
        <v>acevedo ramon</v>
      </c>
      <c r="D1431" s="1" t="str">
        <f>IFERROR(__xludf.DUMMYFUNCTION("""COMPUTED_VALUE"""),"Lentes de STOCK")</f>
        <v>Lentes de STOCK</v>
      </c>
      <c r="E1431" s="1" t="str">
        <f>IFERROR(__xludf.DUMMYFUNCTION("""COMPUTED_VALUE"""),"RIVADAVIA Santiago LOPEZ")</f>
        <v>RIVADAVIA Santiago LOPEZ</v>
      </c>
      <c r="F1431" s="1" t="str">
        <f t="shared" si="1"/>
        <v>RIVADAVIA </v>
      </c>
      <c r="G1431" s="1" t="str">
        <f t="shared" si="2"/>
        <v>Santiago LOPEZ</v>
      </c>
      <c r="H1431" s="1" t="str">
        <f>IFERROR(__xludf.DUMMYFUNCTION("""COMPUTED_VALUE"""),"6/2/2023, 17:00:00")</f>
        <v>6/2/2023, 17:00:00</v>
      </c>
      <c r="I1431" s="1" t="str">
        <f>IFERROR(__xludf.DUMMYFUNCTION("""COMPUTED_VALUE"""),"En Armado Hoy")</f>
        <v>En Armado Hoy</v>
      </c>
      <c r="J1431" s="1">
        <f t="shared" si="3"/>
        <v>3</v>
      </c>
      <c r="K1431" s="1" t="str">
        <f t="shared" si="4"/>
        <v>Estamos terminando los ultimos detalles de tus lentes, los terminaremos el dia de hoy.</v>
      </c>
    </row>
    <row r="1432">
      <c r="A1432" s="1">
        <f>IFERROR(__xludf.DUMMYFUNCTION("""COMPUTED_VALUE"""),85981.0)</f>
        <v>85981</v>
      </c>
      <c r="B1432" s="5">
        <f>IFERROR(__xludf.DUMMYFUNCTION("""COMPUTED_VALUE"""),44959.46565341435)</f>
        <v>44959.46565</v>
      </c>
      <c r="C1432" s="1" t="str">
        <f>IFERROR(__xludf.DUMMYFUNCTION("""COMPUTED_VALUE"""),"Lacerda Monica Edith")</f>
        <v>Lacerda Monica Edith</v>
      </c>
      <c r="D1432" s="1" t="str">
        <f>IFERROR(__xludf.DUMMYFUNCTION("""COMPUTED_VALUE"""),"Lentes de STOCK")</f>
        <v>Lentes de STOCK</v>
      </c>
      <c r="E1432" s="1" t="str">
        <f>IFERROR(__xludf.DUMMYFUNCTION("""COMPUTED_VALUE"""),"ARTIGAS Roció")</f>
        <v>ARTIGAS Roció</v>
      </c>
      <c r="F1432" s="1" t="str">
        <f t="shared" si="1"/>
        <v>ARTIGAS </v>
      </c>
      <c r="G1432" s="1" t="str">
        <f t="shared" si="2"/>
        <v>Roció</v>
      </c>
      <c r="H1432" s="1" t="str">
        <f>IFERROR(__xludf.DUMMYFUNCTION("""COMPUTED_VALUE"""),"9/2/2023, 17:00:00")</f>
        <v>9/2/2023, 17:00:00</v>
      </c>
      <c r="I1432" s="1" t="str">
        <f>IFERROR(__xludf.DUMMYFUNCTION("""COMPUTED_VALUE"""),"RETIRADO OK POR CLIENTE")</f>
        <v>RETIRADO OK POR CLIENTE</v>
      </c>
      <c r="J1432" s="1">
        <f t="shared" si="3"/>
        <v>6</v>
      </c>
      <c r="K1432" s="1" t="str">
        <f t="shared" si="4"/>
        <v>Entregamos tus lentes, que los disfrutes!</v>
      </c>
    </row>
    <row r="1433">
      <c r="A1433" s="1">
        <f>IFERROR(__xludf.DUMMYFUNCTION("""COMPUTED_VALUE"""),85982.0)</f>
        <v>85982</v>
      </c>
      <c r="B1433" s="5">
        <f>IFERROR(__xludf.DUMMYFUNCTION("""COMPUTED_VALUE"""),44959.46606136574)</f>
        <v>44959.46606</v>
      </c>
      <c r="C1433" s="1" t="str">
        <f>IFERROR(__xludf.DUMMYFUNCTION("""COMPUTED_VALUE"""),"GAUNA JUSTINA ")</f>
        <v>GAUNA JUSTINA </v>
      </c>
      <c r="D1433" s="1" t="str">
        <f>IFERROR(__xludf.DUMMYFUNCTION("""COMPUTED_VALUE"""),"Lentes BIFOCALES")</f>
        <v>Lentes BIFOCALES</v>
      </c>
      <c r="E1433" s="1" t="str">
        <f>IFERROR(__xludf.DUMMYFUNCTION("""COMPUTED_VALUE"""),"RIVADAVIA Luciana")</f>
        <v>RIVADAVIA Luciana</v>
      </c>
      <c r="F1433" s="1" t="str">
        <f t="shared" si="1"/>
        <v>RIVADAVIA </v>
      </c>
      <c r="G1433" s="1" t="str">
        <f t="shared" si="2"/>
        <v>Luciana</v>
      </c>
      <c r="H1433" s="1" t="str">
        <f>IFERROR(__xludf.DUMMYFUNCTION("""COMPUTED_VALUE"""),"17/2/2023, 17:00:00")</f>
        <v>17/2/2023, 17:00:00</v>
      </c>
      <c r="I1433" s="1" t="str">
        <f>IFERROR(__xludf.DUMMYFUNCTION("""COMPUTED_VALUE"""),"RETIRADO OK POR CLIENTE")</f>
        <v>RETIRADO OK POR CLIENTE</v>
      </c>
      <c r="J1433" s="1">
        <f t="shared" si="3"/>
        <v>6</v>
      </c>
      <c r="K1433" s="1" t="str">
        <f t="shared" si="4"/>
        <v>Entregamos tus lentes, que los disfrutes!</v>
      </c>
    </row>
    <row r="1434">
      <c r="A1434" s="1">
        <f>IFERROR(__xludf.DUMMYFUNCTION("""COMPUTED_VALUE"""),85983.0)</f>
        <v>85983</v>
      </c>
      <c r="B1434" s="5">
        <f>IFERROR(__xludf.DUMMYFUNCTION("""COMPUTED_VALUE"""),44959.47049594908)</f>
        <v>44959.4705</v>
      </c>
      <c r="C1434" s="1" t="str">
        <f>IFERROR(__xludf.DUMMYFUNCTION("""COMPUTED_VALUE"""),"MARTINEZ CLAUDIUA")</f>
        <v>MARTINEZ CLAUDIUA</v>
      </c>
      <c r="D1434" s="1" t="str">
        <f>IFERROR(__xludf.DUMMYFUNCTION("""COMPUTED_VALUE"""),"Reparaciones/Otros")</f>
        <v>Reparaciones/Otros</v>
      </c>
      <c r="E1434" s="1" t="str">
        <f>IFERROR(__xludf.DUMMYFUNCTION("""COMPUTED_VALUE"""),"ARTIGAS Cristian C.")</f>
        <v>ARTIGAS Cristian C.</v>
      </c>
      <c r="F1434" s="1" t="str">
        <f t="shared" si="1"/>
        <v>ARTIGAS </v>
      </c>
      <c r="G1434" s="1" t="str">
        <f t="shared" si="2"/>
        <v>Cristian C.</v>
      </c>
      <c r="H1434" s="1" t="str">
        <f>IFERROR(__xludf.DUMMYFUNCTION("""COMPUTED_VALUE"""),"7/2/2023, 17:00:00")</f>
        <v>7/2/2023, 17:00:00</v>
      </c>
      <c r="I1434" s="1" t="str">
        <f>IFERROR(__xludf.DUMMYFUNCTION("""COMPUTED_VALUE"""),"Recibido en Laboratorio")</f>
        <v>Recibido en Laboratorio</v>
      </c>
      <c r="J1434" s="1">
        <f t="shared" si="3"/>
        <v>2</v>
      </c>
      <c r="K1434" s="1" t="str">
        <f t="shared" si="4"/>
        <v>Nuestro Laboratorio esta trabajando en tus lentes, los entregaremos en la fecha acordada.</v>
      </c>
    </row>
    <row r="1435">
      <c r="A1435" s="1">
        <f>IFERROR(__xludf.DUMMYFUNCTION("""COMPUTED_VALUE"""),85984.0)</f>
        <v>85984</v>
      </c>
      <c r="B1435" s="5">
        <f>IFERROR(__xludf.DUMMYFUNCTION("""COMPUTED_VALUE"""),44959.48101150463)</f>
        <v>44959.48101</v>
      </c>
      <c r="C1435" s="1" t="str">
        <f>IFERROR(__xludf.DUMMYFUNCTION("""COMPUTED_VALUE"""),"LUCERO GLADYS RENEE")</f>
        <v>LUCERO GLADYS RENEE</v>
      </c>
      <c r="D1435" s="1" t="str">
        <f>IFERROR(__xludf.DUMMYFUNCTION("""COMPUTED_VALUE"""),"Lentes de STOCK")</f>
        <v>Lentes de STOCK</v>
      </c>
      <c r="E1435" s="1" t="str">
        <f>IFERROR(__xludf.DUMMYFUNCTION("""COMPUTED_VALUE"""),"RIVADAVIA Marcela L")</f>
        <v>RIVADAVIA Marcela L</v>
      </c>
      <c r="F1435" s="1" t="str">
        <f t="shared" si="1"/>
        <v>RIVADAVIA </v>
      </c>
      <c r="G1435" s="1" t="str">
        <f t="shared" si="2"/>
        <v>Marcela L</v>
      </c>
      <c r="H1435" s="1" t="str">
        <f>IFERROR(__xludf.DUMMYFUNCTION("""COMPUTED_VALUE"""),"7/2/2023, 17:00:00")</f>
        <v>7/2/2023, 17:00:00</v>
      </c>
      <c r="I1435" s="1" t="str">
        <f>IFERROR(__xludf.DUMMYFUNCTION("""COMPUTED_VALUE"""),"Recibido en Laboratorio")</f>
        <v>Recibido en Laboratorio</v>
      </c>
      <c r="J1435" s="1">
        <f t="shared" si="3"/>
        <v>2</v>
      </c>
      <c r="K1435" s="1" t="str">
        <f t="shared" si="4"/>
        <v>Nuestro Laboratorio esta trabajando en tus lentes, los entregaremos en la fecha acordada.</v>
      </c>
    </row>
    <row r="1436">
      <c r="A1436" s="1">
        <f>IFERROR(__xludf.DUMMYFUNCTION("""COMPUTED_VALUE"""),85985.0)</f>
        <v>85985</v>
      </c>
      <c r="B1436" s="5">
        <f>IFERROR(__xludf.DUMMYFUNCTION("""COMPUTED_VALUE"""),44959.483895983794)</f>
        <v>44959.4839</v>
      </c>
      <c r="C1436" s="1" t="str">
        <f>IFERROR(__xludf.DUMMYFUNCTION("""COMPUTED_VALUE"""),"Farana Daniel")</f>
        <v>Farana Daniel</v>
      </c>
      <c r="D1436" s="1" t="str">
        <f>IFERROR(__xludf.DUMMYFUNCTION("""COMPUTED_VALUE"""),"Lentes de STOCK")</f>
        <v>Lentes de STOCK</v>
      </c>
      <c r="E1436" s="1" t="str">
        <f>IFERROR(__xludf.DUMMYFUNCTION("""COMPUTED_VALUE"""),"RIVADAVIA Rocio B")</f>
        <v>RIVADAVIA Rocio B</v>
      </c>
      <c r="F1436" s="1" t="str">
        <f t="shared" si="1"/>
        <v>RIVADAVIA </v>
      </c>
      <c r="G1436" s="1" t="str">
        <f t="shared" si="2"/>
        <v>Rocio B</v>
      </c>
      <c r="H1436" s="1" t="str">
        <f>IFERROR(__xludf.DUMMYFUNCTION("""COMPUTED_VALUE"""),"9/2/2023, 17:00:00")</f>
        <v>9/2/2023, 17:00:00</v>
      </c>
      <c r="I1436" s="1" t="str">
        <f>IFERROR(__xludf.DUMMYFUNCTION("""COMPUTED_VALUE"""),"RETIRADO OK POR CLIENTE")</f>
        <v>RETIRADO OK POR CLIENTE</v>
      </c>
      <c r="J1436" s="1">
        <f t="shared" si="3"/>
        <v>6</v>
      </c>
      <c r="K1436" s="1" t="str">
        <f t="shared" si="4"/>
        <v>Entregamos tus lentes, que los disfrutes!</v>
      </c>
    </row>
    <row r="1437">
      <c r="A1437" s="1">
        <f>IFERROR(__xludf.DUMMYFUNCTION("""COMPUTED_VALUE"""),85986.0)</f>
        <v>85986</v>
      </c>
      <c r="B1437" s="5">
        <f>IFERROR(__xludf.DUMMYFUNCTION("""COMPUTED_VALUE"""),44959.48405724537)</f>
        <v>44959.48406</v>
      </c>
      <c r="C1437" s="1" t="str">
        <f>IFERROR(__xludf.DUMMYFUNCTION("""COMPUTED_VALUE"""),"FUNES RAMONA")</f>
        <v>FUNES RAMONA</v>
      </c>
      <c r="D1437" s="1" t="str">
        <f>IFERROR(__xludf.DUMMYFUNCTION("""COMPUTED_VALUE"""),"Lentes de STOCK")</f>
        <v>Lentes de STOCK</v>
      </c>
      <c r="E1437" s="1" t="str">
        <f>IFERROR(__xludf.DUMMYFUNCTION("""COMPUTED_VALUE"""),"RIVADAVIA Santiago N")</f>
        <v>RIVADAVIA Santiago N</v>
      </c>
      <c r="F1437" s="1" t="str">
        <f t="shared" si="1"/>
        <v>RIVADAVIA </v>
      </c>
      <c r="G1437" s="1" t="str">
        <f t="shared" si="2"/>
        <v>Santiago N</v>
      </c>
      <c r="H1437" s="1" t="str">
        <f>IFERROR(__xludf.DUMMYFUNCTION("""COMPUTED_VALUE"""),"6/2/2023, 17:00:00")</f>
        <v>6/2/2023, 17:00:00</v>
      </c>
      <c r="I1437" s="1" t="str">
        <f>IFERROR(__xludf.DUMMYFUNCTION("""COMPUTED_VALUE"""),"RETIRADO OK POR CLIENTE")</f>
        <v>RETIRADO OK POR CLIENTE</v>
      </c>
      <c r="J1437" s="1">
        <f t="shared" si="3"/>
        <v>6</v>
      </c>
      <c r="K1437" s="1" t="str">
        <f t="shared" si="4"/>
        <v>Entregamos tus lentes, que los disfrutes!</v>
      </c>
    </row>
    <row r="1438">
      <c r="A1438" s="1">
        <f>IFERROR(__xludf.DUMMYFUNCTION("""COMPUTED_VALUE"""),85987.0)</f>
        <v>85987</v>
      </c>
      <c r="B1438" s="5">
        <f>IFERROR(__xludf.DUMMYFUNCTION("""COMPUTED_VALUE"""),44959.508794016205)</f>
        <v>44959.50879</v>
      </c>
      <c r="C1438" s="1" t="str">
        <f>IFERROR(__xludf.DUMMYFUNCTION("""COMPUTED_VALUE"""),"CRAVERO ADRIANA")</f>
        <v>CRAVERO ADRIANA</v>
      </c>
      <c r="D1438" s="1" t="str">
        <f>IFERROR(__xludf.DUMMYFUNCTION("""COMPUTED_VALUE"""),"Lentes BIFOCALES")</f>
        <v>Lentes BIFOCALES</v>
      </c>
      <c r="E1438" s="1" t="str">
        <f>IFERROR(__xludf.DUMMYFUNCTION("""COMPUTED_VALUE"""),"RIVADAVIA Santiago N")</f>
        <v>RIVADAVIA Santiago N</v>
      </c>
      <c r="F1438" s="1" t="str">
        <f t="shared" si="1"/>
        <v>RIVADAVIA </v>
      </c>
      <c r="G1438" s="1" t="str">
        <f t="shared" si="2"/>
        <v>Santiago N</v>
      </c>
      <c r="H1438" s="1" t="str">
        <f>IFERROR(__xludf.DUMMYFUNCTION("""COMPUTED_VALUE"""),"7/2/2023, 17:00:00")</f>
        <v>7/2/2023, 17:00:00</v>
      </c>
      <c r="I1438" s="1" t="str">
        <f>IFERROR(__xludf.DUMMYFUNCTION("""COMPUTED_VALUE"""),"Recibido en Laboratorio")</f>
        <v>Recibido en Laboratorio</v>
      </c>
      <c r="J1438" s="1">
        <f t="shared" si="3"/>
        <v>2</v>
      </c>
      <c r="K1438" s="1" t="str">
        <f t="shared" si="4"/>
        <v>Nuestro Laboratorio esta trabajando en tus lentes, los entregaremos en la fecha acordada.</v>
      </c>
    </row>
    <row r="1439">
      <c r="A1439" s="1">
        <f>IFERROR(__xludf.DUMMYFUNCTION("""COMPUTED_VALUE"""),85988.0)</f>
        <v>85988</v>
      </c>
      <c r="B1439" s="5">
        <f>IFERROR(__xludf.DUMMYFUNCTION("""COMPUTED_VALUE"""),44959.514615162036)</f>
        <v>44959.51462</v>
      </c>
      <c r="C1439" s="1" t="str">
        <f>IFERROR(__xludf.DUMMYFUNCTION("""COMPUTED_VALUE"""),"GOMEZ LARA ROCIO")</f>
        <v>GOMEZ LARA ROCIO</v>
      </c>
      <c r="D1439" s="1" t="str">
        <f>IFERROR(__xludf.DUMMYFUNCTION("""COMPUTED_VALUE"""),"Lentes de STOCK")</f>
        <v>Lentes de STOCK</v>
      </c>
      <c r="E1439" s="1" t="str">
        <f>IFERROR(__xludf.DUMMYFUNCTION("""COMPUTED_VALUE"""),"ARTIGAS Cristian C.")</f>
        <v>ARTIGAS Cristian C.</v>
      </c>
      <c r="F1439" s="1" t="str">
        <f t="shared" si="1"/>
        <v>ARTIGAS </v>
      </c>
      <c r="G1439" s="1" t="str">
        <f t="shared" si="2"/>
        <v>Cristian C.</v>
      </c>
      <c r="H1439" s="1" t="str">
        <f>IFERROR(__xludf.DUMMYFUNCTION("""COMPUTED_VALUE"""),"9/2/2023, 17:00:00")</f>
        <v>9/2/2023, 17:00:00</v>
      </c>
      <c r="I1439" s="1" t="str">
        <f>IFERROR(__xludf.DUMMYFUNCTION("""COMPUTED_VALUE"""),"RETIRADO OK POR CLIENTE")</f>
        <v>RETIRADO OK POR CLIENTE</v>
      </c>
      <c r="J1439" s="1">
        <f t="shared" si="3"/>
        <v>6</v>
      </c>
      <c r="K1439" s="1" t="str">
        <f t="shared" si="4"/>
        <v>Entregamos tus lentes, que los disfrutes!</v>
      </c>
    </row>
    <row r="1440">
      <c r="A1440" s="1">
        <f>IFERROR(__xludf.DUMMYFUNCTION("""COMPUTED_VALUE"""),85989.0)</f>
        <v>85989</v>
      </c>
      <c r="B1440" s="5">
        <f>IFERROR(__xludf.DUMMYFUNCTION("""COMPUTED_VALUE"""),44959.51960490741)</f>
        <v>44959.5196</v>
      </c>
      <c r="C1440" s="1" t="str">
        <f>IFERROR(__xludf.DUMMYFUNCTION("""COMPUTED_VALUE"""),"GOMEZ PILAR MICAELA")</f>
        <v>GOMEZ PILAR MICAELA</v>
      </c>
      <c r="D1440" s="1" t="str">
        <f>IFERROR(__xludf.DUMMYFUNCTION("""COMPUTED_VALUE"""),"Lentes de STOCK")</f>
        <v>Lentes de STOCK</v>
      </c>
      <c r="E1440" s="1" t="str">
        <f>IFERROR(__xludf.DUMMYFUNCTION("""COMPUTED_VALUE"""),"ARTIGAS Cristian C.")</f>
        <v>ARTIGAS Cristian C.</v>
      </c>
      <c r="F1440" s="1" t="str">
        <f t="shared" si="1"/>
        <v>ARTIGAS </v>
      </c>
      <c r="G1440" s="1" t="str">
        <f t="shared" si="2"/>
        <v>Cristian C.</v>
      </c>
      <c r="H1440" s="1" t="str">
        <f>IFERROR(__xludf.DUMMYFUNCTION("""COMPUTED_VALUE"""),"9/2/2023, 17:00:00")</f>
        <v>9/2/2023, 17:00:00</v>
      </c>
      <c r="I1440" s="1" t="str">
        <f>IFERROR(__xludf.DUMMYFUNCTION("""COMPUTED_VALUE"""),"RETIRADO OK POR CLIENTE")</f>
        <v>RETIRADO OK POR CLIENTE</v>
      </c>
      <c r="J1440" s="1">
        <f t="shared" si="3"/>
        <v>6</v>
      </c>
      <c r="K1440" s="1" t="str">
        <f t="shared" si="4"/>
        <v>Entregamos tus lentes, que los disfrutes!</v>
      </c>
    </row>
    <row r="1441">
      <c r="A1441" s="1">
        <f>IFERROR(__xludf.DUMMYFUNCTION("""COMPUTED_VALUE"""),85990.0)</f>
        <v>85990</v>
      </c>
      <c r="B1441" s="5">
        <f>IFERROR(__xludf.DUMMYFUNCTION("""COMPUTED_VALUE"""),44959.52413883102)</f>
        <v>44959.52414</v>
      </c>
      <c r="C1441" s="1" t="str">
        <f>IFERROR(__xludf.DUMMYFUNCTION("""COMPUTED_VALUE"""),"CUELLO FATIMA")</f>
        <v>CUELLO FATIMA</v>
      </c>
      <c r="D1441" s="1" t="str">
        <f>IFERROR(__xludf.DUMMYFUNCTION("""COMPUTED_VALUE"""),"Reparaciones/Otros")</f>
        <v>Reparaciones/Otros</v>
      </c>
      <c r="E1441" s="1" t="str">
        <f>IFERROR(__xludf.DUMMYFUNCTION("""COMPUTED_VALUE"""),"RIVADAVIA Daniel CM")</f>
        <v>RIVADAVIA Daniel CM</v>
      </c>
      <c r="F1441" s="1" t="str">
        <f t="shared" si="1"/>
        <v>RIVADAVIA </v>
      </c>
      <c r="G1441" s="1" t="str">
        <f t="shared" si="2"/>
        <v>Daniel CM</v>
      </c>
      <c r="H1441" s="1" t="str">
        <f>IFERROR(__xludf.DUMMYFUNCTION("""COMPUTED_VALUE"""),"3/2/2023, 17:00:00")</f>
        <v>3/2/2023, 17:00:00</v>
      </c>
      <c r="I1441" s="1" t="str">
        <f>IFERROR(__xludf.DUMMYFUNCTION("""COMPUTED_VALUE"""),"Completado en SUCURSAL")</f>
        <v>Completado en SUCURSAL</v>
      </c>
      <c r="J1441" s="1">
        <f t="shared" si="3"/>
        <v>5</v>
      </c>
      <c r="K1441" s="1" t="str">
        <f t="shared" si="4"/>
        <v>Tus Lentes estan LISTAS PARA ENTREGAR, te esperamos.</v>
      </c>
    </row>
    <row r="1442">
      <c r="A1442" s="1">
        <f>IFERROR(__xludf.DUMMYFUNCTION("""COMPUTED_VALUE"""),85991.0)</f>
        <v>85991</v>
      </c>
      <c r="B1442" s="5">
        <f>IFERROR(__xludf.DUMMYFUNCTION("""COMPUTED_VALUE"""),44959.543635891205)</f>
        <v>44959.54364</v>
      </c>
      <c r="C1442" s="1" t="str">
        <f>IFERROR(__xludf.DUMMYFUNCTION("""COMPUTED_VALUE"""),"VARGAS OLGA")</f>
        <v>VARGAS OLGA</v>
      </c>
      <c r="D1442" s="1" t="str">
        <f>IFERROR(__xludf.DUMMYFUNCTION("""COMPUTED_VALUE"""),"Reparaciones/Otros")</f>
        <v>Reparaciones/Otros</v>
      </c>
      <c r="E1442" s="1" t="str">
        <f>IFERROR(__xludf.DUMMYFUNCTION("""COMPUTED_VALUE"""),"RIVADAVIA Marcela L")</f>
        <v>RIVADAVIA Marcela L</v>
      </c>
      <c r="F1442" s="1" t="str">
        <f t="shared" si="1"/>
        <v>RIVADAVIA </v>
      </c>
      <c r="G1442" s="1" t="str">
        <f t="shared" si="2"/>
        <v>Marcela L</v>
      </c>
      <c r="H1442" s="1" t="str">
        <f>IFERROR(__xludf.DUMMYFUNCTION("""COMPUTED_VALUE"""),"3/2/2023, 17:00:00")</f>
        <v>3/2/2023, 17:00:00</v>
      </c>
      <c r="I1442" s="1" t="str">
        <f>IFERROR(__xludf.DUMMYFUNCTION("""COMPUTED_VALUE"""),"Completado en SUCURSAL")</f>
        <v>Completado en SUCURSAL</v>
      </c>
      <c r="J1442" s="1">
        <f t="shared" si="3"/>
        <v>5</v>
      </c>
      <c r="K1442" s="1" t="str">
        <f t="shared" si="4"/>
        <v>Tus Lentes estan LISTAS PARA ENTREGAR, te esperamos.</v>
      </c>
    </row>
    <row r="1443">
      <c r="A1443" s="1">
        <f>IFERROR(__xludf.DUMMYFUNCTION("""COMPUTED_VALUE"""),85992.0)</f>
        <v>85992</v>
      </c>
      <c r="B1443" s="5">
        <f>IFERROR(__xludf.DUMMYFUNCTION("""COMPUTED_VALUE"""),44959.54436083333)</f>
        <v>44959.54436</v>
      </c>
      <c r="C1443" s="1" t="str">
        <f>IFERROR(__xludf.DUMMYFUNCTION("""COMPUTED_VALUE"""),"SORIA MARIA LUISA")</f>
        <v>SORIA MARIA LUISA</v>
      </c>
      <c r="D1443" s="1" t="str">
        <f>IFERROR(__xludf.DUMMYFUNCTION("""COMPUTED_VALUE"""),"Lentes BIFOCALES")</f>
        <v>Lentes BIFOCALES</v>
      </c>
      <c r="E1443" s="1" t="str">
        <f>IFERROR(__xludf.DUMMYFUNCTION("""COMPUTED_VALUE"""),"RIVADAVIA Santiago LOPEZ")</f>
        <v>RIVADAVIA Santiago LOPEZ</v>
      </c>
      <c r="F1443" s="1" t="str">
        <f t="shared" si="1"/>
        <v>RIVADAVIA </v>
      </c>
      <c r="G1443" s="1" t="str">
        <f t="shared" si="2"/>
        <v>Santiago LOPEZ</v>
      </c>
      <c r="H1443" s="1" t="str">
        <f>IFERROR(__xludf.DUMMYFUNCTION("""COMPUTED_VALUE"""),"6/2/2023, 17:00:00")</f>
        <v>6/2/2023, 17:00:00</v>
      </c>
      <c r="I1443" s="1"/>
      <c r="J1443" s="1">
        <f t="shared" si="3"/>
        <v>0</v>
      </c>
      <c r="K1443" s="1" t="str">
        <f t="shared" si="4"/>
        <v/>
      </c>
    </row>
    <row r="1444">
      <c r="A1444" s="1">
        <f>IFERROR(__xludf.DUMMYFUNCTION("""COMPUTED_VALUE"""),85993.0)</f>
        <v>85993</v>
      </c>
      <c r="B1444" s="5">
        <f>IFERROR(__xludf.DUMMYFUNCTION("""COMPUTED_VALUE"""),44959.54801114583)</f>
        <v>44959.54801</v>
      </c>
      <c r="C1444" s="1" t="str">
        <f>IFERROR(__xludf.DUMMYFUNCTION("""COMPUTED_VALUE"""),"STURINO CASTRO MARIA PAULA")</f>
        <v>STURINO CASTRO MARIA PAULA</v>
      </c>
      <c r="D1444" s="1" t="str">
        <f>IFERROR(__xludf.DUMMYFUNCTION("""COMPUTED_VALUE"""),"Lentes de STOCK")</f>
        <v>Lentes de STOCK</v>
      </c>
      <c r="E1444" s="1" t="str">
        <f>IFERROR(__xludf.DUMMYFUNCTION("""COMPUTED_VALUE"""),"RIVADAVIA Luciana")</f>
        <v>RIVADAVIA Luciana</v>
      </c>
      <c r="F1444" s="1" t="str">
        <f t="shared" si="1"/>
        <v>RIVADAVIA </v>
      </c>
      <c r="G1444" s="1" t="str">
        <f t="shared" si="2"/>
        <v>Luciana</v>
      </c>
      <c r="H1444" s="1" t="str">
        <f>IFERROR(__xludf.DUMMYFUNCTION("""COMPUTED_VALUE"""),"8/2/2023, 17:00:00")</f>
        <v>8/2/2023, 17:00:00</v>
      </c>
      <c r="I1444" s="1" t="str">
        <f>IFERROR(__xludf.DUMMYFUNCTION("""COMPUTED_VALUE"""),"RETIRADO OK POR CLIENTE")</f>
        <v>RETIRADO OK POR CLIENTE</v>
      </c>
      <c r="J1444" s="1">
        <f t="shared" si="3"/>
        <v>6</v>
      </c>
      <c r="K1444" s="1" t="str">
        <f t="shared" si="4"/>
        <v>Entregamos tus lentes, que los disfrutes!</v>
      </c>
    </row>
    <row r="1445">
      <c r="A1445" s="1">
        <f>IFERROR(__xludf.DUMMYFUNCTION("""COMPUTED_VALUE"""),85994.0)</f>
        <v>85994</v>
      </c>
      <c r="B1445" s="5">
        <f>IFERROR(__xludf.DUMMYFUNCTION("""COMPUTED_VALUE"""),44959.55240833333)</f>
        <v>44959.55241</v>
      </c>
      <c r="C1445" s="1" t="str">
        <f>IFERROR(__xludf.DUMMYFUNCTION("""COMPUTED_VALUE"""),"CASTRO IRMA ")</f>
        <v>CASTRO IRMA </v>
      </c>
      <c r="D1445" s="1" t="str">
        <f>IFERROR(__xludf.DUMMYFUNCTION("""COMPUTED_VALUE"""),"Lentes de STOCK")</f>
        <v>Lentes de STOCK</v>
      </c>
      <c r="E1445" s="1" t="str">
        <f>IFERROR(__xludf.DUMMYFUNCTION("""COMPUTED_VALUE"""),"RIVADAVIA Luciana")</f>
        <v>RIVADAVIA Luciana</v>
      </c>
      <c r="F1445" s="1" t="str">
        <f t="shared" si="1"/>
        <v>RIVADAVIA </v>
      </c>
      <c r="G1445" s="1" t="str">
        <f t="shared" si="2"/>
        <v>Luciana</v>
      </c>
      <c r="H1445" s="1" t="str">
        <f>IFERROR(__xludf.DUMMYFUNCTION("""COMPUTED_VALUE"""),"8/2/2023, 17:00:00")</f>
        <v>8/2/2023, 17:00:00</v>
      </c>
      <c r="I1445" s="1" t="str">
        <f>IFERROR(__xludf.DUMMYFUNCTION("""COMPUTED_VALUE"""),"RETIRADO OK POR CLIENTE")</f>
        <v>RETIRADO OK POR CLIENTE</v>
      </c>
      <c r="J1445" s="1">
        <f t="shared" si="3"/>
        <v>6</v>
      </c>
      <c r="K1445" s="1" t="str">
        <f t="shared" si="4"/>
        <v>Entregamos tus lentes, que los disfrutes!</v>
      </c>
    </row>
    <row r="1446">
      <c r="A1446" s="1">
        <f>IFERROR(__xludf.DUMMYFUNCTION("""COMPUTED_VALUE"""),85995.0)</f>
        <v>85995</v>
      </c>
      <c r="B1446" s="5">
        <f>IFERROR(__xludf.DUMMYFUNCTION("""COMPUTED_VALUE"""),44959.55271871528)</f>
        <v>44959.55272</v>
      </c>
      <c r="C1446" s="1" t="str">
        <f>IFERROR(__xludf.DUMMYFUNCTION("""COMPUTED_VALUE"""),"SORIA MARIA LUIS")</f>
        <v>SORIA MARIA LUIS</v>
      </c>
      <c r="D1446" s="1" t="str">
        <f>IFERROR(__xludf.DUMMYFUNCTION("""COMPUTED_VALUE"""),"Lentes BIFOCALES")</f>
        <v>Lentes BIFOCALES</v>
      </c>
      <c r="E1446" s="1" t="str">
        <f>IFERROR(__xludf.DUMMYFUNCTION("""COMPUTED_VALUE"""),"RIVADAVIA Santiago LOPEZ")</f>
        <v>RIVADAVIA Santiago LOPEZ</v>
      </c>
      <c r="F1446" s="1" t="str">
        <f t="shared" si="1"/>
        <v>RIVADAVIA </v>
      </c>
      <c r="G1446" s="1" t="str">
        <f t="shared" si="2"/>
        <v>Santiago LOPEZ</v>
      </c>
      <c r="H1446" s="1" t="str">
        <f>IFERROR(__xludf.DUMMYFUNCTION("""COMPUTED_VALUE"""),"13/2/2023, 17:00:00")</f>
        <v>13/2/2023, 17:00:00</v>
      </c>
      <c r="I1446" s="1" t="str">
        <f>IFERROR(__xludf.DUMMYFUNCTION("""COMPUTED_VALUE"""),"Recibido en Laboratorio")</f>
        <v>Recibido en Laboratorio</v>
      </c>
      <c r="J1446" s="1">
        <f t="shared" si="3"/>
        <v>2</v>
      </c>
      <c r="K1446" s="1" t="str">
        <f t="shared" si="4"/>
        <v>Nuestro Laboratorio esta trabajando en tus lentes, los entregaremos en la fecha acordada.</v>
      </c>
    </row>
    <row r="1447">
      <c r="A1447" s="1">
        <f>IFERROR(__xludf.DUMMYFUNCTION("""COMPUTED_VALUE"""),85996.0)</f>
        <v>85996</v>
      </c>
      <c r="B1447" s="5">
        <f>IFERROR(__xludf.DUMMYFUNCTION("""COMPUTED_VALUE"""),44959.554124386574)</f>
        <v>44959.55412</v>
      </c>
      <c r="C1447" s="1" t="str">
        <f>IFERROR(__xludf.DUMMYFUNCTION("""COMPUTED_VALUE"""),"CASTRO IRMA ")</f>
        <v>CASTRO IRMA </v>
      </c>
      <c r="D1447" s="1" t="str">
        <f>IFERROR(__xludf.DUMMYFUNCTION("""COMPUTED_VALUE"""),"Reparaciones/Otros")</f>
        <v>Reparaciones/Otros</v>
      </c>
      <c r="E1447" s="1" t="str">
        <f>IFERROR(__xludf.DUMMYFUNCTION("""COMPUTED_VALUE"""),"RIVADAVIA Luciana")</f>
        <v>RIVADAVIA Luciana</v>
      </c>
      <c r="F1447" s="1" t="str">
        <f t="shared" si="1"/>
        <v>RIVADAVIA </v>
      </c>
      <c r="G1447" s="1" t="str">
        <f t="shared" si="2"/>
        <v>Luciana</v>
      </c>
      <c r="H1447" s="1" t="str">
        <f>IFERROR(__xludf.DUMMYFUNCTION("""COMPUTED_VALUE"""),"3/2/2023, 18:00:00")</f>
        <v>3/2/2023, 18:00:00</v>
      </c>
      <c r="I1447" s="1" t="str">
        <f>IFERROR(__xludf.DUMMYFUNCTION("""COMPUTED_VALUE"""),"Completado en SUCURSAL")</f>
        <v>Completado en SUCURSAL</v>
      </c>
      <c r="J1447" s="1">
        <f t="shared" si="3"/>
        <v>5</v>
      </c>
      <c r="K1447" s="1" t="str">
        <f t="shared" si="4"/>
        <v>Tus Lentes estan LISTAS PARA ENTREGAR, te esperamos.</v>
      </c>
    </row>
    <row r="1448">
      <c r="A1448" s="1">
        <f>IFERROR(__xludf.DUMMYFUNCTION("""COMPUTED_VALUE"""),85997.0)</f>
        <v>85997</v>
      </c>
      <c r="B1448" s="5">
        <f>IFERROR(__xludf.DUMMYFUNCTION("""COMPUTED_VALUE"""),44959.55622518518)</f>
        <v>44959.55623</v>
      </c>
      <c r="C1448" s="1" t="str">
        <f>IFERROR(__xludf.DUMMYFUNCTION("""COMPUTED_VALUE"""),"SARRIA OLGA  ")</f>
        <v>SARRIA OLGA  </v>
      </c>
      <c r="D1448" s="1" t="str">
        <f>IFERROR(__xludf.DUMMYFUNCTION("""COMPUTED_VALUE"""),"Reparaciones/Otros")</f>
        <v>Reparaciones/Otros</v>
      </c>
      <c r="E1448" s="1" t="str">
        <f>IFERROR(__xludf.DUMMYFUNCTION("""COMPUTED_VALUE"""),"ARTIGAS Cristian C.")</f>
        <v>ARTIGAS Cristian C.</v>
      </c>
      <c r="F1448" s="1" t="str">
        <f t="shared" si="1"/>
        <v>ARTIGAS </v>
      </c>
      <c r="G1448" s="1" t="str">
        <f t="shared" si="2"/>
        <v>Cristian C.</v>
      </c>
      <c r="H1448" s="1" t="str">
        <f>IFERROR(__xludf.DUMMYFUNCTION("""COMPUTED_VALUE"""),"3/2/2023, 17:00:00")</f>
        <v>3/2/2023, 17:00:00</v>
      </c>
      <c r="I1448" s="1" t="str">
        <f>IFERROR(__xludf.DUMMYFUNCTION("""COMPUTED_VALUE"""),"Completado en SUCURSAL")</f>
        <v>Completado en SUCURSAL</v>
      </c>
      <c r="J1448" s="1">
        <f t="shared" si="3"/>
        <v>5</v>
      </c>
      <c r="K1448" s="1" t="str">
        <f t="shared" si="4"/>
        <v>Tus Lentes estan LISTAS PARA ENTREGAR, te esperamos.</v>
      </c>
    </row>
    <row r="1449">
      <c r="A1449" s="1">
        <f>IFERROR(__xludf.DUMMYFUNCTION("""COMPUTED_VALUE"""),85998.0)</f>
        <v>85998</v>
      </c>
      <c r="B1449" s="5">
        <f>IFERROR(__xludf.DUMMYFUNCTION("""COMPUTED_VALUE"""),44959.72774084491)</f>
        <v>44959.72774</v>
      </c>
      <c r="C1449" s="1" t="str">
        <f>IFERROR(__xludf.DUMMYFUNCTION("""COMPUTED_VALUE"""),"MACRETT NICOLAS")</f>
        <v>MACRETT NICOLAS</v>
      </c>
      <c r="D1449" s="1" t="str">
        <f>IFERROR(__xludf.DUMMYFUNCTION("""COMPUTED_VALUE"""),"Reparaciones/Otros")</f>
        <v>Reparaciones/Otros</v>
      </c>
      <c r="E1449" s="1" t="str">
        <f>IFERROR(__xludf.DUMMYFUNCTION("""COMPUTED_VALUE"""),"RIVADAVIA Daniel CM")</f>
        <v>RIVADAVIA Daniel CM</v>
      </c>
      <c r="F1449" s="1" t="str">
        <f t="shared" si="1"/>
        <v>RIVADAVIA </v>
      </c>
      <c r="G1449" s="1" t="str">
        <f t="shared" si="2"/>
        <v>Daniel CM</v>
      </c>
      <c r="H1449" s="1" t="str">
        <f>IFERROR(__xludf.DUMMYFUNCTION("""COMPUTED_VALUE"""),"3/2/2023, 17:00:00")</f>
        <v>3/2/2023, 17:00:00</v>
      </c>
      <c r="I1449" s="1" t="str">
        <f>IFERROR(__xludf.DUMMYFUNCTION("""COMPUTED_VALUE"""),"Completado en SUCURSAL")</f>
        <v>Completado en SUCURSAL</v>
      </c>
      <c r="J1449" s="1">
        <f t="shared" si="3"/>
        <v>5</v>
      </c>
      <c r="K1449" s="1" t="str">
        <f t="shared" si="4"/>
        <v>Tus Lentes estan LISTAS PARA ENTREGAR, te esperamos.</v>
      </c>
    </row>
    <row r="1450">
      <c r="A1450" s="1">
        <f>IFERROR(__xludf.DUMMYFUNCTION("""COMPUTED_VALUE"""),85999.0)</f>
        <v>85999</v>
      </c>
      <c r="B1450" s="5">
        <f>IFERROR(__xludf.DUMMYFUNCTION("""COMPUTED_VALUE"""),44959.72823630787)</f>
        <v>44959.72824</v>
      </c>
      <c r="C1450" s="1" t="str">
        <f>IFERROR(__xludf.DUMMYFUNCTION("""COMPUTED_VALUE"""),"lartigue alicia")</f>
        <v>lartigue alicia</v>
      </c>
      <c r="D1450" s="1" t="str">
        <f>IFERROR(__xludf.DUMMYFUNCTION("""COMPUTED_VALUE"""),"Lentes de STOCK")</f>
        <v>Lentes de STOCK</v>
      </c>
      <c r="E1450" s="1" t="str">
        <f>IFERROR(__xludf.DUMMYFUNCTION("""COMPUTED_VALUE"""),"RIVADAVIA Santiago N")</f>
        <v>RIVADAVIA Santiago N</v>
      </c>
      <c r="F1450" s="1" t="str">
        <f t="shared" si="1"/>
        <v>RIVADAVIA </v>
      </c>
      <c r="G1450" s="1" t="str">
        <f t="shared" si="2"/>
        <v>Santiago N</v>
      </c>
      <c r="H1450" s="1" t="str">
        <f>IFERROR(__xludf.DUMMYFUNCTION("""COMPUTED_VALUE"""),"6/2/2023, 17:00:00")</f>
        <v>6/2/2023, 17:00:00</v>
      </c>
      <c r="I1450" s="1" t="str">
        <f>IFERROR(__xludf.DUMMYFUNCTION("""COMPUTED_VALUE"""),"En Armado Hoy")</f>
        <v>En Armado Hoy</v>
      </c>
      <c r="J1450" s="1">
        <f t="shared" si="3"/>
        <v>3</v>
      </c>
      <c r="K1450" s="1" t="str">
        <f t="shared" si="4"/>
        <v>Estamos terminando los ultimos detalles de tus lentes, los terminaremos el dia de hoy.</v>
      </c>
    </row>
    <row r="1451">
      <c r="A1451" s="1">
        <f>IFERROR(__xludf.DUMMYFUNCTION("""COMPUTED_VALUE"""),86000.0)</f>
        <v>86000</v>
      </c>
      <c r="B1451" s="5">
        <f>IFERROR(__xludf.DUMMYFUNCTION("""COMPUTED_VALUE"""),44959.731149942134)</f>
        <v>44959.73115</v>
      </c>
      <c r="C1451" s="1" t="str">
        <f>IFERROR(__xludf.DUMMYFUNCTION("""COMPUTED_VALUE"""),"oliveras soledad")</f>
        <v>oliveras soledad</v>
      </c>
      <c r="D1451" s="1" t="str">
        <f>IFERROR(__xludf.DUMMYFUNCTION("""COMPUTED_VALUE"""),"Lentes de STOCK")</f>
        <v>Lentes de STOCK</v>
      </c>
      <c r="E1451" s="1" t="str">
        <f>IFERROR(__xludf.DUMMYFUNCTION("""COMPUTED_VALUE"""),"RIVADAVIA Santiago N")</f>
        <v>RIVADAVIA Santiago N</v>
      </c>
      <c r="F1451" s="1" t="str">
        <f t="shared" si="1"/>
        <v>RIVADAVIA </v>
      </c>
      <c r="G1451" s="1" t="str">
        <f t="shared" si="2"/>
        <v>Santiago N</v>
      </c>
      <c r="H1451" s="1" t="str">
        <f>IFERROR(__xludf.DUMMYFUNCTION("""COMPUTED_VALUE"""),"6/2/2023, 17:00:00")</f>
        <v>6/2/2023, 17:00:00</v>
      </c>
      <c r="I1451" s="1" t="str">
        <f>IFERROR(__xludf.DUMMYFUNCTION("""COMPUTED_VALUE"""),"En Armado Hoy")</f>
        <v>En Armado Hoy</v>
      </c>
      <c r="J1451" s="1">
        <f t="shared" si="3"/>
        <v>3</v>
      </c>
      <c r="K1451" s="1" t="str">
        <f t="shared" si="4"/>
        <v>Estamos terminando los ultimos detalles de tus lentes, los terminaremos el dia de hoy.</v>
      </c>
    </row>
    <row r="1452">
      <c r="A1452" s="1">
        <f>IFERROR(__xludf.DUMMYFUNCTION("""COMPUTED_VALUE"""),86001.0)</f>
        <v>86001</v>
      </c>
      <c r="B1452" s="5">
        <f>IFERROR(__xludf.DUMMYFUNCTION("""COMPUTED_VALUE"""),44959.74163491898)</f>
        <v>44959.74163</v>
      </c>
      <c r="C1452" s="1" t="str">
        <f>IFERROR(__xludf.DUMMYFUNCTION("""COMPUTED_VALUE"""),"hang norah")</f>
        <v>hang norah</v>
      </c>
      <c r="D1452" s="1" t="str">
        <f>IFERROR(__xludf.DUMMYFUNCTION("""COMPUTED_VALUE"""),"Lentes de STOCK")</f>
        <v>Lentes de STOCK</v>
      </c>
      <c r="E1452" s="1" t="str">
        <f>IFERROR(__xludf.DUMMYFUNCTION("""COMPUTED_VALUE"""),"RIVADAVIA Santiago N")</f>
        <v>RIVADAVIA Santiago N</v>
      </c>
      <c r="F1452" s="1" t="str">
        <f t="shared" si="1"/>
        <v>RIVADAVIA </v>
      </c>
      <c r="G1452" s="1" t="str">
        <f t="shared" si="2"/>
        <v>Santiago N</v>
      </c>
      <c r="H1452" s="1" t="str">
        <f>IFERROR(__xludf.DUMMYFUNCTION("""COMPUTED_VALUE"""),"4/2/2023, 17:00:00")</f>
        <v>4/2/2023, 17:00:00</v>
      </c>
      <c r="I1452" s="1" t="str">
        <f>IFERROR(__xludf.DUMMYFUNCTION("""COMPUTED_VALUE"""),"RETIRADO OK POR CLIENTE")</f>
        <v>RETIRADO OK POR CLIENTE</v>
      </c>
      <c r="J1452" s="1">
        <f t="shared" si="3"/>
        <v>6</v>
      </c>
      <c r="K1452" s="1" t="str">
        <f t="shared" si="4"/>
        <v>Entregamos tus lentes, que los disfrutes!</v>
      </c>
    </row>
    <row r="1453">
      <c r="A1453" s="1">
        <f>IFERROR(__xludf.DUMMYFUNCTION("""COMPUTED_VALUE"""),86002.0)</f>
        <v>86002</v>
      </c>
      <c r="B1453" s="5">
        <f>IFERROR(__xludf.DUMMYFUNCTION("""COMPUTED_VALUE"""),44959.790415104166)</f>
        <v>44959.79042</v>
      </c>
      <c r="C1453" s="1" t="str">
        <f>IFERROR(__xludf.DUMMYFUNCTION("""COMPUTED_VALUE"""),"Moyano Eloy Valentin")</f>
        <v>Moyano Eloy Valentin</v>
      </c>
      <c r="D1453" s="1" t="str">
        <f>IFERROR(__xludf.DUMMYFUNCTION("""COMPUTED_VALUE"""),"Reparaciones/Otros")</f>
        <v>Reparaciones/Otros</v>
      </c>
      <c r="E1453" s="1" t="str">
        <f>IFERROR(__xludf.DUMMYFUNCTION("""COMPUTED_VALUE"""),"ARTIGAS Roció")</f>
        <v>ARTIGAS Roció</v>
      </c>
      <c r="F1453" s="1" t="str">
        <f t="shared" si="1"/>
        <v>ARTIGAS </v>
      </c>
      <c r="G1453" s="1" t="str">
        <f t="shared" si="2"/>
        <v>Roció</v>
      </c>
      <c r="H1453" s="1" t="str">
        <f>IFERROR(__xludf.DUMMYFUNCTION("""COMPUTED_VALUE"""),"3/2/2023, 17:00:00")</f>
        <v>3/2/2023, 17:00:00</v>
      </c>
      <c r="I1453" s="1" t="str">
        <f>IFERROR(__xludf.DUMMYFUNCTION("""COMPUTED_VALUE"""),"Completado en SUCURSAL")</f>
        <v>Completado en SUCURSAL</v>
      </c>
      <c r="J1453" s="1">
        <f t="shared" si="3"/>
        <v>5</v>
      </c>
      <c r="K1453" s="1" t="str">
        <f t="shared" si="4"/>
        <v>Tus Lentes estan LISTAS PARA ENTREGAR, te esperamos.</v>
      </c>
    </row>
    <row r="1454">
      <c r="A1454" s="1">
        <f>IFERROR(__xludf.DUMMYFUNCTION("""COMPUTED_VALUE"""),86003.0)</f>
        <v>86003</v>
      </c>
      <c r="B1454" s="5">
        <f>IFERROR(__xludf.DUMMYFUNCTION("""COMPUTED_VALUE"""),44959.796729027774)</f>
        <v>44959.79673</v>
      </c>
      <c r="C1454" s="1" t="str">
        <f>IFERROR(__xludf.DUMMYFUNCTION("""COMPUTED_VALUE"""),"puolo lorena")</f>
        <v>puolo lorena</v>
      </c>
      <c r="D1454" s="1" t="str">
        <f>IFERROR(__xludf.DUMMYFUNCTION("""COMPUTED_VALUE"""),"Lentes BIFOCALES")</f>
        <v>Lentes BIFOCALES</v>
      </c>
      <c r="E1454" s="1" t="str">
        <f>IFERROR(__xludf.DUMMYFUNCTION("""COMPUTED_VALUE"""),"RIVADAVIA Daniel CM")</f>
        <v>RIVADAVIA Daniel CM</v>
      </c>
      <c r="F1454" s="1" t="str">
        <f t="shared" si="1"/>
        <v>RIVADAVIA </v>
      </c>
      <c r="G1454" s="1" t="str">
        <f t="shared" si="2"/>
        <v>Daniel CM</v>
      </c>
      <c r="H1454" s="1" t="str">
        <f>IFERROR(__xludf.DUMMYFUNCTION("""COMPUTED_VALUE"""),"8/2/2023, 17:00:00")</f>
        <v>8/2/2023, 17:00:00</v>
      </c>
      <c r="I1454" s="1" t="str">
        <f>IFERROR(__xludf.DUMMYFUNCTION("""COMPUTED_VALUE"""),"Recibido en Laboratorio")</f>
        <v>Recibido en Laboratorio</v>
      </c>
      <c r="J1454" s="1">
        <f t="shared" si="3"/>
        <v>2</v>
      </c>
      <c r="K1454" s="1" t="str">
        <f t="shared" si="4"/>
        <v>Nuestro Laboratorio esta trabajando en tus lentes, los entregaremos en la fecha acordada.</v>
      </c>
    </row>
    <row r="1455">
      <c r="A1455" s="1">
        <f>IFERROR(__xludf.DUMMYFUNCTION("""COMPUTED_VALUE"""),86004.0)</f>
        <v>86004</v>
      </c>
      <c r="B1455" s="5">
        <f>IFERROR(__xludf.DUMMYFUNCTION("""COMPUTED_VALUE"""),44959.8000628588)</f>
        <v>44959.80006</v>
      </c>
      <c r="C1455" s="1" t="str">
        <f>IFERROR(__xludf.DUMMYFUNCTION("""COMPUTED_VALUE"""),"FUNES  PAOLA")</f>
        <v>FUNES  PAOLA</v>
      </c>
      <c r="D1455" s="1" t="str">
        <f>IFERROR(__xludf.DUMMYFUNCTION("""COMPUTED_VALUE"""),"Lentes de STOCK")</f>
        <v>Lentes de STOCK</v>
      </c>
      <c r="E1455" s="1" t="str">
        <f>IFERROR(__xludf.DUMMYFUNCTION("""COMPUTED_VALUE"""),"RIVADAVIA Luciana")</f>
        <v>RIVADAVIA Luciana</v>
      </c>
      <c r="F1455" s="1" t="str">
        <f t="shared" si="1"/>
        <v>RIVADAVIA </v>
      </c>
      <c r="G1455" s="1" t="str">
        <f t="shared" si="2"/>
        <v>Luciana</v>
      </c>
      <c r="H1455" s="1" t="str">
        <f>IFERROR(__xludf.DUMMYFUNCTION("""COMPUTED_VALUE"""),"9/2/2023, 17:00:00")</f>
        <v>9/2/2023, 17:00:00</v>
      </c>
      <c r="I1455" s="1" t="str">
        <f>IFERROR(__xludf.DUMMYFUNCTION("""COMPUTED_VALUE"""),"RETIRADO OK POR CLIENTE")</f>
        <v>RETIRADO OK POR CLIENTE</v>
      </c>
      <c r="J1455" s="1">
        <f t="shared" si="3"/>
        <v>6</v>
      </c>
      <c r="K1455" s="1" t="str">
        <f t="shared" si="4"/>
        <v>Entregamos tus lentes, que los disfrutes!</v>
      </c>
    </row>
    <row r="1456">
      <c r="A1456" s="1">
        <f>IFERROR(__xludf.DUMMYFUNCTION("""COMPUTED_VALUE"""),86005.0)</f>
        <v>86005</v>
      </c>
      <c r="B1456" s="5">
        <f>IFERROR(__xludf.DUMMYFUNCTION("""COMPUTED_VALUE"""),44959.80869795139)</f>
        <v>44959.8087</v>
      </c>
      <c r="C1456" s="1" t="str">
        <f>IFERROR(__xludf.DUMMYFUNCTION("""COMPUTED_VALUE"""),"pastor reynaldo")</f>
        <v>pastor reynaldo</v>
      </c>
      <c r="D1456" s="1" t="str">
        <f>IFERROR(__xludf.DUMMYFUNCTION("""COMPUTED_VALUE"""),"Lentes BIFOCALES")</f>
        <v>Lentes BIFOCALES</v>
      </c>
      <c r="E1456" s="1" t="str">
        <f>IFERROR(__xludf.DUMMYFUNCTION("""COMPUTED_VALUE"""),"RIVADAVIA Santiago N")</f>
        <v>RIVADAVIA Santiago N</v>
      </c>
      <c r="F1456" s="1" t="str">
        <f t="shared" si="1"/>
        <v>RIVADAVIA </v>
      </c>
      <c r="G1456" s="1" t="str">
        <f t="shared" si="2"/>
        <v>Santiago N</v>
      </c>
      <c r="H1456" s="1" t="str">
        <f>IFERROR(__xludf.DUMMYFUNCTION("""COMPUTED_VALUE"""),"11/2/2023, 17:00:00")</f>
        <v>11/2/2023, 17:00:00</v>
      </c>
      <c r="I1456" s="1" t="str">
        <f>IFERROR(__xludf.DUMMYFUNCTION("""COMPUTED_VALUE"""),"RETIRADO OK POR CLIENTE")</f>
        <v>RETIRADO OK POR CLIENTE</v>
      </c>
      <c r="J1456" s="1">
        <f t="shared" si="3"/>
        <v>6</v>
      </c>
      <c r="K1456" s="1" t="str">
        <f t="shared" si="4"/>
        <v>Entregamos tus lentes, que los disfrutes!</v>
      </c>
    </row>
    <row r="1457">
      <c r="A1457" s="1">
        <f>IFERROR(__xludf.DUMMYFUNCTION("""COMPUTED_VALUE"""),86006.0)</f>
        <v>86006</v>
      </c>
      <c r="B1457" s="5">
        <f>IFERROR(__xludf.DUMMYFUNCTION("""COMPUTED_VALUE"""),44959.812390520834)</f>
        <v>44959.81239</v>
      </c>
      <c r="C1457" s="1" t="str">
        <f>IFERROR(__xludf.DUMMYFUNCTION("""COMPUTED_VALUE"""),"Roble Macarena")</f>
        <v>Roble Macarena</v>
      </c>
      <c r="D1457" s="1" t="str">
        <f>IFERROR(__xludf.DUMMYFUNCTION("""COMPUTED_VALUE"""),"Reparaciones/Otros")</f>
        <v>Reparaciones/Otros</v>
      </c>
      <c r="E1457" s="1" t="str">
        <f>IFERROR(__xludf.DUMMYFUNCTION("""COMPUTED_VALUE"""),"ARTIGAS Sandra G")</f>
        <v>ARTIGAS Sandra G</v>
      </c>
      <c r="F1457" s="1" t="str">
        <f t="shared" si="1"/>
        <v>ARTIGAS </v>
      </c>
      <c r="G1457" s="1" t="str">
        <f t="shared" si="2"/>
        <v>Sandra G</v>
      </c>
      <c r="H1457" s="1" t="str">
        <f>IFERROR(__xludf.DUMMYFUNCTION("""COMPUTED_VALUE"""),"3/2/2023, 17:00:00")</f>
        <v>3/2/2023, 17:00:00</v>
      </c>
      <c r="I1457" s="1" t="str">
        <f>IFERROR(__xludf.DUMMYFUNCTION("""COMPUTED_VALUE"""),"Completado en SUCURSAL")</f>
        <v>Completado en SUCURSAL</v>
      </c>
      <c r="J1457" s="1">
        <f t="shared" si="3"/>
        <v>5</v>
      </c>
      <c r="K1457" s="1" t="str">
        <f t="shared" si="4"/>
        <v>Tus Lentes estan LISTAS PARA ENTREGAR, te esperamos.</v>
      </c>
    </row>
    <row r="1458">
      <c r="A1458" s="1">
        <f>IFERROR(__xludf.DUMMYFUNCTION("""COMPUTED_VALUE"""),86007.0)</f>
        <v>86007</v>
      </c>
      <c r="B1458" s="5">
        <f>IFERROR(__xludf.DUMMYFUNCTION("""COMPUTED_VALUE"""),44959.81412098379)</f>
        <v>44959.81412</v>
      </c>
      <c r="C1458" s="1" t="str">
        <f>IFERROR(__xludf.DUMMYFUNCTION("""COMPUTED_VALUE"""),"Gorosito Americo Osmar")</f>
        <v>Gorosito Americo Osmar</v>
      </c>
      <c r="D1458" s="1" t="str">
        <f>IFERROR(__xludf.DUMMYFUNCTION("""COMPUTED_VALUE"""),"Lentes MULTIFOCALES")</f>
        <v>Lentes MULTIFOCALES</v>
      </c>
      <c r="E1458" s="1" t="str">
        <f>IFERROR(__xludf.DUMMYFUNCTION("""COMPUTED_VALUE"""),"ARTIGAS Roció")</f>
        <v>ARTIGAS Roció</v>
      </c>
      <c r="F1458" s="1" t="str">
        <f t="shared" si="1"/>
        <v>ARTIGAS </v>
      </c>
      <c r="G1458" s="1" t="str">
        <f t="shared" si="2"/>
        <v>Roció</v>
      </c>
      <c r="H1458" s="1" t="str">
        <f>IFERROR(__xludf.DUMMYFUNCTION("""COMPUTED_VALUE"""),"17/2/2023, 17:00:00")</f>
        <v>17/2/2023, 17:00:00</v>
      </c>
      <c r="I1458" s="1" t="str">
        <f>IFERROR(__xludf.DUMMYFUNCTION("""COMPUTED_VALUE"""),"Completado en SUCURSAL")</f>
        <v>Completado en SUCURSAL</v>
      </c>
      <c r="J1458" s="1">
        <f t="shared" si="3"/>
        <v>5</v>
      </c>
      <c r="K1458" s="1" t="str">
        <f t="shared" si="4"/>
        <v>Tus Lentes estan LISTAS PARA ENTREGAR, te esperamos.</v>
      </c>
    </row>
    <row r="1459">
      <c r="A1459" s="1">
        <f>IFERROR(__xludf.DUMMYFUNCTION("""COMPUTED_VALUE"""),86008.0)</f>
        <v>86008</v>
      </c>
      <c r="B1459" s="5">
        <f>IFERROR(__xludf.DUMMYFUNCTION("""COMPUTED_VALUE"""),44959.823130833334)</f>
        <v>44959.82313</v>
      </c>
      <c r="C1459" s="1" t="str">
        <f>IFERROR(__xludf.DUMMYFUNCTION("""COMPUTED_VALUE"""),"LUNARDI JORGE")</f>
        <v>LUNARDI JORGE</v>
      </c>
      <c r="D1459" s="1" t="str">
        <f>IFERROR(__xludf.DUMMYFUNCTION("""COMPUTED_VALUE"""),"Lentes MULTIFOCALES")</f>
        <v>Lentes MULTIFOCALES</v>
      </c>
      <c r="E1459" s="1" t="str">
        <f>IFERROR(__xludf.DUMMYFUNCTION("""COMPUTED_VALUE"""),"ARTIGAS Cristian C.")</f>
        <v>ARTIGAS Cristian C.</v>
      </c>
      <c r="F1459" s="1" t="str">
        <f t="shared" si="1"/>
        <v>ARTIGAS </v>
      </c>
      <c r="G1459" s="1" t="str">
        <f t="shared" si="2"/>
        <v>Cristian C.</v>
      </c>
      <c r="H1459" s="1" t="str">
        <f>IFERROR(__xludf.DUMMYFUNCTION("""COMPUTED_VALUE"""),"17/2/2023, 17:00:00")</f>
        <v>17/2/2023, 17:00:00</v>
      </c>
      <c r="I1459" s="1" t="str">
        <f>IFERROR(__xludf.DUMMYFUNCTION("""COMPUTED_VALUE"""),"RETIRADO OK POR CLIENTE")</f>
        <v>RETIRADO OK POR CLIENTE</v>
      </c>
      <c r="J1459" s="1">
        <f t="shared" si="3"/>
        <v>6</v>
      </c>
      <c r="K1459" s="1" t="str">
        <f t="shared" si="4"/>
        <v>Entregamos tus lentes, que los disfrutes!</v>
      </c>
    </row>
    <row r="1460">
      <c r="A1460" s="1">
        <f>IFERROR(__xludf.DUMMYFUNCTION("""COMPUTED_VALUE"""),86009.0)</f>
        <v>86009</v>
      </c>
      <c r="B1460" s="5">
        <f>IFERROR(__xludf.DUMMYFUNCTION("""COMPUTED_VALUE"""),44959.82885706019)</f>
        <v>44959.82886</v>
      </c>
      <c r="C1460" s="1" t="str">
        <f>IFERROR(__xludf.DUMMYFUNCTION("""COMPUTED_VALUE"""),"NODAR JOSE MARCELO")</f>
        <v>NODAR JOSE MARCELO</v>
      </c>
      <c r="D1460" s="1" t="str">
        <f>IFERROR(__xludf.DUMMYFUNCTION("""COMPUTED_VALUE"""),"Lentes de STOCK")</f>
        <v>Lentes de STOCK</v>
      </c>
      <c r="E1460" s="1" t="str">
        <f>IFERROR(__xludf.DUMMYFUNCTION("""COMPUTED_VALUE"""),"RIVADAVIA Luciana")</f>
        <v>RIVADAVIA Luciana</v>
      </c>
      <c r="F1460" s="1" t="str">
        <f t="shared" si="1"/>
        <v>RIVADAVIA </v>
      </c>
      <c r="G1460" s="1" t="str">
        <f t="shared" si="2"/>
        <v>Luciana</v>
      </c>
      <c r="H1460" s="1" t="str">
        <f>IFERROR(__xludf.DUMMYFUNCTION("""COMPUTED_VALUE"""),"8/2/2023, 17:00:00")</f>
        <v>8/2/2023, 17:00:00</v>
      </c>
      <c r="I1460" s="1" t="str">
        <f>IFERROR(__xludf.DUMMYFUNCTION("""COMPUTED_VALUE"""),"RETIRADO OK POR CLIENTE")</f>
        <v>RETIRADO OK POR CLIENTE</v>
      </c>
      <c r="J1460" s="1">
        <f t="shared" si="3"/>
        <v>6</v>
      </c>
      <c r="K1460" s="1" t="str">
        <f t="shared" si="4"/>
        <v>Entregamos tus lentes, que los disfrutes!</v>
      </c>
    </row>
    <row r="1461">
      <c r="A1461" s="1">
        <f>IFERROR(__xludf.DUMMYFUNCTION("""COMPUTED_VALUE"""),86010.0)</f>
        <v>86010</v>
      </c>
      <c r="B1461" s="5">
        <f>IFERROR(__xludf.DUMMYFUNCTION("""COMPUTED_VALUE"""),44959.84272934028)</f>
        <v>44959.84273</v>
      </c>
      <c r="C1461" s="1" t="str">
        <f>IFERROR(__xludf.DUMMYFUNCTION("""COMPUTED_VALUE"""),"morales ivana")</f>
        <v>morales ivana</v>
      </c>
      <c r="D1461" s="1" t="str">
        <f>IFERROR(__xludf.DUMMYFUNCTION("""COMPUTED_VALUE"""),"Reparaciones/Otros")</f>
        <v>Reparaciones/Otros</v>
      </c>
      <c r="E1461" s="1" t="str">
        <f>IFERROR(__xludf.DUMMYFUNCTION("""COMPUTED_VALUE"""),"RIVADAVIA Daniel CM")</f>
        <v>RIVADAVIA Daniel CM</v>
      </c>
      <c r="F1461" s="1" t="str">
        <f t="shared" si="1"/>
        <v>RIVADAVIA </v>
      </c>
      <c r="G1461" s="1" t="str">
        <f t="shared" si="2"/>
        <v>Daniel CM</v>
      </c>
      <c r="H1461" s="1" t="str">
        <f>IFERROR(__xludf.DUMMYFUNCTION("""COMPUTED_VALUE"""),"3/2/2023, 17:00:00")</f>
        <v>3/2/2023, 17:00:00</v>
      </c>
      <c r="I1461" s="1" t="str">
        <f>IFERROR(__xludf.DUMMYFUNCTION("""COMPUTED_VALUE"""),"Recibido en Laboratorio")</f>
        <v>Recibido en Laboratorio</v>
      </c>
      <c r="J1461" s="1">
        <f t="shared" si="3"/>
        <v>2</v>
      </c>
      <c r="K1461" s="1" t="str">
        <f t="shared" si="4"/>
        <v>Nuestro Laboratorio esta trabajando en tus lentes, los entregaremos en la fecha acordada.</v>
      </c>
    </row>
    <row r="1462">
      <c r="A1462" s="1">
        <f>IFERROR(__xludf.DUMMYFUNCTION("""COMPUTED_VALUE"""),86011.0)</f>
        <v>86011</v>
      </c>
      <c r="B1462" s="5">
        <f>IFERROR(__xludf.DUMMYFUNCTION("""COMPUTED_VALUE"""),44959.84340621528)</f>
        <v>44959.84341</v>
      </c>
      <c r="C1462" s="1" t="str">
        <f>IFERROR(__xludf.DUMMYFUNCTION("""COMPUTED_VALUE"""),"TIZIANO MONDINO")</f>
        <v>TIZIANO MONDINO</v>
      </c>
      <c r="D1462" s="1" t="str">
        <f>IFERROR(__xludf.DUMMYFUNCTION("""COMPUTED_VALUE"""),"Lentes de LABORATORIO")</f>
        <v>Lentes de LABORATORIO</v>
      </c>
      <c r="E1462" s="1" t="str">
        <f>IFERROR(__xludf.DUMMYFUNCTION("""COMPUTED_VALUE"""),"RIVADAVIA Javier")</f>
        <v>RIVADAVIA Javier</v>
      </c>
      <c r="F1462" s="1" t="str">
        <f t="shared" si="1"/>
        <v>RIVADAVIA </v>
      </c>
      <c r="G1462" s="1" t="str">
        <f t="shared" si="2"/>
        <v>Javier</v>
      </c>
      <c r="H1462" s="1" t="str">
        <f>IFERROR(__xludf.DUMMYFUNCTION("""COMPUTED_VALUE"""),"9/2/2023, 17:00:00")</f>
        <v>9/2/2023, 17:00:00</v>
      </c>
      <c r="I1462" s="1" t="str">
        <f>IFERROR(__xludf.DUMMYFUNCTION("""COMPUTED_VALUE"""),"RETIRADO OK POR CLIENTE")</f>
        <v>RETIRADO OK POR CLIENTE</v>
      </c>
      <c r="J1462" s="1">
        <f t="shared" si="3"/>
        <v>6</v>
      </c>
      <c r="K1462" s="1" t="str">
        <f t="shared" si="4"/>
        <v>Entregamos tus lentes, que los disfrutes!</v>
      </c>
    </row>
    <row r="1463">
      <c r="A1463" s="1">
        <f>IFERROR(__xludf.DUMMYFUNCTION("""COMPUTED_VALUE"""),86012.0)</f>
        <v>86012</v>
      </c>
      <c r="B1463" s="5">
        <f>IFERROR(__xludf.DUMMYFUNCTION("""COMPUTED_VALUE"""),44959.845467245366)</f>
        <v>44959.84547</v>
      </c>
      <c r="C1463" s="1" t="str">
        <f>IFERROR(__xludf.DUMMYFUNCTION("""COMPUTED_VALUE"""),"ABRAHIN MYRIAM ")</f>
        <v>ABRAHIN MYRIAM </v>
      </c>
      <c r="D1463" s="1" t="str">
        <f>IFERROR(__xludf.DUMMYFUNCTION("""COMPUTED_VALUE"""),"Lentes de STOCK")</f>
        <v>Lentes de STOCK</v>
      </c>
      <c r="E1463" s="1" t="str">
        <f>IFERROR(__xludf.DUMMYFUNCTION("""COMPUTED_VALUE"""),"RIVADAVIA Luciana")</f>
        <v>RIVADAVIA Luciana</v>
      </c>
      <c r="F1463" s="1" t="str">
        <f t="shared" si="1"/>
        <v>RIVADAVIA </v>
      </c>
      <c r="G1463" s="1" t="str">
        <f t="shared" si="2"/>
        <v>Luciana</v>
      </c>
      <c r="H1463" s="1" t="str">
        <f>IFERROR(__xludf.DUMMYFUNCTION("""COMPUTED_VALUE"""),"10/2/2023, 17:00:00")</f>
        <v>10/2/2023, 17:00:00</v>
      </c>
      <c r="I1463" s="1" t="str">
        <f>IFERROR(__xludf.DUMMYFUNCTION("""COMPUTED_VALUE"""),"RETIRADO OK POR CLIENTE")</f>
        <v>RETIRADO OK POR CLIENTE</v>
      </c>
      <c r="J1463" s="1">
        <f t="shared" si="3"/>
        <v>6</v>
      </c>
      <c r="K1463" s="1" t="str">
        <f t="shared" si="4"/>
        <v>Entregamos tus lentes, que los disfrutes!</v>
      </c>
    </row>
    <row r="1464">
      <c r="A1464" s="1">
        <f>IFERROR(__xludf.DUMMYFUNCTION("""COMPUTED_VALUE"""),86013.0)</f>
        <v>86013</v>
      </c>
      <c r="B1464" s="5">
        <f>IFERROR(__xludf.DUMMYFUNCTION("""COMPUTED_VALUE"""),44960.38272248843)</f>
        <v>44960.38272</v>
      </c>
      <c r="C1464" s="1" t="str">
        <f>IFERROR(__xludf.DUMMYFUNCTION("""COMPUTED_VALUE"""),"FARIAS MARIA IGNACIA")</f>
        <v>FARIAS MARIA IGNACIA</v>
      </c>
      <c r="D1464" s="1" t="str">
        <f>IFERROR(__xludf.DUMMYFUNCTION("""COMPUTED_VALUE"""),"Lentes de STOCK")</f>
        <v>Lentes de STOCK</v>
      </c>
      <c r="E1464" s="1" t="str">
        <f>IFERROR(__xludf.DUMMYFUNCTION("""COMPUTED_VALUE"""),"ARTIGAS Cristian C.")</f>
        <v>ARTIGAS Cristian C.</v>
      </c>
      <c r="F1464" s="1" t="str">
        <f t="shared" si="1"/>
        <v>ARTIGAS </v>
      </c>
      <c r="G1464" s="1" t="str">
        <f t="shared" si="2"/>
        <v>Cristian C.</v>
      </c>
      <c r="H1464" s="1" t="str">
        <f>IFERROR(__xludf.DUMMYFUNCTION("""COMPUTED_VALUE"""),"8/2/2023, 17:00:00")</f>
        <v>8/2/2023, 17:00:00</v>
      </c>
      <c r="I1464" s="1" t="str">
        <f>IFERROR(__xludf.DUMMYFUNCTION("""COMPUTED_VALUE"""),"RETIRADO OK POR CLIENTE")</f>
        <v>RETIRADO OK POR CLIENTE</v>
      </c>
      <c r="J1464" s="1">
        <f t="shared" si="3"/>
        <v>6</v>
      </c>
      <c r="K1464" s="1" t="str">
        <f t="shared" si="4"/>
        <v>Entregamos tus lentes, que los disfrutes!</v>
      </c>
    </row>
    <row r="1465">
      <c r="A1465" s="1">
        <f>IFERROR(__xludf.DUMMYFUNCTION("""COMPUTED_VALUE"""),86014.0)</f>
        <v>86014</v>
      </c>
      <c r="B1465" s="5">
        <f>IFERROR(__xludf.DUMMYFUNCTION("""COMPUTED_VALUE"""),44960.383728518515)</f>
        <v>44960.38373</v>
      </c>
      <c r="C1465" s="1" t="str">
        <f>IFERROR(__xludf.DUMMYFUNCTION("""COMPUTED_VALUE"""),"Muñoz Daniel Armando")</f>
        <v>Muñoz Daniel Armando</v>
      </c>
      <c r="D1465" s="1" t="str">
        <f>IFERROR(__xludf.DUMMYFUNCTION("""COMPUTED_VALUE"""),"Lentes de STOCK")</f>
        <v>Lentes de STOCK</v>
      </c>
      <c r="E1465" s="1" t="str">
        <f>IFERROR(__xludf.DUMMYFUNCTION("""COMPUTED_VALUE"""),"ARTIGAS Roció")</f>
        <v>ARTIGAS Roció</v>
      </c>
      <c r="F1465" s="1" t="str">
        <f t="shared" si="1"/>
        <v>ARTIGAS </v>
      </c>
      <c r="G1465" s="1" t="str">
        <f t="shared" si="2"/>
        <v>Roció</v>
      </c>
      <c r="H1465" s="1" t="str">
        <f>IFERROR(__xludf.DUMMYFUNCTION("""COMPUTED_VALUE"""),"9/2/2023, 17:00:00")</f>
        <v>9/2/2023, 17:00:00</v>
      </c>
      <c r="I1465" s="1" t="str">
        <f>IFERROR(__xludf.DUMMYFUNCTION("""COMPUTED_VALUE"""),"Recibido en Laboratorio")</f>
        <v>Recibido en Laboratorio</v>
      </c>
      <c r="J1465" s="1">
        <f t="shared" si="3"/>
        <v>2</v>
      </c>
      <c r="K1465" s="1" t="str">
        <f t="shared" si="4"/>
        <v>Nuestro Laboratorio esta trabajando en tus lentes, los entregaremos en la fecha acordada.</v>
      </c>
    </row>
    <row r="1466">
      <c r="A1466" s="1">
        <f>IFERROR(__xludf.DUMMYFUNCTION("""COMPUTED_VALUE"""),86015.0)</f>
        <v>86015</v>
      </c>
      <c r="B1466" s="5">
        <f>IFERROR(__xludf.DUMMYFUNCTION("""COMPUTED_VALUE"""),44960.38740136574)</f>
        <v>44960.3874</v>
      </c>
      <c r="C1466" s="1" t="str">
        <f>IFERROR(__xludf.DUMMYFUNCTION("""COMPUTED_VALUE"""),"Aguilar Ramona Esther")</f>
        <v>Aguilar Ramona Esther</v>
      </c>
      <c r="D1466" s="1" t="str">
        <f>IFERROR(__xludf.DUMMYFUNCTION("""COMPUTED_VALUE"""),"Lentes BIFOCALES")</f>
        <v>Lentes BIFOCALES</v>
      </c>
      <c r="E1466" s="1" t="str">
        <f>IFERROR(__xludf.DUMMYFUNCTION("""COMPUTED_VALUE"""),"ARTIGAS Roció")</f>
        <v>ARTIGAS Roció</v>
      </c>
      <c r="F1466" s="1" t="str">
        <f t="shared" si="1"/>
        <v>ARTIGAS </v>
      </c>
      <c r="G1466" s="1" t="str">
        <f t="shared" si="2"/>
        <v>Roció</v>
      </c>
      <c r="H1466" s="1" t="str">
        <f>IFERROR(__xludf.DUMMYFUNCTION("""COMPUTED_VALUE"""),"9/2/2023, 17:00:00")</f>
        <v>9/2/2023, 17:00:00</v>
      </c>
      <c r="I1466" s="1" t="str">
        <f>IFERROR(__xludf.DUMMYFUNCTION("""COMPUTED_VALUE"""),"RETIRADO OK POR CLIENTE")</f>
        <v>RETIRADO OK POR CLIENTE</v>
      </c>
      <c r="J1466" s="1">
        <f t="shared" si="3"/>
        <v>6</v>
      </c>
      <c r="K1466" s="1" t="str">
        <f t="shared" si="4"/>
        <v>Entregamos tus lentes, que los disfrutes!</v>
      </c>
    </row>
    <row r="1467">
      <c r="A1467" s="1">
        <f>IFERROR(__xludf.DUMMYFUNCTION("""COMPUTED_VALUE"""),86016.0)</f>
        <v>86016</v>
      </c>
      <c r="B1467" s="5">
        <f>IFERROR(__xludf.DUMMYFUNCTION("""COMPUTED_VALUE"""),44960.3876652662)</f>
        <v>44960.38767</v>
      </c>
      <c r="C1467" s="1" t="str">
        <f>IFERROR(__xludf.DUMMYFUNCTION("""COMPUTED_VALUE"""),"CUBILLOS MIRIAN")</f>
        <v>CUBILLOS MIRIAN</v>
      </c>
      <c r="D1467" s="1" t="str">
        <f>IFERROR(__xludf.DUMMYFUNCTION("""COMPUTED_VALUE"""),"Lentes de STOCK")</f>
        <v>Lentes de STOCK</v>
      </c>
      <c r="E1467" s="1" t="str">
        <f>IFERROR(__xludf.DUMMYFUNCTION("""COMPUTED_VALUE"""),"RIVADAVIA Luciana")</f>
        <v>RIVADAVIA Luciana</v>
      </c>
      <c r="F1467" s="1" t="str">
        <f t="shared" si="1"/>
        <v>RIVADAVIA </v>
      </c>
      <c r="G1467" s="1" t="str">
        <f t="shared" si="2"/>
        <v>Luciana</v>
      </c>
      <c r="H1467" s="1" t="str">
        <f>IFERROR(__xludf.DUMMYFUNCTION("""COMPUTED_VALUE"""),"6/2/2023, 17:00:00")</f>
        <v>6/2/2023, 17:00:00</v>
      </c>
      <c r="I1467" s="1" t="str">
        <f>IFERROR(__xludf.DUMMYFUNCTION("""COMPUTED_VALUE"""),"RETIRADO OK POR CLIENTE")</f>
        <v>RETIRADO OK POR CLIENTE</v>
      </c>
      <c r="J1467" s="1">
        <f t="shared" si="3"/>
        <v>6</v>
      </c>
      <c r="K1467" s="1" t="str">
        <f t="shared" si="4"/>
        <v>Entregamos tus lentes, que los disfrutes!</v>
      </c>
    </row>
    <row r="1468">
      <c r="A1468" s="1">
        <f>IFERROR(__xludf.DUMMYFUNCTION("""COMPUTED_VALUE"""),86017.0)</f>
        <v>86017</v>
      </c>
      <c r="B1468" s="5">
        <f>IFERROR(__xludf.DUMMYFUNCTION("""COMPUTED_VALUE"""),44960.388725185185)</f>
        <v>44960.38873</v>
      </c>
      <c r="C1468" s="1" t="str">
        <f>IFERROR(__xludf.DUMMYFUNCTION("""COMPUTED_VALUE"""),"VELAZQUEZ ANITA")</f>
        <v>VELAZQUEZ ANITA</v>
      </c>
      <c r="D1468" s="1" t="str">
        <f>IFERROR(__xludf.DUMMYFUNCTION("""COMPUTED_VALUE"""),"Reparaciones/Otros")</f>
        <v>Reparaciones/Otros</v>
      </c>
      <c r="E1468" s="1" t="str">
        <f>IFERROR(__xludf.DUMMYFUNCTION("""COMPUTED_VALUE"""),"RIVADAVIA Marcela L")</f>
        <v>RIVADAVIA Marcela L</v>
      </c>
      <c r="F1468" s="1" t="str">
        <f t="shared" si="1"/>
        <v>RIVADAVIA </v>
      </c>
      <c r="G1468" s="1" t="str">
        <f t="shared" si="2"/>
        <v>Marcela L</v>
      </c>
      <c r="H1468" s="1" t="str">
        <f>IFERROR(__xludf.DUMMYFUNCTION("""COMPUTED_VALUE"""),"6/2/2023, 17:00:00")</f>
        <v>6/2/2023, 17:00:00</v>
      </c>
      <c r="I1468" s="1" t="str">
        <f>IFERROR(__xludf.DUMMYFUNCTION("""COMPUTED_VALUE"""),"Recibido en Laboratorio")</f>
        <v>Recibido en Laboratorio</v>
      </c>
      <c r="J1468" s="1">
        <f t="shared" si="3"/>
        <v>2</v>
      </c>
      <c r="K1468" s="1" t="str">
        <f t="shared" si="4"/>
        <v>Nuestro Laboratorio esta trabajando en tus lentes, los entregaremos en la fecha acordada.</v>
      </c>
    </row>
    <row r="1469">
      <c r="A1469" s="1">
        <f>IFERROR(__xludf.DUMMYFUNCTION("""COMPUTED_VALUE"""),86018.0)</f>
        <v>86018</v>
      </c>
      <c r="B1469" s="5">
        <f>IFERROR(__xludf.DUMMYFUNCTION("""COMPUTED_VALUE"""),44960.391323055555)</f>
        <v>44960.39132</v>
      </c>
      <c r="C1469" s="1" t="str">
        <f>IFERROR(__xludf.DUMMYFUNCTION("""COMPUTED_VALUE"""),"andreani")</f>
        <v>andreani</v>
      </c>
      <c r="D1469" s="1" t="str">
        <f>IFERROR(__xludf.DUMMYFUNCTION("""COMPUTED_VALUE"""),"Reparaciones/Otros")</f>
        <v>Reparaciones/Otros</v>
      </c>
      <c r="E1469" s="1" t="str">
        <f>IFERROR(__xludf.DUMMYFUNCTION("""COMPUTED_VALUE"""),"ARTIGAS Roció")</f>
        <v>ARTIGAS Roció</v>
      </c>
      <c r="F1469" s="1" t="str">
        <f t="shared" si="1"/>
        <v>ARTIGAS </v>
      </c>
      <c r="G1469" s="1" t="str">
        <f t="shared" si="2"/>
        <v>Roció</v>
      </c>
      <c r="H1469" s="1" t="str">
        <f>IFERROR(__xludf.DUMMYFUNCTION("""COMPUTED_VALUE"""),"4/2/2023, 17:00:00")</f>
        <v>4/2/2023, 17:00:00</v>
      </c>
      <c r="I1469" s="1" t="str">
        <f>IFERROR(__xludf.DUMMYFUNCTION("""COMPUTED_VALUE"""),"Completado en SUCURSAL")</f>
        <v>Completado en SUCURSAL</v>
      </c>
      <c r="J1469" s="1">
        <f t="shared" si="3"/>
        <v>5</v>
      </c>
      <c r="K1469" s="1" t="str">
        <f t="shared" si="4"/>
        <v>Tus Lentes estan LISTAS PARA ENTREGAR, te esperamos.</v>
      </c>
    </row>
    <row r="1470">
      <c r="A1470" s="1">
        <f>IFERROR(__xludf.DUMMYFUNCTION("""COMPUTED_VALUE"""),86019.0)</f>
        <v>86019</v>
      </c>
      <c r="B1470" s="5">
        <f>IFERROR(__xludf.DUMMYFUNCTION("""COMPUTED_VALUE"""),44960.39277020833)</f>
        <v>44960.39277</v>
      </c>
      <c r="C1470" s="1" t="str">
        <f>IFERROR(__xludf.DUMMYFUNCTION("""COMPUTED_VALUE"""),"ojeda mirian cristian")</f>
        <v>ojeda mirian cristian</v>
      </c>
      <c r="D1470" s="1" t="str">
        <f>IFERROR(__xludf.DUMMYFUNCTION("""COMPUTED_VALUE"""),"Lentes de STOCK")</f>
        <v>Lentes de STOCK</v>
      </c>
      <c r="E1470" s="1" t="str">
        <f>IFERROR(__xludf.DUMMYFUNCTION("""COMPUTED_VALUE"""),"RIVADAVIA Santiago N")</f>
        <v>RIVADAVIA Santiago N</v>
      </c>
      <c r="F1470" s="1" t="str">
        <f t="shared" si="1"/>
        <v>RIVADAVIA </v>
      </c>
      <c r="G1470" s="1" t="str">
        <f t="shared" si="2"/>
        <v>Santiago N</v>
      </c>
      <c r="H1470" s="1" t="str">
        <f>IFERROR(__xludf.DUMMYFUNCTION("""COMPUTED_VALUE"""),"6/2/2023, 17:00:00")</f>
        <v>6/2/2023, 17:00:00</v>
      </c>
      <c r="I1470" s="1" t="str">
        <f>IFERROR(__xludf.DUMMYFUNCTION("""COMPUTED_VALUE"""),"En Armado Hoy")</f>
        <v>En Armado Hoy</v>
      </c>
      <c r="J1470" s="1">
        <f t="shared" si="3"/>
        <v>3</v>
      </c>
      <c r="K1470" s="1" t="str">
        <f t="shared" si="4"/>
        <v>Estamos terminando los ultimos detalles de tus lentes, los terminaremos el dia de hoy.</v>
      </c>
    </row>
    <row r="1471">
      <c r="A1471" s="1">
        <f>IFERROR(__xludf.DUMMYFUNCTION("""COMPUTED_VALUE"""),86020.0)</f>
        <v>86020</v>
      </c>
      <c r="B1471" s="5">
        <f>IFERROR(__xludf.DUMMYFUNCTION("""COMPUTED_VALUE"""),44960.398297685184)</f>
        <v>44960.3983</v>
      </c>
      <c r="C1471" s="1" t="str">
        <f>IFERROR(__xludf.DUMMYFUNCTION("""COMPUTED_VALUE"""),"COPELLO JUAN IGNACIO")</f>
        <v>COPELLO JUAN IGNACIO</v>
      </c>
      <c r="D1471" s="1" t="str">
        <f>IFERROR(__xludf.DUMMYFUNCTION("""COMPUTED_VALUE"""),"Lentes de STOCK")</f>
        <v>Lentes de STOCK</v>
      </c>
      <c r="E1471" s="1" t="str">
        <f>IFERROR(__xludf.DUMMYFUNCTION("""COMPUTED_VALUE"""),"ARTIGAS Cristian C.")</f>
        <v>ARTIGAS Cristian C.</v>
      </c>
      <c r="F1471" s="1" t="str">
        <f t="shared" si="1"/>
        <v>ARTIGAS </v>
      </c>
      <c r="G1471" s="1" t="str">
        <f t="shared" si="2"/>
        <v>Cristian C.</v>
      </c>
      <c r="H1471" s="1" t="str">
        <f>IFERROR(__xludf.DUMMYFUNCTION("""COMPUTED_VALUE"""),"8/2/2023, 17:00:00")</f>
        <v>8/2/2023, 17:00:00</v>
      </c>
      <c r="I1471" s="1" t="str">
        <f>IFERROR(__xludf.DUMMYFUNCTION("""COMPUTED_VALUE"""),"RETIRADO OK POR CLIENTE")</f>
        <v>RETIRADO OK POR CLIENTE</v>
      </c>
      <c r="J1471" s="1">
        <f t="shared" si="3"/>
        <v>6</v>
      </c>
      <c r="K1471" s="1" t="str">
        <f t="shared" si="4"/>
        <v>Entregamos tus lentes, que los disfrutes!</v>
      </c>
    </row>
    <row r="1472">
      <c r="A1472" s="1">
        <f>IFERROR(__xludf.DUMMYFUNCTION("""COMPUTED_VALUE"""),86021.0)</f>
        <v>86021</v>
      </c>
      <c r="B1472" s="5">
        <f>IFERROR(__xludf.DUMMYFUNCTION("""COMPUTED_VALUE"""),44960.40505158565)</f>
        <v>44960.40505</v>
      </c>
      <c r="C1472" s="1" t="str">
        <f>IFERROR(__xludf.DUMMYFUNCTION("""COMPUTED_VALUE"""),"gonzalez alicia")</f>
        <v>gonzalez alicia</v>
      </c>
      <c r="D1472" s="1" t="str">
        <f>IFERROR(__xludf.DUMMYFUNCTION("""COMPUTED_VALUE"""),"Lentes de STOCK")</f>
        <v>Lentes de STOCK</v>
      </c>
      <c r="E1472" s="1" t="str">
        <f>IFERROR(__xludf.DUMMYFUNCTION("""COMPUTED_VALUE"""),"RIVADAVIA Santiago LOPEZ")</f>
        <v>RIVADAVIA Santiago LOPEZ</v>
      </c>
      <c r="F1472" s="1" t="str">
        <f t="shared" si="1"/>
        <v>RIVADAVIA </v>
      </c>
      <c r="G1472" s="1" t="str">
        <f t="shared" si="2"/>
        <v>Santiago LOPEZ</v>
      </c>
      <c r="H1472" s="1" t="str">
        <f>IFERROR(__xludf.DUMMYFUNCTION("""COMPUTED_VALUE"""),"7/2/2023, 17:00:00")</f>
        <v>7/2/2023, 17:00:00</v>
      </c>
      <c r="I1472" s="1" t="str">
        <f>IFERROR(__xludf.DUMMYFUNCTION("""COMPUTED_VALUE"""),"RETIRADO OK POR CLIENTE")</f>
        <v>RETIRADO OK POR CLIENTE</v>
      </c>
      <c r="J1472" s="1">
        <f t="shared" si="3"/>
        <v>6</v>
      </c>
      <c r="K1472" s="1" t="str">
        <f t="shared" si="4"/>
        <v>Entregamos tus lentes, que los disfrutes!</v>
      </c>
    </row>
    <row r="1473">
      <c r="A1473" s="1">
        <f>IFERROR(__xludf.DUMMYFUNCTION("""COMPUTED_VALUE"""),86022.0)</f>
        <v>86022</v>
      </c>
      <c r="B1473" s="5">
        <f>IFERROR(__xludf.DUMMYFUNCTION("""COMPUTED_VALUE"""),44960.41150934028)</f>
        <v>44960.41151</v>
      </c>
      <c r="C1473" s="1" t="str">
        <f>IFERROR(__xludf.DUMMYFUNCTION("""COMPUTED_VALUE"""),"TORRES BRUNO")</f>
        <v>TORRES BRUNO</v>
      </c>
      <c r="D1473" s="1" t="str">
        <f>IFERROR(__xludf.DUMMYFUNCTION("""COMPUTED_VALUE"""),"Lentes de LABORATORIO")</f>
        <v>Lentes de LABORATORIO</v>
      </c>
      <c r="E1473" s="1" t="str">
        <f>IFERROR(__xludf.DUMMYFUNCTION("""COMPUTED_VALUE"""),"RIVADAVIA Luciana")</f>
        <v>RIVADAVIA Luciana</v>
      </c>
      <c r="F1473" s="1" t="str">
        <f t="shared" si="1"/>
        <v>RIVADAVIA </v>
      </c>
      <c r="G1473" s="1" t="str">
        <f t="shared" si="2"/>
        <v>Luciana</v>
      </c>
      <c r="H1473" s="1" t="str">
        <f>IFERROR(__xludf.DUMMYFUNCTION("""COMPUTED_VALUE"""),"24/2/2023, 17:00:00")</f>
        <v>24/2/2023, 17:00:00</v>
      </c>
      <c r="I1473" s="1" t="str">
        <f>IFERROR(__xludf.DUMMYFUNCTION("""COMPUTED_VALUE"""),"Completado en SUCURSAL")</f>
        <v>Completado en SUCURSAL</v>
      </c>
      <c r="J1473" s="1">
        <f t="shared" si="3"/>
        <v>5</v>
      </c>
      <c r="K1473" s="1" t="str">
        <f t="shared" si="4"/>
        <v>Tus Lentes estan LISTAS PARA ENTREGAR, te esperamos.</v>
      </c>
    </row>
    <row r="1474">
      <c r="A1474" s="1">
        <f>IFERROR(__xludf.DUMMYFUNCTION("""COMPUTED_VALUE"""),86023.0)</f>
        <v>86023</v>
      </c>
      <c r="B1474" s="5">
        <f>IFERROR(__xludf.DUMMYFUNCTION("""COMPUTED_VALUE"""),44960.41351730324)</f>
        <v>44960.41352</v>
      </c>
      <c r="C1474" s="1" t="str">
        <f>IFERROR(__xludf.DUMMYFUNCTION("""COMPUTED_VALUE"""),"JOFRE MARGARITA ")</f>
        <v>JOFRE MARGARITA </v>
      </c>
      <c r="D1474" s="1" t="str">
        <f>IFERROR(__xludf.DUMMYFUNCTION("""COMPUTED_VALUE"""),"Lentes de STOCK")</f>
        <v>Lentes de STOCK</v>
      </c>
      <c r="E1474" s="1" t="str">
        <f>IFERROR(__xludf.DUMMYFUNCTION("""COMPUTED_VALUE"""),"ARTIGAS Cristian C.")</f>
        <v>ARTIGAS Cristian C.</v>
      </c>
      <c r="F1474" s="1" t="str">
        <f t="shared" si="1"/>
        <v>ARTIGAS </v>
      </c>
      <c r="G1474" s="1" t="str">
        <f t="shared" si="2"/>
        <v>Cristian C.</v>
      </c>
      <c r="H1474" s="1" t="str">
        <f>IFERROR(__xludf.DUMMYFUNCTION("""COMPUTED_VALUE"""),"7/2/2023, 17:00:00")</f>
        <v>7/2/2023, 17:00:00</v>
      </c>
      <c r="I1474" s="1" t="str">
        <f>IFERROR(__xludf.DUMMYFUNCTION("""COMPUTED_VALUE"""),"RETIRADO OK POR CLIENTE")</f>
        <v>RETIRADO OK POR CLIENTE</v>
      </c>
      <c r="J1474" s="1">
        <f t="shared" si="3"/>
        <v>6</v>
      </c>
      <c r="K1474" s="1" t="str">
        <f t="shared" si="4"/>
        <v>Entregamos tus lentes, que los disfrutes!</v>
      </c>
    </row>
    <row r="1475">
      <c r="A1475" s="1">
        <f>IFERROR(__xludf.DUMMYFUNCTION("""COMPUTED_VALUE"""),86024.0)</f>
        <v>86024</v>
      </c>
      <c r="B1475" s="5">
        <f>IFERROR(__xludf.DUMMYFUNCTION("""COMPUTED_VALUE"""),44960.41360747685)</f>
        <v>44960.41361</v>
      </c>
      <c r="C1475" s="1" t="str">
        <f>IFERROR(__xludf.DUMMYFUNCTION("""COMPUTED_VALUE"""),"abaca belen")</f>
        <v>abaca belen</v>
      </c>
      <c r="D1475" s="1" t="str">
        <f>IFERROR(__xludf.DUMMYFUNCTION("""COMPUTED_VALUE"""),"Reparaciones/Otros")</f>
        <v>Reparaciones/Otros</v>
      </c>
      <c r="E1475" s="1" t="str">
        <f>IFERROR(__xludf.DUMMYFUNCTION("""COMPUTED_VALUE"""),"RIVADAVIA Santiago LOPEZ")</f>
        <v>RIVADAVIA Santiago LOPEZ</v>
      </c>
      <c r="F1475" s="1" t="str">
        <f t="shared" si="1"/>
        <v>RIVADAVIA </v>
      </c>
      <c r="G1475" s="1" t="str">
        <f t="shared" si="2"/>
        <v>Santiago LOPEZ</v>
      </c>
      <c r="H1475" s="1" t="str">
        <f>IFERROR(__xludf.DUMMYFUNCTION("""COMPUTED_VALUE"""),"6/2/2023, 17:00:00")</f>
        <v>6/2/2023, 17:00:00</v>
      </c>
      <c r="I1475" s="1" t="str">
        <f>IFERROR(__xludf.DUMMYFUNCTION("""COMPUTED_VALUE"""),"Recibido en Laboratorio")</f>
        <v>Recibido en Laboratorio</v>
      </c>
      <c r="J1475" s="1">
        <f t="shared" si="3"/>
        <v>2</v>
      </c>
      <c r="K1475" s="1" t="str">
        <f t="shared" si="4"/>
        <v>Nuestro Laboratorio esta trabajando en tus lentes, los entregaremos en la fecha acordada.</v>
      </c>
    </row>
    <row r="1476">
      <c r="A1476" s="1">
        <f>IFERROR(__xludf.DUMMYFUNCTION("""COMPUTED_VALUE"""),86025.0)</f>
        <v>86025</v>
      </c>
      <c r="B1476" s="5">
        <f>IFERROR(__xludf.DUMMYFUNCTION("""COMPUTED_VALUE"""),44960.41641517361)</f>
        <v>44960.41642</v>
      </c>
      <c r="C1476" s="1" t="str">
        <f>IFERROR(__xludf.DUMMYFUNCTION("""COMPUTED_VALUE"""),"Gatica Cecilia")</f>
        <v>Gatica Cecilia</v>
      </c>
      <c r="D1476" s="1" t="str">
        <f>IFERROR(__xludf.DUMMYFUNCTION("""COMPUTED_VALUE"""),"Lentes de STOCK")</f>
        <v>Lentes de STOCK</v>
      </c>
      <c r="E1476" s="1" t="str">
        <f>IFERROR(__xludf.DUMMYFUNCTION("""COMPUTED_VALUE"""),"ARTIGAS Roció")</f>
        <v>ARTIGAS Roció</v>
      </c>
      <c r="F1476" s="1" t="str">
        <f t="shared" si="1"/>
        <v>ARTIGAS </v>
      </c>
      <c r="G1476" s="1" t="str">
        <f t="shared" si="2"/>
        <v>Roció</v>
      </c>
      <c r="H1476" s="1" t="str">
        <f>IFERROR(__xludf.DUMMYFUNCTION("""COMPUTED_VALUE"""),"10/2/2023, 17:00:00")</f>
        <v>10/2/2023, 17:00:00</v>
      </c>
      <c r="I1476" s="1" t="str">
        <f>IFERROR(__xludf.DUMMYFUNCTION("""COMPUTED_VALUE"""),"RETIRADO OK POR CLIENTE")</f>
        <v>RETIRADO OK POR CLIENTE</v>
      </c>
      <c r="J1476" s="1">
        <f t="shared" si="3"/>
        <v>6</v>
      </c>
      <c r="K1476" s="1" t="str">
        <f t="shared" si="4"/>
        <v>Entregamos tus lentes, que los disfrutes!</v>
      </c>
    </row>
    <row r="1477">
      <c r="A1477" s="1">
        <f>IFERROR(__xludf.DUMMYFUNCTION("""COMPUTED_VALUE"""),86026.0)</f>
        <v>86026</v>
      </c>
      <c r="B1477" s="5">
        <f>IFERROR(__xludf.DUMMYFUNCTION("""COMPUTED_VALUE"""),44960.41922252315)</f>
        <v>44960.41922</v>
      </c>
      <c r="C1477" s="1" t="str">
        <f>IFERROR(__xludf.DUMMYFUNCTION("""COMPUTED_VALUE"""),"MIRANDA BARTOLOME ")</f>
        <v>MIRANDA BARTOLOME </v>
      </c>
      <c r="D1477" s="1" t="str">
        <f>IFERROR(__xludf.DUMMYFUNCTION("""COMPUTED_VALUE"""),"Lentes de STOCK")</f>
        <v>Lentes de STOCK</v>
      </c>
      <c r="E1477" s="1" t="str">
        <f>IFERROR(__xludf.DUMMYFUNCTION("""COMPUTED_VALUE"""),"RIVADAVIA Marcela L")</f>
        <v>RIVADAVIA Marcela L</v>
      </c>
      <c r="F1477" s="1" t="str">
        <f t="shared" si="1"/>
        <v>RIVADAVIA </v>
      </c>
      <c r="G1477" s="1" t="str">
        <f t="shared" si="2"/>
        <v>Marcela L</v>
      </c>
      <c r="H1477" s="1" t="str">
        <f>IFERROR(__xludf.DUMMYFUNCTION("""COMPUTED_VALUE"""),"8/2/2023, 17:00:00")</f>
        <v>8/2/2023, 17:00:00</v>
      </c>
      <c r="I1477" s="1" t="str">
        <f>IFERROR(__xludf.DUMMYFUNCTION("""COMPUTED_VALUE"""),"Recibido en Laboratorio")</f>
        <v>Recibido en Laboratorio</v>
      </c>
      <c r="J1477" s="1">
        <f t="shared" si="3"/>
        <v>2</v>
      </c>
      <c r="K1477" s="1" t="str">
        <f t="shared" si="4"/>
        <v>Nuestro Laboratorio esta trabajando en tus lentes, los entregaremos en la fecha acordada.</v>
      </c>
    </row>
    <row r="1478">
      <c r="A1478" s="1">
        <f>IFERROR(__xludf.DUMMYFUNCTION("""COMPUTED_VALUE"""),86027.0)</f>
        <v>86027</v>
      </c>
      <c r="B1478" s="5">
        <f>IFERROR(__xludf.DUMMYFUNCTION("""COMPUTED_VALUE"""),44960.41963981482)</f>
        <v>44960.41964</v>
      </c>
      <c r="C1478" s="1" t="str">
        <f>IFERROR(__xludf.DUMMYFUNCTION("""COMPUTED_VALUE"""),"Quevedo Lelia")</f>
        <v>Quevedo Lelia</v>
      </c>
      <c r="D1478" s="1" t="str">
        <f>IFERROR(__xludf.DUMMYFUNCTION("""COMPUTED_VALUE"""),"Reparaciones/Otros")</f>
        <v>Reparaciones/Otros</v>
      </c>
      <c r="E1478" s="1" t="str">
        <f>IFERROR(__xludf.DUMMYFUNCTION("""COMPUTED_VALUE"""),"ARTIGAS Sandra G")</f>
        <v>ARTIGAS Sandra G</v>
      </c>
      <c r="F1478" s="1" t="str">
        <f t="shared" si="1"/>
        <v>ARTIGAS </v>
      </c>
      <c r="G1478" s="1" t="str">
        <f t="shared" si="2"/>
        <v>Sandra G</v>
      </c>
      <c r="H1478" s="1" t="str">
        <f>IFERROR(__xludf.DUMMYFUNCTION("""COMPUTED_VALUE"""),"4/2/2023, 17:00:00")</f>
        <v>4/2/2023, 17:00:00</v>
      </c>
      <c r="I1478" s="1" t="str">
        <f>IFERROR(__xludf.DUMMYFUNCTION("""COMPUTED_VALUE"""),"Completado en SUCURSAL")</f>
        <v>Completado en SUCURSAL</v>
      </c>
      <c r="J1478" s="1">
        <f t="shared" si="3"/>
        <v>5</v>
      </c>
      <c r="K1478" s="1" t="str">
        <f t="shared" si="4"/>
        <v>Tus Lentes estan LISTAS PARA ENTREGAR, te esperamos.</v>
      </c>
    </row>
    <row r="1479">
      <c r="A1479" s="1">
        <f>IFERROR(__xludf.DUMMYFUNCTION("""COMPUTED_VALUE"""),86028.0)</f>
        <v>86028</v>
      </c>
      <c r="B1479" s="5">
        <f>IFERROR(__xludf.DUMMYFUNCTION("""COMPUTED_VALUE"""),44960.42102086806)</f>
        <v>44960.42102</v>
      </c>
      <c r="C1479" s="1" t="str">
        <f>IFERROR(__xludf.DUMMYFUNCTION("""COMPUTED_VALUE"""),"PINELLI ISAIAS EMILIO")</f>
        <v>PINELLI ISAIAS EMILIO</v>
      </c>
      <c r="D1479" s="1" t="str">
        <f>IFERROR(__xludf.DUMMYFUNCTION("""COMPUTED_VALUE"""),"Lentes de STOCK")</f>
        <v>Lentes de STOCK</v>
      </c>
      <c r="E1479" s="1" t="str">
        <f>IFERROR(__xludf.DUMMYFUNCTION("""COMPUTED_VALUE"""),"RIVADAVIA Santiago LOPEZ")</f>
        <v>RIVADAVIA Santiago LOPEZ</v>
      </c>
      <c r="F1479" s="1" t="str">
        <f t="shared" si="1"/>
        <v>RIVADAVIA </v>
      </c>
      <c r="G1479" s="1" t="str">
        <f t="shared" si="2"/>
        <v>Santiago LOPEZ</v>
      </c>
      <c r="H1479" s="1" t="str">
        <f>IFERROR(__xludf.DUMMYFUNCTION("""COMPUTED_VALUE"""),"9/2/2023, 17:00:00")</f>
        <v>9/2/2023, 17:00:00</v>
      </c>
      <c r="I1479" s="1" t="str">
        <f>IFERROR(__xludf.DUMMYFUNCTION("""COMPUTED_VALUE"""),"RETIRADO OK POR CLIENTE")</f>
        <v>RETIRADO OK POR CLIENTE</v>
      </c>
      <c r="J1479" s="1">
        <f t="shared" si="3"/>
        <v>6</v>
      </c>
      <c r="K1479" s="1" t="str">
        <f t="shared" si="4"/>
        <v>Entregamos tus lentes, que los disfrutes!</v>
      </c>
    </row>
    <row r="1480">
      <c r="A1480" s="1">
        <f>IFERROR(__xludf.DUMMYFUNCTION("""COMPUTED_VALUE"""),86029.0)</f>
        <v>86029</v>
      </c>
      <c r="B1480" s="5">
        <f>IFERROR(__xludf.DUMMYFUNCTION("""COMPUTED_VALUE"""),44960.4274443287)</f>
        <v>44960.42744</v>
      </c>
      <c r="C1480" s="1" t="str">
        <f>IFERROR(__xludf.DUMMYFUNCTION("""COMPUTED_VALUE"""),"Murdocco Roque")</f>
        <v>Murdocco Roque</v>
      </c>
      <c r="D1480" s="1" t="str">
        <f>IFERROR(__xludf.DUMMYFUNCTION("""COMPUTED_VALUE"""),"Lentes de STOCK")</f>
        <v>Lentes de STOCK</v>
      </c>
      <c r="E1480" s="1" t="str">
        <f>IFERROR(__xludf.DUMMYFUNCTION("""COMPUTED_VALUE"""),"ARTIGAS Roció")</f>
        <v>ARTIGAS Roció</v>
      </c>
      <c r="F1480" s="1" t="str">
        <f t="shared" si="1"/>
        <v>ARTIGAS </v>
      </c>
      <c r="G1480" s="1" t="str">
        <f t="shared" si="2"/>
        <v>Roció</v>
      </c>
      <c r="H1480" s="1" t="str">
        <f>IFERROR(__xludf.DUMMYFUNCTION("""COMPUTED_VALUE"""),"10/2/2023, 17:00:00")</f>
        <v>10/2/2023, 17:00:00</v>
      </c>
      <c r="I1480" s="1" t="str">
        <f>IFERROR(__xludf.DUMMYFUNCTION("""COMPUTED_VALUE"""),"RETIRADO OK POR CLIENTE")</f>
        <v>RETIRADO OK POR CLIENTE</v>
      </c>
      <c r="J1480" s="1">
        <f t="shared" si="3"/>
        <v>6</v>
      </c>
      <c r="K1480" s="1" t="str">
        <f t="shared" si="4"/>
        <v>Entregamos tus lentes, que los disfrutes!</v>
      </c>
    </row>
    <row r="1481">
      <c r="A1481" s="1">
        <f>IFERROR(__xludf.DUMMYFUNCTION("""COMPUTED_VALUE"""),86030.0)</f>
        <v>86030</v>
      </c>
      <c r="B1481" s="5">
        <f>IFERROR(__xludf.DUMMYFUNCTION("""COMPUTED_VALUE"""),44960.428141006945)</f>
        <v>44960.42814</v>
      </c>
      <c r="C1481" s="1" t="str">
        <f>IFERROR(__xludf.DUMMYFUNCTION("""COMPUTED_VALUE"""),"QUIROGA PETRONA")</f>
        <v>QUIROGA PETRONA</v>
      </c>
      <c r="D1481" s="1" t="str">
        <f>IFERROR(__xludf.DUMMYFUNCTION("""COMPUTED_VALUE"""),"Lentes de STOCK")</f>
        <v>Lentes de STOCK</v>
      </c>
      <c r="E1481" s="1" t="str">
        <f>IFERROR(__xludf.DUMMYFUNCTION("""COMPUTED_VALUE"""),"RIVADAVIA Marcela L")</f>
        <v>RIVADAVIA Marcela L</v>
      </c>
      <c r="F1481" s="1" t="str">
        <f t="shared" si="1"/>
        <v>RIVADAVIA </v>
      </c>
      <c r="G1481" s="1" t="str">
        <f t="shared" si="2"/>
        <v>Marcela L</v>
      </c>
      <c r="H1481" s="1" t="str">
        <f>IFERROR(__xludf.DUMMYFUNCTION("""COMPUTED_VALUE"""),"8/2/2023, 17:00:00")</f>
        <v>8/2/2023, 17:00:00</v>
      </c>
      <c r="I1481" s="1" t="str">
        <f>IFERROR(__xludf.DUMMYFUNCTION("""COMPUTED_VALUE"""),"RETIRADO OK POR CLIENTE")</f>
        <v>RETIRADO OK POR CLIENTE</v>
      </c>
      <c r="J1481" s="1">
        <f t="shared" si="3"/>
        <v>6</v>
      </c>
      <c r="K1481" s="1" t="str">
        <f t="shared" si="4"/>
        <v>Entregamos tus lentes, que los disfrutes!</v>
      </c>
    </row>
    <row r="1482">
      <c r="A1482" s="1">
        <f>IFERROR(__xludf.DUMMYFUNCTION("""COMPUTED_VALUE"""),86031.0)</f>
        <v>86031</v>
      </c>
      <c r="B1482" s="5">
        <f>IFERROR(__xludf.DUMMYFUNCTION("""COMPUTED_VALUE"""),44960.429930370374)</f>
        <v>44960.42993</v>
      </c>
      <c r="C1482" s="1" t="str">
        <f>IFERROR(__xludf.DUMMYFUNCTION("""COMPUTED_VALUE"""),"CRUZ POMA ANGELICA")</f>
        <v>CRUZ POMA ANGELICA</v>
      </c>
      <c r="D1482" s="1" t="str">
        <f>IFERROR(__xludf.DUMMYFUNCTION("""COMPUTED_VALUE"""),"Reparaciones/Otros")</f>
        <v>Reparaciones/Otros</v>
      </c>
      <c r="E1482" s="1" t="str">
        <f>IFERROR(__xludf.DUMMYFUNCTION("""COMPUTED_VALUE"""),"RIVADAVIA Marcela L")</f>
        <v>RIVADAVIA Marcela L</v>
      </c>
      <c r="F1482" s="1" t="str">
        <f t="shared" si="1"/>
        <v>RIVADAVIA </v>
      </c>
      <c r="G1482" s="1" t="str">
        <f t="shared" si="2"/>
        <v>Marcela L</v>
      </c>
      <c r="H1482" s="1" t="str">
        <f>IFERROR(__xludf.DUMMYFUNCTION("""COMPUTED_VALUE"""),"6/2/2023, 17:00:00")</f>
        <v>6/2/2023, 17:00:00</v>
      </c>
      <c r="I1482" s="1" t="str">
        <f>IFERROR(__xludf.DUMMYFUNCTION("""COMPUTED_VALUE"""),"Recibido en Laboratorio")</f>
        <v>Recibido en Laboratorio</v>
      </c>
      <c r="J1482" s="1">
        <f t="shared" si="3"/>
        <v>2</v>
      </c>
      <c r="K1482" s="1" t="str">
        <f t="shared" si="4"/>
        <v>Nuestro Laboratorio esta trabajando en tus lentes, los entregaremos en la fecha acordada.</v>
      </c>
    </row>
    <row r="1483">
      <c r="A1483" s="1">
        <f>IFERROR(__xludf.DUMMYFUNCTION("""COMPUTED_VALUE"""),86032.0)</f>
        <v>86032</v>
      </c>
      <c r="B1483" s="5">
        <f>IFERROR(__xludf.DUMMYFUNCTION("""COMPUTED_VALUE"""),44960.43217940972)</f>
        <v>44960.43218</v>
      </c>
      <c r="C1483" s="1" t="str">
        <f>IFERROR(__xludf.DUMMYFUNCTION("""COMPUTED_VALUE"""),"jofre mirta graciela")</f>
        <v>jofre mirta graciela</v>
      </c>
      <c r="D1483" s="1" t="str">
        <f>IFERROR(__xludf.DUMMYFUNCTION("""COMPUTED_VALUE"""),"Lentes de STOCK")</f>
        <v>Lentes de STOCK</v>
      </c>
      <c r="E1483" s="1" t="str">
        <f>IFERROR(__xludf.DUMMYFUNCTION("""COMPUTED_VALUE"""),"RIVADAVIA Santiago N")</f>
        <v>RIVADAVIA Santiago N</v>
      </c>
      <c r="F1483" s="1" t="str">
        <f t="shared" si="1"/>
        <v>RIVADAVIA </v>
      </c>
      <c r="G1483" s="1" t="str">
        <f t="shared" si="2"/>
        <v>Santiago N</v>
      </c>
      <c r="H1483" s="1" t="str">
        <f>IFERROR(__xludf.DUMMYFUNCTION("""COMPUTED_VALUE"""),"6/2/2023, 17:00:00")</f>
        <v>6/2/2023, 17:00:00</v>
      </c>
      <c r="I1483" s="1" t="str">
        <f>IFERROR(__xludf.DUMMYFUNCTION("""COMPUTED_VALUE"""),"RETIRADO OK POR CLIENTE")</f>
        <v>RETIRADO OK POR CLIENTE</v>
      </c>
      <c r="J1483" s="1">
        <f t="shared" si="3"/>
        <v>6</v>
      </c>
      <c r="K1483" s="1" t="str">
        <f t="shared" si="4"/>
        <v>Entregamos tus lentes, que los disfrutes!</v>
      </c>
    </row>
    <row r="1484">
      <c r="A1484" s="1">
        <f>IFERROR(__xludf.DUMMYFUNCTION("""COMPUTED_VALUE"""),86033.0)</f>
        <v>86033</v>
      </c>
      <c r="B1484" s="5">
        <f>IFERROR(__xludf.DUMMYFUNCTION("""COMPUTED_VALUE"""),44960.4430970949)</f>
        <v>44960.4431</v>
      </c>
      <c r="C1484" s="1" t="str">
        <f>IFERROR(__xludf.DUMMYFUNCTION("""COMPUTED_VALUE"""),"saa fabian")</f>
        <v>saa fabian</v>
      </c>
      <c r="D1484" s="1" t="str">
        <f>IFERROR(__xludf.DUMMYFUNCTION("""COMPUTED_VALUE"""),"Reparaciones/Otros")</f>
        <v>Reparaciones/Otros</v>
      </c>
      <c r="E1484" s="1" t="str">
        <f>IFERROR(__xludf.DUMMYFUNCTION("""COMPUTED_VALUE"""),"RIVADAVIA Santiago LOPEZ")</f>
        <v>RIVADAVIA Santiago LOPEZ</v>
      </c>
      <c r="F1484" s="1" t="str">
        <f t="shared" si="1"/>
        <v>RIVADAVIA </v>
      </c>
      <c r="G1484" s="1" t="str">
        <f t="shared" si="2"/>
        <v>Santiago LOPEZ</v>
      </c>
      <c r="H1484" s="1" t="str">
        <f>IFERROR(__xludf.DUMMYFUNCTION("""COMPUTED_VALUE"""),"6/2/2023, 17:00:00")</f>
        <v>6/2/2023, 17:00:00</v>
      </c>
      <c r="I1484" s="1" t="str">
        <f>IFERROR(__xludf.DUMMYFUNCTION("""COMPUTED_VALUE"""),"Recibido en Laboratorio")</f>
        <v>Recibido en Laboratorio</v>
      </c>
      <c r="J1484" s="1">
        <f t="shared" si="3"/>
        <v>2</v>
      </c>
      <c r="K1484" s="1" t="str">
        <f t="shared" si="4"/>
        <v>Nuestro Laboratorio esta trabajando en tus lentes, los entregaremos en la fecha acordada.</v>
      </c>
    </row>
    <row r="1485">
      <c r="A1485" s="1">
        <f>IFERROR(__xludf.DUMMYFUNCTION("""COMPUTED_VALUE"""),86034.0)</f>
        <v>86034</v>
      </c>
      <c r="B1485" s="5">
        <f>IFERROR(__xludf.DUMMYFUNCTION("""COMPUTED_VALUE"""),44960.44492263889)</f>
        <v>44960.44492</v>
      </c>
      <c r="C1485" s="1" t="str">
        <f>IFERROR(__xludf.DUMMYFUNCTION("""COMPUTED_VALUE"""),"Arce Liliana")</f>
        <v>Arce Liliana</v>
      </c>
      <c r="D1485" s="1" t="str">
        <f>IFERROR(__xludf.DUMMYFUNCTION("""COMPUTED_VALUE"""),"Lentes de STOCK")</f>
        <v>Lentes de STOCK</v>
      </c>
      <c r="E1485" s="1" t="str">
        <f>IFERROR(__xludf.DUMMYFUNCTION("""COMPUTED_VALUE"""),"ARTIGAS Roció")</f>
        <v>ARTIGAS Roció</v>
      </c>
      <c r="F1485" s="1" t="str">
        <f t="shared" si="1"/>
        <v>ARTIGAS </v>
      </c>
      <c r="G1485" s="1" t="str">
        <f t="shared" si="2"/>
        <v>Roció</v>
      </c>
      <c r="H1485" s="1" t="str">
        <f>IFERROR(__xludf.DUMMYFUNCTION("""COMPUTED_VALUE"""),"9/2/2023, 17:00:00")</f>
        <v>9/2/2023, 17:00:00</v>
      </c>
      <c r="I1485" s="1" t="str">
        <f>IFERROR(__xludf.DUMMYFUNCTION("""COMPUTED_VALUE"""),"RETIRADO OK POR CLIENTE")</f>
        <v>RETIRADO OK POR CLIENTE</v>
      </c>
      <c r="J1485" s="1">
        <f t="shared" si="3"/>
        <v>6</v>
      </c>
      <c r="K1485" s="1" t="str">
        <f t="shared" si="4"/>
        <v>Entregamos tus lentes, que los disfrutes!</v>
      </c>
    </row>
    <row r="1486">
      <c r="A1486" s="1">
        <f>IFERROR(__xludf.DUMMYFUNCTION("""COMPUTED_VALUE"""),86035.0)</f>
        <v>86035</v>
      </c>
      <c r="B1486" s="5">
        <f>IFERROR(__xludf.DUMMYFUNCTION("""COMPUTED_VALUE"""),44960.445910625)</f>
        <v>44960.44591</v>
      </c>
      <c r="C1486" s="1" t="str">
        <f>IFERROR(__xludf.DUMMYFUNCTION("""COMPUTED_VALUE"""),"ANDINO JORGE ")</f>
        <v>ANDINO JORGE </v>
      </c>
      <c r="D1486" s="1" t="str">
        <f>IFERROR(__xludf.DUMMYFUNCTION("""COMPUTED_VALUE"""),"Lentes de STOCK")</f>
        <v>Lentes de STOCK</v>
      </c>
      <c r="E1486" s="1" t="str">
        <f>IFERROR(__xludf.DUMMYFUNCTION("""COMPUTED_VALUE"""),"RIVADAVIA Luciana")</f>
        <v>RIVADAVIA Luciana</v>
      </c>
      <c r="F1486" s="1" t="str">
        <f t="shared" si="1"/>
        <v>RIVADAVIA </v>
      </c>
      <c r="G1486" s="1" t="str">
        <f t="shared" si="2"/>
        <v>Luciana</v>
      </c>
      <c r="H1486" s="1" t="str">
        <f>IFERROR(__xludf.DUMMYFUNCTION("""COMPUTED_VALUE"""),"9/2/2023, 17:00:00")</f>
        <v>9/2/2023, 17:00:00</v>
      </c>
      <c r="I1486" s="1" t="str">
        <f>IFERROR(__xludf.DUMMYFUNCTION("""COMPUTED_VALUE"""),"RETIRADO OK POR CLIENTE")</f>
        <v>RETIRADO OK POR CLIENTE</v>
      </c>
      <c r="J1486" s="1">
        <f t="shared" si="3"/>
        <v>6</v>
      </c>
      <c r="K1486" s="1" t="str">
        <f t="shared" si="4"/>
        <v>Entregamos tus lentes, que los disfrutes!</v>
      </c>
    </row>
    <row r="1487">
      <c r="A1487" s="1">
        <f>IFERROR(__xludf.DUMMYFUNCTION("""COMPUTED_VALUE"""),86036.0)</f>
        <v>86036</v>
      </c>
      <c r="B1487" s="5">
        <f>IFERROR(__xludf.DUMMYFUNCTION("""COMPUTED_VALUE"""),44960.45051201389)</f>
        <v>44960.45051</v>
      </c>
      <c r="C1487" s="1" t="str">
        <f>IFERROR(__xludf.DUMMYFUNCTION("""COMPUTED_VALUE"""),"RAMIREZ MARIA ALEJANDRA")</f>
        <v>RAMIREZ MARIA ALEJANDRA</v>
      </c>
      <c r="D1487" s="1" t="str">
        <f>IFERROR(__xludf.DUMMYFUNCTION("""COMPUTED_VALUE"""),"Lentes BIFOCALES")</f>
        <v>Lentes BIFOCALES</v>
      </c>
      <c r="E1487" s="1" t="str">
        <f>IFERROR(__xludf.DUMMYFUNCTION("""COMPUTED_VALUE"""),"ARTIGAS Cristian C.")</f>
        <v>ARTIGAS Cristian C.</v>
      </c>
      <c r="F1487" s="1" t="str">
        <f t="shared" si="1"/>
        <v>ARTIGAS </v>
      </c>
      <c r="G1487" s="1" t="str">
        <f t="shared" si="2"/>
        <v>Cristian C.</v>
      </c>
      <c r="H1487" s="1" t="str">
        <f>IFERROR(__xludf.DUMMYFUNCTION("""COMPUTED_VALUE"""),"14/2/2023, 17:00:00")</f>
        <v>14/2/2023, 17:00:00</v>
      </c>
      <c r="I1487" s="1" t="str">
        <f>IFERROR(__xludf.DUMMYFUNCTION("""COMPUTED_VALUE"""),"Recibido en Laboratorio")</f>
        <v>Recibido en Laboratorio</v>
      </c>
      <c r="J1487" s="1">
        <f t="shared" si="3"/>
        <v>2</v>
      </c>
      <c r="K1487" s="1" t="str">
        <f t="shared" si="4"/>
        <v>Nuestro Laboratorio esta trabajando en tus lentes, los entregaremos en la fecha acordada.</v>
      </c>
    </row>
    <row r="1488">
      <c r="A1488" s="1">
        <f>IFERROR(__xludf.DUMMYFUNCTION("""COMPUTED_VALUE"""),86037.0)</f>
        <v>86037</v>
      </c>
      <c r="B1488" s="5">
        <f>IFERROR(__xludf.DUMMYFUNCTION("""COMPUTED_VALUE"""),44960.45151226852)</f>
        <v>44960.45151</v>
      </c>
      <c r="C1488" s="1" t="str">
        <f>IFERROR(__xludf.DUMMYFUNCTION("""COMPUTED_VALUE"""),"ESTORNE FIDELA")</f>
        <v>ESTORNE FIDELA</v>
      </c>
      <c r="D1488" s="1" t="str">
        <f>IFERROR(__xludf.DUMMYFUNCTION("""COMPUTED_VALUE"""),"Lentes de STOCK")</f>
        <v>Lentes de STOCK</v>
      </c>
      <c r="E1488" s="1" t="str">
        <f>IFERROR(__xludf.DUMMYFUNCTION("""COMPUTED_VALUE"""),"RIVADAVIA Luciana")</f>
        <v>RIVADAVIA Luciana</v>
      </c>
      <c r="F1488" s="1" t="str">
        <f t="shared" si="1"/>
        <v>RIVADAVIA </v>
      </c>
      <c r="G1488" s="1" t="str">
        <f t="shared" si="2"/>
        <v>Luciana</v>
      </c>
      <c r="H1488" s="1" t="str">
        <f>IFERROR(__xludf.DUMMYFUNCTION("""COMPUTED_VALUE"""),"9/2/2023, 17:00:00")</f>
        <v>9/2/2023, 17:00:00</v>
      </c>
      <c r="I1488" s="1" t="str">
        <f>IFERROR(__xludf.DUMMYFUNCTION("""COMPUTED_VALUE"""),"RETIRADO OK POR CLIENTE")</f>
        <v>RETIRADO OK POR CLIENTE</v>
      </c>
      <c r="J1488" s="1">
        <f t="shared" si="3"/>
        <v>6</v>
      </c>
      <c r="K1488" s="1" t="str">
        <f t="shared" si="4"/>
        <v>Entregamos tus lentes, que los disfrutes!</v>
      </c>
    </row>
    <row r="1489">
      <c r="A1489" s="1">
        <f>IFERROR(__xludf.DUMMYFUNCTION("""COMPUTED_VALUE"""),86038.0)</f>
        <v>86038</v>
      </c>
      <c r="B1489" s="5">
        <f>IFERROR(__xludf.DUMMYFUNCTION("""COMPUTED_VALUE"""),44960.46046386574)</f>
        <v>44960.46046</v>
      </c>
      <c r="C1489" s="1" t="str">
        <f>IFERROR(__xludf.DUMMYFUNCTION("""COMPUTED_VALUE"""),"vidal marcela")</f>
        <v>vidal marcela</v>
      </c>
      <c r="D1489" s="1" t="str">
        <f>IFERROR(__xludf.DUMMYFUNCTION("""COMPUTED_VALUE"""),"Lentes MULTIFOCALES")</f>
        <v>Lentes MULTIFOCALES</v>
      </c>
      <c r="E1489" s="1" t="str">
        <f>IFERROR(__xludf.DUMMYFUNCTION("""COMPUTED_VALUE"""),"RIVADAVIA Santiago N")</f>
        <v>RIVADAVIA Santiago N</v>
      </c>
      <c r="F1489" s="1" t="str">
        <f t="shared" si="1"/>
        <v>RIVADAVIA </v>
      </c>
      <c r="G1489" s="1" t="str">
        <f t="shared" si="2"/>
        <v>Santiago N</v>
      </c>
      <c r="H1489" s="1" t="str">
        <f>IFERROR(__xludf.DUMMYFUNCTION("""COMPUTED_VALUE"""),"16/2/2023, 17:00:00")</f>
        <v>16/2/2023, 17:00:00</v>
      </c>
      <c r="I1489" s="1" t="str">
        <f>IFERROR(__xludf.DUMMYFUNCTION("""COMPUTED_VALUE"""),"Completado en SUCURSAL")</f>
        <v>Completado en SUCURSAL</v>
      </c>
      <c r="J1489" s="1">
        <f t="shared" si="3"/>
        <v>5</v>
      </c>
      <c r="K1489" s="1" t="str">
        <f t="shared" si="4"/>
        <v>Tus Lentes estan LISTAS PARA ENTREGAR, te esperamos.</v>
      </c>
    </row>
    <row r="1490">
      <c r="A1490" s="1">
        <f>IFERROR(__xludf.DUMMYFUNCTION("""COMPUTED_VALUE"""),86039.0)</f>
        <v>86039</v>
      </c>
      <c r="B1490" s="5">
        <f>IFERROR(__xludf.DUMMYFUNCTION("""COMPUTED_VALUE"""),44960.46073274306)</f>
        <v>44960.46073</v>
      </c>
      <c r="C1490" s="1" t="str">
        <f>IFERROR(__xludf.DUMMYFUNCTION("""COMPUTED_VALUE"""),"Cantero Lilia")</f>
        <v>Cantero Lilia</v>
      </c>
      <c r="D1490" s="1" t="str">
        <f>IFERROR(__xludf.DUMMYFUNCTION("""COMPUTED_VALUE"""),"Lentes BIFOCALES")</f>
        <v>Lentes BIFOCALES</v>
      </c>
      <c r="E1490" s="1" t="str">
        <f>IFERROR(__xludf.DUMMYFUNCTION("""COMPUTED_VALUE"""),"ARTIGAS Roció")</f>
        <v>ARTIGAS Roció</v>
      </c>
      <c r="F1490" s="1" t="str">
        <f t="shared" si="1"/>
        <v>ARTIGAS </v>
      </c>
      <c r="G1490" s="1" t="str">
        <f t="shared" si="2"/>
        <v>Roció</v>
      </c>
      <c r="H1490" s="1" t="str">
        <f>IFERROR(__xludf.DUMMYFUNCTION("""COMPUTED_VALUE"""),"22/2/2023, 17:00:00")</f>
        <v>22/2/2023, 17:00:00</v>
      </c>
      <c r="I1490" s="1" t="str">
        <f>IFERROR(__xludf.DUMMYFUNCTION("""COMPUTED_VALUE"""),"RETIRADO OK POR CLIENTE")</f>
        <v>RETIRADO OK POR CLIENTE</v>
      </c>
      <c r="J1490" s="1">
        <f t="shared" si="3"/>
        <v>6</v>
      </c>
      <c r="K1490" s="1" t="str">
        <f t="shared" si="4"/>
        <v>Entregamos tus lentes, que los disfrutes!</v>
      </c>
    </row>
    <row r="1491">
      <c r="A1491" s="1">
        <f>IFERROR(__xludf.DUMMYFUNCTION("""COMPUTED_VALUE"""),86040.0)</f>
        <v>86040</v>
      </c>
      <c r="B1491" s="5">
        <f>IFERROR(__xludf.DUMMYFUNCTION("""COMPUTED_VALUE"""),44960.46126458333)</f>
        <v>44960.46126</v>
      </c>
      <c r="C1491" s="1" t="str">
        <f>IFERROR(__xludf.DUMMYFUNCTION("""COMPUTED_VALUE"""),"camargo carlos")</f>
        <v>camargo carlos</v>
      </c>
      <c r="D1491" s="1" t="str">
        <f>IFERROR(__xludf.DUMMYFUNCTION("""COMPUTED_VALUE"""),"Reparaciones/Otros")</f>
        <v>Reparaciones/Otros</v>
      </c>
      <c r="E1491" s="1" t="str">
        <f>IFERROR(__xludf.DUMMYFUNCTION("""COMPUTED_VALUE"""),"RIVADAVIA Daniel CM")</f>
        <v>RIVADAVIA Daniel CM</v>
      </c>
      <c r="F1491" s="1" t="str">
        <f t="shared" si="1"/>
        <v>RIVADAVIA </v>
      </c>
      <c r="G1491" s="1" t="str">
        <f t="shared" si="2"/>
        <v>Daniel CM</v>
      </c>
      <c r="H1491" s="1" t="str">
        <f>IFERROR(__xludf.DUMMYFUNCTION("""COMPUTED_VALUE"""),"4/2/2023, 17:00:00")</f>
        <v>4/2/2023, 17:00:00</v>
      </c>
      <c r="I1491" s="1" t="str">
        <f>IFERROR(__xludf.DUMMYFUNCTION("""COMPUTED_VALUE"""),"Completado en SUCURSAL")</f>
        <v>Completado en SUCURSAL</v>
      </c>
      <c r="J1491" s="1">
        <f t="shared" si="3"/>
        <v>5</v>
      </c>
      <c r="K1491" s="1" t="str">
        <f t="shared" si="4"/>
        <v>Tus Lentes estan LISTAS PARA ENTREGAR, te esperamos.</v>
      </c>
    </row>
    <row r="1492">
      <c r="A1492" s="1">
        <f>IFERROR(__xludf.DUMMYFUNCTION("""COMPUTED_VALUE"""),86041.0)</f>
        <v>86041</v>
      </c>
      <c r="B1492" s="5">
        <f>IFERROR(__xludf.DUMMYFUNCTION("""COMPUTED_VALUE"""),44960.462075868054)</f>
        <v>44960.46208</v>
      </c>
      <c r="C1492" s="1" t="str">
        <f>IFERROR(__xludf.DUMMYFUNCTION("""COMPUTED_VALUE"""),"herrera miguel")</f>
        <v>herrera miguel</v>
      </c>
      <c r="D1492" s="1" t="str">
        <f>IFERROR(__xludf.DUMMYFUNCTION("""COMPUTED_VALUE"""),"Lentes de STOCK")</f>
        <v>Lentes de STOCK</v>
      </c>
      <c r="E1492" s="1" t="str">
        <f>IFERROR(__xludf.DUMMYFUNCTION("""COMPUTED_VALUE"""),"RIVADAVIA Santiago LOPEZ")</f>
        <v>RIVADAVIA Santiago LOPEZ</v>
      </c>
      <c r="F1492" s="1" t="str">
        <f t="shared" si="1"/>
        <v>RIVADAVIA </v>
      </c>
      <c r="G1492" s="1" t="str">
        <f t="shared" si="2"/>
        <v>Santiago LOPEZ</v>
      </c>
      <c r="H1492" s="1" t="str">
        <f>IFERROR(__xludf.DUMMYFUNCTION("""COMPUTED_VALUE"""),"8/2/2023, 17:00:00")</f>
        <v>8/2/2023, 17:00:00</v>
      </c>
      <c r="I1492" s="1" t="str">
        <f>IFERROR(__xludf.DUMMYFUNCTION("""COMPUTED_VALUE"""),"RETIRADO OK POR CLIENTE")</f>
        <v>RETIRADO OK POR CLIENTE</v>
      </c>
      <c r="J1492" s="1">
        <f t="shared" si="3"/>
        <v>6</v>
      </c>
      <c r="K1492" s="1" t="str">
        <f t="shared" si="4"/>
        <v>Entregamos tus lentes, que los disfrutes!</v>
      </c>
    </row>
    <row r="1493">
      <c r="A1493" s="1">
        <f>IFERROR(__xludf.DUMMYFUNCTION("""COMPUTED_VALUE"""),86042.0)</f>
        <v>86042</v>
      </c>
      <c r="B1493" s="5">
        <f>IFERROR(__xludf.DUMMYFUNCTION("""COMPUTED_VALUE"""),44960.46252340278)</f>
        <v>44960.46252</v>
      </c>
      <c r="C1493" s="1" t="str">
        <f>IFERROR(__xludf.DUMMYFUNCTION("""COMPUTED_VALUE"""),"SORIA ELIZABETH OLGA")</f>
        <v>SORIA ELIZABETH OLGA</v>
      </c>
      <c r="D1493" s="1" t="str">
        <f>IFERROR(__xludf.DUMMYFUNCTION("""COMPUTED_VALUE"""),"Lentes de STOCK")</f>
        <v>Lentes de STOCK</v>
      </c>
      <c r="E1493" s="1" t="str">
        <f>IFERROR(__xludf.DUMMYFUNCTION("""COMPUTED_VALUE"""),"RIVADAVIA Marcela L")</f>
        <v>RIVADAVIA Marcela L</v>
      </c>
      <c r="F1493" s="1" t="str">
        <f t="shared" si="1"/>
        <v>RIVADAVIA </v>
      </c>
      <c r="G1493" s="1" t="str">
        <f t="shared" si="2"/>
        <v>Marcela L</v>
      </c>
      <c r="H1493" s="1" t="str">
        <f>IFERROR(__xludf.DUMMYFUNCTION("""COMPUTED_VALUE"""),"8/2/2023, 17:00:00")</f>
        <v>8/2/2023, 17:00:00</v>
      </c>
      <c r="I1493" s="1" t="str">
        <f>IFERROR(__xludf.DUMMYFUNCTION("""COMPUTED_VALUE"""),"RETIRADO OK POR CLIENTE")</f>
        <v>RETIRADO OK POR CLIENTE</v>
      </c>
      <c r="J1493" s="1">
        <f t="shared" si="3"/>
        <v>6</v>
      </c>
      <c r="K1493" s="1" t="str">
        <f t="shared" si="4"/>
        <v>Entregamos tus lentes, que los disfrutes!</v>
      </c>
    </row>
    <row r="1494">
      <c r="A1494" s="1">
        <f>IFERROR(__xludf.DUMMYFUNCTION("""COMPUTED_VALUE"""),86043.0)</f>
        <v>86043</v>
      </c>
      <c r="B1494" s="5">
        <f>IFERROR(__xludf.DUMMYFUNCTION("""COMPUTED_VALUE"""),44960.46539188657)</f>
        <v>44960.46539</v>
      </c>
      <c r="C1494" s="1" t="str">
        <f>IFERROR(__xludf.DUMMYFUNCTION("""COMPUTED_VALUE"""),"PAULINO ELVIRA MARTHA")</f>
        <v>PAULINO ELVIRA MARTHA</v>
      </c>
      <c r="D1494" s="1" t="str">
        <f>IFERROR(__xludf.DUMMYFUNCTION("""COMPUTED_VALUE"""),"Lentes de STOCK")</f>
        <v>Lentes de STOCK</v>
      </c>
      <c r="E1494" s="1" t="str">
        <f>IFERROR(__xludf.DUMMYFUNCTION("""COMPUTED_VALUE"""),"ARTIGAS Cristian C.")</f>
        <v>ARTIGAS Cristian C.</v>
      </c>
      <c r="F1494" s="1" t="str">
        <f t="shared" si="1"/>
        <v>ARTIGAS </v>
      </c>
      <c r="G1494" s="1" t="str">
        <f t="shared" si="2"/>
        <v>Cristian C.</v>
      </c>
      <c r="H1494" s="1" t="str">
        <f>IFERROR(__xludf.DUMMYFUNCTION("""COMPUTED_VALUE"""),"8/2/2023, 17:00:00")</f>
        <v>8/2/2023, 17:00:00</v>
      </c>
      <c r="I1494" s="1" t="str">
        <f>IFERROR(__xludf.DUMMYFUNCTION("""COMPUTED_VALUE"""),"RETIRADO OK POR CLIENTE")</f>
        <v>RETIRADO OK POR CLIENTE</v>
      </c>
      <c r="J1494" s="1">
        <f t="shared" si="3"/>
        <v>6</v>
      </c>
      <c r="K1494" s="1" t="str">
        <f t="shared" si="4"/>
        <v>Entregamos tus lentes, que los disfrutes!</v>
      </c>
    </row>
    <row r="1495">
      <c r="A1495" s="1">
        <f>IFERROR(__xludf.DUMMYFUNCTION("""COMPUTED_VALUE"""),86044.0)</f>
        <v>86044</v>
      </c>
      <c r="B1495" s="5">
        <f>IFERROR(__xludf.DUMMYFUNCTION("""COMPUTED_VALUE"""),44960.46988752315)</f>
        <v>44960.46989</v>
      </c>
      <c r="C1495" s="1" t="str">
        <f>IFERROR(__xludf.DUMMYFUNCTION("""COMPUTED_VALUE"""),"ABERASTAIN PATRICIA")</f>
        <v>ABERASTAIN PATRICIA</v>
      </c>
      <c r="D1495" s="1" t="str">
        <f>IFERROR(__xludf.DUMMYFUNCTION("""COMPUTED_VALUE"""),"Lentes de STOCK")</f>
        <v>Lentes de STOCK</v>
      </c>
      <c r="E1495" s="1" t="str">
        <f>IFERROR(__xludf.DUMMYFUNCTION("""COMPUTED_VALUE"""),"RIVADAVIA Marcela L")</f>
        <v>RIVADAVIA Marcela L</v>
      </c>
      <c r="F1495" s="1" t="str">
        <f t="shared" si="1"/>
        <v>RIVADAVIA </v>
      </c>
      <c r="G1495" s="1" t="str">
        <f t="shared" si="2"/>
        <v>Marcela L</v>
      </c>
      <c r="H1495" s="1" t="str">
        <f>IFERROR(__xludf.DUMMYFUNCTION("""COMPUTED_VALUE"""),"8/2/2023, 17:00:00")</f>
        <v>8/2/2023, 17:00:00</v>
      </c>
      <c r="I1495" s="1" t="str">
        <f>IFERROR(__xludf.DUMMYFUNCTION("""COMPUTED_VALUE"""),"RETIRADO OK POR CLIENTE")</f>
        <v>RETIRADO OK POR CLIENTE</v>
      </c>
      <c r="J1495" s="1">
        <f t="shared" si="3"/>
        <v>6</v>
      </c>
      <c r="K1495" s="1" t="str">
        <f t="shared" si="4"/>
        <v>Entregamos tus lentes, que los disfrutes!</v>
      </c>
    </row>
    <row r="1496">
      <c r="A1496" s="1">
        <f>IFERROR(__xludf.DUMMYFUNCTION("""COMPUTED_VALUE"""),86045.0)</f>
        <v>86045</v>
      </c>
      <c r="B1496" s="5">
        <f>IFERROR(__xludf.DUMMYFUNCTION("""COMPUTED_VALUE"""),44960.47213765046)</f>
        <v>44960.47214</v>
      </c>
      <c r="C1496" s="1" t="str">
        <f>IFERROR(__xludf.DUMMYFUNCTION("""COMPUTED_VALUE"""),"Cadelago Hilda")</f>
        <v>Cadelago Hilda</v>
      </c>
      <c r="D1496" s="1" t="str">
        <f>IFERROR(__xludf.DUMMYFUNCTION("""COMPUTED_VALUE"""),"Lentes de STOCK")</f>
        <v>Lentes de STOCK</v>
      </c>
      <c r="E1496" s="1" t="str">
        <f>IFERROR(__xludf.DUMMYFUNCTION("""COMPUTED_VALUE"""),"ARTIGAS Roció")</f>
        <v>ARTIGAS Roció</v>
      </c>
      <c r="F1496" s="1" t="str">
        <f t="shared" si="1"/>
        <v>ARTIGAS </v>
      </c>
      <c r="G1496" s="1" t="str">
        <f t="shared" si="2"/>
        <v>Roció</v>
      </c>
      <c r="H1496" s="1" t="str">
        <f>IFERROR(__xludf.DUMMYFUNCTION("""COMPUTED_VALUE"""),"10/2/2023, 17:00:00")</f>
        <v>10/2/2023, 17:00:00</v>
      </c>
      <c r="I1496" s="1" t="str">
        <f>IFERROR(__xludf.DUMMYFUNCTION("""COMPUTED_VALUE"""),"RETIRADO OK POR CLIENTE")</f>
        <v>RETIRADO OK POR CLIENTE</v>
      </c>
      <c r="J1496" s="1">
        <f t="shared" si="3"/>
        <v>6</v>
      </c>
      <c r="K1496" s="1" t="str">
        <f t="shared" si="4"/>
        <v>Entregamos tus lentes, que los disfrutes!</v>
      </c>
    </row>
    <row r="1497">
      <c r="A1497" s="1">
        <f>IFERROR(__xludf.DUMMYFUNCTION("""COMPUTED_VALUE"""),86046.0)</f>
        <v>86046</v>
      </c>
      <c r="B1497" s="5">
        <f>IFERROR(__xludf.DUMMYFUNCTION("""COMPUTED_VALUE"""),44960.47736497685)</f>
        <v>44960.47736</v>
      </c>
      <c r="C1497" s="1" t="str">
        <f>IFERROR(__xludf.DUMMYFUNCTION("""COMPUTED_VALUE"""),"LUCERO SOSA BRIAN JONATHAN")</f>
        <v>LUCERO SOSA BRIAN JONATHAN</v>
      </c>
      <c r="D1497" s="1" t="str">
        <f>IFERROR(__xludf.DUMMYFUNCTION("""COMPUTED_VALUE"""),"Lentes de STOCK")</f>
        <v>Lentes de STOCK</v>
      </c>
      <c r="E1497" s="1" t="str">
        <f>IFERROR(__xludf.DUMMYFUNCTION("""COMPUTED_VALUE"""),"RIVADAVIA Marcela L")</f>
        <v>RIVADAVIA Marcela L</v>
      </c>
      <c r="F1497" s="1" t="str">
        <f t="shared" si="1"/>
        <v>RIVADAVIA </v>
      </c>
      <c r="G1497" s="1" t="str">
        <f t="shared" si="2"/>
        <v>Marcela L</v>
      </c>
      <c r="H1497" s="1" t="str">
        <f>IFERROR(__xludf.DUMMYFUNCTION("""COMPUTED_VALUE"""),"8/2/2023, 17:00:00")</f>
        <v>8/2/2023, 17:00:00</v>
      </c>
      <c r="I1497" s="1" t="str">
        <f>IFERROR(__xludf.DUMMYFUNCTION("""COMPUTED_VALUE"""),"Recibido en Laboratorio")</f>
        <v>Recibido en Laboratorio</v>
      </c>
      <c r="J1497" s="1">
        <f t="shared" si="3"/>
        <v>2</v>
      </c>
      <c r="K1497" s="1" t="str">
        <f t="shared" si="4"/>
        <v>Nuestro Laboratorio esta trabajando en tus lentes, los entregaremos en la fecha acordada.</v>
      </c>
    </row>
    <row r="1498">
      <c r="A1498" s="1">
        <f>IFERROR(__xludf.DUMMYFUNCTION("""COMPUTED_VALUE"""),86047.0)</f>
        <v>86047</v>
      </c>
      <c r="B1498" s="5">
        <f>IFERROR(__xludf.DUMMYFUNCTION("""COMPUTED_VALUE"""),44960.47810069444)</f>
        <v>44960.4781</v>
      </c>
      <c r="C1498" s="1" t="str">
        <f>IFERROR(__xludf.DUMMYFUNCTION("""COMPUTED_VALUE"""),"PADILLA ALEJANDRO EZEQUIEL")</f>
        <v>PADILLA ALEJANDRO EZEQUIEL</v>
      </c>
      <c r="D1498" s="1" t="str">
        <f>IFERROR(__xludf.DUMMYFUNCTION("""COMPUTED_VALUE"""),"Lentes de STOCK")</f>
        <v>Lentes de STOCK</v>
      </c>
      <c r="E1498" s="1" t="str">
        <f>IFERROR(__xludf.DUMMYFUNCTION("""COMPUTED_VALUE"""),"ARTIGAS Cristian C.")</f>
        <v>ARTIGAS Cristian C.</v>
      </c>
      <c r="F1498" s="1" t="str">
        <f t="shared" si="1"/>
        <v>ARTIGAS </v>
      </c>
      <c r="G1498" s="1" t="str">
        <f t="shared" si="2"/>
        <v>Cristian C.</v>
      </c>
      <c r="H1498" s="1" t="str">
        <f>IFERROR(__xludf.DUMMYFUNCTION("""COMPUTED_VALUE"""),"8/2/2023, 17:00:00")</f>
        <v>8/2/2023, 17:00:00</v>
      </c>
      <c r="I1498" s="1" t="str">
        <f>IFERROR(__xludf.DUMMYFUNCTION("""COMPUTED_VALUE"""),"RETIRADO OK POR CLIENTE")</f>
        <v>RETIRADO OK POR CLIENTE</v>
      </c>
      <c r="J1498" s="1">
        <f t="shared" si="3"/>
        <v>6</v>
      </c>
      <c r="K1498" s="1" t="str">
        <f t="shared" si="4"/>
        <v>Entregamos tus lentes, que los disfrutes!</v>
      </c>
    </row>
    <row r="1499">
      <c r="A1499" s="1">
        <f>IFERROR(__xludf.DUMMYFUNCTION("""COMPUTED_VALUE"""),86048.0)</f>
        <v>86048</v>
      </c>
      <c r="B1499" s="5">
        <f>IFERROR(__xludf.DUMMYFUNCTION("""COMPUTED_VALUE"""),44960.47894590278)</f>
        <v>44960.47895</v>
      </c>
      <c r="C1499" s="1" t="str">
        <f>IFERROR(__xludf.DUMMYFUNCTION("""COMPUTED_VALUE"""),"otermin betiana paola")</f>
        <v>otermin betiana paola</v>
      </c>
      <c r="D1499" s="1" t="str">
        <f>IFERROR(__xludf.DUMMYFUNCTION("""COMPUTED_VALUE"""),"Lentes de STOCK")</f>
        <v>Lentes de STOCK</v>
      </c>
      <c r="E1499" s="1" t="str">
        <f>IFERROR(__xludf.DUMMYFUNCTION("""COMPUTED_VALUE"""),"RIVADAVIA Daniel CM")</f>
        <v>RIVADAVIA Daniel CM</v>
      </c>
      <c r="F1499" s="1" t="str">
        <f t="shared" si="1"/>
        <v>RIVADAVIA </v>
      </c>
      <c r="G1499" s="1" t="str">
        <f t="shared" si="2"/>
        <v>Daniel CM</v>
      </c>
      <c r="H1499" s="1" t="str">
        <f>IFERROR(__xludf.DUMMYFUNCTION("""COMPUTED_VALUE"""),"7/2/2023, 17:00:00")</f>
        <v>7/2/2023, 17:00:00</v>
      </c>
      <c r="I1499" s="1" t="str">
        <f>IFERROR(__xludf.DUMMYFUNCTION("""COMPUTED_VALUE"""),"Recibido en Laboratorio")</f>
        <v>Recibido en Laboratorio</v>
      </c>
      <c r="J1499" s="1">
        <f t="shared" si="3"/>
        <v>2</v>
      </c>
      <c r="K1499" s="1" t="str">
        <f t="shared" si="4"/>
        <v>Nuestro Laboratorio esta trabajando en tus lentes, los entregaremos en la fecha acordada.</v>
      </c>
    </row>
    <row r="1500">
      <c r="A1500" s="1">
        <f>IFERROR(__xludf.DUMMYFUNCTION("""COMPUTED_VALUE"""),86049.0)</f>
        <v>86049</v>
      </c>
      <c r="B1500" s="5">
        <f>IFERROR(__xludf.DUMMYFUNCTION("""COMPUTED_VALUE"""),44960.49785980324)</f>
        <v>44960.49786</v>
      </c>
      <c r="C1500" s="1" t="str">
        <f>IFERROR(__xludf.DUMMYFUNCTION("""COMPUTED_VALUE"""),"Alvarez Flavio")</f>
        <v>Alvarez Flavio</v>
      </c>
      <c r="D1500" s="1" t="str">
        <f>IFERROR(__xludf.DUMMYFUNCTION("""COMPUTED_VALUE"""),"Lentes de STOCK")</f>
        <v>Lentes de STOCK</v>
      </c>
      <c r="E1500" s="1" t="str">
        <f>IFERROR(__xludf.DUMMYFUNCTION("""COMPUTED_VALUE"""),"ARTIGAS Roció")</f>
        <v>ARTIGAS Roció</v>
      </c>
      <c r="F1500" s="1" t="str">
        <f t="shared" si="1"/>
        <v>ARTIGAS </v>
      </c>
      <c r="G1500" s="1" t="str">
        <f t="shared" si="2"/>
        <v>Roció</v>
      </c>
      <c r="H1500" s="1" t="str">
        <f>IFERROR(__xludf.DUMMYFUNCTION("""COMPUTED_VALUE"""),"13/2/2023, 17:00:00")</f>
        <v>13/2/2023, 17:00:00</v>
      </c>
      <c r="I1500" s="1" t="str">
        <f>IFERROR(__xludf.DUMMYFUNCTION("""COMPUTED_VALUE"""),"RETIRADO OK POR CLIENTE")</f>
        <v>RETIRADO OK POR CLIENTE</v>
      </c>
      <c r="J1500" s="1">
        <f t="shared" si="3"/>
        <v>6</v>
      </c>
      <c r="K1500" s="1" t="str">
        <f t="shared" si="4"/>
        <v>Entregamos tus lentes, que los disfrutes!</v>
      </c>
    </row>
    <row r="1501">
      <c r="A1501" s="1">
        <f>IFERROR(__xludf.DUMMYFUNCTION("""COMPUTED_VALUE"""),86050.0)</f>
        <v>86050</v>
      </c>
      <c r="B1501" s="5">
        <f>IFERROR(__xludf.DUMMYFUNCTION("""COMPUTED_VALUE"""),44960.49850482639)</f>
        <v>44960.4985</v>
      </c>
      <c r="C1501" s="1" t="str">
        <f>IFERROR(__xludf.DUMMYFUNCTION("""COMPUTED_VALUE"""),"CAMPUSANO  SAMIRA ")</f>
        <v>CAMPUSANO  SAMIRA </v>
      </c>
      <c r="D1501" s="1" t="str">
        <f>IFERROR(__xludf.DUMMYFUNCTION("""COMPUTED_VALUE"""),"Lentes de STOCK")</f>
        <v>Lentes de STOCK</v>
      </c>
      <c r="E1501" s="1" t="str">
        <f>IFERROR(__xludf.DUMMYFUNCTION("""COMPUTED_VALUE"""),"RIVADAVIA Luciana")</f>
        <v>RIVADAVIA Luciana</v>
      </c>
      <c r="F1501" s="1" t="str">
        <f t="shared" si="1"/>
        <v>RIVADAVIA </v>
      </c>
      <c r="G1501" s="1" t="str">
        <f t="shared" si="2"/>
        <v>Luciana</v>
      </c>
      <c r="H1501" s="1" t="str">
        <f>IFERROR(__xludf.DUMMYFUNCTION("""COMPUTED_VALUE"""),"9/2/2023, 17:00:00")</f>
        <v>9/2/2023, 17:00:00</v>
      </c>
      <c r="I1501" s="1" t="str">
        <f>IFERROR(__xludf.DUMMYFUNCTION("""COMPUTED_VALUE"""),"RETIRADO OK POR CLIENTE")</f>
        <v>RETIRADO OK POR CLIENTE</v>
      </c>
      <c r="J1501" s="1">
        <f t="shared" si="3"/>
        <v>6</v>
      </c>
      <c r="K1501" s="1" t="str">
        <f t="shared" si="4"/>
        <v>Entregamos tus lentes, que los disfrutes!</v>
      </c>
    </row>
    <row r="1502">
      <c r="A1502" s="1">
        <f>IFERROR(__xludf.DUMMYFUNCTION("""COMPUTED_VALUE"""),86051.0)</f>
        <v>86051</v>
      </c>
      <c r="B1502" s="5">
        <f>IFERROR(__xludf.DUMMYFUNCTION("""COMPUTED_VALUE"""),44960.50004265046)</f>
        <v>44960.50004</v>
      </c>
      <c r="C1502" s="1" t="str">
        <f>IFERROR(__xludf.DUMMYFUNCTION("""COMPUTED_VALUE"""),"CAMPUSANO CARRERAS FATIMA")</f>
        <v>CAMPUSANO CARRERAS FATIMA</v>
      </c>
      <c r="D1502" s="1" t="str">
        <f>IFERROR(__xludf.DUMMYFUNCTION("""COMPUTED_VALUE"""),"Lentes de STOCK")</f>
        <v>Lentes de STOCK</v>
      </c>
      <c r="E1502" s="1" t="str">
        <f>IFERROR(__xludf.DUMMYFUNCTION("""COMPUTED_VALUE"""),"RIVADAVIA Luciana")</f>
        <v>RIVADAVIA Luciana</v>
      </c>
      <c r="F1502" s="1" t="str">
        <f t="shared" si="1"/>
        <v>RIVADAVIA </v>
      </c>
      <c r="G1502" s="1" t="str">
        <f t="shared" si="2"/>
        <v>Luciana</v>
      </c>
      <c r="H1502" s="1" t="str">
        <f>IFERROR(__xludf.DUMMYFUNCTION("""COMPUTED_VALUE"""),"9/2/2023, 18:00:00")</f>
        <v>9/2/2023, 18:00:00</v>
      </c>
      <c r="I1502" s="1" t="str">
        <f>IFERROR(__xludf.DUMMYFUNCTION("""COMPUTED_VALUE"""),"RETIRADO OK POR CLIENTE")</f>
        <v>RETIRADO OK POR CLIENTE</v>
      </c>
      <c r="J1502" s="1">
        <f t="shared" si="3"/>
        <v>6</v>
      </c>
      <c r="K1502" s="1" t="str">
        <f t="shared" si="4"/>
        <v>Entregamos tus lentes, que los disfrutes!</v>
      </c>
    </row>
    <row r="1503">
      <c r="A1503" s="1">
        <f>IFERROR(__xludf.DUMMYFUNCTION("""COMPUTED_VALUE"""),86052.0)</f>
        <v>86052</v>
      </c>
      <c r="B1503" s="5">
        <f>IFERROR(__xludf.DUMMYFUNCTION("""COMPUTED_VALUE"""),44960.50411001158)</f>
        <v>44960.50411</v>
      </c>
      <c r="C1503" s="1" t="str">
        <f>IFERROR(__xludf.DUMMYFUNCTION("""COMPUTED_VALUE"""),"ESCUDERO NICOLASA ")</f>
        <v>ESCUDERO NICOLASA </v>
      </c>
      <c r="D1503" s="1" t="str">
        <f>IFERROR(__xludf.DUMMYFUNCTION("""COMPUTED_VALUE"""),"Lentes de LABORATORIO")</f>
        <v>Lentes de LABORATORIO</v>
      </c>
      <c r="E1503" s="1" t="str">
        <f>IFERROR(__xludf.DUMMYFUNCTION("""COMPUTED_VALUE"""),"ARTIGAS Cristian C.")</f>
        <v>ARTIGAS Cristian C.</v>
      </c>
      <c r="F1503" s="1" t="str">
        <f t="shared" si="1"/>
        <v>ARTIGAS </v>
      </c>
      <c r="G1503" s="1" t="str">
        <f t="shared" si="2"/>
        <v>Cristian C.</v>
      </c>
      <c r="H1503" s="1" t="str">
        <f>IFERROR(__xludf.DUMMYFUNCTION("""COMPUTED_VALUE"""),"13/2/2023, 17:00:00")</f>
        <v>13/2/2023, 17:00:00</v>
      </c>
      <c r="I1503" s="1" t="str">
        <f>IFERROR(__xludf.DUMMYFUNCTION("""COMPUTED_VALUE"""),"RETIRADO OK POR CLIENTE")</f>
        <v>RETIRADO OK POR CLIENTE</v>
      </c>
      <c r="J1503" s="1">
        <f t="shared" si="3"/>
        <v>6</v>
      </c>
      <c r="K1503" s="1" t="str">
        <f t="shared" si="4"/>
        <v>Entregamos tus lentes, que los disfrutes!</v>
      </c>
    </row>
    <row r="1504">
      <c r="A1504" s="1">
        <f>IFERROR(__xludf.DUMMYFUNCTION("""COMPUTED_VALUE"""),86053.0)</f>
        <v>86053</v>
      </c>
      <c r="B1504" s="5">
        <f>IFERROR(__xludf.DUMMYFUNCTION("""COMPUTED_VALUE"""),44960.51006598379)</f>
        <v>44960.51007</v>
      </c>
      <c r="C1504" s="1" t="str">
        <f>IFERROR(__xludf.DUMMYFUNCTION("""COMPUTED_VALUE"""),"Gomez Karina")</f>
        <v>Gomez Karina</v>
      </c>
      <c r="D1504" s="1" t="str">
        <f>IFERROR(__xludf.DUMMYFUNCTION("""COMPUTED_VALUE"""),"Lentes de STOCK")</f>
        <v>Lentes de STOCK</v>
      </c>
      <c r="E1504" s="1" t="str">
        <f>IFERROR(__xludf.DUMMYFUNCTION("""COMPUTED_VALUE"""),"ARTIGAS Roció")</f>
        <v>ARTIGAS Roció</v>
      </c>
      <c r="F1504" s="1" t="str">
        <f t="shared" si="1"/>
        <v>ARTIGAS </v>
      </c>
      <c r="G1504" s="1" t="str">
        <f t="shared" si="2"/>
        <v>Roció</v>
      </c>
      <c r="H1504" s="1" t="str">
        <f>IFERROR(__xludf.DUMMYFUNCTION("""COMPUTED_VALUE"""),"9/2/2023, 17:00:00")</f>
        <v>9/2/2023, 17:00:00</v>
      </c>
      <c r="I1504" s="1" t="str">
        <f>IFERROR(__xludf.DUMMYFUNCTION("""COMPUTED_VALUE"""),"RETIRADO OK POR CLIENTE")</f>
        <v>RETIRADO OK POR CLIENTE</v>
      </c>
      <c r="J1504" s="1">
        <f t="shared" si="3"/>
        <v>6</v>
      </c>
      <c r="K1504" s="1" t="str">
        <f t="shared" si="4"/>
        <v>Entregamos tus lentes, que los disfrutes!</v>
      </c>
    </row>
    <row r="1505">
      <c r="A1505" s="1">
        <f>IFERROR(__xludf.DUMMYFUNCTION("""COMPUTED_VALUE"""),86054.0)</f>
        <v>86054</v>
      </c>
      <c r="B1505" s="5">
        <f>IFERROR(__xludf.DUMMYFUNCTION("""COMPUTED_VALUE"""),44960.510948043986)</f>
        <v>44960.51095</v>
      </c>
      <c r="C1505" s="1" t="str">
        <f>IFERROR(__xludf.DUMMYFUNCTION("""COMPUTED_VALUE"""),"sanfilipo lali")</f>
        <v>sanfilipo lali</v>
      </c>
      <c r="D1505" s="1" t="str">
        <f>IFERROR(__xludf.DUMMYFUNCTION("""COMPUTED_VALUE"""),"Lentes de LABORATORIO")</f>
        <v>Lentes de LABORATORIO</v>
      </c>
      <c r="E1505" s="1" t="str">
        <f>IFERROR(__xludf.DUMMYFUNCTION("""COMPUTED_VALUE"""),"RIVADAVIA Santiago N")</f>
        <v>RIVADAVIA Santiago N</v>
      </c>
      <c r="F1505" s="1" t="str">
        <f t="shared" si="1"/>
        <v>RIVADAVIA </v>
      </c>
      <c r="G1505" s="1" t="str">
        <f t="shared" si="2"/>
        <v>Santiago N</v>
      </c>
      <c r="H1505" s="1" t="str">
        <f>IFERROR(__xludf.DUMMYFUNCTION("""COMPUTED_VALUE"""),"10/2/2023, 17:00:00")</f>
        <v>10/2/2023, 17:00:00</v>
      </c>
      <c r="I1505" s="1" t="str">
        <f>IFERROR(__xludf.DUMMYFUNCTION("""COMPUTED_VALUE"""),"Recibido en Laboratorio")</f>
        <v>Recibido en Laboratorio</v>
      </c>
      <c r="J1505" s="1">
        <f t="shared" si="3"/>
        <v>2</v>
      </c>
      <c r="K1505" s="1" t="str">
        <f t="shared" si="4"/>
        <v>Nuestro Laboratorio esta trabajando en tus lentes, los entregaremos en la fecha acordada.</v>
      </c>
    </row>
    <row r="1506">
      <c r="A1506" s="1">
        <f>IFERROR(__xludf.DUMMYFUNCTION("""COMPUTED_VALUE"""),86055.0)</f>
        <v>86055</v>
      </c>
      <c r="B1506" s="5">
        <f>IFERROR(__xludf.DUMMYFUNCTION("""COMPUTED_VALUE"""),44960.51380590278)</f>
        <v>44960.51381</v>
      </c>
      <c r="C1506" s="1" t="str">
        <f>IFERROR(__xludf.DUMMYFUNCTION("""COMPUTED_VALUE"""),"Baigorria Roberto Carlo")</f>
        <v>Baigorria Roberto Carlo</v>
      </c>
      <c r="D1506" s="1" t="str">
        <f>IFERROR(__xludf.DUMMYFUNCTION("""COMPUTED_VALUE"""),"Lentes de STOCK")</f>
        <v>Lentes de STOCK</v>
      </c>
      <c r="E1506" s="1" t="str">
        <f>IFERROR(__xludf.DUMMYFUNCTION("""COMPUTED_VALUE"""),"ARTIGAS Roció")</f>
        <v>ARTIGAS Roció</v>
      </c>
      <c r="F1506" s="1" t="str">
        <f t="shared" si="1"/>
        <v>ARTIGAS </v>
      </c>
      <c r="G1506" s="1" t="str">
        <f t="shared" si="2"/>
        <v>Roció</v>
      </c>
      <c r="H1506" s="1" t="str">
        <f>IFERROR(__xludf.DUMMYFUNCTION("""COMPUTED_VALUE"""),"9/2/2023, 17:00:00")</f>
        <v>9/2/2023, 17:00:00</v>
      </c>
      <c r="I1506" s="1" t="str">
        <f>IFERROR(__xludf.DUMMYFUNCTION("""COMPUTED_VALUE"""),"RETIRADO OK POR CLIENTE")</f>
        <v>RETIRADO OK POR CLIENTE</v>
      </c>
      <c r="J1506" s="1">
        <f t="shared" si="3"/>
        <v>6</v>
      </c>
      <c r="K1506" s="1" t="str">
        <f t="shared" si="4"/>
        <v>Entregamos tus lentes, que los disfrutes!</v>
      </c>
    </row>
    <row r="1507">
      <c r="A1507" s="1">
        <f>IFERROR(__xludf.DUMMYFUNCTION("""COMPUTED_VALUE"""),86056.0)</f>
        <v>86056</v>
      </c>
      <c r="B1507" s="5">
        <f>IFERROR(__xludf.DUMMYFUNCTION("""COMPUTED_VALUE"""),44960.51601798611)</f>
        <v>44960.51602</v>
      </c>
      <c r="C1507" s="1" t="str">
        <f>IFERROR(__xludf.DUMMYFUNCTION("""COMPUTED_VALUE"""),"HEREDIA BAUTISTA")</f>
        <v>HEREDIA BAUTISTA</v>
      </c>
      <c r="D1507" s="1" t="str">
        <f>IFERROR(__xludf.DUMMYFUNCTION("""COMPUTED_VALUE"""),"Lentes de STOCK")</f>
        <v>Lentes de STOCK</v>
      </c>
      <c r="E1507" s="1" t="str">
        <f>IFERROR(__xludf.DUMMYFUNCTION("""COMPUTED_VALUE"""),"RIVADAVIA Santiago LOPEZ")</f>
        <v>RIVADAVIA Santiago LOPEZ</v>
      </c>
      <c r="F1507" s="1" t="str">
        <f t="shared" si="1"/>
        <v>RIVADAVIA </v>
      </c>
      <c r="G1507" s="1" t="str">
        <f t="shared" si="2"/>
        <v>Santiago LOPEZ</v>
      </c>
      <c r="H1507" s="1" t="str">
        <f>IFERROR(__xludf.DUMMYFUNCTION("""COMPUTED_VALUE"""),"7/2/2023, 17:00:00")</f>
        <v>7/2/2023, 17:00:00</v>
      </c>
      <c r="I1507" s="1" t="str">
        <f>IFERROR(__xludf.DUMMYFUNCTION("""COMPUTED_VALUE"""),"Recibido en Laboratorio")</f>
        <v>Recibido en Laboratorio</v>
      </c>
      <c r="J1507" s="1">
        <f t="shared" si="3"/>
        <v>2</v>
      </c>
      <c r="K1507" s="1" t="str">
        <f t="shared" si="4"/>
        <v>Nuestro Laboratorio esta trabajando en tus lentes, los entregaremos en la fecha acordada.</v>
      </c>
    </row>
    <row r="1508">
      <c r="A1508" s="1">
        <f>IFERROR(__xludf.DUMMYFUNCTION("""COMPUTED_VALUE"""),86057.0)</f>
        <v>86057</v>
      </c>
      <c r="B1508" s="5">
        <f>IFERROR(__xludf.DUMMYFUNCTION("""COMPUTED_VALUE"""),44960.51853469908)</f>
        <v>44960.51853</v>
      </c>
      <c r="C1508" s="1" t="str">
        <f>IFERROR(__xludf.DUMMYFUNCTION("""COMPUTED_VALUE"""),"HEREDIA FRANCHESCO")</f>
        <v>HEREDIA FRANCHESCO</v>
      </c>
      <c r="D1508" s="1" t="str">
        <f>IFERROR(__xludf.DUMMYFUNCTION("""COMPUTED_VALUE"""),"Lentes de STOCK")</f>
        <v>Lentes de STOCK</v>
      </c>
      <c r="E1508" s="1" t="str">
        <f>IFERROR(__xludf.DUMMYFUNCTION("""COMPUTED_VALUE"""),"RIVADAVIA Santiago LOPEZ")</f>
        <v>RIVADAVIA Santiago LOPEZ</v>
      </c>
      <c r="F1508" s="1" t="str">
        <f t="shared" si="1"/>
        <v>RIVADAVIA </v>
      </c>
      <c r="G1508" s="1" t="str">
        <f t="shared" si="2"/>
        <v>Santiago LOPEZ</v>
      </c>
      <c r="H1508" s="1" t="str">
        <f>IFERROR(__xludf.DUMMYFUNCTION("""COMPUTED_VALUE"""),"7/2/2023, 17:00:00")</f>
        <v>7/2/2023, 17:00:00</v>
      </c>
      <c r="I1508" s="1" t="str">
        <f>IFERROR(__xludf.DUMMYFUNCTION("""COMPUTED_VALUE"""),"Completado en SUCURSAL")</f>
        <v>Completado en SUCURSAL</v>
      </c>
      <c r="J1508" s="1">
        <f t="shared" si="3"/>
        <v>5</v>
      </c>
      <c r="K1508" s="1" t="str">
        <f t="shared" si="4"/>
        <v>Tus Lentes estan LISTAS PARA ENTREGAR, te esperamos.</v>
      </c>
    </row>
    <row r="1509">
      <c r="A1509" s="1">
        <f>IFERROR(__xludf.DUMMYFUNCTION("""COMPUTED_VALUE"""),86058.0)</f>
        <v>86058</v>
      </c>
      <c r="B1509" s="5">
        <f>IFERROR(__xludf.DUMMYFUNCTION("""COMPUTED_VALUE"""),44960.51975107639)</f>
        <v>44960.51975</v>
      </c>
      <c r="C1509" s="1" t="str">
        <f>IFERROR(__xludf.DUMMYFUNCTION("""COMPUTED_VALUE"""),"MIRANDA RAMONA")</f>
        <v>MIRANDA RAMONA</v>
      </c>
      <c r="D1509" s="1" t="str">
        <f>IFERROR(__xludf.DUMMYFUNCTION("""COMPUTED_VALUE"""),"Lentes de STOCK")</f>
        <v>Lentes de STOCK</v>
      </c>
      <c r="E1509" s="1" t="str">
        <f>IFERROR(__xludf.DUMMYFUNCTION("""COMPUTED_VALUE"""),"RIVADAVIA Luciana")</f>
        <v>RIVADAVIA Luciana</v>
      </c>
      <c r="F1509" s="1" t="str">
        <f t="shared" si="1"/>
        <v>RIVADAVIA </v>
      </c>
      <c r="G1509" s="1" t="str">
        <f t="shared" si="2"/>
        <v>Luciana</v>
      </c>
      <c r="H1509" s="1" t="str">
        <f>IFERROR(__xludf.DUMMYFUNCTION("""COMPUTED_VALUE"""),"9/2/2023, 17:00:00")</f>
        <v>9/2/2023, 17:00:00</v>
      </c>
      <c r="I1509" s="1" t="str">
        <f>IFERROR(__xludf.DUMMYFUNCTION("""COMPUTED_VALUE"""),"RETIRADO OK POR CLIENTE")</f>
        <v>RETIRADO OK POR CLIENTE</v>
      </c>
      <c r="J1509" s="1">
        <f t="shared" si="3"/>
        <v>6</v>
      </c>
      <c r="K1509" s="1" t="str">
        <f t="shared" si="4"/>
        <v>Entregamos tus lentes, que los disfrutes!</v>
      </c>
    </row>
    <row r="1510">
      <c r="A1510" s="1">
        <f>IFERROR(__xludf.DUMMYFUNCTION("""COMPUTED_VALUE"""),86059.0)</f>
        <v>86059</v>
      </c>
      <c r="B1510" s="5">
        <f>IFERROR(__xludf.DUMMYFUNCTION("""COMPUTED_VALUE"""),44960.52048510416)</f>
        <v>44960.52049</v>
      </c>
      <c r="C1510" s="1" t="str">
        <f>IFERROR(__xludf.DUMMYFUNCTION("""COMPUTED_VALUE"""),"FERNANDEZ LORENA")</f>
        <v>FERNANDEZ LORENA</v>
      </c>
      <c r="D1510" s="1" t="str">
        <f>IFERROR(__xludf.DUMMYFUNCTION("""COMPUTED_VALUE"""),"Reparaciones/Otros")</f>
        <v>Reparaciones/Otros</v>
      </c>
      <c r="E1510" s="1" t="str">
        <f>IFERROR(__xludf.DUMMYFUNCTION("""COMPUTED_VALUE"""),"RIVADAVIA Santiago LOPEZ")</f>
        <v>RIVADAVIA Santiago LOPEZ</v>
      </c>
      <c r="F1510" s="1" t="str">
        <f t="shared" si="1"/>
        <v>RIVADAVIA </v>
      </c>
      <c r="G1510" s="1" t="str">
        <f t="shared" si="2"/>
        <v>Santiago LOPEZ</v>
      </c>
      <c r="H1510" s="1" t="str">
        <f>IFERROR(__xludf.DUMMYFUNCTION("""COMPUTED_VALUE"""),"6/2/2023, 17:00:00")</f>
        <v>6/2/2023, 17:00:00</v>
      </c>
      <c r="I1510" s="1" t="str">
        <f>IFERROR(__xludf.DUMMYFUNCTION("""COMPUTED_VALUE"""),"Recibido en Laboratorio")</f>
        <v>Recibido en Laboratorio</v>
      </c>
      <c r="J1510" s="1">
        <f t="shared" si="3"/>
        <v>2</v>
      </c>
      <c r="K1510" s="1" t="str">
        <f t="shared" si="4"/>
        <v>Nuestro Laboratorio esta trabajando en tus lentes, los entregaremos en la fecha acordada.</v>
      </c>
    </row>
    <row r="1511">
      <c r="A1511" s="1">
        <f>IFERROR(__xludf.DUMMYFUNCTION("""COMPUTED_VALUE"""),86060.0)</f>
        <v>86060</v>
      </c>
      <c r="B1511" s="5">
        <f>IFERROR(__xludf.DUMMYFUNCTION("""COMPUTED_VALUE"""),44960.52145284722)</f>
        <v>44960.52145</v>
      </c>
      <c r="C1511" s="1" t="str">
        <f>IFERROR(__xludf.DUMMYFUNCTION("""COMPUTED_VALUE"""),"JUAN JESUS CARLOS")</f>
        <v>JUAN JESUS CARLOS</v>
      </c>
      <c r="D1511" s="1" t="str">
        <f>IFERROR(__xludf.DUMMYFUNCTION("""COMPUTED_VALUE"""),"Lentes de STOCK")</f>
        <v>Lentes de STOCK</v>
      </c>
      <c r="E1511" s="1" t="str">
        <f>IFERROR(__xludf.DUMMYFUNCTION("""COMPUTED_VALUE"""),"ARTIGAS Cristian C.")</f>
        <v>ARTIGAS Cristian C.</v>
      </c>
      <c r="F1511" s="1" t="str">
        <f t="shared" si="1"/>
        <v>ARTIGAS </v>
      </c>
      <c r="G1511" s="1" t="str">
        <f t="shared" si="2"/>
        <v>Cristian C.</v>
      </c>
      <c r="H1511" s="1" t="str">
        <f>IFERROR(__xludf.DUMMYFUNCTION("""COMPUTED_VALUE"""),"9/2/2023, 17:00:00")</f>
        <v>9/2/2023, 17:00:00</v>
      </c>
      <c r="I1511" s="1" t="str">
        <f>IFERROR(__xludf.DUMMYFUNCTION("""COMPUTED_VALUE"""),"Recibido en Laboratorio")</f>
        <v>Recibido en Laboratorio</v>
      </c>
      <c r="J1511" s="1">
        <f t="shared" si="3"/>
        <v>2</v>
      </c>
      <c r="K1511" s="1" t="str">
        <f t="shared" si="4"/>
        <v>Nuestro Laboratorio esta trabajando en tus lentes, los entregaremos en la fecha acordada.</v>
      </c>
    </row>
    <row r="1512">
      <c r="A1512" s="1">
        <f>IFERROR(__xludf.DUMMYFUNCTION("""COMPUTED_VALUE"""),86061.0)</f>
        <v>86061</v>
      </c>
      <c r="B1512" s="5">
        <f>IFERROR(__xludf.DUMMYFUNCTION("""COMPUTED_VALUE"""),44960.52293840278)</f>
        <v>44960.52294</v>
      </c>
      <c r="C1512" s="1" t="str">
        <f>IFERROR(__xludf.DUMMYFUNCTION("""COMPUTED_VALUE"""),"JUAN JESUS CARLOS")</f>
        <v>JUAN JESUS CARLOS</v>
      </c>
      <c r="D1512" s="1" t="str">
        <f>IFERROR(__xludf.DUMMYFUNCTION("""COMPUTED_VALUE"""),"Reparaciones/Otros")</f>
        <v>Reparaciones/Otros</v>
      </c>
      <c r="E1512" s="1" t="str">
        <f>IFERROR(__xludf.DUMMYFUNCTION("""COMPUTED_VALUE"""),"ARTIGAS Cristian C.")</f>
        <v>ARTIGAS Cristian C.</v>
      </c>
      <c r="F1512" s="1" t="str">
        <f t="shared" si="1"/>
        <v>ARTIGAS </v>
      </c>
      <c r="G1512" s="1" t="str">
        <f t="shared" si="2"/>
        <v>Cristian C.</v>
      </c>
      <c r="H1512" s="1" t="str">
        <f>IFERROR(__xludf.DUMMYFUNCTION("""COMPUTED_VALUE"""),"7/2/2023, 17:00:00")</f>
        <v>7/2/2023, 17:00:00</v>
      </c>
      <c r="I1512" s="1" t="str">
        <f>IFERROR(__xludf.DUMMYFUNCTION("""COMPUTED_VALUE"""),"Recibido en Laboratorio")</f>
        <v>Recibido en Laboratorio</v>
      </c>
      <c r="J1512" s="1">
        <f t="shared" si="3"/>
        <v>2</v>
      </c>
      <c r="K1512" s="1" t="str">
        <f t="shared" si="4"/>
        <v>Nuestro Laboratorio esta trabajando en tus lentes, los entregaremos en la fecha acordada.</v>
      </c>
    </row>
    <row r="1513">
      <c r="A1513" s="1">
        <f>IFERROR(__xludf.DUMMYFUNCTION("""COMPUTED_VALUE"""),86062.0)</f>
        <v>86062</v>
      </c>
      <c r="B1513" s="5">
        <f>IFERROR(__xludf.DUMMYFUNCTION("""COMPUTED_VALUE"""),44960.529774675924)</f>
        <v>44960.52977</v>
      </c>
      <c r="C1513" s="1" t="str">
        <f>IFERROR(__xludf.DUMMYFUNCTION("""COMPUTED_VALUE"""),"GOMEZ SANTIAGO ")</f>
        <v>GOMEZ SANTIAGO </v>
      </c>
      <c r="D1513" s="1" t="str">
        <f>IFERROR(__xludf.DUMMYFUNCTION("""COMPUTED_VALUE"""),"Lentes de LABORATORIO")</f>
        <v>Lentes de LABORATORIO</v>
      </c>
      <c r="E1513" s="1" t="str">
        <f>IFERROR(__xludf.DUMMYFUNCTION("""COMPUTED_VALUE"""),"RIVADAVIA Luciana")</f>
        <v>RIVADAVIA Luciana</v>
      </c>
      <c r="F1513" s="1" t="str">
        <f t="shared" si="1"/>
        <v>RIVADAVIA </v>
      </c>
      <c r="G1513" s="1" t="str">
        <f t="shared" si="2"/>
        <v>Luciana</v>
      </c>
      <c r="H1513" s="1" t="str">
        <f>IFERROR(__xludf.DUMMYFUNCTION("""COMPUTED_VALUE"""),"24/2/2023, 18:00:00")</f>
        <v>24/2/2023, 18:00:00</v>
      </c>
      <c r="I1513" s="1" t="str">
        <f>IFERROR(__xludf.DUMMYFUNCTION("""COMPUTED_VALUE"""),"Completado en SUCURSAL")</f>
        <v>Completado en SUCURSAL</v>
      </c>
      <c r="J1513" s="1">
        <f t="shared" si="3"/>
        <v>5</v>
      </c>
      <c r="K1513" s="1" t="str">
        <f t="shared" si="4"/>
        <v>Tus Lentes estan LISTAS PARA ENTREGAR, te esperamos.</v>
      </c>
    </row>
    <row r="1514">
      <c r="A1514" s="1">
        <f>IFERROR(__xludf.DUMMYFUNCTION("""COMPUTED_VALUE"""),86063.0)</f>
        <v>86063</v>
      </c>
      <c r="B1514" s="5">
        <f>IFERROR(__xludf.DUMMYFUNCTION("""COMPUTED_VALUE"""),44960.529907696764)</f>
        <v>44960.52991</v>
      </c>
      <c r="C1514" s="1" t="str">
        <f>IFERROR(__xludf.DUMMYFUNCTION("""COMPUTED_VALUE"""),"Coria Natalia")</f>
        <v>Coria Natalia</v>
      </c>
      <c r="D1514" s="1" t="str">
        <f>IFERROR(__xludf.DUMMYFUNCTION("""COMPUTED_VALUE"""),"Lentes de STOCK")</f>
        <v>Lentes de STOCK</v>
      </c>
      <c r="E1514" s="1" t="str">
        <f>IFERROR(__xludf.DUMMYFUNCTION("""COMPUTED_VALUE"""),"ARTIGAS Roció")</f>
        <v>ARTIGAS Roció</v>
      </c>
      <c r="F1514" s="1" t="str">
        <f t="shared" si="1"/>
        <v>ARTIGAS </v>
      </c>
      <c r="G1514" s="1" t="str">
        <f t="shared" si="2"/>
        <v>Roció</v>
      </c>
      <c r="H1514" s="1" t="str">
        <f>IFERROR(__xludf.DUMMYFUNCTION("""COMPUTED_VALUE"""),"13/2/2023, 17:00:00")</f>
        <v>13/2/2023, 17:00:00</v>
      </c>
      <c r="I1514" s="1" t="str">
        <f>IFERROR(__xludf.DUMMYFUNCTION("""COMPUTED_VALUE"""),"RETIRADO OK POR CLIENTE")</f>
        <v>RETIRADO OK POR CLIENTE</v>
      </c>
      <c r="J1514" s="1">
        <f t="shared" si="3"/>
        <v>6</v>
      </c>
      <c r="K1514" s="1" t="str">
        <f t="shared" si="4"/>
        <v>Entregamos tus lentes, que los disfrutes!</v>
      </c>
    </row>
    <row r="1515">
      <c r="A1515" s="1">
        <f>IFERROR(__xludf.DUMMYFUNCTION("""COMPUTED_VALUE"""),86064.0)</f>
        <v>86064</v>
      </c>
      <c r="B1515" s="5">
        <f>IFERROR(__xludf.DUMMYFUNCTION("""COMPUTED_VALUE"""),44960.53287434028)</f>
        <v>44960.53287</v>
      </c>
      <c r="C1515" s="1" t="str">
        <f>IFERROR(__xludf.DUMMYFUNCTION("""COMPUTED_VALUE""")," ORQUERA, LEANDRO ARIEL")</f>
        <v> ORQUERA, LEANDRO ARIEL</v>
      </c>
      <c r="D1515" s="1" t="str">
        <f>IFERROR(__xludf.DUMMYFUNCTION("""COMPUTED_VALUE"""),"Lentes de STOCK")</f>
        <v>Lentes de STOCK</v>
      </c>
      <c r="E1515" s="1" t="str">
        <f>IFERROR(__xludf.DUMMYFUNCTION("""COMPUTED_VALUE"""),"RIVADAVIA Santiago LOPEZ")</f>
        <v>RIVADAVIA Santiago LOPEZ</v>
      </c>
      <c r="F1515" s="1" t="str">
        <f t="shared" si="1"/>
        <v>RIVADAVIA </v>
      </c>
      <c r="G1515" s="1" t="str">
        <f t="shared" si="2"/>
        <v>Santiago LOPEZ</v>
      </c>
      <c r="H1515" s="1" t="str">
        <f>IFERROR(__xludf.DUMMYFUNCTION("""COMPUTED_VALUE"""),"6/2/2023, 17:00:00")</f>
        <v>6/2/2023, 17:00:00</v>
      </c>
      <c r="I1515" s="1" t="str">
        <f>IFERROR(__xludf.DUMMYFUNCTION("""COMPUTED_VALUE"""),"RETIRADO OK POR CLIENTE")</f>
        <v>RETIRADO OK POR CLIENTE</v>
      </c>
      <c r="J1515" s="1">
        <f t="shared" si="3"/>
        <v>6</v>
      </c>
      <c r="K1515" s="1" t="str">
        <f t="shared" si="4"/>
        <v>Entregamos tus lentes, que los disfrutes!</v>
      </c>
    </row>
    <row r="1516">
      <c r="A1516" s="1">
        <f>IFERROR(__xludf.DUMMYFUNCTION("""COMPUTED_VALUE"""),86065.0)</f>
        <v>86065</v>
      </c>
      <c r="B1516" s="5">
        <f>IFERROR(__xludf.DUMMYFUNCTION("""COMPUTED_VALUE"""),44960.55167422454)</f>
        <v>44960.55167</v>
      </c>
      <c r="C1516" s="1" t="str">
        <f>IFERROR(__xludf.DUMMYFUNCTION("""COMPUTED_VALUE"""),"IBAÑEZ GABRIELA")</f>
        <v>IBAÑEZ GABRIELA</v>
      </c>
      <c r="D1516" s="1" t="str">
        <f>IFERROR(__xludf.DUMMYFUNCTION("""COMPUTED_VALUE"""),"Lentes MULTIFOCALES")</f>
        <v>Lentes MULTIFOCALES</v>
      </c>
      <c r="E1516" s="1" t="str">
        <f>IFERROR(__xludf.DUMMYFUNCTION("""COMPUTED_VALUE"""),"RIVADAVIA Santiago LOPEZ")</f>
        <v>RIVADAVIA Santiago LOPEZ</v>
      </c>
      <c r="F1516" s="1" t="str">
        <f t="shared" si="1"/>
        <v>RIVADAVIA </v>
      </c>
      <c r="G1516" s="1" t="str">
        <f t="shared" si="2"/>
        <v>Santiago LOPEZ</v>
      </c>
      <c r="H1516" s="1" t="str">
        <f>IFERROR(__xludf.DUMMYFUNCTION("""COMPUTED_VALUE"""),"16/2/2023, 17:00:00")</f>
        <v>16/2/2023, 17:00:00</v>
      </c>
      <c r="I1516" s="1" t="str">
        <f>IFERROR(__xludf.DUMMYFUNCTION("""COMPUTED_VALUE"""),"Completado en SUCURSAL")</f>
        <v>Completado en SUCURSAL</v>
      </c>
      <c r="J1516" s="1">
        <f t="shared" si="3"/>
        <v>5</v>
      </c>
      <c r="K1516" s="1" t="str">
        <f t="shared" si="4"/>
        <v>Tus Lentes estan LISTAS PARA ENTREGAR, te esperamos.</v>
      </c>
    </row>
    <row r="1517">
      <c r="A1517" s="1">
        <f>IFERROR(__xludf.DUMMYFUNCTION("""COMPUTED_VALUE"""),86066.0)</f>
        <v>86066</v>
      </c>
      <c r="B1517" s="5">
        <f>IFERROR(__xludf.DUMMYFUNCTION("""COMPUTED_VALUE"""),44960.580121770836)</f>
        <v>44960.58012</v>
      </c>
      <c r="C1517" s="1" t="str">
        <f>IFERROR(__xludf.DUMMYFUNCTION("""COMPUTED_VALUE"""),"Mengarelli Javier")</f>
        <v>Mengarelli Javier</v>
      </c>
      <c r="D1517" s="1" t="str">
        <f>IFERROR(__xludf.DUMMYFUNCTION("""COMPUTED_VALUE"""),"Lentes de STOCK")</f>
        <v>Lentes de STOCK</v>
      </c>
      <c r="E1517" s="1" t="str">
        <f>IFERROR(__xludf.DUMMYFUNCTION("""COMPUTED_VALUE"""),"RIVADAVIA Luciana")</f>
        <v>RIVADAVIA Luciana</v>
      </c>
      <c r="F1517" s="1" t="str">
        <f t="shared" si="1"/>
        <v>RIVADAVIA </v>
      </c>
      <c r="G1517" s="1" t="str">
        <f t="shared" si="2"/>
        <v>Luciana</v>
      </c>
      <c r="H1517" s="1" t="str">
        <f>IFERROR(__xludf.DUMMYFUNCTION("""COMPUTED_VALUE"""),"6/2/2023, 17:00:00")</f>
        <v>6/2/2023, 17:00:00</v>
      </c>
      <c r="I1517" s="1"/>
      <c r="J1517" s="1">
        <f t="shared" si="3"/>
        <v>0</v>
      </c>
      <c r="K1517" s="1" t="str">
        <f t="shared" si="4"/>
        <v/>
      </c>
    </row>
    <row r="1518">
      <c r="A1518" s="1">
        <f>IFERROR(__xludf.DUMMYFUNCTION("""COMPUTED_VALUE"""),86067.0)</f>
        <v>86067</v>
      </c>
      <c r="B1518" s="5">
        <f>IFERROR(__xludf.DUMMYFUNCTION("""COMPUTED_VALUE"""),44960.71529774305)</f>
        <v>44960.7153</v>
      </c>
      <c r="C1518" s="1" t="str">
        <f>IFERROR(__xludf.DUMMYFUNCTION("""COMPUTED_VALUE"""),"Goncalvez yanina")</f>
        <v>Goncalvez yanina</v>
      </c>
      <c r="D1518" s="1" t="str">
        <f>IFERROR(__xludf.DUMMYFUNCTION("""COMPUTED_VALUE"""),"Lentes de STOCK")</f>
        <v>Lentes de STOCK</v>
      </c>
      <c r="E1518" s="1" t="str">
        <f>IFERROR(__xludf.DUMMYFUNCTION("""COMPUTED_VALUE"""),"ARTIGAS Sandra G")</f>
        <v>ARTIGAS Sandra G</v>
      </c>
      <c r="F1518" s="1" t="str">
        <f t="shared" si="1"/>
        <v>ARTIGAS </v>
      </c>
      <c r="G1518" s="1" t="str">
        <f t="shared" si="2"/>
        <v>Sandra G</v>
      </c>
      <c r="H1518" s="1" t="str">
        <f>IFERROR(__xludf.DUMMYFUNCTION("""COMPUTED_VALUE"""),"8/2/2023, 17:00:00")</f>
        <v>8/2/2023, 17:00:00</v>
      </c>
      <c r="I1518" s="1" t="str">
        <f>IFERROR(__xludf.DUMMYFUNCTION("""COMPUTED_VALUE"""),"RETIRADO OK POR CLIENTE")</f>
        <v>RETIRADO OK POR CLIENTE</v>
      </c>
      <c r="J1518" s="1">
        <f t="shared" si="3"/>
        <v>6</v>
      </c>
      <c r="K1518" s="1" t="str">
        <f t="shared" si="4"/>
        <v>Entregamos tus lentes, que los disfrutes!</v>
      </c>
    </row>
    <row r="1519">
      <c r="A1519" s="1">
        <f>IFERROR(__xludf.DUMMYFUNCTION("""COMPUTED_VALUE"""),86068.0)</f>
        <v>86068</v>
      </c>
      <c r="B1519" s="5">
        <f>IFERROR(__xludf.DUMMYFUNCTION("""COMPUTED_VALUE"""),44960.739600995366)</f>
        <v>44960.7396</v>
      </c>
      <c r="C1519" s="1" t="str">
        <f>IFERROR(__xludf.DUMMYFUNCTION("""COMPUTED_VALUE"""),"BUSTOS SILVIA ")</f>
        <v>BUSTOS SILVIA </v>
      </c>
      <c r="D1519" s="1" t="str">
        <f>IFERROR(__xludf.DUMMYFUNCTION("""COMPUTED_VALUE"""),"Reparaciones/Otros")</f>
        <v>Reparaciones/Otros</v>
      </c>
      <c r="E1519" s="1" t="str">
        <f>IFERROR(__xludf.DUMMYFUNCTION("""COMPUTED_VALUE"""),"ARTIGAS Cristian C.")</f>
        <v>ARTIGAS Cristian C.</v>
      </c>
      <c r="F1519" s="1" t="str">
        <f t="shared" si="1"/>
        <v>ARTIGAS </v>
      </c>
      <c r="G1519" s="1" t="str">
        <f t="shared" si="2"/>
        <v>Cristian C.</v>
      </c>
      <c r="H1519" s="1" t="str">
        <f>IFERROR(__xludf.DUMMYFUNCTION("""COMPUTED_VALUE"""),"7/2/2023, 17:00:00")</f>
        <v>7/2/2023, 17:00:00</v>
      </c>
      <c r="I1519" s="1" t="str">
        <f>IFERROR(__xludf.DUMMYFUNCTION("""COMPUTED_VALUE"""),"Recibido en Laboratorio")</f>
        <v>Recibido en Laboratorio</v>
      </c>
      <c r="J1519" s="1">
        <f t="shared" si="3"/>
        <v>2</v>
      </c>
      <c r="K1519" s="1" t="str">
        <f t="shared" si="4"/>
        <v>Nuestro Laboratorio esta trabajando en tus lentes, los entregaremos en la fecha acordada.</v>
      </c>
    </row>
    <row r="1520">
      <c r="A1520" s="1">
        <f>IFERROR(__xludf.DUMMYFUNCTION("""COMPUTED_VALUE"""),86069.0)</f>
        <v>86069</v>
      </c>
      <c r="B1520" s="5">
        <f>IFERROR(__xludf.DUMMYFUNCTION("""COMPUTED_VALUE"""),44960.74609151621)</f>
        <v>44960.74609</v>
      </c>
      <c r="C1520" s="1" t="str">
        <f>IFERROR(__xludf.DUMMYFUNCTION("""COMPUTED_VALUE"""),"CANALI VALENTINO")</f>
        <v>CANALI VALENTINO</v>
      </c>
      <c r="D1520" s="1" t="str">
        <f>IFERROR(__xludf.DUMMYFUNCTION("""COMPUTED_VALUE"""),"Lentes de STOCK")</f>
        <v>Lentes de STOCK</v>
      </c>
      <c r="E1520" s="1" t="str">
        <f>IFERROR(__xludf.DUMMYFUNCTION("""COMPUTED_VALUE"""),"RIVADAVIA Santiago LOPEZ")</f>
        <v>RIVADAVIA Santiago LOPEZ</v>
      </c>
      <c r="F1520" s="1" t="str">
        <f t="shared" si="1"/>
        <v>RIVADAVIA </v>
      </c>
      <c r="G1520" s="1" t="str">
        <f t="shared" si="2"/>
        <v>Santiago LOPEZ</v>
      </c>
      <c r="H1520" s="1" t="str">
        <f>IFERROR(__xludf.DUMMYFUNCTION("""COMPUTED_VALUE"""),"7/2/2023, 17:00:00")</f>
        <v>7/2/2023, 17:00:00</v>
      </c>
      <c r="I1520" s="1" t="str">
        <f>IFERROR(__xludf.DUMMYFUNCTION("""COMPUTED_VALUE"""),"RETIRADO OK POR CLIENTE")</f>
        <v>RETIRADO OK POR CLIENTE</v>
      </c>
      <c r="J1520" s="1">
        <f t="shared" si="3"/>
        <v>6</v>
      </c>
      <c r="K1520" s="1" t="str">
        <f t="shared" si="4"/>
        <v>Entregamos tus lentes, que los disfrutes!</v>
      </c>
    </row>
    <row r="1521">
      <c r="A1521" s="1">
        <f>IFERROR(__xludf.DUMMYFUNCTION("""COMPUTED_VALUE"""),86070.0)</f>
        <v>86070</v>
      </c>
      <c r="B1521" s="5">
        <f>IFERROR(__xludf.DUMMYFUNCTION("""COMPUTED_VALUE"""),44960.74629277778)</f>
        <v>44960.74629</v>
      </c>
      <c r="C1521" s="1" t="str">
        <f>IFERROR(__xludf.DUMMYFUNCTION("""COMPUTED_VALUE"""),"MARTINEZ ROSARIO NELLEN")</f>
        <v>MARTINEZ ROSARIO NELLEN</v>
      </c>
      <c r="D1521" s="1" t="str">
        <f>IFERROR(__xludf.DUMMYFUNCTION("""COMPUTED_VALUE"""),"Lentes de STOCK")</f>
        <v>Lentes de STOCK</v>
      </c>
      <c r="E1521" s="1" t="str">
        <f>IFERROR(__xludf.DUMMYFUNCTION("""COMPUTED_VALUE"""),"RIVADAVIA Marcela L")</f>
        <v>RIVADAVIA Marcela L</v>
      </c>
      <c r="F1521" s="1" t="str">
        <f t="shared" si="1"/>
        <v>RIVADAVIA </v>
      </c>
      <c r="G1521" s="1" t="str">
        <f t="shared" si="2"/>
        <v>Marcela L</v>
      </c>
      <c r="H1521" s="1" t="str">
        <f>IFERROR(__xludf.DUMMYFUNCTION("""COMPUTED_VALUE"""),"8/2/2023, 17:00:00")</f>
        <v>8/2/2023, 17:00:00</v>
      </c>
      <c r="I1521" s="1" t="str">
        <f>IFERROR(__xludf.DUMMYFUNCTION("""COMPUTED_VALUE"""),"Recibido en Laboratorio")</f>
        <v>Recibido en Laboratorio</v>
      </c>
      <c r="J1521" s="1">
        <f t="shared" si="3"/>
        <v>2</v>
      </c>
      <c r="K1521" s="1" t="str">
        <f t="shared" si="4"/>
        <v>Nuestro Laboratorio esta trabajando en tus lentes, los entregaremos en la fecha acordada.</v>
      </c>
    </row>
    <row r="1522">
      <c r="A1522" s="1">
        <f>IFERROR(__xludf.DUMMYFUNCTION("""COMPUTED_VALUE"""),86071.0)</f>
        <v>86071</v>
      </c>
      <c r="B1522" s="5">
        <f>IFERROR(__xludf.DUMMYFUNCTION("""COMPUTED_VALUE"""),44960.76787707176)</f>
        <v>44960.76788</v>
      </c>
      <c r="C1522" s="1" t="str">
        <f>IFERROR(__xludf.DUMMYFUNCTION("""COMPUTED_VALUE"""),"OROZCO SOL ABIGAIL")</f>
        <v>OROZCO SOL ABIGAIL</v>
      </c>
      <c r="D1522" s="1" t="str">
        <f>IFERROR(__xludf.DUMMYFUNCTION("""COMPUTED_VALUE"""),"Lentes de STOCK")</f>
        <v>Lentes de STOCK</v>
      </c>
      <c r="E1522" s="1" t="str">
        <f>IFERROR(__xludf.DUMMYFUNCTION("""COMPUTED_VALUE"""),"RIVADAVIA Javier")</f>
        <v>RIVADAVIA Javier</v>
      </c>
      <c r="F1522" s="1" t="str">
        <f t="shared" si="1"/>
        <v>RIVADAVIA </v>
      </c>
      <c r="G1522" s="1" t="str">
        <f t="shared" si="2"/>
        <v>Javier</v>
      </c>
      <c r="H1522" s="1" t="str">
        <f>IFERROR(__xludf.DUMMYFUNCTION("""COMPUTED_VALUE"""),"8/2/2023, 17:00:00")</f>
        <v>8/2/2023, 17:00:00</v>
      </c>
      <c r="I1522" s="1" t="str">
        <f>IFERROR(__xludf.DUMMYFUNCTION("""COMPUTED_VALUE"""),"Recibido en Laboratorio")</f>
        <v>Recibido en Laboratorio</v>
      </c>
      <c r="J1522" s="1">
        <f t="shared" si="3"/>
        <v>2</v>
      </c>
      <c r="K1522" s="1" t="str">
        <f t="shared" si="4"/>
        <v>Nuestro Laboratorio esta trabajando en tus lentes, los entregaremos en la fecha acordada.</v>
      </c>
    </row>
    <row r="1523">
      <c r="A1523" s="1">
        <f>IFERROR(__xludf.DUMMYFUNCTION("""COMPUTED_VALUE"""),86072.0)</f>
        <v>86072</v>
      </c>
      <c r="B1523" s="5">
        <f>IFERROR(__xludf.DUMMYFUNCTION("""COMPUTED_VALUE"""),44960.769612986114)</f>
        <v>44960.76961</v>
      </c>
      <c r="C1523" s="1" t="str">
        <f>IFERROR(__xludf.DUMMYFUNCTION("""COMPUTED_VALUE"""),"LATOR CLAUDIA NOEMI")</f>
        <v>LATOR CLAUDIA NOEMI</v>
      </c>
      <c r="D1523" s="1" t="str">
        <f>IFERROR(__xludf.DUMMYFUNCTION("""COMPUTED_VALUE"""),"Lentes de STOCK")</f>
        <v>Lentes de STOCK</v>
      </c>
      <c r="E1523" s="1" t="str">
        <f>IFERROR(__xludf.DUMMYFUNCTION("""COMPUTED_VALUE"""),"RIVADAVIA Daniel CM")</f>
        <v>RIVADAVIA Daniel CM</v>
      </c>
      <c r="F1523" s="1" t="str">
        <f t="shared" si="1"/>
        <v>RIVADAVIA </v>
      </c>
      <c r="G1523" s="1" t="str">
        <f t="shared" si="2"/>
        <v>Daniel CM</v>
      </c>
      <c r="H1523" s="1" t="str">
        <f>IFERROR(__xludf.DUMMYFUNCTION("""COMPUTED_VALUE"""),"7/2/2023, 17:00:00")</f>
        <v>7/2/2023, 17:00:00</v>
      </c>
      <c r="I1523" s="1" t="str">
        <f>IFERROR(__xludf.DUMMYFUNCTION("""COMPUTED_VALUE"""),"RETIRADO OK POR CLIENTE")</f>
        <v>RETIRADO OK POR CLIENTE</v>
      </c>
      <c r="J1523" s="1">
        <f t="shared" si="3"/>
        <v>6</v>
      </c>
      <c r="K1523" s="1" t="str">
        <f t="shared" si="4"/>
        <v>Entregamos tus lentes, que los disfrutes!</v>
      </c>
    </row>
    <row r="1524">
      <c r="A1524" s="1">
        <f>IFERROR(__xludf.DUMMYFUNCTION("""COMPUTED_VALUE"""),86073.0)</f>
        <v>86073</v>
      </c>
      <c r="B1524" s="5">
        <f>IFERROR(__xludf.DUMMYFUNCTION("""COMPUTED_VALUE"""),44960.77126635417)</f>
        <v>44960.77127</v>
      </c>
      <c r="C1524" s="1" t="str">
        <f>IFERROR(__xludf.DUMMYFUNCTION("""COMPUTED_VALUE"""),"Ponce Maria Ester")</f>
        <v>Ponce Maria Ester</v>
      </c>
      <c r="D1524" s="1" t="str">
        <f>IFERROR(__xludf.DUMMYFUNCTION("""COMPUTED_VALUE"""),"Reparaciones/Otros")</f>
        <v>Reparaciones/Otros</v>
      </c>
      <c r="E1524" s="1" t="str">
        <f>IFERROR(__xludf.DUMMYFUNCTION("""COMPUTED_VALUE"""),"ARTIGAS Roció")</f>
        <v>ARTIGAS Roció</v>
      </c>
      <c r="F1524" s="1" t="str">
        <f t="shared" si="1"/>
        <v>ARTIGAS </v>
      </c>
      <c r="G1524" s="1" t="str">
        <f t="shared" si="2"/>
        <v>Roció</v>
      </c>
      <c r="H1524" s="1" t="str">
        <f>IFERROR(__xludf.DUMMYFUNCTION("""COMPUTED_VALUE"""),"6/2/2023, 17:00:00")</f>
        <v>6/2/2023, 17:00:00</v>
      </c>
      <c r="I1524" s="1"/>
      <c r="J1524" s="1">
        <f t="shared" si="3"/>
        <v>0</v>
      </c>
      <c r="K1524" s="1" t="str">
        <f t="shared" si="4"/>
        <v/>
      </c>
    </row>
    <row r="1525">
      <c r="A1525" s="1">
        <f>IFERROR(__xludf.DUMMYFUNCTION("""COMPUTED_VALUE"""),86074.0)</f>
        <v>86074</v>
      </c>
      <c r="B1525" s="5">
        <f>IFERROR(__xludf.DUMMYFUNCTION("""COMPUTED_VALUE"""),44960.77647483796)</f>
        <v>44960.77647</v>
      </c>
      <c r="C1525" s="1" t="str">
        <f>IFERROR(__xludf.DUMMYFUNCTION("""COMPUTED_VALUE"""),"nuñez sergio")</f>
        <v>nuñez sergio</v>
      </c>
      <c r="D1525" s="1" t="str">
        <f>IFERROR(__xludf.DUMMYFUNCTION("""COMPUTED_VALUE"""),"Lentes de STOCK")</f>
        <v>Lentes de STOCK</v>
      </c>
      <c r="E1525" s="1" t="str">
        <f>IFERROR(__xludf.DUMMYFUNCTION("""COMPUTED_VALUE"""),"RIVADAVIA Santiago N")</f>
        <v>RIVADAVIA Santiago N</v>
      </c>
      <c r="F1525" s="1" t="str">
        <f t="shared" si="1"/>
        <v>RIVADAVIA </v>
      </c>
      <c r="G1525" s="1" t="str">
        <f t="shared" si="2"/>
        <v>Santiago N</v>
      </c>
      <c r="H1525" s="1" t="str">
        <f>IFERROR(__xludf.DUMMYFUNCTION("""COMPUTED_VALUE"""),"6/2/2023, 17:00:00")</f>
        <v>6/2/2023, 17:00:00</v>
      </c>
      <c r="I1525" s="1" t="str">
        <f>IFERROR(__xludf.DUMMYFUNCTION("""COMPUTED_VALUE"""),"En Armado Hoy")</f>
        <v>En Armado Hoy</v>
      </c>
      <c r="J1525" s="1">
        <f t="shared" si="3"/>
        <v>3</v>
      </c>
      <c r="K1525" s="1" t="str">
        <f t="shared" si="4"/>
        <v>Estamos terminando los ultimos detalles de tus lentes, los terminaremos el dia de hoy.</v>
      </c>
    </row>
    <row r="1526">
      <c r="A1526" s="1">
        <f>IFERROR(__xludf.DUMMYFUNCTION("""COMPUTED_VALUE"""),86075.0)</f>
        <v>86075</v>
      </c>
      <c r="B1526" s="5">
        <f>IFERROR(__xludf.DUMMYFUNCTION("""COMPUTED_VALUE"""),44960.776827974536)</f>
        <v>44960.77683</v>
      </c>
      <c r="C1526" s="1" t="str">
        <f>IFERROR(__xludf.DUMMYFUNCTION("""COMPUTED_VALUE"""),"FERRARI PAULA ELIZABETH")</f>
        <v>FERRARI PAULA ELIZABETH</v>
      </c>
      <c r="D1526" s="1" t="str">
        <f>IFERROR(__xludf.DUMMYFUNCTION("""COMPUTED_VALUE"""),"Lentes MULTIFOCALES")</f>
        <v>Lentes MULTIFOCALES</v>
      </c>
      <c r="E1526" s="1" t="str">
        <f>IFERROR(__xludf.DUMMYFUNCTION("""COMPUTED_VALUE"""),"RIVADAVIA Marcela L")</f>
        <v>RIVADAVIA Marcela L</v>
      </c>
      <c r="F1526" s="1" t="str">
        <f t="shared" si="1"/>
        <v>RIVADAVIA </v>
      </c>
      <c r="G1526" s="1" t="str">
        <f t="shared" si="2"/>
        <v>Marcela L</v>
      </c>
      <c r="H1526" s="1" t="str">
        <f>IFERROR(__xludf.DUMMYFUNCTION("""COMPUTED_VALUE"""),"17/2/2023, 17:00:00")</f>
        <v>17/2/2023, 17:00:00</v>
      </c>
      <c r="I1526" s="1" t="str">
        <f>IFERROR(__xludf.DUMMYFUNCTION("""COMPUTED_VALUE"""),"RETIRADO OK POR CLIENTE")</f>
        <v>RETIRADO OK POR CLIENTE</v>
      </c>
      <c r="J1526" s="1">
        <f t="shared" si="3"/>
        <v>6</v>
      </c>
      <c r="K1526" s="1" t="str">
        <f t="shared" si="4"/>
        <v>Entregamos tus lentes, que los disfrutes!</v>
      </c>
    </row>
    <row r="1527">
      <c r="A1527" s="1">
        <f>IFERROR(__xludf.DUMMYFUNCTION("""COMPUTED_VALUE"""),86076.0)</f>
        <v>86076</v>
      </c>
      <c r="B1527" s="5">
        <f>IFERROR(__xludf.DUMMYFUNCTION("""COMPUTED_VALUE"""),44960.785201377315)</f>
        <v>44960.7852</v>
      </c>
      <c r="C1527" s="1" t="str">
        <f>IFERROR(__xludf.DUMMYFUNCTION("""COMPUTED_VALUE"""),"ESCUDERO YUTHIEL")</f>
        <v>ESCUDERO YUTHIEL</v>
      </c>
      <c r="D1527" s="1" t="str">
        <f>IFERROR(__xludf.DUMMYFUNCTION("""COMPUTED_VALUE"""),"Lentes de STOCK")</f>
        <v>Lentes de STOCK</v>
      </c>
      <c r="E1527" s="1" t="str">
        <f>IFERROR(__xludf.DUMMYFUNCTION("""COMPUTED_VALUE"""),"RIVADAVIA Santiago LOPEZ")</f>
        <v>RIVADAVIA Santiago LOPEZ</v>
      </c>
      <c r="F1527" s="1" t="str">
        <f t="shared" si="1"/>
        <v>RIVADAVIA </v>
      </c>
      <c r="G1527" s="1" t="str">
        <f t="shared" si="2"/>
        <v>Santiago LOPEZ</v>
      </c>
      <c r="H1527" s="1" t="str">
        <f>IFERROR(__xludf.DUMMYFUNCTION("""COMPUTED_VALUE"""),"7/2/2023, 17:00:00")</f>
        <v>7/2/2023, 17:00:00</v>
      </c>
      <c r="I1527" s="1" t="str">
        <f>IFERROR(__xludf.DUMMYFUNCTION("""COMPUTED_VALUE"""),"Recibido en Laboratorio")</f>
        <v>Recibido en Laboratorio</v>
      </c>
      <c r="J1527" s="1">
        <f t="shared" si="3"/>
        <v>2</v>
      </c>
      <c r="K1527" s="1" t="str">
        <f t="shared" si="4"/>
        <v>Nuestro Laboratorio esta trabajando en tus lentes, los entregaremos en la fecha acordada.</v>
      </c>
    </row>
    <row r="1528">
      <c r="A1528" s="1">
        <f>IFERROR(__xludf.DUMMYFUNCTION("""COMPUTED_VALUE"""),86077.0)</f>
        <v>86077</v>
      </c>
      <c r="B1528" s="5">
        <f>IFERROR(__xludf.DUMMYFUNCTION("""COMPUTED_VALUE"""),44960.785581944445)</f>
        <v>44960.78558</v>
      </c>
      <c r="C1528" s="1" t="str">
        <f>IFERROR(__xludf.DUMMYFUNCTION("""COMPUTED_VALUE"""),"GAITAN MARIA FLORENCIA")</f>
        <v>GAITAN MARIA FLORENCIA</v>
      </c>
      <c r="D1528" s="1" t="str">
        <f>IFERROR(__xludf.DUMMYFUNCTION("""COMPUTED_VALUE"""),"Lentes de STOCK")</f>
        <v>Lentes de STOCK</v>
      </c>
      <c r="E1528" s="1" t="str">
        <f>IFERROR(__xludf.DUMMYFUNCTION("""COMPUTED_VALUE"""),"ARTIGAS Cristian C.")</f>
        <v>ARTIGAS Cristian C.</v>
      </c>
      <c r="F1528" s="1" t="str">
        <f t="shared" si="1"/>
        <v>ARTIGAS </v>
      </c>
      <c r="G1528" s="1" t="str">
        <f t="shared" si="2"/>
        <v>Cristian C.</v>
      </c>
      <c r="H1528" s="1" t="str">
        <f>IFERROR(__xludf.DUMMYFUNCTION("""COMPUTED_VALUE"""),"7/2/2023, 17:00:00")</f>
        <v>7/2/2023, 17:00:00</v>
      </c>
      <c r="I1528" s="1" t="str">
        <f>IFERROR(__xludf.DUMMYFUNCTION("""COMPUTED_VALUE"""),"Recibido en Laboratorio")</f>
        <v>Recibido en Laboratorio</v>
      </c>
      <c r="J1528" s="1">
        <f t="shared" si="3"/>
        <v>2</v>
      </c>
      <c r="K1528" s="1" t="str">
        <f t="shared" si="4"/>
        <v>Nuestro Laboratorio esta trabajando en tus lentes, los entregaremos en la fecha acordada.</v>
      </c>
    </row>
    <row r="1529">
      <c r="A1529" s="1">
        <f>IFERROR(__xludf.DUMMYFUNCTION("""COMPUTED_VALUE"""),86078.0)</f>
        <v>86078</v>
      </c>
      <c r="B1529" s="5">
        <f>IFERROR(__xludf.DUMMYFUNCTION("""COMPUTED_VALUE"""),44960.79306393518)</f>
        <v>44960.79306</v>
      </c>
      <c r="C1529" s="1" t="str">
        <f>IFERROR(__xludf.DUMMYFUNCTION("""COMPUTED_VALUE"""),"PEREZ HECTOR ")</f>
        <v>PEREZ HECTOR </v>
      </c>
      <c r="D1529" s="1" t="str">
        <f>IFERROR(__xludf.DUMMYFUNCTION("""COMPUTED_VALUE"""),"Lentes de STOCK")</f>
        <v>Lentes de STOCK</v>
      </c>
      <c r="E1529" s="1" t="str">
        <f>IFERROR(__xludf.DUMMYFUNCTION("""COMPUTED_VALUE"""),"RIVADAVIA Luciana")</f>
        <v>RIVADAVIA Luciana</v>
      </c>
      <c r="F1529" s="1" t="str">
        <f t="shared" si="1"/>
        <v>RIVADAVIA </v>
      </c>
      <c r="G1529" s="1" t="str">
        <f t="shared" si="2"/>
        <v>Luciana</v>
      </c>
      <c r="H1529" s="1" t="str">
        <f>IFERROR(__xludf.DUMMYFUNCTION("""COMPUTED_VALUE"""),"8/2/2023, 17:00:00")</f>
        <v>8/2/2023, 17:00:00</v>
      </c>
      <c r="I1529" s="1" t="str">
        <f>IFERROR(__xludf.DUMMYFUNCTION("""COMPUTED_VALUE"""),"RETIRADO OK POR CLIENTE")</f>
        <v>RETIRADO OK POR CLIENTE</v>
      </c>
      <c r="J1529" s="1">
        <f t="shared" si="3"/>
        <v>6</v>
      </c>
      <c r="K1529" s="1" t="str">
        <f t="shared" si="4"/>
        <v>Entregamos tus lentes, que los disfrutes!</v>
      </c>
    </row>
    <row r="1530">
      <c r="A1530" s="1">
        <f>IFERROR(__xludf.DUMMYFUNCTION("""COMPUTED_VALUE"""),86079.0)</f>
        <v>86079</v>
      </c>
      <c r="B1530" s="5">
        <f>IFERROR(__xludf.DUMMYFUNCTION("""COMPUTED_VALUE"""),44960.79328100695)</f>
        <v>44960.79328</v>
      </c>
      <c r="C1530" s="1" t="str">
        <f>IFERROR(__xludf.DUMMYFUNCTION("""COMPUTED_VALUE"""),"GARAY MARIA GLADYS")</f>
        <v>GARAY MARIA GLADYS</v>
      </c>
      <c r="D1530" s="1" t="str">
        <f>IFERROR(__xludf.DUMMYFUNCTION("""COMPUTED_VALUE"""),"Lentes de STOCK")</f>
        <v>Lentes de STOCK</v>
      </c>
      <c r="E1530" s="1" t="str">
        <f>IFERROR(__xludf.DUMMYFUNCTION("""COMPUTED_VALUE"""),"RIVADAVIA Santiago LOPEZ")</f>
        <v>RIVADAVIA Santiago LOPEZ</v>
      </c>
      <c r="F1530" s="1" t="str">
        <f t="shared" si="1"/>
        <v>RIVADAVIA </v>
      </c>
      <c r="G1530" s="1" t="str">
        <f t="shared" si="2"/>
        <v>Santiago LOPEZ</v>
      </c>
      <c r="H1530" s="1" t="str">
        <f>IFERROR(__xludf.DUMMYFUNCTION("""COMPUTED_VALUE"""),"7/2/2023, 17:00:00")</f>
        <v>7/2/2023, 17:00:00</v>
      </c>
      <c r="I1530" s="1" t="str">
        <f>IFERROR(__xludf.DUMMYFUNCTION("""COMPUTED_VALUE"""),"RETIRADO OK POR CLIENTE")</f>
        <v>RETIRADO OK POR CLIENTE</v>
      </c>
      <c r="J1530" s="1">
        <f t="shared" si="3"/>
        <v>6</v>
      </c>
      <c r="K1530" s="1" t="str">
        <f t="shared" si="4"/>
        <v>Entregamos tus lentes, que los disfrutes!</v>
      </c>
    </row>
    <row r="1531">
      <c r="A1531" s="1">
        <f>IFERROR(__xludf.DUMMYFUNCTION("""COMPUTED_VALUE"""),86080.0)</f>
        <v>86080</v>
      </c>
      <c r="B1531" s="5">
        <f>IFERROR(__xludf.DUMMYFUNCTION("""COMPUTED_VALUE"""),44960.80400045139)</f>
        <v>44960.804</v>
      </c>
      <c r="C1531" s="1" t="str">
        <f>IFERROR(__xludf.DUMMYFUNCTION("""COMPUTED_VALUE"""),"GARRIDO GUZMAN VALENTINA")</f>
        <v>GARRIDO GUZMAN VALENTINA</v>
      </c>
      <c r="D1531" s="1" t="str">
        <f>IFERROR(__xludf.DUMMYFUNCTION("""COMPUTED_VALUE"""),"Lentes de STOCK")</f>
        <v>Lentes de STOCK</v>
      </c>
      <c r="E1531" s="1" t="str">
        <f>IFERROR(__xludf.DUMMYFUNCTION("""COMPUTED_VALUE"""),"RIVADAVIA Javier")</f>
        <v>RIVADAVIA Javier</v>
      </c>
      <c r="F1531" s="1" t="str">
        <f t="shared" si="1"/>
        <v>RIVADAVIA </v>
      </c>
      <c r="G1531" s="1" t="str">
        <f t="shared" si="2"/>
        <v>Javier</v>
      </c>
      <c r="H1531" s="1" t="str">
        <f>IFERROR(__xludf.DUMMYFUNCTION("""COMPUTED_VALUE"""),"8/2/2023, 17:00:00")</f>
        <v>8/2/2023, 17:00:00</v>
      </c>
      <c r="I1531" s="1" t="str">
        <f>IFERROR(__xludf.DUMMYFUNCTION("""COMPUTED_VALUE"""),"Recibido en Laboratorio")</f>
        <v>Recibido en Laboratorio</v>
      </c>
      <c r="J1531" s="1">
        <f t="shared" si="3"/>
        <v>2</v>
      </c>
      <c r="K1531" s="1" t="str">
        <f t="shared" si="4"/>
        <v>Nuestro Laboratorio esta trabajando en tus lentes, los entregaremos en la fecha acordada.</v>
      </c>
    </row>
    <row r="1532">
      <c r="A1532" s="1">
        <f>IFERROR(__xludf.DUMMYFUNCTION("""COMPUTED_VALUE"""),86081.0)</f>
        <v>86081</v>
      </c>
      <c r="B1532" s="5">
        <f>IFERROR(__xludf.DUMMYFUNCTION("""COMPUTED_VALUE"""),44960.80613358796)</f>
        <v>44960.80613</v>
      </c>
      <c r="C1532" s="1" t="str">
        <f>IFERROR(__xludf.DUMMYFUNCTION("""COMPUTED_VALUE"""),"Sosa Sheila")</f>
        <v>Sosa Sheila</v>
      </c>
      <c r="D1532" s="1" t="str">
        <f>IFERROR(__xludf.DUMMYFUNCTION("""COMPUTED_VALUE"""),"Lentes de STOCK")</f>
        <v>Lentes de STOCK</v>
      </c>
      <c r="E1532" s="1" t="str">
        <f>IFERROR(__xludf.DUMMYFUNCTION("""COMPUTED_VALUE"""),"ARTIGAS Roció")</f>
        <v>ARTIGAS Roció</v>
      </c>
      <c r="F1532" s="1" t="str">
        <f t="shared" si="1"/>
        <v>ARTIGAS </v>
      </c>
      <c r="G1532" s="1" t="str">
        <f t="shared" si="2"/>
        <v>Roció</v>
      </c>
      <c r="H1532" s="1" t="str">
        <f>IFERROR(__xludf.DUMMYFUNCTION("""COMPUTED_VALUE"""),"10/2/2023, 17:00:00")</f>
        <v>10/2/2023, 17:00:00</v>
      </c>
      <c r="I1532" s="1" t="str">
        <f>IFERROR(__xludf.DUMMYFUNCTION("""COMPUTED_VALUE"""),"RETIRADO OK POR CLIENTE")</f>
        <v>RETIRADO OK POR CLIENTE</v>
      </c>
      <c r="J1532" s="1">
        <f t="shared" si="3"/>
        <v>6</v>
      </c>
      <c r="K1532" s="1" t="str">
        <f t="shared" si="4"/>
        <v>Entregamos tus lentes, que los disfrutes!</v>
      </c>
    </row>
    <row r="1533">
      <c r="A1533" s="1">
        <f>IFERROR(__xludf.DUMMYFUNCTION("""COMPUTED_VALUE"""),86082.0)</f>
        <v>86082</v>
      </c>
      <c r="B1533" s="5">
        <f>IFERROR(__xludf.DUMMYFUNCTION("""COMPUTED_VALUE"""),44960.81131239583)</f>
        <v>44960.81131</v>
      </c>
      <c r="C1533" s="1" t="str">
        <f>IFERROR(__xludf.DUMMYFUNCTION("""COMPUTED_VALUE"""),"delgado ana maria")</f>
        <v>delgado ana maria</v>
      </c>
      <c r="D1533" s="1" t="str">
        <f>IFERROR(__xludf.DUMMYFUNCTION("""COMPUTED_VALUE"""),"Lentes de STOCK")</f>
        <v>Lentes de STOCK</v>
      </c>
      <c r="E1533" s="1" t="str">
        <f>IFERROR(__xludf.DUMMYFUNCTION("""COMPUTED_VALUE"""),"RIVADAVIA Santiago N")</f>
        <v>RIVADAVIA Santiago N</v>
      </c>
      <c r="F1533" s="1" t="str">
        <f t="shared" si="1"/>
        <v>RIVADAVIA </v>
      </c>
      <c r="G1533" s="1" t="str">
        <f t="shared" si="2"/>
        <v>Santiago N</v>
      </c>
      <c r="H1533" s="1" t="str">
        <f>IFERROR(__xludf.DUMMYFUNCTION("""COMPUTED_VALUE"""),"6/2/2023, 17:00:00")</f>
        <v>6/2/2023, 17:00:00</v>
      </c>
      <c r="I1533" s="1" t="str">
        <f>IFERROR(__xludf.DUMMYFUNCTION("""COMPUTED_VALUE"""),"RETIRADO OK POR CLIENTE")</f>
        <v>RETIRADO OK POR CLIENTE</v>
      </c>
      <c r="J1533" s="1">
        <f t="shared" si="3"/>
        <v>6</v>
      </c>
      <c r="K1533" s="1" t="str">
        <f t="shared" si="4"/>
        <v>Entregamos tus lentes, que los disfrutes!</v>
      </c>
    </row>
    <row r="1534">
      <c r="A1534" s="1">
        <f>IFERROR(__xludf.DUMMYFUNCTION("""COMPUTED_VALUE"""),86083.0)</f>
        <v>86083</v>
      </c>
      <c r="B1534" s="5">
        <f>IFERROR(__xludf.DUMMYFUNCTION("""COMPUTED_VALUE"""),44960.81383673611)</f>
        <v>44960.81384</v>
      </c>
      <c r="C1534" s="1" t="str">
        <f>IFERROR(__xludf.DUMMYFUNCTION("""COMPUTED_VALUE"""),"DE MIGUEL MARIA TERESA")</f>
        <v>DE MIGUEL MARIA TERESA</v>
      </c>
      <c r="D1534" s="1" t="str">
        <f>IFERROR(__xludf.DUMMYFUNCTION("""COMPUTED_VALUE"""),"Lentes de STOCK")</f>
        <v>Lentes de STOCK</v>
      </c>
      <c r="E1534" s="1" t="str">
        <f>IFERROR(__xludf.DUMMYFUNCTION("""COMPUTED_VALUE"""),"ARTIGAS Cristian C.")</f>
        <v>ARTIGAS Cristian C.</v>
      </c>
      <c r="F1534" s="1" t="str">
        <f t="shared" si="1"/>
        <v>ARTIGAS </v>
      </c>
      <c r="G1534" s="1" t="str">
        <f t="shared" si="2"/>
        <v>Cristian C.</v>
      </c>
      <c r="H1534" s="1" t="str">
        <f>IFERROR(__xludf.DUMMYFUNCTION("""COMPUTED_VALUE"""),"8/2/2023, 17:00:00")</f>
        <v>8/2/2023, 17:00:00</v>
      </c>
      <c r="I1534" s="1" t="str">
        <f>IFERROR(__xludf.DUMMYFUNCTION("""COMPUTED_VALUE"""),"RETIRADO OK POR CLIENTE")</f>
        <v>RETIRADO OK POR CLIENTE</v>
      </c>
      <c r="J1534" s="1">
        <f t="shared" si="3"/>
        <v>6</v>
      </c>
      <c r="K1534" s="1" t="str">
        <f t="shared" si="4"/>
        <v>Entregamos tus lentes, que los disfrutes!</v>
      </c>
    </row>
    <row r="1535">
      <c r="A1535" s="1">
        <f>IFERROR(__xludf.DUMMYFUNCTION("""COMPUTED_VALUE"""),86084.0)</f>
        <v>86084</v>
      </c>
      <c r="B1535" s="5">
        <f>IFERROR(__xludf.DUMMYFUNCTION("""COMPUTED_VALUE"""),44960.8167215162)</f>
        <v>44960.81672</v>
      </c>
      <c r="C1535" s="1" t="str">
        <f>IFERROR(__xludf.DUMMYFUNCTION("""COMPUTED_VALUE"""),"lescano benito")</f>
        <v>lescano benito</v>
      </c>
      <c r="D1535" s="1" t="str">
        <f>IFERROR(__xludf.DUMMYFUNCTION("""COMPUTED_VALUE"""),"Lentes de STOCK")</f>
        <v>Lentes de STOCK</v>
      </c>
      <c r="E1535" s="1" t="str">
        <f>IFERROR(__xludf.DUMMYFUNCTION("""COMPUTED_VALUE"""),"RIVADAVIA Santiago N")</f>
        <v>RIVADAVIA Santiago N</v>
      </c>
      <c r="F1535" s="1" t="str">
        <f t="shared" si="1"/>
        <v>RIVADAVIA </v>
      </c>
      <c r="G1535" s="1" t="str">
        <f t="shared" si="2"/>
        <v>Santiago N</v>
      </c>
      <c r="H1535" s="1" t="str">
        <f>IFERROR(__xludf.DUMMYFUNCTION("""COMPUTED_VALUE"""),"6/2/2023, 17:00:00")</f>
        <v>6/2/2023, 17:00:00</v>
      </c>
      <c r="I1535" s="1" t="str">
        <f>IFERROR(__xludf.DUMMYFUNCTION("""COMPUTED_VALUE"""),"RETIRADO OK POR CLIENTE")</f>
        <v>RETIRADO OK POR CLIENTE</v>
      </c>
      <c r="J1535" s="1">
        <f t="shared" si="3"/>
        <v>6</v>
      </c>
      <c r="K1535" s="1" t="str">
        <f t="shared" si="4"/>
        <v>Entregamos tus lentes, que los disfrutes!</v>
      </c>
    </row>
    <row r="1536">
      <c r="A1536" s="1">
        <f>IFERROR(__xludf.DUMMYFUNCTION("""COMPUTED_VALUE"""),86085.0)</f>
        <v>86085</v>
      </c>
      <c r="B1536" s="5">
        <f>IFERROR(__xludf.DUMMYFUNCTION("""COMPUTED_VALUE"""),44960.819313622684)</f>
        <v>44960.81931</v>
      </c>
      <c r="C1536" s="1" t="str">
        <f>IFERROR(__xludf.DUMMYFUNCTION("""COMPUTED_VALUE"""),"DE LA CASA CRISTINA DEL CARMEN")</f>
        <v>DE LA CASA CRISTINA DEL CARMEN</v>
      </c>
      <c r="D1536" s="1" t="str">
        <f>IFERROR(__xludf.DUMMYFUNCTION("""COMPUTED_VALUE"""),"Lentes de STOCK")</f>
        <v>Lentes de STOCK</v>
      </c>
      <c r="E1536" s="1" t="str">
        <f>IFERROR(__xludf.DUMMYFUNCTION("""COMPUTED_VALUE"""),"RIVADAVIA Marcela L")</f>
        <v>RIVADAVIA Marcela L</v>
      </c>
      <c r="F1536" s="1" t="str">
        <f t="shared" si="1"/>
        <v>RIVADAVIA </v>
      </c>
      <c r="G1536" s="1" t="str">
        <f t="shared" si="2"/>
        <v>Marcela L</v>
      </c>
      <c r="H1536" s="1" t="str">
        <f>IFERROR(__xludf.DUMMYFUNCTION("""COMPUTED_VALUE"""),"8/2/2023, 17:00:00")</f>
        <v>8/2/2023, 17:00:00</v>
      </c>
      <c r="I1536" s="1" t="str">
        <f>IFERROR(__xludf.DUMMYFUNCTION("""COMPUTED_VALUE"""),"Recibido en Laboratorio")</f>
        <v>Recibido en Laboratorio</v>
      </c>
      <c r="J1536" s="1">
        <f t="shared" si="3"/>
        <v>2</v>
      </c>
      <c r="K1536" s="1" t="str">
        <f t="shared" si="4"/>
        <v>Nuestro Laboratorio esta trabajando en tus lentes, los entregaremos en la fecha acordada.</v>
      </c>
    </row>
    <row r="1537">
      <c r="A1537" s="1">
        <f>IFERROR(__xludf.DUMMYFUNCTION("""COMPUTED_VALUE"""),86086.0)</f>
        <v>86086</v>
      </c>
      <c r="B1537" s="5">
        <f>IFERROR(__xludf.DUMMYFUNCTION("""COMPUTED_VALUE"""),44960.81969163194)</f>
        <v>44960.81969</v>
      </c>
      <c r="C1537" s="1" t="str">
        <f>IFERROR(__xludf.DUMMYFUNCTION("""COMPUTED_VALUE"""),"Bordon Miriam")</f>
        <v>Bordon Miriam</v>
      </c>
      <c r="D1537" s="1" t="str">
        <f>IFERROR(__xludf.DUMMYFUNCTION("""COMPUTED_VALUE"""),"Lentes de STOCK")</f>
        <v>Lentes de STOCK</v>
      </c>
      <c r="E1537" s="1" t="str">
        <f>IFERROR(__xludf.DUMMYFUNCTION("""COMPUTED_VALUE"""),"ARTIGAS Roció")</f>
        <v>ARTIGAS Roció</v>
      </c>
      <c r="F1537" s="1" t="str">
        <f t="shared" si="1"/>
        <v>ARTIGAS </v>
      </c>
      <c r="G1537" s="1" t="str">
        <f t="shared" si="2"/>
        <v>Roció</v>
      </c>
      <c r="H1537" s="1" t="str">
        <f>IFERROR(__xludf.DUMMYFUNCTION("""COMPUTED_VALUE"""),"10/2/2023, 17:00:00")</f>
        <v>10/2/2023, 17:00:00</v>
      </c>
      <c r="I1537" s="1" t="str">
        <f>IFERROR(__xludf.DUMMYFUNCTION("""COMPUTED_VALUE"""),"RETIRADO OK POR CLIENTE")</f>
        <v>RETIRADO OK POR CLIENTE</v>
      </c>
      <c r="J1537" s="1">
        <f t="shared" si="3"/>
        <v>6</v>
      </c>
      <c r="K1537" s="1" t="str">
        <f t="shared" si="4"/>
        <v>Entregamos tus lentes, que los disfrutes!</v>
      </c>
    </row>
    <row r="1538">
      <c r="A1538" s="1">
        <f>IFERROR(__xludf.DUMMYFUNCTION("""COMPUTED_VALUE"""),86087.0)</f>
        <v>86087</v>
      </c>
      <c r="B1538" s="5">
        <f>IFERROR(__xludf.DUMMYFUNCTION("""COMPUTED_VALUE"""),44960.824338402774)</f>
        <v>44960.82434</v>
      </c>
      <c r="C1538" s="1" t="str">
        <f>IFERROR(__xludf.DUMMYFUNCTION("""COMPUTED_VALUE"""),"CEBALLOS RAMONA MARTIRIANA")</f>
        <v>CEBALLOS RAMONA MARTIRIANA</v>
      </c>
      <c r="D1538" s="1" t="str">
        <f>IFERROR(__xludf.DUMMYFUNCTION("""COMPUTED_VALUE"""),"Lentes de STOCK")</f>
        <v>Lentes de STOCK</v>
      </c>
      <c r="E1538" s="1" t="str">
        <f>IFERROR(__xludf.DUMMYFUNCTION("""COMPUTED_VALUE"""),"ARTIGAS Cristian C.")</f>
        <v>ARTIGAS Cristian C.</v>
      </c>
      <c r="F1538" s="1" t="str">
        <f t="shared" si="1"/>
        <v>ARTIGAS </v>
      </c>
      <c r="G1538" s="1" t="str">
        <f t="shared" si="2"/>
        <v>Cristian C.</v>
      </c>
      <c r="H1538" s="1" t="str">
        <f>IFERROR(__xludf.DUMMYFUNCTION("""COMPUTED_VALUE"""),"9/2/2023, 17:00:00")</f>
        <v>9/2/2023, 17:00:00</v>
      </c>
      <c r="I1538" s="1" t="str">
        <f>IFERROR(__xludf.DUMMYFUNCTION("""COMPUTED_VALUE"""),"RETIRADO OK POR CLIENTE")</f>
        <v>RETIRADO OK POR CLIENTE</v>
      </c>
      <c r="J1538" s="1">
        <f t="shared" si="3"/>
        <v>6</v>
      </c>
      <c r="K1538" s="1" t="str">
        <f t="shared" si="4"/>
        <v>Entregamos tus lentes, que los disfrutes!</v>
      </c>
    </row>
    <row r="1539">
      <c r="A1539" s="1">
        <f>IFERROR(__xludf.DUMMYFUNCTION("""COMPUTED_VALUE"""),86088.0)</f>
        <v>86088</v>
      </c>
      <c r="B1539" s="5">
        <f>IFERROR(__xludf.DUMMYFUNCTION("""COMPUTED_VALUE"""),44960.83018953704)</f>
        <v>44960.83019</v>
      </c>
      <c r="C1539" s="1" t="str">
        <f>IFERROR(__xludf.DUMMYFUNCTION("""COMPUTED_VALUE"""),"ROBLEDO LUIS NORBERTO")</f>
        <v>ROBLEDO LUIS NORBERTO</v>
      </c>
      <c r="D1539" s="1" t="str">
        <f>IFERROR(__xludf.DUMMYFUNCTION("""COMPUTED_VALUE"""),"Lentes de STOCK")</f>
        <v>Lentes de STOCK</v>
      </c>
      <c r="E1539" s="1" t="str">
        <f>IFERROR(__xludf.DUMMYFUNCTION("""COMPUTED_VALUE"""),"RIVADAVIA Marcela L")</f>
        <v>RIVADAVIA Marcela L</v>
      </c>
      <c r="F1539" s="1" t="str">
        <f t="shared" si="1"/>
        <v>RIVADAVIA </v>
      </c>
      <c r="G1539" s="1" t="str">
        <f t="shared" si="2"/>
        <v>Marcela L</v>
      </c>
      <c r="H1539" s="1" t="str">
        <f>IFERROR(__xludf.DUMMYFUNCTION("""COMPUTED_VALUE"""),"8/2/2023, 17:00:00")</f>
        <v>8/2/2023, 17:00:00</v>
      </c>
      <c r="I1539" s="1" t="str">
        <f>IFERROR(__xludf.DUMMYFUNCTION("""COMPUTED_VALUE"""),"Recibido en Laboratorio")</f>
        <v>Recibido en Laboratorio</v>
      </c>
      <c r="J1539" s="1">
        <f t="shared" si="3"/>
        <v>2</v>
      </c>
      <c r="K1539" s="1" t="str">
        <f t="shared" si="4"/>
        <v>Nuestro Laboratorio esta trabajando en tus lentes, los entregaremos en la fecha acordada.</v>
      </c>
    </row>
    <row r="1540">
      <c r="A1540" s="1">
        <f>IFERROR(__xludf.DUMMYFUNCTION("""COMPUTED_VALUE"""),86089.0)</f>
        <v>86089</v>
      </c>
      <c r="B1540" s="5">
        <f>IFERROR(__xludf.DUMMYFUNCTION("""COMPUTED_VALUE"""),44960.83946780092)</f>
        <v>44960.83947</v>
      </c>
      <c r="C1540" s="1" t="str">
        <f>IFERROR(__xludf.DUMMYFUNCTION("""COMPUTED_VALUE"""),"PEREZ CLAUDIA")</f>
        <v>PEREZ CLAUDIA</v>
      </c>
      <c r="D1540" s="1" t="str">
        <f>IFERROR(__xludf.DUMMYFUNCTION("""COMPUTED_VALUE"""),"Lentes de STOCK")</f>
        <v>Lentes de STOCK</v>
      </c>
      <c r="E1540" s="1" t="str">
        <f>IFERROR(__xludf.DUMMYFUNCTION("""COMPUTED_VALUE"""),"RIVADAVIA Santiago LOPEZ")</f>
        <v>RIVADAVIA Santiago LOPEZ</v>
      </c>
      <c r="F1540" s="1" t="str">
        <f t="shared" si="1"/>
        <v>RIVADAVIA </v>
      </c>
      <c r="G1540" s="1" t="str">
        <f t="shared" si="2"/>
        <v>Santiago LOPEZ</v>
      </c>
      <c r="H1540" s="1" t="str">
        <f>IFERROR(__xludf.DUMMYFUNCTION("""COMPUTED_VALUE"""),"7/2/2023, 17:00:00")</f>
        <v>7/2/2023, 17:00:00</v>
      </c>
      <c r="I1540" s="1" t="str">
        <f>IFERROR(__xludf.DUMMYFUNCTION("""COMPUTED_VALUE"""),"Recibido en Laboratorio")</f>
        <v>Recibido en Laboratorio</v>
      </c>
      <c r="J1540" s="1">
        <f t="shared" si="3"/>
        <v>2</v>
      </c>
      <c r="K1540" s="1" t="str">
        <f t="shared" si="4"/>
        <v>Nuestro Laboratorio esta trabajando en tus lentes, los entregaremos en la fecha acordada.</v>
      </c>
    </row>
    <row r="1541">
      <c r="A1541" s="1">
        <f>IFERROR(__xludf.DUMMYFUNCTION("""COMPUTED_VALUE"""),86090.0)</f>
        <v>86090</v>
      </c>
      <c r="B1541" s="5">
        <f>IFERROR(__xludf.DUMMYFUNCTION("""COMPUTED_VALUE"""),44960.840540868056)</f>
        <v>44960.84054</v>
      </c>
      <c r="C1541" s="1" t="str">
        <f>IFERROR(__xludf.DUMMYFUNCTION("""COMPUTED_VALUE"""),"visintini luis sergio")</f>
        <v>visintini luis sergio</v>
      </c>
      <c r="D1541" s="1" t="str">
        <f>IFERROR(__xludf.DUMMYFUNCTION("""COMPUTED_VALUE"""),"Lentes MULTIFOCALES")</f>
        <v>Lentes MULTIFOCALES</v>
      </c>
      <c r="E1541" s="1" t="str">
        <f>IFERROR(__xludf.DUMMYFUNCTION("""COMPUTED_VALUE"""),"RIVADAVIA Santiago N")</f>
        <v>RIVADAVIA Santiago N</v>
      </c>
      <c r="F1541" s="1" t="str">
        <f t="shared" si="1"/>
        <v>RIVADAVIA </v>
      </c>
      <c r="G1541" s="1" t="str">
        <f t="shared" si="2"/>
        <v>Santiago N</v>
      </c>
      <c r="H1541" s="1" t="str">
        <f>IFERROR(__xludf.DUMMYFUNCTION("""COMPUTED_VALUE"""),"16/2/2023, 17:00:00")</f>
        <v>16/2/2023, 17:00:00</v>
      </c>
      <c r="I1541" s="1" t="str">
        <f>IFERROR(__xludf.DUMMYFUNCTION("""COMPUTED_VALUE"""),"Completado en SUCURSAL")</f>
        <v>Completado en SUCURSAL</v>
      </c>
      <c r="J1541" s="1">
        <f t="shared" si="3"/>
        <v>5</v>
      </c>
      <c r="K1541" s="1" t="str">
        <f t="shared" si="4"/>
        <v>Tus Lentes estan LISTAS PARA ENTREGAR, te esperamos.</v>
      </c>
    </row>
    <row r="1542">
      <c r="A1542" s="1">
        <f>IFERROR(__xludf.DUMMYFUNCTION("""COMPUTED_VALUE"""),86091.0)</f>
        <v>86091</v>
      </c>
      <c r="B1542" s="5">
        <f>IFERROR(__xludf.DUMMYFUNCTION("""COMPUTED_VALUE"""),44960.845219560186)</f>
        <v>44960.84522</v>
      </c>
      <c r="C1542" s="1" t="str">
        <f>IFERROR(__xludf.DUMMYFUNCTION("""COMPUTED_VALUE"""),"PALLERO DELIA")</f>
        <v>PALLERO DELIA</v>
      </c>
      <c r="D1542" s="1" t="str">
        <f>IFERROR(__xludf.DUMMYFUNCTION("""COMPUTED_VALUE"""),"Reparaciones/Otros")</f>
        <v>Reparaciones/Otros</v>
      </c>
      <c r="E1542" s="1" t="str">
        <f>IFERROR(__xludf.DUMMYFUNCTION("""COMPUTED_VALUE"""),"RIVADAVIA Marcela L")</f>
        <v>RIVADAVIA Marcela L</v>
      </c>
      <c r="F1542" s="1" t="str">
        <f t="shared" si="1"/>
        <v>RIVADAVIA </v>
      </c>
      <c r="G1542" s="1" t="str">
        <f t="shared" si="2"/>
        <v>Marcela L</v>
      </c>
      <c r="H1542" s="1" t="str">
        <f>IFERROR(__xludf.DUMMYFUNCTION("""COMPUTED_VALUE"""),"4/2/2023, 17:00:00")</f>
        <v>4/2/2023, 17:00:00</v>
      </c>
      <c r="I1542" s="1"/>
      <c r="J1542" s="1">
        <f t="shared" si="3"/>
        <v>0</v>
      </c>
      <c r="K1542" s="1" t="str">
        <f t="shared" si="4"/>
        <v/>
      </c>
    </row>
    <row r="1543">
      <c r="A1543" s="1">
        <f>IFERROR(__xludf.DUMMYFUNCTION("""COMPUTED_VALUE"""),86092.0)</f>
        <v>86092</v>
      </c>
      <c r="B1543" s="5">
        <f>IFERROR(__xludf.DUMMYFUNCTION("""COMPUTED_VALUE"""),44960.85090521991)</f>
        <v>44960.85091</v>
      </c>
      <c r="C1543" s="1" t="str">
        <f>IFERROR(__xludf.DUMMYFUNCTION("""COMPUTED_VALUE"""),"PALLERO DELIA")</f>
        <v>PALLERO DELIA</v>
      </c>
      <c r="D1543" s="1" t="str">
        <f>IFERROR(__xludf.DUMMYFUNCTION("""COMPUTED_VALUE"""),"Lentes de STOCK")</f>
        <v>Lentes de STOCK</v>
      </c>
      <c r="E1543" s="1" t="str">
        <f>IFERROR(__xludf.DUMMYFUNCTION("""COMPUTED_VALUE"""),"RIVADAVIA Marcela L")</f>
        <v>RIVADAVIA Marcela L</v>
      </c>
      <c r="F1543" s="1" t="str">
        <f t="shared" si="1"/>
        <v>RIVADAVIA </v>
      </c>
      <c r="G1543" s="1" t="str">
        <f t="shared" si="2"/>
        <v>Marcela L</v>
      </c>
      <c r="H1543" s="1" t="str">
        <f>IFERROR(__xludf.DUMMYFUNCTION("""COMPUTED_VALUE"""),"10/2/2023, 17:00:00")</f>
        <v>10/2/2023, 17:00:00</v>
      </c>
      <c r="I1543" s="1" t="str">
        <f>IFERROR(__xludf.DUMMYFUNCTION("""COMPUTED_VALUE"""),"RETIRADO OK POR CLIENTE")</f>
        <v>RETIRADO OK POR CLIENTE</v>
      </c>
      <c r="J1543" s="1">
        <f t="shared" si="3"/>
        <v>6</v>
      </c>
      <c r="K1543" s="1" t="str">
        <f t="shared" si="4"/>
        <v>Entregamos tus lentes, que los disfrutes!</v>
      </c>
    </row>
    <row r="1544">
      <c r="A1544" s="1">
        <f>IFERROR(__xludf.DUMMYFUNCTION("""COMPUTED_VALUE"""),86093.0)</f>
        <v>86093</v>
      </c>
      <c r="B1544" s="5">
        <f>IFERROR(__xludf.DUMMYFUNCTION("""COMPUTED_VALUE"""),44960.85348972223)</f>
        <v>44960.85349</v>
      </c>
      <c r="C1544" s="1" t="str">
        <f>IFERROR(__xludf.DUMMYFUNCTION("""COMPUTED_VALUE"""),"MITCHEL CARLOS")</f>
        <v>MITCHEL CARLOS</v>
      </c>
      <c r="D1544" s="1" t="str">
        <f>IFERROR(__xludf.DUMMYFUNCTION("""COMPUTED_VALUE"""),"Reparaciones/Otros")</f>
        <v>Reparaciones/Otros</v>
      </c>
      <c r="E1544" s="1" t="str">
        <f>IFERROR(__xludf.DUMMYFUNCTION("""COMPUTED_VALUE"""),"RIVADAVIA Daniel CM")</f>
        <v>RIVADAVIA Daniel CM</v>
      </c>
      <c r="F1544" s="1" t="str">
        <f t="shared" si="1"/>
        <v>RIVADAVIA </v>
      </c>
      <c r="G1544" s="1" t="str">
        <f t="shared" si="2"/>
        <v>Daniel CM</v>
      </c>
      <c r="H1544" s="1" t="str">
        <f>IFERROR(__xludf.DUMMYFUNCTION("""COMPUTED_VALUE"""),"4/2/2023, 17:00:00")</f>
        <v>4/2/2023, 17:00:00</v>
      </c>
      <c r="I1544" s="1" t="str">
        <f>IFERROR(__xludf.DUMMYFUNCTION("""COMPUTED_VALUE"""),"Recibido en Laboratorio")</f>
        <v>Recibido en Laboratorio</v>
      </c>
      <c r="J1544" s="1">
        <f t="shared" si="3"/>
        <v>2</v>
      </c>
      <c r="K1544" s="1" t="str">
        <f t="shared" si="4"/>
        <v>Nuestro Laboratorio esta trabajando en tus lentes, los entregaremos en la fecha acordada.</v>
      </c>
    </row>
    <row r="1545">
      <c r="A1545" s="1">
        <f>IFERROR(__xludf.DUMMYFUNCTION("""COMPUTED_VALUE"""),86094.0)</f>
        <v>86094</v>
      </c>
      <c r="B1545" s="5">
        <f>IFERROR(__xludf.DUMMYFUNCTION("""COMPUTED_VALUE"""),44960.863594027775)</f>
        <v>44960.86359</v>
      </c>
      <c r="C1545" s="1" t="str">
        <f>IFERROR(__xludf.DUMMYFUNCTION("""COMPUTED_VALUE"""),"garro marcelo")</f>
        <v>garro marcelo</v>
      </c>
      <c r="D1545" s="1" t="str">
        <f>IFERROR(__xludf.DUMMYFUNCTION("""COMPUTED_VALUE"""),"Lentes MULTIFOCALES")</f>
        <v>Lentes MULTIFOCALES</v>
      </c>
      <c r="E1545" s="1" t="str">
        <f>IFERROR(__xludf.DUMMYFUNCTION("""COMPUTED_VALUE"""),"RIVADAVIA Santiago N")</f>
        <v>RIVADAVIA Santiago N</v>
      </c>
      <c r="F1545" s="1" t="str">
        <f t="shared" si="1"/>
        <v>RIVADAVIA </v>
      </c>
      <c r="G1545" s="1" t="str">
        <f t="shared" si="2"/>
        <v>Santiago N</v>
      </c>
      <c r="H1545" s="1" t="str">
        <f>IFERROR(__xludf.DUMMYFUNCTION("""COMPUTED_VALUE"""),"16/2/2023, 17:00:00")</f>
        <v>16/2/2023, 17:00:00</v>
      </c>
      <c r="I1545" s="1" t="str">
        <f>IFERROR(__xludf.DUMMYFUNCTION("""COMPUTED_VALUE"""),"RETIRADO OK POR CLIENTE")</f>
        <v>RETIRADO OK POR CLIENTE</v>
      </c>
      <c r="J1545" s="1">
        <f t="shared" si="3"/>
        <v>6</v>
      </c>
      <c r="K1545" s="1" t="str">
        <f t="shared" si="4"/>
        <v>Entregamos tus lentes, que los disfrutes!</v>
      </c>
    </row>
    <row r="1546">
      <c r="A1546" s="1">
        <f>IFERROR(__xludf.DUMMYFUNCTION("""COMPUTED_VALUE"""),86095.0)</f>
        <v>86095</v>
      </c>
      <c r="B1546" s="5">
        <f>IFERROR(__xludf.DUMMYFUNCTION("""COMPUTED_VALUE"""),44960.87686844908)</f>
        <v>44960.87687</v>
      </c>
      <c r="C1546" s="1" t="str">
        <f>IFERROR(__xludf.DUMMYFUNCTION("""COMPUTED_VALUE"""),"CAO MALVINA")</f>
        <v>CAO MALVINA</v>
      </c>
      <c r="D1546" s="1" t="str">
        <f>IFERROR(__xludf.DUMMYFUNCTION("""COMPUTED_VALUE"""),"Lentes de STOCK")</f>
        <v>Lentes de STOCK</v>
      </c>
      <c r="E1546" s="1" t="str">
        <f>IFERROR(__xludf.DUMMYFUNCTION("""COMPUTED_VALUE"""),"RIVADAVIA Luciana")</f>
        <v>RIVADAVIA Luciana</v>
      </c>
      <c r="F1546" s="1" t="str">
        <f t="shared" si="1"/>
        <v>RIVADAVIA </v>
      </c>
      <c r="G1546" s="1" t="str">
        <f t="shared" si="2"/>
        <v>Luciana</v>
      </c>
      <c r="H1546" s="1" t="str">
        <f>IFERROR(__xludf.DUMMYFUNCTION("""COMPUTED_VALUE"""),"8/2/2023, 18:00:00")</f>
        <v>8/2/2023, 18:00:00</v>
      </c>
      <c r="I1546" s="1" t="str">
        <f>IFERROR(__xludf.DUMMYFUNCTION("""COMPUTED_VALUE"""),"Recibido en Laboratorio")</f>
        <v>Recibido en Laboratorio</v>
      </c>
      <c r="J1546" s="1">
        <f t="shared" si="3"/>
        <v>2</v>
      </c>
      <c r="K1546" s="1" t="str">
        <f t="shared" si="4"/>
        <v>Nuestro Laboratorio esta trabajando en tus lentes, los entregaremos en la fecha acordada.</v>
      </c>
    </row>
    <row r="1547">
      <c r="A1547" s="1">
        <f>IFERROR(__xludf.DUMMYFUNCTION("""COMPUTED_VALUE"""),86096.0)</f>
        <v>86096</v>
      </c>
      <c r="B1547" s="5">
        <f>IFERROR(__xludf.DUMMYFUNCTION("""COMPUTED_VALUE"""),44961.406330474536)</f>
        <v>44961.40633</v>
      </c>
      <c r="C1547" s="1" t="str">
        <f>IFERROR(__xludf.DUMMYFUNCTION("""COMPUTED_VALUE"""),"RODRIGUEZ SONIA")</f>
        <v>RODRIGUEZ SONIA</v>
      </c>
      <c r="D1547" s="1" t="str">
        <f>IFERROR(__xludf.DUMMYFUNCTION("""COMPUTED_VALUE"""),"Lentes de STOCK")</f>
        <v>Lentes de STOCK</v>
      </c>
      <c r="E1547" s="1" t="str">
        <f>IFERROR(__xludf.DUMMYFUNCTION("""COMPUTED_VALUE"""),"RIVADAVIA Santiago LOPEZ")</f>
        <v>RIVADAVIA Santiago LOPEZ</v>
      </c>
      <c r="F1547" s="1" t="str">
        <f t="shared" si="1"/>
        <v>RIVADAVIA </v>
      </c>
      <c r="G1547" s="1" t="str">
        <f t="shared" si="2"/>
        <v>Santiago LOPEZ</v>
      </c>
      <c r="H1547" s="1" t="str">
        <f>IFERROR(__xludf.DUMMYFUNCTION("""COMPUTED_VALUE"""),"7/2/2023, 17:00:00")</f>
        <v>7/2/2023, 17:00:00</v>
      </c>
      <c r="I1547" s="1" t="str">
        <f>IFERROR(__xludf.DUMMYFUNCTION("""COMPUTED_VALUE"""),"Recibido en Laboratorio")</f>
        <v>Recibido en Laboratorio</v>
      </c>
      <c r="J1547" s="1">
        <f t="shared" si="3"/>
        <v>2</v>
      </c>
      <c r="K1547" s="1" t="str">
        <f t="shared" si="4"/>
        <v>Nuestro Laboratorio esta trabajando en tus lentes, los entregaremos en la fecha acordada.</v>
      </c>
    </row>
    <row r="1548">
      <c r="A1548" s="1">
        <f>IFERROR(__xludf.DUMMYFUNCTION("""COMPUTED_VALUE"""),86097.0)</f>
        <v>86097</v>
      </c>
      <c r="B1548" s="5">
        <f>IFERROR(__xludf.DUMMYFUNCTION("""COMPUTED_VALUE"""),44961.406477847224)</f>
        <v>44961.40648</v>
      </c>
      <c r="C1548" s="1" t="str">
        <f>IFERROR(__xludf.DUMMYFUNCTION("""COMPUTED_VALUE"""),"Billiardi Luis Omar Luis Omar")</f>
        <v>Billiardi Luis Omar Luis Omar</v>
      </c>
      <c r="D1548" s="1" t="str">
        <f>IFERROR(__xludf.DUMMYFUNCTION("""COMPUTED_VALUE"""),"Lentes de STOCK")</f>
        <v>Lentes de STOCK</v>
      </c>
      <c r="E1548" s="1" t="str">
        <f>IFERROR(__xludf.DUMMYFUNCTION("""COMPUTED_VALUE"""),"ARTIGAS Roció")</f>
        <v>ARTIGAS Roció</v>
      </c>
      <c r="F1548" s="1" t="str">
        <f t="shared" si="1"/>
        <v>ARTIGAS </v>
      </c>
      <c r="G1548" s="1" t="str">
        <f t="shared" si="2"/>
        <v>Roció</v>
      </c>
      <c r="H1548" s="1" t="str">
        <f>IFERROR(__xludf.DUMMYFUNCTION("""COMPUTED_VALUE"""),"9/2/2023, 17:00:00")</f>
        <v>9/2/2023, 17:00:00</v>
      </c>
      <c r="I1548" s="1" t="str">
        <f>IFERROR(__xludf.DUMMYFUNCTION("""COMPUTED_VALUE"""),"RETIRADO OK POR CLIENTE")</f>
        <v>RETIRADO OK POR CLIENTE</v>
      </c>
      <c r="J1548" s="1">
        <f t="shared" si="3"/>
        <v>6</v>
      </c>
      <c r="K1548" s="1" t="str">
        <f t="shared" si="4"/>
        <v>Entregamos tus lentes, que los disfrutes!</v>
      </c>
    </row>
    <row r="1549">
      <c r="A1549" s="1">
        <f>IFERROR(__xludf.DUMMYFUNCTION("""COMPUTED_VALUE"""),86098.0)</f>
        <v>86098</v>
      </c>
      <c r="B1549" s="5">
        <f>IFERROR(__xludf.DUMMYFUNCTION("""COMPUTED_VALUE"""),44961.41402766204)</f>
        <v>44961.41403</v>
      </c>
      <c r="C1549" s="1" t="str">
        <f>IFERROR(__xludf.DUMMYFUNCTION("""COMPUTED_VALUE"""),"BARLOA CLAUDIA")</f>
        <v>BARLOA CLAUDIA</v>
      </c>
      <c r="D1549" s="1" t="str">
        <f>IFERROR(__xludf.DUMMYFUNCTION("""COMPUTED_VALUE"""),"Lentes de STOCK")</f>
        <v>Lentes de STOCK</v>
      </c>
      <c r="E1549" s="1" t="str">
        <f>IFERROR(__xludf.DUMMYFUNCTION("""COMPUTED_VALUE"""),"RIVADAVIA Javier")</f>
        <v>RIVADAVIA Javier</v>
      </c>
      <c r="F1549" s="1" t="str">
        <f t="shared" si="1"/>
        <v>RIVADAVIA </v>
      </c>
      <c r="G1549" s="1" t="str">
        <f t="shared" si="2"/>
        <v>Javier</v>
      </c>
      <c r="H1549" s="1" t="str">
        <f>IFERROR(__xludf.DUMMYFUNCTION("""COMPUTED_VALUE"""),"10/2/2023, 17:00:00")</f>
        <v>10/2/2023, 17:00:00</v>
      </c>
      <c r="I1549" s="1" t="str">
        <f>IFERROR(__xludf.DUMMYFUNCTION("""COMPUTED_VALUE"""),"RETIRADO OK POR CLIENTE")</f>
        <v>RETIRADO OK POR CLIENTE</v>
      </c>
      <c r="J1549" s="1">
        <f t="shared" si="3"/>
        <v>6</v>
      </c>
      <c r="K1549" s="1" t="str">
        <f t="shared" si="4"/>
        <v>Entregamos tus lentes, que los disfrutes!</v>
      </c>
    </row>
    <row r="1550">
      <c r="A1550" s="1">
        <f>IFERROR(__xludf.DUMMYFUNCTION("""COMPUTED_VALUE"""),86099.0)</f>
        <v>86099</v>
      </c>
      <c r="B1550" s="5">
        <f>IFERROR(__xludf.DUMMYFUNCTION("""COMPUTED_VALUE"""),44961.41463810185)</f>
        <v>44961.41464</v>
      </c>
      <c r="C1550" s="1" t="str">
        <f>IFERROR(__xludf.DUMMYFUNCTION("""COMPUTED_VALUE"""),"GARCIA FREDES CARLOS")</f>
        <v>GARCIA FREDES CARLOS</v>
      </c>
      <c r="D1550" s="1" t="str">
        <f>IFERROR(__xludf.DUMMYFUNCTION("""COMPUTED_VALUE"""),"Lentes de STOCK")</f>
        <v>Lentes de STOCK</v>
      </c>
      <c r="E1550" s="1" t="str">
        <f>IFERROR(__xludf.DUMMYFUNCTION("""COMPUTED_VALUE"""),"ARTIGAS Cristian C.")</f>
        <v>ARTIGAS Cristian C.</v>
      </c>
      <c r="F1550" s="1" t="str">
        <f t="shared" si="1"/>
        <v>ARTIGAS </v>
      </c>
      <c r="G1550" s="1" t="str">
        <f t="shared" si="2"/>
        <v>Cristian C.</v>
      </c>
      <c r="H1550" s="1" t="str">
        <f>IFERROR(__xludf.DUMMYFUNCTION("""COMPUTED_VALUE"""),"8/2/2023, 17:00:00")</f>
        <v>8/2/2023, 17:00:00</v>
      </c>
      <c r="I1550" s="1" t="str">
        <f>IFERROR(__xludf.DUMMYFUNCTION("""COMPUTED_VALUE"""),"Recibido en Laboratorio")</f>
        <v>Recibido en Laboratorio</v>
      </c>
      <c r="J1550" s="1">
        <f t="shared" si="3"/>
        <v>2</v>
      </c>
      <c r="K1550" s="1" t="str">
        <f t="shared" si="4"/>
        <v>Nuestro Laboratorio esta trabajando en tus lentes, los entregaremos en la fecha acordada.</v>
      </c>
    </row>
    <row r="1551">
      <c r="A1551" s="1">
        <f>IFERROR(__xludf.DUMMYFUNCTION("""COMPUTED_VALUE"""),86100.0)</f>
        <v>86100</v>
      </c>
      <c r="B1551" s="5">
        <f>IFERROR(__xludf.DUMMYFUNCTION("""COMPUTED_VALUE"""),44961.44956799768)</f>
        <v>44961.44957</v>
      </c>
      <c r="C1551" s="1" t="str">
        <f>IFERROR(__xludf.DUMMYFUNCTION("""COMPUTED_VALUE"""),"aguilera delia")</f>
        <v>aguilera delia</v>
      </c>
      <c r="D1551" s="1" t="str">
        <f>IFERROR(__xludf.DUMMYFUNCTION("""COMPUTED_VALUE"""),"Lentes de LABORATORIO")</f>
        <v>Lentes de LABORATORIO</v>
      </c>
      <c r="E1551" s="1" t="str">
        <f>IFERROR(__xludf.DUMMYFUNCTION("""COMPUTED_VALUE"""),"RIVADAVIA Santiago N")</f>
        <v>RIVADAVIA Santiago N</v>
      </c>
      <c r="F1551" s="1" t="str">
        <f t="shared" si="1"/>
        <v>RIVADAVIA </v>
      </c>
      <c r="G1551" s="1" t="str">
        <f t="shared" si="2"/>
        <v>Santiago N</v>
      </c>
      <c r="H1551" s="1" t="str">
        <f>IFERROR(__xludf.DUMMYFUNCTION("""COMPUTED_VALUE"""),"11/2/2023, 17:00:00")</f>
        <v>11/2/2023, 17:00:00</v>
      </c>
      <c r="I1551" s="1" t="str">
        <f>IFERROR(__xludf.DUMMYFUNCTION("""COMPUTED_VALUE"""),"RETIRADO OK POR CLIENTE")</f>
        <v>RETIRADO OK POR CLIENTE</v>
      </c>
      <c r="J1551" s="1">
        <f t="shared" si="3"/>
        <v>6</v>
      </c>
      <c r="K1551" s="1" t="str">
        <f t="shared" si="4"/>
        <v>Entregamos tus lentes, que los disfrutes!</v>
      </c>
    </row>
    <row r="1552">
      <c r="A1552" s="1">
        <f>IFERROR(__xludf.DUMMYFUNCTION("""COMPUTED_VALUE"""),86101.0)</f>
        <v>86101</v>
      </c>
      <c r="B1552" s="5">
        <f>IFERROR(__xludf.DUMMYFUNCTION("""COMPUTED_VALUE"""),44961.46206019676)</f>
        <v>44961.46206</v>
      </c>
      <c r="C1552" s="1" t="str">
        <f>IFERROR(__xludf.DUMMYFUNCTION("""COMPUTED_VALUE"""),"Garro Natalia")</f>
        <v>Garro Natalia</v>
      </c>
      <c r="D1552" s="1" t="str">
        <f>IFERROR(__xludf.DUMMYFUNCTION("""COMPUTED_VALUE"""),"Reparaciones/Otros")</f>
        <v>Reparaciones/Otros</v>
      </c>
      <c r="E1552" s="1" t="str">
        <f>IFERROR(__xludf.DUMMYFUNCTION("""COMPUTED_VALUE"""),"ARTIGAS Roció")</f>
        <v>ARTIGAS Roció</v>
      </c>
      <c r="F1552" s="1" t="str">
        <f t="shared" si="1"/>
        <v>ARTIGAS </v>
      </c>
      <c r="G1552" s="1" t="str">
        <f t="shared" si="2"/>
        <v>Roció</v>
      </c>
      <c r="H1552" s="1" t="str">
        <f>IFERROR(__xludf.DUMMYFUNCTION("""COMPUTED_VALUE"""),"7/2/2023, 17:00:00")</f>
        <v>7/2/2023, 17:00:00</v>
      </c>
      <c r="I1552" s="1" t="str">
        <f>IFERROR(__xludf.DUMMYFUNCTION("""COMPUTED_VALUE"""),"Recibido en Laboratorio")</f>
        <v>Recibido en Laboratorio</v>
      </c>
      <c r="J1552" s="1">
        <f t="shared" si="3"/>
        <v>2</v>
      </c>
      <c r="K1552" s="1" t="str">
        <f t="shared" si="4"/>
        <v>Nuestro Laboratorio esta trabajando en tus lentes, los entregaremos en la fecha acordada.</v>
      </c>
    </row>
    <row r="1553">
      <c r="A1553" s="1">
        <f>IFERROR(__xludf.DUMMYFUNCTION("""COMPUTED_VALUE"""),86102.0)</f>
        <v>86102</v>
      </c>
      <c r="B1553" s="5">
        <f>IFERROR(__xludf.DUMMYFUNCTION("""COMPUTED_VALUE"""),44961.466614178236)</f>
        <v>44961.46661</v>
      </c>
      <c r="C1553" s="1" t="str">
        <f>IFERROR(__xludf.DUMMYFUNCTION("""COMPUTED_VALUE"""),"ALARCON DIONICIA PERLA")</f>
        <v>ALARCON DIONICIA PERLA</v>
      </c>
      <c r="D1553" s="1" t="str">
        <f>IFERROR(__xludf.DUMMYFUNCTION("""COMPUTED_VALUE"""),"Lentes de STOCK")</f>
        <v>Lentes de STOCK</v>
      </c>
      <c r="E1553" s="1" t="str">
        <f>IFERROR(__xludf.DUMMYFUNCTION("""COMPUTED_VALUE"""),"ARTIGAS Cristian C.")</f>
        <v>ARTIGAS Cristian C.</v>
      </c>
      <c r="F1553" s="1" t="str">
        <f t="shared" si="1"/>
        <v>ARTIGAS </v>
      </c>
      <c r="G1553" s="1" t="str">
        <f t="shared" si="2"/>
        <v>Cristian C.</v>
      </c>
      <c r="H1553" s="1" t="str">
        <f>IFERROR(__xludf.DUMMYFUNCTION("""COMPUTED_VALUE"""),"9/2/2023, 17:00:00")</f>
        <v>9/2/2023, 17:00:00</v>
      </c>
      <c r="I1553" s="1" t="str">
        <f>IFERROR(__xludf.DUMMYFUNCTION("""COMPUTED_VALUE"""),"RETIRADO OK POR CLIENTE")</f>
        <v>RETIRADO OK POR CLIENTE</v>
      </c>
      <c r="J1553" s="1">
        <f t="shared" si="3"/>
        <v>6</v>
      </c>
      <c r="K1553" s="1" t="str">
        <f t="shared" si="4"/>
        <v>Entregamos tus lentes, que los disfrutes!</v>
      </c>
    </row>
    <row r="1554">
      <c r="A1554" s="1">
        <f>IFERROR(__xludf.DUMMYFUNCTION("""COMPUTED_VALUE"""),86103.0)</f>
        <v>86103</v>
      </c>
      <c r="B1554" s="5">
        <f>IFERROR(__xludf.DUMMYFUNCTION("""COMPUTED_VALUE"""),44961.47241291667)</f>
        <v>44961.47241</v>
      </c>
      <c r="C1554" s="1" t="str">
        <f>IFERROR(__xludf.DUMMYFUNCTION("""COMPUTED_VALUE"""),"CAÑETE ALDANA")</f>
        <v>CAÑETE ALDANA</v>
      </c>
      <c r="D1554" s="1" t="str">
        <f>IFERROR(__xludf.DUMMYFUNCTION("""COMPUTED_VALUE"""),"Reparaciones/Otros")</f>
        <v>Reparaciones/Otros</v>
      </c>
      <c r="E1554" s="1" t="str">
        <f>IFERROR(__xludf.DUMMYFUNCTION("""COMPUTED_VALUE"""),"RIVADAVIA Luciana")</f>
        <v>RIVADAVIA Luciana</v>
      </c>
      <c r="F1554" s="1" t="str">
        <f t="shared" si="1"/>
        <v>RIVADAVIA </v>
      </c>
      <c r="G1554" s="1" t="str">
        <f t="shared" si="2"/>
        <v>Luciana</v>
      </c>
      <c r="H1554" s="1" t="str">
        <f>IFERROR(__xludf.DUMMYFUNCTION("""COMPUTED_VALUE"""),"6/2/2023, 18:00:00")</f>
        <v>6/2/2023, 18:00:00</v>
      </c>
      <c r="I1554" s="1" t="str">
        <f>IFERROR(__xludf.DUMMYFUNCTION("""COMPUTED_VALUE"""),"Recibido en Laboratorio")</f>
        <v>Recibido en Laboratorio</v>
      </c>
      <c r="J1554" s="1">
        <f t="shared" si="3"/>
        <v>2</v>
      </c>
      <c r="K1554" s="1" t="str">
        <f t="shared" si="4"/>
        <v>Nuestro Laboratorio esta trabajando en tus lentes, los entregaremos en la fecha acordada.</v>
      </c>
    </row>
    <row r="1555">
      <c r="A1555" s="1">
        <f>IFERROR(__xludf.DUMMYFUNCTION("""COMPUTED_VALUE"""),86104.0)</f>
        <v>86104</v>
      </c>
      <c r="B1555" s="5">
        <f>IFERROR(__xludf.DUMMYFUNCTION("""COMPUTED_VALUE"""),44961.48024800926)</f>
        <v>44961.48025</v>
      </c>
      <c r="C1555" s="1" t="str">
        <f>IFERROR(__xludf.DUMMYFUNCTION("""COMPUTED_VALUE"""),"WALENHTON CARLOS ALBERTO")</f>
        <v>WALENHTON CARLOS ALBERTO</v>
      </c>
      <c r="D1555" s="1" t="str">
        <f>IFERROR(__xludf.DUMMYFUNCTION("""COMPUTED_VALUE"""),"Lentes de STOCK")</f>
        <v>Lentes de STOCK</v>
      </c>
      <c r="E1555" s="1" t="str">
        <f>IFERROR(__xludf.DUMMYFUNCTION("""COMPUTED_VALUE"""),"RIVADAVIA Javier")</f>
        <v>RIVADAVIA Javier</v>
      </c>
      <c r="F1555" s="1" t="str">
        <f t="shared" si="1"/>
        <v>RIVADAVIA </v>
      </c>
      <c r="G1555" s="1" t="str">
        <f t="shared" si="2"/>
        <v>Javier</v>
      </c>
      <c r="H1555" s="1" t="str">
        <f>IFERROR(__xludf.DUMMYFUNCTION("""COMPUTED_VALUE"""),"8/2/2023, 17:00:00")</f>
        <v>8/2/2023, 17:00:00</v>
      </c>
      <c r="I1555" s="1" t="str">
        <f>IFERROR(__xludf.DUMMYFUNCTION("""COMPUTED_VALUE"""),"RETIRADO OK POR CLIENTE")</f>
        <v>RETIRADO OK POR CLIENTE</v>
      </c>
      <c r="J1555" s="1">
        <f t="shared" si="3"/>
        <v>6</v>
      </c>
      <c r="K1555" s="1" t="str">
        <f t="shared" si="4"/>
        <v>Entregamos tus lentes, que los disfrutes!</v>
      </c>
    </row>
    <row r="1556">
      <c r="A1556" s="1">
        <f>IFERROR(__xludf.DUMMYFUNCTION("""COMPUTED_VALUE"""),86105.0)</f>
        <v>86105</v>
      </c>
      <c r="B1556" s="5">
        <f>IFERROR(__xludf.DUMMYFUNCTION("""COMPUTED_VALUE"""),44961.492294745374)</f>
        <v>44961.49229</v>
      </c>
      <c r="C1556" s="1" t="str">
        <f>IFERROR(__xludf.DUMMYFUNCTION("""COMPUTED_VALUE"""),"Escudero Emiliano")</f>
        <v>Escudero Emiliano</v>
      </c>
      <c r="D1556" s="1" t="str">
        <f>IFERROR(__xludf.DUMMYFUNCTION("""COMPUTED_VALUE"""),"Reparaciones/Otros")</f>
        <v>Reparaciones/Otros</v>
      </c>
      <c r="E1556" s="1" t="str">
        <f>IFERROR(__xludf.DUMMYFUNCTION("""COMPUTED_VALUE"""),"ARTIGAS Sandra G")</f>
        <v>ARTIGAS Sandra G</v>
      </c>
      <c r="F1556" s="1" t="str">
        <f t="shared" si="1"/>
        <v>ARTIGAS </v>
      </c>
      <c r="G1556" s="1" t="str">
        <f t="shared" si="2"/>
        <v>Sandra G</v>
      </c>
      <c r="H1556" s="1" t="str">
        <f>IFERROR(__xludf.DUMMYFUNCTION("""COMPUTED_VALUE"""),"6/2/2023, 17:00:00")</f>
        <v>6/2/2023, 17:00:00</v>
      </c>
      <c r="I1556" s="1" t="str">
        <f>IFERROR(__xludf.DUMMYFUNCTION("""COMPUTED_VALUE"""),"Recibido en Laboratorio")</f>
        <v>Recibido en Laboratorio</v>
      </c>
      <c r="J1556" s="1">
        <f t="shared" si="3"/>
        <v>2</v>
      </c>
      <c r="K1556" s="1" t="str">
        <f t="shared" si="4"/>
        <v>Nuestro Laboratorio esta trabajando en tus lentes, los entregaremos en la fecha acordada.</v>
      </c>
    </row>
    <row r="1557">
      <c r="A1557" s="1">
        <f>IFERROR(__xludf.DUMMYFUNCTION("""COMPUTED_VALUE"""),86106.0)</f>
        <v>86106</v>
      </c>
      <c r="B1557" s="5">
        <f>IFERROR(__xludf.DUMMYFUNCTION("""COMPUTED_VALUE"""),44961.492926377316)</f>
        <v>44961.49293</v>
      </c>
      <c r="C1557" s="1" t="str">
        <f>IFERROR(__xludf.DUMMYFUNCTION("""COMPUTED_VALUE"""),"Gonzalez Marta")</f>
        <v>Gonzalez Marta</v>
      </c>
      <c r="D1557" s="1" t="str">
        <f>IFERROR(__xludf.DUMMYFUNCTION("""COMPUTED_VALUE"""),"Reparaciones/Otros")</f>
        <v>Reparaciones/Otros</v>
      </c>
      <c r="E1557" s="1" t="str">
        <f>IFERROR(__xludf.DUMMYFUNCTION("""COMPUTED_VALUE"""),"ARTIGAS Roció")</f>
        <v>ARTIGAS Roció</v>
      </c>
      <c r="F1557" s="1" t="str">
        <f t="shared" si="1"/>
        <v>ARTIGAS </v>
      </c>
      <c r="G1557" s="1" t="str">
        <f t="shared" si="2"/>
        <v>Roció</v>
      </c>
      <c r="H1557" s="1" t="str">
        <f>IFERROR(__xludf.DUMMYFUNCTION("""COMPUTED_VALUE"""),"6/2/2023, 17:00:00")</f>
        <v>6/2/2023, 17:00:00</v>
      </c>
      <c r="I1557" s="1" t="str">
        <f>IFERROR(__xludf.DUMMYFUNCTION("""COMPUTED_VALUE"""),"En Armado Hoy")</f>
        <v>En Armado Hoy</v>
      </c>
      <c r="J1557" s="1">
        <f t="shared" si="3"/>
        <v>3</v>
      </c>
      <c r="K1557" s="1" t="str">
        <f t="shared" si="4"/>
        <v>Estamos terminando los ultimos detalles de tus lentes, los terminaremos el dia de hoy.</v>
      </c>
    </row>
    <row r="1558">
      <c r="A1558" s="1">
        <f>IFERROR(__xludf.DUMMYFUNCTION("""COMPUTED_VALUE"""),86107.0)</f>
        <v>86107</v>
      </c>
      <c r="B1558" s="5">
        <f>IFERROR(__xludf.DUMMYFUNCTION("""COMPUTED_VALUE"""),44961.49982006944)</f>
        <v>44961.49982</v>
      </c>
      <c r="C1558" s="1" t="str">
        <f>IFERROR(__xludf.DUMMYFUNCTION("""COMPUTED_VALUE"""),"velazquez andrea")</f>
        <v>velazquez andrea</v>
      </c>
      <c r="D1558" s="1" t="str">
        <f>IFERROR(__xludf.DUMMYFUNCTION("""COMPUTED_VALUE"""),"Lentes de STOCK")</f>
        <v>Lentes de STOCK</v>
      </c>
      <c r="E1558" s="1" t="str">
        <f>IFERROR(__xludf.DUMMYFUNCTION("""COMPUTED_VALUE"""),"RIVADAVIA Santiago N")</f>
        <v>RIVADAVIA Santiago N</v>
      </c>
      <c r="F1558" s="1" t="str">
        <f t="shared" si="1"/>
        <v>RIVADAVIA </v>
      </c>
      <c r="G1558" s="1" t="str">
        <f t="shared" si="2"/>
        <v>Santiago N</v>
      </c>
      <c r="H1558" s="1" t="str">
        <f>IFERROR(__xludf.DUMMYFUNCTION("""COMPUTED_VALUE"""),"10/2/2023, 17:00:00")</f>
        <v>10/2/2023, 17:00:00</v>
      </c>
      <c r="I1558" s="1" t="str">
        <f>IFERROR(__xludf.DUMMYFUNCTION("""COMPUTED_VALUE"""),"Recibido en Laboratorio")</f>
        <v>Recibido en Laboratorio</v>
      </c>
      <c r="J1558" s="1">
        <f t="shared" si="3"/>
        <v>2</v>
      </c>
      <c r="K1558" s="1" t="str">
        <f t="shared" si="4"/>
        <v>Nuestro Laboratorio esta trabajando en tus lentes, los entregaremos en la fecha acordada.</v>
      </c>
    </row>
    <row r="1559">
      <c r="A1559" s="1">
        <f>IFERROR(__xludf.DUMMYFUNCTION("""COMPUTED_VALUE"""),86108.0)</f>
        <v>86108</v>
      </c>
      <c r="B1559" s="5">
        <f>IFERROR(__xludf.DUMMYFUNCTION("""COMPUTED_VALUE"""),44961.53399652778)</f>
        <v>44961.534</v>
      </c>
      <c r="C1559" s="1" t="str">
        <f>IFERROR(__xludf.DUMMYFUNCTION("""COMPUTED_VALUE"""),"CANGIANO NICOLAS")</f>
        <v>CANGIANO NICOLAS</v>
      </c>
      <c r="D1559" s="1" t="str">
        <f>IFERROR(__xludf.DUMMYFUNCTION("""COMPUTED_VALUE"""),"Lentes de STOCK")</f>
        <v>Lentes de STOCK</v>
      </c>
      <c r="E1559" s="1" t="str">
        <f>IFERROR(__xludf.DUMMYFUNCTION("""COMPUTED_VALUE"""),"ARTIGAS Roció")</f>
        <v>ARTIGAS Roció</v>
      </c>
      <c r="F1559" s="1" t="str">
        <f t="shared" si="1"/>
        <v>ARTIGAS </v>
      </c>
      <c r="G1559" s="1" t="str">
        <f t="shared" si="2"/>
        <v>Roció</v>
      </c>
      <c r="H1559" s="1" t="str">
        <f>IFERROR(__xludf.DUMMYFUNCTION("""COMPUTED_VALUE"""),"10/2/2023, 17:00:00")</f>
        <v>10/2/2023, 17:00:00</v>
      </c>
      <c r="I1559" s="1" t="str">
        <f>IFERROR(__xludf.DUMMYFUNCTION("""COMPUTED_VALUE"""),"RETIRADO OK POR CLIENTE")</f>
        <v>RETIRADO OK POR CLIENTE</v>
      </c>
      <c r="J1559" s="1">
        <f t="shared" si="3"/>
        <v>6</v>
      </c>
      <c r="K1559" s="1" t="str">
        <f t="shared" si="4"/>
        <v>Entregamos tus lentes, que los disfrutes!</v>
      </c>
    </row>
    <row r="1560">
      <c r="A1560" s="1">
        <f>IFERROR(__xludf.DUMMYFUNCTION("""COMPUTED_VALUE"""),86109.0)</f>
        <v>86109</v>
      </c>
      <c r="B1560" s="5">
        <f>IFERROR(__xludf.DUMMYFUNCTION("""COMPUTED_VALUE"""),44961.55610203704)</f>
        <v>44961.5561</v>
      </c>
      <c r="C1560" s="1" t="str">
        <f>IFERROR(__xludf.DUMMYFUNCTION("""COMPUTED_VALUE"""),"callegaro martina")</f>
        <v>callegaro martina</v>
      </c>
      <c r="D1560" s="1" t="str">
        <f>IFERROR(__xludf.DUMMYFUNCTION("""COMPUTED_VALUE"""),"Lentes de STOCK")</f>
        <v>Lentes de STOCK</v>
      </c>
      <c r="E1560" s="1" t="str">
        <f>IFERROR(__xludf.DUMMYFUNCTION("""COMPUTED_VALUE"""),"RIVADAVIA Santiago LOPEZ")</f>
        <v>RIVADAVIA Santiago LOPEZ</v>
      </c>
      <c r="F1560" s="1" t="str">
        <f t="shared" si="1"/>
        <v>RIVADAVIA </v>
      </c>
      <c r="G1560" s="1" t="str">
        <f t="shared" si="2"/>
        <v>Santiago LOPEZ</v>
      </c>
      <c r="H1560" s="1" t="str">
        <f>IFERROR(__xludf.DUMMYFUNCTION("""COMPUTED_VALUE"""),"7/2/2023, 17:00:00")</f>
        <v>7/2/2023, 17:00:00</v>
      </c>
      <c r="I1560" s="1" t="str">
        <f>IFERROR(__xludf.DUMMYFUNCTION("""COMPUTED_VALUE"""),"RETIRADO OK POR CLIENTE")</f>
        <v>RETIRADO OK POR CLIENTE</v>
      </c>
      <c r="J1560" s="1">
        <f t="shared" si="3"/>
        <v>6</v>
      </c>
      <c r="K1560" s="1" t="str">
        <f t="shared" si="4"/>
        <v>Entregamos tus lentes, que los disfrutes!</v>
      </c>
    </row>
    <row r="1561">
      <c r="A1561" s="1">
        <f>IFERROR(__xludf.DUMMYFUNCTION("""COMPUTED_VALUE"""),86110.0)</f>
        <v>86110</v>
      </c>
      <c r="B1561" s="5">
        <f>IFERROR(__xludf.DUMMYFUNCTION("""COMPUTED_VALUE"""),44961.565672013894)</f>
        <v>44961.56567</v>
      </c>
      <c r="C1561" s="1" t="str">
        <f>IFERROR(__xludf.DUMMYFUNCTION("""COMPUTED_VALUE""")," SORIA JENIFER")</f>
        <v> SORIA JENIFER</v>
      </c>
      <c r="D1561" s="1" t="str">
        <f>IFERROR(__xludf.DUMMYFUNCTION("""COMPUTED_VALUE"""),"Lentes de STOCK")</f>
        <v>Lentes de STOCK</v>
      </c>
      <c r="E1561" s="1" t="str">
        <f>IFERROR(__xludf.DUMMYFUNCTION("""COMPUTED_VALUE"""),"ARTIGAS Cristian C.")</f>
        <v>ARTIGAS Cristian C.</v>
      </c>
      <c r="F1561" s="1" t="str">
        <f t="shared" si="1"/>
        <v>ARTIGAS </v>
      </c>
      <c r="G1561" s="1" t="str">
        <f t="shared" si="2"/>
        <v>Cristian C.</v>
      </c>
      <c r="H1561" s="1" t="str">
        <f>IFERROR(__xludf.DUMMYFUNCTION("""COMPUTED_VALUE"""),"10/2/2023, 17:00:00")</f>
        <v>10/2/2023, 17:00:00</v>
      </c>
      <c r="I1561" s="1" t="str">
        <f>IFERROR(__xludf.DUMMYFUNCTION("""COMPUTED_VALUE"""),"RETIRADO OK POR CLIENTE")</f>
        <v>RETIRADO OK POR CLIENTE</v>
      </c>
      <c r="J1561" s="1">
        <f t="shared" si="3"/>
        <v>6</v>
      </c>
      <c r="K1561" s="1" t="str">
        <f t="shared" si="4"/>
        <v>Entregamos tus lentes, que los disfrutes!</v>
      </c>
    </row>
    <row r="1562">
      <c r="A1562" s="1">
        <f>IFERROR(__xludf.DUMMYFUNCTION("""COMPUTED_VALUE"""),86111.0)</f>
        <v>86111</v>
      </c>
      <c r="B1562" s="5">
        <f>IFERROR(__xludf.DUMMYFUNCTION("""COMPUTED_VALUE"""),44961.56783298611)</f>
        <v>44961.56783</v>
      </c>
      <c r="C1562" s="1" t="str">
        <f>IFERROR(__xludf.DUMMYFUNCTION("""COMPUTED_VALUE"""),"SORIA NAHUEL")</f>
        <v>SORIA NAHUEL</v>
      </c>
      <c r="D1562" s="1" t="str">
        <f>IFERROR(__xludf.DUMMYFUNCTION("""COMPUTED_VALUE"""),"Lentes de STOCK")</f>
        <v>Lentes de STOCK</v>
      </c>
      <c r="E1562" s="1" t="str">
        <f>IFERROR(__xludf.DUMMYFUNCTION("""COMPUTED_VALUE"""),"ARTIGAS Cristian C.")</f>
        <v>ARTIGAS Cristian C.</v>
      </c>
      <c r="F1562" s="1" t="str">
        <f t="shared" si="1"/>
        <v>ARTIGAS </v>
      </c>
      <c r="G1562" s="1" t="str">
        <f t="shared" si="2"/>
        <v>Cristian C.</v>
      </c>
      <c r="H1562" s="1" t="str">
        <f>IFERROR(__xludf.DUMMYFUNCTION("""COMPUTED_VALUE"""),"10/2/2023, 17:00:00")</f>
        <v>10/2/2023, 17:00:00</v>
      </c>
      <c r="I1562" s="1" t="str">
        <f>IFERROR(__xludf.DUMMYFUNCTION("""COMPUTED_VALUE"""),"RETIRADO OK POR CLIENTE")</f>
        <v>RETIRADO OK POR CLIENTE</v>
      </c>
      <c r="J1562" s="1">
        <f t="shared" si="3"/>
        <v>6</v>
      </c>
      <c r="K1562" s="1" t="str">
        <f t="shared" si="4"/>
        <v>Entregamos tus lentes, que los disfrutes!</v>
      </c>
    </row>
    <row r="1563">
      <c r="A1563" s="1">
        <f>IFERROR(__xludf.DUMMYFUNCTION("""COMPUTED_VALUE"""),86112.0)</f>
        <v>86112</v>
      </c>
      <c r="B1563" s="5">
        <f>IFERROR(__xludf.DUMMYFUNCTION("""COMPUTED_VALUE"""),44961.57313680556)</f>
        <v>44961.57314</v>
      </c>
      <c r="C1563" s="1" t="str">
        <f>IFERROR(__xludf.DUMMYFUNCTION("""COMPUTED_VALUE"""),"SORIA AMADEO")</f>
        <v>SORIA AMADEO</v>
      </c>
      <c r="D1563" s="1" t="str">
        <f>IFERROR(__xludf.DUMMYFUNCTION("""COMPUTED_VALUE"""),"Lentes de STOCK")</f>
        <v>Lentes de STOCK</v>
      </c>
      <c r="E1563" s="1" t="str">
        <f>IFERROR(__xludf.DUMMYFUNCTION("""COMPUTED_VALUE"""),"ARTIGAS Cristian C.")</f>
        <v>ARTIGAS Cristian C.</v>
      </c>
      <c r="F1563" s="1" t="str">
        <f t="shared" si="1"/>
        <v>ARTIGAS </v>
      </c>
      <c r="G1563" s="1" t="str">
        <f t="shared" si="2"/>
        <v>Cristian C.</v>
      </c>
      <c r="H1563" s="1" t="str">
        <f>IFERROR(__xludf.DUMMYFUNCTION("""COMPUTED_VALUE"""),"10/2/2023, 17:00:00")</f>
        <v>10/2/2023, 17:00:00</v>
      </c>
      <c r="I1563" s="1" t="str">
        <f>IFERROR(__xludf.DUMMYFUNCTION("""COMPUTED_VALUE"""),"RETIRADO OK POR CLIENTE")</f>
        <v>RETIRADO OK POR CLIENTE</v>
      </c>
      <c r="J1563" s="1">
        <f t="shared" si="3"/>
        <v>6</v>
      </c>
      <c r="K1563" s="1" t="str">
        <f t="shared" si="4"/>
        <v>Entregamos tus lentes, que los disfrutes!</v>
      </c>
    </row>
    <row r="1564">
      <c r="A1564" s="1">
        <f>IFERROR(__xludf.DUMMYFUNCTION("""COMPUTED_VALUE"""),86113.0)</f>
        <v>86113</v>
      </c>
      <c r="B1564" s="5">
        <f>IFERROR(__xludf.DUMMYFUNCTION("""COMPUTED_VALUE"""),44963.38822188658)</f>
        <v>44963.38822</v>
      </c>
      <c r="C1564" s="1" t="str">
        <f>IFERROR(__xludf.DUMMYFUNCTION("""COMPUTED_VALUE"""),"CURI AGUIRRE LAURA VERONICA")</f>
        <v>CURI AGUIRRE LAURA VERONICA</v>
      </c>
      <c r="D1564" s="1" t="str">
        <f>IFERROR(__xludf.DUMMYFUNCTION("""COMPUTED_VALUE"""),"Lentes de STOCK")</f>
        <v>Lentes de STOCK</v>
      </c>
      <c r="E1564" s="1" t="str">
        <f>IFERROR(__xludf.DUMMYFUNCTION("""COMPUTED_VALUE"""),"RIVADAVIA Daniel CM")</f>
        <v>RIVADAVIA Daniel CM</v>
      </c>
      <c r="F1564" s="1" t="str">
        <f t="shared" si="1"/>
        <v>RIVADAVIA </v>
      </c>
      <c r="G1564" s="1" t="str">
        <f t="shared" si="2"/>
        <v>Daniel CM</v>
      </c>
      <c r="H1564" s="1" t="str">
        <f>IFERROR(__xludf.DUMMYFUNCTION("""COMPUTED_VALUE"""),"8/2/2023, 17:00:00")</f>
        <v>8/2/2023, 17:00:00</v>
      </c>
      <c r="I1564" s="1" t="str">
        <f>IFERROR(__xludf.DUMMYFUNCTION("""COMPUTED_VALUE"""),"RETIRADO OK POR CLIENTE")</f>
        <v>RETIRADO OK POR CLIENTE</v>
      </c>
      <c r="J1564" s="1">
        <f t="shared" si="3"/>
        <v>6</v>
      </c>
      <c r="K1564" s="1" t="str">
        <f t="shared" si="4"/>
        <v>Entregamos tus lentes, que los disfrutes!</v>
      </c>
    </row>
    <row r="1565">
      <c r="A1565" s="1">
        <f>IFERROR(__xludf.DUMMYFUNCTION("""COMPUTED_VALUE"""),86114.0)</f>
        <v>86114</v>
      </c>
      <c r="B1565" s="5">
        <f>IFERROR(__xludf.DUMMYFUNCTION("""COMPUTED_VALUE"""),44963.39447840278)</f>
        <v>44963.39448</v>
      </c>
      <c r="C1565" s="1" t="str">
        <f>IFERROR(__xludf.DUMMYFUNCTION("""COMPUTED_VALUE"""),"LUNA ROSA")</f>
        <v>LUNA ROSA</v>
      </c>
      <c r="D1565" s="1" t="str">
        <f>IFERROR(__xludf.DUMMYFUNCTION("""COMPUTED_VALUE"""),"Lentes de STOCK")</f>
        <v>Lentes de STOCK</v>
      </c>
      <c r="E1565" s="1" t="str">
        <f>IFERROR(__xludf.DUMMYFUNCTION("""COMPUTED_VALUE"""),"RIVADAVIA Daniel CM")</f>
        <v>RIVADAVIA Daniel CM</v>
      </c>
      <c r="F1565" s="1" t="str">
        <f t="shared" si="1"/>
        <v>RIVADAVIA </v>
      </c>
      <c r="G1565" s="1" t="str">
        <f t="shared" si="2"/>
        <v>Daniel CM</v>
      </c>
      <c r="H1565" s="1" t="str">
        <f>IFERROR(__xludf.DUMMYFUNCTION("""COMPUTED_VALUE"""),"8/2/2023, 17:00:00")</f>
        <v>8/2/2023, 17:00:00</v>
      </c>
      <c r="I1565" s="1" t="str">
        <f>IFERROR(__xludf.DUMMYFUNCTION("""COMPUTED_VALUE"""),"RETIRADO OK POR CLIENTE")</f>
        <v>RETIRADO OK POR CLIENTE</v>
      </c>
      <c r="J1565" s="1">
        <f t="shared" si="3"/>
        <v>6</v>
      </c>
      <c r="K1565" s="1" t="str">
        <f t="shared" si="4"/>
        <v>Entregamos tus lentes, que los disfrutes!</v>
      </c>
    </row>
    <row r="1566">
      <c r="A1566" s="1">
        <f>IFERROR(__xludf.DUMMYFUNCTION("""COMPUTED_VALUE"""),86115.0)</f>
        <v>86115</v>
      </c>
      <c r="B1566" s="5">
        <f>IFERROR(__xludf.DUMMYFUNCTION("""COMPUTED_VALUE"""),44963.39871340278)</f>
        <v>44963.39871</v>
      </c>
      <c r="C1566" s="1" t="str">
        <f>IFERROR(__xludf.DUMMYFUNCTION("""COMPUTED_VALUE"""),"MENGARELLI JAVIER ")</f>
        <v>MENGARELLI JAVIER </v>
      </c>
      <c r="D1566" s="1" t="str">
        <f>IFERROR(__xludf.DUMMYFUNCTION("""COMPUTED_VALUE"""),"Lentes de STOCK")</f>
        <v>Lentes de STOCK</v>
      </c>
      <c r="E1566" s="1" t="str">
        <f>IFERROR(__xludf.DUMMYFUNCTION("""COMPUTED_VALUE"""),"RIVADAVIA Luciana")</f>
        <v>RIVADAVIA Luciana</v>
      </c>
      <c r="F1566" s="1" t="str">
        <f t="shared" si="1"/>
        <v>RIVADAVIA </v>
      </c>
      <c r="G1566" s="1" t="str">
        <f t="shared" si="2"/>
        <v>Luciana</v>
      </c>
      <c r="H1566" s="1" t="str">
        <f>IFERROR(__xludf.DUMMYFUNCTION("""COMPUTED_VALUE"""),"10/2/2023, 17:00:00")</f>
        <v>10/2/2023, 17:00:00</v>
      </c>
      <c r="I1566" s="1" t="str">
        <f>IFERROR(__xludf.DUMMYFUNCTION("""COMPUTED_VALUE"""),"RETIRADO OK POR CLIENTE")</f>
        <v>RETIRADO OK POR CLIENTE</v>
      </c>
      <c r="J1566" s="1">
        <f t="shared" si="3"/>
        <v>6</v>
      </c>
      <c r="K1566" s="1" t="str">
        <f t="shared" si="4"/>
        <v>Entregamos tus lentes, que los disfrutes!</v>
      </c>
    </row>
    <row r="1567">
      <c r="A1567" s="1">
        <f>IFERROR(__xludf.DUMMYFUNCTION("""COMPUTED_VALUE"""),86116.0)</f>
        <v>86116</v>
      </c>
      <c r="B1567" s="5">
        <f>IFERROR(__xludf.DUMMYFUNCTION("""COMPUTED_VALUE"""),44963.403802546294)</f>
        <v>44963.4038</v>
      </c>
      <c r="C1567" s="1" t="str">
        <f>IFERROR(__xludf.DUMMYFUNCTION("""COMPUTED_VALUE"""),"cangiano romina")</f>
        <v>cangiano romina</v>
      </c>
      <c r="D1567" s="1" t="str">
        <f>IFERROR(__xludf.DUMMYFUNCTION("""COMPUTED_VALUE"""),"Lentes de STOCK")</f>
        <v>Lentes de STOCK</v>
      </c>
      <c r="E1567" s="1" t="str">
        <f>IFERROR(__xludf.DUMMYFUNCTION("""COMPUTED_VALUE"""),"RIVADAVIA Santiago N")</f>
        <v>RIVADAVIA Santiago N</v>
      </c>
      <c r="F1567" s="1" t="str">
        <f t="shared" si="1"/>
        <v>RIVADAVIA </v>
      </c>
      <c r="G1567" s="1" t="str">
        <f t="shared" si="2"/>
        <v>Santiago N</v>
      </c>
      <c r="H1567" s="1" t="str">
        <f>IFERROR(__xludf.DUMMYFUNCTION("""COMPUTED_VALUE"""),"13/2/2023, 17:00:00")</f>
        <v>13/2/2023, 17:00:00</v>
      </c>
      <c r="I1567" s="1" t="str">
        <f>IFERROR(__xludf.DUMMYFUNCTION("""COMPUTED_VALUE"""),"RETIRADO OK POR CLIENTE")</f>
        <v>RETIRADO OK POR CLIENTE</v>
      </c>
      <c r="J1567" s="1">
        <f t="shared" si="3"/>
        <v>6</v>
      </c>
      <c r="K1567" s="1" t="str">
        <f t="shared" si="4"/>
        <v>Entregamos tus lentes, que los disfrutes!</v>
      </c>
    </row>
    <row r="1568">
      <c r="A1568" s="1">
        <f>IFERROR(__xludf.DUMMYFUNCTION("""COMPUTED_VALUE"""),86117.0)</f>
        <v>86117</v>
      </c>
      <c r="B1568" s="5">
        <f>IFERROR(__xludf.DUMMYFUNCTION("""COMPUTED_VALUE"""),44963.40664565972)</f>
        <v>44963.40665</v>
      </c>
      <c r="C1568" s="1" t="str">
        <f>IFERROR(__xludf.DUMMYFUNCTION("""COMPUTED_VALUE"""),"sturimo jorge daniel")</f>
        <v>sturimo jorge daniel</v>
      </c>
      <c r="D1568" s="1" t="str">
        <f>IFERROR(__xludf.DUMMYFUNCTION("""COMPUTED_VALUE"""),"Lentes de STOCK")</f>
        <v>Lentes de STOCK</v>
      </c>
      <c r="E1568" s="1" t="str">
        <f>IFERROR(__xludf.DUMMYFUNCTION("""COMPUTED_VALUE"""),"RIVADAVIA Santiago N")</f>
        <v>RIVADAVIA Santiago N</v>
      </c>
      <c r="F1568" s="1" t="str">
        <f t="shared" si="1"/>
        <v>RIVADAVIA </v>
      </c>
      <c r="G1568" s="1" t="str">
        <f t="shared" si="2"/>
        <v>Santiago N</v>
      </c>
      <c r="H1568" s="1" t="str">
        <f>IFERROR(__xludf.DUMMYFUNCTION("""COMPUTED_VALUE"""),"8/2/2023, 17:00:00")</f>
        <v>8/2/2023, 17:00:00</v>
      </c>
      <c r="I1568" s="1" t="str">
        <f>IFERROR(__xludf.DUMMYFUNCTION("""COMPUTED_VALUE"""),"RETIRADO OK POR CLIENTE")</f>
        <v>RETIRADO OK POR CLIENTE</v>
      </c>
      <c r="J1568" s="1">
        <f t="shared" si="3"/>
        <v>6</v>
      </c>
      <c r="K1568" s="1" t="str">
        <f t="shared" si="4"/>
        <v>Entregamos tus lentes, que los disfrutes!</v>
      </c>
    </row>
    <row r="1569">
      <c r="A1569" s="1">
        <f>IFERROR(__xludf.DUMMYFUNCTION("""COMPUTED_VALUE"""),86118.0)</f>
        <v>86118</v>
      </c>
      <c r="B1569" s="5">
        <f>IFERROR(__xludf.DUMMYFUNCTION("""COMPUTED_VALUE"""),44963.409599363426)</f>
        <v>44963.4096</v>
      </c>
      <c r="C1569" s="1" t="str">
        <f>IFERROR(__xludf.DUMMYFUNCTION("""COMPUTED_VALUE"""),"bravo adela olga")</f>
        <v>bravo adela olga</v>
      </c>
      <c r="D1569" s="1" t="str">
        <f>IFERROR(__xludf.DUMMYFUNCTION("""COMPUTED_VALUE"""),"Lentes de STOCK")</f>
        <v>Lentes de STOCK</v>
      </c>
      <c r="E1569" s="1" t="str">
        <f>IFERROR(__xludf.DUMMYFUNCTION("""COMPUTED_VALUE"""),"RIVADAVIA Santiago N")</f>
        <v>RIVADAVIA Santiago N</v>
      </c>
      <c r="F1569" s="1" t="str">
        <f t="shared" si="1"/>
        <v>RIVADAVIA </v>
      </c>
      <c r="G1569" s="1" t="str">
        <f t="shared" si="2"/>
        <v>Santiago N</v>
      </c>
      <c r="H1569" s="1" t="str">
        <f>IFERROR(__xludf.DUMMYFUNCTION("""COMPUTED_VALUE"""),"8/2/2023, 17:00:00")</f>
        <v>8/2/2023, 17:00:00</v>
      </c>
      <c r="I1569" s="1" t="str">
        <f>IFERROR(__xludf.DUMMYFUNCTION("""COMPUTED_VALUE"""),"Completado en SUCURSAL")</f>
        <v>Completado en SUCURSAL</v>
      </c>
      <c r="J1569" s="1">
        <f t="shared" si="3"/>
        <v>5</v>
      </c>
      <c r="K1569" s="1" t="str">
        <f t="shared" si="4"/>
        <v>Tus Lentes estan LISTAS PARA ENTREGAR, te esperamos.</v>
      </c>
    </row>
    <row r="1570">
      <c r="A1570" s="1">
        <f>IFERROR(__xludf.DUMMYFUNCTION("""COMPUTED_VALUE"""),86119.0)</f>
        <v>86119</v>
      </c>
      <c r="B1570" s="5">
        <f>IFERROR(__xludf.DUMMYFUNCTION("""COMPUTED_VALUE"""),44963.41595527778)</f>
        <v>44963.41596</v>
      </c>
      <c r="C1570" s="1" t="str">
        <f>IFERROR(__xludf.DUMMYFUNCTION("""COMPUTED_VALUE"""),"Milano Claudio")</f>
        <v>Milano Claudio</v>
      </c>
      <c r="D1570" s="1" t="str">
        <f>IFERROR(__xludf.DUMMYFUNCTION("""COMPUTED_VALUE"""),"Reparaciones/Otros")</f>
        <v>Reparaciones/Otros</v>
      </c>
      <c r="E1570" s="1" t="str">
        <f>IFERROR(__xludf.DUMMYFUNCTION("""COMPUTED_VALUE"""),"ARTIGAS Roció")</f>
        <v>ARTIGAS Roció</v>
      </c>
      <c r="F1570" s="1" t="str">
        <f t="shared" si="1"/>
        <v>ARTIGAS </v>
      </c>
      <c r="G1570" s="1" t="str">
        <f t="shared" si="2"/>
        <v>Roció</v>
      </c>
      <c r="H1570" s="1" t="str">
        <f>IFERROR(__xludf.DUMMYFUNCTION("""COMPUTED_VALUE"""),"8/2/2023, 17:00:00")</f>
        <v>8/2/2023, 17:00:00</v>
      </c>
      <c r="I1570" s="1" t="str">
        <f>IFERROR(__xludf.DUMMYFUNCTION("""COMPUTED_VALUE"""),"Recibido en Laboratorio")</f>
        <v>Recibido en Laboratorio</v>
      </c>
      <c r="J1570" s="1">
        <f t="shared" si="3"/>
        <v>2</v>
      </c>
      <c r="K1570" s="1" t="str">
        <f t="shared" si="4"/>
        <v>Nuestro Laboratorio esta trabajando en tus lentes, los entregaremos en la fecha acordada.</v>
      </c>
    </row>
    <row r="1571">
      <c r="A1571" s="1">
        <f>IFERROR(__xludf.DUMMYFUNCTION("""COMPUTED_VALUE"""),86120.0)</f>
        <v>86120</v>
      </c>
      <c r="B1571" s="5">
        <f>IFERROR(__xludf.DUMMYFUNCTION("""COMPUTED_VALUE"""),44963.41747634259)</f>
        <v>44963.41748</v>
      </c>
      <c r="C1571" s="1" t="str">
        <f>IFERROR(__xludf.DUMMYFUNCTION("""COMPUTED_VALUE"""),"MAI MIRTA")</f>
        <v>MAI MIRTA</v>
      </c>
      <c r="D1571" s="1" t="str">
        <f>IFERROR(__xludf.DUMMYFUNCTION("""COMPUTED_VALUE"""),"Reparaciones/Otros")</f>
        <v>Reparaciones/Otros</v>
      </c>
      <c r="E1571" s="1" t="str">
        <f>IFERROR(__xludf.DUMMYFUNCTION("""COMPUTED_VALUE"""),"RIVADAVIA Marcela L")</f>
        <v>RIVADAVIA Marcela L</v>
      </c>
      <c r="F1571" s="1" t="str">
        <f t="shared" si="1"/>
        <v>RIVADAVIA </v>
      </c>
      <c r="G1571" s="1" t="str">
        <f t="shared" si="2"/>
        <v>Marcela L</v>
      </c>
      <c r="H1571" s="1" t="str">
        <f>IFERROR(__xludf.DUMMYFUNCTION("""COMPUTED_VALUE"""),"7/2/2023, 17:00:00")</f>
        <v>7/2/2023, 17:00:00</v>
      </c>
      <c r="I1571" s="1"/>
      <c r="J1571" s="1">
        <f t="shared" si="3"/>
        <v>0</v>
      </c>
      <c r="K1571" s="1" t="str">
        <f t="shared" si="4"/>
        <v/>
      </c>
    </row>
    <row r="1572">
      <c r="A1572" s="1">
        <f>IFERROR(__xludf.DUMMYFUNCTION("""COMPUTED_VALUE"""),86121.0)</f>
        <v>86121</v>
      </c>
      <c r="B1572" s="5">
        <f>IFERROR(__xludf.DUMMYFUNCTION("""COMPUTED_VALUE"""),44963.41777875)</f>
        <v>44963.41778</v>
      </c>
      <c r="C1572" s="1" t="str">
        <f>IFERROR(__xludf.DUMMYFUNCTION("""COMPUTED_VALUE"""),"LOPEZ PAULA FLORENCIA")</f>
        <v>LOPEZ PAULA FLORENCIA</v>
      </c>
      <c r="D1572" s="1" t="str">
        <f>IFERROR(__xludf.DUMMYFUNCTION("""COMPUTED_VALUE"""),"Lentes de STOCK")</f>
        <v>Lentes de STOCK</v>
      </c>
      <c r="E1572" s="1" t="str">
        <f>IFERROR(__xludf.DUMMYFUNCTION("""COMPUTED_VALUE"""),"RIVADAVIA Luciana")</f>
        <v>RIVADAVIA Luciana</v>
      </c>
      <c r="F1572" s="1" t="str">
        <f t="shared" si="1"/>
        <v>RIVADAVIA </v>
      </c>
      <c r="G1572" s="1" t="str">
        <f t="shared" si="2"/>
        <v>Luciana</v>
      </c>
      <c r="H1572" s="1" t="str">
        <f>IFERROR(__xludf.DUMMYFUNCTION("""COMPUTED_VALUE"""),"13/2/2023, 17:00:00")</f>
        <v>13/2/2023, 17:00:00</v>
      </c>
      <c r="I1572" s="1" t="str">
        <f>IFERROR(__xludf.DUMMYFUNCTION("""COMPUTED_VALUE"""),"RETIRADO OK POR CLIENTE")</f>
        <v>RETIRADO OK POR CLIENTE</v>
      </c>
      <c r="J1572" s="1">
        <f t="shared" si="3"/>
        <v>6</v>
      </c>
      <c r="K1572" s="1" t="str">
        <f t="shared" si="4"/>
        <v>Entregamos tus lentes, que los disfrutes!</v>
      </c>
    </row>
    <row r="1573">
      <c r="A1573" s="1">
        <f>IFERROR(__xludf.DUMMYFUNCTION("""COMPUTED_VALUE"""),86122.0)</f>
        <v>86122</v>
      </c>
      <c r="B1573" s="5">
        <f>IFERROR(__xludf.DUMMYFUNCTION("""COMPUTED_VALUE"""),44963.418196666666)</f>
        <v>44963.4182</v>
      </c>
      <c r="C1573" s="1" t="str">
        <f>IFERROR(__xludf.DUMMYFUNCTION("""COMPUTED_VALUE"""),"MOYANO DAZA FELIPE ")</f>
        <v>MOYANO DAZA FELIPE </v>
      </c>
      <c r="D1573" s="1" t="str">
        <f>IFERROR(__xludf.DUMMYFUNCTION("""COMPUTED_VALUE"""),"Lentes de STOCK")</f>
        <v>Lentes de STOCK</v>
      </c>
      <c r="E1573" s="1" t="str">
        <f>IFERROR(__xludf.DUMMYFUNCTION("""COMPUTED_VALUE"""),"ARTIGAS Cristian C.")</f>
        <v>ARTIGAS Cristian C.</v>
      </c>
      <c r="F1573" s="1" t="str">
        <f t="shared" si="1"/>
        <v>ARTIGAS </v>
      </c>
      <c r="G1573" s="1" t="str">
        <f t="shared" si="2"/>
        <v>Cristian C.</v>
      </c>
      <c r="H1573" s="1" t="str">
        <f>IFERROR(__xludf.DUMMYFUNCTION("""COMPUTED_VALUE"""),"9/2/2023, 17:00:00")</f>
        <v>9/2/2023, 17:00:00</v>
      </c>
      <c r="I1573" s="1" t="str">
        <f>IFERROR(__xludf.DUMMYFUNCTION("""COMPUTED_VALUE"""),"Recibido en Laboratorio")</f>
        <v>Recibido en Laboratorio</v>
      </c>
      <c r="J1573" s="1">
        <f t="shared" si="3"/>
        <v>2</v>
      </c>
      <c r="K1573" s="1" t="str">
        <f t="shared" si="4"/>
        <v>Nuestro Laboratorio esta trabajando en tus lentes, los entregaremos en la fecha acordada.</v>
      </c>
    </row>
    <row r="1574">
      <c r="A1574" s="1">
        <f>IFERROR(__xludf.DUMMYFUNCTION("""COMPUTED_VALUE"""),86123.0)</f>
        <v>86123</v>
      </c>
      <c r="B1574" s="5">
        <f>IFERROR(__xludf.DUMMYFUNCTION("""COMPUTED_VALUE"""),44963.423080636574)</f>
        <v>44963.42308</v>
      </c>
      <c r="C1574" s="1" t="str">
        <f>IFERROR(__xludf.DUMMYFUNCTION("""COMPUTED_VALUE"""),"NUÑEZ IRENE")</f>
        <v>NUÑEZ IRENE</v>
      </c>
      <c r="D1574" s="1" t="str">
        <f>IFERROR(__xludf.DUMMYFUNCTION("""COMPUTED_VALUE"""),"Reparaciones/Otros")</f>
        <v>Reparaciones/Otros</v>
      </c>
      <c r="E1574" s="1" t="str">
        <f>IFERROR(__xludf.DUMMYFUNCTION("""COMPUTED_VALUE"""),"RIVADAVIA Marcela L")</f>
        <v>RIVADAVIA Marcela L</v>
      </c>
      <c r="F1574" s="1" t="str">
        <f t="shared" si="1"/>
        <v>RIVADAVIA </v>
      </c>
      <c r="G1574" s="1" t="str">
        <f t="shared" si="2"/>
        <v>Marcela L</v>
      </c>
      <c r="H1574" s="1" t="str">
        <f>IFERROR(__xludf.DUMMYFUNCTION("""COMPUTED_VALUE"""),"7/2/2023, 17:00:00")</f>
        <v>7/2/2023, 17:00:00</v>
      </c>
      <c r="I1574" s="1" t="str">
        <f>IFERROR(__xludf.DUMMYFUNCTION("""COMPUTED_VALUE"""),"Recibido en Laboratorio")</f>
        <v>Recibido en Laboratorio</v>
      </c>
      <c r="J1574" s="1">
        <f t="shared" si="3"/>
        <v>2</v>
      </c>
      <c r="K1574" s="1" t="str">
        <f t="shared" si="4"/>
        <v>Nuestro Laboratorio esta trabajando en tus lentes, los entregaremos en la fecha acordada.</v>
      </c>
    </row>
    <row r="1575">
      <c r="A1575" s="1">
        <f>IFERROR(__xludf.DUMMYFUNCTION("""COMPUTED_VALUE"""),86124.0)</f>
        <v>86124</v>
      </c>
      <c r="B1575" s="5">
        <f>IFERROR(__xludf.DUMMYFUNCTION("""COMPUTED_VALUE"""),44963.42788827546)</f>
        <v>44963.42789</v>
      </c>
      <c r="C1575" s="1" t="str">
        <f>IFERROR(__xludf.DUMMYFUNCTION("""COMPUTED_VALUE"""),"MIRANDA TOMAS")</f>
        <v>MIRANDA TOMAS</v>
      </c>
      <c r="D1575" s="1" t="str">
        <f>IFERROR(__xludf.DUMMYFUNCTION("""COMPUTED_VALUE"""),"Lentes de STOCK")</f>
        <v>Lentes de STOCK</v>
      </c>
      <c r="E1575" s="1" t="str">
        <f>IFERROR(__xludf.DUMMYFUNCTION("""COMPUTED_VALUE"""),"RIVADAVIA Santiago N")</f>
        <v>RIVADAVIA Santiago N</v>
      </c>
      <c r="F1575" s="1" t="str">
        <f t="shared" si="1"/>
        <v>RIVADAVIA </v>
      </c>
      <c r="G1575" s="1" t="str">
        <f t="shared" si="2"/>
        <v>Santiago N</v>
      </c>
      <c r="H1575" s="1" t="str">
        <f>IFERROR(__xludf.DUMMYFUNCTION("""COMPUTED_VALUE"""),"11/2/2023, 17:00:00")</f>
        <v>11/2/2023, 17:00:00</v>
      </c>
      <c r="I1575" s="1" t="str">
        <f>IFERROR(__xludf.DUMMYFUNCTION("""COMPUTED_VALUE"""),"RETIRADO OK POR CLIENTE")</f>
        <v>RETIRADO OK POR CLIENTE</v>
      </c>
      <c r="J1575" s="1">
        <f t="shared" si="3"/>
        <v>6</v>
      </c>
      <c r="K1575" s="1" t="str">
        <f t="shared" si="4"/>
        <v>Entregamos tus lentes, que los disfrutes!</v>
      </c>
    </row>
    <row r="1576">
      <c r="A1576" s="1">
        <f>IFERROR(__xludf.DUMMYFUNCTION("""COMPUTED_VALUE"""),86125.0)</f>
        <v>86125</v>
      </c>
      <c r="B1576" s="5">
        <f>IFERROR(__xludf.DUMMYFUNCTION("""COMPUTED_VALUE"""),44963.43661679398)</f>
        <v>44963.43662</v>
      </c>
      <c r="C1576" s="1" t="str">
        <f>IFERROR(__xludf.DUMMYFUNCTION("""COMPUTED_VALUE"""),"BUSTOS JULIAN FELIPE")</f>
        <v>BUSTOS JULIAN FELIPE</v>
      </c>
      <c r="D1576" s="1" t="str">
        <f>IFERROR(__xludf.DUMMYFUNCTION("""COMPUTED_VALUE"""),"Lentes de STOCK")</f>
        <v>Lentes de STOCK</v>
      </c>
      <c r="E1576" s="1" t="str">
        <f>IFERROR(__xludf.DUMMYFUNCTION("""COMPUTED_VALUE"""),"RIVADAVIA Marcela L")</f>
        <v>RIVADAVIA Marcela L</v>
      </c>
      <c r="F1576" s="1" t="str">
        <f t="shared" si="1"/>
        <v>RIVADAVIA </v>
      </c>
      <c r="G1576" s="1" t="str">
        <f t="shared" si="2"/>
        <v>Marcela L</v>
      </c>
      <c r="H1576" s="1" t="str">
        <f>IFERROR(__xludf.DUMMYFUNCTION("""COMPUTED_VALUE"""),"8/2/2023, 17:00:00")</f>
        <v>8/2/2023, 17:00:00</v>
      </c>
      <c r="I1576" s="1" t="str">
        <f>IFERROR(__xludf.DUMMYFUNCTION("""COMPUTED_VALUE"""),"Recibido en Laboratorio")</f>
        <v>Recibido en Laboratorio</v>
      </c>
      <c r="J1576" s="1">
        <f t="shared" si="3"/>
        <v>2</v>
      </c>
      <c r="K1576" s="1" t="str">
        <f t="shared" si="4"/>
        <v>Nuestro Laboratorio esta trabajando en tus lentes, los entregaremos en la fecha acordada.</v>
      </c>
    </row>
    <row r="1577">
      <c r="A1577" s="1">
        <f>IFERROR(__xludf.DUMMYFUNCTION("""COMPUTED_VALUE"""),86126.0)</f>
        <v>86126</v>
      </c>
      <c r="B1577" s="5">
        <f>IFERROR(__xludf.DUMMYFUNCTION("""COMPUTED_VALUE"""),44963.436725011576)</f>
        <v>44963.43673</v>
      </c>
      <c r="C1577" s="1" t="str">
        <f>IFERROR(__xludf.DUMMYFUNCTION("""COMPUTED_VALUE"""),"santiago ibarrola")</f>
        <v>santiago ibarrola</v>
      </c>
      <c r="D1577" s="1" t="str">
        <f>IFERROR(__xludf.DUMMYFUNCTION("""COMPUTED_VALUE"""),"Reparaciones/Otros")</f>
        <v>Reparaciones/Otros</v>
      </c>
      <c r="E1577" s="1" t="str">
        <f>IFERROR(__xludf.DUMMYFUNCTION("""COMPUTED_VALUE"""),"RIVADAVIA Daniel CM")</f>
        <v>RIVADAVIA Daniel CM</v>
      </c>
      <c r="F1577" s="1" t="str">
        <f t="shared" si="1"/>
        <v>RIVADAVIA </v>
      </c>
      <c r="G1577" s="1" t="str">
        <f t="shared" si="2"/>
        <v>Daniel CM</v>
      </c>
      <c r="H1577" s="1" t="str">
        <f>IFERROR(__xludf.DUMMYFUNCTION("""COMPUTED_VALUE"""),"7/2/2023, 17:00:00")</f>
        <v>7/2/2023, 17:00:00</v>
      </c>
      <c r="I1577" s="1" t="str">
        <f>IFERROR(__xludf.DUMMYFUNCTION("""COMPUTED_VALUE"""),"Recibido en Laboratorio")</f>
        <v>Recibido en Laboratorio</v>
      </c>
      <c r="J1577" s="1">
        <f t="shared" si="3"/>
        <v>2</v>
      </c>
      <c r="K1577" s="1" t="str">
        <f t="shared" si="4"/>
        <v>Nuestro Laboratorio esta trabajando en tus lentes, los entregaremos en la fecha acordada.</v>
      </c>
    </row>
    <row r="1578">
      <c r="A1578" s="1">
        <f>IFERROR(__xludf.DUMMYFUNCTION("""COMPUTED_VALUE"""),86127.0)</f>
        <v>86127</v>
      </c>
      <c r="B1578" s="5">
        <f>IFERROR(__xludf.DUMMYFUNCTION("""COMPUTED_VALUE"""),44963.44535900463)</f>
        <v>44963.44536</v>
      </c>
      <c r="C1578" s="1" t="str">
        <f>IFERROR(__xludf.DUMMYFUNCTION("""COMPUTED_VALUE"""),"BENITEZ MARIA PATRICIA")</f>
        <v>BENITEZ MARIA PATRICIA</v>
      </c>
      <c r="D1578" s="1" t="str">
        <f>IFERROR(__xludf.DUMMYFUNCTION("""COMPUTED_VALUE"""),"Lentes de STOCK")</f>
        <v>Lentes de STOCK</v>
      </c>
      <c r="E1578" s="1" t="str">
        <f>IFERROR(__xludf.DUMMYFUNCTION("""COMPUTED_VALUE"""),"ARTIGAS Cristian C.")</f>
        <v>ARTIGAS Cristian C.</v>
      </c>
      <c r="F1578" s="1" t="str">
        <f t="shared" si="1"/>
        <v>ARTIGAS </v>
      </c>
      <c r="G1578" s="1" t="str">
        <f t="shared" si="2"/>
        <v>Cristian C.</v>
      </c>
      <c r="H1578" s="1" t="str">
        <f>IFERROR(__xludf.DUMMYFUNCTION("""COMPUTED_VALUE"""),"13/2/2023, 17:00:00")</f>
        <v>13/2/2023, 17:00:00</v>
      </c>
      <c r="I1578" s="1" t="str">
        <f>IFERROR(__xludf.DUMMYFUNCTION("""COMPUTED_VALUE"""),"RETIRADO OK POR CLIENTE")</f>
        <v>RETIRADO OK POR CLIENTE</v>
      </c>
      <c r="J1578" s="1">
        <f t="shared" si="3"/>
        <v>6</v>
      </c>
      <c r="K1578" s="1" t="str">
        <f t="shared" si="4"/>
        <v>Entregamos tus lentes, que los disfrutes!</v>
      </c>
    </row>
    <row r="1579">
      <c r="A1579" s="1">
        <f>IFERROR(__xludf.DUMMYFUNCTION("""COMPUTED_VALUE"""),86128.0)</f>
        <v>86128</v>
      </c>
      <c r="B1579" s="5">
        <f>IFERROR(__xludf.DUMMYFUNCTION("""COMPUTED_VALUE"""),44963.44591210649)</f>
        <v>44963.44591</v>
      </c>
      <c r="C1579" s="1" t="str">
        <f>IFERROR(__xludf.DUMMYFUNCTION("""COMPUTED_VALUE"""),"MOYANO MARCOS")</f>
        <v>MOYANO MARCOS</v>
      </c>
      <c r="D1579" s="1" t="str">
        <f>IFERROR(__xludf.DUMMYFUNCTION("""COMPUTED_VALUE"""),"Reparaciones/Otros")</f>
        <v>Reparaciones/Otros</v>
      </c>
      <c r="E1579" s="1" t="str">
        <f>IFERROR(__xludf.DUMMYFUNCTION("""COMPUTED_VALUE"""),"ARTIGAS Sandra G")</f>
        <v>ARTIGAS Sandra G</v>
      </c>
      <c r="F1579" s="1" t="str">
        <f t="shared" si="1"/>
        <v>ARTIGAS </v>
      </c>
      <c r="G1579" s="1" t="str">
        <f t="shared" si="2"/>
        <v>Sandra G</v>
      </c>
      <c r="H1579" s="1" t="str">
        <f>IFERROR(__xludf.DUMMYFUNCTION("""COMPUTED_VALUE"""),"7/2/2023, 17:00:00")</f>
        <v>7/2/2023, 17:00:00</v>
      </c>
      <c r="I1579" s="1" t="str">
        <f>IFERROR(__xludf.DUMMYFUNCTION("""COMPUTED_VALUE"""),"Recibido en Laboratorio")</f>
        <v>Recibido en Laboratorio</v>
      </c>
      <c r="J1579" s="1">
        <f t="shared" si="3"/>
        <v>2</v>
      </c>
      <c r="K1579" s="1" t="str">
        <f t="shared" si="4"/>
        <v>Nuestro Laboratorio esta trabajando en tus lentes, los entregaremos en la fecha acordada.</v>
      </c>
    </row>
    <row r="1580">
      <c r="A1580" s="1">
        <f>IFERROR(__xludf.DUMMYFUNCTION("""COMPUTED_VALUE"""),86129.0)</f>
        <v>86129</v>
      </c>
      <c r="B1580" s="5">
        <f>IFERROR(__xludf.DUMMYFUNCTION("""COMPUTED_VALUE"""),44963.447111828704)</f>
        <v>44963.44711</v>
      </c>
      <c r="C1580" s="1" t="str">
        <f>IFERROR(__xludf.DUMMYFUNCTION("""COMPUTED_VALUE"""),"MUÑOZ MARCELA")</f>
        <v>MUÑOZ MARCELA</v>
      </c>
      <c r="D1580" s="1" t="str">
        <f>IFERROR(__xludf.DUMMYFUNCTION("""COMPUTED_VALUE"""),"Lentes de STOCK")</f>
        <v>Lentes de STOCK</v>
      </c>
      <c r="E1580" s="1" t="str">
        <f>IFERROR(__xludf.DUMMYFUNCTION("""COMPUTED_VALUE"""),"RIVADAVIA Luciana")</f>
        <v>RIVADAVIA Luciana</v>
      </c>
      <c r="F1580" s="1" t="str">
        <f t="shared" si="1"/>
        <v>RIVADAVIA </v>
      </c>
      <c r="G1580" s="1" t="str">
        <f t="shared" si="2"/>
        <v>Luciana</v>
      </c>
      <c r="H1580" s="1" t="str">
        <f>IFERROR(__xludf.DUMMYFUNCTION("""COMPUTED_VALUE"""),"9/2/2023, 17:00:00")</f>
        <v>9/2/2023, 17:00:00</v>
      </c>
      <c r="I1580" s="1" t="str">
        <f>IFERROR(__xludf.DUMMYFUNCTION("""COMPUTED_VALUE"""),"RETIRADO OK POR CLIENTE")</f>
        <v>RETIRADO OK POR CLIENTE</v>
      </c>
      <c r="J1580" s="1">
        <f t="shared" si="3"/>
        <v>6</v>
      </c>
      <c r="K1580" s="1" t="str">
        <f t="shared" si="4"/>
        <v>Entregamos tus lentes, que los disfrutes!</v>
      </c>
    </row>
    <row r="1581">
      <c r="A1581" s="1">
        <f>IFERROR(__xludf.DUMMYFUNCTION("""COMPUTED_VALUE"""),86130.0)</f>
        <v>86130</v>
      </c>
      <c r="B1581" s="5">
        <f>IFERROR(__xludf.DUMMYFUNCTION("""COMPUTED_VALUE"""),44963.44723091435)</f>
        <v>44963.44723</v>
      </c>
      <c r="C1581" s="1" t="str">
        <f>IFERROR(__xludf.DUMMYFUNCTION("""COMPUTED_VALUE"""),"CASTRO SIXTA GREGORIA")</f>
        <v>CASTRO SIXTA GREGORIA</v>
      </c>
      <c r="D1581" s="1" t="str">
        <f>IFERROR(__xludf.DUMMYFUNCTION("""COMPUTED_VALUE"""),"Lentes de STOCK")</f>
        <v>Lentes de STOCK</v>
      </c>
      <c r="E1581" s="1" t="str">
        <f>IFERROR(__xludf.DUMMYFUNCTION("""COMPUTED_VALUE"""),"ARTIGAS Roció")</f>
        <v>ARTIGAS Roció</v>
      </c>
      <c r="F1581" s="1" t="str">
        <f t="shared" si="1"/>
        <v>ARTIGAS </v>
      </c>
      <c r="G1581" s="1" t="str">
        <f t="shared" si="2"/>
        <v>Roció</v>
      </c>
      <c r="H1581" s="1" t="str">
        <f>IFERROR(__xludf.DUMMYFUNCTION("""COMPUTED_VALUE"""),"10/2/2023, 17:00:00")</f>
        <v>10/2/2023, 17:00:00</v>
      </c>
      <c r="I1581" s="1" t="str">
        <f>IFERROR(__xludf.DUMMYFUNCTION("""COMPUTED_VALUE"""),"RETIRADO OK POR CLIENTE")</f>
        <v>RETIRADO OK POR CLIENTE</v>
      </c>
      <c r="J1581" s="1">
        <f t="shared" si="3"/>
        <v>6</v>
      </c>
      <c r="K1581" s="1" t="str">
        <f t="shared" si="4"/>
        <v>Entregamos tus lentes, que los disfrutes!</v>
      </c>
    </row>
    <row r="1582">
      <c r="A1582" s="1">
        <f>IFERROR(__xludf.DUMMYFUNCTION("""COMPUTED_VALUE"""),86131.0)</f>
        <v>86131</v>
      </c>
      <c r="B1582" s="5">
        <f>IFERROR(__xludf.DUMMYFUNCTION("""COMPUTED_VALUE"""),44963.45311459491)</f>
        <v>44963.45311</v>
      </c>
      <c r="C1582" s="1" t="str">
        <f>IFERROR(__xludf.DUMMYFUNCTION("""COMPUTED_VALUE"""),"Sosa Victor")</f>
        <v>Sosa Victor</v>
      </c>
      <c r="D1582" s="1" t="str">
        <f>IFERROR(__xludf.DUMMYFUNCTION("""COMPUTED_VALUE"""),"Lentes de STOCK")</f>
        <v>Lentes de STOCK</v>
      </c>
      <c r="E1582" s="1" t="str">
        <f>IFERROR(__xludf.DUMMYFUNCTION("""COMPUTED_VALUE"""),"ARTIGAS Roció")</f>
        <v>ARTIGAS Roció</v>
      </c>
      <c r="F1582" s="1" t="str">
        <f t="shared" si="1"/>
        <v>ARTIGAS </v>
      </c>
      <c r="G1582" s="1" t="str">
        <f t="shared" si="2"/>
        <v>Roció</v>
      </c>
      <c r="H1582" s="1" t="str">
        <f>IFERROR(__xludf.DUMMYFUNCTION("""COMPUTED_VALUE"""),"13/2/2023, 17:00:00")</f>
        <v>13/2/2023, 17:00:00</v>
      </c>
      <c r="I1582" s="1" t="str">
        <f>IFERROR(__xludf.DUMMYFUNCTION("""COMPUTED_VALUE"""),"RETIRADO OK POR CLIENTE")</f>
        <v>RETIRADO OK POR CLIENTE</v>
      </c>
      <c r="J1582" s="1">
        <f t="shared" si="3"/>
        <v>6</v>
      </c>
      <c r="K1582" s="1" t="str">
        <f t="shared" si="4"/>
        <v>Entregamos tus lentes, que los disfrutes!</v>
      </c>
    </row>
    <row r="1583">
      <c r="A1583" s="1">
        <f>IFERROR(__xludf.DUMMYFUNCTION("""COMPUTED_VALUE"""),86132.0)</f>
        <v>86132</v>
      </c>
      <c r="B1583" s="5">
        <f>IFERROR(__xludf.DUMMYFUNCTION("""COMPUTED_VALUE"""),44963.45376892361)</f>
        <v>44963.45377</v>
      </c>
      <c r="C1583" s="1" t="str">
        <f>IFERROR(__xludf.DUMMYFUNCTION("""COMPUTED_VALUE"""),"romero marcelo luis")</f>
        <v>romero marcelo luis</v>
      </c>
      <c r="D1583" s="1" t="str">
        <f>IFERROR(__xludf.DUMMYFUNCTION("""COMPUTED_VALUE"""),"Lentes de STOCK")</f>
        <v>Lentes de STOCK</v>
      </c>
      <c r="E1583" s="1" t="str">
        <f>IFERROR(__xludf.DUMMYFUNCTION("""COMPUTED_VALUE"""),"RIVADAVIA Santiago N")</f>
        <v>RIVADAVIA Santiago N</v>
      </c>
      <c r="F1583" s="1" t="str">
        <f t="shared" si="1"/>
        <v>RIVADAVIA </v>
      </c>
      <c r="G1583" s="1" t="str">
        <f t="shared" si="2"/>
        <v>Santiago N</v>
      </c>
      <c r="H1583" s="1" t="str">
        <f>IFERROR(__xludf.DUMMYFUNCTION("""COMPUTED_VALUE"""),"8/2/2023, 17:00:00")</f>
        <v>8/2/2023, 17:00:00</v>
      </c>
      <c r="I1583" s="1" t="str">
        <f>IFERROR(__xludf.DUMMYFUNCTION("""COMPUTED_VALUE"""),"Recibido en Laboratorio")</f>
        <v>Recibido en Laboratorio</v>
      </c>
      <c r="J1583" s="1">
        <f t="shared" si="3"/>
        <v>2</v>
      </c>
      <c r="K1583" s="1" t="str">
        <f t="shared" si="4"/>
        <v>Nuestro Laboratorio esta trabajando en tus lentes, los entregaremos en la fecha acordada.</v>
      </c>
    </row>
    <row r="1584">
      <c r="A1584" s="1">
        <f>IFERROR(__xludf.DUMMYFUNCTION("""COMPUTED_VALUE"""),86133.0)</f>
        <v>86133</v>
      </c>
      <c r="B1584" s="5">
        <f>IFERROR(__xludf.DUMMYFUNCTION("""COMPUTED_VALUE"""),44963.455409849535)</f>
        <v>44963.45541</v>
      </c>
      <c r="C1584" s="1" t="str">
        <f>IFERROR(__xludf.DUMMYFUNCTION("""COMPUTED_VALUE"""),"FERNANDEZ GLADYS")</f>
        <v>FERNANDEZ GLADYS</v>
      </c>
      <c r="D1584" s="1" t="str">
        <f>IFERROR(__xludf.DUMMYFUNCTION("""COMPUTED_VALUE"""),"Reparaciones/Otros")</f>
        <v>Reparaciones/Otros</v>
      </c>
      <c r="E1584" s="1" t="str">
        <f>IFERROR(__xludf.DUMMYFUNCTION("""COMPUTED_VALUE"""),"ARTIGAS Cristian C.")</f>
        <v>ARTIGAS Cristian C.</v>
      </c>
      <c r="F1584" s="1" t="str">
        <f t="shared" si="1"/>
        <v>ARTIGAS </v>
      </c>
      <c r="G1584" s="1" t="str">
        <f t="shared" si="2"/>
        <v>Cristian C.</v>
      </c>
      <c r="H1584" s="1" t="str">
        <f>IFERROR(__xludf.DUMMYFUNCTION("""COMPUTED_VALUE"""),"9/2/2023, 17:00:00")</f>
        <v>9/2/2023, 17:00:00</v>
      </c>
      <c r="I1584" s="1" t="str">
        <f>IFERROR(__xludf.DUMMYFUNCTION("""COMPUTED_VALUE"""),"Recibido en Laboratorio")</f>
        <v>Recibido en Laboratorio</v>
      </c>
      <c r="J1584" s="1">
        <f t="shared" si="3"/>
        <v>2</v>
      </c>
      <c r="K1584" s="1" t="str">
        <f t="shared" si="4"/>
        <v>Nuestro Laboratorio esta trabajando en tus lentes, los entregaremos en la fecha acordada.</v>
      </c>
    </row>
    <row r="1585">
      <c r="A1585" s="1">
        <f>IFERROR(__xludf.DUMMYFUNCTION("""COMPUTED_VALUE"""),86134.0)</f>
        <v>86134</v>
      </c>
      <c r="B1585" s="5">
        <f>IFERROR(__xludf.DUMMYFUNCTION("""COMPUTED_VALUE"""),44963.45849186342)</f>
        <v>44963.45849</v>
      </c>
      <c r="C1585" s="1" t="str">
        <f>IFERROR(__xludf.DUMMYFUNCTION("""COMPUTED_VALUE"""),"jose maria laura")</f>
        <v>jose maria laura</v>
      </c>
      <c r="D1585" s="1" t="str">
        <f>IFERROR(__xludf.DUMMYFUNCTION("""COMPUTED_VALUE"""),"Reparaciones/Otros")</f>
        <v>Reparaciones/Otros</v>
      </c>
      <c r="E1585" s="1" t="str">
        <f>IFERROR(__xludf.DUMMYFUNCTION("""COMPUTED_VALUE"""),"RIVADAVIA Daniel CM")</f>
        <v>RIVADAVIA Daniel CM</v>
      </c>
      <c r="F1585" s="1" t="str">
        <f t="shared" si="1"/>
        <v>RIVADAVIA </v>
      </c>
      <c r="G1585" s="1" t="str">
        <f t="shared" si="2"/>
        <v>Daniel CM</v>
      </c>
      <c r="H1585" s="1" t="str">
        <f>IFERROR(__xludf.DUMMYFUNCTION("""COMPUTED_VALUE"""),"7/2/2023, 17:00:00")</f>
        <v>7/2/2023, 17:00:00</v>
      </c>
      <c r="I1585" s="1"/>
      <c r="J1585" s="1">
        <f t="shared" si="3"/>
        <v>0</v>
      </c>
      <c r="K1585" s="1" t="str">
        <f t="shared" si="4"/>
        <v/>
      </c>
    </row>
    <row r="1586">
      <c r="A1586" s="1">
        <f>IFERROR(__xludf.DUMMYFUNCTION("""COMPUTED_VALUE"""),86135.0)</f>
        <v>86135</v>
      </c>
      <c r="B1586" s="5">
        <f>IFERROR(__xludf.DUMMYFUNCTION("""COMPUTED_VALUE"""),44963.46922462963)</f>
        <v>44963.46922</v>
      </c>
      <c r="C1586" s="1" t="str">
        <f>IFERROR(__xludf.DUMMYFUNCTION("""COMPUTED_VALUE"""),"ANDRADA MIRTA CRISTINA")</f>
        <v>ANDRADA MIRTA CRISTINA</v>
      </c>
      <c r="D1586" s="1" t="str">
        <f>IFERROR(__xludf.DUMMYFUNCTION("""COMPUTED_VALUE"""),"Lentes de STOCK")</f>
        <v>Lentes de STOCK</v>
      </c>
      <c r="E1586" s="1" t="str">
        <f>IFERROR(__xludf.DUMMYFUNCTION("""COMPUTED_VALUE"""),"ARTIGAS Roció")</f>
        <v>ARTIGAS Roció</v>
      </c>
      <c r="F1586" s="1" t="str">
        <f t="shared" si="1"/>
        <v>ARTIGAS </v>
      </c>
      <c r="G1586" s="1" t="str">
        <f t="shared" si="2"/>
        <v>Roció</v>
      </c>
      <c r="H1586" s="1" t="str">
        <f>IFERROR(__xludf.DUMMYFUNCTION("""COMPUTED_VALUE"""),"13/2/2023, 17:00:00")</f>
        <v>13/2/2023, 17:00:00</v>
      </c>
      <c r="I1586" s="1" t="str">
        <f>IFERROR(__xludf.DUMMYFUNCTION("""COMPUTED_VALUE"""),"RETIRADO OK POR CLIENTE")</f>
        <v>RETIRADO OK POR CLIENTE</v>
      </c>
      <c r="J1586" s="1">
        <f t="shared" si="3"/>
        <v>6</v>
      </c>
      <c r="K1586" s="1" t="str">
        <f t="shared" si="4"/>
        <v>Entregamos tus lentes, que los disfrutes!</v>
      </c>
    </row>
    <row r="1587">
      <c r="A1587" s="1">
        <f>IFERROR(__xludf.DUMMYFUNCTION("""COMPUTED_VALUE"""),86136.0)</f>
        <v>86136</v>
      </c>
      <c r="B1587" s="5">
        <f>IFERROR(__xludf.DUMMYFUNCTION("""COMPUTED_VALUE"""),44963.469410879625)</f>
        <v>44963.46941</v>
      </c>
      <c r="C1587" s="1" t="str">
        <f>IFERROR(__xludf.DUMMYFUNCTION("""COMPUTED_VALUE"""),"Baigorria  Nestor")</f>
        <v>Baigorria  Nestor</v>
      </c>
      <c r="D1587" s="1" t="str">
        <f>IFERROR(__xludf.DUMMYFUNCTION("""COMPUTED_VALUE"""),"Lentes de LABORATORIO")</f>
        <v>Lentes de LABORATORIO</v>
      </c>
      <c r="E1587" s="1" t="str">
        <f>IFERROR(__xludf.DUMMYFUNCTION("""COMPUTED_VALUE"""),"ARTIGAS Cristian C.")</f>
        <v>ARTIGAS Cristian C.</v>
      </c>
      <c r="F1587" s="1" t="str">
        <f t="shared" si="1"/>
        <v>ARTIGAS </v>
      </c>
      <c r="G1587" s="1" t="str">
        <f t="shared" si="2"/>
        <v>Cristian C.</v>
      </c>
      <c r="H1587" s="1" t="str">
        <f>IFERROR(__xludf.DUMMYFUNCTION("""COMPUTED_VALUE"""),"13/2/2023, 17:00:00")</f>
        <v>13/2/2023, 17:00:00</v>
      </c>
      <c r="I1587" s="1" t="str">
        <f>IFERROR(__xludf.DUMMYFUNCTION("""COMPUTED_VALUE"""),"RETIRADO OK POR CLIENTE")</f>
        <v>RETIRADO OK POR CLIENTE</v>
      </c>
      <c r="J1587" s="1">
        <f t="shared" si="3"/>
        <v>6</v>
      </c>
      <c r="K1587" s="1" t="str">
        <f t="shared" si="4"/>
        <v>Entregamos tus lentes, que los disfrutes!</v>
      </c>
    </row>
    <row r="1588">
      <c r="A1588" s="1">
        <f>IFERROR(__xludf.DUMMYFUNCTION("""COMPUTED_VALUE"""),86137.0)</f>
        <v>86137</v>
      </c>
      <c r="B1588" s="5">
        <f>IFERROR(__xludf.DUMMYFUNCTION("""COMPUTED_VALUE"""),44963.47726771991)</f>
        <v>44963.47727</v>
      </c>
      <c r="C1588" s="1" t="str">
        <f>IFERROR(__xludf.DUMMYFUNCTION("""COMPUTED_VALUE"""),"DE LA FUENTE SERGIO")</f>
        <v>DE LA FUENTE SERGIO</v>
      </c>
      <c r="D1588" s="1" t="str">
        <f>IFERROR(__xludf.DUMMYFUNCTION("""COMPUTED_VALUE"""),"Lentes MULTIFOCALES")</f>
        <v>Lentes MULTIFOCALES</v>
      </c>
      <c r="E1588" s="1" t="str">
        <f>IFERROR(__xludf.DUMMYFUNCTION("""COMPUTED_VALUE"""),"RIVADAVIA Luciana")</f>
        <v>RIVADAVIA Luciana</v>
      </c>
      <c r="F1588" s="1" t="str">
        <f t="shared" si="1"/>
        <v>RIVADAVIA </v>
      </c>
      <c r="G1588" s="1" t="str">
        <f t="shared" si="2"/>
        <v>Luciana</v>
      </c>
      <c r="H1588" s="1" t="str">
        <f>IFERROR(__xludf.DUMMYFUNCTION("""COMPUTED_VALUE"""),"24/2/2023, 17:00:00")</f>
        <v>24/2/2023, 17:00:00</v>
      </c>
      <c r="I1588" s="1" t="str">
        <f>IFERROR(__xludf.DUMMYFUNCTION("""COMPUTED_VALUE"""),"Recibido en Laboratorio")</f>
        <v>Recibido en Laboratorio</v>
      </c>
      <c r="J1588" s="1">
        <f t="shared" si="3"/>
        <v>2</v>
      </c>
      <c r="K1588" s="1" t="str">
        <f t="shared" si="4"/>
        <v>Nuestro Laboratorio esta trabajando en tus lentes, los entregaremos en la fecha acordada.</v>
      </c>
    </row>
    <row r="1589">
      <c r="A1589" s="1">
        <f>IFERROR(__xludf.DUMMYFUNCTION("""COMPUTED_VALUE"""),86138.0)</f>
        <v>86138</v>
      </c>
      <c r="B1589" s="5">
        <f>IFERROR(__xludf.DUMMYFUNCTION("""COMPUTED_VALUE"""),44963.47848456018)</f>
        <v>44963.47848</v>
      </c>
      <c r="C1589" s="1" t="str">
        <f>IFERROR(__xludf.DUMMYFUNCTION("""COMPUTED_VALUE"""),"hoyos leonardo")</f>
        <v>hoyos leonardo</v>
      </c>
      <c r="D1589" s="1" t="str">
        <f>IFERROR(__xludf.DUMMYFUNCTION("""COMPUTED_VALUE"""),"Reparaciones/Otros")</f>
        <v>Reparaciones/Otros</v>
      </c>
      <c r="E1589" s="1" t="str">
        <f>IFERROR(__xludf.DUMMYFUNCTION("""COMPUTED_VALUE"""),"RIVADAVIA Santiago LOPEZ")</f>
        <v>RIVADAVIA Santiago LOPEZ</v>
      </c>
      <c r="F1589" s="1" t="str">
        <f t="shared" si="1"/>
        <v>RIVADAVIA </v>
      </c>
      <c r="G1589" s="1" t="str">
        <f t="shared" si="2"/>
        <v>Santiago LOPEZ</v>
      </c>
      <c r="H1589" s="1" t="str">
        <f>IFERROR(__xludf.DUMMYFUNCTION("""COMPUTED_VALUE"""),"7/2/2023, 17:00:00")</f>
        <v>7/2/2023, 17:00:00</v>
      </c>
      <c r="I1589" s="1"/>
      <c r="J1589" s="1">
        <f t="shared" si="3"/>
        <v>0</v>
      </c>
      <c r="K1589" s="1" t="str">
        <f t="shared" si="4"/>
        <v/>
      </c>
    </row>
    <row r="1590">
      <c r="A1590" s="1">
        <f>IFERROR(__xludf.DUMMYFUNCTION("""COMPUTED_VALUE"""),86139.0)</f>
        <v>86139</v>
      </c>
      <c r="B1590" s="5">
        <f>IFERROR(__xludf.DUMMYFUNCTION("""COMPUTED_VALUE"""),44963.47938800926)</f>
        <v>44963.47939</v>
      </c>
      <c r="C1590" s="1" t="str">
        <f>IFERROR(__xludf.DUMMYFUNCTION("""COMPUTED_VALUE"""),"DE LA FUENTE THIAGO ")</f>
        <v>DE LA FUENTE THIAGO </v>
      </c>
      <c r="D1590" s="1" t="str">
        <f>IFERROR(__xludf.DUMMYFUNCTION("""COMPUTED_VALUE"""),"Lentes de STOCK")</f>
        <v>Lentes de STOCK</v>
      </c>
      <c r="E1590" s="1" t="str">
        <f>IFERROR(__xludf.DUMMYFUNCTION("""COMPUTED_VALUE"""),"RIVADAVIA Luciana")</f>
        <v>RIVADAVIA Luciana</v>
      </c>
      <c r="F1590" s="1" t="str">
        <f t="shared" si="1"/>
        <v>RIVADAVIA </v>
      </c>
      <c r="G1590" s="1" t="str">
        <f t="shared" si="2"/>
        <v>Luciana</v>
      </c>
      <c r="H1590" s="1" t="str">
        <f>IFERROR(__xludf.DUMMYFUNCTION("""COMPUTED_VALUE"""),"9/2/2023, 18:00:00")</f>
        <v>9/2/2023, 18:00:00</v>
      </c>
      <c r="I1590" s="1" t="str">
        <f>IFERROR(__xludf.DUMMYFUNCTION("""COMPUTED_VALUE"""),"Completado en SUCURSAL")</f>
        <v>Completado en SUCURSAL</v>
      </c>
      <c r="J1590" s="1">
        <f t="shared" si="3"/>
        <v>5</v>
      </c>
      <c r="K1590" s="1" t="str">
        <f t="shared" si="4"/>
        <v>Tus Lentes estan LISTAS PARA ENTREGAR, te esperamos.</v>
      </c>
    </row>
    <row r="1591">
      <c r="A1591" s="1">
        <f>IFERROR(__xludf.DUMMYFUNCTION("""COMPUTED_VALUE"""),86140.0)</f>
        <v>86140</v>
      </c>
      <c r="B1591" s="5">
        <f>IFERROR(__xludf.DUMMYFUNCTION("""COMPUTED_VALUE"""),44963.48306912037)</f>
        <v>44963.48307</v>
      </c>
      <c r="C1591" s="1" t="str">
        <f>IFERROR(__xludf.DUMMYFUNCTION("""COMPUTED_VALUE"""),"PEREZ LUNA VICTOR ALEJO")</f>
        <v>PEREZ LUNA VICTOR ALEJO</v>
      </c>
      <c r="D1591" s="1" t="str">
        <f>IFERROR(__xludf.DUMMYFUNCTION("""COMPUTED_VALUE"""),"Lentes de STOCK")</f>
        <v>Lentes de STOCK</v>
      </c>
      <c r="E1591" s="1" t="str">
        <f>IFERROR(__xludf.DUMMYFUNCTION("""COMPUTED_VALUE"""),"ARTIGAS Cristian C.")</f>
        <v>ARTIGAS Cristian C.</v>
      </c>
      <c r="F1591" s="1" t="str">
        <f t="shared" si="1"/>
        <v>ARTIGAS </v>
      </c>
      <c r="G1591" s="1" t="str">
        <f t="shared" si="2"/>
        <v>Cristian C.</v>
      </c>
      <c r="H1591" s="1" t="str">
        <f>IFERROR(__xludf.DUMMYFUNCTION("""COMPUTED_VALUE"""),"10/2/2023, 17:00:00")</f>
        <v>10/2/2023, 17:00:00</v>
      </c>
      <c r="I1591" s="1" t="str">
        <f>IFERROR(__xludf.DUMMYFUNCTION("""COMPUTED_VALUE"""),"RETIRADO OK POR CLIENTE")</f>
        <v>RETIRADO OK POR CLIENTE</v>
      </c>
      <c r="J1591" s="1">
        <f t="shared" si="3"/>
        <v>6</v>
      </c>
      <c r="K1591" s="1" t="str">
        <f t="shared" si="4"/>
        <v>Entregamos tus lentes, que los disfrutes!</v>
      </c>
    </row>
    <row r="1592">
      <c r="A1592" s="1">
        <f>IFERROR(__xludf.DUMMYFUNCTION("""COMPUTED_VALUE"""),86141.0)</f>
        <v>86141</v>
      </c>
      <c r="B1592" s="5">
        <f>IFERROR(__xludf.DUMMYFUNCTION("""COMPUTED_VALUE"""),44963.48511821759)</f>
        <v>44963.48512</v>
      </c>
      <c r="C1592" s="1" t="str">
        <f>IFERROR(__xludf.DUMMYFUNCTION("""COMPUTED_VALUE"""),"VALLEJO MIRTA")</f>
        <v>VALLEJO MIRTA</v>
      </c>
      <c r="D1592" s="1" t="str">
        <f>IFERROR(__xludf.DUMMYFUNCTION("""COMPUTED_VALUE"""),"Reparaciones/Otros")</f>
        <v>Reparaciones/Otros</v>
      </c>
      <c r="E1592" s="1" t="str">
        <f>IFERROR(__xludf.DUMMYFUNCTION("""COMPUTED_VALUE"""),"RIVADAVIA Marcela L")</f>
        <v>RIVADAVIA Marcela L</v>
      </c>
      <c r="F1592" s="1" t="str">
        <f t="shared" si="1"/>
        <v>RIVADAVIA </v>
      </c>
      <c r="G1592" s="1" t="str">
        <f t="shared" si="2"/>
        <v>Marcela L</v>
      </c>
      <c r="H1592" s="1" t="str">
        <f>IFERROR(__xludf.DUMMYFUNCTION("""COMPUTED_VALUE"""),"7/2/2023, 17:00:00")</f>
        <v>7/2/2023, 17:00:00</v>
      </c>
      <c r="I1592" s="1" t="str">
        <f>IFERROR(__xludf.DUMMYFUNCTION("""COMPUTED_VALUE"""),"Recibido en Laboratorio")</f>
        <v>Recibido en Laboratorio</v>
      </c>
      <c r="J1592" s="1">
        <f t="shared" si="3"/>
        <v>2</v>
      </c>
      <c r="K1592" s="1" t="str">
        <f t="shared" si="4"/>
        <v>Nuestro Laboratorio esta trabajando en tus lentes, los entregaremos en la fecha acordada.</v>
      </c>
    </row>
    <row r="1593">
      <c r="A1593" s="1">
        <f>IFERROR(__xludf.DUMMYFUNCTION("""COMPUTED_VALUE"""),86142.0)</f>
        <v>86142</v>
      </c>
      <c r="B1593" s="5">
        <f>IFERROR(__xludf.DUMMYFUNCTION("""COMPUTED_VALUE"""),44963.4903562963)</f>
        <v>44963.49036</v>
      </c>
      <c r="C1593" s="1" t="str">
        <f>IFERROR(__xludf.DUMMYFUNCTION("""COMPUTED_VALUE"""),"GUTIERREZ CABRERA OSVALDO ABEL")</f>
        <v>GUTIERREZ CABRERA OSVALDO ABEL</v>
      </c>
      <c r="D1593" s="1" t="str">
        <f>IFERROR(__xludf.DUMMYFUNCTION("""COMPUTED_VALUE"""),"Lentes BIFOCALES")</f>
        <v>Lentes BIFOCALES</v>
      </c>
      <c r="E1593" s="1" t="str">
        <f>IFERROR(__xludf.DUMMYFUNCTION("""COMPUTED_VALUE"""),"ARTIGAS Roció")</f>
        <v>ARTIGAS Roció</v>
      </c>
      <c r="F1593" s="1" t="str">
        <f t="shared" si="1"/>
        <v>ARTIGAS </v>
      </c>
      <c r="G1593" s="1" t="str">
        <f t="shared" si="2"/>
        <v>Roció</v>
      </c>
      <c r="H1593" s="1" t="str">
        <f>IFERROR(__xludf.DUMMYFUNCTION("""COMPUTED_VALUE"""),"13/2/2023, 17:00:00")</f>
        <v>13/2/2023, 17:00:00</v>
      </c>
      <c r="I1593" s="1" t="str">
        <f>IFERROR(__xludf.DUMMYFUNCTION("""COMPUTED_VALUE"""),"RETIRADO OK POR CLIENTE")</f>
        <v>RETIRADO OK POR CLIENTE</v>
      </c>
      <c r="J1593" s="1">
        <f t="shared" si="3"/>
        <v>6</v>
      </c>
      <c r="K1593" s="1" t="str">
        <f t="shared" si="4"/>
        <v>Entregamos tus lentes, que los disfrutes!</v>
      </c>
    </row>
    <row r="1594">
      <c r="A1594" s="1">
        <f>IFERROR(__xludf.DUMMYFUNCTION("""COMPUTED_VALUE"""),86143.0)</f>
        <v>86143</v>
      </c>
      <c r="B1594" s="5">
        <f>IFERROR(__xludf.DUMMYFUNCTION("""COMPUTED_VALUE"""),44963.494690300926)</f>
        <v>44963.49469</v>
      </c>
      <c r="C1594" s="1" t="str">
        <f>IFERROR(__xludf.DUMMYFUNCTION("""COMPUTED_VALUE"""),"DOMINGUEZ NATASHA TAMARA")</f>
        <v>DOMINGUEZ NATASHA TAMARA</v>
      </c>
      <c r="D1594" s="1" t="str">
        <f>IFERROR(__xludf.DUMMYFUNCTION("""COMPUTED_VALUE"""),"Lentes de STOCK")</f>
        <v>Lentes de STOCK</v>
      </c>
      <c r="E1594" s="1" t="str">
        <f>IFERROR(__xludf.DUMMYFUNCTION("""COMPUTED_VALUE"""),"ARTIGAS Cristian C.")</f>
        <v>ARTIGAS Cristian C.</v>
      </c>
      <c r="F1594" s="1" t="str">
        <f t="shared" si="1"/>
        <v>ARTIGAS </v>
      </c>
      <c r="G1594" s="1" t="str">
        <f t="shared" si="2"/>
        <v>Cristian C.</v>
      </c>
      <c r="H1594" s="1" t="str">
        <f>IFERROR(__xludf.DUMMYFUNCTION("""COMPUTED_VALUE"""),"9/2/2023, 17:00:00")</f>
        <v>9/2/2023, 17:00:00</v>
      </c>
      <c r="I1594" s="1" t="str">
        <f>IFERROR(__xludf.DUMMYFUNCTION("""COMPUTED_VALUE"""),"RETIRADO OK POR CLIENTE")</f>
        <v>RETIRADO OK POR CLIENTE</v>
      </c>
      <c r="J1594" s="1">
        <f t="shared" si="3"/>
        <v>6</v>
      </c>
      <c r="K1594" s="1" t="str">
        <f t="shared" si="4"/>
        <v>Entregamos tus lentes, que los disfrutes!</v>
      </c>
    </row>
    <row r="1595">
      <c r="A1595" s="1">
        <f>IFERROR(__xludf.DUMMYFUNCTION("""COMPUTED_VALUE"""),86144.0)</f>
        <v>86144</v>
      </c>
      <c r="B1595" s="5">
        <f>IFERROR(__xludf.DUMMYFUNCTION("""COMPUTED_VALUE"""),44963.49732971065)</f>
        <v>44963.49733</v>
      </c>
      <c r="C1595" s="1" t="str">
        <f>IFERROR(__xludf.DUMMYFUNCTION("""COMPUTED_VALUE"""),"villareal sonia")</f>
        <v>villareal sonia</v>
      </c>
      <c r="D1595" s="1" t="str">
        <f>IFERROR(__xludf.DUMMYFUNCTION("""COMPUTED_VALUE"""),"Reparaciones/Otros")</f>
        <v>Reparaciones/Otros</v>
      </c>
      <c r="E1595" s="1" t="str">
        <f>IFERROR(__xludf.DUMMYFUNCTION("""COMPUTED_VALUE"""),"RIVADAVIA Daniel CM")</f>
        <v>RIVADAVIA Daniel CM</v>
      </c>
      <c r="F1595" s="1" t="str">
        <f t="shared" si="1"/>
        <v>RIVADAVIA </v>
      </c>
      <c r="G1595" s="1" t="str">
        <f t="shared" si="2"/>
        <v>Daniel CM</v>
      </c>
      <c r="H1595" s="1" t="str">
        <f>IFERROR(__xludf.DUMMYFUNCTION("""COMPUTED_VALUE"""),"7/2/2023, 17:00:00")</f>
        <v>7/2/2023, 17:00:00</v>
      </c>
      <c r="I1595" s="1"/>
      <c r="J1595" s="1">
        <f t="shared" si="3"/>
        <v>0</v>
      </c>
      <c r="K1595" s="1" t="str">
        <f t="shared" si="4"/>
        <v/>
      </c>
    </row>
    <row r="1596">
      <c r="A1596" s="1">
        <f>IFERROR(__xludf.DUMMYFUNCTION("""COMPUTED_VALUE"""),86145.0)</f>
        <v>86145</v>
      </c>
      <c r="B1596" s="5">
        <f>IFERROR(__xludf.DUMMYFUNCTION("""COMPUTED_VALUE"""),44963.50136318287)</f>
        <v>44963.50136</v>
      </c>
      <c r="C1596" s="1" t="str">
        <f>IFERROR(__xludf.DUMMYFUNCTION("""COMPUTED_VALUE"""),"pereyra vallejos marianella")</f>
        <v>pereyra vallejos marianella</v>
      </c>
      <c r="D1596" s="1" t="str">
        <f>IFERROR(__xludf.DUMMYFUNCTION("""COMPUTED_VALUE"""),"Lentes de STOCK")</f>
        <v>Lentes de STOCK</v>
      </c>
      <c r="E1596" s="1" t="str">
        <f>IFERROR(__xludf.DUMMYFUNCTION("""COMPUTED_VALUE"""),"RIVADAVIA Santiago N")</f>
        <v>RIVADAVIA Santiago N</v>
      </c>
      <c r="F1596" s="1" t="str">
        <f t="shared" si="1"/>
        <v>RIVADAVIA </v>
      </c>
      <c r="G1596" s="1" t="str">
        <f t="shared" si="2"/>
        <v>Santiago N</v>
      </c>
      <c r="H1596" s="1" t="str">
        <f>IFERROR(__xludf.DUMMYFUNCTION("""COMPUTED_VALUE"""),"11/2/2023, 17:00:00")</f>
        <v>11/2/2023, 17:00:00</v>
      </c>
      <c r="I1596" s="1" t="str">
        <f>IFERROR(__xludf.DUMMYFUNCTION("""COMPUTED_VALUE"""),"RETIRADO OK POR CLIENTE")</f>
        <v>RETIRADO OK POR CLIENTE</v>
      </c>
      <c r="J1596" s="1">
        <f t="shared" si="3"/>
        <v>6</v>
      </c>
      <c r="K1596" s="1" t="str">
        <f t="shared" si="4"/>
        <v>Entregamos tus lentes, que los disfrutes!</v>
      </c>
    </row>
    <row r="1597">
      <c r="A1597" s="1">
        <f>IFERROR(__xludf.DUMMYFUNCTION("""COMPUTED_VALUE"""),86146.0)</f>
        <v>86146</v>
      </c>
      <c r="B1597" s="5">
        <f>IFERROR(__xludf.DUMMYFUNCTION("""COMPUTED_VALUE"""),44963.503335416666)</f>
        <v>44963.50334</v>
      </c>
      <c r="C1597" s="1" t="str">
        <f>IFERROR(__xludf.DUMMYFUNCTION("""COMPUTED_VALUE"""),"wohl martina")</f>
        <v>wohl martina</v>
      </c>
      <c r="D1597" s="1" t="str">
        <f>IFERROR(__xludf.DUMMYFUNCTION("""COMPUTED_VALUE"""),"Lentes de STOCK")</f>
        <v>Lentes de STOCK</v>
      </c>
      <c r="E1597" s="1" t="str">
        <f>IFERROR(__xludf.DUMMYFUNCTION("""COMPUTED_VALUE"""),"RIVADAVIA Santiago N")</f>
        <v>RIVADAVIA Santiago N</v>
      </c>
      <c r="F1597" s="1" t="str">
        <f t="shared" si="1"/>
        <v>RIVADAVIA </v>
      </c>
      <c r="G1597" s="1" t="str">
        <f t="shared" si="2"/>
        <v>Santiago N</v>
      </c>
      <c r="H1597" s="1" t="str">
        <f>IFERROR(__xludf.DUMMYFUNCTION("""COMPUTED_VALUE"""),"9/2/2023, 17:00:00")</f>
        <v>9/2/2023, 17:00:00</v>
      </c>
      <c r="I1597" s="1" t="str">
        <f>IFERROR(__xludf.DUMMYFUNCTION("""COMPUTED_VALUE"""),"RETIRADO OK POR CLIENTE")</f>
        <v>RETIRADO OK POR CLIENTE</v>
      </c>
      <c r="J1597" s="1">
        <f t="shared" si="3"/>
        <v>6</v>
      </c>
      <c r="K1597" s="1" t="str">
        <f t="shared" si="4"/>
        <v>Entregamos tus lentes, que los disfrutes!</v>
      </c>
    </row>
    <row r="1598">
      <c r="A1598" s="1">
        <f>IFERROR(__xludf.DUMMYFUNCTION("""COMPUTED_VALUE"""),86147.0)</f>
        <v>86147</v>
      </c>
      <c r="B1598" s="5">
        <f>IFERROR(__xludf.DUMMYFUNCTION("""COMPUTED_VALUE"""),44963.50982622685)</f>
        <v>44963.50983</v>
      </c>
      <c r="C1598" s="1" t="str">
        <f>IFERROR(__xludf.DUMMYFUNCTION("""COMPUTED_VALUE"""),"PEREZ MRCELA ")</f>
        <v>PEREZ MRCELA </v>
      </c>
      <c r="D1598" s="1" t="str">
        <f>IFERROR(__xludf.DUMMYFUNCTION("""COMPUTED_VALUE"""),"Lentes MULTIFOCALES")</f>
        <v>Lentes MULTIFOCALES</v>
      </c>
      <c r="E1598" s="1" t="str">
        <f>IFERROR(__xludf.DUMMYFUNCTION("""COMPUTED_VALUE"""),"RIVADAVIA Luciana")</f>
        <v>RIVADAVIA Luciana</v>
      </c>
      <c r="F1598" s="1" t="str">
        <f t="shared" si="1"/>
        <v>RIVADAVIA </v>
      </c>
      <c r="G1598" s="1" t="str">
        <f t="shared" si="2"/>
        <v>Luciana</v>
      </c>
      <c r="H1598" s="1" t="str">
        <f>IFERROR(__xludf.DUMMYFUNCTION("""COMPUTED_VALUE"""),"24/2/2023, 18:00:00")</f>
        <v>24/2/2023, 18:00:00</v>
      </c>
      <c r="I1598" s="1"/>
      <c r="J1598" s="1">
        <f t="shared" si="3"/>
        <v>0</v>
      </c>
      <c r="K1598" s="1" t="str">
        <f t="shared" si="4"/>
        <v/>
      </c>
    </row>
    <row r="1599">
      <c r="A1599" s="1">
        <f>IFERROR(__xludf.DUMMYFUNCTION("""COMPUTED_VALUE"""),86148.0)</f>
        <v>86148</v>
      </c>
      <c r="B1599" s="5">
        <f>IFERROR(__xludf.DUMMYFUNCTION("""COMPUTED_VALUE"""),44963.52401472222)</f>
        <v>44963.52401</v>
      </c>
      <c r="C1599" s="1" t="str">
        <f>IFERROR(__xludf.DUMMYFUNCTION("""COMPUTED_VALUE"""),"AVILA ELVIO AROLDO")</f>
        <v>AVILA ELVIO AROLDO</v>
      </c>
      <c r="D1599" s="1" t="str">
        <f>IFERROR(__xludf.DUMMYFUNCTION("""COMPUTED_VALUE"""),"Lentes BIFOCALES")</f>
        <v>Lentes BIFOCALES</v>
      </c>
      <c r="E1599" s="1" t="str">
        <f>IFERROR(__xludf.DUMMYFUNCTION("""COMPUTED_VALUE"""),"RIVADAVIA Marcela L")</f>
        <v>RIVADAVIA Marcela L</v>
      </c>
      <c r="F1599" s="1" t="str">
        <f t="shared" si="1"/>
        <v>RIVADAVIA </v>
      </c>
      <c r="G1599" s="1" t="str">
        <f t="shared" si="2"/>
        <v>Marcela L</v>
      </c>
      <c r="H1599" s="1" t="str">
        <f>IFERROR(__xludf.DUMMYFUNCTION("""COMPUTED_VALUE"""),"10/2/2023, 17:00:00")</f>
        <v>10/2/2023, 17:00:00</v>
      </c>
      <c r="I1599" s="1" t="str">
        <f>IFERROR(__xludf.DUMMYFUNCTION("""COMPUTED_VALUE"""),"RETIRADO OK POR CLIENTE")</f>
        <v>RETIRADO OK POR CLIENTE</v>
      </c>
      <c r="J1599" s="1">
        <f t="shared" si="3"/>
        <v>6</v>
      </c>
      <c r="K1599" s="1" t="str">
        <f t="shared" si="4"/>
        <v>Entregamos tus lentes, que los disfrutes!</v>
      </c>
    </row>
    <row r="1600">
      <c r="A1600" s="1">
        <f>IFERROR(__xludf.DUMMYFUNCTION("""COMPUTED_VALUE"""),86149.0)</f>
        <v>86149</v>
      </c>
      <c r="B1600" s="5">
        <f>IFERROR(__xludf.DUMMYFUNCTION("""COMPUTED_VALUE"""),44963.53445457176)</f>
        <v>44963.53445</v>
      </c>
      <c r="C1600" s="1" t="str">
        <f>IFERROR(__xludf.DUMMYFUNCTION("""COMPUTED_VALUE"""),"Diaz de Vicente")</f>
        <v>Diaz de Vicente</v>
      </c>
      <c r="D1600" s="1" t="str">
        <f>IFERROR(__xludf.DUMMYFUNCTION("""COMPUTED_VALUE"""),"Lentes de LABORATORIO")</f>
        <v>Lentes de LABORATORIO</v>
      </c>
      <c r="E1600" s="1" t="str">
        <f>IFERROR(__xludf.DUMMYFUNCTION("""COMPUTED_VALUE"""),"ARTIGAS Roció")</f>
        <v>ARTIGAS Roció</v>
      </c>
      <c r="F1600" s="1" t="str">
        <f t="shared" si="1"/>
        <v>ARTIGAS </v>
      </c>
      <c r="G1600" s="1" t="str">
        <f t="shared" si="2"/>
        <v>Roció</v>
      </c>
      <c r="H1600" s="1" t="str">
        <f>IFERROR(__xludf.DUMMYFUNCTION("""COMPUTED_VALUE"""),"22/2/2023, 17:00:00")</f>
        <v>22/2/2023, 17:00:00</v>
      </c>
      <c r="I1600" s="1" t="str">
        <f>IFERROR(__xludf.DUMMYFUNCTION("""COMPUTED_VALUE"""),"RETIRADO OK POR CLIENTE")</f>
        <v>RETIRADO OK POR CLIENTE</v>
      </c>
      <c r="J1600" s="1">
        <f t="shared" si="3"/>
        <v>6</v>
      </c>
      <c r="K1600" s="1" t="str">
        <f t="shared" si="4"/>
        <v>Entregamos tus lentes, que los disfrutes!</v>
      </c>
    </row>
    <row r="1601">
      <c r="A1601" s="1">
        <f>IFERROR(__xludf.DUMMYFUNCTION("""COMPUTED_VALUE"""),86150.0)</f>
        <v>86150</v>
      </c>
      <c r="B1601" s="5">
        <f>IFERROR(__xludf.DUMMYFUNCTION("""COMPUTED_VALUE"""),44963.53970554398)</f>
        <v>44963.53971</v>
      </c>
      <c r="C1601" s="1" t="str">
        <f>IFERROR(__xludf.DUMMYFUNCTION("""COMPUTED_VALUE"""),"SORIA MARIA FERNANDA")</f>
        <v>SORIA MARIA FERNANDA</v>
      </c>
      <c r="D1601" s="1" t="str">
        <f>IFERROR(__xludf.DUMMYFUNCTION("""COMPUTED_VALUE"""),"Reparaciones/Otros")</f>
        <v>Reparaciones/Otros</v>
      </c>
      <c r="E1601" s="1" t="str">
        <f>IFERROR(__xludf.DUMMYFUNCTION("""COMPUTED_VALUE"""),"ARTIGAS Roció")</f>
        <v>ARTIGAS Roció</v>
      </c>
      <c r="F1601" s="1" t="str">
        <f t="shared" si="1"/>
        <v>ARTIGAS </v>
      </c>
      <c r="G1601" s="1" t="str">
        <f t="shared" si="2"/>
        <v>Roció</v>
      </c>
      <c r="H1601" s="1" t="str">
        <f>IFERROR(__xludf.DUMMYFUNCTION("""COMPUTED_VALUE"""),"8/2/2023, 17:00:00")</f>
        <v>8/2/2023, 17:00:00</v>
      </c>
      <c r="I1601" s="1"/>
      <c r="J1601" s="1">
        <f t="shared" si="3"/>
        <v>0</v>
      </c>
      <c r="K1601" s="1" t="str">
        <f t="shared" si="4"/>
        <v/>
      </c>
    </row>
    <row r="1602" hidden="1">
      <c r="A1602" s="1">
        <f>IFERROR(__xludf.DUMMYFUNCTION("""COMPUTED_VALUE"""),86151.0)</f>
        <v>86151</v>
      </c>
      <c r="B1602" s="5">
        <f>IFERROR(__xludf.DUMMYFUNCTION("""COMPUTED_VALUE"""),44963.546082546294)</f>
        <v>44963.54608</v>
      </c>
      <c r="C1602" s="1" t="str">
        <f>IFERROR(__xludf.DUMMYFUNCTION("""COMPUTED_VALUE"""),"gil florencia tatiana")</f>
        <v>gil florencia tatiana</v>
      </c>
      <c r="D1602" s="1" t="str">
        <f>IFERROR(__xludf.DUMMYFUNCTION("""COMPUTED_VALUE"""),"Lentes de LABORATORIO")</f>
        <v>Lentes de LABORATORIO</v>
      </c>
      <c r="E1602" s="1" t="str">
        <f>IFERROR(__xludf.DUMMYFUNCTION("""COMPUTED_VALUE"""),"RIVADAVIA Santiago N")</f>
        <v>RIVADAVIA Santiago N</v>
      </c>
      <c r="F1602" s="1" t="str">
        <f t="shared" si="1"/>
        <v>RIVADAVIA </v>
      </c>
      <c r="G1602" s="1" t="str">
        <f t="shared" si="2"/>
        <v>Santiago N</v>
      </c>
      <c r="H1602" s="1" t="str">
        <f>IFERROR(__xludf.DUMMYFUNCTION("""COMPUTED_VALUE"""),"22/2/2023, 17:00:00")</f>
        <v>22/2/2023, 17:00:00</v>
      </c>
      <c r="I1602" s="1" t="str">
        <f>IFERROR(__xludf.DUMMYFUNCTION("""COMPUTED_VALUE"""),"DEMORADO")</f>
        <v>DEMORADO</v>
      </c>
      <c r="J1602" s="1" t="str">
        <f t="shared" si="3"/>
        <v/>
      </c>
      <c r="K1602" s="1" t="str">
        <f t="shared" si="4"/>
        <v>Tuvimos una demora con tus lentes y no podremos entregarlo en las fecha acordada, estamos trabajando para terminarlos cuanto antes, te mantendremos al tanto, si es necesario contactanos via whatsapp.</v>
      </c>
    </row>
    <row r="1603">
      <c r="A1603" s="1">
        <f>IFERROR(__xludf.DUMMYFUNCTION("""COMPUTED_VALUE"""),86152.0)</f>
        <v>86152</v>
      </c>
      <c r="B1603" s="5">
        <f>IFERROR(__xludf.DUMMYFUNCTION("""COMPUTED_VALUE"""),44963.55101517361)</f>
        <v>44963.55102</v>
      </c>
      <c r="C1603" s="1" t="str">
        <f>IFERROR(__xludf.DUMMYFUNCTION("""COMPUTED_VALUE"""),"STOLL YOLANDA INES")</f>
        <v>STOLL YOLANDA INES</v>
      </c>
      <c r="D1603" s="1" t="str">
        <f>IFERROR(__xludf.DUMMYFUNCTION("""COMPUTED_VALUE"""),"Lentes de STOCK")</f>
        <v>Lentes de STOCK</v>
      </c>
      <c r="E1603" s="1" t="str">
        <f>IFERROR(__xludf.DUMMYFUNCTION("""COMPUTED_VALUE"""),"ARTIGAS Cristian C.")</f>
        <v>ARTIGAS Cristian C.</v>
      </c>
      <c r="F1603" s="1" t="str">
        <f t="shared" si="1"/>
        <v>ARTIGAS </v>
      </c>
      <c r="G1603" s="1" t="str">
        <f t="shared" si="2"/>
        <v>Cristian C.</v>
      </c>
      <c r="H1603" s="1" t="str">
        <f>IFERROR(__xludf.DUMMYFUNCTION("""COMPUTED_VALUE"""),"13/2/2023, 17:00:00")</f>
        <v>13/2/2023, 17:00:00</v>
      </c>
      <c r="I1603" s="1" t="str">
        <f>IFERROR(__xludf.DUMMYFUNCTION("""COMPUTED_VALUE"""),"RETIRADO OK POR CLIENTE")</f>
        <v>RETIRADO OK POR CLIENTE</v>
      </c>
      <c r="J1603" s="1">
        <f t="shared" si="3"/>
        <v>6</v>
      </c>
      <c r="K1603" s="1" t="str">
        <f t="shared" si="4"/>
        <v>Entregamos tus lentes, que los disfrutes!</v>
      </c>
    </row>
    <row r="1604">
      <c r="A1604" s="1">
        <f>IFERROR(__xludf.DUMMYFUNCTION("""COMPUTED_VALUE"""),86154.0)</f>
        <v>86154</v>
      </c>
      <c r="B1604" s="5">
        <f>IFERROR(__xludf.DUMMYFUNCTION("""COMPUTED_VALUE"""),44963.70935626158)</f>
        <v>44963.70936</v>
      </c>
      <c r="C1604" s="7" t="str">
        <f>IFERROR(__xludf.DUMMYFUNCTION("""COMPUTED_VALUE"""),"Andrada Sandra")</f>
        <v>Andrada Sandra</v>
      </c>
      <c r="D1604" s="1" t="str">
        <f>IFERROR(__xludf.DUMMYFUNCTION("""COMPUTED_VALUE"""),"Reparaciones/Otros")</f>
        <v>Reparaciones/Otros</v>
      </c>
      <c r="E1604" s="1" t="str">
        <f>IFERROR(__xludf.DUMMYFUNCTION("""COMPUTED_VALUE"""),"ARTIGAS Roció")</f>
        <v>ARTIGAS Roció</v>
      </c>
      <c r="F1604" s="1" t="str">
        <f t="shared" si="1"/>
        <v>ARTIGAS </v>
      </c>
      <c r="G1604" s="1" t="str">
        <f t="shared" si="2"/>
        <v>Roció</v>
      </c>
      <c r="H1604" s="1" t="str">
        <f>IFERROR(__xludf.DUMMYFUNCTION("""COMPUTED_VALUE"""),"8/2/2023, 17:00:00")</f>
        <v>8/2/2023, 17:00:00</v>
      </c>
      <c r="I1604" s="1"/>
      <c r="J1604" s="1">
        <f t="shared" si="3"/>
        <v>0</v>
      </c>
      <c r="K1604" s="1" t="str">
        <f t="shared" si="4"/>
        <v/>
      </c>
    </row>
    <row r="1605">
      <c r="A1605" s="1">
        <f>IFERROR(__xludf.DUMMYFUNCTION("""COMPUTED_VALUE"""),86155.0)</f>
        <v>86155</v>
      </c>
      <c r="B1605" s="5">
        <f>IFERROR(__xludf.DUMMYFUNCTION("""COMPUTED_VALUE"""),44963.718022615736)</f>
        <v>44963.71802</v>
      </c>
      <c r="C1605" s="1" t="str">
        <f>IFERROR(__xludf.DUMMYFUNCTION("""COMPUTED_VALUE"""),"Zapata Analia")</f>
        <v>Zapata Analia</v>
      </c>
      <c r="D1605" s="1" t="str">
        <f>IFERROR(__xludf.DUMMYFUNCTION("""COMPUTED_VALUE"""),"Reparaciones/Otros")</f>
        <v>Reparaciones/Otros</v>
      </c>
      <c r="E1605" s="1" t="str">
        <f>IFERROR(__xludf.DUMMYFUNCTION("""COMPUTED_VALUE"""),"ARTIGAS Roció")</f>
        <v>ARTIGAS Roció</v>
      </c>
      <c r="F1605" s="1" t="str">
        <f t="shared" si="1"/>
        <v>ARTIGAS </v>
      </c>
      <c r="G1605" s="1" t="str">
        <f t="shared" si="2"/>
        <v>Roció</v>
      </c>
      <c r="H1605" s="1" t="str">
        <f>IFERROR(__xludf.DUMMYFUNCTION("""COMPUTED_VALUE"""),"7/2/2023, 17:00:00")</f>
        <v>7/2/2023, 17:00:00</v>
      </c>
      <c r="I1605" s="1" t="str">
        <f>IFERROR(__xludf.DUMMYFUNCTION("""COMPUTED_VALUE"""),"RETIRADO OK POR CLIENTE")</f>
        <v>RETIRADO OK POR CLIENTE</v>
      </c>
      <c r="J1605" s="1">
        <f t="shared" si="3"/>
        <v>6</v>
      </c>
      <c r="K1605" s="1" t="str">
        <f t="shared" si="4"/>
        <v>Entregamos tus lentes, que los disfrutes!</v>
      </c>
    </row>
    <row r="1606">
      <c r="A1606" s="1">
        <f>IFERROR(__xludf.DUMMYFUNCTION("""COMPUTED_VALUE"""),86156.0)</f>
        <v>86156</v>
      </c>
      <c r="B1606" s="5">
        <f>IFERROR(__xludf.DUMMYFUNCTION("""COMPUTED_VALUE"""),44963.72545189815)</f>
        <v>44963.72545</v>
      </c>
      <c r="C1606" s="1" t="str">
        <f>IFERROR(__xludf.DUMMYFUNCTION("""COMPUTED_VALUE"""),"MAGNIEN PERKMAN TADEO")</f>
        <v>MAGNIEN PERKMAN TADEO</v>
      </c>
      <c r="D1606" s="1" t="str">
        <f>IFERROR(__xludf.DUMMYFUNCTION("""COMPUTED_VALUE"""),"Lentes de STOCK")</f>
        <v>Lentes de STOCK</v>
      </c>
      <c r="E1606" s="1" t="str">
        <f>IFERROR(__xludf.DUMMYFUNCTION("""COMPUTED_VALUE"""),"RIVADAVIA Javier")</f>
        <v>RIVADAVIA Javier</v>
      </c>
      <c r="F1606" s="1" t="str">
        <f t="shared" si="1"/>
        <v>RIVADAVIA </v>
      </c>
      <c r="G1606" s="1" t="str">
        <f t="shared" si="2"/>
        <v>Javier</v>
      </c>
      <c r="H1606" s="1" t="str">
        <f>IFERROR(__xludf.DUMMYFUNCTION("""COMPUTED_VALUE"""),"10/2/2023, 17:00:00")</f>
        <v>10/2/2023, 17:00:00</v>
      </c>
      <c r="I1606" s="1" t="str">
        <f>IFERROR(__xludf.DUMMYFUNCTION("""COMPUTED_VALUE"""),"RETIRADO OK POR CLIENTE")</f>
        <v>RETIRADO OK POR CLIENTE</v>
      </c>
      <c r="J1606" s="1">
        <f t="shared" si="3"/>
        <v>6</v>
      </c>
      <c r="K1606" s="1" t="str">
        <f t="shared" si="4"/>
        <v>Entregamos tus lentes, que los disfrutes!</v>
      </c>
    </row>
    <row r="1607">
      <c r="A1607" s="1">
        <f>IFERROR(__xludf.DUMMYFUNCTION("""COMPUTED_VALUE"""),86157.0)</f>
        <v>86157</v>
      </c>
      <c r="B1607" s="5">
        <f>IFERROR(__xludf.DUMMYFUNCTION("""COMPUTED_VALUE"""),44963.746788923614)</f>
        <v>44963.74679</v>
      </c>
      <c r="C1607" s="1" t="str">
        <f>IFERROR(__xludf.DUMMYFUNCTION("""COMPUTED_VALUE"""),"quiroga pedro humberto")</f>
        <v>quiroga pedro humberto</v>
      </c>
      <c r="D1607" s="1" t="str">
        <f>IFERROR(__xludf.DUMMYFUNCTION("""COMPUTED_VALUE"""),"Lentes de STOCK")</f>
        <v>Lentes de STOCK</v>
      </c>
      <c r="E1607" s="1" t="str">
        <f>IFERROR(__xludf.DUMMYFUNCTION("""COMPUTED_VALUE"""),"RIVADAVIA Santiago N")</f>
        <v>RIVADAVIA Santiago N</v>
      </c>
      <c r="F1607" s="1" t="str">
        <f t="shared" si="1"/>
        <v>RIVADAVIA </v>
      </c>
      <c r="G1607" s="1" t="str">
        <f t="shared" si="2"/>
        <v>Santiago N</v>
      </c>
      <c r="H1607" s="1" t="str">
        <f>IFERROR(__xludf.DUMMYFUNCTION("""COMPUTED_VALUE"""),"8/2/2023, 17:00:00")</f>
        <v>8/2/2023, 17:00:00</v>
      </c>
      <c r="I1607" s="1" t="str">
        <f>IFERROR(__xludf.DUMMYFUNCTION("""COMPUTED_VALUE"""),"RETIRADO OK POR CLIENTE")</f>
        <v>RETIRADO OK POR CLIENTE</v>
      </c>
      <c r="J1607" s="1">
        <f t="shared" si="3"/>
        <v>6</v>
      </c>
      <c r="K1607" s="1" t="str">
        <f t="shared" si="4"/>
        <v>Entregamos tus lentes, que los disfrutes!</v>
      </c>
    </row>
    <row r="1608">
      <c r="A1608" s="1">
        <f>IFERROR(__xludf.DUMMYFUNCTION("""COMPUTED_VALUE"""),86158.0)</f>
        <v>86158</v>
      </c>
      <c r="B1608" s="5">
        <f>IFERROR(__xludf.DUMMYFUNCTION("""COMPUTED_VALUE"""),44963.7595043287)</f>
        <v>44963.7595</v>
      </c>
      <c r="C1608" s="1" t="str">
        <f>IFERROR(__xludf.DUMMYFUNCTION("""COMPUTED_VALUE"""),"verna ambar")</f>
        <v>verna ambar</v>
      </c>
      <c r="D1608" s="1" t="str">
        <f>IFERROR(__xludf.DUMMYFUNCTION("""COMPUTED_VALUE"""),"Lentes de STOCK")</f>
        <v>Lentes de STOCK</v>
      </c>
      <c r="E1608" s="1" t="str">
        <f>IFERROR(__xludf.DUMMYFUNCTION("""COMPUTED_VALUE"""),"RIVADAVIA Santiago N")</f>
        <v>RIVADAVIA Santiago N</v>
      </c>
      <c r="F1608" s="1" t="str">
        <f t="shared" si="1"/>
        <v>RIVADAVIA </v>
      </c>
      <c r="G1608" s="1" t="str">
        <f t="shared" si="2"/>
        <v>Santiago N</v>
      </c>
      <c r="H1608" s="1" t="str">
        <f>IFERROR(__xludf.DUMMYFUNCTION("""COMPUTED_VALUE"""),"8/2/2023, 17:00:00")</f>
        <v>8/2/2023, 17:00:00</v>
      </c>
      <c r="I1608" s="1" t="str">
        <f>IFERROR(__xludf.DUMMYFUNCTION("""COMPUTED_VALUE"""),"RETIRADO OK POR CLIENTE")</f>
        <v>RETIRADO OK POR CLIENTE</v>
      </c>
      <c r="J1608" s="1">
        <f t="shared" si="3"/>
        <v>6</v>
      </c>
      <c r="K1608" s="1" t="str">
        <f t="shared" si="4"/>
        <v>Entregamos tus lentes, que los disfrutes!</v>
      </c>
    </row>
    <row r="1609">
      <c r="A1609" s="1">
        <f>IFERROR(__xludf.DUMMYFUNCTION("""COMPUTED_VALUE"""),86159.0)</f>
        <v>86159</v>
      </c>
      <c r="B1609" s="5">
        <f>IFERROR(__xludf.DUMMYFUNCTION("""COMPUTED_VALUE"""),44963.76131137731)</f>
        <v>44963.76131</v>
      </c>
      <c r="C1609" s="1" t="str">
        <f>IFERROR(__xludf.DUMMYFUNCTION("""COMPUTED_VALUE"""),"LORENZO ORELLANO JOSEFINA")</f>
        <v>LORENZO ORELLANO JOSEFINA</v>
      </c>
      <c r="D1609" s="1" t="str">
        <f>IFERROR(__xludf.DUMMYFUNCTION("""COMPUTED_VALUE"""),"Lentes de STOCK")</f>
        <v>Lentes de STOCK</v>
      </c>
      <c r="E1609" s="1" t="str">
        <f>IFERROR(__xludf.DUMMYFUNCTION("""COMPUTED_VALUE"""),"RIVADAVIA Luciana")</f>
        <v>RIVADAVIA Luciana</v>
      </c>
      <c r="F1609" s="1" t="str">
        <f t="shared" si="1"/>
        <v>RIVADAVIA </v>
      </c>
      <c r="G1609" s="1" t="str">
        <f t="shared" si="2"/>
        <v>Luciana</v>
      </c>
      <c r="H1609" s="1" t="str">
        <f>IFERROR(__xludf.DUMMYFUNCTION("""COMPUTED_VALUE"""),"10/2/2023, 18:00:00")</f>
        <v>10/2/2023, 18:00:00</v>
      </c>
      <c r="I1609" s="1" t="str">
        <f>IFERROR(__xludf.DUMMYFUNCTION("""COMPUTED_VALUE"""),"Recibido en Laboratorio")</f>
        <v>Recibido en Laboratorio</v>
      </c>
      <c r="J1609" s="1">
        <f t="shared" si="3"/>
        <v>2</v>
      </c>
      <c r="K1609" s="1" t="str">
        <f t="shared" si="4"/>
        <v>Nuestro Laboratorio esta trabajando en tus lentes, los entregaremos en la fecha acordada.</v>
      </c>
    </row>
    <row r="1610">
      <c r="A1610" s="1">
        <f>IFERROR(__xludf.DUMMYFUNCTION("""COMPUTED_VALUE"""),86160.0)</f>
        <v>86160</v>
      </c>
      <c r="B1610" s="5">
        <f>IFERROR(__xludf.DUMMYFUNCTION("""COMPUTED_VALUE"""),44963.76536078704)</f>
        <v>44963.76536</v>
      </c>
      <c r="C1610" s="1" t="str">
        <f>IFERROR(__xludf.DUMMYFUNCTION("""COMPUTED_VALUE"""),"MUÑOZ MATIAS")</f>
        <v>MUÑOZ MATIAS</v>
      </c>
      <c r="D1610" s="1" t="str">
        <f>IFERROR(__xludf.DUMMYFUNCTION("""COMPUTED_VALUE"""),"Reparaciones/Otros")</f>
        <v>Reparaciones/Otros</v>
      </c>
      <c r="E1610" s="1" t="str">
        <f>IFERROR(__xludf.DUMMYFUNCTION("""COMPUTED_VALUE"""),"ARTIGAS Cristian C.")</f>
        <v>ARTIGAS Cristian C.</v>
      </c>
      <c r="F1610" s="1" t="str">
        <f t="shared" si="1"/>
        <v>ARTIGAS </v>
      </c>
      <c r="G1610" s="1" t="str">
        <f t="shared" si="2"/>
        <v>Cristian C.</v>
      </c>
      <c r="H1610" s="1" t="str">
        <f>IFERROR(__xludf.DUMMYFUNCTION("""COMPUTED_VALUE"""),"7/2/2023, 17:00:00")</f>
        <v>7/2/2023, 17:00:00</v>
      </c>
      <c r="I1610" s="1"/>
      <c r="J1610" s="1">
        <f t="shared" si="3"/>
        <v>0</v>
      </c>
      <c r="K1610" s="1" t="str">
        <f t="shared" si="4"/>
        <v/>
      </c>
    </row>
    <row r="1611">
      <c r="A1611" s="1">
        <f>IFERROR(__xludf.DUMMYFUNCTION("""COMPUTED_VALUE"""),86161.0)</f>
        <v>86161</v>
      </c>
      <c r="B1611" s="5">
        <f>IFERROR(__xludf.DUMMYFUNCTION("""COMPUTED_VALUE"""),44963.77258186342)</f>
        <v>44963.77258</v>
      </c>
      <c r="C1611" s="1" t="str">
        <f>IFERROR(__xludf.DUMMYFUNCTION("""COMPUTED_VALUE"""),"ZANFAGNINI BAUTISTA")</f>
        <v>ZANFAGNINI BAUTISTA</v>
      </c>
      <c r="D1611" s="1" t="str">
        <f>IFERROR(__xludf.DUMMYFUNCTION("""COMPUTED_VALUE"""),"Lentes de STOCK")</f>
        <v>Lentes de STOCK</v>
      </c>
      <c r="E1611" s="1" t="str">
        <f>IFERROR(__xludf.DUMMYFUNCTION("""COMPUTED_VALUE"""),"RIVADAVIA Javier")</f>
        <v>RIVADAVIA Javier</v>
      </c>
      <c r="F1611" s="1" t="str">
        <f t="shared" si="1"/>
        <v>RIVADAVIA </v>
      </c>
      <c r="G1611" s="1" t="str">
        <f t="shared" si="2"/>
        <v>Javier</v>
      </c>
      <c r="H1611" s="1" t="str">
        <f>IFERROR(__xludf.DUMMYFUNCTION("""COMPUTED_VALUE"""),"10/2/2023, 17:00:00")</f>
        <v>10/2/2023, 17:00:00</v>
      </c>
      <c r="I1611" s="1" t="str">
        <f>IFERROR(__xludf.DUMMYFUNCTION("""COMPUTED_VALUE"""),"RETIRADO OK POR CLIENTE")</f>
        <v>RETIRADO OK POR CLIENTE</v>
      </c>
      <c r="J1611" s="1">
        <f t="shared" si="3"/>
        <v>6</v>
      </c>
      <c r="K1611" s="1" t="str">
        <f t="shared" si="4"/>
        <v>Entregamos tus lentes, que los disfrutes!</v>
      </c>
    </row>
    <row r="1612">
      <c r="A1612" s="1">
        <f>IFERROR(__xludf.DUMMYFUNCTION("""COMPUTED_VALUE"""),86162.0)</f>
        <v>86162</v>
      </c>
      <c r="B1612" s="5">
        <f>IFERROR(__xludf.DUMMYFUNCTION("""COMPUTED_VALUE"""),44963.77533568287)</f>
        <v>44963.77534</v>
      </c>
      <c r="C1612" s="1" t="str">
        <f>IFERROR(__xludf.DUMMYFUNCTION("""COMPUTED_VALUE"""),"Fernandez Angelica")</f>
        <v>Fernandez Angelica</v>
      </c>
      <c r="D1612" s="1" t="str">
        <f>IFERROR(__xludf.DUMMYFUNCTION("""COMPUTED_VALUE"""),"Lentes de STOCK")</f>
        <v>Lentes de STOCK</v>
      </c>
      <c r="E1612" s="1" t="str">
        <f>IFERROR(__xludf.DUMMYFUNCTION("""COMPUTED_VALUE"""),"ARTIGAS Roció")</f>
        <v>ARTIGAS Roció</v>
      </c>
      <c r="F1612" s="1" t="str">
        <f t="shared" si="1"/>
        <v>ARTIGAS </v>
      </c>
      <c r="G1612" s="1" t="str">
        <f t="shared" si="2"/>
        <v>Roció</v>
      </c>
      <c r="H1612" s="1" t="str">
        <f>IFERROR(__xludf.DUMMYFUNCTION("""COMPUTED_VALUE"""),"8/2/2023, 17:00:00")</f>
        <v>8/2/2023, 17:00:00</v>
      </c>
      <c r="I1612" s="1" t="str">
        <f>IFERROR(__xludf.DUMMYFUNCTION("""COMPUTED_VALUE"""),"RETIRADO OK POR CLIENTE")</f>
        <v>RETIRADO OK POR CLIENTE</v>
      </c>
      <c r="J1612" s="1">
        <f t="shared" si="3"/>
        <v>6</v>
      </c>
      <c r="K1612" s="1" t="str">
        <f t="shared" si="4"/>
        <v>Entregamos tus lentes, que los disfrutes!</v>
      </c>
    </row>
    <row r="1613">
      <c r="A1613" s="1">
        <f>IFERROR(__xludf.DUMMYFUNCTION("""COMPUTED_VALUE"""),86163.0)</f>
        <v>86163</v>
      </c>
      <c r="B1613" s="5">
        <f>IFERROR(__xludf.DUMMYFUNCTION("""COMPUTED_VALUE"""),44963.79280494213)</f>
        <v>44963.7928</v>
      </c>
      <c r="C1613" s="1" t="str">
        <f>IFERROR(__xludf.DUMMYFUNCTION("""COMPUTED_VALUE"""),"Gonzalez Lidia")</f>
        <v>Gonzalez Lidia</v>
      </c>
      <c r="D1613" s="1" t="str">
        <f>IFERROR(__xludf.DUMMYFUNCTION("""COMPUTED_VALUE"""),"Lentes de STOCK")</f>
        <v>Lentes de STOCK</v>
      </c>
      <c r="E1613" s="1" t="str">
        <f>IFERROR(__xludf.DUMMYFUNCTION("""COMPUTED_VALUE"""),"ARTIGAS Roció")</f>
        <v>ARTIGAS Roció</v>
      </c>
      <c r="F1613" s="1" t="str">
        <f t="shared" si="1"/>
        <v>ARTIGAS </v>
      </c>
      <c r="G1613" s="1" t="str">
        <f t="shared" si="2"/>
        <v>Roció</v>
      </c>
      <c r="H1613" s="1" t="str">
        <f>IFERROR(__xludf.DUMMYFUNCTION("""COMPUTED_VALUE"""),"13/2/2023, 17:00:00")</f>
        <v>13/2/2023, 17:00:00</v>
      </c>
      <c r="I1613" s="1" t="str">
        <f>IFERROR(__xludf.DUMMYFUNCTION("""COMPUTED_VALUE"""),"RETIRADO OK POR CLIENTE")</f>
        <v>RETIRADO OK POR CLIENTE</v>
      </c>
      <c r="J1613" s="1">
        <f t="shared" si="3"/>
        <v>6</v>
      </c>
      <c r="K1613" s="1" t="str">
        <f t="shared" si="4"/>
        <v>Entregamos tus lentes, que los disfrutes!</v>
      </c>
    </row>
    <row r="1614">
      <c r="A1614" s="1">
        <f>IFERROR(__xludf.DUMMYFUNCTION("""COMPUTED_VALUE"""),86164.0)</f>
        <v>86164</v>
      </c>
      <c r="B1614" s="5">
        <f>IFERROR(__xludf.DUMMYFUNCTION("""COMPUTED_VALUE"""),44963.79696668981)</f>
        <v>44963.79697</v>
      </c>
      <c r="C1614" s="1" t="str">
        <f>IFERROR(__xludf.DUMMYFUNCTION("""COMPUTED_VALUE"""),"AGUERO HUGO ADRIAN")</f>
        <v>AGUERO HUGO ADRIAN</v>
      </c>
      <c r="D1614" s="1" t="str">
        <f>IFERROR(__xludf.DUMMYFUNCTION("""COMPUTED_VALUE"""),"Lentes de STOCK")</f>
        <v>Lentes de STOCK</v>
      </c>
      <c r="E1614" s="1" t="str">
        <f>IFERROR(__xludf.DUMMYFUNCTION("""COMPUTED_VALUE"""),"ARTIGAS Cristian C.")</f>
        <v>ARTIGAS Cristian C.</v>
      </c>
      <c r="F1614" s="1" t="str">
        <f t="shared" si="1"/>
        <v>ARTIGAS </v>
      </c>
      <c r="G1614" s="1" t="str">
        <f t="shared" si="2"/>
        <v>Cristian C.</v>
      </c>
      <c r="H1614" s="1" t="str">
        <f>IFERROR(__xludf.DUMMYFUNCTION("""COMPUTED_VALUE"""),"14/2/2023, 17:00:00")</f>
        <v>14/2/2023, 17:00:00</v>
      </c>
      <c r="I1614" s="1" t="str">
        <f>IFERROR(__xludf.DUMMYFUNCTION("""COMPUTED_VALUE"""),"RETIRADO OK POR CLIENTE")</f>
        <v>RETIRADO OK POR CLIENTE</v>
      </c>
      <c r="J1614" s="1">
        <f t="shared" si="3"/>
        <v>6</v>
      </c>
      <c r="K1614" s="1" t="str">
        <f t="shared" si="4"/>
        <v>Entregamos tus lentes, que los disfrutes!</v>
      </c>
    </row>
    <row r="1615">
      <c r="A1615" s="1">
        <f>IFERROR(__xludf.DUMMYFUNCTION("""COMPUTED_VALUE"""),86165.0)</f>
        <v>86165</v>
      </c>
      <c r="B1615" s="5">
        <f>IFERROR(__xludf.DUMMYFUNCTION("""COMPUTED_VALUE"""),44963.80903658565)</f>
        <v>44963.80904</v>
      </c>
      <c r="C1615" s="1" t="str">
        <f>IFERROR(__xludf.DUMMYFUNCTION("""COMPUTED_VALUE"""),"ESCALANTE RODOLFO")</f>
        <v>ESCALANTE RODOLFO</v>
      </c>
      <c r="D1615" s="1" t="str">
        <f>IFERROR(__xludf.DUMMYFUNCTION("""COMPUTED_VALUE"""),"Lentes de STOCK")</f>
        <v>Lentes de STOCK</v>
      </c>
      <c r="E1615" s="1" t="str">
        <f>IFERROR(__xludf.DUMMYFUNCTION("""COMPUTED_VALUE"""),"ARTIGAS Roció")</f>
        <v>ARTIGAS Roció</v>
      </c>
      <c r="F1615" s="1" t="str">
        <f t="shared" si="1"/>
        <v>ARTIGAS </v>
      </c>
      <c r="G1615" s="1" t="str">
        <f t="shared" si="2"/>
        <v>Roció</v>
      </c>
      <c r="H1615" s="1" t="str">
        <f>IFERROR(__xludf.DUMMYFUNCTION("""COMPUTED_VALUE"""),"13/2/2023, 17:00:00")</f>
        <v>13/2/2023, 17:00:00</v>
      </c>
      <c r="I1615" s="1" t="str">
        <f>IFERROR(__xludf.DUMMYFUNCTION("""COMPUTED_VALUE"""),"RETIRADO OK POR CLIENTE")</f>
        <v>RETIRADO OK POR CLIENTE</v>
      </c>
      <c r="J1615" s="1">
        <f t="shared" si="3"/>
        <v>6</v>
      </c>
      <c r="K1615" s="1" t="str">
        <f t="shared" si="4"/>
        <v>Entregamos tus lentes, que los disfrutes!</v>
      </c>
    </row>
    <row r="1616">
      <c r="A1616" s="1">
        <f>IFERROR(__xludf.DUMMYFUNCTION("""COMPUTED_VALUE"""),86166.0)</f>
        <v>86166</v>
      </c>
      <c r="B1616" s="5">
        <f>IFERROR(__xludf.DUMMYFUNCTION("""COMPUTED_VALUE"""),44963.81059636574)</f>
        <v>44963.8106</v>
      </c>
      <c r="C1616" s="1" t="str">
        <f>IFERROR(__xludf.DUMMYFUNCTION("""COMPUTED_VALUE"""),"Magallanes Eva")</f>
        <v>Magallanes Eva</v>
      </c>
      <c r="D1616" s="1" t="str">
        <f>IFERROR(__xludf.DUMMYFUNCTION("""COMPUTED_VALUE"""),"Reparaciones/Otros")</f>
        <v>Reparaciones/Otros</v>
      </c>
      <c r="E1616" s="1" t="str">
        <f>IFERROR(__xludf.DUMMYFUNCTION("""COMPUTED_VALUE"""),"ARTIGAS Roció")</f>
        <v>ARTIGAS Roció</v>
      </c>
      <c r="F1616" s="1" t="str">
        <f t="shared" si="1"/>
        <v>ARTIGAS </v>
      </c>
      <c r="G1616" s="1" t="str">
        <f t="shared" si="2"/>
        <v>Roció</v>
      </c>
      <c r="H1616" s="1" t="str">
        <f>IFERROR(__xludf.DUMMYFUNCTION("""COMPUTED_VALUE"""),"8/2/2023, 17:00:00")</f>
        <v>8/2/2023, 17:00:00</v>
      </c>
      <c r="I1616" s="1"/>
      <c r="J1616" s="1">
        <f t="shared" si="3"/>
        <v>0</v>
      </c>
      <c r="K1616" s="1" t="str">
        <f t="shared" si="4"/>
        <v/>
      </c>
    </row>
    <row r="1617">
      <c r="A1617" s="1">
        <f>IFERROR(__xludf.DUMMYFUNCTION("""COMPUTED_VALUE"""),86167.0)</f>
        <v>86167</v>
      </c>
      <c r="B1617" s="5">
        <f>IFERROR(__xludf.DUMMYFUNCTION("""COMPUTED_VALUE"""),44963.81407532407)</f>
        <v>44963.81408</v>
      </c>
      <c r="C1617" s="1" t="str">
        <f>IFERROR(__xludf.DUMMYFUNCTION("""COMPUTED_VALUE"""),"LUCERO JOSE OMAR")</f>
        <v>LUCERO JOSE OMAR</v>
      </c>
      <c r="D1617" s="1" t="str">
        <f>IFERROR(__xludf.DUMMYFUNCTION("""COMPUTED_VALUE"""),"Lentes MULTIFOCALES")</f>
        <v>Lentes MULTIFOCALES</v>
      </c>
      <c r="E1617" s="1" t="str">
        <f>IFERROR(__xludf.DUMMYFUNCTION("""COMPUTED_VALUE"""),"RIVADAVIA Luciana")</f>
        <v>RIVADAVIA Luciana</v>
      </c>
      <c r="F1617" s="1" t="str">
        <f t="shared" si="1"/>
        <v>RIVADAVIA </v>
      </c>
      <c r="G1617" s="1" t="str">
        <f t="shared" si="2"/>
        <v>Luciana</v>
      </c>
      <c r="H1617" s="1" t="str">
        <f>IFERROR(__xludf.DUMMYFUNCTION("""COMPUTED_VALUE"""),"24/2/2023, 18:00:00")</f>
        <v>24/2/2023, 18:00:00</v>
      </c>
      <c r="I1617" s="1"/>
      <c r="J1617" s="1">
        <f t="shared" si="3"/>
        <v>0</v>
      </c>
      <c r="K1617" s="1" t="str">
        <f t="shared" si="4"/>
        <v/>
      </c>
    </row>
    <row r="1618">
      <c r="A1618" s="1">
        <f>IFERROR(__xludf.DUMMYFUNCTION("""COMPUTED_VALUE"""),86168.0)</f>
        <v>86168</v>
      </c>
      <c r="B1618" s="5">
        <f>IFERROR(__xludf.DUMMYFUNCTION("""COMPUTED_VALUE"""),44963.81553957176)</f>
        <v>44963.81554</v>
      </c>
      <c r="C1618" s="1" t="str">
        <f>IFERROR(__xludf.DUMMYFUNCTION("""COMPUTED_VALUE"""),"ALE DAIHANA")</f>
        <v>ALE DAIHANA</v>
      </c>
      <c r="D1618" s="1" t="str">
        <f>IFERROR(__xludf.DUMMYFUNCTION("""COMPUTED_VALUE"""),"Lentes de STOCK")</f>
        <v>Lentes de STOCK</v>
      </c>
      <c r="E1618" s="1" t="str">
        <f>IFERROR(__xludf.DUMMYFUNCTION("""COMPUTED_VALUE"""),"RIVADAVIA Javier")</f>
        <v>RIVADAVIA Javier</v>
      </c>
      <c r="F1618" s="1" t="str">
        <f t="shared" si="1"/>
        <v>RIVADAVIA </v>
      </c>
      <c r="G1618" s="1" t="str">
        <f t="shared" si="2"/>
        <v>Javier</v>
      </c>
      <c r="H1618" s="1" t="str">
        <f>IFERROR(__xludf.DUMMYFUNCTION("""COMPUTED_VALUE"""),"8/2/2023, 17:00:00")</f>
        <v>8/2/2023, 17:00:00</v>
      </c>
      <c r="I1618" s="1" t="str">
        <f>IFERROR(__xludf.DUMMYFUNCTION("""COMPUTED_VALUE"""),"RETIRADO OK POR CLIENTE")</f>
        <v>RETIRADO OK POR CLIENTE</v>
      </c>
      <c r="J1618" s="1">
        <f t="shared" si="3"/>
        <v>6</v>
      </c>
      <c r="K1618" s="1" t="str">
        <f t="shared" si="4"/>
        <v>Entregamos tus lentes, que los disfrutes!</v>
      </c>
    </row>
    <row r="1619">
      <c r="A1619" s="1">
        <f>IFERROR(__xludf.DUMMYFUNCTION("""COMPUTED_VALUE"""),86169.0)</f>
        <v>86169</v>
      </c>
      <c r="B1619" s="5">
        <f>IFERROR(__xludf.DUMMYFUNCTION("""COMPUTED_VALUE"""),44963.820190300925)</f>
        <v>44963.82019</v>
      </c>
      <c r="C1619" s="1" t="str">
        <f>IFERROR(__xludf.DUMMYFUNCTION("""COMPUTED_VALUE"""),"AMIEVA SOFIA ")</f>
        <v>AMIEVA SOFIA </v>
      </c>
      <c r="D1619" s="1" t="str">
        <f>IFERROR(__xludf.DUMMYFUNCTION("""COMPUTED_VALUE"""),"Lentes de STOCK")</f>
        <v>Lentes de STOCK</v>
      </c>
      <c r="E1619" s="1" t="str">
        <f>IFERROR(__xludf.DUMMYFUNCTION("""COMPUTED_VALUE"""),"ARTIGAS Cristian C.")</f>
        <v>ARTIGAS Cristian C.</v>
      </c>
      <c r="F1619" s="1" t="str">
        <f t="shared" si="1"/>
        <v>ARTIGAS </v>
      </c>
      <c r="G1619" s="1" t="str">
        <f t="shared" si="2"/>
        <v>Cristian C.</v>
      </c>
      <c r="H1619" s="1" t="str">
        <f>IFERROR(__xludf.DUMMYFUNCTION("""COMPUTED_VALUE"""),"10/2/2023, 17:00:00")</f>
        <v>10/2/2023, 17:00:00</v>
      </c>
      <c r="I1619" s="1" t="str">
        <f>IFERROR(__xludf.DUMMYFUNCTION("""COMPUTED_VALUE"""),"RETIRADO OK POR CLIENTE")</f>
        <v>RETIRADO OK POR CLIENTE</v>
      </c>
      <c r="J1619" s="1">
        <f t="shared" si="3"/>
        <v>6</v>
      </c>
      <c r="K1619" s="1" t="str">
        <f t="shared" si="4"/>
        <v>Entregamos tus lentes, que los disfrutes!</v>
      </c>
    </row>
    <row r="1620">
      <c r="A1620" s="1">
        <f>IFERROR(__xludf.DUMMYFUNCTION("""COMPUTED_VALUE"""),86170.0)</f>
        <v>86170</v>
      </c>
      <c r="B1620" s="5">
        <f>IFERROR(__xludf.DUMMYFUNCTION("""COMPUTED_VALUE"""),44963.82423695602)</f>
        <v>44963.82424</v>
      </c>
      <c r="C1620" s="1" t="str">
        <f>IFERROR(__xludf.DUMMYFUNCTION("""COMPUTED_VALUE"""),"HUMERES EFRAIN")</f>
        <v>HUMERES EFRAIN</v>
      </c>
      <c r="D1620" s="1" t="str">
        <f>IFERROR(__xludf.DUMMYFUNCTION("""COMPUTED_VALUE"""),"Lentes de STOCK")</f>
        <v>Lentes de STOCK</v>
      </c>
      <c r="E1620" s="1" t="str">
        <f>IFERROR(__xludf.DUMMYFUNCTION("""COMPUTED_VALUE"""),"ARTIGAS Cristian C.")</f>
        <v>ARTIGAS Cristian C.</v>
      </c>
      <c r="F1620" s="1" t="str">
        <f t="shared" si="1"/>
        <v>ARTIGAS </v>
      </c>
      <c r="G1620" s="1" t="str">
        <f t="shared" si="2"/>
        <v>Cristian C.</v>
      </c>
      <c r="H1620" s="1" t="str">
        <f>IFERROR(__xludf.DUMMYFUNCTION("""COMPUTED_VALUE"""),"13/2/2023, 17:00:00")</f>
        <v>13/2/2023, 17:00:00</v>
      </c>
      <c r="I1620" s="1" t="str">
        <f>IFERROR(__xludf.DUMMYFUNCTION("""COMPUTED_VALUE"""),"RETIRADO OK POR CLIENTE")</f>
        <v>RETIRADO OK POR CLIENTE</v>
      </c>
      <c r="J1620" s="1">
        <f t="shared" si="3"/>
        <v>6</v>
      </c>
      <c r="K1620" s="1" t="str">
        <f t="shared" si="4"/>
        <v>Entregamos tus lentes, que los disfrutes!</v>
      </c>
    </row>
    <row r="1621" hidden="1">
      <c r="A1621" s="1">
        <f>IFERROR(__xludf.DUMMYFUNCTION("""COMPUTED_VALUE"""),86171.0)</f>
        <v>86171</v>
      </c>
      <c r="B1621" s="5">
        <f>IFERROR(__xludf.DUMMYFUNCTION("""COMPUTED_VALUE"""),44963.82829549769)</f>
        <v>44963.8283</v>
      </c>
      <c r="C1621" s="1" t="str">
        <f>IFERROR(__xludf.DUMMYFUNCTION("""COMPUTED_VALUE"""),"ESCOBAR THIAGO")</f>
        <v>ESCOBAR THIAGO</v>
      </c>
      <c r="D1621" s="1" t="str">
        <f>IFERROR(__xludf.DUMMYFUNCTION("""COMPUTED_VALUE"""),"Lentes de LABORATORIO")</f>
        <v>Lentes de LABORATORIO</v>
      </c>
      <c r="E1621" s="1" t="str">
        <f>IFERROR(__xludf.DUMMYFUNCTION("""COMPUTED_VALUE"""),"RIVADAVIA Daniel CM")</f>
        <v>RIVADAVIA Daniel CM</v>
      </c>
      <c r="F1621" s="1" t="str">
        <f t="shared" si="1"/>
        <v>RIVADAVIA </v>
      </c>
      <c r="G1621" s="1" t="str">
        <f t="shared" si="2"/>
        <v>Daniel CM</v>
      </c>
      <c r="H1621" s="1" t="str">
        <f>IFERROR(__xludf.DUMMYFUNCTION("""COMPUTED_VALUE"""),"22/2/2023, 17:00:00")</f>
        <v>22/2/2023, 17:00:00</v>
      </c>
      <c r="I1621" s="1" t="str">
        <f>IFERROR(__xludf.DUMMYFUNCTION("""COMPUTED_VALUE"""),"DEMORADO")</f>
        <v>DEMORADO</v>
      </c>
      <c r="J1621" s="1" t="str">
        <f t="shared" si="3"/>
        <v/>
      </c>
      <c r="K1621" s="1" t="str">
        <f t="shared" si="4"/>
        <v>Tuvimos una demora con tus lentes y no podremos entregarlo en las fecha acordada, estamos trabajando para terminarlos cuanto antes, te mantendremos al tanto, si es necesario contactanos via whatsapp.</v>
      </c>
    </row>
    <row r="1622">
      <c r="A1622" s="1">
        <f>IFERROR(__xludf.DUMMYFUNCTION("""COMPUTED_VALUE"""),86172.0)</f>
        <v>86172</v>
      </c>
      <c r="B1622" s="5">
        <f>IFERROR(__xludf.DUMMYFUNCTION("""COMPUTED_VALUE"""),44963.834568356484)</f>
        <v>44963.83457</v>
      </c>
      <c r="C1622" s="1" t="str">
        <f>IFERROR(__xludf.DUMMYFUNCTION("""COMPUTED_VALUE"""),"miranda santino")</f>
        <v>miranda santino</v>
      </c>
      <c r="D1622" s="1" t="str">
        <f>IFERROR(__xludf.DUMMYFUNCTION("""COMPUTED_VALUE"""),"Lentes de STOCK")</f>
        <v>Lentes de STOCK</v>
      </c>
      <c r="E1622" s="1" t="str">
        <f>IFERROR(__xludf.DUMMYFUNCTION("""COMPUTED_VALUE"""),"RIVADAVIA Santiago N")</f>
        <v>RIVADAVIA Santiago N</v>
      </c>
      <c r="F1622" s="1" t="str">
        <f t="shared" si="1"/>
        <v>RIVADAVIA </v>
      </c>
      <c r="G1622" s="1" t="str">
        <f t="shared" si="2"/>
        <v>Santiago N</v>
      </c>
      <c r="H1622" s="1" t="str">
        <f>IFERROR(__xludf.DUMMYFUNCTION("""COMPUTED_VALUE"""),"11/2/2023, 17:00:00")</f>
        <v>11/2/2023, 17:00:00</v>
      </c>
      <c r="I1622" s="1" t="str">
        <f>IFERROR(__xludf.DUMMYFUNCTION("""COMPUTED_VALUE"""),"RETIRADO OK POR CLIENTE")</f>
        <v>RETIRADO OK POR CLIENTE</v>
      </c>
      <c r="J1622" s="1">
        <f t="shared" si="3"/>
        <v>6</v>
      </c>
      <c r="K1622" s="1" t="str">
        <f t="shared" si="4"/>
        <v>Entregamos tus lentes, que los disfrutes!</v>
      </c>
    </row>
    <row r="1623">
      <c r="A1623" s="1">
        <f>IFERROR(__xludf.DUMMYFUNCTION("""COMPUTED_VALUE"""),86173.0)</f>
        <v>86173</v>
      </c>
      <c r="B1623" s="5">
        <f>IFERROR(__xludf.DUMMYFUNCTION("""COMPUTED_VALUE"""),44963.85325021991)</f>
        <v>44963.85325</v>
      </c>
      <c r="C1623" s="1" t="str">
        <f>IFERROR(__xludf.DUMMYFUNCTION("""COMPUTED_VALUE"""),"torres lucia")</f>
        <v>torres lucia</v>
      </c>
      <c r="D1623" s="1" t="str">
        <f>IFERROR(__xludf.DUMMYFUNCTION("""COMPUTED_VALUE"""),"Reparaciones/Otros")</f>
        <v>Reparaciones/Otros</v>
      </c>
      <c r="E1623" s="1" t="str">
        <f>IFERROR(__xludf.DUMMYFUNCTION("""COMPUTED_VALUE"""),"RIVADAVIA Daniel CM")</f>
        <v>RIVADAVIA Daniel CM</v>
      </c>
      <c r="F1623" s="1" t="str">
        <f t="shared" si="1"/>
        <v>RIVADAVIA </v>
      </c>
      <c r="G1623" s="1" t="str">
        <f t="shared" si="2"/>
        <v>Daniel CM</v>
      </c>
      <c r="H1623" s="1" t="str">
        <f>IFERROR(__xludf.DUMMYFUNCTION("""COMPUTED_VALUE"""),"7/2/2023, 17:00:00")</f>
        <v>7/2/2023, 17:00:00</v>
      </c>
      <c r="I1623" s="1" t="str">
        <f>IFERROR(__xludf.DUMMYFUNCTION("""COMPUTED_VALUE"""),"Recibido en Laboratorio")</f>
        <v>Recibido en Laboratorio</v>
      </c>
      <c r="J1623" s="1">
        <f t="shared" si="3"/>
        <v>2</v>
      </c>
      <c r="K1623" s="1" t="str">
        <f t="shared" si="4"/>
        <v>Nuestro Laboratorio esta trabajando en tus lentes, los entregaremos en la fecha acordada.</v>
      </c>
    </row>
    <row r="1624">
      <c r="A1624" s="1">
        <f>IFERROR(__xludf.DUMMYFUNCTION("""COMPUTED_VALUE"""),86174.0)</f>
        <v>86174</v>
      </c>
      <c r="B1624" s="5">
        <f>IFERROR(__xludf.DUMMYFUNCTION("""COMPUTED_VALUE"""),44963.85933412037)</f>
        <v>44963.85933</v>
      </c>
      <c r="C1624" s="1" t="str">
        <f>IFERROR(__xludf.DUMMYFUNCTION("""COMPUTED_VALUE"""),"FRANCO IRASOQUI")</f>
        <v>FRANCO IRASOQUI</v>
      </c>
      <c r="D1624" s="1" t="str">
        <f>IFERROR(__xludf.DUMMYFUNCTION("""COMPUTED_VALUE"""),"Lentes de STOCK")</f>
        <v>Lentes de STOCK</v>
      </c>
      <c r="E1624" s="1" t="str">
        <f>IFERROR(__xludf.DUMMYFUNCTION("""COMPUTED_VALUE"""),"RIVADAVIA Javier")</f>
        <v>RIVADAVIA Javier</v>
      </c>
      <c r="F1624" s="1" t="str">
        <f t="shared" si="1"/>
        <v>RIVADAVIA </v>
      </c>
      <c r="G1624" s="1" t="str">
        <f t="shared" si="2"/>
        <v>Javier</v>
      </c>
      <c r="H1624" s="1" t="str">
        <f>IFERROR(__xludf.DUMMYFUNCTION("""COMPUTED_VALUE"""),"14/2/2023, 17:00:00")</f>
        <v>14/2/2023, 17:00:00</v>
      </c>
      <c r="I1624" s="1" t="str">
        <f>IFERROR(__xludf.DUMMYFUNCTION("""COMPUTED_VALUE"""),"Completado en SUCURSAL")</f>
        <v>Completado en SUCURSAL</v>
      </c>
      <c r="J1624" s="1">
        <f t="shared" si="3"/>
        <v>5</v>
      </c>
      <c r="K1624" s="1" t="str">
        <f t="shared" si="4"/>
        <v>Tus Lentes estan LISTAS PARA ENTREGAR, te esperamos.</v>
      </c>
    </row>
    <row r="1625">
      <c r="A1625" s="1">
        <f>IFERROR(__xludf.DUMMYFUNCTION("""COMPUTED_VALUE"""),86175.0)</f>
        <v>86175</v>
      </c>
      <c r="B1625" s="5">
        <f>IFERROR(__xludf.DUMMYFUNCTION("""COMPUTED_VALUE"""),44963.861306736115)</f>
        <v>44963.86131</v>
      </c>
      <c r="C1625" s="1" t="str">
        <f>IFERROR(__xludf.DUMMYFUNCTION("""COMPUTED_VALUE"""),"IRASOQUI JULIA")</f>
        <v>IRASOQUI JULIA</v>
      </c>
      <c r="D1625" s="1" t="str">
        <f>IFERROR(__xludf.DUMMYFUNCTION("""COMPUTED_VALUE"""),"Lentes de STOCK")</f>
        <v>Lentes de STOCK</v>
      </c>
      <c r="E1625" s="1" t="str">
        <f>IFERROR(__xludf.DUMMYFUNCTION("""COMPUTED_VALUE"""),"RIVADAVIA Javier")</f>
        <v>RIVADAVIA Javier</v>
      </c>
      <c r="F1625" s="1" t="str">
        <f t="shared" si="1"/>
        <v>RIVADAVIA </v>
      </c>
      <c r="G1625" s="1" t="str">
        <f t="shared" si="2"/>
        <v>Javier</v>
      </c>
      <c r="H1625" s="1" t="str">
        <f>IFERROR(__xludf.DUMMYFUNCTION("""COMPUTED_VALUE"""),"14/2/2023, 17:00:00")</f>
        <v>14/2/2023, 17:00:00</v>
      </c>
      <c r="I1625" s="1" t="str">
        <f>IFERROR(__xludf.DUMMYFUNCTION("""COMPUTED_VALUE"""),"Recibido en Laboratorio")</f>
        <v>Recibido en Laboratorio</v>
      </c>
      <c r="J1625" s="1">
        <f t="shared" si="3"/>
        <v>2</v>
      </c>
      <c r="K1625" s="1" t="str">
        <f t="shared" si="4"/>
        <v>Nuestro Laboratorio esta trabajando en tus lentes, los entregaremos en la fecha acordada.</v>
      </c>
    </row>
    <row r="1626">
      <c r="A1626" s="1">
        <f>IFERROR(__xludf.DUMMYFUNCTION("""COMPUTED_VALUE"""),86176.0)</f>
        <v>86176</v>
      </c>
      <c r="B1626" s="5">
        <f>IFERROR(__xludf.DUMMYFUNCTION("""COMPUTED_VALUE"""),44964.37675524305)</f>
        <v>44964.37676</v>
      </c>
      <c r="C1626" s="1" t="str">
        <f>IFERROR(__xludf.DUMMYFUNCTION("""COMPUTED_VALUE"""),"gil antonio nicolas")</f>
        <v>gil antonio nicolas</v>
      </c>
      <c r="D1626" s="1" t="str">
        <f>IFERROR(__xludf.DUMMYFUNCTION("""COMPUTED_VALUE"""),"Lentes de STOCK")</f>
        <v>Lentes de STOCK</v>
      </c>
      <c r="E1626" s="1" t="str">
        <f>IFERROR(__xludf.DUMMYFUNCTION("""COMPUTED_VALUE"""),"RIVADAVIA Daniel CM")</f>
        <v>RIVADAVIA Daniel CM</v>
      </c>
      <c r="F1626" s="1" t="str">
        <f t="shared" si="1"/>
        <v>RIVADAVIA </v>
      </c>
      <c r="G1626" s="1" t="str">
        <f t="shared" si="2"/>
        <v>Daniel CM</v>
      </c>
      <c r="H1626" s="1" t="str">
        <f>IFERROR(__xludf.DUMMYFUNCTION("""COMPUTED_VALUE"""),"10/2/2023, 17:00:00")</f>
        <v>10/2/2023, 17:00:00</v>
      </c>
      <c r="I1626" s="1" t="str">
        <f>IFERROR(__xludf.DUMMYFUNCTION("""COMPUTED_VALUE"""),"Recibido en Laboratorio")</f>
        <v>Recibido en Laboratorio</v>
      </c>
      <c r="J1626" s="1">
        <f t="shared" si="3"/>
        <v>2</v>
      </c>
      <c r="K1626" s="1" t="str">
        <f t="shared" si="4"/>
        <v>Nuestro Laboratorio esta trabajando en tus lentes, los entregaremos en la fecha acordada.</v>
      </c>
    </row>
    <row r="1627">
      <c r="A1627" s="1">
        <f>IFERROR(__xludf.DUMMYFUNCTION("""COMPUTED_VALUE"""),86177.0)</f>
        <v>86177</v>
      </c>
      <c r="B1627" s="5">
        <f>IFERROR(__xludf.DUMMYFUNCTION("""COMPUTED_VALUE"""),44964.39782653935)</f>
        <v>44964.39783</v>
      </c>
      <c r="C1627" s="1" t="str">
        <f>IFERROR(__xludf.DUMMYFUNCTION("""COMPUTED_VALUE"""),"Rodriguez Celia")</f>
        <v>Rodriguez Celia</v>
      </c>
      <c r="D1627" s="1" t="str">
        <f>IFERROR(__xludf.DUMMYFUNCTION("""COMPUTED_VALUE"""),"Lentes de STOCK")</f>
        <v>Lentes de STOCK</v>
      </c>
      <c r="E1627" s="1" t="str">
        <f>IFERROR(__xludf.DUMMYFUNCTION("""COMPUTED_VALUE"""),"ARTIGAS Roció")</f>
        <v>ARTIGAS Roció</v>
      </c>
      <c r="F1627" s="1" t="str">
        <f t="shared" si="1"/>
        <v>ARTIGAS </v>
      </c>
      <c r="G1627" s="1" t="str">
        <f t="shared" si="2"/>
        <v>Roció</v>
      </c>
      <c r="H1627" s="1" t="str">
        <f>IFERROR(__xludf.DUMMYFUNCTION("""COMPUTED_VALUE"""),"22/2/2023, 17:00:00")</f>
        <v>22/2/2023, 17:00:00</v>
      </c>
      <c r="I1627" s="1" t="str">
        <f>IFERROR(__xludf.DUMMYFUNCTION("""COMPUTED_VALUE"""),"Completado en SUCURSAL")</f>
        <v>Completado en SUCURSAL</v>
      </c>
      <c r="J1627" s="1">
        <f t="shared" si="3"/>
        <v>5</v>
      </c>
      <c r="K1627" s="1" t="str">
        <f t="shared" si="4"/>
        <v>Tus Lentes estan LISTAS PARA ENTREGAR, te esperamos.</v>
      </c>
    </row>
    <row r="1628">
      <c r="A1628" s="1">
        <f>IFERROR(__xludf.DUMMYFUNCTION("""COMPUTED_VALUE"""),86178.0)</f>
        <v>86178</v>
      </c>
      <c r="B1628" s="5">
        <f>IFERROR(__xludf.DUMMYFUNCTION("""COMPUTED_VALUE"""),44964.40311039352)</f>
        <v>44964.40311</v>
      </c>
      <c r="C1628" s="1" t="str">
        <f>IFERROR(__xludf.DUMMYFUNCTION("""COMPUTED_VALUE"""),"POMIRO REYNA ANGELINA")</f>
        <v>POMIRO REYNA ANGELINA</v>
      </c>
      <c r="D1628" s="1" t="str">
        <f>IFERROR(__xludf.DUMMYFUNCTION("""COMPUTED_VALUE"""),"Lentes de STOCK")</f>
        <v>Lentes de STOCK</v>
      </c>
      <c r="E1628" s="1" t="str">
        <f>IFERROR(__xludf.DUMMYFUNCTION("""COMPUTED_VALUE"""),"RIVADAVIA Marcela L")</f>
        <v>RIVADAVIA Marcela L</v>
      </c>
      <c r="F1628" s="1" t="str">
        <f t="shared" si="1"/>
        <v>RIVADAVIA </v>
      </c>
      <c r="G1628" s="1" t="str">
        <f t="shared" si="2"/>
        <v>Marcela L</v>
      </c>
      <c r="H1628" s="1" t="str">
        <f>IFERROR(__xludf.DUMMYFUNCTION("""COMPUTED_VALUE"""),"10/2/2023, 17:00:00")</f>
        <v>10/2/2023, 17:00:00</v>
      </c>
      <c r="I1628" s="1" t="str">
        <f>IFERROR(__xludf.DUMMYFUNCTION("""COMPUTED_VALUE"""),"RETIRADO OK POR CLIENTE")</f>
        <v>RETIRADO OK POR CLIENTE</v>
      </c>
      <c r="J1628" s="1">
        <f t="shared" si="3"/>
        <v>6</v>
      </c>
      <c r="K1628" s="1" t="str">
        <f t="shared" si="4"/>
        <v>Entregamos tus lentes, que los disfrutes!</v>
      </c>
    </row>
    <row r="1629">
      <c r="A1629" s="1">
        <f>IFERROR(__xludf.DUMMYFUNCTION("""COMPUTED_VALUE"""),86179.0)</f>
        <v>86179</v>
      </c>
      <c r="B1629" s="5">
        <f>IFERROR(__xludf.DUMMYFUNCTION("""COMPUTED_VALUE"""),44964.41805736111)</f>
        <v>44964.41806</v>
      </c>
      <c r="C1629" s="7" t="str">
        <f>IFERROR(__xludf.DUMMYFUNCTION("""COMPUTED_VALUE"""),"funes marta")</f>
        <v>funes marta</v>
      </c>
      <c r="D1629" s="1" t="str">
        <f>IFERROR(__xludf.DUMMYFUNCTION("""COMPUTED_VALUE"""),"Lentes de STOCK")</f>
        <v>Lentes de STOCK</v>
      </c>
      <c r="E1629" s="1" t="str">
        <f>IFERROR(__xludf.DUMMYFUNCTION("""COMPUTED_VALUE"""),"RIVADAVIA Santiago N")</f>
        <v>RIVADAVIA Santiago N</v>
      </c>
      <c r="F1629" s="1" t="str">
        <f t="shared" si="1"/>
        <v>RIVADAVIA </v>
      </c>
      <c r="G1629" s="1" t="str">
        <f t="shared" si="2"/>
        <v>Santiago N</v>
      </c>
      <c r="H1629" s="1" t="str">
        <f>IFERROR(__xludf.DUMMYFUNCTION("""COMPUTED_VALUE"""),"9/2/2023, 17:00:00")</f>
        <v>9/2/2023, 17:00:00</v>
      </c>
      <c r="I1629" s="1" t="str">
        <f>IFERROR(__xludf.DUMMYFUNCTION("""COMPUTED_VALUE"""),"RETIRADO OK POR CLIENTE")</f>
        <v>RETIRADO OK POR CLIENTE</v>
      </c>
      <c r="J1629" s="1">
        <f t="shared" si="3"/>
        <v>6</v>
      </c>
      <c r="K1629" s="1" t="str">
        <f t="shared" si="4"/>
        <v>Entregamos tus lentes, que los disfrutes!</v>
      </c>
    </row>
    <row r="1630">
      <c r="A1630" s="1">
        <f>IFERROR(__xludf.DUMMYFUNCTION("""COMPUTED_VALUE"""),86180.0)</f>
        <v>86180</v>
      </c>
      <c r="B1630" s="5">
        <f>IFERROR(__xludf.DUMMYFUNCTION("""COMPUTED_VALUE"""),44964.41820508102)</f>
        <v>44964.41821</v>
      </c>
      <c r="C1630" s="1" t="str">
        <f>IFERROR(__xludf.DUMMYFUNCTION("""COMPUTED_VALUE"""),"Luna Pedro")</f>
        <v>Luna Pedro</v>
      </c>
      <c r="D1630" s="1" t="str">
        <f>IFERROR(__xludf.DUMMYFUNCTION("""COMPUTED_VALUE"""),"Lentes de STOCK")</f>
        <v>Lentes de STOCK</v>
      </c>
      <c r="E1630" s="1" t="str">
        <f>IFERROR(__xludf.DUMMYFUNCTION("""COMPUTED_VALUE"""),"ARTIGAS Roció")</f>
        <v>ARTIGAS Roció</v>
      </c>
      <c r="F1630" s="1" t="str">
        <f t="shared" si="1"/>
        <v>ARTIGAS </v>
      </c>
      <c r="G1630" s="1" t="str">
        <f t="shared" si="2"/>
        <v>Roció</v>
      </c>
      <c r="H1630" s="1" t="str">
        <f>IFERROR(__xludf.DUMMYFUNCTION("""COMPUTED_VALUE"""),"13/2/2023, 17:00:00")</f>
        <v>13/2/2023, 17:00:00</v>
      </c>
      <c r="I1630" s="1" t="str">
        <f>IFERROR(__xludf.DUMMYFUNCTION("""COMPUTED_VALUE"""),"RETIRADO OK POR CLIENTE")</f>
        <v>RETIRADO OK POR CLIENTE</v>
      </c>
      <c r="J1630" s="1">
        <f t="shared" si="3"/>
        <v>6</v>
      </c>
      <c r="K1630" s="1" t="str">
        <f t="shared" si="4"/>
        <v>Entregamos tus lentes, que los disfrutes!</v>
      </c>
    </row>
    <row r="1631">
      <c r="A1631" s="1">
        <f>IFERROR(__xludf.DUMMYFUNCTION("""COMPUTED_VALUE"""),86181.0)</f>
        <v>86181</v>
      </c>
      <c r="B1631" s="5">
        <f>IFERROR(__xludf.DUMMYFUNCTION("""COMPUTED_VALUE"""),44964.42870582176)</f>
        <v>44964.42871</v>
      </c>
      <c r="C1631" s="1" t="str">
        <f>IFERROR(__xludf.DUMMYFUNCTION("""COMPUTED_VALUE"""),"gomez araya yamila")</f>
        <v>gomez araya yamila</v>
      </c>
      <c r="D1631" s="1" t="str">
        <f>IFERROR(__xludf.DUMMYFUNCTION("""COMPUTED_VALUE"""),"Lentes de STOCK")</f>
        <v>Lentes de STOCK</v>
      </c>
      <c r="E1631" s="1" t="str">
        <f>IFERROR(__xludf.DUMMYFUNCTION("""COMPUTED_VALUE"""),"RIVADAVIA Santiago N")</f>
        <v>RIVADAVIA Santiago N</v>
      </c>
      <c r="F1631" s="1" t="str">
        <f t="shared" si="1"/>
        <v>RIVADAVIA </v>
      </c>
      <c r="G1631" s="1" t="str">
        <f t="shared" si="2"/>
        <v>Santiago N</v>
      </c>
      <c r="H1631" s="1" t="str">
        <f>IFERROR(__xludf.DUMMYFUNCTION("""COMPUTED_VALUE"""),"9/2/2023, 17:00:00")</f>
        <v>9/2/2023, 17:00:00</v>
      </c>
      <c r="I1631" s="1" t="str">
        <f>IFERROR(__xludf.DUMMYFUNCTION("""COMPUTED_VALUE"""),"RETIRADO OK POR CLIENTE")</f>
        <v>RETIRADO OK POR CLIENTE</v>
      </c>
      <c r="J1631" s="1">
        <f t="shared" si="3"/>
        <v>6</v>
      </c>
      <c r="K1631" s="1" t="str">
        <f t="shared" si="4"/>
        <v>Entregamos tus lentes, que los disfrutes!</v>
      </c>
    </row>
    <row r="1632">
      <c r="A1632" s="1">
        <f>IFERROR(__xludf.DUMMYFUNCTION("""COMPUTED_VALUE"""),86182.0)</f>
        <v>86182</v>
      </c>
      <c r="B1632" s="5">
        <f>IFERROR(__xludf.DUMMYFUNCTION("""COMPUTED_VALUE"""),44964.430839849534)</f>
        <v>44964.43084</v>
      </c>
      <c r="C1632" s="1" t="str">
        <f>IFERROR(__xludf.DUMMYFUNCTION("""COMPUTED_VALUE"""),"GARRO LISANDRO EDGARDO")</f>
        <v>GARRO LISANDRO EDGARDO</v>
      </c>
      <c r="D1632" s="1" t="str">
        <f>IFERROR(__xludf.DUMMYFUNCTION("""COMPUTED_VALUE"""),"Lentes de STOCK")</f>
        <v>Lentes de STOCK</v>
      </c>
      <c r="E1632" s="1" t="str">
        <f>IFERROR(__xludf.DUMMYFUNCTION("""COMPUTED_VALUE"""),"ARTIGAS Roció")</f>
        <v>ARTIGAS Roció</v>
      </c>
      <c r="F1632" s="1" t="str">
        <f t="shared" si="1"/>
        <v>ARTIGAS </v>
      </c>
      <c r="G1632" s="1" t="str">
        <f t="shared" si="2"/>
        <v>Roció</v>
      </c>
      <c r="H1632" s="1" t="str">
        <f>IFERROR(__xludf.DUMMYFUNCTION("""COMPUTED_VALUE"""),"13/2/2023, 17:00:00")</f>
        <v>13/2/2023, 17:00:00</v>
      </c>
      <c r="I1632" s="1" t="str">
        <f>IFERROR(__xludf.DUMMYFUNCTION("""COMPUTED_VALUE"""),"RETIRADO OK POR CLIENTE")</f>
        <v>RETIRADO OK POR CLIENTE</v>
      </c>
      <c r="J1632" s="1">
        <f t="shared" si="3"/>
        <v>6</v>
      </c>
      <c r="K1632" s="1" t="str">
        <f t="shared" si="4"/>
        <v>Entregamos tus lentes, que los disfrutes!</v>
      </c>
    </row>
    <row r="1633">
      <c r="A1633" s="1">
        <f>IFERROR(__xludf.DUMMYFUNCTION("""COMPUTED_VALUE"""),86183.0)</f>
        <v>86183</v>
      </c>
      <c r="B1633" s="5">
        <f>IFERROR(__xludf.DUMMYFUNCTION("""COMPUTED_VALUE"""),44964.433614988426)</f>
        <v>44964.43361</v>
      </c>
      <c r="C1633" s="1" t="str">
        <f>IFERROR(__xludf.DUMMYFUNCTION("""COMPUTED_VALUE"""),"Benavidez Maria Viviana")</f>
        <v>Benavidez Maria Viviana</v>
      </c>
      <c r="D1633" s="1" t="str">
        <f>IFERROR(__xludf.DUMMYFUNCTION("""COMPUTED_VALUE"""),"Lentes de STOCK")</f>
        <v>Lentes de STOCK</v>
      </c>
      <c r="E1633" s="1" t="str">
        <f>IFERROR(__xludf.DUMMYFUNCTION("""COMPUTED_VALUE"""),"ARTIGAS Roció")</f>
        <v>ARTIGAS Roció</v>
      </c>
      <c r="F1633" s="1" t="str">
        <f t="shared" si="1"/>
        <v>ARTIGAS </v>
      </c>
      <c r="G1633" s="1" t="str">
        <f t="shared" si="2"/>
        <v>Roció</v>
      </c>
      <c r="H1633" s="1" t="str">
        <f>IFERROR(__xludf.DUMMYFUNCTION("""COMPUTED_VALUE"""),"13/2/2023, 17:00:00")</f>
        <v>13/2/2023, 17:00:00</v>
      </c>
      <c r="I1633" s="1" t="str">
        <f>IFERROR(__xludf.DUMMYFUNCTION("""COMPUTED_VALUE"""),"RETIRADO OK POR CLIENTE")</f>
        <v>RETIRADO OK POR CLIENTE</v>
      </c>
      <c r="J1633" s="1">
        <f t="shared" si="3"/>
        <v>6</v>
      </c>
      <c r="K1633" s="1" t="str">
        <f t="shared" si="4"/>
        <v>Entregamos tus lentes, que los disfrutes!</v>
      </c>
    </row>
    <row r="1634">
      <c r="A1634" s="1">
        <f>IFERROR(__xludf.DUMMYFUNCTION("""COMPUTED_VALUE"""),86184.0)</f>
        <v>86184</v>
      </c>
      <c r="B1634" s="5">
        <f>IFERROR(__xludf.DUMMYFUNCTION("""COMPUTED_VALUE"""),44964.434538217596)</f>
        <v>44964.43454</v>
      </c>
      <c r="C1634" s="1" t="str">
        <f>IFERROR(__xludf.DUMMYFUNCTION("""COMPUTED_VALUE"""),"Soria Hilda")</f>
        <v>Soria Hilda</v>
      </c>
      <c r="D1634" s="1" t="str">
        <f>IFERROR(__xludf.DUMMYFUNCTION("""COMPUTED_VALUE"""),"Lentes de STOCK")</f>
        <v>Lentes de STOCK</v>
      </c>
      <c r="E1634" s="1" t="str">
        <f>IFERROR(__xludf.DUMMYFUNCTION("""COMPUTED_VALUE"""),"ARTIGAS Sandra G")</f>
        <v>ARTIGAS Sandra G</v>
      </c>
      <c r="F1634" s="1" t="str">
        <f t="shared" si="1"/>
        <v>ARTIGAS </v>
      </c>
      <c r="G1634" s="1" t="str">
        <f t="shared" si="2"/>
        <v>Sandra G</v>
      </c>
      <c r="H1634" s="1" t="str">
        <f>IFERROR(__xludf.DUMMYFUNCTION("""COMPUTED_VALUE"""),"10/2/2023, 17:00:00")</f>
        <v>10/2/2023, 17:00:00</v>
      </c>
      <c r="I1634" s="1" t="str">
        <f>IFERROR(__xludf.DUMMYFUNCTION("""COMPUTED_VALUE"""),"Completado en SUCURSAL")</f>
        <v>Completado en SUCURSAL</v>
      </c>
      <c r="J1634" s="1">
        <f t="shared" si="3"/>
        <v>5</v>
      </c>
      <c r="K1634" s="1" t="str">
        <f t="shared" si="4"/>
        <v>Tus Lentes estan LISTAS PARA ENTREGAR, te esperamos.</v>
      </c>
    </row>
    <row r="1635">
      <c r="A1635" s="1">
        <f>IFERROR(__xludf.DUMMYFUNCTION("""COMPUTED_VALUE"""),86185.0)</f>
        <v>86185</v>
      </c>
      <c r="B1635" s="5">
        <f>IFERROR(__xludf.DUMMYFUNCTION("""COMPUTED_VALUE"""),44964.43699982639)</f>
        <v>44964.437</v>
      </c>
      <c r="C1635" s="1" t="str">
        <f>IFERROR(__xludf.DUMMYFUNCTION("""COMPUTED_VALUE"""),"BENITEZ CANTERO LILIAN RAQUEL")</f>
        <v>BENITEZ CANTERO LILIAN RAQUEL</v>
      </c>
      <c r="D1635" s="1" t="str">
        <f>IFERROR(__xludf.DUMMYFUNCTION("""COMPUTED_VALUE"""),"Lentes de STOCK")</f>
        <v>Lentes de STOCK</v>
      </c>
      <c r="E1635" s="1" t="str">
        <f>IFERROR(__xludf.DUMMYFUNCTION("""COMPUTED_VALUE"""),"RIVADAVIA Marcela L")</f>
        <v>RIVADAVIA Marcela L</v>
      </c>
      <c r="F1635" s="1" t="str">
        <f t="shared" si="1"/>
        <v>RIVADAVIA </v>
      </c>
      <c r="G1635" s="1" t="str">
        <f t="shared" si="2"/>
        <v>Marcela L</v>
      </c>
      <c r="H1635" s="1" t="str">
        <f>IFERROR(__xludf.DUMMYFUNCTION("""COMPUTED_VALUE"""),"10/2/2023, 17:00:00")</f>
        <v>10/2/2023, 17:00:00</v>
      </c>
      <c r="I1635" s="1" t="str">
        <f>IFERROR(__xludf.DUMMYFUNCTION("""COMPUTED_VALUE"""),"RETIRADO OK POR CLIENTE")</f>
        <v>RETIRADO OK POR CLIENTE</v>
      </c>
      <c r="J1635" s="1">
        <f t="shared" si="3"/>
        <v>6</v>
      </c>
      <c r="K1635" s="1" t="str">
        <f t="shared" si="4"/>
        <v>Entregamos tus lentes, que los disfrutes!</v>
      </c>
    </row>
    <row r="1636">
      <c r="A1636" s="1">
        <f>IFERROR(__xludf.DUMMYFUNCTION("""COMPUTED_VALUE"""),86186.0)</f>
        <v>86186</v>
      </c>
      <c r="B1636" s="5">
        <f>IFERROR(__xludf.DUMMYFUNCTION("""COMPUTED_VALUE"""),44964.43707958334)</f>
        <v>44964.43708</v>
      </c>
      <c r="C1636" s="1" t="str">
        <f>IFERROR(__xludf.DUMMYFUNCTION("""COMPUTED_VALUE"""),"QUIROGA EMA ")</f>
        <v>QUIROGA EMA </v>
      </c>
      <c r="D1636" s="1" t="str">
        <f>IFERROR(__xludf.DUMMYFUNCTION("""COMPUTED_VALUE"""),"Lentes de LABORATORIO")</f>
        <v>Lentes de LABORATORIO</v>
      </c>
      <c r="E1636" s="1" t="str">
        <f>IFERROR(__xludf.DUMMYFUNCTION("""COMPUTED_VALUE"""),"RIVADAVIA Luciana")</f>
        <v>RIVADAVIA Luciana</v>
      </c>
      <c r="F1636" s="1" t="str">
        <f t="shared" si="1"/>
        <v>RIVADAVIA </v>
      </c>
      <c r="G1636" s="1" t="str">
        <f t="shared" si="2"/>
        <v>Luciana</v>
      </c>
      <c r="H1636" s="1" t="str">
        <f>IFERROR(__xludf.DUMMYFUNCTION("""COMPUTED_VALUE"""),"15/2/2023, 18:00:00")</f>
        <v>15/2/2023, 18:00:00</v>
      </c>
      <c r="I1636" s="1" t="str">
        <f>IFERROR(__xludf.DUMMYFUNCTION("""COMPUTED_VALUE"""),"RETIRADO OK POR CLIENTE")</f>
        <v>RETIRADO OK POR CLIENTE</v>
      </c>
      <c r="J1636" s="1">
        <f t="shared" si="3"/>
        <v>6</v>
      </c>
      <c r="K1636" s="1" t="str">
        <f t="shared" si="4"/>
        <v>Entregamos tus lentes, que los disfrutes!</v>
      </c>
    </row>
    <row r="1637">
      <c r="A1637" s="1">
        <f>IFERROR(__xludf.DUMMYFUNCTION("""COMPUTED_VALUE"""),86187.0)</f>
        <v>86187</v>
      </c>
      <c r="B1637" s="5">
        <f>IFERROR(__xludf.DUMMYFUNCTION("""COMPUTED_VALUE"""),44964.43965962963)</f>
        <v>44964.43966</v>
      </c>
      <c r="C1637" s="1" t="str">
        <f>IFERROR(__xludf.DUMMYFUNCTION("""COMPUTED_VALUE"""),"BENITEZ CANTERO LILIAN RAQUEL")</f>
        <v>BENITEZ CANTERO LILIAN RAQUEL</v>
      </c>
      <c r="D1637" s="1" t="str">
        <f>IFERROR(__xludf.DUMMYFUNCTION("""COMPUTED_VALUE"""),"Lentes de STOCK")</f>
        <v>Lentes de STOCK</v>
      </c>
      <c r="E1637" s="1" t="str">
        <f>IFERROR(__xludf.DUMMYFUNCTION("""COMPUTED_VALUE"""),"RIVADAVIA Marcela L")</f>
        <v>RIVADAVIA Marcela L</v>
      </c>
      <c r="F1637" s="1" t="str">
        <f t="shared" si="1"/>
        <v>RIVADAVIA </v>
      </c>
      <c r="G1637" s="1" t="str">
        <f t="shared" si="2"/>
        <v>Marcela L</v>
      </c>
      <c r="H1637" s="1" t="str">
        <f>IFERROR(__xludf.DUMMYFUNCTION("""COMPUTED_VALUE"""),"14/2/2023, 17:00:00")</f>
        <v>14/2/2023, 17:00:00</v>
      </c>
      <c r="I1637" s="1" t="str">
        <f>IFERROR(__xludf.DUMMYFUNCTION("""COMPUTED_VALUE"""),"RETIRADO OK POR CLIENTE")</f>
        <v>RETIRADO OK POR CLIENTE</v>
      </c>
      <c r="J1637" s="1">
        <f t="shared" si="3"/>
        <v>6</v>
      </c>
      <c r="K1637" s="1" t="str">
        <f t="shared" si="4"/>
        <v>Entregamos tus lentes, que los disfrutes!</v>
      </c>
    </row>
    <row r="1638">
      <c r="A1638" s="1">
        <f>IFERROR(__xludf.DUMMYFUNCTION("""COMPUTED_VALUE"""),86188.0)</f>
        <v>86188</v>
      </c>
      <c r="B1638" s="5">
        <f>IFERROR(__xludf.DUMMYFUNCTION("""COMPUTED_VALUE"""),44964.44102396991)</f>
        <v>44964.44102</v>
      </c>
      <c r="C1638" s="1" t="str">
        <f>IFERROR(__xludf.DUMMYFUNCTION("""COMPUTED_VALUE"""),"Tello Dominga")</f>
        <v>Tello Dominga</v>
      </c>
      <c r="D1638" s="1" t="str">
        <f>IFERROR(__xludf.DUMMYFUNCTION("""COMPUTED_VALUE"""),"Lentes de STOCK")</f>
        <v>Lentes de STOCK</v>
      </c>
      <c r="E1638" s="1" t="str">
        <f>IFERROR(__xludf.DUMMYFUNCTION("""COMPUTED_VALUE"""),"ARTIGAS Roció")</f>
        <v>ARTIGAS Roció</v>
      </c>
      <c r="F1638" s="1" t="str">
        <f t="shared" si="1"/>
        <v>ARTIGAS </v>
      </c>
      <c r="G1638" s="1" t="str">
        <f t="shared" si="2"/>
        <v>Roció</v>
      </c>
      <c r="H1638" s="1" t="str">
        <f>IFERROR(__xludf.DUMMYFUNCTION("""COMPUTED_VALUE"""),"13/2/2023, 17:00:00")</f>
        <v>13/2/2023, 17:00:00</v>
      </c>
      <c r="I1638" s="1" t="str">
        <f>IFERROR(__xludf.DUMMYFUNCTION("""COMPUTED_VALUE"""),"RETIRADO OK POR CLIENTE")</f>
        <v>RETIRADO OK POR CLIENTE</v>
      </c>
      <c r="J1638" s="1">
        <f t="shared" si="3"/>
        <v>6</v>
      </c>
      <c r="K1638" s="1" t="str">
        <f t="shared" si="4"/>
        <v>Entregamos tus lentes, que los disfrutes!</v>
      </c>
    </row>
    <row r="1639">
      <c r="A1639" s="1">
        <f>IFERROR(__xludf.DUMMYFUNCTION("""COMPUTED_VALUE"""),86189.0)</f>
        <v>86189</v>
      </c>
      <c r="B1639" s="5">
        <f>IFERROR(__xludf.DUMMYFUNCTION("""COMPUTED_VALUE"""),44964.441478078705)</f>
        <v>44964.44148</v>
      </c>
      <c r="C1639" s="1" t="str">
        <f>IFERROR(__xludf.DUMMYFUNCTION("""COMPUTED_VALUE"""),"matera julieta")</f>
        <v>matera julieta</v>
      </c>
      <c r="D1639" s="1" t="str">
        <f>IFERROR(__xludf.DUMMYFUNCTION("""COMPUTED_VALUE"""),"Lentes de STOCK")</f>
        <v>Lentes de STOCK</v>
      </c>
      <c r="E1639" s="1" t="str">
        <f>IFERROR(__xludf.DUMMYFUNCTION("""COMPUTED_VALUE"""),"RIVADAVIA Santiago N")</f>
        <v>RIVADAVIA Santiago N</v>
      </c>
      <c r="F1639" s="1" t="str">
        <f t="shared" si="1"/>
        <v>RIVADAVIA </v>
      </c>
      <c r="G1639" s="1" t="str">
        <f t="shared" si="2"/>
        <v>Santiago N</v>
      </c>
      <c r="H1639" s="1" t="str">
        <f>IFERROR(__xludf.DUMMYFUNCTION("""COMPUTED_VALUE"""),"13/2/2023, 17:00:00")</f>
        <v>13/2/2023, 17:00:00</v>
      </c>
      <c r="I1639" s="1" t="str">
        <f>IFERROR(__xludf.DUMMYFUNCTION("""COMPUTED_VALUE"""),"RETIRADO OK POR CLIENTE")</f>
        <v>RETIRADO OK POR CLIENTE</v>
      </c>
      <c r="J1639" s="1">
        <f t="shared" si="3"/>
        <v>6</v>
      </c>
      <c r="K1639" s="1" t="str">
        <f t="shared" si="4"/>
        <v>Entregamos tus lentes, que los disfrutes!</v>
      </c>
    </row>
    <row r="1640">
      <c r="A1640" s="1">
        <f>IFERROR(__xludf.DUMMYFUNCTION("""COMPUTED_VALUE"""),86190.0)</f>
        <v>86190</v>
      </c>
      <c r="B1640" s="5">
        <f>IFERROR(__xludf.DUMMYFUNCTION("""COMPUTED_VALUE"""),44964.4434624537)</f>
        <v>44964.44346</v>
      </c>
      <c r="C1640" s="1" t="str">
        <f>IFERROR(__xludf.DUMMYFUNCTION("""COMPUTED_VALUE"""),"ALCARAZ GLADY ")</f>
        <v>ALCARAZ GLADY </v>
      </c>
      <c r="D1640" s="1" t="str">
        <f>IFERROR(__xludf.DUMMYFUNCTION("""COMPUTED_VALUE"""),"Lentes de STOCK")</f>
        <v>Lentes de STOCK</v>
      </c>
      <c r="E1640" s="1" t="str">
        <f>IFERROR(__xludf.DUMMYFUNCTION("""COMPUTED_VALUE"""),"ARTIGAS Cristian C.")</f>
        <v>ARTIGAS Cristian C.</v>
      </c>
      <c r="F1640" s="1" t="str">
        <f t="shared" si="1"/>
        <v>ARTIGAS </v>
      </c>
      <c r="G1640" s="1" t="str">
        <f t="shared" si="2"/>
        <v>Cristian C.</v>
      </c>
      <c r="H1640" s="1" t="str">
        <f>IFERROR(__xludf.DUMMYFUNCTION("""COMPUTED_VALUE"""),"10/2/2023, 17:00:00")</f>
        <v>10/2/2023, 17:00:00</v>
      </c>
      <c r="I1640" s="1" t="str">
        <f>IFERROR(__xludf.DUMMYFUNCTION("""COMPUTED_VALUE"""),"RETIRADO OK POR CLIENTE")</f>
        <v>RETIRADO OK POR CLIENTE</v>
      </c>
      <c r="J1640" s="1">
        <f t="shared" si="3"/>
        <v>6</v>
      </c>
      <c r="K1640" s="1" t="str">
        <f t="shared" si="4"/>
        <v>Entregamos tus lentes, que los disfrutes!</v>
      </c>
    </row>
    <row r="1641">
      <c r="A1641" s="1">
        <f>IFERROR(__xludf.DUMMYFUNCTION("""COMPUTED_VALUE"""),86191.0)</f>
        <v>86191</v>
      </c>
      <c r="B1641" s="5">
        <f>IFERROR(__xludf.DUMMYFUNCTION("""COMPUTED_VALUE"""),44964.452131956015)</f>
        <v>44964.45213</v>
      </c>
      <c r="C1641" s="1" t="str">
        <f>IFERROR(__xludf.DUMMYFUNCTION("""COMPUTED_VALUE"""),"ORONAZ MARIA LUJAN")</f>
        <v>ORONAZ MARIA LUJAN</v>
      </c>
      <c r="D1641" s="1" t="str">
        <f>IFERROR(__xludf.DUMMYFUNCTION("""COMPUTED_VALUE"""),"Reparaciones/Otros")</f>
        <v>Reparaciones/Otros</v>
      </c>
      <c r="E1641" s="1" t="str">
        <f>IFERROR(__xludf.DUMMYFUNCTION("""COMPUTED_VALUE"""),"RIVADAVIA Luciana")</f>
        <v>RIVADAVIA Luciana</v>
      </c>
      <c r="F1641" s="1" t="str">
        <f t="shared" si="1"/>
        <v>RIVADAVIA </v>
      </c>
      <c r="G1641" s="1" t="str">
        <f t="shared" si="2"/>
        <v>Luciana</v>
      </c>
      <c r="H1641" s="1" t="str">
        <f>IFERROR(__xludf.DUMMYFUNCTION("""COMPUTED_VALUE"""),"8/2/2023, 17:00:00")</f>
        <v>8/2/2023, 17:00:00</v>
      </c>
      <c r="I1641" s="1"/>
      <c r="J1641" s="1">
        <f t="shared" si="3"/>
        <v>0</v>
      </c>
      <c r="K1641" s="1" t="str">
        <f t="shared" si="4"/>
        <v/>
      </c>
    </row>
    <row r="1642">
      <c r="A1642" s="1">
        <f>IFERROR(__xludf.DUMMYFUNCTION("""COMPUTED_VALUE"""),86192.0)</f>
        <v>86192</v>
      </c>
      <c r="B1642" s="5">
        <f>IFERROR(__xludf.DUMMYFUNCTION("""COMPUTED_VALUE"""),44964.452724629635)</f>
        <v>44964.45272</v>
      </c>
      <c r="C1642" s="1" t="str">
        <f>IFERROR(__xludf.DUMMYFUNCTION("""COMPUTED_VALUE"""),"Villegas Nicolas")</f>
        <v>Villegas Nicolas</v>
      </c>
      <c r="D1642" s="1" t="str">
        <f>IFERROR(__xludf.DUMMYFUNCTION("""COMPUTED_VALUE"""),"Lentes de LABORATORIO")</f>
        <v>Lentes de LABORATORIO</v>
      </c>
      <c r="E1642" s="1" t="str">
        <f>IFERROR(__xludf.DUMMYFUNCTION("""COMPUTED_VALUE"""),"ARTIGAS Roció")</f>
        <v>ARTIGAS Roció</v>
      </c>
      <c r="F1642" s="1" t="str">
        <f t="shared" si="1"/>
        <v>ARTIGAS </v>
      </c>
      <c r="G1642" s="1" t="str">
        <f t="shared" si="2"/>
        <v>Roció</v>
      </c>
      <c r="H1642" s="1" t="str">
        <f>IFERROR(__xludf.DUMMYFUNCTION("""COMPUTED_VALUE"""),"22/2/2023, 17:00:00")</f>
        <v>22/2/2023, 17:00:00</v>
      </c>
      <c r="I1642" s="1" t="str">
        <f>IFERROR(__xludf.DUMMYFUNCTION("""COMPUTED_VALUE"""),"Completado en SUCURSAL")</f>
        <v>Completado en SUCURSAL</v>
      </c>
      <c r="J1642" s="1">
        <f t="shared" si="3"/>
        <v>5</v>
      </c>
      <c r="K1642" s="1" t="str">
        <f t="shared" si="4"/>
        <v>Tus Lentes estan LISTAS PARA ENTREGAR, te esperamos.</v>
      </c>
    </row>
    <row r="1643">
      <c r="A1643" s="1">
        <f>IFERROR(__xludf.DUMMYFUNCTION("""COMPUTED_VALUE"""),86193.0)</f>
        <v>86193</v>
      </c>
      <c r="B1643" s="5">
        <f>IFERROR(__xludf.DUMMYFUNCTION("""COMPUTED_VALUE"""),44964.46129040509)</f>
        <v>44964.46129</v>
      </c>
      <c r="C1643" s="1" t="str">
        <f>IFERROR(__xludf.DUMMYFUNCTION("""COMPUTED_VALUE"""),"BLANCO PAULA DEL CARMEN")</f>
        <v>BLANCO PAULA DEL CARMEN</v>
      </c>
      <c r="D1643" s="1" t="str">
        <f>IFERROR(__xludf.DUMMYFUNCTION("""COMPUTED_VALUE"""),"Lentes de STOCK")</f>
        <v>Lentes de STOCK</v>
      </c>
      <c r="E1643" s="1" t="str">
        <f>IFERROR(__xludf.DUMMYFUNCTION("""COMPUTED_VALUE"""),"ARTIGAS Cristian C.")</f>
        <v>ARTIGAS Cristian C.</v>
      </c>
      <c r="F1643" s="1" t="str">
        <f t="shared" si="1"/>
        <v>ARTIGAS </v>
      </c>
      <c r="G1643" s="1" t="str">
        <f t="shared" si="2"/>
        <v>Cristian C.</v>
      </c>
      <c r="H1643" s="1" t="str">
        <f>IFERROR(__xludf.DUMMYFUNCTION("""COMPUTED_VALUE"""),"14/2/2023, 17:00:00")</f>
        <v>14/2/2023, 17:00:00</v>
      </c>
      <c r="I1643" s="1" t="str">
        <f>IFERROR(__xludf.DUMMYFUNCTION("""COMPUTED_VALUE"""),"RETIRADO OK POR CLIENTE")</f>
        <v>RETIRADO OK POR CLIENTE</v>
      </c>
      <c r="J1643" s="1">
        <f t="shared" si="3"/>
        <v>6</v>
      </c>
      <c r="K1643" s="1" t="str">
        <f t="shared" si="4"/>
        <v>Entregamos tus lentes, que los disfrutes!</v>
      </c>
    </row>
    <row r="1644">
      <c r="A1644" s="1">
        <f>IFERROR(__xludf.DUMMYFUNCTION("""COMPUTED_VALUE"""),86194.0)</f>
        <v>86194</v>
      </c>
      <c r="B1644" s="5">
        <f>IFERROR(__xludf.DUMMYFUNCTION("""COMPUTED_VALUE"""),44964.46188137731)</f>
        <v>44964.46188</v>
      </c>
      <c r="C1644" s="1" t="str">
        <f>IFERROR(__xludf.DUMMYFUNCTION("""COMPUTED_VALUE"""),"Sosa Leandra")</f>
        <v>Sosa Leandra</v>
      </c>
      <c r="D1644" s="1" t="str">
        <f>IFERROR(__xludf.DUMMYFUNCTION("""COMPUTED_VALUE"""),"Lentes de STOCK")</f>
        <v>Lentes de STOCK</v>
      </c>
      <c r="E1644" s="1" t="str">
        <f>IFERROR(__xludf.DUMMYFUNCTION("""COMPUTED_VALUE"""),"ARTIGAS Roció")</f>
        <v>ARTIGAS Roció</v>
      </c>
      <c r="F1644" s="1" t="str">
        <f t="shared" si="1"/>
        <v>ARTIGAS </v>
      </c>
      <c r="G1644" s="1" t="str">
        <f t="shared" si="2"/>
        <v>Roció</v>
      </c>
      <c r="H1644" s="1" t="str">
        <f>IFERROR(__xludf.DUMMYFUNCTION("""COMPUTED_VALUE"""),"13/2/2023, 17:00:00")</f>
        <v>13/2/2023, 17:00:00</v>
      </c>
      <c r="I1644" s="1" t="str">
        <f>IFERROR(__xludf.DUMMYFUNCTION("""COMPUTED_VALUE"""),"RETIRADO OK POR CLIENTE")</f>
        <v>RETIRADO OK POR CLIENTE</v>
      </c>
      <c r="J1644" s="1">
        <f t="shared" si="3"/>
        <v>6</v>
      </c>
      <c r="K1644" s="1" t="str">
        <f t="shared" si="4"/>
        <v>Entregamos tus lentes, que los disfrutes!</v>
      </c>
    </row>
    <row r="1645">
      <c r="A1645" s="1">
        <f>IFERROR(__xludf.DUMMYFUNCTION("""COMPUTED_VALUE"""),86195.0)</f>
        <v>86195</v>
      </c>
      <c r="B1645" s="5">
        <f>IFERROR(__xludf.DUMMYFUNCTION("""COMPUTED_VALUE"""),44964.468065127316)</f>
        <v>44964.46807</v>
      </c>
      <c r="C1645" s="1" t="str">
        <f>IFERROR(__xludf.DUMMYFUNCTION("""COMPUTED_VALUE"""),"MATTUZ MATILDE ")</f>
        <v>MATTUZ MATILDE </v>
      </c>
      <c r="D1645" s="1" t="str">
        <f>IFERROR(__xludf.DUMMYFUNCTION("""COMPUTED_VALUE"""),"Lentes de STOCK")</f>
        <v>Lentes de STOCK</v>
      </c>
      <c r="E1645" s="1" t="str">
        <f>IFERROR(__xludf.DUMMYFUNCTION("""COMPUTED_VALUE"""),"RIVADAVIA Luciana")</f>
        <v>RIVADAVIA Luciana</v>
      </c>
      <c r="F1645" s="1" t="str">
        <f t="shared" si="1"/>
        <v>RIVADAVIA </v>
      </c>
      <c r="G1645" s="1" t="str">
        <f t="shared" si="2"/>
        <v>Luciana</v>
      </c>
      <c r="H1645" s="1" t="str">
        <f>IFERROR(__xludf.DUMMYFUNCTION("""COMPUTED_VALUE"""),"13/2/2023, 17:00:00")</f>
        <v>13/2/2023, 17:00:00</v>
      </c>
      <c r="I1645" s="1" t="str">
        <f>IFERROR(__xludf.DUMMYFUNCTION("""COMPUTED_VALUE"""),"RETIRADO OK POR CLIENTE")</f>
        <v>RETIRADO OK POR CLIENTE</v>
      </c>
      <c r="J1645" s="1">
        <f t="shared" si="3"/>
        <v>6</v>
      </c>
      <c r="K1645" s="1" t="str">
        <f t="shared" si="4"/>
        <v>Entregamos tus lentes, que los disfrutes!</v>
      </c>
    </row>
    <row r="1646">
      <c r="A1646" s="1">
        <f>IFERROR(__xludf.DUMMYFUNCTION("""COMPUTED_VALUE"""),86196.0)</f>
        <v>86196</v>
      </c>
      <c r="B1646" s="5">
        <f>IFERROR(__xludf.DUMMYFUNCTION("""COMPUTED_VALUE"""),44964.46893891203)</f>
        <v>44964.46894</v>
      </c>
      <c r="C1646" s="1" t="str">
        <f>IFERROR(__xludf.DUMMYFUNCTION("""COMPUTED_VALUE"""),"CARDETTI MARIA BELEN")</f>
        <v>CARDETTI MARIA BELEN</v>
      </c>
      <c r="D1646" s="1" t="str">
        <f>IFERROR(__xludf.DUMMYFUNCTION("""COMPUTED_VALUE"""),"Lentes de STOCK")</f>
        <v>Lentes de STOCK</v>
      </c>
      <c r="E1646" s="1" t="str">
        <f>IFERROR(__xludf.DUMMYFUNCTION("""COMPUTED_VALUE"""),"RIVADAVIA Marcela L")</f>
        <v>RIVADAVIA Marcela L</v>
      </c>
      <c r="F1646" s="1" t="str">
        <f t="shared" si="1"/>
        <v>RIVADAVIA </v>
      </c>
      <c r="G1646" s="1" t="str">
        <f t="shared" si="2"/>
        <v>Marcela L</v>
      </c>
      <c r="H1646" s="1" t="str">
        <f>IFERROR(__xludf.DUMMYFUNCTION("""COMPUTED_VALUE"""),"15/2/2023, 17:00:00")</f>
        <v>15/2/2023, 17:00:00</v>
      </c>
      <c r="I1646" s="1" t="str">
        <f>IFERROR(__xludf.DUMMYFUNCTION("""COMPUTED_VALUE"""),"RETIRADO OK POR CLIENTE")</f>
        <v>RETIRADO OK POR CLIENTE</v>
      </c>
      <c r="J1646" s="1">
        <f t="shared" si="3"/>
        <v>6</v>
      </c>
      <c r="K1646" s="1" t="str">
        <f t="shared" si="4"/>
        <v>Entregamos tus lentes, que los disfrutes!</v>
      </c>
    </row>
    <row r="1647">
      <c r="A1647" s="1">
        <f>IFERROR(__xludf.DUMMYFUNCTION("""COMPUTED_VALUE"""),86197.0)</f>
        <v>86197</v>
      </c>
      <c r="B1647" s="5">
        <f>IFERROR(__xludf.DUMMYFUNCTION("""COMPUTED_VALUE"""),44964.4698360301)</f>
        <v>44964.46984</v>
      </c>
      <c r="C1647" s="1" t="str">
        <f>IFERROR(__xludf.DUMMYFUNCTION("""COMPUTED_VALUE"""),"test")</f>
        <v>test</v>
      </c>
      <c r="D1647" s="1" t="str">
        <f>IFERROR(__xludf.DUMMYFUNCTION("""COMPUTED_VALUE"""),"Reparaciones/Otros")</f>
        <v>Reparaciones/Otros</v>
      </c>
      <c r="E1647" s="1" t="str">
        <f>IFERROR(__xludf.DUMMYFUNCTION("""COMPUTED_VALUE"""),"Online ADMIN.")</f>
        <v>Online ADMIN.</v>
      </c>
      <c r="F1647" s="1" t="str">
        <f t="shared" si="1"/>
        <v>Online </v>
      </c>
      <c r="G1647" s="1" t="str">
        <f t="shared" si="2"/>
        <v>ADMIN.</v>
      </c>
      <c r="H1647" s="1" t="str">
        <f>IFERROR(__xludf.DUMMYFUNCTION("""COMPUTED_VALUE"""),"8/2/2023, 17:00:00")</f>
        <v>8/2/2023, 17:00:00</v>
      </c>
      <c r="I1647" s="1"/>
      <c r="J1647" s="1">
        <f t="shared" si="3"/>
        <v>0</v>
      </c>
      <c r="K1647" s="1" t="str">
        <f t="shared" si="4"/>
        <v/>
      </c>
    </row>
    <row r="1648">
      <c r="A1648" s="1">
        <f>IFERROR(__xludf.DUMMYFUNCTION("""COMPUTED_VALUE"""),86198.0)</f>
        <v>86198</v>
      </c>
      <c r="B1648" s="5">
        <f>IFERROR(__xludf.DUMMYFUNCTION("""COMPUTED_VALUE"""),44964.46994627315)</f>
        <v>44964.46995</v>
      </c>
      <c r="C1648" s="1" t="str">
        <f>IFERROR(__xludf.DUMMYFUNCTION("""COMPUTED_VALUE"""),"LANOS SERGIO")</f>
        <v>LANOS SERGIO</v>
      </c>
      <c r="D1648" s="1" t="str">
        <f>IFERROR(__xludf.DUMMYFUNCTION("""COMPUTED_VALUE"""),"Lentes de STOCK")</f>
        <v>Lentes de STOCK</v>
      </c>
      <c r="E1648" s="1" t="str">
        <f>IFERROR(__xludf.DUMMYFUNCTION("""COMPUTED_VALUE"""),"RIVADAVIA Daniel CM")</f>
        <v>RIVADAVIA Daniel CM</v>
      </c>
      <c r="F1648" s="1" t="str">
        <f t="shared" si="1"/>
        <v>RIVADAVIA </v>
      </c>
      <c r="G1648" s="1" t="str">
        <f t="shared" si="2"/>
        <v>Daniel CM</v>
      </c>
      <c r="H1648" s="1" t="str">
        <f>IFERROR(__xludf.DUMMYFUNCTION("""COMPUTED_VALUE"""),"9/2/2023, 17:00:00")</f>
        <v>9/2/2023, 17:00:00</v>
      </c>
      <c r="I1648" s="1" t="str">
        <f>IFERROR(__xludf.DUMMYFUNCTION("""COMPUTED_VALUE"""),"RETIRADO OK POR CLIENTE")</f>
        <v>RETIRADO OK POR CLIENTE</v>
      </c>
      <c r="J1648" s="1">
        <f t="shared" si="3"/>
        <v>6</v>
      </c>
      <c r="K1648" s="1" t="str">
        <f t="shared" si="4"/>
        <v>Entregamos tus lentes, que los disfrutes!</v>
      </c>
    </row>
    <row r="1649">
      <c r="A1649" s="1">
        <f>IFERROR(__xludf.DUMMYFUNCTION("""COMPUTED_VALUE"""),86199.0)</f>
        <v>86199</v>
      </c>
      <c r="B1649" s="5">
        <f>IFERROR(__xludf.DUMMYFUNCTION("""COMPUTED_VALUE"""),44964.47107724537)</f>
        <v>44964.47108</v>
      </c>
      <c r="C1649" s="1" t="str">
        <f>IFERROR(__xludf.DUMMYFUNCTION("""COMPUTED_VALUE"""),"tejerina monica")</f>
        <v>tejerina monica</v>
      </c>
      <c r="D1649" s="1" t="str">
        <f>IFERROR(__xludf.DUMMYFUNCTION("""COMPUTED_VALUE"""),"Lentes de STOCK")</f>
        <v>Lentes de STOCK</v>
      </c>
      <c r="E1649" s="1" t="str">
        <f>IFERROR(__xludf.DUMMYFUNCTION("""COMPUTED_VALUE"""),"RIVADAVIA Santiago N")</f>
        <v>RIVADAVIA Santiago N</v>
      </c>
      <c r="F1649" s="1" t="str">
        <f t="shared" si="1"/>
        <v>RIVADAVIA </v>
      </c>
      <c r="G1649" s="1" t="str">
        <f t="shared" si="2"/>
        <v>Santiago N</v>
      </c>
      <c r="H1649" s="1" t="str">
        <f>IFERROR(__xludf.DUMMYFUNCTION("""COMPUTED_VALUE"""),"13/2/2023, 17:00:00")</f>
        <v>13/2/2023, 17:00:00</v>
      </c>
      <c r="I1649" s="1"/>
      <c r="J1649" s="1">
        <f t="shared" si="3"/>
        <v>0</v>
      </c>
      <c r="K1649" s="1" t="str">
        <f t="shared" si="4"/>
        <v/>
      </c>
    </row>
    <row r="1650">
      <c r="A1650" s="1">
        <f>IFERROR(__xludf.DUMMYFUNCTION("""COMPUTED_VALUE"""),86200.0)</f>
        <v>86200</v>
      </c>
      <c r="B1650" s="5">
        <f>IFERROR(__xludf.DUMMYFUNCTION("""COMPUTED_VALUE"""),44964.47445681713)</f>
        <v>44964.47446</v>
      </c>
      <c r="C1650" s="1" t="str">
        <f>IFERROR(__xludf.DUMMYFUNCTION("""COMPUTED_VALUE"""),"RETAMAL jOSE")</f>
        <v>RETAMAL jOSE</v>
      </c>
      <c r="D1650" s="1" t="str">
        <f>IFERROR(__xludf.DUMMYFUNCTION("""COMPUTED_VALUE"""),"Lentes de STOCK")</f>
        <v>Lentes de STOCK</v>
      </c>
      <c r="E1650" s="1" t="str">
        <f>IFERROR(__xludf.DUMMYFUNCTION("""COMPUTED_VALUE"""),"ARTIGAS Roció")</f>
        <v>ARTIGAS Roció</v>
      </c>
      <c r="F1650" s="1" t="str">
        <f t="shared" si="1"/>
        <v>ARTIGAS </v>
      </c>
      <c r="G1650" s="1" t="str">
        <f t="shared" si="2"/>
        <v>Roció</v>
      </c>
      <c r="H1650" s="1" t="str">
        <f>IFERROR(__xludf.DUMMYFUNCTION("""COMPUTED_VALUE"""),"10/2/2023, 17:00:00")</f>
        <v>10/2/2023, 17:00:00</v>
      </c>
      <c r="I1650" s="1" t="str">
        <f>IFERROR(__xludf.DUMMYFUNCTION("""COMPUTED_VALUE"""),"RETIRADO OK POR CLIENTE")</f>
        <v>RETIRADO OK POR CLIENTE</v>
      </c>
      <c r="J1650" s="1">
        <f t="shared" si="3"/>
        <v>6</v>
      </c>
      <c r="K1650" s="1" t="str">
        <f t="shared" si="4"/>
        <v>Entregamos tus lentes, que los disfrutes!</v>
      </c>
    </row>
    <row r="1651">
      <c r="A1651" s="1">
        <f>IFERROR(__xludf.DUMMYFUNCTION("""COMPUTED_VALUE"""),86201.0)</f>
        <v>86201</v>
      </c>
      <c r="B1651" s="5">
        <f>IFERROR(__xludf.DUMMYFUNCTION("""COMPUTED_VALUE"""),44964.475050497684)</f>
        <v>44964.47505</v>
      </c>
      <c r="C1651" s="1" t="str">
        <f>IFERROR(__xludf.DUMMYFUNCTION("""COMPUTED_VALUE"""),"tejerina monica")</f>
        <v>tejerina monica</v>
      </c>
      <c r="D1651" s="1" t="str">
        <f>IFERROR(__xludf.DUMMYFUNCTION("""COMPUTED_VALUE"""),"Lentes de STOCK")</f>
        <v>Lentes de STOCK</v>
      </c>
      <c r="E1651" s="1" t="str">
        <f>IFERROR(__xludf.DUMMYFUNCTION("""COMPUTED_VALUE"""),"RIVADAVIA Santiago N")</f>
        <v>RIVADAVIA Santiago N</v>
      </c>
      <c r="F1651" s="1" t="str">
        <f t="shared" si="1"/>
        <v>RIVADAVIA </v>
      </c>
      <c r="G1651" s="1" t="str">
        <f t="shared" si="2"/>
        <v>Santiago N</v>
      </c>
      <c r="H1651" s="1" t="str">
        <f>IFERROR(__xludf.DUMMYFUNCTION("""COMPUTED_VALUE"""),"10/2/2023, 17:00:00")</f>
        <v>10/2/2023, 17:00:00</v>
      </c>
      <c r="I1651" s="1" t="str">
        <f>IFERROR(__xludf.DUMMYFUNCTION("""COMPUTED_VALUE"""),"RETIRADO OK POR CLIENTE")</f>
        <v>RETIRADO OK POR CLIENTE</v>
      </c>
      <c r="J1651" s="1">
        <f t="shared" si="3"/>
        <v>6</v>
      </c>
      <c r="K1651" s="1" t="str">
        <f t="shared" si="4"/>
        <v>Entregamos tus lentes, que los disfrutes!</v>
      </c>
    </row>
    <row r="1652">
      <c r="A1652" s="1">
        <f>IFERROR(__xludf.DUMMYFUNCTION("""COMPUTED_VALUE"""),86202.0)</f>
        <v>86202</v>
      </c>
      <c r="B1652" s="5">
        <f>IFERROR(__xludf.DUMMYFUNCTION("""COMPUTED_VALUE"""),44964.47616392361)</f>
        <v>44964.47616</v>
      </c>
      <c r="C1652" s="1" t="str">
        <f>IFERROR(__xludf.DUMMYFUNCTION("""COMPUTED_VALUE"""),"pedernera ramona")</f>
        <v>pedernera ramona</v>
      </c>
      <c r="D1652" s="1" t="str">
        <f>IFERROR(__xludf.DUMMYFUNCTION("""COMPUTED_VALUE"""),"Lentes de STOCK")</f>
        <v>Lentes de STOCK</v>
      </c>
      <c r="E1652" s="1" t="str">
        <f>IFERROR(__xludf.DUMMYFUNCTION("""COMPUTED_VALUE"""),"RIVADAVIA Santiago N")</f>
        <v>RIVADAVIA Santiago N</v>
      </c>
      <c r="F1652" s="1" t="str">
        <f t="shared" si="1"/>
        <v>RIVADAVIA </v>
      </c>
      <c r="G1652" s="1" t="str">
        <f t="shared" si="2"/>
        <v>Santiago N</v>
      </c>
      <c r="H1652" s="1" t="str">
        <f>IFERROR(__xludf.DUMMYFUNCTION("""COMPUTED_VALUE"""),"10/2/2023, 17:00:00")</f>
        <v>10/2/2023, 17:00:00</v>
      </c>
      <c r="I1652" s="1" t="str">
        <f>IFERROR(__xludf.DUMMYFUNCTION("""COMPUTED_VALUE"""),"RETIRADO OK POR CLIENTE")</f>
        <v>RETIRADO OK POR CLIENTE</v>
      </c>
      <c r="J1652" s="1">
        <f t="shared" si="3"/>
        <v>6</v>
      </c>
      <c r="K1652" s="1" t="str">
        <f t="shared" si="4"/>
        <v>Entregamos tus lentes, que los disfrutes!</v>
      </c>
    </row>
    <row r="1653">
      <c r="A1653" s="1">
        <f>IFERROR(__xludf.DUMMYFUNCTION("""COMPUTED_VALUE"""),86203.0)</f>
        <v>86203</v>
      </c>
      <c r="B1653" s="5">
        <f>IFERROR(__xludf.DUMMYFUNCTION("""COMPUTED_VALUE"""),44964.47855108796)</f>
        <v>44964.47855</v>
      </c>
      <c r="C1653" s="1" t="str">
        <f>IFERROR(__xludf.DUMMYFUNCTION("""COMPUTED_VALUE"""),"MASJOAN GABRIELA ")</f>
        <v>MASJOAN GABRIELA </v>
      </c>
      <c r="D1653" s="1" t="str">
        <f>IFERROR(__xludf.DUMMYFUNCTION("""COMPUTED_VALUE"""),"Lentes de STOCK")</f>
        <v>Lentes de STOCK</v>
      </c>
      <c r="E1653" s="1" t="str">
        <f>IFERROR(__xludf.DUMMYFUNCTION("""COMPUTED_VALUE"""),"RIVADAVIA Luciana")</f>
        <v>RIVADAVIA Luciana</v>
      </c>
      <c r="F1653" s="1" t="str">
        <f t="shared" si="1"/>
        <v>RIVADAVIA </v>
      </c>
      <c r="G1653" s="1" t="str">
        <f t="shared" si="2"/>
        <v>Luciana</v>
      </c>
      <c r="H1653" s="1" t="str">
        <f>IFERROR(__xludf.DUMMYFUNCTION("""COMPUTED_VALUE"""),"10/2/2023, 17:00:00")</f>
        <v>10/2/2023, 17:00:00</v>
      </c>
      <c r="I1653" s="1" t="str">
        <f>IFERROR(__xludf.DUMMYFUNCTION("""COMPUTED_VALUE"""),"RETIRADO OK POR CLIENTE")</f>
        <v>RETIRADO OK POR CLIENTE</v>
      </c>
      <c r="J1653" s="1">
        <f t="shared" si="3"/>
        <v>6</v>
      </c>
      <c r="K1653" s="1" t="str">
        <f t="shared" si="4"/>
        <v>Entregamos tus lentes, que los disfrutes!</v>
      </c>
    </row>
    <row r="1654">
      <c r="A1654" s="1">
        <f>IFERROR(__xludf.DUMMYFUNCTION("""COMPUTED_VALUE"""),86204.0)</f>
        <v>86204</v>
      </c>
      <c r="B1654" s="5">
        <f>IFERROR(__xludf.DUMMYFUNCTION("""COMPUTED_VALUE"""),44964.47894980324)</f>
        <v>44964.47895</v>
      </c>
      <c r="C1654" s="1" t="str">
        <f>IFERROR(__xludf.DUMMYFUNCTION("""COMPUTED_VALUE"""),"TORRES ALMA LUJAN")</f>
        <v>TORRES ALMA LUJAN</v>
      </c>
      <c r="D1654" s="1" t="str">
        <f>IFERROR(__xludf.DUMMYFUNCTION("""COMPUTED_VALUE"""),"Lentes de STOCK")</f>
        <v>Lentes de STOCK</v>
      </c>
      <c r="E1654" s="1" t="str">
        <f>IFERROR(__xludf.DUMMYFUNCTION("""COMPUTED_VALUE"""),"RIVADAVIA Santiago N")</f>
        <v>RIVADAVIA Santiago N</v>
      </c>
      <c r="F1654" s="1" t="str">
        <f t="shared" si="1"/>
        <v>RIVADAVIA </v>
      </c>
      <c r="G1654" s="1" t="str">
        <f t="shared" si="2"/>
        <v>Santiago N</v>
      </c>
      <c r="H1654" s="1" t="str">
        <f>IFERROR(__xludf.DUMMYFUNCTION("""COMPUTED_VALUE"""),"10/2/2023, 17:00:00")</f>
        <v>10/2/2023, 17:00:00</v>
      </c>
      <c r="I1654" s="1" t="str">
        <f>IFERROR(__xludf.DUMMYFUNCTION("""COMPUTED_VALUE"""),"RETIRADO OK POR CLIENTE")</f>
        <v>RETIRADO OK POR CLIENTE</v>
      </c>
      <c r="J1654" s="1">
        <f t="shared" si="3"/>
        <v>6</v>
      </c>
      <c r="K1654" s="1" t="str">
        <f t="shared" si="4"/>
        <v>Entregamos tus lentes, que los disfrutes!</v>
      </c>
    </row>
    <row r="1655">
      <c r="A1655" s="1">
        <f>IFERROR(__xludf.DUMMYFUNCTION("""COMPUTED_VALUE"""),86205.0)</f>
        <v>86205</v>
      </c>
      <c r="B1655" s="5">
        <f>IFERROR(__xludf.DUMMYFUNCTION("""COMPUTED_VALUE"""),44964.48224887731)</f>
        <v>44964.48225</v>
      </c>
      <c r="C1655" s="1" t="str">
        <f>IFERROR(__xludf.DUMMYFUNCTION("""COMPUTED_VALUE"""),"pereira ramir")</f>
        <v>pereira ramir</v>
      </c>
      <c r="D1655" s="1" t="str">
        <f>IFERROR(__xludf.DUMMYFUNCTION("""COMPUTED_VALUE"""),"Reparaciones/Otros")</f>
        <v>Reparaciones/Otros</v>
      </c>
      <c r="E1655" s="1" t="str">
        <f>IFERROR(__xludf.DUMMYFUNCTION("""COMPUTED_VALUE"""),"RIVADAVIA Daniel CM")</f>
        <v>RIVADAVIA Daniel CM</v>
      </c>
      <c r="F1655" s="1" t="str">
        <f t="shared" si="1"/>
        <v>RIVADAVIA </v>
      </c>
      <c r="G1655" s="1" t="str">
        <f t="shared" si="2"/>
        <v>Daniel CM</v>
      </c>
      <c r="H1655" s="1" t="str">
        <f>IFERROR(__xludf.DUMMYFUNCTION("""COMPUTED_VALUE"""),"8/2/2023, 17:00:00")</f>
        <v>8/2/2023, 17:00:00</v>
      </c>
      <c r="I1655" s="1"/>
      <c r="J1655" s="1">
        <f t="shared" si="3"/>
        <v>0</v>
      </c>
      <c r="K1655" s="1" t="str">
        <f t="shared" si="4"/>
        <v/>
      </c>
    </row>
    <row r="1656">
      <c r="A1656" s="1">
        <f>IFERROR(__xludf.DUMMYFUNCTION("""COMPUTED_VALUE"""),86206.0)</f>
        <v>86206</v>
      </c>
      <c r="B1656" s="5">
        <f>IFERROR(__xludf.DUMMYFUNCTION("""COMPUTED_VALUE"""),44964.484674340274)</f>
        <v>44964.48467</v>
      </c>
      <c r="C1656" s="1" t="str">
        <f>IFERROR(__xludf.DUMMYFUNCTION("""COMPUTED_VALUE"""),"Piñeiro Yanina")</f>
        <v>Piñeiro Yanina</v>
      </c>
      <c r="D1656" s="1" t="str">
        <f>IFERROR(__xludf.DUMMYFUNCTION("""COMPUTED_VALUE"""),"Lentes de LABORATORIO")</f>
        <v>Lentes de LABORATORIO</v>
      </c>
      <c r="E1656" s="1" t="str">
        <f>IFERROR(__xludf.DUMMYFUNCTION("""COMPUTED_VALUE"""),"ARTIGAS Roció")</f>
        <v>ARTIGAS Roció</v>
      </c>
      <c r="F1656" s="1" t="str">
        <f t="shared" si="1"/>
        <v>ARTIGAS </v>
      </c>
      <c r="G1656" s="1" t="str">
        <f t="shared" si="2"/>
        <v>Roció</v>
      </c>
      <c r="H1656" s="1" t="str">
        <f>IFERROR(__xludf.DUMMYFUNCTION("""COMPUTED_VALUE"""),"27/2/2023, 17:00:00")</f>
        <v>27/2/2023, 17:00:00</v>
      </c>
      <c r="I1656" s="1" t="str">
        <f>IFERROR(__xludf.DUMMYFUNCTION("""COMPUTED_VALUE"""),"RETIRADO OK POR CLIENTE")</f>
        <v>RETIRADO OK POR CLIENTE</v>
      </c>
      <c r="J1656" s="1">
        <f t="shared" si="3"/>
        <v>6</v>
      </c>
      <c r="K1656" s="1" t="str">
        <f t="shared" si="4"/>
        <v>Entregamos tus lentes, que los disfrutes!</v>
      </c>
    </row>
    <row r="1657">
      <c r="A1657" s="1">
        <f>IFERROR(__xludf.DUMMYFUNCTION("""COMPUTED_VALUE"""),86207.0)</f>
        <v>86207</v>
      </c>
      <c r="B1657" s="5">
        <f>IFERROR(__xludf.DUMMYFUNCTION("""COMPUTED_VALUE"""),44964.48508049769)</f>
        <v>44964.48508</v>
      </c>
      <c r="C1657" s="1" t="str">
        <f>IFERROR(__xludf.DUMMYFUNCTION("""COMPUTED_VALUE"""),"SALAZAR LUCIANA")</f>
        <v>SALAZAR LUCIANA</v>
      </c>
      <c r="D1657" s="1" t="str">
        <f>IFERROR(__xludf.DUMMYFUNCTION("""COMPUTED_VALUE"""),"Lentes de STOCK")</f>
        <v>Lentes de STOCK</v>
      </c>
      <c r="E1657" s="1" t="str">
        <f>IFERROR(__xludf.DUMMYFUNCTION("""COMPUTED_VALUE"""),"ARTIGAS Cristian C.")</f>
        <v>ARTIGAS Cristian C.</v>
      </c>
      <c r="F1657" s="1" t="str">
        <f t="shared" si="1"/>
        <v>ARTIGAS </v>
      </c>
      <c r="G1657" s="1" t="str">
        <f t="shared" si="2"/>
        <v>Cristian C.</v>
      </c>
      <c r="H1657" s="1" t="str">
        <f>IFERROR(__xludf.DUMMYFUNCTION("""COMPUTED_VALUE"""),"10/2/2023, 17:00:00")</f>
        <v>10/2/2023, 17:00:00</v>
      </c>
      <c r="I1657" s="1" t="str">
        <f>IFERROR(__xludf.DUMMYFUNCTION("""COMPUTED_VALUE"""),"RETIRADO OK POR CLIENTE")</f>
        <v>RETIRADO OK POR CLIENTE</v>
      </c>
      <c r="J1657" s="1">
        <f t="shared" si="3"/>
        <v>6</v>
      </c>
      <c r="K1657" s="1" t="str">
        <f t="shared" si="4"/>
        <v>Entregamos tus lentes, que los disfrutes!</v>
      </c>
    </row>
    <row r="1658">
      <c r="A1658" s="1">
        <f>IFERROR(__xludf.DUMMYFUNCTION("""COMPUTED_VALUE"""),86208.0)</f>
        <v>86208</v>
      </c>
      <c r="B1658" s="5">
        <f>IFERROR(__xludf.DUMMYFUNCTION("""COMPUTED_VALUE"""),44964.485140868055)</f>
        <v>44964.48514</v>
      </c>
      <c r="C1658" s="1" t="str">
        <f>IFERROR(__xludf.DUMMYFUNCTION("""COMPUTED_VALUE"""),"SALAZAR LUCIANA")</f>
        <v>SALAZAR LUCIANA</v>
      </c>
      <c r="D1658" s="1" t="str">
        <f>IFERROR(__xludf.DUMMYFUNCTION("""COMPUTED_VALUE"""),"Lentes de STOCK")</f>
        <v>Lentes de STOCK</v>
      </c>
      <c r="E1658" s="1" t="str">
        <f>IFERROR(__xludf.DUMMYFUNCTION("""COMPUTED_VALUE"""),"ARTIGAS Cristian C.")</f>
        <v>ARTIGAS Cristian C.</v>
      </c>
      <c r="F1658" s="1" t="str">
        <f t="shared" si="1"/>
        <v>ARTIGAS </v>
      </c>
      <c r="G1658" s="1" t="str">
        <f t="shared" si="2"/>
        <v>Cristian C.</v>
      </c>
      <c r="H1658" s="1" t="str">
        <f>IFERROR(__xludf.DUMMYFUNCTION("""COMPUTED_VALUE"""),"15/2/2023, 17:00:00")</f>
        <v>15/2/2023, 17:00:00</v>
      </c>
      <c r="I1658" s="1" t="str">
        <f>IFERROR(__xludf.DUMMYFUNCTION("""COMPUTED_VALUE"""),"RETIRADO OK POR CLIENTE")</f>
        <v>RETIRADO OK POR CLIENTE</v>
      </c>
      <c r="J1658" s="1">
        <f t="shared" si="3"/>
        <v>6</v>
      </c>
      <c r="K1658" s="1" t="str">
        <f t="shared" si="4"/>
        <v>Entregamos tus lentes, que los disfrutes!</v>
      </c>
    </row>
    <row r="1659">
      <c r="A1659" s="1">
        <f>IFERROR(__xludf.DUMMYFUNCTION("""COMPUTED_VALUE"""),86209.0)</f>
        <v>86209</v>
      </c>
      <c r="B1659" s="5">
        <f>IFERROR(__xludf.DUMMYFUNCTION("""COMPUTED_VALUE"""),44964.48658069444)</f>
        <v>44964.48658</v>
      </c>
      <c r="C1659" s="1" t="str">
        <f>IFERROR(__xludf.DUMMYFUNCTION("""COMPUTED_VALUE"""),"casimo nicolas")</f>
        <v>casimo nicolas</v>
      </c>
      <c r="D1659" s="1" t="str">
        <f>IFERROR(__xludf.DUMMYFUNCTION("""COMPUTED_VALUE"""),"Lentes de STOCK")</f>
        <v>Lentes de STOCK</v>
      </c>
      <c r="E1659" s="1" t="str">
        <f>IFERROR(__xludf.DUMMYFUNCTION("""COMPUTED_VALUE"""),"RIVADAVIA Santiago N")</f>
        <v>RIVADAVIA Santiago N</v>
      </c>
      <c r="F1659" s="1" t="str">
        <f t="shared" si="1"/>
        <v>RIVADAVIA </v>
      </c>
      <c r="G1659" s="1" t="str">
        <f t="shared" si="2"/>
        <v>Santiago N</v>
      </c>
      <c r="H1659" s="1" t="str">
        <f>IFERROR(__xludf.DUMMYFUNCTION("""COMPUTED_VALUE"""),"9/2/2023, 17:00:00")</f>
        <v>9/2/2023, 17:00:00</v>
      </c>
      <c r="I1659" s="1" t="str">
        <f>IFERROR(__xludf.DUMMYFUNCTION("""COMPUTED_VALUE"""),"RETIRADO OK POR CLIENTE")</f>
        <v>RETIRADO OK POR CLIENTE</v>
      </c>
      <c r="J1659" s="1">
        <f t="shared" si="3"/>
        <v>6</v>
      </c>
      <c r="K1659" s="1" t="str">
        <f t="shared" si="4"/>
        <v>Entregamos tus lentes, que los disfrutes!</v>
      </c>
    </row>
    <row r="1660">
      <c r="A1660" s="1">
        <f>IFERROR(__xludf.DUMMYFUNCTION("""COMPUTED_VALUE"""),86210.0)</f>
        <v>86210</v>
      </c>
      <c r="B1660" s="5">
        <f>IFERROR(__xludf.DUMMYFUNCTION("""COMPUTED_VALUE"""),44964.49523314815)</f>
        <v>44964.49523</v>
      </c>
      <c r="C1660" s="1" t="str">
        <f>IFERROR(__xludf.DUMMYFUNCTION("""COMPUTED_VALUE"""),"RODRIGUEZ PAULA")</f>
        <v>RODRIGUEZ PAULA</v>
      </c>
      <c r="D1660" s="1" t="str">
        <f>IFERROR(__xludf.DUMMYFUNCTION("""COMPUTED_VALUE"""),"Lentes de STOCK")</f>
        <v>Lentes de STOCK</v>
      </c>
      <c r="E1660" s="1" t="str">
        <f>IFERROR(__xludf.DUMMYFUNCTION("""COMPUTED_VALUE"""),"RIVADAVIA Luciana")</f>
        <v>RIVADAVIA Luciana</v>
      </c>
      <c r="F1660" s="1" t="str">
        <f t="shared" si="1"/>
        <v>RIVADAVIA </v>
      </c>
      <c r="G1660" s="1" t="str">
        <f t="shared" si="2"/>
        <v>Luciana</v>
      </c>
      <c r="H1660" s="1" t="str">
        <f>IFERROR(__xludf.DUMMYFUNCTION("""COMPUTED_VALUE"""),"10/2/2023, 17:00:00")</f>
        <v>10/2/2023, 17:00:00</v>
      </c>
      <c r="I1660" s="1" t="str">
        <f>IFERROR(__xludf.DUMMYFUNCTION("""COMPUTED_VALUE"""),"RETIRADO OK POR CLIENTE")</f>
        <v>RETIRADO OK POR CLIENTE</v>
      </c>
      <c r="J1660" s="1">
        <f t="shared" si="3"/>
        <v>6</v>
      </c>
      <c r="K1660" s="1" t="str">
        <f t="shared" si="4"/>
        <v>Entregamos tus lentes, que los disfrutes!</v>
      </c>
    </row>
    <row r="1661">
      <c r="A1661" s="1">
        <f>IFERROR(__xludf.DUMMYFUNCTION("""COMPUTED_VALUE"""),86211.0)</f>
        <v>86211</v>
      </c>
      <c r="B1661" s="5">
        <f>IFERROR(__xludf.DUMMYFUNCTION("""COMPUTED_VALUE"""),44964.498093912036)</f>
        <v>44964.49809</v>
      </c>
      <c r="C1661" s="1" t="str">
        <f>IFERROR(__xludf.DUMMYFUNCTION("""COMPUTED_VALUE"""),"SOSA FATIMA ALEXDRA")</f>
        <v>SOSA FATIMA ALEXDRA</v>
      </c>
      <c r="D1661" s="1" t="str">
        <f>IFERROR(__xludf.DUMMYFUNCTION("""COMPUTED_VALUE"""),"Lentes de STOCK")</f>
        <v>Lentes de STOCK</v>
      </c>
      <c r="E1661" s="1" t="str">
        <f>IFERROR(__xludf.DUMMYFUNCTION("""COMPUTED_VALUE"""),"ARTIGAS Cristian C.")</f>
        <v>ARTIGAS Cristian C.</v>
      </c>
      <c r="F1661" s="1" t="str">
        <f t="shared" si="1"/>
        <v>ARTIGAS </v>
      </c>
      <c r="G1661" s="1" t="str">
        <f t="shared" si="2"/>
        <v>Cristian C.</v>
      </c>
      <c r="H1661" s="1" t="str">
        <f>IFERROR(__xludf.DUMMYFUNCTION("""COMPUTED_VALUE"""),"15/2/2023, 17:00:00")</f>
        <v>15/2/2023, 17:00:00</v>
      </c>
      <c r="I1661" s="1" t="str">
        <f>IFERROR(__xludf.DUMMYFUNCTION("""COMPUTED_VALUE"""),"RETIRADO OK POR CLIENTE")</f>
        <v>RETIRADO OK POR CLIENTE</v>
      </c>
      <c r="J1661" s="1">
        <f t="shared" si="3"/>
        <v>6</v>
      </c>
      <c r="K1661" s="1" t="str">
        <f t="shared" si="4"/>
        <v>Entregamos tus lentes, que los disfrutes!</v>
      </c>
    </row>
    <row r="1662">
      <c r="A1662" s="1">
        <f>IFERROR(__xludf.DUMMYFUNCTION("""COMPUTED_VALUE"""),86212.0)</f>
        <v>86212</v>
      </c>
      <c r="B1662" s="5">
        <f>IFERROR(__xludf.DUMMYFUNCTION("""COMPUTED_VALUE"""),44964.499778495374)</f>
        <v>44964.49978</v>
      </c>
      <c r="C1662" s="1" t="str">
        <f>IFERROR(__xludf.DUMMYFUNCTION("""COMPUTED_VALUE"""),"carlini jose")</f>
        <v>carlini jose</v>
      </c>
      <c r="D1662" s="1" t="str">
        <f>IFERROR(__xludf.DUMMYFUNCTION("""COMPUTED_VALUE"""),"Lentes de STOCK")</f>
        <v>Lentes de STOCK</v>
      </c>
      <c r="E1662" s="1" t="str">
        <f>IFERROR(__xludf.DUMMYFUNCTION("""COMPUTED_VALUE"""),"RIVADAVIA Santiago N")</f>
        <v>RIVADAVIA Santiago N</v>
      </c>
      <c r="F1662" s="1" t="str">
        <f t="shared" si="1"/>
        <v>RIVADAVIA </v>
      </c>
      <c r="G1662" s="1" t="str">
        <f t="shared" si="2"/>
        <v>Santiago N</v>
      </c>
      <c r="H1662" s="1" t="str">
        <f>IFERROR(__xludf.DUMMYFUNCTION("""COMPUTED_VALUE"""),"9/2/2023, 17:00:00")</f>
        <v>9/2/2023, 17:00:00</v>
      </c>
      <c r="I1662" s="1" t="str">
        <f>IFERROR(__xludf.DUMMYFUNCTION("""COMPUTED_VALUE"""),"RETIRADO OK POR CLIENTE")</f>
        <v>RETIRADO OK POR CLIENTE</v>
      </c>
      <c r="J1662" s="1">
        <f t="shared" si="3"/>
        <v>6</v>
      </c>
      <c r="K1662" s="1" t="str">
        <f t="shared" si="4"/>
        <v>Entregamos tus lentes, que los disfrutes!</v>
      </c>
    </row>
    <row r="1663">
      <c r="A1663" s="1">
        <f>IFERROR(__xludf.DUMMYFUNCTION("""COMPUTED_VALUE"""),86213.0)</f>
        <v>86213</v>
      </c>
      <c r="B1663" s="5">
        <f>IFERROR(__xludf.DUMMYFUNCTION("""COMPUTED_VALUE"""),44964.507020335644)</f>
        <v>44964.50702</v>
      </c>
      <c r="C1663" s="1" t="str">
        <f>IFERROR(__xludf.DUMMYFUNCTION("""COMPUTED_VALUE"""),"GONZALEZ NATASHA")</f>
        <v>GONZALEZ NATASHA</v>
      </c>
      <c r="D1663" s="1" t="str">
        <f>IFERROR(__xludf.DUMMYFUNCTION("""COMPUTED_VALUE"""),"Lentes de STOCK")</f>
        <v>Lentes de STOCK</v>
      </c>
      <c r="E1663" s="1" t="str">
        <f>IFERROR(__xludf.DUMMYFUNCTION("""COMPUTED_VALUE"""),"ARTIGAS Cristian C.")</f>
        <v>ARTIGAS Cristian C.</v>
      </c>
      <c r="F1663" s="1" t="str">
        <f t="shared" si="1"/>
        <v>ARTIGAS </v>
      </c>
      <c r="G1663" s="1" t="str">
        <f t="shared" si="2"/>
        <v>Cristian C.</v>
      </c>
      <c r="H1663" s="1" t="str">
        <f>IFERROR(__xludf.DUMMYFUNCTION("""COMPUTED_VALUE"""),"15/2/2023, 17:00:00")</f>
        <v>15/2/2023, 17:00:00</v>
      </c>
      <c r="I1663" s="1" t="str">
        <f>IFERROR(__xludf.DUMMYFUNCTION("""COMPUTED_VALUE"""),"RETIRADO OK POR CLIENTE")</f>
        <v>RETIRADO OK POR CLIENTE</v>
      </c>
      <c r="J1663" s="1">
        <f t="shared" si="3"/>
        <v>6</v>
      </c>
      <c r="K1663" s="1" t="str">
        <f t="shared" si="4"/>
        <v>Entregamos tus lentes, que los disfrutes!</v>
      </c>
    </row>
    <row r="1664">
      <c r="A1664" s="1">
        <f>IFERROR(__xludf.DUMMYFUNCTION("""COMPUTED_VALUE"""),86214.0)</f>
        <v>86214</v>
      </c>
      <c r="B1664" s="5">
        <f>IFERROR(__xludf.DUMMYFUNCTION("""COMPUTED_VALUE"""),44964.533916886576)</f>
        <v>44964.53392</v>
      </c>
      <c r="C1664" s="1" t="str">
        <f>IFERROR(__xludf.DUMMYFUNCTION("""COMPUTED_VALUE"""),"ibañez claudia")</f>
        <v>ibañez claudia</v>
      </c>
      <c r="D1664" s="1" t="str">
        <f>IFERROR(__xludf.DUMMYFUNCTION("""COMPUTED_VALUE"""),"Lentes MULTIFOCALES")</f>
        <v>Lentes MULTIFOCALES</v>
      </c>
      <c r="E1664" s="1" t="str">
        <f>IFERROR(__xludf.DUMMYFUNCTION("""COMPUTED_VALUE"""),"RIVADAVIA Santiago N")</f>
        <v>RIVADAVIA Santiago N</v>
      </c>
      <c r="F1664" s="1" t="str">
        <f t="shared" si="1"/>
        <v>RIVADAVIA </v>
      </c>
      <c r="G1664" s="1" t="str">
        <f t="shared" si="2"/>
        <v>Santiago N</v>
      </c>
      <c r="H1664" s="1" t="str">
        <f>IFERROR(__xludf.DUMMYFUNCTION("""COMPUTED_VALUE"""),"22/2/2023, 17:00:00")</f>
        <v>22/2/2023, 17:00:00</v>
      </c>
      <c r="I1664" s="1" t="str">
        <f>IFERROR(__xludf.DUMMYFUNCTION("""COMPUTED_VALUE"""),"RETIRADO OK POR CLIENTE")</f>
        <v>RETIRADO OK POR CLIENTE</v>
      </c>
      <c r="J1664" s="1">
        <f t="shared" si="3"/>
        <v>6</v>
      </c>
      <c r="K1664" s="1" t="str">
        <f t="shared" si="4"/>
        <v>Entregamos tus lentes, que los disfrutes!</v>
      </c>
    </row>
    <row r="1665">
      <c r="A1665" s="1">
        <f>IFERROR(__xludf.DUMMYFUNCTION("""COMPUTED_VALUE"""),86215.0)</f>
        <v>86215</v>
      </c>
      <c r="B1665" s="5">
        <f>IFERROR(__xludf.DUMMYFUNCTION("""COMPUTED_VALUE"""),44964.53904423611)</f>
        <v>44964.53904</v>
      </c>
      <c r="C1665" s="1" t="str">
        <f>IFERROR(__xludf.DUMMYFUNCTION("""COMPUTED_VALUE"""),"LOPEZ HERNAN")</f>
        <v>LOPEZ HERNAN</v>
      </c>
      <c r="D1665" s="1" t="str">
        <f>IFERROR(__xludf.DUMMYFUNCTION("""COMPUTED_VALUE"""),"Lentes de STOCK")</f>
        <v>Lentes de STOCK</v>
      </c>
      <c r="E1665" s="1" t="str">
        <f>IFERROR(__xludf.DUMMYFUNCTION("""COMPUTED_VALUE"""),"RIVADAVIA Daniel CM")</f>
        <v>RIVADAVIA Daniel CM</v>
      </c>
      <c r="F1665" s="1" t="str">
        <f t="shared" si="1"/>
        <v>RIVADAVIA </v>
      </c>
      <c r="G1665" s="1" t="str">
        <f t="shared" si="2"/>
        <v>Daniel CM</v>
      </c>
      <c r="H1665" s="1" t="str">
        <f>IFERROR(__xludf.DUMMYFUNCTION("""COMPUTED_VALUE"""),"10/2/2023, 17:00:00")</f>
        <v>10/2/2023, 17:00:00</v>
      </c>
      <c r="I1665" s="1" t="str">
        <f>IFERROR(__xludf.DUMMYFUNCTION("""COMPUTED_VALUE"""),"RETIRADO OK POR CLIENTE")</f>
        <v>RETIRADO OK POR CLIENTE</v>
      </c>
      <c r="J1665" s="1">
        <f t="shared" si="3"/>
        <v>6</v>
      </c>
      <c r="K1665" s="1" t="str">
        <f t="shared" si="4"/>
        <v>Entregamos tus lentes, que los disfrutes!</v>
      </c>
    </row>
    <row r="1666">
      <c r="A1666" s="1">
        <f>IFERROR(__xludf.DUMMYFUNCTION("""COMPUTED_VALUE"""),86216.0)</f>
        <v>86216</v>
      </c>
      <c r="B1666" s="5">
        <f>IFERROR(__xludf.DUMMYFUNCTION("""COMPUTED_VALUE"""),44964.53952277778)</f>
        <v>44964.53952</v>
      </c>
      <c r="C1666" s="1" t="str">
        <f>IFERROR(__xludf.DUMMYFUNCTION("""COMPUTED_VALUE"""),"AZCURRA JORGE LUIS")</f>
        <v>AZCURRA JORGE LUIS</v>
      </c>
      <c r="D1666" s="1" t="str">
        <f>IFERROR(__xludf.DUMMYFUNCTION("""COMPUTED_VALUE"""),"Lentes MULTIFOCALES")</f>
        <v>Lentes MULTIFOCALES</v>
      </c>
      <c r="E1666" s="1" t="str">
        <f>IFERROR(__xludf.DUMMYFUNCTION("""COMPUTED_VALUE"""),"RIVADAVIA Marcela L")</f>
        <v>RIVADAVIA Marcela L</v>
      </c>
      <c r="F1666" s="1" t="str">
        <f t="shared" si="1"/>
        <v>RIVADAVIA </v>
      </c>
      <c r="G1666" s="1" t="str">
        <f t="shared" si="2"/>
        <v>Marcela L</v>
      </c>
      <c r="H1666" s="1" t="str">
        <f>IFERROR(__xludf.DUMMYFUNCTION("""COMPUTED_VALUE"""),"24/2/2023, 17:00:00")</f>
        <v>24/2/2023, 17:00:00</v>
      </c>
      <c r="I1666" s="1" t="str">
        <f>IFERROR(__xludf.DUMMYFUNCTION("""COMPUTED_VALUE"""),"RETIRADO OK POR CLIENTE")</f>
        <v>RETIRADO OK POR CLIENTE</v>
      </c>
      <c r="J1666" s="1">
        <f t="shared" si="3"/>
        <v>6</v>
      </c>
      <c r="K1666" s="1" t="str">
        <f t="shared" si="4"/>
        <v>Entregamos tus lentes, que los disfrutes!</v>
      </c>
    </row>
    <row r="1667">
      <c r="A1667" s="1">
        <f>IFERROR(__xludf.DUMMYFUNCTION("""COMPUTED_VALUE"""),86217.0)</f>
        <v>86217</v>
      </c>
      <c r="B1667" s="5">
        <f>IFERROR(__xludf.DUMMYFUNCTION("""COMPUTED_VALUE"""),44964.546463437495)</f>
        <v>44964.54646</v>
      </c>
      <c r="C1667" s="1" t="str">
        <f>IFERROR(__xludf.DUMMYFUNCTION("""COMPUTED_VALUE"""),"OCHOA MARIA CRISTINA")</f>
        <v>OCHOA MARIA CRISTINA</v>
      </c>
      <c r="D1667" s="1" t="str">
        <f>IFERROR(__xludf.DUMMYFUNCTION("""COMPUTED_VALUE"""),"Lentes de STOCK")</f>
        <v>Lentes de STOCK</v>
      </c>
      <c r="E1667" s="1" t="str">
        <f>IFERROR(__xludf.DUMMYFUNCTION("""COMPUTED_VALUE"""),"RIVADAVIA Daniel CM")</f>
        <v>RIVADAVIA Daniel CM</v>
      </c>
      <c r="F1667" s="1" t="str">
        <f t="shared" si="1"/>
        <v>RIVADAVIA </v>
      </c>
      <c r="G1667" s="1" t="str">
        <f t="shared" si="2"/>
        <v>Daniel CM</v>
      </c>
      <c r="H1667" s="1" t="str">
        <f>IFERROR(__xludf.DUMMYFUNCTION("""COMPUTED_VALUE"""),"10/2/2023, 17:00:00")</f>
        <v>10/2/2023, 17:00:00</v>
      </c>
      <c r="I1667" s="1" t="str">
        <f>IFERROR(__xludf.DUMMYFUNCTION("""COMPUTED_VALUE"""),"RETIRADO OK POR CLIENTE")</f>
        <v>RETIRADO OK POR CLIENTE</v>
      </c>
      <c r="J1667" s="1">
        <f t="shared" si="3"/>
        <v>6</v>
      </c>
      <c r="K1667" s="1" t="str">
        <f t="shared" si="4"/>
        <v>Entregamos tus lentes, que los disfrutes!</v>
      </c>
    </row>
    <row r="1668">
      <c r="A1668" s="1">
        <f>IFERROR(__xludf.DUMMYFUNCTION("""COMPUTED_VALUE"""),86218.0)</f>
        <v>86218</v>
      </c>
      <c r="B1668" s="5">
        <f>IFERROR(__xludf.DUMMYFUNCTION("""COMPUTED_VALUE"""),44964.701391828705)</f>
        <v>44964.70139</v>
      </c>
      <c r="C1668" s="1" t="str">
        <f>IFERROR(__xludf.DUMMYFUNCTION("""COMPUTED_VALUE"""),"Perez Torres Cataleya")</f>
        <v>Perez Torres Cataleya</v>
      </c>
      <c r="D1668" s="1" t="str">
        <f>IFERROR(__xludf.DUMMYFUNCTION("""COMPUTED_VALUE"""),"Lentes de STOCK")</f>
        <v>Lentes de STOCK</v>
      </c>
      <c r="E1668" s="1" t="str">
        <f>IFERROR(__xludf.DUMMYFUNCTION("""COMPUTED_VALUE"""),"ARTIGAS Roció")</f>
        <v>ARTIGAS Roció</v>
      </c>
      <c r="F1668" s="1" t="str">
        <f t="shared" si="1"/>
        <v>ARTIGAS </v>
      </c>
      <c r="G1668" s="1" t="str">
        <f t="shared" si="2"/>
        <v>Roció</v>
      </c>
      <c r="H1668" s="1" t="str">
        <f>IFERROR(__xludf.DUMMYFUNCTION("""COMPUTED_VALUE"""),"13/2/2023, 17:00:00")</f>
        <v>13/2/2023, 17:00:00</v>
      </c>
      <c r="I1668" s="1" t="str">
        <f>IFERROR(__xludf.DUMMYFUNCTION("""COMPUTED_VALUE"""),"RETIRADO OK POR CLIENTE")</f>
        <v>RETIRADO OK POR CLIENTE</v>
      </c>
      <c r="J1668" s="1">
        <f t="shared" si="3"/>
        <v>6</v>
      </c>
      <c r="K1668" s="1" t="str">
        <f t="shared" si="4"/>
        <v>Entregamos tus lentes, que los disfrutes!</v>
      </c>
    </row>
    <row r="1669">
      <c r="A1669" s="1">
        <f>IFERROR(__xludf.DUMMYFUNCTION("""COMPUTED_VALUE"""),86219.0)</f>
        <v>86219</v>
      </c>
      <c r="B1669" s="5">
        <f>IFERROR(__xludf.DUMMYFUNCTION("""COMPUTED_VALUE"""),44964.70175450231)</f>
        <v>44964.70175</v>
      </c>
      <c r="C1669" s="1" t="str">
        <f>IFERROR(__xludf.DUMMYFUNCTION("""COMPUTED_VALUE"""),"Torres Ramon")</f>
        <v>Torres Ramon</v>
      </c>
      <c r="D1669" s="1" t="str">
        <f>IFERROR(__xludf.DUMMYFUNCTION("""COMPUTED_VALUE"""),"Lentes de STOCK")</f>
        <v>Lentes de STOCK</v>
      </c>
      <c r="E1669" s="1" t="str">
        <f>IFERROR(__xludf.DUMMYFUNCTION("""COMPUTED_VALUE"""),"ARTIGAS Roció")</f>
        <v>ARTIGAS Roció</v>
      </c>
      <c r="F1669" s="1" t="str">
        <f t="shared" si="1"/>
        <v>ARTIGAS </v>
      </c>
      <c r="G1669" s="1" t="str">
        <f t="shared" si="2"/>
        <v>Roció</v>
      </c>
      <c r="H1669" s="1" t="str">
        <f>IFERROR(__xludf.DUMMYFUNCTION("""COMPUTED_VALUE"""),"13/2/2023, 17:00:00")</f>
        <v>13/2/2023, 17:00:00</v>
      </c>
      <c r="I1669" s="1" t="str">
        <f>IFERROR(__xludf.DUMMYFUNCTION("""COMPUTED_VALUE"""),"RETIRADO OK POR CLIENTE")</f>
        <v>RETIRADO OK POR CLIENTE</v>
      </c>
      <c r="J1669" s="1">
        <f t="shared" si="3"/>
        <v>6</v>
      </c>
      <c r="K1669" s="1" t="str">
        <f t="shared" si="4"/>
        <v>Entregamos tus lentes, que los disfrutes!</v>
      </c>
    </row>
    <row r="1670">
      <c r="A1670" s="1">
        <f>IFERROR(__xludf.DUMMYFUNCTION("""COMPUTED_VALUE"""),86220.0)</f>
        <v>86220</v>
      </c>
      <c r="B1670" s="5">
        <f>IFERROR(__xludf.DUMMYFUNCTION("""COMPUTED_VALUE"""),44964.72244957176)</f>
        <v>44964.72245</v>
      </c>
      <c r="C1670" s="1" t="str">
        <f>IFERROR(__xludf.DUMMYFUNCTION("""COMPUTED_VALUE"""),"MAI MIRTA ")</f>
        <v>MAI MIRTA </v>
      </c>
      <c r="D1670" s="1" t="str">
        <f>IFERROR(__xludf.DUMMYFUNCTION("""COMPUTED_VALUE"""),"Reparaciones/Otros")</f>
        <v>Reparaciones/Otros</v>
      </c>
      <c r="E1670" s="1" t="str">
        <f>IFERROR(__xludf.DUMMYFUNCTION("""COMPUTED_VALUE"""),"RIVADAVIA Luciana")</f>
        <v>RIVADAVIA Luciana</v>
      </c>
      <c r="F1670" s="1" t="str">
        <f t="shared" si="1"/>
        <v>RIVADAVIA </v>
      </c>
      <c r="G1670" s="1" t="str">
        <f t="shared" si="2"/>
        <v>Luciana</v>
      </c>
      <c r="H1670" s="1" t="str">
        <f>IFERROR(__xludf.DUMMYFUNCTION("""COMPUTED_VALUE"""),"9/2/2023, 18:00:00")</f>
        <v>9/2/2023, 18:00:00</v>
      </c>
      <c r="I1670" s="1"/>
      <c r="J1670" s="1">
        <f t="shared" si="3"/>
        <v>0</v>
      </c>
      <c r="K1670" s="1" t="str">
        <f t="shared" si="4"/>
        <v/>
      </c>
    </row>
    <row r="1671">
      <c r="A1671" s="1">
        <f>IFERROR(__xludf.DUMMYFUNCTION("""COMPUTED_VALUE"""),86221.0)</f>
        <v>86221</v>
      </c>
      <c r="B1671" s="5">
        <f>IFERROR(__xludf.DUMMYFUNCTION("""COMPUTED_VALUE"""),44964.724535914356)</f>
        <v>44964.72454</v>
      </c>
      <c r="C1671" s="7" t="str">
        <f>IFERROR(__xludf.DUMMYFUNCTION("""COMPUTED_VALUE"""),"Torres Manso Jorge ")</f>
        <v>Torres Manso Jorge </v>
      </c>
      <c r="D1671" s="1" t="str">
        <f>IFERROR(__xludf.DUMMYFUNCTION("""COMPUTED_VALUE"""),"Lentes de STOCK")</f>
        <v>Lentes de STOCK</v>
      </c>
      <c r="E1671" s="1" t="str">
        <f>IFERROR(__xludf.DUMMYFUNCTION("""COMPUTED_VALUE"""),"ARTIGAS Roció")</f>
        <v>ARTIGAS Roció</v>
      </c>
      <c r="F1671" s="1" t="str">
        <f t="shared" si="1"/>
        <v>ARTIGAS </v>
      </c>
      <c r="G1671" s="1" t="str">
        <f t="shared" si="2"/>
        <v>Roció</v>
      </c>
      <c r="H1671" s="1" t="str">
        <f>IFERROR(__xludf.DUMMYFUNCTION("""COMPUTED_VALUE"""),"14/2/2023, 17:00:00")</f>
        <v>14/2/2023, 17:00:00</v>
      </c>
      <c r="I1671" s="1" t="str">
        <f>IFERROR(__xludf.DUMMYFUNCTION("""COMPUTED_VALUE"""),"Completado en SUCURSAL")</f>
        <v>Completado en SUCURSAL</v>
      </c>
      <c r="J1671" s="1">
        <f t="shared" si="3"/>
        <v>5</v>
      </c>
      <c r="K1671" s="1" t="str">
        <f t="shared" si="4"/>
        <v>Tus Lentes estan LISTAS PARA ENTREGAR, te esperamos.</v>
      </c>
    </row>
    <row r="1672">
      <c r="A1672" s="1">
        <f>IFERROR(__xludf.DUMMYFUNCTION("""COMPUTED_VALUE"""),86222.0)</f>
        <v>86222</v>
      </c>
      <c r="B1672" s="5">
        <f>IFERROR(__xludf.DUMMYFUNCTION("""COMPUTED_VALUE"""),44964.72666777778)</f>
        <v>44964.72667</v>
      </c>
      <c r="C1672" s="1" t="str">
        <f>IFERROR(__xludf.DUMMYFUNCTION("""COMPUTED_VALUE"""),"CHENA HECTOR JORGE")</f>
        <v>CHENA HECTOR JORGE</v>
      </c>
      <c r="D1672" s="1" t="str">
        <f>IFERROR(__xludf.DUMMYFUNCTION("""COMPUTED_VALUE"""),"Lentes BIFOCALES")</f>
        <v>Lentes BIFOCALES</v>
      </c>
      <c r="E1672" s="1" t="str">
        <f>IFERROR(__xludf.DUMMYFUNCTION("""COMPUTED_VALUE"""),"ARTIGAS Cristian C.")</f>
        <v>ARTIGAS Cristian C.</v>
      </c>
      <c r="F1672" s="1" t="str">
        <f t="shared" si="1"/>
        <v>ARTIGAS </v>
      </c>
      <c r="G1672" s="1" t="str">
        <f t="shared" si="2"/>
        <v>Cristian C.</v>
      </c>
      <c r="H1672" s="1" t="str">
        <f>IFERROR(__xludf.DUMMYFUNCTION("""COMPUTED_VALUE"""),"15/2/2023, 17:00:00")</f>
        <v>15/2/2023, 17:00:00</v>
      </c>
      <c r="I1672" s="1" t="str">
        <f>IFERROR(__xludf.DUMMYFUNCTION("""COMPUTED_VALUE"""),"RETIRADO OK POR CLIENTE")</f>
        <v>RETIRADO OK POR CLIENTE</v>
      </c>
      <c r="J1672" s="1">
        <f t="shared" si="3"/>
        <v>6</v>
      </c>
      <c r="K1672" s="1" t="str">
        <f t="shared" si="4"/>
        <v>Entregamos tus lentes, que los disfrutes!</v>
      </c>
    </row>
    <row r="1673">
      <c r="A1673" s="1">
        <f>IFERROR(__xludf.DUMMYFUNCTION("""COMPUTED_VALUE"""),86223.0)</f>
        <v>86223</v>
      </c>
      <c r="B1673" s="5">
        <f>IFERROR(__xludf.DUMMYFUNCTION("""COMPUTED_VALUE"""),44964.735047685186)</f>
        <v>44964.73505</v>
      </c>
      <c r="C1673" s="1" t="str">
        <f>IFERROR(__xludf.DUMMYFUNCTION("""COMPUTED_VALUE"""),"lima ochoa chiara")</f>
        <v>lima ochoa chiara</v>
      </c>
      <c r="D1673" s="1" t="str">
        <f>IFERROR(__xludf.DUMMYFUNCTION("""COMPUTED_VALUE"""),"Lentes de STOCK")</f>
        <v>Lentes de STOCK</v>
      </c>
      <c r="E1673" s="1" t="str">
        <f>IFERROR(__xludf.DUMMYFUNCTION("""COMPUTED_VALUE"""),"RIVADAVIA Santiago N")</f>
        <v>RIVADAVIA Santiago N</v>
      </c>
      <c r="F1673" s="1" t="str">
        <f t="shared" si="1"/>
        <v>RIVADAVIA </v>
      </c>
      <c r="G1673" s="1" t="str">
        <f t="shared" si="2"/>
        <v>Santiago N</v>
      </c>
      <c r="H1673" s="1" t="str">
        <f>IFERROR(__xludf.DUMMYFUNCTION("""COMPUTED_VALUE"""),"10/2/2023, 17:00:00")</f>
        <v>10/2/2023, 17:00:00</v>
      </c>
      <c r="I1673" s="1" t="str">
        <f>IFERROR(__xludf.DUMMYFUNCTION("""COMPUTED_VALUE"""),"RETIRADO OK POR CLIENTE")</f>
        <v>RETIRADO OK POR CLIENTE</v>
      </c>
      <c r="J1673" s="1">
        <f t="shared" si="3"/>
        <v>6</v>
      </c>
      <c r="K1673" s="1" t="str">
        <f t="shared" si="4"/>
        <v>Entregamos tus lentes, que los disfrutes!</v>
      </c>
    </row>
    <row r="1674">
      <c r="A1674" s="1">
        <f>IFERROR(__xludf.DUMMYFUNCTION("""COMPUTED_VALUE"""),86224.0)</f>
        <v>86224</v>
      </c>
      <c r="B1674" s="5">
        <f>IFERROR(__xludf.DUMMYFUNCTION("""COMPUTED_VALUE"""),44964.737370532406)</f>
        <v>44964.73737</v>
      </c>
      <c r="C1674" s="1" t="str">
        <f>IFERROR(__xludf.DUMMYFUNCTION("""COMPUTED_VALUE"""),"lima martin oscar")</f>
        <v>lima martin oscar</v>
      </c>
      <c r="D1674" s="1" t="str">
        <f>IFERROR(__xludf.DUMMYFUNCTION("""COMPUTED_VALUE"""),"Lentes de STOCK")</f>
        <v>Lentes de STOCK</v>
      </c>
      <c r="E1674" s="1" t="str">
        <f>IFERROR(__xludf.DUMMYFUNCTION("""COMPUTED_VALUE"""),"RIVADAVIA Santiago N")</f>
        <v>RIVADAVIA Santiago N</v>
      </c>
      <c r="F1674" s="1" t="str">
        <f t="shared" si="1"/>
        <v>RIVADAVIA </v>
      </c>
      <c r="G1674" s="1" t="str">
        <f t="shared" si="2"/>
        <v>Santiago N</v>
      </c>
      <c r="H1674" s="1" t="str">
        <f>IFERROR(__xludf.DUMMYFUNCTION("""COMPUTED_VALUE"""),"10/2/2023, 17:00:00")</f>
        <v>10/2/2023, 17:00:00</v>
      </c>
      <c r="I1674" s="1" t="str">
        <f>IFERROR(__xludf.DUMMYFUNCTION("""COMPUTED_VALUE"""),"RETIRADO OK POR CLIENTE")</f>
        <v>RETIRADO OK POR CLIENTE</v>
      </c>
      <c r="J1674" s="1">
        <f t="shared" si="3"/>
        <v>6</v>
      </c>
      <c r="K1674" s="1" t="str">
        <f t="shared" si="4"/>
        <v>Entregamos tus lentes, que los disfrutes!</v>
      </c>
    </row>
    <row r="1675">
      <c r="A1675" s="1">
        <f>IFERROR(__xludf.DUMMYFUNCTION("""COMPUTED_VALUE"""),86225.0)</f>
        <v>86225</v>
      </c>
      <c r="B1675" s="5">
        <f>IFERROR(__xludf.DUMMYFUNCTION("""COMPUTED_VALUE"""),44964.74427981481)</f>
        <v>44964.74428</v>
      </c>
      <c r="C1675" s="1" t="str">
        <f>IFERROR(__xludf.DUMMYFUNCTION("""COMPUTED_VALUE"""),"TORRES CALLE JULIANA EVELIN")</f>
        <v>TORRES CALLE JULIANA EVELIN</v>
      </c>
      <c r="D1675" s="1" t="str">
        <f>IFERROR(__xludf.DUMMYFUNCTION("""COMPUTED_VALUE"""),"Lentes de STOCK")</f>
        <v>Lentes de STOCK</v>
      </c>
      <c r="E1675" s="1" t="str">
        <f>IFERROR(__xludf.DUMMYFUNCTION("""COMPUTED_VALUE"""),"ARTIGAS Roció")</f>
        <v>ARTIGAS Roció</v>
      </c>
      <c r="F1675" s="1" t="str">
        <f t="shared" si="1"/>
        <v>ARTIGAS </v>
      </c>
      <c r="G1675" s="1" t="str">
        <f t="shared" si="2"/>
        <v>Roció</v>
      </c>
      <c r="H1675" s="1" t="str">
        <f>IFERROR(__xludf.DUMMYFUNCTION("""COMPUTED_VALUE"""),"14/2/2023, 17:00:00")</f>
        <v>14/2/2023, 17:00:00</v>
      </c>
      <c r="I1675" s="1" t="str">
        <f>IFERROR(__xludf.DUMMYFUNCTION("""COMPUTED_VALUE"""),"RETIRADO OK POR CLIENTE")</f>
        <v>RETIRADO OK POR CLIENTE</v>
      </c>
      <c r="J1675" s="1">
        <f t="shared" si="3"/>
        <v>6</v>
      </c>
      <c r="K1675" s="1" t="str">
        <f t="shared" si="4"/>
        <v>Entregamos tus lentes, que los disfrutes!</v>
      </c>
    </row>
    <row r="1676">
      <c r="A1676" s="1">
        <f>IFERROR(__xludf.DUMMYFUNCTION("""COMPUTED_VALUE"""),86226.0)</f>
        <v>86226</v>
      </c>
      <c r="B1676" s="5">
        <f>IFERROR(__xludf.DUMMYFUNCTION("""COMPUTED_VALUE"""),44964.74933532407)</f>
        <v>44964.74934</v>
      </c>
      <c r="C1676" s="1" t="str">
        <f>IFERROR(__xludf.DUMMYFUNCTION("""COMPUTED_VALUE"""),"bertoglio nilda")</f>
        <v>bertoglio nilda</v>
      </c>
      <c r="D1676" s="1" t="str">
        <f>IFERROR(__xludf.DUMMYFUNCTION("""COMPUTED_VALUE"""),"Lentes MULTIFOCALES")</f>
        <v>Lentes MULTIFOCALES</v>
      </c>
      <c r="E1676" s="1" t="str">
        <f>IFERROR(__xludf.DUMMYFUNCTION("""COMPUTED_VALUE"""),"RIVADAVIA Santiago N")</f>
        <v>RIVADAVIA Santiago N</v>
      </c>
      <c r="F1676" s="1" t="str">
        <f t="shared" si="1"/>
        <v>RIVADAVIA </v>
      </c>
      <c r="G1676" s="1" t="str">
        <f t="shared" si="2"/>
        <v>Santiago N</v>
      </c>
      <c r="H1676" s="1" t="str">
        <f>IFERROR(__xludf.DUMMYFUNCTION("""COMPUTED_VALUE"""),"10/2/2023, 17:00:00")</f>
        <v>10/2/2023, 17:00:00</v>
      </c>
      <c r="I1676" s="1" t="str">
        <f>IFERROR(__xludf.DUMMYFUNCTION("""COMPUTED_VALUE"""),"RETIRADO OK POR CLIENTE")</f>
        <v>RETIRADO OK POR CLIENTE</v>
      </c>
      <c r="J1676" s="1">
        <f t="shared" si="3"/>
        <v>6</v>
      </c>
      <c r="K1676" s="1" t="str">
        <f t="shared" si="4"/>
        <v>Entregamos tus lentes, que los disfrutes!</v>
      </c>
    </row>
    <row r="1677">
      <c r="A1677" s="1">
        <f>IFERROR(__xludf.DUMMYFUNCTION("""COMPUTED_VALUE"""),86227.0)</f>
        <v>86227</v>
      </c>
      <c r="B1677" s="5">
        <f>IFERROR(__xludf.DUMMYFUNCTION("""COMPUTED_VALUE"""),44964.754618402774)</f>
        <v>44964.75462</v>
      </c>
      <c r="C1677" s="1" t="str">
        <f>IFERROR(__xludf.DUMMYFUNCTION("""COMPUTED_VALUE"""),"Muñoz Matias")</f>
        <v>Muñoz Matias</v>
      </c>
      <c r="D1677" s="1" t="str">
        <f>IFERROR(__xludf.DUMMYFUNCTION("""COMPUTED_VALUE"""),"Reparaciones/Otros")</f>
        <v>Reparaciones/Otros</v>
      </c>
      <c r="E1677" s="1" t="str">
        <f>IFERROR(__xludf.DUMMYFUNCTION("""COMPUTED_VALUE"""),"ARTIGAS Cristian C.")</f>
        <v>ARTIGAS Cristian C.</v>
      </c>
      <c r="F1677" s="1" t="str">
        <f t="shared" si="1"/>
        <v>ARTIGAS </v>
      </c>
      <c r="G1677" s="1" t="str">
        <f t="shared" si="2"/>
        <v>Cristian C.</v>
      </c>
      <c r="H1677" s="1" t="str">
        <f>IFERROR(__xludf.DUMMYFUNCTION("""COMPUTED_VALUE"""),"9/2/2023, 17:00:00")</f>
        <v>9/2/2023, 17:00:00</v>
      </c>
      <c r="I1677" s="1"/>
      <c r="J1677" s="1">
        <f t="shared" si="3"/>
        <v>0</v>
      </c>
      <c r="K1677" s="1" t="str">
        <f t="shared" si="4"/>
        <v/>
      </c>
    </row>
    <row r="1678">
      <c r="A1678" s="1">
        <f>IFERROR(__xludf.DUMMYFUNCTION("""COMPUTED_VALUE"""),86228.0)</f>
        <v>86228</v>
      </c>
      <c r="B1678" s="5">
        <f>IFERROR(__xludf.DUMMYFUNCTION("""COMPUTED_VALUE"""),44964.757641550925)</f>
        <v>44964.75764</v>
      </c>
      <c r="C1678" s="1" t="str">
        <f>IFERROR(__xludf.DUMMYFUNCTION("""COMPUTED_VALUE"""),"JURI JIMENA ")</f>
        <v>JURI JIMENA </v>
      </c>
      <c r="D1678" s="1" t="str">
        <f>IFERROR(__xludf.DUMMYFUNCTION("""COMPUTED_VALUE"""),"Lentes de STOCK")</f>
        <v>Lentes de STOCK</v>
      </c>
      <c r="E1678" s="1" t="str">
        <f>IFERROR(__xludf.DUMMYFUNCTION("""COMPUTED_VALUE"""),"RIVADAVIA Javier")</f>
        <v>RIVADAVIA Javier</v>
      </c>
      <c r="F1678" s="1" t="str">
        <f t="shared" si="1"/>
        <v>RIVADAVIA </v>
      </c>
      <c r="G1678" s="1" t="str">
        <f t="shared" si="2"/>
        <v>Javier</v>
      </c>
      <c r="H1678" s="1" t="str">
        <f>IFERROR(__xludf.DUMMYFUNCTION("""COMPUTED_VALUE"""),"13/2/2023, 17:00:00")</f>
        <v>13/2/2023, 17:00:00</v>
      </c>
      <c r="I1678" s="1" t="str">
        <f>IFERROR(__xludf.DUMMYFUNCTION("""COMPUTED_VALUE"""),"RETIRADO OK POR CLIENTE")</f>
        <v>RETIRADO OK POR CLIENTE</v>
      </c>
      <c r="J1678" s="1">
        <f t="shared" si="3"/>
        <v>6</v>
      </c>
      <c r="K1678" s="1" t="str">
        <f t="shared" si="4"/>
        <v>Entregamos tus lentes, que los disfrutes!</v>
      </c>
    </row>
    <row r="1679">
      <c r="A1679" s="1">
        <f>IFERROR(__xludf.DUMMYFUNCTION("""COMPUTED_VALUE"""),86229.0)</f>
        <v>86229</v>
      </c>
      <c r="B1679" s="5">
        <f>IFERROR(__xludf.DUMMYFUNCTION("""COMPUTED_VALUE"""),44964.75971081018)</f>
        <v>44964.75971</v>
      </c>
      <c r="C1679" s="1" t="str">
        <f>IFERROR(__xludf.DUMMYFUNCTION("""COMPUTED_VALUE"""),"britos cesar")</f>
        <v>britos cesar</v>
      </c>
      <c r="D1679" s="1" t="str">
        <f>IFERROR(__xludf.DUMMYFUNCTION("""COMPUTED_VALUE"""),"Lentes de STOCK")</f>
        <v>Lentes de STOCK</v>
      </c>
      <c r="E1679" s="1" t="str">
        <f>IFERROR(__xludf.DUMMYFUNCTION("""COMPUTED_VALUE"""),"RIVADAVIA Santiago N")</f>
        <v>RIVADAVIA Santiago N</v>
      </c>
      <c r="F1679" s="1" t="str">
        <f t="shared" si="1"/>
        <v>RIVADAVIA </v>
      </c>
      <c r="G1679" s="1" t="str">
        <f t="shared" si="2"/>
        <v>Santiago N</v>
      </c>
      <c r="H1679" s="1" t="str">
        <f>IFERROR(__xludf.DUMMYFUNCTION("""COMPUTED_VALUE"""),"13/2/2023, 17:00:00")</f>
        <v>13/2/2023, 17:00:00</v>
      </c>
      <c r="I1679" s="1" t="str">
        <f>IFERROR(__xludf.DUMMYFUNCTION("""COMPUTED_VALUE"""),"RETIRADO OK POR CLIENTE")</f>
        <v>RETIRADO OK POR CLIENTE</v>
      </c>
      <c r="J1679" s="1">
        <f t="shared" si="3"/>
        <v>6</v>
      </c>
      <c r="K1679" s="1" t="str">
        <f t="shared" si="4"/>
        <v>Entregamos tus lentes, que los disfrutes!</v>
      </c>
    </row>
    <row r="1680">
      <c r="A1680" s="1">
        <f>IFERROR(__xludf.DUMMYFUNCTION("""COMPUTED_VALUE"""),86230.0)</f>
        <v>86230</v>
      </c>
      <c r="B1680" s="5">
        <f>IFERROR(__xludf.DUMMYFUNCTION("""COMPUTED_VALUE"""),44964.765637951394)</f>
        <v>44964.76564</v>
      </c>
      <c r="C1680" s="1" t="str">
        <f>IFERROR(__xludf.DUMMYFUNCTION("""COMPUTED_VALUE"""),"villegas elorza noelia")</f>
        <v>villegas elorza noelia</v>
      </c>
      <c r="D1680" s="1" t="str">
        <f>IFERROR(__xludf.DUMMYFUNCTION("""COMPUTED_VALUE"""),"Lentes de STOCK")</f>
        <v>Lentes de STOCK</v>
      </c>
      <c r="E1680" s="1" t="str">
        <f>IFERROR(__xludf.DUMMYFUNCTION("""COMPUTED_VALUE"""),"RIVADAVIA Santiago N")</f>
        <v>RIVADAVIA Santiago N</v>
      </c>
      <c r="F1680" s="1" t="str">
        <f t="shared" si="1"/>
        <v>RIVADAVIA </v>
      </c>
      <c r="G1680" s="1" t="str">
        <f t="shared" si="2"/>
        <v>Santiago N</v>
      </c>
      <c r="H1680" s="1" t="str">
        <f>IFERROR(__xludf.DUMMYFUNCTION("""COMPUTED_VALUE"""),"10/2/2023, 17:00:00")</f>
        <v>10/2/2023, 17:00:00</v>
      </c>
      <c r="I1680" s="1"/>
      <c r="J1680" s="1">
        <f t="shared" si="3"/>
        <v>0</v>
      </c>
      <c r="K1680" s="1" t="str">
        <f t="shared" si="4"/>
        <v/>
      </c>
    </row>
    <row r="1681">
      <c r="A1681" s="1">
        <f>IFERROR(__xludf.DUMMYFUNCTION("""COMPUTED_VALUE"""),86231.0)</f>
        <v>86231</v>
      </c>
      <c r="B1681" s="5">
        <f>IFERROR(__xludf.DUMMYFUNCTION("""COMPUTED_VALUE"""),44964.76985280092)</f>
        <v>44964.76985</v>
      </c>
      <c r="C1681" s="1" t="str">
        <f>IFERROR(__xludf.DUMMYFUNCTION("""COMPUTED_VALUE"""),"LUQUEZ VICENTA SILVIA")</f>
        <v>LUQUEZ VICENTA SILVIA</v>
      </c>
      <c r="D1681" s="1" t="str">
        <f>IFERROR(__xludf.DUMMYFUNCTION("""COMPUTED_VALUE"""),"Lentes de STOCK")</f>
        <v>Lentes de STOCK</v>
      </c>
      <c r="E1681" s="1" t="str">
        <f>IFERROR(__xludf.DUMMYFUNCTION("""COMPUTED_VALUE"""),"ARTIGAS Cristian C.")</f>
        <v>ARTIGAS Cristian C.</v>
      </c>
      <c r="F1681" s="1" t="str">
        <f t="shared" si="1"/>
        <v>ARTIGAS </v>
      </c>
      <c r="G1681" s="1" t="str">
        <f t="shared" si="2"/>
        <v>Cristian C.</v>
      </c>
      <c r="H1681" s="1" t="str">
        <f>IFERROR(__xludf.DUMMYFUNCTION("""COMPUTED_VALUE"""),"14/2/2023, 17:00:00")</f>
        <v>14/2/2023, 17:00:00</v>
      </c>
      <c r="I1681" s="1" t="str">
        <f>IFERROR(__xludf.DUMMYFUNCTION("""COMPUTED_VALUE"""),"RETIRADO OK POR CLIENTE")</f>
        <v>RETIRADO OK POR CLIENTE</v>
      </c>
      <c r="J1681" s="1">
        <f t="shared" si="3"/>
        <v>6</v>
      </c>
      <c r="K1681" s="1" t="str">
        <f t="shared" si="4"/>
        <v>Entregamos tus lentes, que los disfrutes!</v>
      </c>
    </row>
    <row r="1682">
      <c r="A1682" s="1">
        <f>IFERROR(__xludf.DUMMYFUNCTION("""COMPUTED_VALUE"""),86232.0)</f>
        <v>86232</v>
      </c>
      <c r="B1682" s="5">
        <f>IFERROR(__xludf.DUMMYFUNCTION("""COMPUTED_VALUE"""),44964.77112938657)</f>
        <v>44964.77113</v>
      </c>
      <c r="C1682" s="1" t="str">
        <f>IFERROR(__xludf.DUMMYFUNCTION("""COMPUTED_VALUE"""),"calvo gutirres morena")</f>
        <v>calvo gutirres morena</v>
      </c>
      <c r="D1682" s="1" t="str">
        <f>IFERROR(__xludf.DUMMYFUNCTION("""COMPUTED_VALUE"""),"Lentes de STOCK")</f>
        <v>Lentes de STOCK</v>
      </c>
      <c r="E1682" s="1" t="str">
        <f>IFERROR(__xludf.DUMMYFUNCTION("""COMPUTED_VALUE"""),"RIVADAVIA Santiago N")</f>
        <v>RIVADAVIA Santiago N</v>
      </c>
      <c r="F1682" s="1" t="str">
        <f t="shared" si="1"/>
        <v>RIVADAVIA </v>
      </c>
      <c r="G1682" s="1" t="str">
        <f t="shared" si="2"/>
        <v>Santiago N</v>
      </c>
      <c r="H1682" s="1" t="str">
        <f>IFERROR(__xludf.DUMMYFUNCTION("""COMPUTED_VALUE"""),"13/2/2023, 17:00:00")</f>
        <v>13/2/2023, 17:00:00</v>
      </c>
      <c r="I1682" s="1" t="str">
        <f>IFERROR(__xludf.DUMMYFUNCTION("""COMPUTED_VALUE"""),"RETIRADO OK POR CLIENTE")</f>
        <v>RETIRADO OK POR CLIENTE</v>
      </c>
      <c r="J1682" s="1">
        <f t="shared" si="3"/>
        <v>6</v>
      </c>
      <c r="K1682" s="1" t="str">
        <f t="shared" si="4"/>
        <v>Entregamos tus lentes, que los disfrutes!</v>
      </c>
    </row>
    <row r="1683">
      <c r="A1683" s="1">
        <f>IFERROR(__xludf.DUMMYFUNCTION("""COMPUTED_VALUE"""),86233.0)</f>
        <v>86233</v>
      </c>
      <c r="B1683" s="5">
        <f>IFERROR(__xludf.DUMMYFUNCTION("""COMPUTED_VALUE"""),44964.77371152778)</f>
        <v>44964.77371</v>
      </c>
      <c r="C1683" s="1" t="str">
        <f>IFERROR(__xludf.DUMMYFUNCTION("""COMPUTED_VALUE"""),"calvo gutierres rocio")</f>
        <v>calvo gutierres rocio</v>
      </c>
      <c r="D1683" s="1" t="str">
        <f>IFERROR(__xludf.DUMMYFUNCTION("""COMPUTED_VALUE"""),"Lentes de STOCK")</f>
        <v>Lentes de STOCK</v>
      </c>
      <c r="E1683" s="1" t="str">
        <f>IFERROR(__xludf.DUMMYFUNCTION("""COMPUTED_VALUE"""),"RIVADAVIA Santiago N")</f>
        <v>RIVADAVIA Santiago N</v>
      </c>
      <c r="F1683" s="1" t="str">
        <f t="shared" si="1"/>
        <v>RIVADAVIA </v>
      </c>
      <c r="G1683" s="1" t="str">
        <f t="shared" si="2"/>
        <v>Santiago N</v>
      </c>
      <c r="H1683" s="1" t="str">
        <f>IFERROR(__xludf.DUMMYFUNCTION("""COMPUTED_VALUE"""),"9/2/2023, 17:00:00")</f>
        <v>9/2/2023, 17:00:00</v>
      </c>
      <c r="I1683" s="1" t="str">
        <f>IFERROR(__xludf.DUMMYFUNCTION("""COMPUTED_VALUE"""),"RETIRADO OK POR CLIENTE")</f>
        <v>RETIRADO OK POR CLIENTE</v>
      </c>
      <c r="J1683" s="1">
        <f t="shared" si="3"/>
        <v>6</v>
      </c>
      <c r="K1683" s="1" t="str">
        <f t="shared" si="4"/>
        <v>Entregamos tus lentes, que los disfrutes!</v>
      </c>
    </row>
    <row r="1684">
      <c r="A1684" s="1">
        <f>IFERROR(__xludf.DUMMYFUNCTION("""COMPUTED_VALUE"""),86234.0)</f>
        <v>86234</v>
      </c>
      <c r="B1684" s="5">
        <f>IFERROR(__xludf.DUMMYFUNCTION("""COMPUTED_VALUE"""),44964.7879484838)</f>
        <v>44964.78795</v>
      </c>
      <c r="C1684" s="1" t="str">
        <f>IFERROR(__xludf.DUMMYFUNCTION("""COMPUTED_VALUE"""),"TERRANOVA MARIA FLORENCIA")</f>
        <v>TERRANOVA MARIA FLORENCIA</v>
      </c>
      <c r="D1684" s="1" t="str">
        <f>IFERROR(__xludf.DUMMYFUNCTION("""COMPUTED_VALUE"""),"Lentes de STOCK")</f>
        <v>Lentes de STOCK</v>
      </c>
      <c r="E1684" s="1" t="str">
        <f>IFERROR(__xludf.DUMMYFUNCTION("""COMPUTED_VALUE"""),"RIVADAVIA Javier")</f>
        <v>RIVADAVIA Javier</v>
      </c>
      <c r="F1684" s="1" t="str">
        <f t="shared" si="1"/>
        <v>RIVADAVIA </v>
      </c>
      <c r="G1684" s="1" t="str">
        <f t="shared" si="2"/>
        <v>Javier</v>
      </c>
      <c r="H1684" s="1" t="str">
        <f>IFERROR(__xludf.DUMMYFUNCTION("""COMPUTED_VALUE"""),"13/2/2023, 17:00:00")</f>
        <v>13/2/2023, 17:00:00</v>
      </c>
      <c r="I1684" s="1" t="str">
        <f>IFERROR(__xludf.DUMMYFUNCTION("""COMPUTED_VALUE"""),"RETIRADO OK POR CLIENTE")</f>
        <v>RETIRADO OK POR CLIENTE</v>
      </c>
      <c r="J1684" s="1">
        <f t="shared" si="3"/>
        <v>6</v>
      </c>
      <c r="K1684" s="1" t="str">
        <f t="shared" si="4"/>
        <v>Entregamos tus lentes, que los disfrutes!</v>
      </c>
    </row>
    <row r="1685">
      <c r="A1685" s="1">
        <f>IFERROR(__xludf.DUMMYFUNCTION("""COMPUTED_VALUE"""),86235.0)</f>
        <v>86235</v>
      </c>
      <c r="B1685" s="5">
        <f>IFERROR(__xludf.DUMMYFUNCTION("""COMPUTED_VALUE"""),44964.79120436343)</f>
        <v>44964.7912</v>
      </c>
      <c r="C1685" s="1" t="str">
        <f>IFERROR(__xludf.DUMMYFUNCTION("""COMPUTED_VALUE"""),"Ruiz Irma Del Valle")</f>
        <v>Ruiz Irma Del Valle</v>
      </c>
      <c r="D1685" s="1" t="str">
        <f>IFERROR(__xludf.DUMMYFUNCTION("""COMPUTED_VALUE"""),"Lentes BIFOCALES")</f>
        <v>Lentes BIFOCALES</v>
      </c>
      <c r="E1685" s="1" t="str">
        <f>IFERROR(__xludf.DUMMYFUNCTION("""COMPUTED_VALUE"""),"ARTIGAS Roció")</f>
        <v>ARTIGAS Roció</v>
      </c>
      <c r="F1685" s="1" t="str">
        <f t="shared" si="1"/>
        <v>ARTIGAS </v>
      </c>
      <c r="G1685" s="1" t="str">
        <f t="shared" si="2"/>
        <v>Roció</v>
      </c>
      <c r="H1685" s="1" t="str">
        <f>IFERROR(__xludf.DUMMYFUNCTION("""COMPUTED_VALUE"""),"14/2/2023, 17:00:00")</f>
        <v>14/2/2023, 17:00:00</v>
      </c>
      <c r="I1685" s="1" t="str">
        <f>IFERROR(__xludf.DUMMYFUNCTION("""COMPUTED_VALUE"""),"RETIRADO OK POR CLIENTE")</f>
        <v>RETIRADO OK POR CLIENTE</v>
      </c>
      <c r="J1685" s="1">
        <f t="shared" si="3"/>
        <v>6</v>
      </c>
      <c r="K1685" s="1" t="str">
        <f t="shared" si="4"/>
        <v>Entregamos tus lentes, que los disfrutes!</v>
      </c>
    </row>
    <row r="1686">
      <c r="A1686" s="1">
        <f>IFERROR(__xludf.DUMMYFUNCTION("""COMPUTED_VALUE"""),86236.0)</f>
        <v>86236</v>
      </c>
      <c r="B1686" s="5">
        <f>IFERROR(__xludf.DUMMYFUNCTION("""COMPUTED_VALUE"""),44964.8043809838)</f>
        <v>44964.80438</v>
      </c>
      <c r="C1686" s="1" t="str">
        <f>IFERROR(__xludf.DUMMYFUNCTION("""COMPUTED_VALUE"""),"TEJADA YESICA MARIANA")</f>
        <v>TEJADA YESICA MARIANA</v>
      </c>
      <c r="D1686" s="1" t="str">
        <f>IFERROR(__xludf.DUMMYFUNCTION("""COMPUTED_VALUE"""),"Lentes de STOCK")</f>
        <v>Lentes de STOCK</v>
      </c>
      <c r="E1686" s="1" t="str">
        <f>IFERROR(__xludf.DUMMYFUNCTION("""COMPUTED_VALUE"""),"ARTIGAS Cristian C.")</f>
        <v>ARTIGAS Cristian C.</v>
      </c>
      <c r="F1686" s="1" t="str">
        <f t="shared" si="1"/>
        <v>ARTIGAS </v>
      </c>
      <c r="G1686" s="1" t="str">
        <f t="shared" si="2"/>
        <v>Cristian C.</v>
      </c>
      <c r="H1686" s="1" t="str">
        <f>IFERROR(__xludf.DUMMYFUNCTION("""COMPUTED_VALUE"""),"15/2/2023, 17:00:00")</f>
        <v>15/2/2023, 17:00:00</v>
      </c>
      <c r="I1686" s="1" t="str">
        <f>IFERROR(__xludf.DUMMYFUNCTION("""COMPUTED_VALUE"""),"RETIRADO OK POR CLIENTE")</f>
        <v>RETIRADO OK POR CLIENTE</v>
      </c>
      <c r="J1686" s="1">
        <f t="shared" si="3"/>
        <v>6</v>
      </c>
      <c r="K1686" s="1" t="str">
        <f t="shared" si="4"/>
        <v>Entregamos tus lentes, que los disfrutes!</v>
      </c>
    </row>
    <row r="1687">
      <c r="A1687" s="1">
        <f>IFERROR(__xludf.DUMMYFUNCTION("""COMPUTED_VALUE"""),86237.0)</f>
        <v>86237</v>
      </c>
      <c r="B1687" s="5">
        <f>IFERROR(__xludf.DUMMYFUNCTION("""COMPUTED_VALUE"""),44964.81272240741)</f>
        <v>44964.81272</v>
      </c>
      <c r="C1687" s="1" t="str">
        <f>IFERROR(__xludf.DUMMYFUNCTION("""COMPUTED_VALUE"""),"LUCERO JOSE OMAR")</f>
        <v>LUCERO JOSE OMAR</v>
      </c>
      <c r="D1687" s="1" t="str">
        <f>IFERROR(__xludf.DUMMYFUNCTION("""COMPUTED_VALUE"""),"Lentes MULTIFOCALES")</f>
        <v>Lentes MULTIFOCALES</v>
      </c>
      <c r="E1687" s="1" t="str">
        <f>IFERROR(__xludf.DUMMYFUNCTION("""COMPUTED_VALUE"""),"RIVADAVIA Luciana")</f>
        <v>RIVADAVIA Luciana</v>
      </c>
      <c r="F1687" s="1" t="str">
        <f t="shared" si="1"/>
        <v>RIVADAVIA </v>
      </c>
      <c r="G1687" s="1" t="str">
        <f t="shared" si="2"/>
        <v>Luciana</v>
      </c>
      <c r="H1687" s="1" t="str">
        <f>IFERROR(__xludf.DUMMYFUNCTION("""COMPUTED_VALUE"""),"24/2/2023, 17:00:00")</f>
        <v>24/2/2023, 17:00:00</v>
      </c>
      <c r="I1687" s="1" t="str">
        <f>IFERROR(__xludf.DUMMYFUNCTION("""COMPUTED_VALUE"""),"Completado en SUCURSAL")</f>
        <v>Completado en SUCURSAL</v>
      </c>
      <c r="J1687" s="1">
        <f t="shared" si="3"/>
        <v>5</v>
      </c>
      <c r="K1687" s="1" t="str">
        <f t="shared" si="4"/>
        <v>Tus Lentes estan LISTAS PARA ENTREGAR, te esperamos.</v>
      </c>
    </row>
    <row r="1688">
      <c r="A1688" s="1">
        <f>IFERROR(__xludf.DUMMYFUNCTION("""COMPUTED_VALUE"""),86238.0)</f>
        <v>86238</v>
      </c>
      <c r="B1688" s="5">
        <f>IFERROR(__xludf.DUMMYFUNCTION("""COMPUTED_VALUE"""),44964.82239224537)</f>
        <v>44964.82239</v>
      </c>
      <c r="C1688" s="1" t="str">
        <f>IFERROR(__xludf.DUMMYFUNCTION("""COMPUTED_VALUE""")," Krieger Dora Mabel")</f>
        <v> Krieger Dora Mabel</v>
      </c>
      <c r="D1688" s="1" t="str">
        <f>IFERROR(__xludf.DUMMYFUNCTION("""COMPUTED_VALUE"""),"Lentes de STOCK")</f>
        <v>Lentes de STOCK</v>
      </c>
      <c r="E1688" s="1" t="str">
        <f>IFERROR(__xludf.DUMMYFUNCTION("""COMPUTED_VALUE"""),"ARTIGAS Cristian C.")</f>
        <v>ARTIGAS Cristian C.</v>
      </c>
      <c r="F1688" s="1" t="str">
        <f t="shared" si="1"/>
        <v>ARTIGAS </v>
      </c>
      <c r="G1688" s="1" t="str">
        <f t="shared" si="2"/>
        <v>Cristian C.</v>
      </c>
      <c r="H1688" s="1" t="str">
        <f>IFERROR(__xludf.DUMMYFUNCTION("""COMPUTED_VALUE"""),"16/2/2023, 17:00:00")</f>
        <v>16/2/2023, 17:00:00</v>
      </c>
      <c r="I1688" s="1" t="str">
        <f>IFERROR(__xludf.DUMMYFUNCTION("""COMPUTED_VALUE"""),"RETIRADO OK POR CLIENTE")</f>
        <v>RETIRADO OK POR CLIENTE</v>
      </c>
      <c r="J1688" s="1">
        <f t="shared" si="3"/>
        <v>6</v>
      </c>
      <c r="K1688" s="1" t="str">
        <f t="shared" si="4"/>
        <v>Entregamos tus lentes, que los disfrutes!</v>
      </c>
    </row>
    <row r="1689">
      <c r="A1689" s="1">
        <f>IFERROR(__xludf.DUMMYFUNCTION("""COMPUTED_VALUE"""),86239.0)</f>
        <v>86239</v>
      </c>
      <c r="B1689" s="5">
        <f>IFERROR(__xludf.DUMMYFUNCTION("""COMPUTED_VALUE"""),44964.82834496528)</f>
        <v>44964.82834</v>
      </c>
      <c r="C1689" s="1" t="str">
        <f>IFERROR(__xludf.DUMMYFUNCTION("""COMPUTED_VALUE"""),"becerra cintia")</f>
        <v>becerra cintia</v>
      </c>
      <c r="D1689" s="1" t="str">
        <f>IFERROR(__xludf.DUMMYFUNCTION("""COMPUTED_VALUE"""),"Lentes de STOCK")</f>
        <v>Lentes de STOCK</v>
      </c>
      <c r="E1689" s="1" t="str">
        <f>IFERROR(__xludf.DUMMYFUNCTION("""COMPUTED_VALUE"""),"RIVADAVIA Santiago N")</f>
        <v>RIVADAVIA Santiago N</v>
      </c>
      <c r="F1689" s="1" t="str">
        <f t="shared" si="1"/>
        <v>RIVADAVIA </v>
      </c>
      <c r="G1689" s="1" t="str">
        <f t="shared" si="2"/>
        <v>Santiago N</v>
      </c>
      <c r="H1689" s="1" t="str">
        <f>IFERROR(__xludf.DUMMYFUNCTION("""COMPUTED_VALUE"""),"10/2/2023, 17:00:00")</f>
        <v>10/2/2023, 17:00:00</v>
      </c>
      <c r="I1689" s="1"/>
      <c r="J1689" s="1">
        <f t="shared" si="3"/>
        <v>0</v>
      </c>
      <c r="K1689" s="1" t="str">
        <f t="shared" si="4"/>
        <v/>
      </c>
    </row>
    <row r="1690">
      <c r="A1690" s="1">
        <f>IFERROR(__xludf.DUMMYFUNCTION("""COMPUTED_VALUE"""),86240.0)</f>
        <v>86240</v>
      </c>
      <c r="B1690" s="5">
        <f>IFERROR(__xludf.DUMMYFUNCTION("""COMPUTED_VALUE"""),44964.83485665509)</f>
        <v>44964.83486</v>
      </c>
      <c r="C1690" s="1" t="str">
        <f>IFERROR(__xludf.DUMMYFUNCTION("""COMPUTED_VALUE"""),"PAEZ URIEL")</f>
        <v>PAEZ URIEL</v>
      </c>
      <c r="D1690" s="1" t="str">
        <f>IFERROR(__xludf.DUMMYFUNCTION("""COMPUTED_VALUE"""),"Reparaciones/Otros")</f>
        <v>Reparaciones/Otros</v>
      </c>
      <c r="E1690" s="1" t="str">
        <f>IFERROR(__xludf.DUMMYFUNCTION("""COMPUTED_VALUE"""),"RIVADAVIA Javier")</f>
        <v>RIVADAVIA Javier</v>
      </c>
      <c r="F1690" s="1" t="str">
        <f t="shared" si="1"/>
        <v>RIVADAVIA </v>
      </c>
      <c r="G1690" s="1" t="str">
        <f t="shared" si="2"/>
        <v>Javier</v>
      </c>
      <c r="H1690" s="1" t="str">
        <f>IFERROR(__xludf.DUMMYFUNCTION("""COMPUTED_VALUE"""),"8/2/2023, 17:00:00")</f>
        <v>8/2/2023, 17:00:00</v>
      </c>
      <c r="I1690" s="1"/>
      <c r="J1690" s="1">
        <f t="shared" si="3"/>
        <v>0</v>
      </c>
      <c r="K1690" s="1" t="str">
        <f t="shared" si="4"/>
        <v/>
      </c>
    </row>
    <row r="1691">
      <c r="A1691" s="1">
        <f>IFERROR(__xludf.DUMMYFUNCTION("""COMPUTED_VALUE"""),86241.0)</f>
        <v>86241</v>
      </c>
      <c r="B1691" s="5">
        <f>IFERROR(__xludf.DUMMYFUNCTION("""COMPUTED_VALUE"""),44964.8439062963)</f>
        <v>44964.84391</v>
      </c>
      <c r="C1691" s="1" t="str">
        <f>IFERROR(__xludf.DUMMYFUNCTION("""COMPUTED_VALUE"""),"FARINA ISADORA")</f>
        <v>FARINA ISADORA</v>
      </c>
      <c r="D1691" s="1" t="str">
        <f>IFERROR(__xludf.DUMMYFUNCTION("""COMPUTED_VALUE"""),"Lentes de STOCK")</f>
        <v>Lentes de STOCK</v>
      </c>
      <c r="E1691" s="1" t="str">
        <f>IFERROR(__xludf.DUMMYFUNCTION("""COMPUTED_VALUE"""),"RIVADAVIA Javier")</f>
        <v>RIVADAVIA Javier</v>
      </c>
      <c r="F1691" s="1" t="str">
        <f t="shared" si="1"/>
        <v>RIVADAVIA </v>
      </c>
      <c r="G1691" s="1" t="str">
        <f t="shared" si="2"/>
        <v>Javier</v>
      </c>
      <c r="H1691" s="1" t="str">
        <f>IFERROR(__xludf.DUMMYFUNCTION("""COMPUTED_VALUE"""),"14/2/2023, 17:00:00")</f>
        <v>14/2/2023, 17:00:00</v>
      </c>
      <c r="I1691" s="1" t="str">
        <f>IFERROR(__xludf.DUMMYFUNCTION("""COMPUTED_VALUE"""),"RETIRADO OK POR CLIENTE")</f>
        <v>RETIRADO OK POR CLIENTE</v>
      </c>
      <c r="J1691" s="1">
        <f t="shared" si="3"/>
        <v>6</v>
      </c>
      <c r="K1691" s="1" t="str">
        <f t="shared" si="4"/>
        <v>Entregamos tus lentes, que los disfrutes!</v>
      </c>
    </row>
    <row r="1692">
      <c r="A1692" s="1">
        <f>IFERROR(__xludf.DUMMYFUNCTION("""COMPUTED_VALUE"""),86242.0)</f>
        <v>86242</v>
      </c>
      <c r="B1692" s="5">
        <f>IFERROR(__xludf.DUMMYFUNCTION("""COMPUTED_VALUE"""),44964.84417856482)</f>
        <v>44964.84418</v>
      </c>
      <c r="C1692" s="1" t="str">
        <f>IFERROR(__xludf.DUMMYFUNCTION("""COMPUTED_VALUE"""),"ledesma tania")</f>
        <v>ledesma tania</v>
      </c>
      <c r="D1692" s="1" t="str">
        <f>IFERROR(__xludf.DUMMYFUNCTION("""COMPUTED_VALUE"""),"Lentes de STOCK")</f>
        <v>Lentes de STOCK</v>
      </c>
      <c r="E1692" s="1" t="str">
        <f>IFERROR(__xludf.DUMMYFUNCTION("""COMPUTED_VALUE"""),"RIVADAVIA Santiago N")</f>
        <v>RIVADAVIA Santiago N</v>
      </c>
      <c r="F1692" s="1" t="str">
        <f t="shared" si="1"/>
        <v>RIVADAVIA </v>
      </c>
      <c r="G1692" s="1" t="str">
        <f t="shared" si="2"/>
        <v>Santiago N</v>
      </c>
      <c r="H1692" s="1" t="str">
        <f>IFERROR(__xludf.DUMMYFUNCTION("""COMPUTED_VALUE"""),"13/2/2023, 17:00:00")</f>
        <v>13/2/2023, 17:00:00</v>
      </c>
      <c r="I1692" s="1" t="str">
        <f>IFERROR(__xludf.DUMMYFUNCTION("""COMPUTED_VALUE"""),"RETIRADO OK POR CLIENTE")</f>
        <v>RETIRADO OK POR CLIENTE</v>
      </c>
      <c r="J1692" s="1">
        <f t="shared" si="3"/>
        <v>6</v>
      </c>
      <c r="K1692" s="1" t="str">
        <f t="shared" si="4"/>
        <v>Entregamos tus lentes, que los disfrutes!</v>
      </c>
    </row>
    <row r="1693">
      <c r="A1693" s="1">
        <f>IFERROR(__xludf.DUMMYFUNCTION("""COMPUTED_VALUE"""),86243.0)</f>
        <v>86243</v>
      </c>
      <c r="B1693" s="5">
        <f>IFERROR(__xludf.DUMMYFUNCTION("""COMPUTED_VALUE"""),44964.85165033565)</f>
        <v>44964.85165</v>
      </c>
      <c r="C1693" s="1" t="str">
        <f>IFERROR(__xludf.DUMMYFUNCTION("""COMPUTED_VALUE"""),"CORICA LAURA")</f>
        <v>CORICA LAURA</v>
      </c>
      <c r="D1693" s="1" t="str">
        <f>IFERROR(__xludf.DUMMYFUNCTION("""COMPUTED_VALUE"""),"Lentes de STOCK")</f>
        <v>Lentes de STOCK</v>
      </c>
      <c r="E1693" s="1" t="str">
        <f>IFERROR(__xludf.DUMMYFUNCTION("""COMPUTED_VALUE"""),"RIVADAVIA Luciana")</f>
        <v>RIVADAVIA Luciana</v>
      </c>
      <c r="F1693" s="1" t="str">
        <f t="shared" si="1"/>
        <v>RIVADAVIA </v>
      </c>
      <c r="G1693" s="1" t="str">
        <f t="shared" si="2"/>
        <v>Luciana</v>
      </c>
      <c r="H1693" s="1" t="str">
        <f>IFERROR(__xludf.DUMMYFUNCTION("""COMPUTED_VALUE"""),"13/2/2023, 18:00:00")</f>
        <v>13/2/2023, 18:00:00</v>
      </c>
      <c r="I1693" s="1" t="str">
        <f>IFERROR(__xludf.DUMMYFUNCTION("""COMPUTED_VALUE"""),"RETIRADO OK POR CLIENTE")</f>
        <v>RETIRADO OK POR CLIENTE</v>
      </c>
      <c r="J1693" s="1">
        <f t="shared" si="3"/>
        <v>6</v>
      </c>
      <c r="K1693" s="1" t="str">
        <f t="shared" si="4"/>
        <v>Entregamos tus lentes, que los disfrutes!</v>
      </c>
    </row>
    <row r="1694">
      <c r="A1694" s="1">
        <f>IFERROR(__xludf.DUMMYFUNCTION("""COMPUTED_VALUE"""),86244.0)</f>
        <v>86244</v>
      </c>
      <c r="B1694" s="5">
        <f>IFERROR(__xludf.DUMMYFUNCTION("""COMPUTED_VALUE"""),44964.86459829861)</f>
        <v>44964.8646</v>
      </c>
      <c r="C1694" s="1" t="str">
        <f>IFERROR(__xludf.DUMMYFUNCTION("""COMPUTED_VALUE"""),"sosa eliana")</f>
        <v>sosa eliana</v>
      </c>
      <c r="D1694" s="1" t="str">
        <f>IFERROR(__xludf.DUMMYFUNCTION("""COMPUTED_VALUE"""),"Lentes de STOCK")</f>
        <v>Lentes de STOCK</v>
      </c>
      <c r="E1694" s="1" t="str">
        <f>IFERROR(__xludf.DUMMYFUNCTION("""COMPUTED_VALUE"""),"RIVADAVIA Santiago N")</f>
        <v>RIVADAVIA Santiago N</v>
      </c>
      <c r="F1694" s="1" t="str">
        <f t="shared" si="1"/>
        <v>RIVADAVIA </v>
      </c>
      <c r="G1694" s="1" t="str">
        <f t="shared" si="2"/>
        <v>Santiago N</v>
      </c>
      <c r="H1694" s="1" t="str">
        <f>IFERROR(__xludf.DUMMYFUNCTION("""COMPUTED_VALUE"""),"10/2/2023, 17:00:00")</f>
        <v>10/2/2023, 17:00:00</v>
      </c>
      <c r="I1694" s="1" t="str">
        <f>IFERROR(__xludf.DUMMYFUNCTION("""COMPUTED_VALUE"""),"RETIRADO OK POR CLIENTE")</f>
        <v>RETIRADO OK POR CLIENTE</v>
      </c>
      <c r="J1694" s="1">
        <f t="shared" si="3"/>
        <v>6</v>
      </c>
      <c r="K1694" s="1" t="str">
        <f t="shared" si="4"/>
        <v>Entregamos tus lentes, que los disfrutes!</v>
      </c>
    </row>
    <row r="1695">
      <c r="A1695" s="1">
        <f>IFERROR(__xludf.DUMMYFUNCTION("""COMPUTED_VALUE"""),86245.0)</f>
        <v>86245</v>
      </c>
      <c r="B1695" s="5">
        <f>IFERROR(__xludf.DUMMYFUNCTION("""COMPUTED_VALUE"""),44965.39036797454)</f>
        <v>44965.39037</v>
      </c>
      <c r="C1695" s="1" t="str">
        <f>IFERROR(__xludf.DUMMYFUNCTION("""COMPUTED_VALUE"""),"GUEVARA VICTOR HUGO")</f>
        <v>GUEVARA VICTOR HUGO</v>
      </c>
      <c r="D1695" s="1" t="str">
        <f>IFERROR(__xludf.DUMMYFUNCTION("""COMPUTED_VALUE"""),"Lentes BIFOCALES")</f>
        <v>Lentes BIFOCALES</v>
      </c>
      <c r="E1695" s="1" t="str">
        <f>IFERROR(__xludf.DUMMYFUNCTION("""COMPUTED_VALUE"""),"ARTIGAS Cristian C.")</f>
        <v>ARTIGAS Cristian C.</v>
      </c>
      <c r="F1695" s="1" t="str">
        <f t="shared" si="1"/>
        <v>ARTIGAS </v>
      </c>
      <c r="G1695" s="1" t="str">
        <f t="shared" si="2"/>
        <v>Cristian C.</v>
      </c>
      <c r="H1695" s="1" t="str">
        <f>IFERROR(__xludf.DUMMYFUNCTION("""COMPUTED_VALUE"""),"22/2/2023, 17:00:00")</f>
        <v>22/2/2023, 17:00:00</v>
      </c>
      <c r="I1695" s="1" t="str">
        <f>IFERROR(__xludf.DUMMYFUNCTION("""COMPUTED_VALUE"""),"RETIRADO OK POR CLIENTE")</f>
        <v>RETIRADO OK POR CLIENTE</v>
      </c>
      <c r="J1695" s="1">
        <f t="shared" si="3"/>
        <v>6</v>
      </c>
      <c r="K1695" s="1" t="str">
        <f t="shared" si="4"/>
        <v>Entregamos tus lentes, que los disfrutes!</v>
      </c>
    </row>
    <row r="1696">
      <c r="A1696" s="1">
        <f>IFERROR(__xludf.DUMMYFUNCTION("""COMPUTED_VALUE"""),86246.0)</f>
        <v>86246</v>
      </c>
      <c r="B1696" s="5">
        <f>IFERROR(__xludf.DUMMYFUNCTION("""COMPUTED_VALUE"""),44965.39340137731)</f>
        <v>44965.3934</v>
      </c>
      <c r="C1696" s="1" t="str">
        <f>IFERROR(__xludf.DUMMYFUNCTION("""COMPUTED_VALUE"""),"MARTINEZ NORMA")</f>
        <v>MARTINEZ NORMA</v>
      </c>
      <c r="D1696" s="1" t="str">
        <f>IFERROR(__xludf.DUMMYFUNCTION("""COMPUTED_VALUE"""),"Lentes de STOCK")</f>
        <v>Lentes de STOCK</v>
      </c>
      <c r="E1696" s="1" t="str">
        <f>IFERROR(__xludf.DUMMYFUNCTION("""COMPUTED_VALUE"""),"RIVADAVIA Luciana")</f>
        <v>RIVADAVIA Luciana</v>
      </c>
      <c r="F1696" s="1" t="str">
        <f t="shared" si="1"/>
        <v>RIVADAVIA </v>
      </c>
      <c r="G1696" s="1" t="str">
        <f t="shared" si="2"/>
        <v>Luciana</v>
      </c>
      <c r="H1696" s="1" t="str">
        <f>IFERROR(__xludf.DUMMYFUNCTION("""COMPUTED_VALUE"""),"14/2/2023, 18:00:00")</f>
        <v>14/2/2023, 18:00:00</v>
      </c>
      <c r="I1696" s="1" t="str">
        <f>IFERROR(__xludf.DUMMYFUNCTION("""COMPUTED_VALUE"""),"RETIRADO OK POR CLIENTE")</f>
        <v>RETIRADO OK POR CLIENTE</v>
      </c>
      <c r="J1696" s="1">
        <f t="shared" si="3"/>
        <v>6</v>
      </c>
      <c r="K1696" s="1" t="str">
        <f t="shared" si="4"/>
        <v>Entregamos tus lentes, que los disfrutes!</v>
      </c>
    </row>
    <row r="1697">
      <c r="A1697" s="1">
        <f>IFERROR(__xludf.DUMMYFUNCTION("""COMPUTED_VALUE"""),86247.0)</f>
        <v>86247</v>
      </c>
      <c r="B1697" s="5">
        <f>IFERROR(__xludf.DUMMYFUNCTION("""COMPUTED_VALUE"""),44965.40476472222)</f>
        <v>44965.40476</v>
      </c>
      <c r="C1697" s="1" t="str">
        <f>IFERROR(__xludf.DUMMYFUNCTION("""COMPUTED_VALUE"""),"VARGAS MONICA ESTHER")</f>
        <v>VARGAS MONICA ESTHER</v>
      </c>
      <c r="D1697" s="1" t="str">
        <f>IFERROR(__xludf.DUMMYFUNCTION("""COMPUTED_VALUE"""),"Lentes BIFOCALES")</f>
        <v>Lentes BIFOCALES</v>
      </c>
      <c r="E1697" s="1" t="str">
        <f>IFERROR(__xludf.DUMMYFUNCTION("""COMPUTED_VALUE"""),"ARTIGAS Cristian C.")</f>
        <v>ARTIGAS Cristian C.</v>
      </c>
      <c r="F1697" s="1" t="str">
        <f t="shared" si="1"/>
        <v>ARTIGAS </v>
      </c>
      <c r="G1697" s="1" t="str">
        <f t="shared" si="2"/>
        <v>Cristian C.</v>
      </c>
      <c r="H1697" s="1" t="str">
        <f>IFERROR(__xludf.DUMMYFUNCTION("""COMPUTED_VALUE"""),"15/2/2023, 17:00:00")</f>
        <v>15/2/2023, 17:00:00</v>
      </c>
      <c r="I1697" s="1" t="str">
        <f>IFERROR(__xludf.DUMMYFUNCTION("""COMPUTED_VALUE"""),"RETIRADO OK POR CLIENTE")</f>
        <v>RETIRADO OK POR CLIENTE</v>
      </c>
      <c r="J1697" s="1">
        <f t="shared" si="3"/>
        <v>6</v>
      </c>
      <c r="K1697" s="1" t="str">
        <f t="shared" si="4"/>
        <v>Entregamos tus lentes, que los disfrutes!</v>
      </c>
    </row>
    <row r="1698">
      <c r="A1698" s="1">
        <f>IFERROR(__xludf.DUMMYFUNCTION("""COMPUTED_VALUE"""),86248.0)</f>
        <v>86248</v>
      </c>
      <c r="B1698" s="5">
        <f>IFERROR(__xludf.DUMMYFUNCTION("""COMPUTED_VALUE"""),44965.40944739583)</f>
        <v>44965.40945</v>
      </c>
      <c r="C1698" s="1" t="str">
        <f>IFERROR(__xludf.DUMMYFUNCTION("""COMPUTED_VALUE"""),"MATIN  LILIANA")</f>
        <v>MATIN  LILIANA</v>
      </c>
      <c r="D1698" s="1" t="str">
        <f>IFERROR(__xludf.DUMMYFUNCTION("""COMPUTED_VALUE"""),"Lentes de STOCK")</f>
        <v>Lentes de STOCK</v>
      </c>
      <c r="E1698" s="1" t="str">
        <f>IFERROR(__xludf.DUMMYFUNCTION("""COMPUTED_VALUE"""),"ARTIGAS Celina")</f>
        <v>ARTIGAS Celina</v>
      </c>
      <c r="F1698" s="1" t="str">
        <f t="shared" si="1"/>
        <v>ARTIGAS </v>
      </c>
      <c r="G1698" s="1" t="str">
        <f t="shared" si="2"/>
        <v>Celina</v>
      </c>
      <c r="H1698" s="1" t="str">
        <f>IFERROR(__xludf.DUMMYFUNCTION("""COMPUTED_VALUE"""),"16/2/2023, 17:00:00")</f>
        <v>16/2/2023, 17:00:00</v>
      </c>
      <c r="I1698" s="1" t="str">
        <f>IFERROR(__xludf.DUMMYFUNCTION("""COMPUTED_VALUE"""),"RETIRADO OK POR CLIENTE")</f>
        <v>RETIRADO OK POR CLIENTE</v>
      </c>
      <c r="J1698" s="1">
        <f t="shared" si="3"/>
        <v>6</v>
      </c>
      <c r="K1698" s="1" t="str">
        <f t="shared" si="4"/>
        <v>Entregamos tus lentes, que los disfrutes!</v>
      </c>
    </row>
    <row r="1699" hidden="1">
      <c r="A1699" s="1">
        <f>IFERROR(__xludf.DUMMYFUNCTION("""COMPUTED_VALUE"""),86249.0)</f>
        <v>86249</v>
      </c>
      <c r="B1699" s="5">
        <f>IFERROR(__xludf.DUMMYFUNCTION("""COMPUTED_VALUE"""),44965.41529359954)</f>
        <v>44965.41529</v>
      </c>
      <c r="C1699" s="1" t="str">
        <f>IFERROR(__xludf.DUMMYFUNCTION("""COMPUTED_VALUE"""),"FREIRE RODRIGUEZ ADRIANA")</f>
        <v>FREIRE RODRIGUEZ ADRIANA</v>
      </c>
      <c r="D1699" s="1" t="str">
        <f>IFERROR(__xludf.DUMMYFUNCTION("""COMPUTED_VALUE"""),"Lentes MULTIFOCALES")</f>
        <v>Lentes MULTIFOCALES</v>
      </c>
      <c r="E1699" s="1" t="str">
        <f>IFERROR(__xludf.DUMMYFUNCTION("""COMPUTED_VALUE"""),"ARTIGAS Cristian C.")</f>
        <v>ARTIGAS Cristian C.</v>
      </c>
      <c r="F1699" s="1" t="str">
        <f t="shared" si="1"/>
        <v>ARTIGAS </v>
      </c>
      <c r="G1699" s="1" t="str">
        <f t="shared" si="2"/>
        <v>Cristian C.</v>
      </c>
      <c r="H1699" s="1" t="str">
        <f>IFERROR(__xludf.DUMMYFUNCTION("""COMPUTED_VALUE"""),"24/2/2023, 17:00:00")</f>
        <v>24/2/2023, 17:00:00</v>
      </c>
      <c r="I1699" s="1" t="str">
        <f>IFERROR(__xludf.DUMMYFUNCTION("""COMPUTED_VALUE"""),"DEMORADO")</f>
        <v>DEMORADO</v>
      </c>
      <c r="J1699" s="1" t="str">
        <f t="shared" si="3"/>
        <v/>
      </c>
      <c r="K1699" s="1" t="str">
        <f t="shared" si="4"/>
        <v>Tuvimos una demora con tus lentes y no podremos entregarlo en las fecha acordada, estamos trabajando para terminarlos cuanto antes, te mantendremos al tanto, si es necesario contactanos via whatsapp.</v>
      </c>
    </row>
    <row r="1700">
      <c r="A1700" s="1">
        <f>IFERROR(__xludf.DUMMYFUNCTION("""COMPUTED_VALUE"""),86250.0)</f>
        <v>86250</v>
      </c>
      <c r="B1700" s="5">
        <f>IFERROR(__xludf.DUMMYFUNCTION("""COMPUTED_VALUE"""),44965.416555289354)</f>
        <v>44965.41656</v>
      </c>
      <c r="C1700" s="1" t="str">
        <f>IFERROR(__xludf.DUMMYFUNCTION("""COMPUTED_VALUE"""),"dra vieyra graciela")</f>
        <v>dra vieyra graciela</v>
      </c>
      <c r="D1700" s="1" t="str">
        <f>IFERROR(__xludf.DUMMYFUNCTION("""COMPUTED_VALUE"""),"Lentes MULTIFOCALES")</f>
        <v>Lentes MULTIFOCALES</v>
      </c>
      <c r="E1700" s="1" t="str">
        <f>IFERROR(__xludf.DUMMYFUNCTION("""COMPUTED_VALUE"""),"RIVADAVIA Santiago N")</f>
        <v>RIVADAVIA Santiago N</v>
      </c>
      <c r="F1700" s="1" t="str">
        <f t="shared" si="1"/>
        <v>RIVADAVIA </v>
      </c>
      <c r="G1700" s="1" t="str">
        <f t="shared" si="2"/>
        <v>Santiago N</v>
      </c>
      <c r="H1700" s="1" t="str">
        <f>IFERROR(__xludf.DUMMYFUNCTION("""COMPUTED_VALUE"""),"22/2/2023, 17:00:00")</f>
        <v>22/2/2023, 17:00:00</v>
      </c>
      <c r="I1700" s="1" t="str">
        <f>IFERROR(__xludf.DUMMYFUNCTION("""COMPUTED_VALUE"""),"RETIRADO OK POR CLIENTE")</f>
        <v>RETIRADO OK POR CLIENTE</v>
      </c>
      <c r="J1700" s="1">
        <f t="shared" si="3"/>
        <v>6</v>
      </c>
      <c r="K1700" s="1" t="str">
        <f t="shared" si="4"/>
        <v>Entregamos tus lentes, que los disfrutes!</v>
      </c>
    </row>
    <row r="1701">
      <c r="A1701" s="1">
        <f>IFERROR(__xludf.DUMMYFUNCTION("""COMPUTED_VALUE"""),86251.0)</f>
        <v>86251</v>
      </c>
      <c r="B1701" s="5">
        <f>IFERROR(__xludf.DUMMYFUNCTION("""COMPUTED_VALUE"""),44965.4179633912)</f>
        <v>44965.41796</v>
      </c>
      <c r="C1701" s="1" t="str">
        <f>IFERROR(__xludf.DUMMYFUNCTION("""COMPUTED_VALUE"""),"SARMIENTO MIROSMAR BRUNO")</f>
        <v>SARMIENTO MIROSMAR BRUNO</v>
      </c>
      <c r="D1701" s="1" t="str">
        <f>IFERROR(__xludf.DUMMYFUNCTION("""COMPUTED_VALUE"""),"Lentes de STOCK")</f>
        <v>Lentes de STOCK</v>
      </c>
      <c r="E1701" s="1" t="str">
        <f>IFERROR(__xludf.DUMMYFUNCTION("""COMPUTED_VALUE"""),"RIVADAVIA Javier")</f>
        <v>RIVADAVIA Javier</v>
      </c>
      <c r="F1701" s="1" t="str">
        <f t="shared" si="1"/>
        <v>RIVADAVIA </v>
      </c>
      <c r="G1701" s="1" t="str">
        <f t="shared" si="2"/>
        <v>Javier</v>
      </c>
      <c r="H1701" s="1" t="str">
        <f>IFERROR(__xludf.DUMMYFUNCTION("""COMPUTED_VALUE"""),"14/2/2023, 17:00:00")</f>
        <v>14/2/2023, 17:00:00</v>
      </c>
      <c r="I1701" s="1" t="str">
        <f>IFERROR(__xludf.DUMMYFUNCTION("""COMPUTED_VALUE"""),"RETIRADO OK POR CLIENTE")</f>
        <v>RETIRADO OK POR CLIENTE</v>
      </c>
      <c r="J1701" s="1">
        <f t="shared" si="3"/>
        <v>6</v>
      </c>
      <c r="K1701" s="1" t="str">
        <f t="shared" si="4"/>
        <v>Entregamos tus lentes, que los disfrutes!</v>
      </c>
    </row>
    <row r="1702">
      <c r="A1702" s="1">
        <f>IFERROR(__xludf.DUMMYFUNCTION("""COMPUTED_VALUE"""),86252.0)</f>
        <v>86252</v>
      </c>
      <c r="B1702" s="5">
        <f>IFERROR(__xludf.DUMMYFUNCTION("""COMPUTED_VALUE"""),44965.42646644676)</f>
        <v>44965.42647</v>
      </c>
      <c r="C1702" s="1" t="str">
        <f>IFERROR(__xludf.DUMMYFUNCTION("""COMPUTED_VALUE"""),"ALBORNOZ SANDRA")</f>
        <v>ALBORNOZ SANDRA</v>
      </c>
      <c r="D1702" s="1" t="str">
        <f>IFERROR(__xludf.DUMMYFUNCTION("""COMPUTED_VALUE"""),"Lentes de STOCK")</f>
        <v>Lentes de STOCK</v>
      </c>
      <c r="E1702" s="1" t="str">
        <f>IFERROR(__xludf.DUMMYFUNCTION("""COMPUTED_VALUE"""),"ARTIGAS Cristian C.")</f>
        <v>ARTIGAS Cristian C.</v>
      </c>
      <c r="F1702" s="1" t="str">
        <f t="shared" si="1"/>
        <v>ARTIGAS </v>
      </c>
      <c r="G1702" s="1" t="str">
        <f t="shared" si="2"/>
        <v>Cristian C.</v>
      </c>
      <c r="H1702" s="1" t="str">
        <f>IFERROR(__xludf.DUMMYFUNCTION("""COMPUTED_VALUE"""),"15/2/2023, 17:00:00")</f>
        <v>15/2/2023, 17:00:00</v>
      </c>
      <c r="I1702" s="1" t="str">
        <f>IFERROR(__xludf.DUMMYFUNCTION("""COMPUTED_VALUE"""),"Completado en SUCURSAL")</f>
        <v>Completado en SUCURSAL</v>
      </c>
      <c r="J1702" s="1">
        <f t="shared" si="3"/>
        <v>5</v>
      </c>
      <c r="K1702" s="1" t="str">
        <f t="shared" si="4"/>
        <v>Tus Lentes estan LISTAS PARA ENTREGAR, te esperamos.</v>
      </c>
    </row>
    <row r="1703">
      <c r="A1703" s="1">
        <f>IFERROR(__xludf.DUMMYFUNCTION("""COMPUTED_VALUE"""),86253.0)</f>
        <v>86253</v>
      </c>
      <c r="B1703" s="5">
        <f>IFERROR(__xludf.DUMMYFUNCTION("""COMPUTED_VALUE"""),44965.427803240746)</f>
        <v>44965.4278</v>
      </c>
      <c r="C1703" s="1" t="str">
        <f>IFERROR(__xludf.DUMMYFUNCTION("""COMPUTED_VALUE"""),"QUIROGA ESTER NOEMI")</f>
        <v>QUIROGA ESTER NOEMI</v>
      </c>
      <c r="D1703" s="1" t="str">
        <f>IFERROR(__xludf.DUMMYFUNCTION("""COMPUTED_VALUE"""),"Lentes de STOCK")</f>
        <v>Lentes de STOCK</v>
      </c>
      <c r="E1703" s="1" t="str">
        <f>IFERROR(__xludf.DUMMYFUNCTION("""COMPUTED_VALUE"""),"RIVADAVIA Marcela L")</f>
        <v>RIVADAVIA Marcela L</v>
      </c>
      <c r="F1703" s="1" t="str">
        <f t="shared" si="1"/>
        <v>RIVADAVIA </v>
      </c>
      <c r="G1703" s="1" t="str">
        <f t="shared" si="2"/>
        <v>Marcela L</v>
      </c>
      <c r="H1703" s="1" t="str">
        <f>IFERROR(__xludf.DUMMYFUNCTION("""COMPUTED_VALUE"""),"10/2/2023, 17:00:00")</f>
        <v>10/2/2023, 17:00:00</v>
      </c>
      <c r="I1703" s="1" t="str">
        <f>IFERROR(__xludf.DUMMYFUNCTION("""COMPUTED_VALUE"""),"RETIRADO OK POR CLIENTE")</f>
        <v>RETIRADO OK POR CLIENTE</v>
      </c>
      <c r="J1703" s="1">
        <f t="shared" si="3"/>
        <v>6</v>
      </c>
      <c r="K1703" s="1" t="str">
        <f t="shared" si="4"/>
        <v>Entregamos tus lentes, que los disfrutes!</v>
      </c>
    </row>
    <row r="1704">
      <c r="A1704" s="1">
        <f>IFERROR(__xludf.DUMMYFUNCTION("""COMPUTED_VALUE"""),86254.0)</f>
        <v>86254</v>
      </c>
      <c r="B1704" s="5">
        <f>IFERROR(__xludf.DUMMYFUNCTION("""COMPUTED_VALUE"""),44965.42825334491)</f>
        <v>44965.42825</v>
      </c>
      <c r="C1704" s="1" t="str">
        <f>IFERROR(__xludf.DUMMYFUNCTION("""COMPUTED_VALUE"""),"ABRAHAM SELVA")</f>
        <v>ABRAHAM SELVA</v>
      </c>
      <c r="D1704" s="1" t="str">
        <f>IFERROR(__xludf.DUMMYFUNCTION("""COMPUTED_VALUE"""),"Lentes de STOCK")</f>
        <v>Lentes de STOCK</v>
      </c>
      <c r="E1704" s="1" t="str">
        <f>IFERROR(__xludf.DUMMYFUNCTION("""COMPUTED_VALUE"""),"RIVADAVIA Luciana")</f>
        <v>RIVADAVIA Luciana</v>
      </c>
      <c r="F1704" s="1" t="str">
        <f t="shared" si="1"/>
        <v>RIVADAVIA </v>
      </c>
      <c r="G1704" s="1" t="str">
        <f t="shared" si="2"/>
        <v>Luciana</v>
      </c>
      <c r="H1704" s="1" t="str">
        <f>IFERROR(__xludf.DUMMYFUNCTION("""COMPUTED_VALUE"""),"11/2/2023, 17:00:00")</f>
        <v>11/2/2023, 17:00:00</v>
      </c>
      <c r="I1704" s="1" t="str">
        <f>IFERROR(__xludf.DUMMYFUNCTION("""COMPUTED_VALUE"""),"Recibido en Laboratorio")</f>
        <v>Recibido en Laboratorio</v>
      </c>
      <c r="J1704" s="1">
        <f t="shared" si="3"/>
        <v>2</v>
      </c>
      <c r="K1704" s="1" t="str">
        <f t="shared" si="4"/>
        <v>Nuestro Laboratorio esta trabajando en tus lentes, los entregaremos en la fecha acordada.</v>
      </c>
    </row>
    <row r="1705">
      <c r="A1705" s="1">
        <f>IFERROR(__xludf.DUMMYFUNCTION("""COMPUTED_VALUE"""),86255.0)</f>
        <v>86255</v>
      </c>
      <c r="B1705" s="5">
        <f>IFERROR(__xludf.DUMMYFUNCTION("""COMPUTED_VALUE"""),44965.42869615741)</f>
        <v>44965.4287</v>
      </c>
      <c r="C1705" s="7" t="str">
        <f>IFERROR(__xludf.DUMMYFUNCTION("""COMPUTED_VALUE"""),"ALBORNOZ SANDRA")</f>
        <v>ALBORNOZ SANDRA</v>
      </c>
      <c r="D1705" s="1" t="str">
        <f>IFERROR(__xludf.DUMMYFUNCTION("""COMPUTED_VALUE"""),"Reparaciones/Otros")</f>
        <v>Reparaciones/Otros</v>
      </c>
      <c r="E1705" s="1" t="str">
        <f>IFERROR(__xludf.DUMMYFUNCTION("""COMPUTED_VALUE"""),"ARTIGAS Cristian C.")</f>
        <v>ARTIGAS Cristian C.</v>
      </c>
      <c r="F1705" s="1" t="str">
        <f t="shared" si="1"/>
        <v>ARTIGAS </v>
      </c>
      <c r="G1705" s="1" t="str">
        <f t="shared" si="2"/>
        <v>Cristian C.</v>
      </c>
      <c r="H1705" s="1" t="str">
        <f>IFERROR(__xludf.DUMMYFUNCTION("""COMPUTED_VALUE"""),"10/2/2023, 17:00:00")</f>
        <v>10/2/2023, 17:00:00</v>
      </c>
      <c r="I1705" s="1"/>
      <c r="J1705" s="1">
        <f t="shared" si="3"/>
        <v>0</v>
      </c>
      <c r="K1705" s="1" t="str">
        <f t="shared" si="4"/>
        <v/>
      </c>
    </row>
    <row r="1706">
      <c r="A1706" s="1">
        <f>IFERROR(__xludf.DUMMYFUNCTION("""COMPUTED_VALUE"""),86256.0)</f>
        <v>86256</v>
      </c>
      <c r="B1706" s="5">
        <f>IFERROR(__xludf.DUMMYFUNCTION("""COMPUTED_VALUE"""),44965.43088996528)</f>
        <v>44965.43089</v>
      </c>
      <c r="C1706" s="1" t="str">
        <f>IFERROR(__xludf.DUMMYFUNCTION("""COMPUTED_VALUE"""),"de salinas maria")</f>
        <v>de salinas maria</v>
      </c>
      <c r="D1706" s="1" t="str">
        <f>IFERROR(__xludf.DUMMYFUNCTION("""COMPUTED_VALUE"""),"Lentes de STOCK")</f>
        <v>Lentes de STOCK</v>
      </c>
      <c r="E1706" s="1" t="str">
        <f>IFERROR(__xludf.DUMMYFUNCTION("""COMPUTED_VALUE"""),"RIVADAVIA Santiago N")</f>
        <v>RIVADAVIA Santiago N</v>
      </c>
      <c r="F1706" s="1" t="str">
        <f t="shared" si="1"/>
        <v>RIVADAVIA </v>
      </c>
      <c r="G1706" s="1" t="str">
        <f t="shared" si="2"/>
        <v>Santiago N</v>
      </c>
      <c r="H1706" s="1" t="str">
        <f>IFERROR(__xludf.DUMMYFUNCTION("""COMPUTED_VALUE"""),"11/2/2023, 17:00:00")</f>
        <v>11/2/2023, 17:00:00</v>
      </c>
      <c r="I1706" s="1" t="str">
        <f>IFERROR(__xludf.DUMMYFUNCTION("""COMPUTED_VALUE"""),"RETIRADO OK POR CLIENTE")</f>
        <v>RETIRADO OK POR CLIENTE</v>
      </c>
      <c r="J1706" s="1">
        <f t="shared" si="3"/>
        <v>6</v>
      </c>
      <c r="K1706" s="1" t="str">
        <f t="shared" si="4"/>
        <v>Entregamos tus lentes, que los disfrutes!</v>
      </c>
    </row>
    <row r="1707">
      <c r="A1707" s="1">
        <f>IFERROR(__xludf.DUMMYFUNCTION("""COMPUTED_VALUE"""),86257.0)</f>
        <v>86257</v>
      </c>
      <c r="B1707" s="5">
        <f>IFERROR(__xludf.DUMMYFUNCTION("""COMPUTED_VALUE"""),44965.434570983794)</f>
        <v>44965.43457</v>
      </c>
      <c r="C1707" s="1" t="str">
        <f>IFERROR(__xludf.DUMMYFUNCTION("""COMPUTED_VALUE"""),"Kiling Carlos")</f>
        <v>Kiling Carlos</v>
      </c>
      <c r="D1707" s="1" t="str">
        <f>IFERROR(__xludf.DUMMYFUNCTION("""COMPUTED_VALUE"""),"Reparaciones/Otros")</f>
        <v>Reparaciones/Otros</v>
      </c>
      <c r="E1707" s="1" t="str">
        <f>IFERROR(__xludf.DUMMYFUNCTION("""COMPUTED_VALUE"""),"ARTIGAS Roció")</f>
        <v>ARTIGAS Roció</v>
      </c>
      <c r="F1707" s="1" t="str">
        <f t="shared" si="1"/>
        <v>ARTIGAS </v>
      </c>
      <c r="G1707" s="1" t="str">
        <f t="shared" si="2"/>
        <v>Roció</v>
      </c>
      <c r="H1707" s="1" t="str">
        <f>IFERROR(__xludf.DUMMYFUNCTION("""COMPUTED_VALUE"""),"10/2/2023, 17:00:00")</f>
        <v>10/2/2023, 17:00:00</v>
      </c>
      <c r="I1707" s="1"/>
      <c r="J1707" s="1">
        <f t="shared" si="3"/>
        <v>0</v>
      </c>
      <c r="K1707" s="1" t="str">
        <f t="shared" si="4"/>
        <v/>
      </c>
    </row>
    <row r="1708">
      <c r="A1708" s="1">
        <f>IFERROR(__xludf.DUMMYFUNCTION("""COMPUTED_VALUE"""),86258.0)</f>
        <v>86258</v>
      </c>
      <c r="B1708" s="5">
        <f>IFERROR(__xludf.DUMMYFUNCTION("""COMPUTED_VALUE"""),44965.43894494213)</f>
        <v>44965.43894</v>
      </c>
      <c r="C1708" s="1" t="str">
        <f>IFERROR(__xludf.DUMMYFUNCTION("""COMPUTED_VALUE"""),"ILLANES PATRICIA ALEJANDRA")</f>
        <v>ILLANES PATRICIA ALEJANDRA</v>
      </c>
      <c r="D1708" s="1" t="str">
        <f>IFERROR(__xludf.DUMMYFUNCTION("""COMPUTED_VALUE"""),"Lentes de STOCK")</f>
        <v>Lentes de STOCK</v>
      </c>
      <c r="E1708" s="1" t="str">
        <f>IFERROR(__xludf.DUMMYFUNCTION("""COMPUTED_VALUE"""),"RIVADAVIA Marcela L")</f>
        <v>RIVADAVIA Marcela L</v>
      </c>
      <c r="F1708" s="1" t="str">
        <f t="shared" si="1"/>
        <v>RIVADAVIA </v>
      </c>
      <c r="G1708" s="1" t="str">
        <f t="shared" si="2"/>
        <v>Marcela L</v>
      </c>
      <c r="H1708" s="1" t="str">
        <f>IFERROR(__xludf.DUMMYFUNCTION("""COMPUTED_VALUE"""),"10/2/2023, 17:00:00")</f>
        <v>10/2/2023, 17:00:00</v>
      </c>
      <c r="I1708" s="1" t="str">
        <f>IFERROR(__xludf.DUMMYFUNCTION("""COMPUTED_VALUE"""),"RETIRADO OK POR CLIENTE")</f>
        <v>RETIRADO OK POR CLIENTE</v>
      </c>
      <c r="J1708" s="1">
        <f t="shared" si="3"/>
        <v>6</v>
      </c>
      <c r="K1708" s="1" t="str">
        <f t="shared" si="4"/>
        <v>Entregamos tus lentes, que los disfrutes!</v>
      </c>
    </row>
    <row r="1709">
      <c r="A1709" s="1">
        <f>IFERROR(__xludf.DUMMYFUNCTION("""COMPUTED_VALUE"""),86259.0)</f>
        <v>86259</v>
      </c>
      <c r="B1709" s="5">
        <f>IFERROR(__xludf.DUMMYFUNCTION("""COMPUTED_VALUE"""),44965.441299178245)</f>
        <v>44965.4413</v>
      </c>
      <c r="C1709" s="1" t="str">
        <f>IFERROR(__xludf.DUMMYFUNCTION("""COMPUTED_VALUE"""),"Godoy Neri Eriberto")</f>
        <v>Godoy Neri Eriberto</v>
      </c>
      <c r="D1709" s="1" t="str">
        <f>IFERROR(__xludf.DUMMYFUNCTION("""COMPUTED_VALUE"""),"Lentes de STOCK")</f>
        <v>Lentes de STOCK</v>
      </c>
      <c r="E1709" s="1" t="str">
        <f>IFERROR(__xludf.DUMMYFUNCTION("""COMPUTED_VALUE"""),"ARTIGAS Roció")</f>
        <v>ARTIGAS Roció</v>
      </c>
      <c r="F1709" s="1" t="str">
        <f t="shared" si="1"/>
        <v>ARTIGAS </v>
      </c>
      <c r="G1709" s="1" t="str">
        <f t="shared" si="2"/>
        <v>Roció</v>
      </c>
      <c r="H1709" s="1" t="str">
        <f>IFERROR(__xludf.DUMMYFUNCTION("""COMPUTED_VALUE"""),"16/2/2023, 17:00:00")</f>
        <v>16/2/2023, 17:00:00</v>
      </c>
      <c r="I1709" s="1" t="str">
        <f>IFERROR(__xludf.DUMMYFUNCTION("""COMPUTED_VALUE"""),"RETIRADO OK POR CLIENTE")</f>
        <v>RETIRADO OK POR CLIENTE</v>
      </c>
      <c r="J1709" s="1">
        <f t="shared" si="3"/>
        <v>6</v>
      </c>
      <c r="K1709" s="1" t="str">
        <f t="shared" si="4"/>
        <v>Entregamos tus lentes, que los disfrutes!</v>
      </c>
    </row>
    <row r="1710">
      <c r="A1710" s="1">
        <f>IFERROR(__xludf.DUMMYFUNCTION("""COMPUTED_VALUE"""),86260.0)</f>
        <v>86260</v>
      </c>
      <c r="B1710" s="5">
        <f>IFERROR(__xludf.DUMMYFUNCTION("""COMPUTED_VALUE"""),44965.44164447917)</f>
        <v>44965.44164</v>
      </c>
      <c r="C1710" s="1" t="str">
        <f>IFERROR(__xludf.DUMMYFUNCTION("""COMPUTED_VALUE"""),"heredia graciela")</f>
        <v>heredia graciela</v>
      </c>
      <c r="D1710" s="1" t="str">
        <f>IFERROR(__xludf.DUMMYFUNCTION("""COMPUTED_VALUE"""),"Lentes de STOCK")</f>
        <v>Lentes de STOCK</v>
      </c>
      <c r="E1710" s="1" t="str">
        <f>IFERROR(__xludf.DUMMYFUNCTION("""COMPUTED_VALUE"""),"RIVADAVIA Santiago N")</f>
        <v>RIVADAVIA Santiago N</v>
      </c>
      <c r="F1710" s="1" t="str">
        <f t="shared" si="1"/>
        <v>RIVADAVIA </v>
      </c>
      <c r="G1710" s="1" t="str">
        <f t="shared" si="2"/>
        <v>Santiago N</v>
      </c>
      <c r="H1710" s="1" t="str">
        <f>IFERROR(__xludf.DUMMYFUNCTION("""COMPUTED_VALUE"""),"10/2/2023, 17:00:00")</f>
        <v>10/2/2023, 17:00:00</v>
      </c>
      <c r="I1710" s="1" t="str">
        <f>IFERROR(__xludf.DUMMYFUNCTION("""COMPUTED_VALUE"""),"RETIRADO OK POR CLIENTE")</f>
        <v>RETIRADO OK POR CLIENTE</v>
      </c>
      <c r="J1710" s="1">
        <f t="shared" si="3"/>
        <v>6</v>
      </c>
      <c r="K1710" s="1" t="str">
        <f t="shared" si="4"/>
        <v>Entregamos tus lentes, que los disfrutes!</v>
      </c>
    </row>
    <row r="1711">
      <c r="A1711" s="1">
        <f>IFERROR(__xludf.DUMMYFUNCTION("""COMPUTED_VALUE"""),86261.0)</f>
        <v>86261</v>
      </c>
      <c r="B1711" s="5">
        <f>IFERROR(__xludf.DUMMYFUNCTION("""COMPUTED_VALUE"""),44965.443786793985)</f>
        <v>44965.44379</v>
      </c>
      <c r="C1711" s="1" t="str">
        <f>IFERROR(__xludf.DUMMYFUNCTION("""COMPUTED_VALUE"""),"MALDONADO BEATRIZ ALICIA")</f>
        <v>MALDONADO BEATRIZ ALICIA</v>
      </c>
      <c r="D1711" s="1" t="str">
        <f>IFERROR(__xludf.DUMMYFUNCTION("""COMPUTED_VALUE"""),"Lentes de STOCK")</f>
        <v>Lentes de STOCK</v>
      </c>
      <c r="E1711" s="1" t="str">
        <f>IFERROR(__xludf.DUMMYFUNCTION("""COMPUTED_VALUE"""),"ARTIGAS Cristian C.")</f>
        <v>ARTIGAS Cristian C.</v>
      </c>
      <c r="F1711" s="1" t="str">
        <f t="shared" si="1"/>
        <v>ARTIGAS </v>
      </c>
      <c r="G1711" s="1" t="str">
        <f t="shared" si="2"/>
        <v>Cristian C.</v>
      </c>
      <c r="H1711" s="1" t="str">
        <f>IFERROR(__xludf.DUMMYFUNCTION("""COMPUTED_VALUE"""),"15/2/2023, 17:00:00")</f>
        <v>15/2/2023, 17:00:00</v>
      </c>
      <c r="I1711" s="1" t="str">
        <f>IFERROR(__xludf.DUMMYFUNCTION("""COMPUTED_VALUE"""),"Completado en SUCURSAL")</f>
        <v>Completado en SUCURSAL</v>
      </c>
      <c r="J1711" s="1">
        <f t="shared" si="3"/>
        <v>5</v>
      </c>
      <c r="K1711" s="1" t="str">
        <f t="shared" si="4"/>
        <v>Tus Lentes estan LISTAS PARA ENTREGAR, te esperamos.</v>
      </c>
    </row>
    <row r="1712">
      <c r="A1712" s="1">
        <f>IFERROR(__xludf.DUMMYFUNCTION("""COMPUTED_VALUE"""),86262.0)</f>
        <v>86262</v>
      </c>
      <c r="B1712" s="5">
        <f>IFERROR(__xludf.DUMMYFUNCTION("""COMPUTED_VALUE"""),44965.44837268519)</f>
        <v>44965.44837</v>
      </c>
      <c r="C1712" s="1" t="str">
        <f>IFERROR(__xludf.DUMMYFUNCTION("""COMPUTED_VALUE"""),"Escudero Adriana")</f>
        <v>Escudero Adriana</v>
      </c>
      <c r="D1712" s="1" t="str">
        <f>IFERROR(__xludf.DUMMYFUNCTION("""COMPUTED_VALUE"""),"Lentes MULTIFOCALES")</f>
        <v>Lentes MULTIFOCALES</v>
      </c>
      <c r="E1712" s="1" t="str">
        <f>IFERROR(__xludf.DUMMYFUNCTION("""COMPUTED_VALUE"""),"ARTIGAS Roció")</f>
        <v>ARTIGAS Roció</v>
      </c>
      <c r="F1712" s="1" t="str">
        <f t="shared" si="1"/>
        <v>ARTIGAS </v>
      </c>
      <c r="G1712" s="1" t="str">
        <f t="shared" si="2"/>
        <v>Roció</v>
      </c>
      <c r="H1712" s="1" t="str">
        <f>IFERROR(__xludf.DUMMYFUNCTION("""COMPUTED_VALUE"""),"24/2/2023, 17:00:00")</f>
        <v>24/2/2023, 17:00:00</v>
      </c>
      <c r="I1712" s="1"/>
      <c r="J1712" s="1">
        <f t="shared" si="3"/>
        <v>0</v>
      </c>
      <c r="K1712" s="1" t="str">
        <f t="shared" si="4"/>
        <v/>
      </c>
    </row>
    <row r="1713">
      <c r="A1713" s="1">
        <f>IFERROR(__xludf.DUMMYFUNCTION("""COMPUTED_VALUE"""),86263.0)</f>
        <v>86263</v>
      </c>
      <c r="B1713" s="5">
        <f>IFERROR(__xludf.DUMMYFUNCTION("""COMPUTED_VALUE"""),44965.45337059028)</f>
        <v>44965.45337</v>
      </c>
      <c r="C1713" s="1" t="str">
        <f>IFERROR(__xludf.DUMMYFUNCTION("""COMPUTED_VALUE"""),"LUCERO THIARA")</f>
        <v>LUCERO THIARA</v>
      </c>
      <c r="D1713" s="1" t="str">
        <f>IFERROR(__xludf.DUMMYFUNCTION("""COMPUTED_VALUE"""),"Lentes de STOCK")</f>
        <v>Lentes de STOCK</v>
      </c>
      <c r="E1713" s="1" t="str">
        <f>IFERROR(__xludf.DUMMYFUNCTION("""COMPUTED_VALUE"""),"ARTIGAS Cristian C.")</f>
        <v>ARTIGAS Cristian C.</v>
      </c>
      <c r="F1713" s="1" t="str">
        <f t="shared" si="1"/>
        <v>ARTIGAS </v>
      </c>
      <c r="G1713" s="1" t="str">
        <f t="shared" si="2"/>
        <v>Cristian C.</v>
      </c>
      <c r="H1713" s="1" t="str">
        <f>IFERROR(__xludf.DUMMYFUNCTION("""COMPUTED_VALUE"""),"11/2/2023, 17:00:00")</f>
        <v>11/2/2023, 17:00:00</v>
      </c>
      <c r="I1713" s="1" t="str">
        <f>IFERROR(__xludf.DUMMYFUNCTION("""COMPUTED_VALUE"""),"RETIRADO OK POR CLIENTE")</f>
        <v>RETIRADO OK POR CLIENTE</v>
      </c>
      <c r="J1713" s="1">
        <f t="shared" si="3"/>
        <v>6</v>
      </c>
      <c r="K1713" s="1" t="str">
        <f t="shared" si="4"/>
        <v>Entregamos tus lentes, que los disfrutes!</v>
      </c>
    </row>
    <row r="1714">
      <c r="A1714" s="1">
        <f>IFERROR(__xludf.DUMMYFUNCTION("""COMPUTED_VALUE"""),86263.0)</f>
        <v>86263</v>
      </c>
      <c r="B1714" s="5">
        <f>IFERROR(__xludf.DUMMYFUNCTION("""COMPUTED_VALUE"""),44965.453373530094)</f>
        <v>44965.45337</v>
      </c>
      <c r="C1714" s="1" t="str">
        <f>IFERROR(__xludf.DUMMYFUNCTION("""COMPUTED_VALUE"""),"SUAREZ PEDRO HECTOR")</f>
        <v>SUAREZ PEDRO HECTOR</v>
      </c>
      <c r="D1714" s="1" t="str">
        <f>IFERROR(__xludf.DUMMYFUNCTION("""COMPUTED_VALUE"""),"Lentes de STOCK")</f>
        <v>Lentes de STOCK</v>
      </c>
      <c r="E1714" s="1" t="str">
        <f>IFERROR(__xludf.DUMMYFUNCTION("""COMPUTED_VALUE"""),"ARTIGAS Roció")</f>
        <v>ARTIGAS Roció</v>
      </c>
      <c r="F1714" s="1" t="str">
        <f t="shared" si="1"/>
        <v>ARTIGAS </v>
      </c>
      <c r="G1714" s="1" t="str">
        <f t="shared" si="2"/>
        <v>Roció</v>
      </c>
      <c r="H1714" s="1" t="str">
        <f>IFERROR(__xludf.DUMMYFUNCTION("""COMPUTED_VALUE"""),"17/2/2023, 17:00:00")</f>
        <v>17/2/2023, 17:00:00</v>
      </c>
      <c r="I1714" s="1"/>
      <c r="J1714" s="1">
        <f t="shared" si="3"/>
        <v>0</v>
      </c>
      <c r="K1714" s="1" t="str">
        <f t="shared" si="4"/>
        <v/>
      </c>
    </row>
    <row r="1715">
      <c r="A1715" s="1">
        <f>IFERROR(__xludf.DUMMYFUNCTION("""COMPUTED_VALUE"""),86264.0)</f>
        <v>86264</v>
      </c>
      <c r="B1715" s="5">
        <f>IFERROR(__xludf.DUMMYFUNCTION("""COMPUTED_VALUE"""),44965.45346770833)</f>
        <v>44965.45347</v>
      </c>
      <c r="C1715" s="1" t="str">
        <f>IFERROR(__xludf.DUMMYFUNCTION("""COMPUTED_VALUE"""),"MOLINA BERTA FANY")</f>
        <v>MOLINA BERTA FANY</v>
      </c>
      <c r="D1715" s="1" t="str">
        <f>IFERROR(__xludf.DUMMYFUNCTION("""COMPUTED_VALUE"""),"Lentes de STOCK")</f>
        <v>Lentes de STOCK</v>
      </c>
      <c r="E1715" s="1" t="str">
        <f>IFERROR(__xludf.DUMMYFUNCTION("""COMPUTED_VALUE"""),"RIVADAVIA Marcela L")</f>
        <v>RIVADAVIA Marcela L</v>
      </c>
      <c r="F1715" s="1" t="str">
        <f t="shared" si="1"/>
        <v>RIVADAVIA </v>
      </c>
      <c r="G1715" s="1" t="str">
        <f t="shared" si="2"/>
        <v>Marcela L</v>
      </c>
      <c r="H1715" s="1" t="str">
        <f>IFERROR(__xludf.DUMMYFUNCTION("""COMPUTED_VALUE"""),"14/2/2023, 17:00:00")</f>
        <v>14/2/2023, 17:00:00</v>
      </c>
      <c r="I1715" s="1" t="str">
        <f>IFERROR(__xludf.DUMMYFUNCTION("""COMPUTED_VALUE"""),"RETIRADO OK POR CLIENTE")</f>
        <v>RETIRADO OK POR CLIENTE</v>
      </c>
      <c r="J1715" s="1">
        <f t="shared" si="3"/>
        <v>6</v>
      </c>
      <c r="K1715" s="1" t="str">
        <f t="shared" si="4"/>
        <v>Entregamos tus lentes, que los disfrutes!</v>
      </c>
    </row>
    <row r="1716">
      <c r="A1716" s="1">
        <f>IFERROR(__xludf.DUMMYFUNCTION("""COMPUTED_VALUE"""),86265.0)</f>
        <v>86265</v>
      </c>
      <c r="B1716" s="5">
        <f>IFERROR(__xludf.DUMMYFUNCTION("""COMPUTED_VALUE"""),44965.45896258102)</f>
        <v>44965.45896</v>
      </c>
      <c r="C1716" s="1" t="str">
        <f>IFERROR(__xludf.DUMMYFUNCTION("""COMPUTED_VALUE"""),"LANGUELLA MARIA")</f>
        <v>LANGUELLA MARIA</v>
      </c>
      <c r="D1716" s="1" t="str">
        <f>IFERROR(__xludf.DUMMYFUNCTION("""COMPUTED_VALUE"""),"Lentes de STOCK")</f>
        <v>Lentes de STOCK</v>
      </c>
      <c r="E1716" s="1" t="str">
        <f>IFERROR(__xludf.DUMMYFUNCTION("""COMPUTED_VALUE"""),"ARTIGAS Roció")</f>
        <v>ARTIGAS Roció</v>
      </c>
      <c r="F1716" s="1" t="str">
        <f t="shared" si="1"/>
        <v>ARTIGAS </v>
      </c>
      <c r="G1716" s="1" t="str">
        <f t="shared" si="2"/>
        <v>Roció</v>
      </c>
      <c r="H1716" s="1" t="str">
        <f>IFERROR(__xludf.DUMMYFUNCTION("""COMPUTED_VALUE"""),"23/2/2023, 17:00:00")</f>
        <v>23/2/2023, 17:00:00</v>
      </c>
      <c r="I1716" s="1" t="str">
        <f>IFERROR(__xludf.DUMMYFUNCTION("""COMPUTED_VALUE"""),"Completado en SUCURSAL")</f>
        <v>Completado en SUCURSAL</v>
      </c>
      <c r="J1716" s="1">
        <f t="shared" si="3"/>
        <v>5</v>
      </c>
      <c r="K1716" s="1" t="str">
        <f t="shared" si="4"/>
        <v>Tus Lentes estan LISTAS PARA ENTREGAR, te esperamos.</v>
      </c>
    </row>
    <row r="1717">
      <c r="A1717" s="1">
        <f>IFERROR(__xludf.DUMMYFUNCTION("""COMPUTED_VALUE"""),86266.0)</f>
        <v>86266</v>
      </c>
      <c r="B1717" s="5">
        <f>IFERROR(__xludf.DUMMYFUNCTION("""COMPUTED_VALUE"""),44965.46536451389)</f>
        <v>44965.46536</v>
      </c>
      <c r="C1717" s="1" t="str">
        <f>IFERROR(__xludf.DUMMYFUNCTION("""COMPUTED_VALUE"""),"AMAYA JOSE ANTONIO")</f>
        <v>AMAYA JOSE ANTONIO</v>
      </c>
      <c r="D1717" s="1" t="str">
        <f>IFERROR(__xludf.DUMMYFUNCTION("""COMPUTED_VALUE"""),"Lentes de STOCK")</f>
        <v>Lentes de STOCK</v>
      </c>
      <c r="E1717" s="1" t="str">
        <f>IFERROR(__xludf.DUMMYFUNCTION("""COMPUTED_VALUE"""),"RIVADAVIA Daniel CM")</f>
        <v>RIVADAVIA Daniel CM</v>
      </c>
      <c r="F1717" s="1" t="str">
        <f t="shared" si="1"/>
        <v>RIVADAVIA </v>
      </c>
      <c r="G1717" s="1" t="str">
        <f t="shared" si="2"/>
        <v>Daniel CM</v>
      </c>
      <c r="H1717" s="1" t="str">
        <f>IFERROR(__xludf.DUMMYFUNCTION("""COMPUTED_VALUE"""),"10/2/2023, 18:00:00")</f>
        <v>10/2/2023, 18:00:00</v>
      </c>
      <c r="I1717" s="1" t="str">
        <f>IFERROR(__xludf.DUMMYFUNCTION("""COMPUTED_VALUE"""),"RETIRADO OK POR CLIENTE")</f>
        <v>RETIRADO OK POR CLIENTE</v>
      </c>
      <c r="J1717" s="1">
        <f t="shared" si="3"/>
        <v>6</v>
      </c>
      <c r="K1717" s="1" t="str">
        <f t="shared" si="4"/>
        <v>Entregamos tus lentes, que los disfrutes!</v>
      </c>
    </row>
    <row r="1718">
      <c r="A1718" s="1">
        <f>IFERROR(__xludf.DUMMYFUNCTION("""COMPUTED_VALUE"""),86267.0)</f>
        <v>86267</v>
      </c>
      <c r="B1718" s="5">
        <f>IFERROR(__xludf.DUMMYFUNCTION("""COMPUTED_VALUE"""),44965.466921493055)</f>
        <v>44965.46692</v>
      </c>
      <c r="C1718" s="1" t="str">
        <f>IFERROR(__xludf.DUMMYFUNCTION("""COMPUTED_VALUE"""),"rosel juan carlos")</f>
        <v>rosel juan carlos</v>
      </c>
      <c r="D1718" s="1" t="str">
        <f>IFERROR(__xludf.DUMMYFUNCTION("""COMPUTED_VALUE"""),"Lentes de STOCK")</f>
        <v>Lentes de STOCK</v>
      </c>
      <c r="E1718" s="1" t="str">
        <f>IFERROR(__xludf.DUMMYFUNCTION("""COMPUTED_VALUE"""),"RIVADAVIA Santiago N")</f>
        <v>RIVADAVIA Santiago N</v>
      </c>
      <c r="F1718" s="1" t="str">
        <f t="shared" si="1"/>
        <v>RIVADAVIA </v>
      </c>
      <c r="G1718" s="1" t="str">
        <f t="shared" si="2"/>
        <v>Santiago N</v>
      </c>
      <c r="H1718" s="1" t="str">
        <f>IFERROR(__xludf.DUMMYFUNCTION("""COMPUTED_VALUE"""),"13/2/2023, 17:00:00")</f>
        <v>13/2/2023, 17:00:00</v>
      </c>
      <c r="I1718" s="1" t="str">
        <f>IFERROR(__xludf.DUMMYFUNCTION("""COMPUTED_VALUE"""),"RETIRADO OK POR CLIENTE")</f>
        <v>RETIRADO OK POR CLIENTE</v>
      </c>
      <c r="J1718" s="1">
        <f t="shared" si="3"/>
        <v>6</v>
      </c>
      <c r="K1718" s="1" t="str">
        <f t="shared" si="4"/>
        <v>Entregamos tus lentes, que los disfrutes!</v>
      </c>
    </row>
    <row r="1719">
      <c r="A1719" s="1">
        <f>IFERROR(__xludf.DUMMYFUNCTION("""COMPUTED_VALUE"""),86268.0)</f>
        <v>86268</v>
      </c>
      <c r="B1719" s="5">
        <f>IFERROR(__xludf.DUMMYFUNCTION("""COMPUTED_VALUE"""),44965.47115660879)</f>
        <v>44965.47116</v>
      </c>
      <c r="C1719" s="1" t="str">
        <f>IFERROR(__xludf.DUMMYFUNCTION("""COMPUTED_VALUE"""),"GARCIA LOURDES VICTORIA")</f>
        <v>GARCIA LOURDES VICTORIA</v>
      </c>
      <c r="D1719" s="1" t="str">
        <f>IFERROR(__xludf.DUMMYFUNCTION("""COMPUTED_VALUE"""),"Lentes de STOCK")</f>
        <v>Lentes de STOCK</v>
      </c>
      <c r="E1719" s="1" t="str">
        <f>IFERROR(__xludf.DUMMYFUNCTION("""COMPUTED_VALUE"""),"RIVADAVIA Luciana")</f>
        <v>RIVADAVIA Luciana</v>
      </c>
      <c r="F1719" s="1" t="str">
        <f t="shared" si="1"/>
        <v>RIVADAVIA </v>
      </c>
      <c r="G1719" s="1" t="str">
        <f t="shared" si="2"/>
        <v>Luciana</v>
      </c>
      <c r="H1719" s="1" t="str">
        <f>IFERROR(__xludf.DUMMYFUNCTION("""COMPUTED_VALUE"""),"15/2/2023, 18:00:00")</f>
        <v>15/2/2023, 18:00:00</v>
      </c>
      <c r="I1719" s="1" t="str">
        <f>IFERROR(__xludf.DUMMYFUNCTION("""COMPUTED_VALUE"""),"RETIRADO OK POR CLIENTE")</f>
        <v>RETIRADO OK POR CLIENTE</v>
      </c>
      <c r="J1719" s="1">
        <f t="shared" si="3"/>
        <v>6</v>
      </c>
      <c r="K1719" s="1" t="str">
        <f t="shared" si="4"/>
        <v>Entregamos tus lentes, que los disfrutes!</v>
      </c>
    </row>
    <row r="1720">
      <c r="A1720" s="1">
        <f>IFERROR(__xludf.DUMMYFUNCTION("""COMPUTED_VALUE"""),86269.0)</f>
        <v>86269</v>
      </c>
      <c r="B1720" s="5">
        <f>IFERROR(__xludf.DUMMYFUNCTION("""COMPUTED_VALUE"""),44965.47893628472)</f>
        <v>44965.47894</v>
      </c>
      <c r="C1720" s="1" t="str">
        <f>IFERROR(__xludf.DUMMYFUNCTION("""COMPUTED_VALUE"""),"sosa luisa")</f>
        <v>sosa luisa</v>
      </c>
      <c r="D1720" s="1" t="str">
        <f>IFERROR(__xludf.DUMMYFUNCTION("""COMPUTED_VALUE"""),"Lentes de STOCK")</f>
        <v>Lentes de STOCK</v>
      </c>
      <c r="E1720" s="1" t="str">
        <f>IFERROR(__xludf.DUMMYFUNCTION("""COMPUTED_VALUE"""),"RIVADAVIA Santiago N")</f>
        <v>RIVADAVIA Santiago N</v>
      </c>
      <c r="F1720" s="1" t="str">
        <f t="shared" si="1"/>
        <v>RIVADAVIA </v>
      </c>
      <c r="G1720" s="1" t="str">
        <f t="shared" si="2"/>
        <v>Santiago N</v>
      </c>
      <c r="H1720" s="1" t="str">
        <f>IFERROR(__xludf.DUMMYFUNCTION("""COMPUTED_VALUE"""),"11/2/2023, 17:00:00")</f>
        <v>11/2/2023, 17:00:00</v>
      </c>
      <c r="I1720" s="1" t="str">
        <f>IFERROR(__xludf.DUMMYFUNCTION("""COMPUTED_VALUE"""),"RETIRADO OK POR CLIENTE")</f>
        <v>RETIRADO OK POR CLIENTE</v>
      </c>
      <c r="J1720" s="1">
        <f t="shared" si="3"/>
        <v>6</v>
      </c>
      <c r="K1720" s="1" t="str">
        <f t="shared" si="4"/>
        <v>Entregamos tus lentes, que los disfrutes!</v>
      </c>
    </row>
    <row r="1721">
      <c r="A1721" s="1">
        <f>IFERROR(__xludf.DUMMYFUNCTION("""COMPUTED_VALUE"""),86270.0)</f>
        <v>86270</v>
      </c>
      <c r="B1721" s="5">
        <f>IFERROR(__xludf.DUMMYFUNCTION("""COMPUTED_VALUE"""),44965.48163922454)</f>
        <v>44965.48164</v>
      </c>
      <c r="C1721" s="1" t="str">
        <f>IFERROR(__xludf.DUMMYFUNCTION("""COMPUTED_VALUE"""),"Cordova Noelia")</f>
        <v>Cordova Noelia</v>
      </c>
      <c r="D1721" s="1" t="str">
        <f>IFERROR(__xludf.DUMMYFUNCTION("""COMPUTED_VALUE"""),"Reparaciones/Otros")</f>
        <v>Reparaciones/Otros</v>
      </c>
      <c r="E1721" s="1" t="str">
        <f>IFERROR(__xludf.DUMMYFUNCTION("""COMPUTED_VALUE"""),"ARTIGAS Sandra G")</f>
        <v>ARTIGAS Sandra G</v>
      </c>
      <c r="F1721" s="1" t="str">
        <f t="shared" si="1"/>
        <v>ARTIGAS </v>
      </c>
      <c r="G1721" s="1" t="str">
        <f t="shared" si="2"/>
        <v>Sandra G</v>
      </c>
      <c r="H1721" s="1" t="str">
        <f>IFERROR(__xludf.DUMMYFUNCTION("""COMPUTED_VALUE"""),"9/2/2023, 17:00:00")</f>
        <v>9/2/2023, 17:00:00</v>
      </c>
      <c r="I1721" s="1"/>
      <c r="J1721" s="1">
        <f t="shared" si="3"/>
        <v>0</v>
      </c>
      <c r="K1721" s="1" t="str">
        <f t="shared" si="4"/>
        <v/>
      </c>
    </row>
    <row r="1722">
      <c r="A1722" s="1">
        <f>IFERROR(__xludf.DUMMYFUNCTION("""COMPUTED_VALUE"""),86271.0)</f>
        <v>86271</v>
      </c>
      <c r="B1722" s="5">
        <f>IFERROR(__xludf.DUMMYFUNCTION("""COMPUTED_VALUE"""),44965.48755356482)</f>
        <v>44965.48755</v>
      </c>
      <c r="C1722" s="1" t="str">
        <f>IFERROR(__xludf.DUMMYFUNCTION("""COMPUTED_VALUE"""),"paez orlando")</f>
        <v>paez orlando</v>
      </c>
      <c r="D1722" s="1" t="str">
        <f>IFERROR(__xludf.DUMMYFUNCTION("""COMPUTED_VALUE"""),"Lentes de STOCK")</f>
        <v>Lentes de STOCK</v>
      </c>
      <c r="E1722" s="1" t="str">
        <f>IFERROR(__xludf.DUMMYFUNCTION("""COMPUTED_VALUE"""),"RIVADAVIA Santiago N")</f>
        <v>RIVADAVIA Santiago N</v>
      </c>
      <c r="F1722" s="1" t="str">
        <f t="shared" si="1"/>
        <v>RIVADAVIA </v>
      </c>
      <c r="G1722" s="1" t="str">
        <f t="shared" si="2"/>
        <v>Santiago N</v>
      </c>
      <c r="H1722" s="1" t="str">
        <f>IFERROR(__xludf.DUMMYFUNCTION("""COMPUTED_VALUE"""),"10/2/2023, 17:00:00")</f>
        <v>10/2/2023, 17:00:00</v>
      </c>
      <c r="I1722" s="1" t="str">
        <f>IFERROR(__xludf.DUMMYFUNCTION("""COMPUTED_VALUE"""),"RETIRADO OK POR CLIENTE")</f>
        <v>RETIRADO OK POR CLIENTE</v>
      </c>
      <c r="J1722" s="1">
        <f t="shared" si="3"/>
        <v>6</v>
      </c>
      <c r="K1722" s="1" t="str">
        <f t="shared" si="4"/>
        <v>Entregamos tus lentes, que los disfrutes!</v>
      </c>
    </row>
    <row r="1723">
      <c r="A1723" s="1">
        <f>IFERROR(__xludf.DUMMYFUNCTION("""COMPUTED_VALUE"""),86272.0)</f>
        <v>86272</v>
      </c>
      <c r="B1723" s="5">
        <f>IFERROR(__xludf.DUMMYFUNCTION("""COMPUTED_VALUE"""),44965.49020728009)</f>
        <v>44965.49021</v>
      </c>
      <c r="C1723" s="1" t="str">
        <f>IFERROR(__xludf.DUMMYFUNCTION("""COMPUTED_VALUE"""),"OZAN BRENDA MACARENA")</f>
        <v>OZAN BRENDA MACARENA</v>
      </c>
      <c r="D1723" s="1" t="str">
        <f>IFERROR(__xludf.DUMMYFUNCTION("""COMPUTED_VALUE"""),"Lentes de STOCK")</f>
        <v>Lentes de STOCK</v>
      </c>
      <c r="E1723" s="1" t="str">
        <f>IFERROR(__xludf.DUMMYFUNCTION("""COMPUTED_VALUE"""),"RIVADAVIA Marcela L")</f>
        <v>RIVADAVIA Marcela L</v>
      </c>
      <c r="F1723" s="1" t="str">
        <f t="shared" si="1"/>
        <v>RIVADAVIA </v>
      </c>
      <c r="G1723" s="1" t="str">
        <f t="shared" si="2"/>
        <v>Marcela L</v>
      </c>
      <c r="H1723" s="1" t="str">
        <f>IFERROR(__xludf.DUMMYFUNCTION("""COMPUTED_VALUE"""),"14/2/2023, 17:00:00")</f>
        <v>14/2/2023, 17:00:00</v>
      </c>
      <c r="I1723" s="1" t="str">
        <f>IFERROR(__xludf.DUMMYFUNCTION("""COMPUTED_VALUE"""),"RETIRADO OK POR CLIENTE")</f>
        <v>RETIRADO OK POR CLIENTE</v>
      </c>
      <c r="J1723" s="1">
        <f t="shared" si="3"/>
        <v>6</v>
      </c>
      <c r="K1723" s="1" t="str">
        <f t="shared" si="4"/>
        <v>Entregamos tus lentes, que los disfrutes!</v>
      </c>
    </row>
    <row r="1724">
      <c r="A1724" s="1">
        <f>IFERROR(__xludf.DUMMYFUNCTION("""COMPUTED_VALUE"""),86273.0)</f>
        <v>86273</v>
      </c>
      <c r="B1724" s="5">
        <f>IFERROR(__xludf.DUMMYFUNCTION("""COMPUTED_VALUE"""),44965.49178601852)</f>
        <v>44965.49179</v>
      </c>
      <c r="C1724" s="1" t="str">
        <f>IFERROR(__xludf.DUMMYFUNCTION("""COMPUTED_VALUE"""),"VELAZQUEZ GERARDO ALBERTO")</f>
        <v>VELAZQUEZ GERARDO ALBERTO</v>
      </c>
      <c r="D1724" s="1" t="str">
        <f>IFERROR(__xludf.DUMMYFUNCTION("""COMPUTED_VALUE"""),"Reparaciones/Otros")</f>
        <v>Reparaciones/Otros</v>
      </c>
      <c r="E1724" s="1" t="str">
        <f>IFERROR(__xludf.DUMMYFUNCTION("""COMPUTED_VALUE"""),"ARTIGAS Cristian C.")</f>
        <v>ARTIGAS Cristian C.</v>
      </c>
      <c r="F1724" s="1" t="str">
        <f t="shared" si="1"/>
        <v>ARTIGAS </v>
      </c>
      <c r="G1724" s="1" t="str">
        <f t="shared" si="2"/>
        <v>Cristian C.</v>
      </c>
      <c r="H1724" s="1" t="str">
        <f>IFERROR(__xludf.DUMMYFUNCTION("""COMPUTED_VALUE"""),"10/2/2023, 17:00:00")</f>
        <v>10/2/2023, 17:00:00</v>
      </c>
      <c r="I1724" s="1"/>
      <c r="J1724" s="1">
        <f t="shared" si="3"/>
        <v>0</v>
      </c>
      <c r="K1724" s="1" t="str">
        <f t="shared" si="4"/>
        <v/>
      </c>
    </row>
    <row r="1725">
      <c r="A1725" s="1">
        <f>IFERROR(__xludf.DUMMYFUNCTION("""COMPUTED_VALUE"""),86274.0)</f>
        <v>86274</v>
      </c>
      <c r="B1725" s="5">
        <f>IFERROR(__xludf.DUMMYFUNCTION("""COMPUTED_VALUE"""),44965.492224699075)</f>
        <v>44965.49222</v>
      </c>
      <c r="C1725" s="1" t="str">
        <f>IFERROR(__xludf.DUMMYFUNCTION("""COMPUTED_VALUE"""),"CARRIZO PLACIDA")</f>
        <v>CARRIZO PLACIDA</v>
      </c>
      <c r="D1725" s="1" t="str">
        <f>IFERROR(__xludf.DUMMYFUNCTION("""COMPUTED_VALUE"""),"Lentes de STOCK")</f>
        <v>Lentes de STOCK</v>
      </c>
      <c r="E1725" s="1" t="str">
        <f>IFERROR(__xludf.DUMMYFUNCTION("""COMPUTED_VALUE"""),"ARTIGAS Roció")</f>
        <v>ARTIGAS Roció</v>
      </c>
      <c r="F1725" s="1" t="str">
        <f t="shared" si="1"/>
        <v>ARTIGAS </v>
      </c>
      <c r="G1725" s="1" t="str">
        <f t="shared" si="2"/>
        <v>Roció</v>
      </c>
      <c r="H1725" s="1" t="str">
        <f>IFERROR(__xludf.DUMMYFUNCTION("""COMPUTED_VALUE"""),"16/2/2023, 17:00:00")</f>
        <v>16/2/2023, 17:00:00</v>
      </c>
      <c r="I1725" s="1" t="str">
        <f>IFERROR(__xludf.DUMMYFUNCTION("""COMPUTED_VALUE"""),"Completado en SUCURSAL")</f>
        <v>Completado en SUCURSAL</v>
      </c>
      <c r="J1725" s="1">
        <f t="shared" si="3"/>
        <v>5</v>
      </c>
      <c r="K1725" s="1" t="str">
        <f t="shared" si="4"/>
        <v>Tus Lentes estan LISTAS PARA ENTREGAR, te esperamos.</v>
      </c>
    </row>
    <row r="1726">
      <c r="A1726" s="1">
        <f>IFERROR(__xludf.DUMMYFUNCTION("""COMPUTED_VALUE"""),86275.0)</f>
        <v>86275</v>
      </c>
      <c r="B1726" s="5">
        <f>IFERROR(__xludf.DUMMYFUNCTION("""COMPUTED_VALUE"""),44965.50092628472)</f>
        <v>44965.50093</v>
      </c>
      <c r="C1726" s="1" t="str">
        <f>IFERROR(__xludf.DUMMYFUNCTION("""COMPUTED_VALUE"""),"castillo silvina")</f>
        <v>castillo silvina</v>
      </c>
      <c r="D1726" s="1" t="str">
        <f>IFERROR(__xludf.DUMMYFUNCTION("""COMPUTED_VALUE"""),"Lentes de STOCK")</f>
        <v>Lentes de STOCK</v>
      </c>
      <c r="E1726" s="1" t="str">
        <f>IFERROR(__xludf.DUMMYFUNCTION("""COMPUTED_VALUE"""),"RIVADAVIA Santiago N")</f>
        <v>RIVADAVIA Santiago N</v>
      </c>
      <c r="F1726" s="1" t="str">
        <f t="shared" si="1"/>
        <v>RIVADAVIA </v>
      </c>
      <c r="G1726" s="1" t="str">
        <f t="shared" si="2"/>
        <v>Santiago N</v>
      </c>
      <c r="H1726" s="1" t="str">
        <f>IFERROR(__xludf.DUMMYFUNCTION("""COMPUTED_VALUE"""),"11/2/2023, 17:00:00")</f>
        <v>11/2/2023, 17:00:00</v>
      </c>
      <c r="I1726" s="1" t="str">
        <f>IFERROR(__xludf.DUMMYFUNCTION("""COMPUTED_VALUE"""),"RETIRADO OK POR CLIENTE")</f>
        <v>RETIRADO OK POR CLIENTE</v>
      </c>
      <c r="J1726" s="1">
        <f t="shared" si="3"/>
        <v>6</v>
      </c>
      <c r="K1726" s="1" t="str">
        <f t="shared" si="4"/>
        <v>Entregamos tus lentes, que los disfrutes!</v>
      </c>
    </row>
    <row r="1727">
      <c r="A1727" s="1">
        <f>IFERROR(__xludf.DUMMYFUNCTION("""COMPUTED_VALUE"""),86276.0)</f>
        <v>86276</v>
      </c>
      <c r="B1727" s="5">
        <f>IFERROR(__xludf.DUMMYFUNCTION("""COMPUTED_VALUE"""),44965.50453796296)</f>
        <v>44965.50454</v>
      </c>
      <c r="C1727" s="1" t="str">
        <f>IFERROR(__xludf.DUMMYFUNCTION("""COMPUTED_VALUE"""),"GODOY FELIZA")</f>
        <v>GODOY FELIZA</v>
      </c>
      <c r="D1727" s="1" t="str">
        <f>IFERROR(__xludf.DUMMYFUNCTION("""COMPUTED_VALUE"""),"Lentes de STOCK")</f>
        <v>Lentes de STOCK</v>
      </c>
      <c r="E1727" s="1" t="str">
        <f>IFERROR(__xludf.DUMMYFUNCTION("""COMPUTED_VALUE"""),"ARTIGAS Cristian C.")</f>
        <v>ARTIGAS Cristian C.</v>
      </c>
      <c r="F1727" s="1" t="str">
        <f t="shared" si="1"/>
        <v>ARTIGAS </v>
      </c>
      <c r="G1727" s="1" t="str">
        <f t="shared" si="2"/>
        <v>Cristian C.</v>
      </c>
      <c r="H1727" s="1" t="str">
        <f>IFERROR(__xludf.DUMMYFUNCTION("""COMPUTED_VALUE"""),"16/2/2023, 17:00:00")</f>
        <v>16/2/2023, 17:00:00</v>
      </c>
      <c r="I1727" s="1" t="str">
        <f>IFERROR(__xludf.DUMMYFUNCTION("""COMPUTED_VALUE"""),"RETIRADO OK POR CLIENTE")</f>
        <v>RETIRADO OK POR CLIENTE</v>
      </c>
      <c r="J1727" s="1">
        <f t="shared" si="3"/>
        <v>6</v>
      </c>
      <c r="K1727" s="1" t="str">
        <f t="shared" si="4"/>
        <v>Entregamos tus lentes, que los disfrutes!</v>
      </c>
    </row>
    <row r="1728">
      <c r="A1728" s="1">
        <f>IFERROR(__xludf.DUMMYFUNCTION("""COMPUTED_VALUE"""),86277.0)</f>
        <v>86277</v>
      </c>
      <c r="B1728" s="5">
        <f>IFERROR(__xludf.DUMMYFUNCTION("""COMPUTED_VALUE"""),44965.51016571759)</f>
        <v>44965.51017</v>
      </c>
      <c r="C1728" s="1" t="str">
        <f>IFERROR(__xludf.DUMMYFUNCTION("""COMPUTED_VALUE"""),"Escudero Guadalupe Estefania")</f>
        <v>Escudero Guadalupe Estefania</v>
      </c>
      <c r="D1728" s="1" t="str">
        <f>IFERROR(__xludf.DUMMYFUNCTION("""COMPUTED_VALUE"""),"Lentes de STOCK")</f>
        <v>Lentes de STOCK</v>
      </c>
      <c r="E1728" s="1" t="str">
        <f>IFERROR(__xludf.DUMMYFUNCTION("""COMPUTED_VALUE"""),"ARTIGAS Roció")</f>
        <v>ARTIGAS Roció</v>
      </c>
      <c r="F1728" s="1" t="str">
        <f t="shared" si="1"/>
        <v>ARTIGAS </v>
      </c>
      <c r="G1728" s="1" t="str">
        <f t="shared" si="2"/>
        <v>Roció</v>
      </c>
      <c r="H1728" s="1" t="str">
        <f>IFERROR(__xludf.DUMMYFUNCTION("""COMPUTED_VALUE"""),"16/2/2023, 17:00:00")</f>
        <v>16/2/2023, 17:00:00</v>
      </c>
      <c r="I1728" s="1" t="str">
        <f>IFERROR(__xludf.DUMMYFUNCTION("""COMPUTED_VALUE"""),"RETIRADO OK POR CLIENTE")</f>
        <v>RETIRADO OK POR CLIENTE</v>
      </c>
      <c r="J1728" s="1">
        <f t="shared" si="3"/>
        <v>6</v>
      </c>
      <c r="K1728" s="1" t="str">
        <f t="shared" si="4"/>
        <v>Entregamos tus lentes, que los disfrutes!</v>
      </c>
    </row>
    <row r="1729">
      <c r="A1729" s="1">
        <f>IFERROR(__xludf.DUMMYFUNCTION("""COMPUTED_VALUE"""),86278.0)</f>
        <v>86278</v>
      </c>
      <c r="B1729" s="5">
        <f>IFERROR(__xludf.DUMMYFUNCTION("""COMPUTED_VALUE"""),44965.51104532408)</f>
        <v>44965.51105</v>
      </c>
      <c r="C1729" s="1" t="str">
        <f>IFERROR(__xludf.DUMMYFUNCTION("""COMPUTED_VALUE"""),"MORENO IVANA")</f>
        <v>MORENO IVANA</v>
      </c>
      <c r="D1729" s="1" t="str">
        <f>IFERROR(__xludf.DUMMYFUNCTION("""COMPUTED_VALUE"""),"Reparaciones/Otros")</f>
        <v>Reparaciones/Otros</v>
      </c>
      <c r="E1729" s="1" t="str">
        <f>IFERROR(__xludf.DUMMYFUNCTION("""COMPUTED_VALUE"""),"ARTIGAS Cristian C.")</f>
        <v>ARTIGAS Cristian C.</v>
      </c>
      <c r="F1729" s="1" t="str">
        <f t="shared" si="1"/>
        <v>ARTIGAS </v>
      </c>
      <c r="G1729" s="1" t="str">
        <f t="shared" si="2"/>
        <v>Cristian C.</v>
      </c>
      <c r="H1729" s="1" t="str">
        <f>IFERROR(__xludf.DUMMYFUNCTION("""COMPUTED_VALUE"""),"10/2/2023, 17:00:00")</f>
        <v>10/2/2023, 17:00:00</v>
      </c>
      <c r="I1729" s="1"/>
      <c r="J1729" s="1">
        <f t="shared" si="3"/>
        <v>0</v>
      </c>
      <c r="K1729" s="1" t="str">
        <f t="shared" si="4"/>
        <v/>
      </c>
    </row>
    <row r="1730">
      <c r="A1730" s="1">
        <f>IFERROR(__xludf.DUMMYFUNCTION("""COMPUTED_VALUE"""),86279.0)</f>
        <v>86279</v>
      </c>
      <c r="B1730" s="5">
        <f>IFERROR(__xludf.DUMMYFUNCTION("""COMPUTED_VALUE"""),44965.51483085648)</f>
        <v>44965.51483</v>
      </c>
      <c r="C1730" s="1" t="str">
        <f>IFERROR(__xludf.DUMMYFUNCTION("""COMPUTED_VALUE"""),"Escudero Vanea del Rosario")</f>
        <v>Escudero Vanea del Rosario</v>
      </c>
      <c r="D1730" s="1" t="str">
        <f>IFERROR(__xludf.DUMMYFUNCTION("""COMPUTED_VALUE"""),"Lentes de STOCK")</f>
        <v>Lentes de STOCK</v>
      </c>
      <c r="E1730" s="1" t="str">
        <f>IFERROR(__xludf.DUMMYFUNCTION("""COMPUTED_VALUE"""),"ARTIGAS Roció")</f>
        <v>ARTIGAS Roció</v>
      </c>
      <c r="F1730" s="1" t="str">
        <f t="shared" si="1"/>
        <v>ARTIGAS </v>
      </c>
      <c r="G1730" s="1" t="str">
        <f t="shared" si="2"/>
        <v>Roció</v>
      </c>
      <c r="H1730" s="1" t="str">
        <f>IFERROR(__xludf.DUMMYFUNCTION("""COMPUTED_VALUE"""),"16/2/2023, 17:00:00")</f>
        <v>16/2/2023, 17:00:00</v>
      </c>
      <c r="I1730" s="1" t="str">
        <f>IFERROR(__xludf.DUMMYFUNCTION("""COMPUTED_VALUE"""),"RETIRADO OK POR CLIENTE")</f>
        <v>RETIRADO OK POR CLIENTE</v>
      </c>
      <c r="J1730" s="1">
        <f t="shared" si="3"/>
        <v>6</v>
      </c>
      <c r="K1730" s="1" t="str">
        <f t="shared" si="4"/>
        <v>Entregamos tus lentes, que los disfrutes!</v>
      </c>
    </row>
    <row r="1731">
      <c r="A1731" s="1">
        <f>IFERROR(__xludf.DUMMYFUNCTION("""COMPUTED_VALUE"""),86280.0)</f>
        <v>86280</v>
      </c>
      <c r="B1731" s="5">
        <f>IFERROR(__xludf.DUMMYFUNCTION("""COMPUTED_VALUE"""),44965.516287465274)</f>
        <v>44965.51629</v>
      </c>
      <c r="C1731" s="1" t="str">
        <f>IFERROR(__xludf.DUMMYFUNCTION("""COMPUTED_VALUE"""),"SAN MARTIN GUADALUPE ")</f>
        <v>SAN MARTIN GUADALUPE </v>
      </c>
      <c r="D1731" s="1" t="str">
        <f>IFERROR(__xludf.DUMMYFUNCTION("""COMPUTED_VALUE"""),"Lentes de LABORATORIO")</f>
        <v>Lentes de LABORATORIO</v>
      </c>
      <c r="E1731" s="1" t="str">
        <f>IFERROR(__xludf.DUMMYFUNCTION("""COMPUTED_VALUE"""),"RIVADAVIA Marcela L")</f>
        <v>RIVADAVIA Marcela L</v>
      </c>
      <c r="F1731" s="1" t="str">
        <f t="shared" si="1"/>
        <v>RIVADAVIA </v>
      </c>
      <c r="G1731" s="1" t="str">
        <f t="shared" si="2"/>
        <v>Marcela L</v>
      </c>
      <c r="H1731" s="1" t="str">
        <f>IFERROR(__xludf.DUMMYFUNCTION("""COMPUTED_VALUE"""),"24/2/2023, 17:00:00")</f>
        <v>24/2/2023, 17:00:00</v>
      </c>
      <c r="I1731" s="1" t="str">
        <f>IFERROR(__xludf.DUMMYFUNCTION("""COMPUTED_VALUE"""),"RETIRADO OK POR CLIENTE")</f>
        <v>RETIRADO OK POR CLIENTE</v>
      </c>
      <c r="J1731" s="1">
        <f t="shared" si="3"/>
        <v>6</v>
      </c>
      <c r="K1731" s="1" t="str">
        <f t="shared" si="4"/>
        <v>Entregamos tus lentes, que los disfrutes!</v>
      </c>
    </row>
    <row r="1732">
      <c r="A1732" s="1">
        <f>IFERROR(__xludf.DUMMYFUNCTION("""COMPUTED_VALUE"""),86281.0)</f>
        <v>86281</v>
      </c>
      <c r="B1732" s="5">
        <f>IFERROR(__xludf.DUMMYFUNCTION("""COMPUTED_VALUE"""),44965.52034175926)</f>
        <v>44965.52034</v>
      </c>
      <c r="C1732" s="1" t="str">
        <f>IFERROR(__xludf.DUMMYFUNCTION("""COMPUTED_VALUE"""),"RIVEROS JOSE")</f>
        <v>RIVEROS JOSE</v>
      </c>
      <c r="D1732" s="1" t="str">
        <f>IFERROR(__xludf.DUMMYFUNCTION("""COMPUTED_VALUE"""),"Lentes de STOCK")</f>
        <v>Lentes de STOCK</v>
      </c>
      <c r="E1732" s="1" t="str">
        <f>IFERROR(__xludf.DUMMYFUNCTION("""COMPUTED_VALUE"""),"ARTIGAS Cristian C.")</f>
        <v>ARTIGAS Cristian C.</v>
      </c>
      <c r="F1732" s="1" t="str">
        <f t="shared" si="1"/>
        <v>ARTIGAS </v>
      </c>
      <c r="G1732" s="1" t="str">
        <f t="shared" si="2"/>
        <v>Cristian C.</v>
      </c>
      <c r="H1732" s="1" t="str">
        <f>IFERROR(__xludf.DUMMYFUNCTION("""COMPUTED_VALUE"""),"8/3/2023, 17:00:00")</f>
        <v>8/3/2023, 17:00:00</v>
      </c>
      <c r="I1732" s="1" t="str">
        <f>IFERROR(__xludf.DUMMYFUNCTION("""COMPUTED_VALUE"""),"Completado en SUCURSAL")</f>
        <v>Completado en SUCURSAL</v>
      </c>
      <c r="J1732" s="1">
        <f t="shared" si="3"/>
        <v>5</v>
      </c>
      <c r="K1732" s="1" t="str">
        <f t="shared" si="4"/>
        <v>Tus Lentes estan LISTAS PARA ENTREGAR, te esperamos.</v>
      </c>
    </row>
    <row r="1733">
      <c r="A1733" s="1">
        <f>IFERROR(__xludf.DUMMYFUNCTION("""COMPUTED_VALUE"""),86282.0)</f>
        <v>86282</v>
      </c>
      <c r="B1733" s="5">
        <f>IFERROR(__xludf.DUMMYFUNCTION("""COMPUTED_VALUE"""),44965.52267755787)</f>
        <v>44965.52268</v>
      </c>
      <c r="C1733" s="1" t="str">
        <f>IFERROR(__xludf.DUMMYFUNCTION("""COMPUTED_VALUE"""),"OCHOA YOLANDA DEL VALLE")</f>
        <v>OCHOA YOLANDA DEL VALLE</v>
      </c>
      <c r="D1733" s="1" t="str">
        <f>IFERROR(__xludf.DUMMYFUNCTION("""COMPUTED_VALUE"""),"Reparaciones/Otros")</f>
        <v>Reparaciones/Otros</v>
      </c>
      <c r="E1733" s="1" t="str">
        <f>IFERROR(__xludf.DUMMYFUNCTION("""COMPUTED_VALUE"""),"RIVADAVIA Daniel CM")</f>
        <v>RIVADAVIA Daniel CM</v>
      </c>
      <c r="F1733" s="1" t="str">
        <f t="shared" si="1"/>
        <v>RIVADAVIA </v>
      </c>
      <c r="G1733" s="1" t="str">
        <f t="shared" si="2"/>
        <v>Daniel CM</v>
      </c>
      <c r="H1733" s="1" t="str">
        <f>IFERROR(__xludf.DUMMYFUNCTION("""COMPUTED_VALUE"""),"10/2/2023, 17:00:00")</f>
        <v>10/2/2023, 17:00:00</v>
      </c>
      <c r="I1733" s="1"/>
      <c r="J1733" s="1">
        <f t="shared" si="3"/>
        <v>0</v>
      </c>
      <c r="K1733" s="1" t="str">
        <f t="shared" si="4"/>
        <v/>
      </c>
    </row>
    <row r="1734">
      <c r="A1734" s="1">
        <f>IFERROR(__xludf.DUMMYFUNCTION("""COMPUTED_VALUE"""),86283.0)</f>
        <v>86283</v>
      </c>
      <c r="B1734" s="5">
        <f>IFERROR(__xludf.DUMMYFUNCTION("""COMPUTED_VALUE"""),44965.52548917824)</f>
        <v>44965.52549</v>
      </c>
      <c r="C1734" s="1" t="str">
        <f>IFERROR(__xludf.DUMMYFUNCTION("""COMPUTED_VALUE"""),"vega nicolas ")</f>
        <v>vega nicolas </v>
      </c>
      <c r="D1734" s="1" t="str">
        <f>IFERROR(__xludf.DUMMYFUNCTION("""COMPUTED_VALUE"""),"Lentes de LABORATORIO")</f>
        <v>Lentes de LABORATORIO</v>
      </c>
      <c r="E1734" s="1" t="str">
        <f>IFERROR(__xludf.DUMMYFUNCTION("""COMPUTED_VALUE"""),"RIVADAVIA Santiago N")</f>
        <v>RIVADAVIA Santiago N</v>
      </c>
      <c r="F1734" s="1" t="str">
        <f t="shared" si="1"/>
        <v>RIVADAVIA </v>
      </c>
      <c r="G1734" s="1" t="str">
        <f t="shared" si="2"/>
        <v>Santiago N</v>
      </c>
      <c r="H1734" s="1" t="str">
        <f>IFERROR(__xludf.DUMMYFUNCTION("""COMPUTED_VALUE"""),"15/2/2023, 17:00:00")</f>
        <v>15/2/2023, 17:00:00</v>
      </c>
      <c r="I1734" s="1" t="str">
        <f>IFERROR(__xludf.DUMMYFUNCTION("""COMPUTED_VALUE"""),"RETIRADO OK POR CLIENTE")</f>
        <v>RETIRADO OK POR CLIENTE</v>
      </c>
      <c r="J1734" s="1">
        <f t="shared" si="3"/>
        <v>6</v>
      </c>
      <c r="K1734" s="1" t="str">
        <f t="shared" si="4"/>
        <v>Entregamos tus lentes, que los disfrutes!</v>
      </c>
    </row>
    <row r="1735">
      <c r="A1735" s="1">
        <f>IFERROR(__xludf.DUMMYFUNCTION("""COMPUTED_VALUE"""),86284.0)</f>
        <v>86284</v>
      </c>
      <c r="B1735" s="5">
        <f>IFERROR(__xludf.DUMMYFUNCTION("""COMPUTED_VALUE"""),44965.531729282404)</f>
        <v>44965.53173</v>
      </c>
      <c r="C1735" s="1" t="str">
        <f>IFERROR(__xludf.DUMMYFUNCTION("""COMPUTED_VALUE"""),"godoy domingo")</f>
        <v>godoy domingo</v>
      </c>
      <c r="D1735" s="1" t="str">
        <f>IFERROR(__xludf.DUMMYFUNCTION("""COMPUTED_VALUE"""),"Lentes de STOCK")</f>
        <v>Lentes de STOCK</v>
      </c>
      <c r="E1735" s="1" t="str">
        <f>IFERROR(__xludf.DUMMYFUNCTION("""COMPUTED_VALUE"""),"RIVADAVIA Santiago N")</f>
        <v>RIVADAVIA Santiago N</v>
      </c>
      <c r="F1735" s="1" t="str">
        <f t="shared" si="1"/>
        <v>RIVADAVIA </v>
      </c>
      <c r="G1735" s="1" t="str">
        <f t="shared" si="2"/>
        <v>Santiago N</v>
      </c>
      <c r="H1735" s="1" t="str">
        <f>IFERROR(__xludf.DUMMYFUNCTION("""COMPUTED_VALUE"""),"10/2/2023, 17:00:00")</f>
        <v>10/2/2023, 17:00:00</v>
      </c>
      <c r="I1735" s="1" t="str">
        <f>IFERROR(__xludf.DUMMYFUNCTION("""COMPUTED_VALUE"""),"RETIRADO OK POR CLIENTE")</f>
        <v>RETIRADO OK POR CLIENTE</v>
      </c>
      <c r="J1735" s="1">
        <f t="shared" si="3"/>
        <v>6</v>
      </c>
      <c r="K1735" s="1" t="str">
        <f t="shared" si="4"/>
        <v>Entregamos tus lentes, que los disfrutes!</v>
      </c>
    </row>
    <row r="1736">
      <c r="A1736" s="1">
        <f>IFERROR(__xludf.DUMMYFUNCTION("""COMPUTED_VALUE"""),86285.0)</f>
        <v>86285</v>
      </c>
      <c r="B1736" s="5">
        <f>IFERROR(__xludf.DUMMYFUNCTION("""COMPUTED_VALUE"""),44965.53475866898)</f>
        <v>44965.53476</v>
      </c>
      <c r="C1736" s="1" t="str">
        <f>IFERROR(__xludf.DUMMYFUNCTION("""COMPUTED_VALUE"""),"REY YANINA FATIMA")</f>
        <v>REY YANINA FATIMA</v>
      </c>
      <c r="D1736" s="1" t="str">
        <f>IFERROR(__xludf.DUMMYFUNCTION("""COMPUTED_VALUE"""),"Lentes de STOCK")</f>
        <v>Lentes de STOCK</v>
      </c>
      <c r="E1736" s="1" t="str">
        <f>IFERROR(__xludf.DUMMYFUNCTION("""COMPUTED_VALUE"""),"RIVADAVIA Marcela L")</f>
        <v>RIVADAVIA Marcela L</v>
      </c>
      <c r="F1736" s="1" t="str">
        <f t="shared" si="1"/>
        <v>RIVADAVIA </v>
      </c>
      <c r="G1736" s="1" t="str">
        <f t="shared" si="2"/>
        <v>Marcela L</v>
      </c>
      <c r="H1736" s="1" t="str">
        <f>IFERROR(__xludf.DUMMYFUNCTION("""COMPUTED_VALUE"""),"15/2/2023, 17:00:00")</f>
        <v>15/2/2023, 17:00:00</v>
      </c>
      <c r="I1736" s="1" t="str">
        <f>IFERROR(__xludf.DUMMYFUNCTION("""COMPUTED_VALUE"""),"RETIRADO OK POR CLIENTE")</f>
        <v>RETIRADO OK POR CLIENTE</v>
      </c>
      <c r="J1736" s="1">
        <f t="shared" si="3"/>
        <v>6</v>
      </c>
      <c r="K1736" s="1" t="str">
        <f t="shared" si="4"/>
        <v>Entregamos tus lentes, que los disfrutes!</v>
      </c>
    </row>
    <row r="1737">
      <c r="A1737" s="1">
        <f>IFERROR(__xludf.DUMMYFUNCTION("""COMPUTED_VALUE"""),86286.0)</f>
        <v>86286</v>
      </c>
      <c r="B1737" s="5">
        <f>IFERROR(__xludf.DUMMYFUNCTION("""COMPUTED_VALUE"""),44965.5357108912)</f>
        <v>44965.53571</v>
      </c>
      <c r="C1737" s="1" t="str">
        <f>IFERROR(__xludf.DUMMYFUNCTION("""COMPUTED_VALUE"""),"marchan sebastian")</f>
        <v>marchan sebastian</v>
      </c>
      <c r="D1737" s="1" t="str">
        <f>IFERROR(__xludf.DUMMYFUNCTION("""COMPUTED_VALUE"""),"Lentes de STOCK")</f>
        <v>Lentes de STOCK</v>
      </c>
      <c r="E1737" s="1" t="str">
        <f>IFERROR(__xludf.DUMMYFUNCTION("""COMPUTED_VALUE"""),"RIVADAVIA Santiago N")</f>
        <v>RIVADAVIA Santiago N</v>
      </c>
      <c r="F1737" s="1" t="str">
        <f t="shared" si="1"/>
        <v>RIVADAVIA </v>
      </c>
      <c r="G1737" s="1" t="str">
        <f t="shared" si="2"/>
        <v>Santiago N</v>
      </c>
      <c r="H1737" s="1" t="str">
        <f>IFERROR(__xludf.DUMMYFUNCTION("""COMPUTED_VALUE"""),"10/2/2023, 17:00:00")</f>
        <v>10/2/2023, 17:00:00</v>
      </c>
      <c r="I1737" s="1" t="str">
        <f>IFERROR(__xludf.DUMMYFUNCTION("""COMPUTED_VALUE"""),"RETIRADO OK POR CLIENTE")</f>
        <v>RETIRADO OK POR CLIENTE</v>
      </c>
      <c r="J1737" s="1">
        <f t="shared" si="3"/>
        <v>6</v>
      </c>
      <c r="K1737" s="1" t="str">
        <f t="shared" si="4"/>
        <v>Entregamos tus lentes, que los disfrutes!</v>
      </c>
    </row>
    <row r="1738">
      <c r="A1738" s="1">
        <f>IFERROR(__xludf.DUMMYFUNCTION("""COMPUTED_VALUE"""),86287.0)</f>
        <v>86287</v>
      </c>
      <c r="B1738" s="5">
        <f>IFERROR(__xludf.DUMMYFUNCTION("""COMPUTED_VALUE"""),44965.53861564815)</f>
        <v>44965.53862</v>
      </c>
      <c r="C1738" s="1" t="str">
        <f>IFERROR(__xludf.DUMMYFUNCTION("""COMPUTED_VALUE"""),"torres jesus lucia")</f>
        <v>torres jesus lucia</v>
      </c>
      <c r="D1738" s="1" t="str">
        <f>IFERROR(__xludf.DUMMYFUNCTION("""COMPUTED_VALUE"""),"Lentes de STOCK")</f>
        <v>Lentes de STOCK</v>
      </c>
      <c r="E1738" s="1" t="str">
        <f>IFERROR(__xludf.DUMMYFUNCTION("""COMPUTED_VALUE"""),"RIVADAVIA Santiago N")</f>
        <v>RIVADAVIA Santiago N</v>
      </c>
      <c r="F1738" s="1" t="str">
        <f t="shared" si="1"/>
        <v>RIVADAVIA </v>
      </c>
      <c r="G1738" s="1" t="str">
        <f t="shared" si="2"/>
        <v>Santiago N</v>
      </c>
      <c r="H1738" s="1" t="str">
        <f>IFERROR(__xludf.DUMMYFUNCTION("""COMPUTED_VALUE"""),"10/2/2023, 17:00:00")</f>
        <v>10/2/2023, 17:00:00</v>
      </c>
      <c r="I1738" s="1" t="str">
        <f>IFERROR(__xludf.DUMMYFUNCTION("""COMPUTED_VALUE"""),"RETIRADO OK POR CLIENTE")</f>
        <v>RETIRADO OK POR CLIENTE</v>
      </c>
      <c r="J1738" s="1">
        <f t="shared" si="3"/>
        <v>6</v>
      </c>
      <c r="K1738" s="1" t="str">
        <f t="shared" si="4"/>
        <v>Entregamos tus lentes, que los disfrutes!</v>
      </c>
    </row>
    <row r="1739">
      <c r="A1739" s="1">
        <f>IFERROR(__xludf.DUMMYFUNCTION("""COMPUTED_VALUE"""),86288.0)</f>
        <v>86288</v>
      </c>
      <c r="B1739" s="5">
        <f>IFERROR(__xludf.DUMMYFUNCTION("""COMPUTED_VALUE"""),44965.54267497685)</f>
        <v>44965.54267</v>
      </c>
      <c r="C1739" s="1" t="str">
        <f>IFERROR(__xludf.DUMMYFUNCTION("""COMPUTED_VALUE"""),"Rotulo Melany")</f>
        <v>Rotulo Melany</v>
      </c>
      <c r="D1739" s="1" t="str">
        <f>IFERROR(__xludf.DUMMYFUNCTION("""COMPUTED_VALUE"""),"Reparaciones/Otros")</f>
        <v>Reparaciones/Otros</v>
      </c>
      <c r="E1739" s="1" t="str">
        <f>IFERROR(__xludf.DUMMYFUNCTION("""COMPUTED_VALUE"""),"ARTIGAS Roció")</f>
        <v>ARTIGAS Roció</v>
      </c>
      <c r="F1739" s="1" t="str">
        <f t="shared" si="1"/>
        <v>ARTIGAS </v>
      </c>
      <c r="G1739" s="1" t="str">
        <f t="shared" si="2"/>
        <v>Roció</v>
      </c>
      <c r="H1739" s="1" t="str">
        <f>IFERROR(__xludf.DUMMYFUNCTION("""COMPUTED_VALUE"""),"10/2/2023, 17:00:00")</f>
        <v>10/2/2023, 17:00:00</v>
      </c>
      <c r="I1739" s="1"/>
      <c r="J1739" s="1">
        <f t="shared" si="3"/>
        <v>0</v>
      </c>
      <c r="K1739" s="1" t="str">
        <f t="shared" si="4"/>
        <v/>
      </c>
    </row>
    <row r="1740">
      <c r="A1740" s="1">
        <f>IFERROR(__xludf.DUMMYFUNCTION("""COMPUTED_VALUE"""),86289.0)</f>
        <v>86289</v>
      </c>
      <c r="B1740" s="5">
        <f>IFERROR(__xludf.DUMMYFUNCTION("""COMPUTED_VALUE"""),44965.54985354167)</f>
        <v>44965.54985</v>
      </c>
      <c r="C1740" s="1" t="str">
        <f>IFERROR(__xludf.DUMMYFUNCTION("""COMPUTED_VALUE"""),"YODKO MARIANA ELIZABETH ")</f>
        <v>YODKO MARIANA ELIZABETH </v>
      </c>
      <c r="D1740" s="1" t="str">
        <f>IFERROR(__xludf.DUMMYFUNCTION("""COMPUTED_VALUE"""),"Lentes de STOCK")</f>
        <v>Lentes de STOCK</v>
      </c>
      <c r="E1740" s="1" t="str">
        <f>IFERROR(__xludf.DUMMYFUNCTION("""COMPUTED_VALUE"""),"ARTIGAS Cristian C.")</f>
        <v>ARTIGAS Cristian C.</v>
      </c>
      <c r="F1740" s="1" t="str">
        <f t="shared" si="1"/>
        <v>ARTIGAS </v>
      </c>
      <c r="G1740" s="1" t="str">
        <f t="shared" si="2"/>
        <v>Cristian C.</v>
      </c>
      <c r="H1740" s="1" t="str">
        <f>IFERROR(__xludf.DUMMYFUNCTION("""COMPUTED_VALUE"""),"11/2/2023, 17:00:00")</f>
        <v>11/2/2023, 17:00:00</v>
      </c>
      <c r="I1740" s="1" t="str">
        <f>IFERROR(__xludf.DUMMYFUNCTION("""COMPUTED_VALUE"""),"RETIRADO OK POR CLIENTE")</f>
        <v>RETIRADO OK POR CLIENTE</v>
      </c>
      <c r="J1740" s="1">
        <f t="shared" si="3"/>
        <v>6</v>
      </c>
      <c r="K1740" s="1" t="str">
        <f t="shared" si="4"/>
        <v>Entregamos tus lentes, que los disfrutes!</v>
      </c>
    </row>
    <row r="1741">
      <c r="A1741" s="1">
        <f>IFERROR(__xludf.DUMMYFUNCTION("""COMPUTED_VALUE"""),86290.0)</f>
        <v>86290</v>
      </c>
      <c r="B1741" s="5">
        <f>IFERROR(__xludf.DUMMYFUNCTION("""COMPUTED_VALUE"""),44965.55104748842)</f>
        <v>44965.55105</v>
      </c>
      <c r="C1741" s="1" t="str">
        <f>IFERROR(__xludf.DUMMYFUNCTION("""COMPUTED_VALUE"""),"Miranda Juan Carlos")</f>
        <v>Miranda Juan Carlos</v>
      </c>
      <c r="D1741" s="1" t="str">
        <f>IFERROR(__xludf.DUMMYFUNCTION("""COMPUTED_VALUE"""),"Lentes de STOCK")</f>
        <v>Lentes de STOCK</v>
      </c>
      <c r="E1741" s="1" t="str">
        <f>IFERROR(__xludf.DUMMYFUNCTION("""COMPUTED_VALUE"""),"ARTIGAS Roció")</f>
        <v>ARTIGAS Roció</v>
      </c>
      <c r="F1741" s="1" t="str">
        <f t="shared" si="1"/>
        <v>ARTIGAS </v>
      </c>
      <c r="G1741" s="1" t="str">
        <f t="shared" si="2"/>
        <v>Roció</v>
      </c>
      <c r="H1741" s="1" t="str">
        <f>IFERROR(__xludf.DUMMYFUNCTION("""COMPUTED_VALUE"""),"13/2/2023, 17:00:00")</f>
        <v>13/2/2023, 17:00:00</v>
      </c>
      <c r="I1741" s="1" t="str">
        <f>IFERROR(__xludf.DUMMYFUNCTION("""COMPUTED_VALUE"""),"RETIRADO OK POR CLIENTE")</f>
        <v>RETIRADO OK POR CLIENTE</v>
      </c>
      <c r="J1741" s="1">
        <f t="shared" si="3"/>
        <v>6</v>
      </c>
      <c r="K1741" s="1" t="str">
        <f t="shared" si="4"/>
        <v>Entregamos tus lentes, que los disfrutes!</v>
      </c>
    </row>
    <row r="1742">
      <c r="A1742" s="1">
        <f>IFERROR(__xludf.DUMMYFUNCTION("""COMPUTED_VALUE"""),86291.0)</f>
        <v>86291</v>
      </c>
      <c r="B1742" s="5">
        <f>IFERROR(__xludf.DUMMYFUNCTION("""COMPUTED_VALUE"""),44965.557978125)</f>
        <v>44965.55798</v>
      </c>
      <c r="C1742" s="1" t="str">
        <f>IFERROR(__xludf.DUMMYFUNCTION("""COMPUTED_VALUE"""),"QUIROGA MARCELO")</f>
        <v>QUIROGA MARCELO</v>
      </c>
      <c r="D1742" s="1" t="str">
        <f>IFERROR(__xludf.DUMMYFUNCTION("""COMPUTED_VALUE"""),"Lentes de STOCK")</f>
        <v>Lentes de STOCK</v>
      </c>
      <c r="E1742" s="1" t="str">
        <f>IFERROR(__xludf.DUMMYFUNCTION("""COMPUTED_VALUE"""),"ARTIGAS Cristian C.")</f>
        <v>ARTIGAS Cristian C.</v>
      </c>
      <c r="F1742" s="1" t="str">
        <f t="shared" si="1"/>
        <v>ARTIGAS </v>
      </c>
      <c r="G1742" s="1" t="str">
        <f t="shared" si="2"/>
        <v>Cristian C.</v>
      </c>
      <c r="H1742" s="1" t="str">
        <f>IFERROR(__xludf.DUMMYFUNCTION("""COMPUTED_VALUE"""),"16/2/2023, 17:00:00")</f>
        <v>16/2/2023, 17:00:00</v>
      </c>
      <c r="I1742" s="1" t="str">
        <f>IFERROR(__xludf.DUMMYFUNCTION("""COMPUTED_VALUE"""),"Completado en SUCURSAL")</f>
        <v>Completado en SUCURSAL</v>
      </c>
      <c r="J1742" s="1">
        <f t="shared" si="3"/>
        <v>5</v>
      </c>
      <c r="K1742" s="1" t="str">
        <f t="shared" si="4"/>
        <v>Tus Lentes estan LISTAS PARA ENTREGAR, te esperamos.</v>
      </c>
    </row>
    <row r="1743">
      <c r="A1743" s="1">
        <f>IFERROR(__xludf.DUMMYFUNCTION("""COMPUTED_VALUE"""),86292.0)</f>
        <v>86292</v>
      </c>
      <c r="B1743" s="5">
        <f>IFERROR(__xludf.DUMMYFUNCTION("""COMPUTED_VALUE"""),44965.5607953588)</f>
        <v>44965.5608</v>
      </c>
      <c r="C1743" s="1" t="str">
        <f>IFERROR(__xludf.DUMMYFUNCTION("""COMPUTED_VALUE"""),"CIALONE FACUNDO ARIEL")</f>
        <v>CIALONE FACUNDO ARIEL</v>
      </c>
      <c r="D1743" s="1" t="str">
        <f>IFERROR(__xludf.DUMMYFUNCTION("""COMPUTED_VALUE"""),"Lentes de STOCK")</f>
        <v>Lentes de STOCK</v>
      </c>
      <c r="E1743" s="1" t="str">
        <f>IFERROR(__xludf.DUMMYFUNCTION("""COMPUTED_VALUE"""),"RIVADAVIA Marcela L")</f>
        <v>RIVADAVIA Marcela L</v>
      </c>
      <c r="F1743" s="1" t="str">
        <f t="shared" si="1"/>
        <v>RIVADAVIA </v>
      </c>
      <c r="G1743" s="1" t="str">
        <f t="shared" si="2"/>
        <v>Marcela L</v>
      </c>
      <c r="H1743" s="1" t="str">
        <f>IFERROR(__xludf.DUMMYFUNCTION("""COMPUTED_VALUE"""),"15/2/2023, 17:00:00")</f>
        <v>15/2/2023, 17:00:00</v>
      </c>
      <c r="I1743" s="1" t="str">
        <f>IFERROR(__xludf.DUMMYFUNCTION("""COMPUTED_VALUE"""),"RETIRADO OK POR CLIENTE")</f>
        <v>RETIRADO OK POR CLIENTE</v>
      </c>
      <c r="J1743" s="1">
        <f t="shared" si="3"/>
        <v>6</v>
      </c>
      <c r="K1743" s="1" t="str">
        <f t="shared" si="4"/>
        <v>Entregamos tus lentes, que los disfrutes!</v>
      </c>
    </row>
    <row r="1744">
      <c r="A1744" s="1">
        <f>IFERROR(__xludf.DUMMYFUNCTION("""COMPUTED_VALUE"""),86293.0)</f>
        <v>86293</v>
      </c>
      <c r="B1744" s="5">
        <f>IFERROR(__xludf.DUMMYFUNCTION("""COMPUTED_VALUE"""),44965.735681631944)</f>
        <v>44965.73568</v>
      </c>
      <c r="C1744" s="1" t="str">
        <f>IFERROR(__xludf.DUMMYFUNCTION("""COMPUTED_VALUE"""),"birma juan")</f>
        <v>birma juan</v>
      </c>
      <c r="D1744" s="1" t="str">
        <f>IFERROR(__xludf.DUMMYFUNCTION("""COMPUTED_VALUE"""),"Lentes de STOCK")</f>
        <v>Lentes de STOCK</v>
      </c>
      <c r="E1744" s="1" t="str">
        <f>IFERROR(__xludf.DUMMYFUNCTION("""COMPUTED_VALUE"""),"RIVADAVIA Santiago N")</f>
        <v>RIVADAVIA Santiago N</v>
      </c>
      <c r="F1744" s="1" t="str">
        <f t="shared" si="1"/>
        <v>RIVADAVIA </v>
      </c>
      <c r="G1744" s="1" t="str">
        <f t="shared" si="2"/>
        <v>Santiago N</v>
      </c>
      <c r="H1744" s="1" t="str">
        <f>IFERROR(__xludf.DUMMYFUNCTION("""COMPUTED_VALUE"""),"11/2/2023, 17:00:00")</f>
        <v>11/2/2023, 17:00:00</v>
      </c>
      <c r="I1744" s="1" t="str">
        <f>IFERROR(__xludf.DUMMYFUNCTION("""COMPUTED_VALUE"""),"RETIRADO OK POR CLIENTE")</f>
        <v>RETIRADO OK POR CLIENTE</v>
      </c>
      <c r="J1744" s="1">
        <f t="shared" si="3"/>
        <v>6</v>
      </c>
      <c r="K1744" s="1" t="str">
        <f t="shared" si="4"/>
        <v>Entregamos tus lentes, que los disfrutes!</v>
      </c>
    </row>
    <row r="1745">
      <c r="A1745" s="1">
        <f>IFERROR(__xludf.DUMMYFUNCTION("""COMPUTED_VALUE"""),86294.0)</f>
        <v>86294</v>
      </c>
      <c r="B1745" s="5">
        <f>IFERROR(__xludf.DUMMYFUNCTION("""COMPUTED_VALUE"""),44965.73727394676)</f>
        <v>44965.73727</v>
      </c>
      <c r="C1745" s="1" t="str">
        <f>IFERROR(__xludf.DUMMYFUNCTION("""COMPUTED_VALUE"""),"DE PASCUALE ANGELA")</f>
        <v>DE PASCUALE ANGELA</v>
      </c>
      <c r="D1745" s="1" t="str">
        <f>IFERROR(__xludf.DUMMYFUNCTION("""COMPUTED_VALUE"""),"Lentes de STOCK")</f>
        <v>Lentes de STOCK</v>
      </c>
      <c r="E1745" s="1" t="str">
        <f>IFERROR(__xludf.DUMMYFUNCTION("""COMPUTED_VALUE"""),"ARTIGAS Cristian C.")</f>
        <v>ARTIGAS Cristian C.</v>
      </c>
      <c r="F1745" s="1" t="str">
        <f t="shared" si="1"/>
        <v>ARTIGAS </v>
      </c>
      <c r="G1745" s="1" t="str">
        <f t="shared" si="2"/>
        <v>Cristian C.</v>
      </c>
      <c r="H1745" s="1" t="str">
        <f>IFERROR(__xludf.DUMMYFUNCTION("""COMPUTED_VALUE"""),"14/2/2023, 17:00:00")</f>
        <v>14/2/2023, 17:00:00</v>
      </c>
      <c r="I1745" s="1" t="str">
        <f>IFERROR(__xludf.DUMMYFUNCTION("""COMPUTED_VALUE"""),"RETIRADO OK POR CLIENTE")</f>
        <v>RETIRADO OK POR CLIENTE</v>
      </c>
      <c r="J1745" s="1">
        <f t="shared" si="3"/>
        <v>6</v>
      </c>
      <c r="K1745" s="1" t="str">
        <f t="shared" si="4"/>
        <v>Entregamos tus lentes, que los disfrutes!</v>
      </c>
    </row>
    <row r="1746">
      <c r="A1746" s="1">
        <f>IFERROR(__xludf.DUMMYFUNCTION("""COMPUTED_VALUE"""),86295.0)</f>
        <v>86295</v>
      </c>
      <c r="B1746" s="5">
        <f>IFERROR(__xludf.DUMMYFUNCTION("""COMPUTED_VALUE"""),44965.74989232639)</f>
        <v>44965.74989</v>
      </c>
      <c r="C1746" s="1" t="str">
        <f>IFERROR(__xludf.DUMMYFUNCTION("""COMPUTED_VALUE"""),"Leiva Sergio")</f>
        <v>Leiva Sergio</v>
      </c>
      <c r="D1746" s="1" t="str">
        <f>IFERROR(__xludf.DUMMYFUNCTION("""COMPUTED_VALUE"""),"Lentes de STOCK")</f>
        <v>Lentes de STOCK</v>
      </c>
      <c r="E1746" s="1" t="str">
        <f>IFERROR(__xludf.DUMMYFUNCTION("""COMPUTED_VALUE"""),"ARTIGAS Roció")</f>
        <v>ARTIGAS Roció</v>
      </c>
      <c r="F1746" s="1" t="str">
        <f t="shared" si="1"/>
        <v>ARTIGAS </v>
      </c>
      <c r="G1746" s="1" t="str">
        <f t="shared" si="2"/>
        <v>Roció</v>
      </c>
      <c r="H1746" s="1" t="str">
        <f>IFERROR(__xludf.DUMMYFUNCTION("""COMPUTED_VALUE"""),"16/2/2023, 17:00:00")</f>
        <v>16/2/2023, 17:00:00</v>
      </c>
      <c r="I1746" s="1" t="str">
        <f>IFERROR(__xludf.DUMMYFUNCTION("""COMPUTED_VALUE"""),"RETIRADO OK POR CLIENTE")</f>
        <v>RETIRADO OK POR CLIENTE</v>
      </c>
      <c r="J1746" s="1">
        <f t="shared" si="3"/>
        <v>6</v>
      </c>
      <c r="K1746" s="1" t="str">
        <f t="shared" si="4"/>
        <v>Entregamos tus lentes, que los disfrutes!</v>
      </c>
    </row>
    <row r="1747">
      <c r="A1747" s="1">
        <f>IFERROR(__xludf.DUMMYFUNCTION("""COMPUTED_VALUE"""),86296.0)</f>
        <v>86296</v>
      </c>
      <c r="B1747" s="5">
        <f>IFERROR(__xludf.DUMMYFUNCTION("""COMPUTED_VALUE"""),44965.755976608794)</f>
        <v>44965.75598</v>
      </c>
      <c r="C1747" s="1" t="str">
        <f>IFERROR(__xludf.DUMMYFUNCTION("""COMPUTED_VALUE"""),"Muñoz Emilse")</f>
        <v>Muñoz Emilse</v>
      </c>
      <c r="D1747" s="1" t="str">
        <f>IFERROR(__xludf.DUMMYFUNCTION("""COMPUTED_VALUE"""),"Lentes de STOCK")</f>
        <v>Lentes de STOCK</v>
      </c>
      <c r="E1747" s="1" t="str">
        <f>IFERROR(__xludf.DUMMYFUNCTION("""COMPUTED_VALUE"""),"ARTIGAS Roció")</f>
        <v>ARTIGAS Roció</v>
      </c>
      <c r="F1747" s="1" t="str">
        <f t="shared" si="1"/>
        <v>ARTIGAS </v>
      </c>
      <c r="G1747" s="1" t="str">
        <f t="shared" si="2"/>
        <v>Roció</v>
      </c>
      <c r="H1747" s="1" t="str">
        <f>IFERROR(__xludf.DUMMYFUNCTION("""COMPUTED_VALUE"""),"16/2/2023, 17:00:00")</f>
        <v>16/2/2023, 17:00:00</v>
      </c>
      <c r="I1747" s="1" t="str">
        <f>IFERROR(__xludf.DUMMYFUNCTION("""COMPUTED_VALUE"""),"RETIRADO OK POR CLIENTE")</f>
        <v>RETIRADO OK POR CLIENTE</v>
      </c>
      <c r="J1747" s="1">
        <f t="shared" si="3"/>
        <v>6</v>
      </c>
      <c r="K1747" s="1" t="str">
        <f t="shared" si="4"/>
        <v>Entregamos tus lentes, que los disfrutes!</v>
      </c>
    </row>
    <row r="1748">
      <c r="A1748" s="1">
        <f>IFERROR(__xludf.DUMMYFUNCTION("""COMPUTED_VALUE"""),86297.0)</f>
        <v>86297</v>
      </c>
      <c r="B1748" s="5">
        <f>IFERROR(__xludf.DUMMYFUNCTION("""COMPUTED_VALUE"""),44965.76910090278)</f>
        <v>44965.7691</v>
      </c>
      <c r="C1748" s="1" t="str">
        <f>IFERROR(__xludf.DUMMYFUNCTION("""COMPUTED_VALUE"""),"MACRETT NICOLAS")</f>
        <v>MACRETT NICOLAS</v>
      </c>
      <c r="D1748" s="1" t="str">
        <f>IFERROR(__xludf.DUMMYFUNCTION("""COMPUTED_VALUE"""),"Lentes de STOCK")</f>
        <v>Lentes de STOCK</v>
      </c>
      <c r="E1748" s="1" t="str">
        <f>IFERROR(__xludf.DUMMYFUNCTION("""COMPUTED_VALUE"""),"RIVADAVIA Luciana")</f>
        <v>RIVADAVIA Luciana</v>
      </c>
      <c r="F1748" s="1" t="str">
        <f t="shared" si="1"/>
        <v>RIVADAVIA </v>
      </c>
      <c r="G1748" s="1" t="str">
        <f t="shared" si="2"/>
        <v>Luciana</v>
      </c>
      <c r="H1748" s="1" t="str">
        <f>IFERROR(__xludf.DUMMYFUNCTION("""COMPUTED_VALUE"""),"10/2/2023, 17:00:00")</f>
        <v>10/2/2023, 17:00:00</v>
      </c>
      <c r="I1748" s="1"/>
      <c r="J1748" s="1">
        <f t="shared" si="3"/>
        <v>0</v>
      </c>
      <c r="K1748" s="1" t="str">
        <f t="shared" si="4"/>
        <v/>
      </c>
    </row>
    <row r="1749">
      <c r="A1749" s="1">
        <f>IFERROR(__xludf.DUMMYFUNCTION("""COMPUTED_VALUE"""),86298.0)</f>
        <v>86298</v>
      </c>
      <c r="B1749" s="5">
        <f>IFERROR(__xludf.DUMMYFUNCTION("""COMPUTED_VALUE"""),44965.77211820602)</f>
        <v>44965.77212</v>
      </c>
      <c r="C1749" s="1" t="str">
        <f>IFERROR(__xludf.DUMMYFUNCTION("""COMPUTED_VALUE"""),"MACRETT NICOLAS")</f>
        <v>MACRETT NICOLAS</v>
      </c>
      <c r="D1749" s="1" t="str">
        <f>IFERROR(__xludf.DUMMYFUNCTION("""COMPUTED_VALUE"""),"Lentes de LABORATORIO")</f>
        <v>Lentes de LABORATORIO</v>
      </c>
      <c r="E1749" s="1" t="str">
        <f>IFERROR(__xludf.DUMMYFUNCTION("""COMPUTED_VALUE"""),"RIVADAVIA Luciana")</f>
        <v>RIVADAVIA Luciana</v>
      </c>
      <c r="F1749" s="1" t="str">
        <f t="shared" si="1"/>
        <v>RIVADAVIA </v>
      </c>
      <c r="G1749" s="1" t="str">
        <f t="shared" si="2"/>
        <v>Luciana</v>
      </c>
      <c r="H1749" s="1" t="str">
        <f>IFERROR(__xludf.DUMMYFUNCTION("""COMPUTED_VALUE"""),"15/2/2023, 17:00:00")</f>
        <v>15/2/2023, 17:00:00</v>
      </c>
      <c r="I1749" s="1" t="str">
        <f>IFERROR(__xludf.DUMMYFUNCTION("""COMPUTED_VALUE"""),"RETIRADO OK POR CLIENTE")</f>
        <v>RETIRADO OK POR CLIENTE</v>
      </c>
      <c r="J1749" s="1">
        <f t="shared" si="3"/>
        <v>6</v>
      </c>
      <c r="K1749" s="1" t="str">
        <f t="shared" si="4"/>
        <v>Entregamos tus lentes, que los disfrutes!</v>
      </c>
    </row>
    <row r="1750">
      <c r="A1750" s="1">
        <f>IFERROR(__xludf.DUMMYFUNCTION("""COMPUTED_VALUE"""),86299.0)</f>
        <v>86299</v>
      </c>
      <c r="B1750" s="5">
        <f>IFERROR(__xludf.DUMMYFUNCTION("""COMPUTED_VALUE"""),44965.77812127315)</f>
        <v>44965.77812</v>
      </c>
      <c r="C1750" s="1" t="str">
        <f>IFERROR(__xludf.DUMMYFUNCTION("""COMPUTED_VALUE"""),"Cruz Maria Olga")</f>
        <v>Cruz Maria Olga</v>
      </c>
      <c r="D1750" s="1" t="str">
        <f>IFERROR(__xludf.DUMMYFUNCTION("""COMPUTED_VALUE"""),"Lentes de STOCK")</f>
        <v>Lentes de STOCK</v>
      </c>
      <c r="E1750" s="1" t="str">
        <f>IFERROR(__xludf.DUMMYFUNCTION("""COMPUTED_VALUE"""),"ARTIGAS Roció")</f>
        <v>ARTIGAS Roció</v>
      </c>
      <c r="F1750" s="1" t="str">
        <f t="shared" si="1"/>
        <v>ARTIGAS </v>
      </c>
      <c r="G1750" s="1" t="str">
        <f t="shared" si="2"/>
        <v>Roció</v>
      </c>
      <c r="H1750" s="1" t="str">
        <f>IFERROR(__xludf.DUMMYFUNCTION("""COMPUTED_VALUE"""),"17/2/2023, 17:00:00")</f>
        <v>17/2/2023, 17:00:00</v>
      </c>
      <c r="I1750" s="1" t="str">
        <f>IFERROR(__xludf.DUMMYFUNCTION("""COMPUTED_VALUE"""),"RETIRADO OK POR CLIENTE")</f>
        <v>RETIRADO OK POR CLIENTE</v>
      </c>
      <c r="J1750" s="1">
        <f t="shared" si="3"/>
        <v>6</v>
      </c>
      <c r="K1750" s="1" t="str">
        <f t="shared" si="4"/>
        <v>Entregamos tus lentes, que los disfrutes!</v>
      </c>
    </row>
    <row r="1751">
      <c r="A1751" s="1">
        <f>IFERROR(__xludf.DUMMYFUNCTION("""COMPUTED_VALUE"""),86300.0)</f>
        <v>86300</v>
      </c>
      <c r="B1751" s="5">
        <f>IFERROR(__xludf.DUMMYFUNCTION("""COMPUTED_VALUE"""),44965.784420868054)</f>
        <v>44965.78442</v>
      </c>
      <c r="C1751" s="1" t="str">
        <f>IFERROR(__xludf.DUMMYFUNCTION("""COMPUTED_VALUE"""),"MEDINA ERNESTO")</f>
        <v>MEDINA ERNESTO</v>
      </c>
      <c r="D1751" s="1" t="str">
        <f>IFERROR(__xludf.DUMMYFUNCTION("""COMPUTED_VALUE"""),"Lentes de STOCK")</f>
        <v>Lentes de STOCK</v>
      </c>
      <c r="E1751" s="1" t="str">
        <f>IFERROR(__xludf.DUMMYFUNCTION("""COMPUTED_VALUE"""),"ARTIGAS Cristian C.")</f>
        <v>ARTIGAS Cristian C.</v>
      </c>
      <c r="F1751" s="1" t="str">
        <f t="shared" si="1"/>
        <v>ARTIGAS </v>
      </c>
      <c r="G1751" s="1" t="str">
        <f t="shared" si="2"/>
        <v>Cristian C.</v>
      </c>
      <c r="H1751" s="1" t="str">
        <f>IFERROR(__xludf.DUMMYFUNCTION("""COMPUTED_VALUE"""),"14/2/2023, 17:00:00")</f>
        <v>14/2/2023, 17:00:00</v>
      </c>
      <c r="I1751" s="1" t="str">
        <f>IFERROR(__xludf.DUMMYFUNCTION("""COMPUTED_VALUE"""),"RETIRADO OK POR CLIENTE")</f>
        <v>RETIRADO OK POR CLIENTE</v>
      </c>
      <c r="J1751" s="1">
        <f t="shared" si="3"/>
        <v>6</v>
      </c>
      <c r="K1751" s="1" t="str">
        <f t="shared" si="4"/>
        <v>Entregamos tus lentes, que los disfrutes!</v>
      </c>
    </row>
    <row r="1752">
      <c r="A1752" s="1">
        <f>IFERROR(__xludf.DUMMYFUNCTION("""COMPUTED_VALUE"""),86301.0)</f>
        <v>86301</v>
      </c>
      <c r="B1752" s="5">
        <f>IFERROR(__xludf.DUMMYFUNCTION("""COMPUTED_VALUE"""),44965.791417500004)</f>
        <v>44965.79142</v>
      </c>
      <c r="C1752" s="1" t="str">
        <f>IFERROR(__xludf.DUMMYFUNCTION("""COMPUTED_VALUE"""),"OROZCO CARINA")</f>
        <v>OROZCO CARINA</v>
      </c>
      <c r="D1752" s="1" t="str">
        <f>IFERROR(__xludf.DUMMYFUNCTION("""COMPUTED_VALUE"""),"Lentes de STOCK")</f>
        <v>Lentes de STOCK</v>
      </c>
      <c r="E1752" s="1" t="str">
        <f>IFERROR(__xludf.DUMMYFUNCTION("""COMPUTED_VALUE"""),"ARTIGAS Cristian C.")</f>
        <v>ARTIGAS Cristian C.</v>
      </c>
      <c r="F1752" s="1" t="str">
        <f t="shared" si="1"/>
        <v>ARTIGAS </v>
      </c>
      <c r="G1752" s="1" t="str">
        <f t="shared" si="2"/>
        <v>Cristian C.</v>
      </c>
      <c r="H1752" s="1" t="str">
        <f>IFERROR(__xludf.DUMMYFUNCTION("""COMPUTED_VALUE"""),"15/2/2023, 17:00:00")</f>
        <v>15/2/2023, 17:00:00</v>
      </c>
      <c r="I1752" s="1" t="str">
        <f>IFERROR(__xludf.DUMMYFUNCTION("""COMPUTED_VALUE"""),"RETIRADO OK POR CLIENTE")</f>
        <v>RETIRADO OK POR CLIENTE</v>
      </c>
      <c r="J1752" s="1">
        <f t="shared" si="3"/>
        <v>6</v>
      </c>
      <c r="K1752" s="1" t="str">
        <f t="shared" si="4"/>
        <v>Entregamos tus lentes, que los disfrutes!</v>
      </c>
    </row>
    <row r="1753">
      <c r="A1753" s="1">
        <f>IFERROR(__xludf.DUMMYFUNCTION("""COMPUTED_VALUE"""),86302.0)</f>
        <v>86302</v>
      </c>
      <c r="B1753" s="5">
        <f>IFERROR(__xludf.DUMMYFUNCTION("""COMPUTED_VALUE"""),44965.80016318287)</f>
        <v>44965.80016</v>
      </c>
      <c r="C1753" s="1" t="str">
        <f>IFERROR(__xludf.DUMMYFUNCTION("""COMPUTED_VALUE"""),"HERRERA MAFALDA ATANACIA")</f>
        <v>HERRERA MAFALDA ATANACIA</v>
      </c>
      <c r="D1753" s="1" t="str">
        <f>IFERROR(__xludf.DUMMYFUNCTION("""COMPUTED_VALUE"""),"Lentes de STOCK")</f>
        <v>Lentes de STOCK</v>
      </c>
      <c r="E1753" s="1" t="str">
        <f>IFERROR(__xludf.DUMMYFUNCTION("""COMPUTED_VALUE"""),"RIVADAVIA Javier")</f>
        <v>RIVADAVIA Javier</v>
      </c>
      <c r="F1753" s="1" t="str">
        <f t="shared" si="1"/>
        <v>RIVADAVIA </v>
      </c>
      <c r="G1753" s="1" t="str">
        <f t="shared" si="2"/>
        <v>Javier</v>
      </c>
      <c r="H1753" s="1" t="str">
        <f>IFERROR(__xludf.DUMMYFUNCTION("""COMPUTED_VALUE"""),"13/2/2023, 17:00:00")</f>
        <v>13/2/2023, 17:00:00</v>
      </c>
      <c r="I1753" s="1" t="str">
        <f>IFERROR(__xludf.DUMMYFUNCTION("""COMPUTED_VALUE"""),"RETIRADO OK POR CLIENTE")</f>
        <v>RETIRADO OK POR CLIENTE</v>
      </c>
      <c r="J1753" s="1">
        <f t="shared" si="3"/>
        <v>6</v>
      </c>
      <c r="K1753" s="1" t="str">
        <f t="shared" si="4"/>
        <v>Entregamos tus lentes, que los disfrutes!</v>
      </c>
    </row>
    <row r="1754">
      <c r="A1754" s="1">
        <f>IFERROR(__xludf.DUMMYFUNCTION("""COMPUTED_VALUE"""),86303.0)</f>
        <v>86303</v>
      </c>
      <c r="B1754" s="5">
        <f>IFERROR(__xludf.DUMMYFUNCTION("""COMPUTED_VALUE"""),44965.80192353009)</f>
        <v>44965.80192</v>
      </c>
      <c r="C1754" s="1" t="str">
        <f>IFERROR(__xludf.DUMMYFUNCTION("""COMPUTED_VALUE"""),"RODRIGUEZ GAZARI MARIA VICTORIA")</f>
        <v>RODRIGUEZ GAZARI MARIA VICTORIA</v>
      </c>
      <c r="D1754" s="1" t="str">
        <f>IFERROR(__xludf.DUMMYFUNCTION("""COMPUTED_VALUE"""),"Lentes de STOCK")</f>
        <v>Lentes de STOCK</v>
      </c>
      <c r="E1754" s="1" t="str">
        <f>IFERROR(__xludf.DUMMYFUNCTION("""COMPUTED_VALUE"""),"RIVADAVIA Santiago N")</f>
        <v>RIVADAVIA Santiago N</v>
      </c>
      <c r="F1754" s="1" t="str">
        <f t="shared" si="1"/>
        <v>RIVADAVIA </v>
      </c>
      <c r="G1754" s="1" t="str">
        <f t="shared" si="2"/>
        <v>Santiago N</v>
      </c>
      <c r="H1754" s="1" t="str">
        <f>IFERROR(__xludf.DUMMYFUNCTION("""COMPUTED_VALUE"""),"13/2/2023, 17:00:00")</f>
        <v>13/2/2023, 17:00:00</v>
      </c>
      <c r="I1754" s="1" t="str">
        <f>IFERROR(__xludf.DUMMYFUNCTION("""COMPUTED_VALUE"""),"RETIRADO OK POR CLIENTE")</f>
        <v>RETIRADO OK POR CLIENTE</v>
      </c>
      <c r="J1754" s="1">
        <f t="shared" si="3"/>
        <v>6</v>
      </c>
      <c r="K1754" s="1" t="str">
        <f t="shared" si="4"/>
        <v>Entregamos tus lentes, que los disfrutes!</v>
      </c>
    </row>
    <row r="1755">
      <c r="A1755" s="1">
        <f>IFERROR(__xludf.DUMMYFUNCTION("""COMPUTED_VALUE"""),86304.0)</f>
        <v>86304</v>
      </c>
      <c r="B1755" s="5">
        <f>IFERROR(__xludf.DUMMYFUNCTION("""COMPUTED_VALUE"""),44965.81949234953)</f>
        <v>44965.81949</v>
      </c>
      <c r="C1755" s="1" t="str">
        <f>IFERROR(__xludf.DUMMYFUNCTION("""COMPUTED_VALUE"""),"gonzalez fernando")</f>
        <v>gonzalez fernando</v>
      </c>
      <c r="D1755" s="1" t="str">
        <f>IFERROR(__xludf.DUMMYFUNCTION("""COMPUTED_VALUE"""),"Lentes de LABORATORIO")</f>
        <v>Lentes de LABORATORIO</v>
      </c>
      <c r="E1755" s="1" t="str">
        <f>IFERROR(__xludf.DUMMYFUNCTION("""COMPUTED_VALUE"""),"RIVADAVIA Santiago N")</f>
        <v>RIVADAVIA Santiago N</v>
      </c>
      <c r="F1755" s="1" t="str">
        <f t="shared" si="1"/>
        <v>RIVADAVIA </v>
      </c>
      <c r="G1755" s="1" t="str">
        <f t="shared" si="2"/>
        <v>Santiago N</v>
      </c>
      <c r="H1755" s="1" t="str">
        <f>IFERROR(__xludf.DUMMYFUNCTION("""COMPUTED_VALUE"""),"15/2/2023, 17:00:00")</f>
        <v>15/2/2023, 17:00:00</v>
      </c>
      <c r="I1755" s="1"/>
      <c r="J1755" s="1">
        <f t="shared" si="3"/>
        <v>0</v>
      </c>
      <c r="K1755" s="1" t="str">
        <f t="shared" si="4"/>
        <v/>
      </c>
    </row>
    <row r="1756">
      <c r="A1756" s="1">
        <f>IFERROR(__xludf.DUMMYFUNCTION("""COMPUTED_VALUE"""),86305.0)</f>
        <v>86305</v>
      </c>
      <c r="B1756" s="5">
        <f>IFERROR(__xludf.DUMMYFUNCTION("""COMPUTED_VALUE"""),44965.821086192125)</f>
        <v>44965.82109</v>
      </c>
      <c r="C1756" s="1" t="str">
        <f>IFERROR(__xludf.DUMMYFUNCTION("""COMPUTED_VALUE"""),"Rajoid Jazmin")</f>
        <v>Rajoid Jazmin</v>
      </c>
      <c r="D1756" s="1" t="str">
        <f>IFERROR(__xludf.DUMMYFUNCTION("""COMPUTED_VALUE"""),"Lentes de STOCK")</f>
        <v>Lentes de STOCK</v>
      </c>
      <c r="E1756" s="1" t="str">
        <f>IFERROR(__xludf.DUMMYFUNCTION("""COMPUTED_VALUE"""),"ARTIGAS Roció")</f>
        <v>ARTIGAS Roció</v>
      </c>
      <c r="F1756" s="1" t="str">
        <f t="shared" si="1"/>
        <v>ARTIGAS </v>
      </c>
      <c r="G1756" s="1" t="str">
        <f t="shared" si="2"/>
        <v>Roció</v>
      </c>
      <c r="H1756" s="1" t="str">
        <f>IFERROR(__xludf.DUMMYFUNCTION("""COMPUTED_VALUE"""),"17/2/2023, 17:00:00")</f>
        <v>17/2/2023, 17:00:00</v>
      </c>
      <c r="I1756" s="1" t="str">
        <f>IFERROR(__xludf.DUMMYFUNCTION("""COMPUTED_VALUE"""),"RETIRADO OK POR CLIENTE")</f>
        <v>RETIRADO OK POR CLIENTE</v>
      </c>
      <c r="J1756" s="1">
        <f t="shared" si="3"/>
        <v>6</v>
      </c>
      <c r="K1756" s="1" t="str">
        <f t="shared" si="4"/>
        <v>Entregamos tus lentes, que los disfrutes!</v>
      </c>
    </row>
    <row r="1757">
      <c r="A1757" s="1">
        <f>IFERROR(__xludf.DUMMYFUNCTION("""COMPUTED_VALUE"""),86306.0)</f>
        <v>86306</v>
      </c>
      <c r="B1757" s="5">
        <f>IFERROR(__xludf.DUMMYFUNCTION("""COMPUTED_VALUE"""),44965.82147243056)</f>
        <v>44965.82147</v>
      </c>
      <c r="C1757" s="1" t="str">
        <f>IFERROR(__xludf.DUMMYFUNCTION("""COMPUTED_VALUE"""),"FUNES CONSTANZA")</f>
        <v>FUNES CONSTANZA</v>
      </c>
      <c r="D1757" s="1" t="str">
        <f>IFERROR(__xludf.DUMMYFUNCTION("""COMPUTED_VALUE"""),"Lentes de STOCK")</f>
        <v>Lentes de STOCK</v>
      </c>
      <c r="E1757" s="1" t="str">
        <f>IFERROR(__xludf.DUMMYFUNCTION("""COMPUTED_VALUE"""),"ARTIGAS Cristian C.")</f>
        <v>ARTIGAS Cristian C.</v>
      </c>
      <c r="F1757" s="1" t="str">
        <f t="shared" si="1"/>
        <v>ARTIGAS </v>
      </c>
      <c r="G1757" s="1" t="str">
        <f t="shared" si="2"/>
        <v>Cristian C.</v>
      </c>
      <c r="H1757" s="1" t="str">
        <f>IFERROR(__xludf.DUMMYFUNCTION("""COMPUTED_VALUE"""),"16/2/2023, 17:00:00")</f>
        <v>16/2/2023, 17:00:00</v>
      </c>
      <c r="I1757" s="1" t="str">
        <f>IFERROR(__xludf.DUMMYFUNCTION("""COMPUTED_VALUE"""),"RETIRADO OK POR CLIENTE")</f>
        <v>RETIRADO OK POR CLIENTE</v>
      </c>
      <c r="J1757" s="1">
        <f t="shared" si="3"/>
        <v>6</v>
      </c>
      <c r="K1757" s="1" t="str">
        <f t="shared" si="4"/>
        <v>Entregamos tus lentes, que los disfrutes!</v>
      </c>
    </row>
    <row r="1758">
      <c r="A1758" s="1">
        <f>IFERROR(__xludf.DUMMYFUNCTION("""COMPUTED_VALUE"""),86307.0)</f>
        <v>86307</v>
      </c>
      <c r="B1758" s="5">
        <f>IFERROR(__xludf.DUMMYFUNCTION("""COMPUTED_VALUE"""),44965.827319386575)</f>
        <v>44965.82732</v>
      </c>
      <c r="C1758" s="1" t="str">
        <f>IFERROR(__xludf.DUMMYFUNCTION("""COMPUTED_VALUE"""),"Heredia Gloria Lorena")</f>
        <v>Heredia Gloria Lorena</v>
      </c>
      <c r="D1758" s="1" t="str">
        <f>IFERROR(__xludf.DUMMYFUNCTION("""COMPUTED_VALUE"""),"Lentes de LABORATORIO")</f>
        <v>Lentes de LABORATORIO</v>
      </c>
      <c r="E1758" s="1" t="str">
        <f>IFERROR(__xludf.DUMMYFUNCTION("""COMPUTED_VALUE"""),"ARTIGAS Roció")</f>
        <v>ARTIGAS Roció</v>
      </c>
      <c r="F1758" s="1" t="str">
        <f t="shared" si="1"/>
        <v>ARTIGAS </v>
      </c>
      <c r="G1758" s="1" t="str">
        <f t="shared" si="2"/>
        <v>Roció</v>
      </c>
      <c r="H1758" s="1" t="str">
        <f>IFERROR(__xludf.DUMMYFUNCTION("""COMPUTED_VALUE"""),"24/2/2023, 17:00:00")</f>
        <v>24/2/2023, 17:00:00</v>
      </c>
      <c r="I1758" s="1" t="str">
        <f>IFERROR(__xludf.DUMMYFUNCTION("""COMPUTED_VALUE"""),"RETIRADO OK POR CLIENTE")</f>
        <v>RETIRADO OK POR CLIENTE</v>
      </c>
      <c r="J1758" s="1">
        <f t="shared" si="3"/>
        <v>6</v>
      </c>
      <c r="K1758" s="1" t="str">
        <f t="shared" si="4"/>
        <v>Entregamos tus lentes, que los disfrutes!</v>
      </c>
    </row>
    <row r="1759">
      <c r="A1759" s="1">
        <f>IFERROR(__xludf.DUMMYFUNCTION("""COMPUTED_VALUE"""),86308.0)</f>
        <v>86308</v>
      </c>
      <c r="B1759" s="5">
        <f>IFERROR(__xludf.DUMMYFUNCTION("""COMPUTED_VALUE"""),44965.83706510416)</f>
        <v>44965.83707</v>
      </c>
      <c r="C1759" s="1" t="str">
        <f>IFERROR(__xludf.DUMMYFUNCTION("""COMPUTED_VALUE"""),"IBAÑEZ VALENTINA")</f>
        <v>IBAÑEZ VALENTINA</v>
      </c>
      <c r="D1759" s="1" t="str">
        <f>IFERROR(__xludf.DUMMYFUNCTION("""COMPUTED_VALUE"""),"Lentes de STOCK")</f>
        <v>Lentes de STOCK</v>
      </c>
      <c r="E1759" s="1" t="str">
        <f>IFERROR(__xludf.DUMMYFUNCTION("""COMPUTED_VALUE"""),"RIVADAVIA Javier")</f>
        <v>RIVADAVIA Javier</v>
      </c>
      <c r="F1759" s="1" t="str">
        <f t="shared" si="1"/>
        <v>RIVADAVIA </v>
      </c>
      <c r="G1759" s="1" t="str">
        <f t="shared" si="2"/>
        <v>Javier</v>
      </c>
      <c r="H1759" s="1" t="str">
        <f>IFERROR(__xludf.DUMMYFUNCTION("""COMPUTED_VALUE"""),"15/2/2023, 17:00:00")</f>
        <v>15/2/2023, 17:00:00</v>
      </c>
      <c r="I1759" s="1" t="str">
        <f>IFERROR(__xludf.DUMMYFUNCTION("""COMPUTED_VALUE"""),"RETIRADO OK POR CLIENTE")</f>
        <v>RETIRADO OK POR CLIENTE</v>
      </c>
      <c r="J1759" s="1">
        <f t="shared" si="3"/>
        <v>6</v>
      </c>
      <c r="K1759" s="1" t="str">
        <f t="shared" si="4"/>
        <v>Entregamos tus lentes, que los disfrutes!</v>
      </c>
    </row>
    <row r="1760">
      <c r="A1760" s="1">
        <f>IFERROR(__xludf.DUMMYFUNCTION("""COMPUTED_VALUE"""),86309.0)</f>
        <v>86309</v>
      </c>
      <c r="B1760" s="5">
        <f>IFERROR(__xludf.DUMMYFUNCTION("""COMPUTED_VALUE"""),44965.83757546297)</f>
        <v>44965.83758</v>
      </c>
      <c r="C1760" s="1" t="str">
        <f>IFERROR(__xludf.DUMMYFUNCTION("""COMPUTED_VALUE"""),"bort nora ruth")</f>
        <v>bort nora ruth</v>
      </c>
      <c r="D1760" s="1" t="str">
        <f>IFERROR(__xludf.DUMMYFUNCTION("""COMPUTED_VALUE"""),"Lentes MULTIFOCALES")</f>
        <v>Lentes MULTIFOCALES</v>
      </c>
      <c r="E1760" s="1" t="str">
        <f>IFERROR(__xludf.DUMMYFUNCTION("""COMPUTED_VALUE"""),"RIVADAVIA Santiago N")</f>
        <v>RIVADAVIA Santiago N</v>
      </c>
      <c r="F1760" s="1" t="str">
        <f t="shared" si="1"/>
        <v>RIVADAVIA </v>
      </c>
      <c r="G1760" s="1" t="str">
        <f t="shared" si="2"/>
        <v>Santiago N</v>
      </c>
      <c r="H1760" s="1" t="str">
        <f>IFERROR(__xludf.DUMMYFUNCTION("""COMPUTED_VALUE"""),"22/2/2023, 17:00:00")</f>
        <v>22/2/2023, 17:00:00</v>
      </c>
      <c r="I1760" s="1" t="str">
        <f>IFERROR(__xludf.DUMMYFUNCTION("""COMPUTED_VALUE"""),"Completado en SUCURSAL")</f>
        <v>Completado en SUCURSAL</v>
      </c>
      <c r="J1760" s="1">
        <f t="shared" si="3"/>
        <v>5</v>
      </c>
      <c r="K1760" s="1" t="str">
        <f t="shared" si="4"/>
        <v>Tus Lentes estan LISTAS PARA ENTREGAR, te esperamos.</v>
      </c>
    </row>
    <row r="1761">
      <c r="A1761" s="1">
        <f>IFERROR(__xludf.DUMMYFUNCTION("""COMPUTED_VALUE"""),86310.0)</f>
        <v>86310</v>
      </c>
      <c r="B1761" s="5">
        <f>IFERROR(__xludf.DUMMYFUNCTION("""COMPUTED_VALUE"""),44965.84807965277)</f>
        <v>44965.84808</v>
      </c>
      <c r="C1761" s="1" t="str">
        <f>IFERROR(__xludf.DUMMYFUNCTION("""COMPUTED_VALUE"""),"ANCE ANTONELLA")</f>
        <v>ANCE ANTONELLA</v>
      </c>
      <c r="D1761" s="1" t="str">
        <f>IFERROR(__xludf.DUMMYFUNCTION("""COMPUTED_VALUE"""),"Reparaciones/Otros")</f>
        <v>Reparaciones/Otros</v>
      </c>
      <c r="E1761" s="1" t="str">
        <f>IFERROR(__xludf.DUMMYFUNCTION("""COMPUTED_VALUE"""),"RIVADAVIA Luciana")</f>
        <v>RIVADAVIA Luciana</v>
      </c>
      <c r="F1761" s="1" t="str">
        <f t="shared" si="1"/>
        <v>RIVADAVIA </v>
      </c>
      <c r="G1761" s="1" t="str">
        <f t="shared" si="2"/>
        <v>Luciana</v>
      </c>
      <c r="H1761" s="1" t="str">
        <f>IFERROR(__xludf.DUMMYFUNCTION("""COMPUTED_VALUE"""),"9/2/2023, 17:00:00")</f>
        <v>9/2/2023, 17:00:00</v>
      </c>
      <c r="I1761" s="1"/>
      <c r="J1761" s="1">
        <f t="shared" si="3"/>
        <v>0</v>
      </c>
      <c r="K1761" s="1" t="str">
        <f t="shared" si="4"/>
        <v/>
      </c>
    </row>
    <row r="1762">
      <c r="A1762" s="1">
        <f>IFERROR(__xludf.DUMMYFUNCTION("""COMPUTED_VALUE"""),86311.0)</f>
        <v>86311</v>
      </c>
      <c r="B1762" s="5">
        <f>IFERROR(__xludf.DUMMYFUNCTION("""COMPUTED_VALUE"""),44965.84888337963)</f>
        <v>44965.84888</v>
      </c>
      <c r="C1762" s="1" t="str">
        <f>IFERROR(__xludf.DUMMYFUNCTION("""COMPUTED_VALUE"""),"CARMEN MILLANAO")</f>
        <v>CARMEN MILLANAO</v>
      </c>
      <c r="D1762" s="1" t="str">
        <f>IFERROR(__xludf.DUMMYFUNCTION("""COMPUTED_VALUE"""),"Reparaciones/Otros")</f>
        <v>Reparaciones/Otros</v>
      </c>
      <c r="E1762" s="1" t="str">
        <f>IFERROR(__xludf.DUMMYFUNCTION("""COMPUTED_VALUE"""),"RIVADAVIA Javier")</f>
        <v>RIVADAVIA Javier</v>
      </c>
      <c r="F1762" s="1" t="str">
        <f t="shared" si="1"/>
        <v>RIVADAVIA </v>
      </c>
      <c r="G1762" s="1" t="str">
        <f t="shared" si="2"/>
        <v>Javier</v>
      </c>
      <c r="H1762" s="1" t="str">
        <f>IFERROR(__xludf.DUMMYFUNCTION("""COMPUTED_VALUE"""),"9/2/2023, 17:00:00")</f>
        <v>9/2/2023, 17:00:00</v>
      </c>
      <c r="I1762" s="1"/>
      <c r="J1762" s="1">
        <f t="shared" si="3"/>
        <v>0</v>
      </c>
      <c r="K1762" s="1" t="str">
        <f t="shared" si="4"/>
        <v/>
      </c>
    </row>
    <row r="1763">
      <c r="A1763" s="1">
        <f>IFERROR(__xludf.DUMMYFUNCTION("""COMPUTED_VALUE"""),86312.0)</f>
        <v>86312</v>
      </c>
      <c r="B1763" s="5">
        <f>IFERROR(__xludf.DUMMYFUNCTION("""COMPUTED_VALUE"""),44965.8523197801)</f>
        <v>44965.85232</v>
      </c>
      <c r="C1763" s="1" t="str">
        <f>IFERROR(__xludf.DUMMYFUNCTION("""COMPUTED_VALUE"""),"leandro barbosa")</f>
        <v>leandro barbosa</v>
      </c>
      <c r="D1763" s="1" t="str">
        <f>IFERROR(__xludf.DUMMYFUNCTION("""COMPUTED_VALUE"""),"Reparaciones/Otros")</f>
        <v>Reparaciones/Otros</v>
      </c>
      <c r="E1763" s="1" t="str">
        <f>IFERROR(__xludf.DUMMYFUNCTION("""COMPUTED_VALUE"""),"RIVADAVIA Daniel CM")</f>
        <v>RIVADAVIA Daniel CM</v>
      </c>
      <c r="F1763" s="1" t="str">
        <f t="shared" si="1"/>
        <v>RIVADAVIA </v>
      </c>
      <c r="G1763" s="1" t="str">
        <f t="shared" si="2"/>
        <v>Daniel CM</v>
      </c>
      <c r="H1763" s="1" t="str">
        <f>IFERROR(__xludf.DUMMYFUNCTION("""COMPUTED_VALUE"""),"9/2/2023, 17:00:00")</f>
        <v>9/2/2023, 17:00:00</v>
      </c>
      <c r="I1763" s="1"/>
      <c r="J1763" s="1">
        <f t="shared" si="3"/>
        <v>0</v>
      </c>
      <c r="K1763" s="1" t="str">
        <f t="shared" si="4"/>
        <v/>
      </c>
    </row>
    <row r="1764">
      <c r="A1764" s="1">
        <f>IFERROR(__xludf.DUMMYFUNCTION("""COMPUTED_VALUE"""),86313.0)</f>
        <v>86313</v>
      </c>
      <c r="B1764" s="5">
        <f>IFERROR(__xludf.DUMMYFUNCTION("""COMPUTED_VALUE"""),44965.85764466436)</f>
        <v>44965.85764</v>
      </c>
      <c r="C1764" s="1" t="str">
        <f>IFERROR(__xludf.DUMMYFUNCTION("""COMPUTED_VALUE"""),"ORONAZ MARIA LUJAN")</f>
        <v>ORONAZ MARIA LUJAN</v>
      </c>
      <c r="D1764" s="1" t="str">
        <f>IFERROR(__xludf.DUMMYFUNCTION("""COMPUTED_VALUE"""),"Lentes de STOCK")</f>
        <v>Lentes de STOCK</v>
      </c>
      <c r="E1764" s="1" t="str">
        <f>IFERROR(__xludf.DUMMYFUNCTION("""COMPUTED_VALUE"""),"RIVADAVIA Luciana")</f>
        <v>RIVADAVIA Luciana</v>
      </c>
      <c r="F1764" s="1" t="str">
        <f t="shared" si="1"/>
        <v>RIVADAVIA </v>
      </c>
      <c r="G1764" s="1" t="str">
        <f t="shared" si="2"/>
        <v>Luciana</v>
      </c>
      <c r="H1764" s="1" t="str">
        <f>IFERROR(__xludf.DUMMYFUNCTION("""COMPUTED_VALUE"""),"13/2/2023, 17:00:00")</f>
        <v>13/2/2023, 17:00:00</v>
      </c>
      <c r="I1764" s="1" t="str">
        <f>IFERROR(__xludf.DUMMYFUNCTION("""COMPUTED_VALUE"""),"RETIRADO OK POR CLIENTE")</f>
        <v>RETIRADO OK POR CLIENTE</v>
      </c>
      <c r="J1764" s="1">
        <f t="shared" si="3"/>
        <v>6</v>
      </c>
      <c r="K1764" s="1" t="str">
        <f t="shared" si="4"/>
        <v>Entregamos tus lentes, que los disfrutes!</v>
      </c>
    </row>
    <row r="1765">
      <c r="A1765" s="1">
        <f>IFERROR(__xludf.DUMMYFUNCTION("""COMPUTED_VALUE"""),86315.0)</f>
        <v>86315</v>
      </c>
      <c r="B1765" s="5">
        <f>IFERROR(__xludf.DUMMYFUNCTION("""COMPUTED_VALUE"""),44966.38019496528)</f>
        <v>44966.38019</v>
      </c>
      <c r="C1765" s="1" t="str">
        <f>IFERROR(__xludf.DUMMYFUNCTION("""COMPUTED_VALUE"""),"DONBAIRE JACINTO")</f>
        <v>DONBAIRE JACINTO</v>
      </c>
      <c r="D1765" s="1" t="str">
        <f>IFERROR(__xludf.DUMMYFUNCTION("""COMPUTED_VALUE"""),"Reparaciones/Otros")</f>
        <v>Reparaciones/Otros</v>
      </c>
      <c r="E1765" s="1" t="str">
        <f>IFERROR(__xludf.DUMMYFUNCTION("""COMPUTED_VALUE"""),"ARTIGAS Cristian C.")</f>
        <v>ARTIGAS Cristian C.</v>
      </c>
      <c r="F1765" s="1" t="str">
        <f t="shared" si="1"/>
        <v>ARTIGAS </v>
      </c>
      <c r="G1765" s="1" t="str">
        <f t="shared" si="2"/>
        <v>Cristian C.</v>
      </c>
      <c r="H1765" s="1" t="str">
        <f>IFERROR(__xludf.DUMMYFUNCTION("""COMPUTED_VALUE"""),"13/2/2023, 17:00:00")</f>
        <v>13/2/2023, 17:00:00</v>
      </c>
      <c r="I1765" s="1"/>
      <c r="J1765" s="1">
        <f t="shared" si="3"/>
        <v>0</v>
      </c>
      <c r="K1765" s="1" t="str">
        <f t="shared" si="4"/>
        <v/>
      </c>
    </row>
    <row r="1766">
      <c r="A1766" s="1">
        <f>IFERROR(__xludf.DUMMYFUNCTION("""COMPUTED_VALUE"""),86316.0)</f>
        <v>86316</v>
      </c>
      <c r="B1766" s="5">
        <f>IFERROR(__xludf.DUMMYFUNCTION("""COMPUTED_VALUE"""),44966.38508263889)</f>
        <v>44966.38508</v>
      </c>
      <c r="C1766" s="1" t="str">
        <f>IFERROR(__xludf.DUMMYFUNCTION("""COMPUTED_VALUE"""),"Quiroga Ana Maria")</f>
        <v>Quiroga Ana Maria</v>
      </c>
      <c r="D1766" s="1" t="str">
        <f>IFERROR(__xludf.DUMMYFUNCTION("""COMPUTED_VALUE"""),"Reparaciones/Otros")</f>
        <v>Reparaciones/Otros</v>
      </c>
      <c r="E1766" s="1" t="str">
        <f>IFERROR(__xludf.DUMMYFUNCTION("""COMPUTED_VALUE"""),"ARTIGAS Roció")</f>
        <v>ARTIGAS Roció</v>
      </c>
      <c r="F1766" s="1" t="str">
        <f t="shared" si="1"/>
        <v>ARTIGAS </v>
      </c>
      <c r="G1766" s="1" t="str">
        <f t="shared" si="2"/>
        <v>Roció</v>
      </c>
      <c r="H1766" s="1" t="str">
        <f>IFERROR(__xludf.DUMMYFUNCTION("""COMPUTED_VALUE"""),"10/2/2023, 17:00:00")</f>
        <v>10/2/2023, 17:00:00</v>
      </c>
      <c r="I1766" s="1"/>
      <c r="J1766" s="1">
        <f t="shared" si="3"/>
        <v>0</v>
      </c>
      <c r="K1766" s="1" t="str">
        <f t="shared" si="4"/>
        <v/>
      </c>
    </row>
    <row r="1767">
      <c r="A1767" s="1">
        <f>IFERROR(__xludf.DUMMYFUNCTION("""COMPUTED_VALUE"""),86317.0)</f>
        <v>86317</v>
      </c>
      <c r="B1767" s="5">
        <f>IFERROR(__xludf.DUMMYFUNCTION("""COMPUTED_VALUE"""),44966.38630488426)</f>
        <v>44966.3863</v>
      </c>
      <c r="C1767" s="1" t="str">
        <f>IFERROR(__xludf.DUMMYFUNCTION("""COMPUTED_VALUE"""),"escudero antonio")</f>
        <v>escudero antonio</v>
      </c>
      <c r="D1767" s="1" t="str">
        <f>IFERROR(__xludf.DUMMYFUNCTION("""COMPUTED_VALUE"""),"Reparaciones/Otros")</f>
        <v>Reparaciones/Otros</v>
      </c>
      <c r="E1767" s="1" t="str">
        <f>IFERROR(__xludf.DUMMYFUNCTION("""COMPUTED_VALUE"""),"RIVADAVIA Daniel CM")</f>
        <v>RIVADAVIA Daniel CM</v>
      </c>
      <c r="F1767" s="1" t="str">
        <f t="shared" si="1"/>
        <v>RIVADAVIA </v>
      </c>
      <c r="G1767" s="1" t="str">
        <f t="shared" si="2"/>
        <v>Daniel CM</v>
      </c>
      <c r="H1767" s="1" t="str">
        <f>IFERROR(__xludf.DUMMYFUNCTION("""COMPUTED_VALUE"""),"10/2/2023, 17:00:00")</f>
        <v>10/2/2023, 17:00:00</v>
      </c>
      <c r="I1767" s="1"/>
      <c r="J1767" s="1">
        <f t="shared" si="3"/>
        <v>0</v>
      </c>
      <c r="K1767" s="1" t="str">
        <f t="shared" si="4"/>
        <v/>
      </c>
    </row>
    <row r="1768">
      <c r="A1768" s="1">
        <f>IFERROR(__xludf.DUMMYFUNCTION("""COMPUTED_VALUE"""),86318.0)</f>
        <v>86318</v>
      </c>
      <c r="B1768" s="5">
        <f>IFERROR(__xludf.DUMMYFUNCTION("""COMPUTED_VALUE"""),44966.389950902776)</f>
        <v>44966.38995</v>
      </c>
      <c r="C1768" s="1" t="str">
        <f>IFERROR(__xludf.DUMMYFUNCTION("""COMPUTED_VALUE"""),"PEDERNERA MARIA ")</f>
        <v>PEDERNERA MARIA </v>
      </c>
      <c r="D1768" s="1" t="str">
        <f>IFERROR(__xludf.DUMMYFUNCTION("""COMPUTED_VALUE"""),"Lentes BIFOCALES")</f>
        <v>Lentes BIFOCALES</v>
      </c>
      <c r="E1768" s="1" t="str">
        <f>IFERROR(__xludf.DUMMYFUNCTION("""COMPUTED_VALUE"""),"ARTIGAS Cristian C.")</f>
        <v>ARTIGAS Cristian C.</v>
      </c>
      <c r="F1768" s="1" t="str">
        <f t="shared" si="1"/>
        <v>ARTIGAS </v>
      </c>
      <c r="G1768" s="1" t="str">
        <f t="shared" si="2"/>
        <v>Cristian C.</v>
      </c>
      <c r="H1768" s="1" t="str">
        <f>IFERROR(__xludf.DUMMYFUNCTION("""COMPUTED_VALUE"""),"22/2/2023, 17:00:00")</f>
        <v>22/2/2023, 17:00:00</v>
      </c>
      <c r="I1768" s="1" t="str">
        <f>IFERROR(__xludf.DUMMYFUNCTION("""COMPUTED_VALUE"""),"RETIRADO OK POR CLIENTE")</f>
        <v>RETIRADO OK POR CLIENTE</v>
      </c>
      <c r="J1768" s="1">
        <f t="shared" si="3"/>
        <v>6</v>
      </c>
      <c r="K1768" s="1" t="str">
        <f t="shared" si="4"/>
        <v>Entregamos tus lentes, que los disfrutes!</v>
      </c>
    </row>
    <row r="1769">
      <c r="A1769" s="1">
        <f>IFERROR(__xludf.DUMMYFUNCTION("""COMPUTED_VALUE"""),86319.0)</f>
        <v>86319</v>
      </c>
      <c r="B1769" s="5">
        <f>IFERROR(__xludf.DUMMYFUNCTION("""COMPUTED_VALUE"""),44966.3919303125)</f>
        <v>44966.39193</v>
      </c>
      <c r="C1769" s="1" t="str">
        <f>IFERROR(__xludf.DUMMYFUNCTION("""COMPUTED_VALUE"""),"BUSTOS JOSE RAMON ")</f>
        <v>BUSTOS JOSE RAMON </v>
      </c>
      <c r="D1769" s="1" t="str">
        <f>IFERROR(__xludf.DUMMYFUNCTION("""COMPUTED_VALUE"""),"Lentes de STOCK")</f>
        <v>Lentes de STOCK</v>
      </c>
      <c r="E1769" s="1" t="str">
        <f>IFERROR(__xludf.DUMMYFUNCTION("""COMPUTED_VALUE"""),"RIVADAVIA Luciana")</f>
        <v>RIVADAVIA Luciana</v>
      </c>
      <c r="F1769" s="1" t="str">
        <f t="shared" si="1"/>
        <v>RIVADAVIA </v>
      </c>
      <c r="G1769" s="1" t="str">
        <f t="shared" si="2"/>
        <v>Luciana</v>
      </c>
      <c r="H1769" s="1" t="str">
        <f>IFERROR(__xludf.DUMMYFUNCTION("""COMPUTED_VALUE"""),"14/2/2023, 17:00:00")</f>
        <v>14/2/2023, 17:00:00</v>
      </c>
      <c r="I1769" s="1" t="str">
        <f>IFERROR(__xludf.DUMMYFUNCTION("""COMPUTED_VALUE"""),"RETIRADO OK POR CLIENTE")</f>
        <v>RETIRADO OK POR CLIENTE</v>
      </c>
      <c r="J1769" s="1">
        <f t="shared" si="3"/>
        <v>6</v>
      </c>
      <c r="K1769" s="1" t="str">
        <f t="shared" si="4"/>
        <v>Entregamos tus lentes, que los disfrutes!</v>
      </c>
    </row>
    <row r="1770">
      <c r="A1770" s="1">
        <f>IFERROR(__xludf.DUMMYFUNCTION("""COMPUTED_VALUE"""),86320.0)</f>
        <v>86320</v>
      </c>
      <c r="B1770" s="5">
        <f>IFERROR(__xludf.DUMMYFUNCTION("""COMPUTED_VALUE"""),44966.40406069445)</f>
        <v>44966.40406</v>
      </c>
      <c r="C1770" s="1" t="str">
        <f>IFERROR(__xludf.DUMMYFUNCTION("""COMPUTED_VALUE"""),"Bassin Francisco Juan")</f>
        <v>Bassin Francisco Juan</v>
      </c>
      <c r="D1770" s="1" t="str">
        <f>IFERROR(__xludf.DUMMYFUNCTION("""COMPUTED_VALUE"""),"Lentes de STOCK")</f>
        <v>Lentes de STOCK</v>
      </c>
      <c r="E1770" s="1" t="str">
        <f>IFERROR(__xludf.DUMMYFUNCTION("""COMPUTED_VALUE"""),"ARTIGAS Roció")</f>
        <v>ARTIGAS Roció</v>
      </c>
      <c r="F1770" s="1" t="str">
        <f t="shared" si="1"/>
        <v>ARTIGAS </v>
      </c>
      <c r="G1770" s="1" t="str">
        <f t="shared" si="2"/>
        <v>Roció</v>
      </c>
      <c r="H1770" s="1" t="str">
        <f>IFERROR(__xludf.DUMMYFUNCTION("""COMPUTED_VALUE"""),"16/2/2023, 17:00:00")</f>
        <v>16/2/2023, 17:00:00</v>
      </c>
      <c r="I1770" s="1" t="str">
        <f>IFERROR(__xludf.DUMMYFUNCTION("""COMPUTED_VALUE"""),"RETIRADO OK POR CLIENTE")</f>
        <v>RETIRADO OK POR CLIENTE</v>
      </c>
      <c r="J1770" s="1">
        <f t="shared" si="3"/>
        <v>6</v>
      </c>
      <c r="K1770" s="1" t="str">
        <f t="shared" si="4"/>
        <v>Entregamos tus lentes, que los disfrutes!</v>
      </c>
    </row>
    <row r="1771">
      <c r="A1771" s="1">
        <f>IFERROR(__xludf.DUMMYFUNCTION("""COMPUTED_VALUE"""),86321.0)</f>
        <v>86321</v>
      </c>
      <c r="B1771" s="5">
        <f>IFERROR(__xludf.DUMMYFUNCTION("""COMPUTED_VALUE"""),44966.408594837965)</f>
        <v>44966.40859</v>
      </c>
      <c r="C1771" s="1" t="str">
        <f>IFERROR(__xludf.DUMMYFUNCTION("""COMPUTED_VALUE"""),"GUZMAN CAMILA AILIN")</f>
        <v>GUZMAN CAMILA AILIN</v>
      </c>
      <c r="D1771" s="1" t="str">
        <f>IFERROR(__xludf.DUMMYFUNCTION("""COMPUTED_VALUE"""),"Lentes de STOCK")</f>
        <v>Lentes de STOCK</v>
      </c>
      <c r="E1771" s="1" t="str">
        <f>IFERROR(__xludf.DUMMYFUNCTION("""COMPUTED_VALUE"""),"ARTIGAS Roció")</f>
        <v>ARTIGAS Roció</v>
      </c>
      <c r="F1771" s="1" t="str">
        <f t="shared" si="1"/>
        <v>ARTIGAS </v>
      </c>
      <c r="G1771" s="1" t="str">
        <f t="shared" si="2"/>
        <v>Roció</v>
      </c>
      <c r="H1771" s="1" t="str">
        <f>IFERROR(__xludf.DUMMYFUNCTION("""COMPUTED_VALUE"""),"17/2/2023, 17:00:00")</f>
        <v>17/2/2023, 17:00:00</v>
      </c>
      <c r="I1771" s="1" t="str">
        <f>IFERROR(__xludf.DUMMYFUNCTION("""COMPUTED_VALUE"""),"RETIRADO OK POR CLIENTE")</f>
        <v>RETIRADO OK POR CLIENTE</v>
      </c>
      <c r="J1771" s="1">
        <f t="shared" si="3"/>
        <v>6</v>
      </c>
      <c r="K1771" s="1" t="str">
        <f t="shared" si="4"/>
        <v>Entregamos tus lentes, que los disfrutes!</v>
      </c>
    </row>
    <row r="1772">
      <c r="A1772" s="1">
        <f>IFERROR(__xludf.DUMMYFUNCTION("""COMPUTED_VALUE"""),86322.0)</f>
        <v>86322</v>
      </c>
      <c r="B1772" s="5">
        <f>IFERROR(__xludf.DUMMYFUNCTION("""COMPUTED_VALUE"""),44966.409769791666)</f>
        <v>44966.40977</v>
      </c>
      <c r="C1772" s="1" t="str">
        <f>IFERROR(__xludf.DUMMYFUNCTION("""COMPUTED_VALUE"""),"ALFONSO CELIA")</f>
        <v>ALFONSO CELIA</v>
      </c>
      <c r="D1772" s="1" t="str">
        <f>IFERROR(__xludf.DUMMYFUNCTION("""COMPUTED_VALUE"""),"Lentes de STOCK")</f>
        <v>Lentes de STOCK</v>
      </c>
      <c r="E1772" s="1" t="str">
        <f>IFERROR(__xludf.DUMMYFUNCTION("""COMPUTED_VALUE"""),"ARTIGAS Cristian C.")</f>
        <v>ARTIGAS Cristian C.</v>
      </c>
      <c r="F1772" s="1" t="str">
        <f t="shared" si="1"/>
        <v>ARTIGAS </v>
      </c>
      <c r="G1772" s="1" t="str">
        <f t="shared" si="2"/>
        <v>Cristian C.</v>
      </c>
      <c r="H1772" s="1" t="str">
        <f>IFERROR(__xludf.DUMMYFUNCTION("""COMPUTED_VALUE"""),"16/2/2023, 17:00:00")</f>
        <v>16/2/2023, 17:00:00</v>
      </c>
      <c r="I1772" s="1" t="str">
        <f>IFERROR(__xludf.DUMMYFUNCTION("""COMPUTED_VALUE"""),"RETIRADO OK POR CLIENTE")</f>
        <v>RETIRADO OK POR CLIENTE</v>
      </c>
      <c r="J1772" s="1">
        <f t="shared" si="3"/>
        <v>6</v>
      </c>
      <c r="K1772" s="1" t="str">
        <f t="shared" si="4"/>
        <v>Entregamos tus lentes, que los disfrutes!</v>
      </c>
    </row>
    <row r="1773">
      <c r="A1773" s="1">
        <f>IFERROR(__xludf.DUMMYFUNCTION("""COMPUTED_VALUE"""),86323.0)</f>
        <v>86323</v>
      </c>
      <c r="B1773" s="5">
        <f>IFERROR(__xludf.DUMMYFUNCTION("""COMPUTED_VALUE"""),44966.412606342594)</f>
        <v>44966.41261</v>
      </c>
      <c r="C1773" s="1" t="str">
        <f>IFERROR(__xludf.DUMMYFUNCTION("""COMPUTED_VALUE"""),"Genero Marcelo ")</f>
        <v>Genero Marcelo </v>
      </c>
      <c r="D1773" s="1" t="str">
        <f>IFERROR(__xludf.DUMMYFUNCTION("""COMPUTED_VALUE"""),"Lentes de STOCK")</f>
        <v>Lentes de STOCK</v>
      </c>
      <c r="E1773" s="1" t="str">
        <f>IFERROR(__xludf.DUMMYFUNCTION("""COMPUTED_VALUE"""),"ARTIGAS Roció")</f>
        <v>ARTIGAS Roció</v>
      </c>
      <c r="F1773" s="1" t="str">
        <f t="shared" si="1"/>
        <v>ARTIGAS </v>
      </c>
      <c r="G1773" s="1" t="str">
        <f t="shared" si="2"/>
        <v>Roció</v>
      </c>
      <c r="H1773" s="1" t="str">
        <f>IFERROR(__xludf.DUMMYFUNCTION("""COMPUTED_VALUE"""),"17/2/2023, 17:00:00")</f>
        <v>17/2/2023, 17:00:00</v>
      </c>
      <c r="I1773" s="1" t="str">
        <f>IFERROR(__xludf.DUMMYFUNCTION("""COMPUTED_VALUE"""),"Completado en SUCURSAL")</f>
        <v>Completado en SUCURSAL</v>
      </c>
      <c r="J1773" s="1">
        <f t="shared" si="3"/>
        <v>5</v>
      </c>
      <c r="K1773" s="1" t="str">
        <f t="shared" si="4"/>
        <v>Tus Lentes estan LISTAS PARA ENTREGAR, te esperamos.</v>
      </c>
    </row>
    <row r="1774">
      <c r="A1774" s="1">
        <f>IFERROR(__xludf.DUMMYFUNCTION("""COMPUTED_VALUE"""),86324.0)</f>
        <v>86324</v>
      </c>
      <c r="B1774" s="5">
        <f>IFERROR(__xludf.DUMMYFUNCTION("""COMPUTED_VALUE"""),44966.417866874996)</f>
        <v>44966.41787</v>
      </c>
      <c r="C1774" s="1" t="str">
        <f>IFERROR(__xludf.DUMMYFUNCTION("""COMPUTED_VALUE"""),"nieto guillermo")</f>
        <v>nieto guillermo</v>
      </c>
      <c r="D1774" s="1" t="str">
        <f>IFERROR(__xludf.DUMMYFUNCTION("""COMPUTED_VALUE"""),"Lentes de STOCK")</f>
        <v>Lentes de STOCK</v>
      </c>
      <c r="E1774" s="1" t="str">
        <f>IFERROR(__xludf.DUMMYFUNCTION("""COMPUTED_VALUE"""),"RIVADAVIA Santiago N")</f>
        <v>RIVADAVIA Santiago N</v>
      </c>
      <c r="F1774" s="1" t="str">
        <f t="shared" si="1"/>
        <v>RIVADAVIA </v>
      </c>
      <c r="G1774" s="1" t="str">
        <f t="shared" si="2"/>
        <v>Santiago N</v>
      </c>
      <c r="H1774" s="1" t="str">
        <f>IFERROR(__xludf.DUMMYFUNCTION("""COMPUTED_VALUE"""),"13/2/2023, 17:00:00")</f>
        <v>13/2/2023, 17:00:00</v>
      </c>
      <c r="I1774" s="1" t="str">
        <f>IFERROR(__xludf.DUMMYFUNCTION("""COMPUTED_VALUE"""),"RETIRADO OK POR CLIENTE")</f>
        <v>RETIRADO OK POR CLIENTE</v>
      </c>
      <c r="J1774" s="1">
        <f t="shared" si="3"/>
        <v>6</v>
      </c>
      <c r="K1774" s="1" t="str">
        <f t="shared" si="4"/>
        <v>Entregamos tus lentes, que los disfrutes!</v>
      </c>
    </row>
    <row r="1775">
      <c r="A1775" s="1">
        <f>IFERROR(__xludf.DUMMYFUNCTION("""COMPUTED_VALUE"""),86325.0)</f>
        <v>86325</v>
      </c>
      <c r="B1775" s="5">
        <f>IFERROR(__xludf.DUMMYFUNCTION("""COMPUTED_VALUE"""),44966.44368515046)</f>
        <v>44966.44369</v>
      </c>
      <c r="C1775" s="1" t="str">
        <f>IFERROR(__xludf.DUMMYFUNCTION("""COMPUTED_VALUE"""),"Robles Mariela")</f>
        <v>Robles Mariela</v>
      </c>
      <c r="D1775" s="1" t="str">
        <f>IFERROR(__xludf.DUMMYFUNCTION("""COMPUTED_VALUE"""),"Lentes de STOCK")</f>
        <v>Lentes de STOCK</v>
      </c>
      <c r="E1775" s="1" t="str">
        <f>IFERROR(__xludf.DUMMYFUNCTION("""COMPUTED_VALUE"""),"ARTIGAS Roció")</f>
        <v>ARTIGAS Roció</v>
      </c>
      <c r="F1775" s="1" t="str">
        <f t="shared" si="1"/>
        <v>ARTIGAS </v>
      </c>
      <c r="G1775" s="1" t="str">
        <f t="shared" si="2"/>
        <v>Roció</v>
      </c>
      <c r="H1775" s="1" t="str">
        <f>IFERROR(__xludf.DUMMYFUNCTION("""COMPUTED_VALUE"""),"17/2/2023, 17:00:00")</f>
        <v>17/2/2023, 17:00:00</v>
      </c>
      <c r="I1775" s="1" t="str">
        <f>IFERROR(__xludf.DUMMYFUNCTION("""COMPUTED_VALUE"""),"RETIRADO OK POR CLIENTE")</f>
        <v>RETIRADO OK POR CLIENTE</v>
      </c>
      <c r="J1775" s="1">
        <f t="shared" si="3"/>
        <v>6</v>
      </c>
      <c r="K1775" s="1" t="str">
        <f t="shared" si="4"/>
        <v>Entregamos tus lentes, que los disfrutes!</v>
      </c>
    </row>
    <row r="1776">
      <c r="A1776" s="1">
        <f>IFERROR(__xludf.DUMMYFUNCTION("""COMPUTED_VALUE"""),86326.0)</f>
        <v>86326</v>
      </c>
      <c r="B1776" s="5">
        <f>IFERROR(__xludf.DUMMYFUNCTION("""COMPUTED_VALUE"""),44966.452128819445)</f>
        <v>44966.45213</v>
      </c>
      <c r="C1776" s="1" t="str">
        <f>IFERROR(__xludf.DUMMYFUNCTION("""COMPUTED_VALUE"""),"TOBARES NORMA ESTHER")</f>
        <v>TOBARES NORMA ESTHER</v>
      </c>
      <c r="D1776" s="1" t="str">
        <f>IFERROR(__xludf.DUMMYFUNCTION("""COMPUTED_VALUE"""),"Lentes de STOCK")</f>
        <v>Lentes de STOCK</v>
      </c>
      <c r="E1776" s="1" t="str">
        <f>IFERROR(__xludf.DUMMYFUNCTION("""COMPUTED_VALUE"""),"RIVADAVIA Marcela L")</f>
        <v>RIVADAVIA Marcela L</v>
      </c>
      <c r="F1776" s="1" t="str">
        <f t="shared" si="1"/>
        <v>RIVADAVIA </v>
      </c>
      <c r="G1776" s="1" t="str">
        <f t="shared" si="2"/>
        <v>Marcela L</v>
      </c>
      <c r="H1776" s="1" t="str">
        <f>IFERROR(__xludf.DUMMYFUNCTION("""COMPUTED_VALUE"""),"15/2/2023, 17:00:00")</f>
        <v>15/2/2023, 17:00:00</v>
      </c>
      <c r="I1776" s="1" t="str">
        <f>IFERROR(__xludf.DUMMYFUNCTION("""COMPUTED_VALUE"""),"RETIRADO OK POR CLIENTE")</f>
        <v>RETIRADO OK POR CLIENTE</v>
      </c>
      <c r="J1776" s="1">
        <f t="shared" si="3"/>
        <v>6</v>
      </c>
      <c r="K1776" s="1" t="str">
        <f t="shared" si="4"/>
        <v>Entregamos tus lentes, que los disfrutes!</v>
      </c>
    </row>
    <row r="1777">
      <c r="A1777" s="1">
        <f>IFERROR(__xludf.DUMMYFUNCTION("""COMPUTED_VALUE"""),86327.0)</f>
        <v>86327</v>
      </c>
      <c r="B1777" s="5">
        <f>IFERROR(__xludf.DUMMYFUNCTION("""COMPUTED_VALUE"""),44966.45240072916)</f>
        <v>44966.4524</v>
      </c>
      <c r="C1777" s="1" t="str">
        <f>IFERROR(__xludf.DUMMYFUNCTION("""COMPUTED_VALUE"""),"coppa mateo")</f>
        <v>coppa mateo</v>
      </c>
      <c r="D1777" s="1" t="str">
        <f>IFERROR(__xludf.DUMMYFUNCTION("""COMPUTED_VALUE"""),"Reparaciones/Otros")</f>
        <v>Reparaciones/Otros</v>
      </c>
      <c r="E1777" s="1" t="str">
        <f>IFERROR(__xludf.DUMMYFUNCTION("""COMPUTED_VALUE"""),"RIVADAVIA Daniel CM")</f>
        <v>RIVADAVIA Daniel CM</v>
      </c>
      <c r="F1777" s="1" t="str">
        <f t="shared" si="1"/>
        <v>RIVADAVIA </v>
      </c>
      <c r="G1777" s="1" t="str">
        <f t="shared" si="2"/>
        <v>Daniel CM</v>
      </c>
      <c r="H1777" s="1" t="str">
        <f>IFERROR(__xludf.DUMMYFUNCTION("""COMPUTED_VALUE"""),"10/2/2023, 17:00:00")</f>
        <v>10/2/2023, 17:00:00</v>
      </c>
      <c r="I1777" s="1"/>
      <c r="J1777" s="1">
        <f t="shared" si="3"/>
        <v>0</v>
      </c>
      <c r="K1777" s="1" t="str">
        <f t="shared" si="4"/>
        <v/>
      </c>
    </row>
    <row r="1778">
      <c r="A1778" s="1">
        <f>IFERROR(__xludf.DUMMYFUNCTION("""COMPUTED_VALUE"""),86328.0)</f>
        <v>86328</v>
      </c>
      <c r="B1778" s="5">
        <f>IFERROR(__xludf.DUMMYFUNCTION("""COMPUTED_VALUE"""),44966.45720887731)</f>
        <v>44966.45721</v>
      </c>
      <c r="C1778" s="1" t="str">
        <f>IFERROR(__xludf.DUMMYFUNCTION("""COMPUTED_VALUE"""),"Esteves Cleotilde del Carmen")</f>
        <v>Esteves Cleotilde del Carmen</v>
      </c>
      <c r="D1778" s="1" t="str">
        <f>IFERROR(__xludf.DUMMYFUNCTION("""COMPUTED_VALUE"""),"Lentes BIFOCALES")</f>
        <v>Lentes BIFOCALES</v>
      </c>
      <c r="E1778" s="1" t="str">
        <f>IFERROR(__xludf.DUMMYFUNCTION("""COMPUTED_VALUE"""),"ARTIGAS Roció")</f>
        <v>ARTIGAS Roció</v>
      </c>
      <c r="F1778" s="1" t="str">
        <f t="shared" si="1"/>
        <v>ARTIGAS </v>
      </c>
      <c r="G1778" s="1" t="str">
        <f t="shared" si="2"/>
        <v>Roció</v>
      </c>
      <c r="H1778" s="1" t="str">
        <f>IFERROR(__xludf.DUMMYFUNCTION("""COMPUTED_VALUE"""),"13/2/2023, 17:00:00")</f>
        <v>13/2/2023, 17:00:00</v>
      </c>
      <c r="I1778" s="1" t="str">
        <f>IFERROR(__xludf.DUMMYFUNCTION("""COMPUTED_VALUE"""),"RETIRADO OK POR CLIENTE")</f>
        <v>RETIRADO OK POR CLIENTE</v>
      </c>
      <c r="J1778" s="1">
        <f t="shared" si="3"/>
        <v>6</v>
      </c>
      <c r="K1778" s="1" t="str">
        <f t="shared" si="4"/>
        <v>Entregamos tus lentes, que los disfrutes!</v>
      </c>
    </row>
    <row r="1779">
      <c r="A1779" s="1">
        <f>IFERROR(__xludf.DUMMYFUNCTION("""COMPUTED_VALUE"""),86329.0)</f>
        <v>86329</v>
      </c>
      <c r="B1779" s="5">
        <f>IFERROR(__xludf.DUMMYFUNCTION("""COMPUTED_VALUE"""),44966.45803224537)</f>
        <v>44966.45803</v>
      </c>
      <c r="C1779" s="1" t="str">
        <f>IFERROR(__xludf.DUMMYFUNCTION("""COMPUTED_VALUE"""),"FERREYRA NILDA")</f>
        <v>FERREYRA NILDA</v>
      </c>
      <c r="D1779" s="1" t="str">
        <f>IFERROR(__xludf.DUMMYFUNCTION("""COMPUTED_VALUE"""),"Reparaciones/Otros")</f>
        <v>Reparaciones/Otros</v>
      </c>
      <c r="E1779" s="1" t="str">
        <f>IFERROR(__xludf.DUMMYFUNCTION("""COMPUTED_VALUE"""),"ARTIGAS Cristian C.")</f>
        <v>ARTIGAS Cristian C.</v>
      </c>
      <c r="F1779" s="1" t="str">
        <f t="shared" si="1"/>
        <v>ARTIGAS </v>
      </c>
      <c r="G1779" s="1" t="str">
        <f t="shared" si="2"/>
        <v>Cristian C.</v>
      </c>
      <c r="H1779" s="1" t="str">
        <f>IFERROR(__xludf.DUMMYFUNCTION("""COMPUTED_VALUE"""),"15/2/2023, 17:00:00")</f>
        <v>15/2/2023, 17:00:00</v>
      </c>
      <c r="I1779" s="1" t="str">
        <f>IFERROR(__xludf.DUMMYFUNCTION("""COMPUTED_VALUE"""),"Completado en SUCURSAL")</f>
        <v>Completado en SUCURSAL</v>
      </c>
      <c r="J1779" s="1">
        <f t="shared" si="3"/>
        <v>5</v>
      </c>
      <c r="K1779" s="1" t="str">
        <f t="shared" si="4"/>
        <v>Tus Lentes estan LISTAS PARA ENTREGAR, te esperamos.</v>
      </c>
    </row>
    <row r="1780">
      <c r="A1780" s="1">
        <f>IFERROR(__xludf.DUMMYFUNCTION("""COMPUTED_VALUE"""),86330.0)</f>
        <v>86330</v>
      </c>
      <c r="B1780" s="5">
        <f>IFERROR(__xludf.DUMMYFUNCTION("""COMPUTED_VALUE"""),44966.462107824074)</f>
        <v>44966.46211</v>
      </c>
      <c r="C1780" s="1" t="str">
        <f>IFERROR(__xludf.DUMMYFUNCTION("""COMPUTED_VALUE"""),"ZAPATA LUCRECIA RAQUEL")</f>
        <v>ZAPATA LUCRECIA RAQUEL</v>
      </c>
      <c r="D1780" s="1" t="str">
        <f>IFERROR(__xludf.DUMMYFUNCTION("""COMPUTED_VALUE"""),"Lentes de STOCK")</f>
        <v>Lentes de STOCK</v>
      </c>
      <c r="E1780" s="1" t="str">
        <f>IFERROR(__xludf.DUMMYFUNCTION("""COMPUTED_VALUE"""),"ARTIGAS Celina")</f>
        <v>ARTIGAS Celina</v>
      </c>
      <c r="F1780" s="1" t="str">
        <f t="shared" si="1"/>
        <v>ARTIGAS </v>
      </c>
      <c r="G1780" s="1" t="str">
        <f t="shared" si="2"/>
        <v>Celina</v>
      </c>
      <c r="H1780" s="1" t="str">
        <f>IFERROR(__xludf.DUMMYFUNCTION("""COMPUTED_VALUE"""),"15/2/2023, 17:00:00")</f>
        <v>15/2/2023, 17:00:00</v>
      </c>
      <c r="I1780" s="1" t="str">
        <f>IFERROR(__xludf.DUMMYFUNCTION("""COMPUTED_VALUE"""),"RETIRADO OK POR CLIENTE")</f>
        <v>RETIRADO OK POR CLIENTE</v>
      </c>
      <c r="J1780" s="1">
        <f t="shared" si="3"/>
        <v>6</v>
      </c>
      <c r="K1780" s="1" t="str">
        <f t="shared" si="4"/>
        <v>Entregamos tus lentes, que los disfrutes!</v>
      </c>
    </row>
    <row r="1781">
      <c r="A1781" s="1">
        <f>IFERROR(__xludf.DUMMYFUNCTION("""COMPUTED_VALUE"""),86331.0)</f>
        <v>86331</v>
      </c>
      <c r="B1781" s="5">
        <f>IFERROR(__xludf.DUMMYFUNCTION("""COMPUTED_VALUE"""),44966.466246944445)</f>
        <v>44966.46625</v>
      </c>
      <c r="C1781" s="1" t="str">
        <f>IFERROR(__xludf.DUMMYFUNCTION("""COMPUTED_VALUE"""),"Ojeda Mercedesdel carmen")</f>
        <v>Ojeda Mercedesdel carmen</v>
      </c>
      <c r="D1781" s="1" t="str">
        <f>IFERROR(__xludf.DUMMYFUNCTION("""COMPUTED_VALUE"""),"Lentes de STOCK")</f>
        <v>Lentes de STOCK</v>
      </c>
      <c r="E1781" s="1" t="str">
        <f>IFERROR(__xludf.DUMMYFUNCTION("""COMPUTED_VALUE"""),"ARTIGAS Roció")</f>
        <v>ARTIGAS Roció</v>
      </c>
      <c r="F1781" s="1" t="str">
        <f t="shared" si="1"/>
        <v>ARTIGAS </v>
      </c>
      <c r="G1781" s="1" t="str">
        <f t="shared" si="2"/>
        <v>Roció</v>
      </c>
      <c r="H1781" s="1" t="str">
        <f>IFERROR(__xludf.DUMMYFUNCTION("""COMPUTED_VALUE"""),"17/2/2023, 17:00:00")</f>
        <v>17/2/2023, 17:00:00</v>
      </c>
      <c r="I1781" s="1" t="str">
        <f>IFERROR(__xludf.DUMMYFUNCTION("""COMPUTED_VALUE"""),"RETIRADO OK POR CLIENTE")</f>
        <v>RETIRADO OK POR CLIENTE</v>
      </c>
      <c r="J1781" s="1">
        <f t="shared" si="3"/>
        <v>6</v>
      </c>
      <c r="K1781" s="1" t="str">
        <f t="shared" si="4"/>
        <v>Entregamos tus lentes, que los disfrutes!</v>
      </c>
    </row>
    <row r="1782">
      <c r="A1782" s="1">
        <f>IFERROR(__xludf.DUMMYFUNCTION("""COMPUTED_VALUE"""),86332.0)</f>
        <v>86332</v>
      </c>
      <c r="B1782" s="5">
        <f>IFERROR(__xludf.DUMMYFUNCTION("""COMPUTED_VALUE"""),44966.46771409722)</f>
        <v>44966.46771</v>
      </c>
      <c r="C1782" s="1" t="str">
        <f>IFERROR(__xludf.DUMMYFUNCTION("""COMPUTED_VALUE"""),"CURIMA ROSA ")</f>
        <v>CURIMA ROSA </v>
      </c>
      <c r="D1782" s="1" t="str">
        <f>IFERROR(__xludf.DUMMYFUNCTION("""COMPUTED_VALUE"""),"Lentes BIFOCALES")</f>
        <v>Lentes BIFOCALES</v>
      </c>
      <c r="E1782" s="1" t="str">
        <f>IFERROR(__xludf.DUMMYFUNCTION("""COMPUTED_VALUE"""),"ARTIGAS Cristian C.")</f>
        <v>ARTIGAS Cristian C.</v>
      </c>
      <c r="F1782" s="1" t="str">
        <f t="shared" si="1"/>
        <v>ARTIGAS </v>
      </c>
      <c r="G1782" s="1" t="str">
        <f t="shared" si="2"/>
        <v>Cristian C.</v>
      </c>
      <c r="H1782" s="1" t="str">
        <f>IFERROR(__xludf.DUMMYFUNCTION("""COMPUTED_VALUE"""),"23/2/2023, 17:00:00")</f>
        <v>23/2/2023, 17:00:00</v>
      </c>
      <c r="I1782" s="1"/>
      <c r="J1782" s="1">
        <f t="shared" si="3"/>
        <v>0</v>
      </c>
      <c r="K1782" s="1" t="str">
        <f t="shared" si="4"/>
        <v/>
      </c>
    </row>
    <row r="1783">
      <c r="A1783" s="1">
        <f>IFERROR(__xludf.DUMMYFUNCTION("""COMPUTED_VALUE"""),86333.0)</f>
        <v>86333</v>
      </c>
      <c r="B1783" s="5">
        <f>IFERROR(__xludf.DUMMYFUNCTION("""COMPUTED_VALUE"""),44966.47059837963)</f>
        <v>44966.4706</v>
      </c>
      <c r="C1783" s="1" t="str">
        <f>IFERROR(__xludf.DUMMYFUNCTION("""COMPUTED_VALUE"""),"gatica carlos")</f>
        <v>gatica carlos</v>
      </c>
      <c r="D1783" s="1" t="str">
        <f>IFERROR(__xludf.DUMMYFUNCTION("""COMPUTED_VALUE"""),"Reparaciones/Otros")</f>
        <v>Reparaciones/Otros</v>
      </c>
      <c r="E1783" s="1" t="str">
        <f>IFERROR(__xludf.DUMMYFUNCTION("""COMPUTED_VALUE"""),"RIVADAVIA Daniel CM")</f>
        <v>RIVADAVIA Daniel CM</v>
      </c>
      <c r="F1783" s="1" t="str">
        <f t="shared" si="1"/>
        <v>RIVADAVIA </v>
      </c>
      <c r="G1783" s="1" t="str">
        <f t="shared" si="2"/>
        <v>Daniel CM</v>
      </c>
      <c r="H1783" s="1" t="str">
        <f>IFERROR(__xludf.DUMMYFUNCTION("""COMPUTED_VALUE"""),"10/2/2023, 17:00:00")</f>
        <v>10/2/2023, 17:00:00</v>
      </c>
      <c r="I1783" s="1"/>
      <c r="J1783" s="1">
        <f t="shared" si="3"/>
        <v>0</v>
      </c>
      <c r="K1783" s="1" t="str">
        <f t="shared" si="4"/>
        <v/>
      </c>
    </row>
    <row r="1784">
      <c r="A1784" s="1">
        <f>IFERROR(__xludf.DUMMYFUNCTION("""COMPUTED_VALUE"""),86334.0)</f>
        <v>86334</v>
      </c>
      <c r="B1784" s="5">
        <f>IFERROR(__xludf.DUMMYFUNCTION("""COMPUTED_VALUE"""),44966.47072976852)</f>
        <v>44966.47073</v>
      </c>
      <c r="C1784" s="1" t="str">
        <f>IFERROR(__xludf.DUMMYFUNCTION("""COMPUTED_VALUE"""),"SALINAS BRISA")</f>
        <v>SALINAS BRISA</v>
      </c>
      <c r="D1784" s="1" t="str">
        <f>IFERROR(__xludf.DUMMYFUNCTION("""COMPUTED_VALUE"""),"Lentes de STOCK")</f>
        <v>Lentes de STOCK</v>
      </c>
      <c r="E1784" s="1" t="str">
        <f>IFERROR(__xludf.DUMMYFUNCTION("""COMPUTED_VALUE"""),"ARTIGAS Cristian C.")</f>
        <v>ARTIGAS Cristian C.</v>
      </c>
      <c r="F1784" s="1" t="str">
        <f t="shared" si="1"/>
        <v>ARTIGAS </v>
      </c>
      <c r="G1784" s="1" t="str">
        <f t="shared" si="2"/>
        <v>Cristian C.</v>
      </c>
      <c r="H1784" s="1" t="str">
        <f>IFERROR(__xludf.DUMMYFUNCTION("""COMPUTED_VALUE"""),"16/2/2023, 17:00:00")</f>
        <v>16/2/2023, 17:00:00</v>
      </c>
      <c r="I1784" s="1" t="str">
        <f>IFERROR(__xludf.DUMMYFUNCTION("""COMPUTED_VALUE"""),"RETIRADO OK POR CLIENTE")</f>
        <v>RETIRADO OK POR CLIENTE</v>
      </c>
      <c r="J1784" s="1">
        <f t="shared" si="3"/>
        <v>6</v>
      </c>
      <c r="K1784" s="1" t="str">
        <f t="shared" si="4"/>
        <v>Entregamos tus lentes, que los disfrutes!</v>
      </c>
    </row>
    <row r="1785">
      <c r="A1785" s="1">
        <f>IFERROR(__xludf.DUMMYFUNCTION("""COMPUTED_VALUE"""),86335.0)</f>
        <v>86335</v>
      </c>
      <c r="B1785" s="5">
        <f>IFERROR(__xludf.DUMMYFUNCTION("""COMPUTED_VALUE"""),44966.476266550926)</f>
        <v>44966.47627</v>
      </c>
      <c r="C1785" s="1" t="str">
        <f>IFERROR(__xludf.DUMMYFUNCTION("""COMPUTED_VALUE"""),"Ojeda Mercedes del Carmen")</f>
        <v>Ojeda Mercedes del Carmen</v>
      </c>
      <c r="D1785" s="1" t="str">
        <f>IFERROR(__xludf.DUMMYFUNCTION("""COMPUTED_VALUE"""),"Lentes de STOCK")</f>
        <v>Lentes de STOCK</v>
      </c>
      <c r="E1785" s="1" t="str">
        <f>IFERROR(__xludf.DUMMYFUNCTION("""COMPUTED_VALUE"""),"ARTIGAS Roció")</f>
        <v>ARTIGAS Roció</v>
      </c>
      <c r="F1785" s="1" t="str">
        <f t="shared" si="1"/>
        <v>ARTIGAS </v>
      </c>
      <c r="G1785" s="1" t="str">
        <f t="shared" si="2"/>
        <v>Roció</v>
      </c>
      <c r="H1785" s="1" t="str">
        <f>IFERROR(__xludf.DUMMYFUNCTION("""COMPUTED_VALUE"""),"24/2/2023, 17:00:00")</f>
        <v>24/2/2023, 17:00:00</v>
      </c>
      <c r="I1785" s="1" t="str">
        <f>IFERROR(__xludf.DUMMYFUNCTION("""COMPUTED_VALUE"""),"Completado en SUCURSAL")</f>
        <v>Completado en SUCURSAL</v>
      </c>
      <c r="J1785" s="1">
        <f t="shared" si="3"/>
        <v>5</v>
      </c>
      <c r="K1785" s="1" t="str">
        <f t="shared" si="4"/>
        <v>Tus Lentes estan LISTAS PARA ENTREGAR, te esperamos.</v>
      </c>
    </row>
    <row r="1786">
      <c r="A1786" s="1">
        <f>IFERROR(__xludf.DUMMYFUNCTION("""COMPUTED_VALUE"""),86336.0)</f>
        <v>86336</v>
      </c>
      <c r="B1786" s="5">
        <f>IFERROR(__xludf.DUMMYFUNCTION("""COMPUTED_VALUE"""),44966.476565902776)</f>
        <v>44966.47657</v>
      </c>
      <c r="C1786" s="1" t="str">
        <f>IFERROR(__xludf.DUMMYFUNCTION("""COMPUTED_VALUE"""),"PARNISARI JUAN PABLO")</f>
        <v>PARNISARI JUAN PABLO</v>
      </c>
      <c r="D1786" s="1" t="str">
        <f>IFERROR(__xludf.DUMMYFUNCTION("""COMPUTED_VALUE"""),"Lentes de STOCK")</f>
        <v>Lentes de STOCK</v>
      </c>
      <c r="E1786" s="1" t="str">
        <f>IFERROR(__xludf.DUMMYFUNCTION("""COMPUTED_VALUE"""),"RIVADAVIA Santiago N")</f>
        <v>RIVADAVIA Santiago N</v>
      </c>
      <c r="F1786" s="1" t="str">
        <f t="shared" si="1"/>
        <v>RIVADAVIA </v>
      </c>
      <c r="G1786" s="1" t="str">
        <f t="shared" si="2"/>
        <v>Santiago N</v>
      </c>
      <c r="H1786" s="1" t="str">
        <f>IFERROR(__xludf.DUMMYFUNCTION("""COMPUTED_VALUE"""),"13/2/2023, 17:00:00")</f>
        <v>13/2/2023, 17:00:00</v>
      </c>
      <c r="I1786" s="1" t="str">
        <f>IFERROR(__xludf.DUMMYFUNCTION("""COMPUTED_VALUE"""),"RETIRADO OK POR CLIENTE")</f>
        <v>RETIRADO OK POR CLIENTE</v>
      </c>
      <c r="J1786" s="1">
        <f t="shared" si="3"/>
        <v>6</v>
      </c>
      <c r="K1786" s="1" t="str">
        <f t="shared" si="4"/>
        <v>Entregamos tus lentes, que los disfrutes!</v>
      </c>
    </row>
    <row r="1787">
      <c r="A1787" s="1">
        <f>IFERROR(__xludf.DUMMYFUNCTION("""COMPUTED_VALUE"""),86337.0)</f>
        <v>86337</v>
      </c>
      <c r="B1787" s="5">
        <f>IFERROR(__xludf.DUMMYFUNCTION("""COMPUTED_VALUE"""),44966.477416168986)</f>
        <v>44966.47742</v>
      </c>
      <c r="C1787" s="1" t="str">
        <f>IFERROR(__xludf.DUMMYFUNCTION("""COMPUTED_VALUE"""),"ALTAMIRANO BETIANA")</f>
        <v>ALTAMIRANO BETIANA</v>
      </c>
      <c r="D1787" s="1" t="str">
        <f>IFERROR(__xludf.DUMMYFUNCTION("""COMPUTED_VALUE"""),"Lentes de STOCK")</f>
        <v>Lentes de STOCK</v>
      </c>
      <c r="E1787" s="1" t="str">
        <f>IFERROR(__xludf.DUMMYFUNCTION("""COMPUTED_VALUE"""),"RIVADAVIA Luciana")</f>
        <v>RIVADAVIA Luciana</v>
      </c>
      <c r="F1787" s="1" t="str">
        <f t="shared" si="1"/>
        <v>RIVADAVIA </v>
      </c>
      <c r="G1787" s="1" t="str">
        <f t="shared" si="2"/>
        <v>Luciana</v>
      </c>
      <c r="H1787" s="1" t="str">
        <f>IFERROR(__xludf.DUMMYFUNCTION("""COMPUTED_VALUE"""),"14/2/2023, 17:00:00")</f>
        <v>14/2/2023, 17:00:00</v>
      </c>
      <c r="I1787" s="1" t="str">
        <f>IFERROR(__xludf.DUMMYFUNCTION("""COMPUTED_VALUE"""),"RETIRADO OK POR CLIENTE")</f>
        <v>RETIRADO OK POR CLIENTE</v>
      </c>
      <c r="J1787" s="1">
        <f t="shared" si="3"/>
        <v>6</v>
      </c>
      <c r="K1787" s="1" t="str">
        <f t="shared" si="4"/>
        <v>Entregamos tus lentes, que los disfrutes!</v>
      </c>
    </row>
    <row r="1788">
      <c r="A1788" s="1">
        <f>IFERROR(__xludf.DUMMYFUNCTION("""COMPUTED_VALUE"""),86338.0)</f>
        <v>86338</v>
      </c>
      <c r="B1788" s="5">
        <f>IFERROR(__xludf.DUMMYFUNCTION("""COMPUTED_VALUE"""),44966.48348519676)</f>
        <v>44966.48349</v>
      </c>
      <c r="C1788" s="1" t="str">
        <f>IFERROR(__xludf.DUMMYFUNCTION("""COMPUTED_VALUE"""),"ALTAMIRANO BETIANA")</f>
        <v>ALTAMIRANO BETIANA</v>
      </c>
      <c r="D1788" s="1" t="str">
        <f>IFERROR(__xludf.DUMMYFUNCTION("""COMPUTED_VALUE"""),"Reparaciones/Otros")</f>
        <v>Reparaciones/Otros</v>
      </c>
      <c r="E1788" s="1" t="str">
        <f>IFERROR(__xludf.DUMMYFUNCTION("""COMPUTED_VALUE"""),"RIVADAVIA Luciana")</f>
        <v>RIVADAVIA Luciana</v>
      </c>
      <c r="F1788" s="1" t="str">
        <f t="shared" si="1"/>
        <v>RIVADAVIA </v>
      </c>
      <c r="G1788" s="1" t="str">
        <f t="shared" si="2"/>
        <v>Luciana</v>
      </c>
      <c r="H1788" s="1" t="str">
        <f>IFERROR(__xludf.DUMMYFUNCTION("""COMPUTED_VALUE"""),"10/2/2023, 17:00:00")</f>
        <v>10/2/2023, 17:00:00</v>
      </c>
      <c r="I1788" s="1"/>
      <c r="J1788" s="1">
        <f t="shared" si="3"/>
        <v>0</v>
      </c>
      <c r="K1788" s="1" t="str">
        <f t="shared" si="4"/>
        <v/>
      </c>
    </row>
    <row r="1789">
      <c r="A1789" s="1">
        <f>IFERROR(__xludf.DUMMYFUNCTION("""COMPUTED_VALUE"""),86339.0)</f>
        <v>86339</v>
      </c>
      <c r="B1789" s="5">
        <f>IFERROR(__xludf.DUMMYFUNCTION("""COMPUTED_VALUE"""),44966.49455350694)</f>
        <v>44966.49455</v>
      </c>
      <c r="C1789" s="1" t="str">
        <f>IFERROR(__xludf.DUMMYFUNCTION("""COMPUTED_VALUE"""),"PEREZ GRACIELA ESTER")</f>
        <v>PEREZ GRACIELA ESTER</v>
      </c>
      <c r="D1789" s="1" t="str">
        <f>IFERROR(__xludf.DUMMYFUNCTION("""COMPUTED_VALUE"""),"Lentes de STOCK")</f>
        <v>Lentes de STOCK</v>
      </c>
      <c r="E1789" s="1" t="str">
        <f>IFERROR(__xludf.DUMMYFUNCTION("""COMPUTED_VALUE"""),"RIVADAVIA Marcela L")</f>
        <v>RIVADAVIA Marcela L</v>
      </c>
      <c r="F1789" s="1" t="str">
        <f t="shared" si="1"/>
        <v>RIVADAVIA </v>
      </c>
      <c r="G1789" s="1" t="str">
        <f t="shared" si="2"/>
        <v>Marcela L</v>
      </c>
      <c r="H1789" s="1" t="str">
        <f>IFERROR(__xludf.DUMMYFUNCTION("""COMPUTED_VALUE"""),"13/2/2023, 17:00:00")</f>
        <v>13/2/2023, 17:00:00</v>
      </c>
      <c r="I1789" s="1" t="str">
        <f>IFERROR(__xludf.DUMMYFUNCTION("""COMPUTED_VALUE"""),"RETIRADO OK POR CLIENTE")</f>
        <v>RETIRADO OK POR CLIENTE</v>
      </c>
      <c r="J1789" s="1">
        <f t="shared" si="3"/>
        <v>6</v>
      </c>
      <c r="K1789" s="1" t="str">
        <f t="shared" si="4"/>
        <v>Entregamos tus lentes, que los disfrutes!</v>
      </c>
    </row>
    <row r="1790">
      <c r="A1790" s="1">
        <f>IFERROR(__xludf.DUMMYFUNCTION("""COMPUTED_VALUE"""),86340.0)</f>
        <v>86340</v>
      </c>
      <c r="B1790" s="5">
        <f>IFERROR(__xludf.DUMMYFUNCTION("""COMPUTED_VALUE"""),44966.49618136574)</f>
        <v>44966.49618</v>
      </c>
      <c r="C1790" s="1" t="str">
        <f>IFERROR(__xludf.DUMMYFUNCTION("""COMPUTED_VALUE"""),"BENITEZ WANDA")</f>
        <v>BENITEZ WANDA</v>
      </c>
      <c r="D1790" s="1" t="str">
        <f>IFERROR(__xludf.DUMMYFUNCTION("""COMPUTED_VALUE"""),"Lentes de STOCK")</f>
        <v>Lentes de STOCK</v>
      </c>
      <c r="E1790" s="1" t="str">
        <f>IFERROR(__xludf.DUMMYFUNCTION("""COMPUTED_VALUE"""),"ARTIGAS Cristian C.")</f>
        <v>ARTIGAS Cristian C.</v>
      </c>
      <c r="F1790" s="1" t="str">
        <f t="shared" si="1"/>
        <v>ARTIGAS </v>
      </c>
      <c r="G1790" s="1" t="str">
        <f t="shared" si="2"/>
        <v>Cristian C.</v>
      </c>
      <c r="H1790" s="1" t="str">
        <f>IFERROR(__xludf.DUMMYFUNCTION("""COMPUTED_VALUE"""),"13/2/2023, 17:00:00")</f>
        <v>13/2/2023, 17:00:00</v>
      </c>
      <c r="I1790" s="1" t="str">
        <f>IFERROR(__xludf.DUMMYFUNCTION("""COMPUTED_VALUE"""),"RETIRADO OK POR CLIENTE")</f>
        <v>RETIRADO OK POR CLIENTE</v>
      </c>
      <c r="J1790" s="1">
        <f t="shared" si="3"/>
        <v>6</v>
      </c>
      <c r="K1790" s="1" t="str">
        <f t="shared" si="4"/>
        <v>Entregamos tus lentes, que los disfrutes!</v>
      </c>
    </row>
    <row r="1791">
      <c r="A1791" s="1">
        <f>IFERROR(__xludf.DUMMYFUNCTION("""COMPUTED_VALUE"""),86341.0)</f>
        <v>86341</v>
      </c>
      <c r="B1791" s="5">
        <f>IFERROR(__xludf.DUMMYFUNCTION("""COMPUTED_VALUE"""),44966.4972455324)</f>
        <v>44966.49725</v>
      </c>
      <c r="C1791" s="1" t="str">
        <f>IFERROR(__xludf.DUMMYFUNCTION("""COMPUTED_VALUE"""),"BASILOTA MARIELA")</f>
        <v>BASILOTA MARIELA</v>
      </c>
      <c r="D1791" s="1" t="str">
        <f>IFERROR(__xludf.DUMMYFUNCTION("""COMPUTED_VALUE"""),"Lentes de STOCK")</f>
        <v>Lentes de STOCK</v>
      </c>
      <c r="E1791" s="1" t="str">
        <f>IFERROR(__xludf.DUMMYFUNCTION("""COMPUTED_VALUE"""),"RIVADAVIA Luciana")</f>
        <v>RIVADAVIA Luciana</v>
      </c>
      <c r="F1791" s="1" t="str">
        <f t="shared" si="1"/>
        <v>RIVADAVIA </v>
      </c>
      <c r="G1791" s="1" t="str">
        <f t="shared" si="2"/>
        <v>Luciana</v>
      </c>
      <c r="H1791" s="1" t="str">
        <f>IFERROR(__xludf.DUMMYFUNCTION("""COMPUTED_VALUE"""),"15/2/2023, 17:00:00")</f>
        <v>15/2/2023, 17:00:00</v>
      </c>
      <c r="I1791" s="1" t="str">
        <f>IFERROR(__xludf.DUMMYFUNCTION("""COMPUTED_VALUE"""),"RETIRADO OK POR CLIENTE")</f>
        <v>RETIRADO OK POR CLIENTE</v>
      </c>
      <c r="J1791" s="1">
        <f t="shared" si="3"/>
        <v>6</v>
      </c>
      <c r="K1791" s="1" t="str">
        <f t="shared" si="4"/>
        <v>Entregamos tus lentes, que los disfrutes!</v>
      </c>
    </row>
    <row r="1792">
      <c r="A1792" s="1">
        <f>IFERROR(__xludf.DUMMYFUNCTION("""COMPUTED_VALUE"""),86342.0)</f>
        <v>86342</v>
      </c>
      <c r="B1792" s="5">
        <f>IFERROR(__xludf.DUMMYFUNCTION("""COMPUTED_VALUE"""),44966.50742915509)</f>
        <v>44966.50743</v>
      </c>
      <c r="C1792" s="1" t="str">
        <f>IFERROR(__xludf.DUMMYFUNCTION("""COMPUTED_VALUE"""),"PEÑALOZA EMILCE")</f>
        <v>PEÑALOZA EMILCE</v>
      </c>
      <c r="D1792" s="1" t="str">
        <f>IFERROR(__xludf.DUMMYFUNCTION("""COMPUTED_VALUE"""),"Lentes de STOCK")</f>
        <v>Lentes de STOCK</v>
      </c>
      <c r="E1792" s="1" t="str">
        <f>IFERROR(__xludf.DUMMYFUNCTION("""COMPUTED_VALUE"""),"ARTIGAS Roció")</f>
        <v>ARTIGAS Roció</v>
      </c>
      <c r="F1792" s="1" t="str">
        <f t="shared" si="1"/>
        <v>ARTIGAS </v>
      </c>
      <c r="G1792" s="1" t="str">
        <f t="shared" si="2"/>
        <v>Roció</v>
      </c>
      <c r="H1792" s="1" t="str">
        <f>IFERROR(__xludf.DUMMYFUNCTION("""COMPUTED_VALUE"""),"14/2/2023, 17:00:00")</f>
        <v>14/2/2023, 17:00:00</v>
      </c>
      <c r="I1792" s="1" t="str">
        <f>IFERROR(__xludf.DUMMYFUNCTION("""COMPUTED_VALUE"""),"RETIRADO OK POR CLIENTE")</f>
        <v>RETIRADO OK POR CLIENTE</v>
      </c>
      <c r="J1792" s="1">
        <f t="shared" si="3"/>
        <v>6</v>
      </c>
      <c r="K1792" s="1" t="str">
        <f t="shared" si="4"/>
        <v>Entregamos tus lentes, que los disfrutes!</v>
      </c>
    </row>
    <row r="1793">
      <c r="A1793" s="1">
        <f>IFERROR(__xludf.DUMMYFUNCTION("""COMPUTED_VALUE"""),86343.0)</f>
        <v>86343</v>
      </c>
      <c r="B1793" s="5">
        <f>IFERROR(__xludf.DUMMYFUNCTION("""COMPUTED_VALUE"""),44966.510904537034)</f>
        <v>44966.5109</v>
      </c>
      <c r="C1793" s="1" t="str">
        <f>IFERROR(__xludf.DUMMYFUNCTION("""COMPUTED_VALUE"""),"WIGGELHAUSE SERGIO ")</f>
        <v>WIGGELHAUSE SERGIO </v>
      </c>
      <c r="D1793" s="1" t="str">
        <f>IFERROR(__xludf.DUMMYFUNCTION("""COMPUTED_VALUE"""),"Lentes de STOCK")</f>
        <v>Lentes de STOCK</v>
      </c>
      <c r="E1793" s="1" t="str">
        <f>IFERROR(__xludf.DUMMYFUNCTION("""COMPUTED_VALUE"""),"RIVADAVIA Luciana")</f>
        <v>RIVADAVIA Luciana</v>
      </c>
      <c r="F1793" s="1" t="str">
        <f t="shared" si="1"/>
        <v>RIVADAVIA </v>
      </c>
      <c r="G1793" s="1" t="str">
        <f t="shared" si="2"/>
        <v>Luciana</v>
      </c>
      <c r="H1793" s="1" t="str">
        <f>IFERROR(__xludf.DUMMYFUNCTION("""COMPUTED_VALUE"""),"16/2/2023, 17:00:00")</f>
        <v>16/2/2023, 17:00:00</v>
      </c>
      <c r="I1793" s="1" t="str">
        <f>IFERROR(__xludf.DUMMYFUNCTION("""COMPUTED_VALUE"""),"RETIRADO OK POR CLIENTE")</f>
        <v>RETIRADO OK POR CLIENTE</v>
      </c>
      <c r="J1793" s="1">
        <f t="shared" si="3"/>
        <v>6</v>
      </c>
      <c r="K1793" s="1" t="str">
        <f t="shared" si="4"/>
        <v>Entregamos tus lentes, que los disfrutes!</v>
      </c>
    </row>
    <row r="1794">
      <c r="A1794" s="1">
        <f>IFERROR(__xludf.DUMMYFUNCTION("""COMPUTED_VALUE"""),86344.0)</f>
        <v>86344</v>
      </c>
      <c r="B1794" s="5">
        <f>IFERROR(__xludf.DUMMYFUNCTION("""COMPUTED_VALUE"""),44966.51148597222)</f>
        <v>44966.51149</v>
      </c>
      <c r="C1794" s="1" t="str">
        <f>IFERROR(__xludf.DUMMYFUNCTION("""COMPUTED_VALUE"""),"romero gisel")</f>
        <v>romero gisel</v>
      </c>
      <c r="D1794" s="1" t="str">
        <f>IFERROR(__xludf.DUMMYFUNCTION("""COMPUTED_VALUE"""),"Lentes de STOCK")</f>
        <v>Lentes de STOCK</v>
      </c>
      <c r="E1794" s="1" t="str">
        <f>IFERROR(__xludf.DUMMYFUNCTION("""COMPUTED_VALUE"""),"RIVADAVIA Santiago N")</f>
        <v>RIVADAVIA Santiago N</v>
      </c>
      <c r="F1794" s="1" t="str">
        <f t="shared" si="1"/>
        <v>RIVADAVIA </v>
      </c>
      <c r="G1794" s="1" t="str">
        <f t="shared" si="2"/>
        <v>Santiago N</v>
      </c>
      <c r="H1794" s="1" t="str">
        <f>IFERROR(__xludf.DUMMYFUNCTION("""COMPUTED_VALUE"""),"13/2/2023, 17:00:00")</f>
        <v>13/2/2023, 17:00:00</v>
      </c>
      <c r="I1794" s="1" t="str">
        <f>IFERROR(__xludf.DUMMYFUNCTION("""COMPUTED_VALUE"""),"RETIRADO OK POR CLIENTE")</f>
        <v>RETIRADO OK POR CLIENTE</v>
      </c>
      <c r="J1794" s="1">
        <f t="shared" si="3"/>
        <v>6</v>
      </c>
      <c r="K1794" s="1" t="str">
        <f t="shared" si="4"/>
        <v>Entregamos tus lentes, que los disfrutes!</v>
      </c>
    </row>
    <row r="1795">
      <c r="A1795" s="1">
        <f>IFERROR(__xludf.DUMMYFUNCTION("""COMPUTED_VALUE"""),0.0)</f>
        <v>0</v>
      </c>
      <c r="B1795" s="5">
        <f>IFERROR(__xludf.DUMMYFUNCTION("""COMPUTED_VALUE"""),44966.51444934028)</f>
        <v>44966.51445</v>
      </c>
      <c r="C1795" s="1" t="str">
        <f>IFERROR(__xludf.DUMMYFUNCTION("""COMPUTED_VALUE"""),"LEZCANO ROSA")</f>
        <v>LEZCANO ROSA</v>
      </c>
      <c r="D1795" s="1" t="str">
        <f>IFERROR(__xludf.DUMMYFUNCTION("""COMPUTED_VALUE"""),"Lentes BIFOCALES")</f>
        <v>Lentes BIFOCALES</v>
      </c>
      <c r="E1795" s="1" t="str">
        <f>IFERROR(__xludf.DUMMYFUNCTION("""COMPUTED_VALUE"""),"ARTIGAS Cristian C.")</f>
        <v>ARTIGAS Cristian C.</v>
      </c>
      <c r="F1795" s="1" t="str">
        <f t="shared" si="1"/>
        <v>ARTIGAS </v>
      </c>
      <c r="G1795" s="1" t="str">
        <f t="shared" si="2"/>
        <v>Cristian C.</v>
      </c>
      <c r="H1795" s="1" t="str">
        <f>IFERROR(__xludf.DUMMYFUNCTION("""COMPUTED_VALUE"""),"16/2/2023, 17:00:00")</f>
        <v>16/2/2023, 17:00:00</v>
      </c>
      <c r="I1795" s="1" t="str">
        <f>IFERROR(__xludf.DUMMYFUNCTION("""COMPUTED_VALUE"""),"Completado en SUCURSAL")</f>
        <v>Completado en SUCURSAL</v>
      </c>
      <c r="J1795" s="1">
        <f t="shared" si="3"/>
        <v>5</v>
      </c>
      <c r="K1795" s="1" t="str">
        <f t="shared" si="4"/>
        <v>Tus Lentes estan LISTAS PARA ENTREGAR, te esperamos.</v>
      </c>
    </row>
    <row r="1796">
      <c r="A1796" s="1">
        <f>IFERROR(__xludf.DUMMYFUNCTION("""COMPUTED_VALUE"""),86346.0)</f>
        <v>86346</v>
      </c>
      <c r="B1796" s="5">
        <f>IFERROR(__xludf.DUMMYFUNCTION("""COMPUTED_VALUE"""),44966.5172086574)</f>
        <v>44966.51721</v>
      </c>
      <c r="C1796" s="1" t="str">
        <f>IFERROR(__xludf.DUMMYFUNCTION("""COMPUTED_VALUE"""),"CRESPO GERARDO")</f>
        <v>CRESPO GERARDO</v>
      </c>
      <c r="D1796" s="1" t="str">
        <f>IFERROR(__xludf.DUMMYFUNCTION("""COMPUTED_VALUE"""),"Lentes de STOCK")</f>
        <v>Lentes de STOCK</v>
      </c>
      <c r="E1796" s="1" t="str">
        <f>IFERROR(__xludf.DUMMYFUNCTION("""COMPUTED_VALUE"""),"RIVADAVIA Luciana")</f>
        <v>RIVADAVIA Luciana</v>
      </c>
      <c r="F1796" s="1" t="str">
        <f t="shared" si="1"/>
        <v>RIVADAVIA </v>
      </c>
      <c r="G1796" s="1" t="str">
        <f t="shared" si="2"/>
        <v>Luciana</v>
      </c>
      <c r="H1796" s="1" t="str">
        <f>IFERROR(__xludf.DUMMYFUNCTION("""COMPUTED_VALUE"""),"15/2/2023, 17:00:00")</f>
        <v>15/2/2023, 17:00:00</v>
      </c>
      <c r="I1796" s="1" t="str">
        <f>IFERROR(__xludf.DUMMYFUNCTION("""COMPUTED_VALUE"""),"RETIRADO OK POR CLIENTE")</f>
        <v>RETIRADO OK POR CLIENTE</v>
      </c>
      <c r="J1796" s="1">
        <f t="shared" si="3"/>
        <v>6</v>
      </c>
      <c r="K1796" s="1" t="str">
        <f t="shared" si="4"/>
        <v>Entregamos tus lentes, que los disfrutes!</v>
      </c>
    </row>
    <row r="1797">
      <c r="A1797" s="1">
        <f>IFERROR(__xludf.DUMMYFUNCTION("""COMPUTED_VALUE"""),86347.0)</f>
        <v>86347</v>
      </c>
      <c r="B1797" s="5">
        <f>IFERROR(__xludf.DUMMYFUNCTION("""COMPUTED_VALUE"""),44966.5185296875)</f>
        <v>44966.51853</v>
      </c>
      <c r="C1797" s="1" t="str">
        <f>IFERROR(__xludf.DUMMYFUNCTION("""COMPUTED_VALUE"""),"WORONKO GITTO LUCIA MICAELA")</f>
        <v>WORONKO GITTO LUCIA MICAELA</v>
      </c>
      <c r="D1797" s="1" t="str">
        <f>IFERROR(__xludf.DUMMYFUNCTION("""COMPUTED_VALUE"""),"Lentes de STOCK")</f>
        <v>Lentes de STOCK</v>
      </c>
      <c r="E1797" s="1" t="str">
        <f>IFERROR(__xludf.DUMMYFUNCTION("""COMPUTED_VALUE"""),"RIVADAVIA Santiago N")</f>
        <v>RIVADAVIA Santiago N</v>
      </c>
      <c r="F1797" s="1" t="str">
        <f t="shared" si="1"/>
        <v>RIVADAVIA </v>
      </c>
      <c r="G1797" s="1" t="str">
        <f t="shared" si="2"/>
        <v>Santiago N</v>
      </c>
      <c r="H1797" s="1" t="str">
        <f>IFERROR(__xludf.DUMMYFUNCTION("""COMPUTED_VALUE"""),"13/2/2023, 17:00:00")</f>
        <v>13/2/2023, 17:00:00</v>
      </c>
      <c r="I1797" s="1" t="str">
        <f>IFERROR(__xludf.DUMMYFUNCTION("""COMPUTED_VALUE"""),"RETIRADO OK POR CLIENTE")</f>
        <v>RETIRADO OK POR CLIENTE</v>
      </c>
      <c r="J1797" s="1">
        <f t="shared" si="3"/>
        <v>6</v>
      </c>
      <c r="K1797" s="1" t="str">
        <f t="shared" si="4"/>
        <v>Entregamos tus lentes, que los disfrutes!</v>
      </c>
    </row>
    <row r="1798">
      <c r="A1798" s="1">
        <f>IFERROR(__xludf.DUMMYFUNCTION("""COMPUTED_VALUE"""),86348.0)</f>
        <v>86348</v>
      </c>
      <c r="B1798" s="5">
        <f>IFERROR(__xludf.DUMMYFUNCTION("""COMPUTED_VALUE"""),44966.518755324076)</f>
        <v>44966.51876</v>
      </c>
      <c r="C1798" s="1" t="str">
        <f>IFERROR(__xludf.DUMMYFUNCTION("""COMPUTED_VALUE"""),"ARIETA RICARDO")</f>
        <v>ARIETA RICARDO</v>
      </c>
      <c r="D1798" s="1" t="str">
        <f>IFERROR(__xludf.DUMMYFUNCTION("""COMPUTED_VALUE"""),"Lentes de STOCK")</f>
        <v>Lentes de STOCK</v>
      </c>
      <c r="E1798" s="1" t="str">
        <f>IFERROR(__xludf.DUMMYFUNCTION("""COMPUTED_VALUE"""),"ARTIGAS Cristian C.")</f>
        <v>ARTIGAS Cristian C.</v>
      </c>
      <c r="F1798" s="1" t="str">
        <f t="shared" si="1"/>
        <v>ARTIGAS </v>
      </c>
      <c r="G1798" s="1" t="str">
        <f t="shared" si="2"/>
        <v>Cristian C.</v>
      </c>
      <c r="H1798" s="1" t="str">
        <f>IFERROR(__xludf.DUMMYFUNCTION("""COMPUTED_VALUE"""),"16/2/2023, 17:00:00")</f>
        <v>16/2/2023, 17:00:00</v>
      </c>
      <c r="I1798" s="1" t="str">
        <f>IFERROR(__xludf.DUMMYFUNCTION("""COMPUTED_VALUE"""),"Completado en SUCURSAL")</f>
        <v>Completado en SUCURSAL</v>
      </c>
      <c r="J1798" s="1">
        <f t="shared" si="3"/>
        <v>5</v>
      </c>
      <c r="K1798" s="1" t="str">
        <f t="shared" si="4"/>
        <v>Tus Lentes estan LISTAS PARA ENTREGAR, te esperamos.</v>
      </c>
    </row>
    <row r="1799">
      <c r="A1799" s="1">
        <f>IFERROR(__xludf.DUMMYFUNCTION("""COMPUTED_VALUE"""),86349.0)</f>
        <v>86349</v>
      </c>
      <c r="B1799" s="5">
        <f>IFERROR(__xludf.DUMMYFUNCTION("""COMPUTED_VALUE"""),44966.527825509256)</f>
        <v>44966.52783</v>
      </c>
      <c r="C1799" s="1" t="str">
        <f>IFERROR(__xludf.DUMMYFUNCTION("""COMPUTED_VALUE"""),"Amaya Sonia")</f>
        <v>Amaya Sonia</v>
      </c>
      <c r="D1799" s="1" t="str">
        <f>IFERROR(__xludf.DUMMYFUNCTION("""COMPUTED_VALUE"""),"Lentes de STOCK")</f>
        <v>Lentes de STOCK</v>
      </c>
      <c r="E1799" s="1" t="str">
        <f>IFERROR(__xludf.DUMMYFUNCTION("""COMPUTED_VALUE"""),"ARTIGAS Roció")</f>
        <v>ARTIGAS Roció</v>
      </c>
      <c r="F1799" s="1" t="str">
        <f t="shared" si="1"/>
        <v>ARTIGAS </v>
      </c>
      <c r="G1799" s="1" t="str">
        <f t="shared" si="2"/>
        <v>Roció</v>
      </c>
      <c r="H1799" s="1" t="str">
        <f>IFERROR(__xludf.DUMMYFUNCTION("""COMPUTED_VALUE"""),"17/2/2023, 17:00:00")</f>
        <v>17/2/2023, 17:00:00</v>
      </c>
      <c r="I1799" s="1" t="str">
        <f>IFERROR(__xludf.DUMMYFUNCTION("""COMPUTED_VALUE"""),"RETIRADO OK POR CLIENTE")</f>
        <v>RETIRADO OK POR CLIENTE</v>
      </c>
      <c r="J1799" s="1">
        <f t="shared" si="3"/>
        <v>6</v>
      </c>
      <c r="K1799" s="1" t="str">
        <f t="shared" si="4"/>
        <v>Entregamos tus lentes, que los disfrutes!</v>
      </c>
    </row>
    <row r="1800">
      <c r="A1800" s="1">
        <f>IFERROR(__xludf.DUMMYFUNCTION("""COMPUTED_VALUE"""),86350.0)</f>
        <v>86350</v>
      </c>
      <c r="B1800" s="5">
        <f>IFERROR(__xludf.DUMMYFUNCTION("""COMPUTED_VALUE"""),44966.529092337965)</f>
        <v>44966.52909</v>
      </c>
      <c r="C1800" s="1" t="str">
        <f>IFERROR(__xludf.DUMMYFUNCTION("""COMPUTED_VALUE""")," LEZCANO ROSA")</f>
        <v> LEZCANO ROSA</v>
      </c>
      <c r="D1800" s="1" t="str">
        <f>IFERROR(__xludf.DUMMYFUNCTION("""COMPUTED_VALUE"""),"Lentes de STOCK")</f>
        <v>Lentes de STOCK</v>
      </c>
      <c r="E1800" s="1" t="str">
        <f>IFERROR(__xludf.DUMMYFUNCTION("""COMPUTED_VALUE"""),"ARTIGAS Cristian C.")</f>
        <v>ARTIGAS Cristian C.</v>
      </c>
      <c r="F1800" s="1" t="str">
        <f t="shared" si="1"/>
        <v>ARTIGAS </v>
      </c>
      <c r="G1800" s="1" t="str">
        <f t="shared" si="2"/>
        <v>Cristian C.</v>
      </c>
      <c r="H1800" s="1" t="str">
        <f>IFERROR(__xludf.DUMMYFUNCTION("""COMPUTED_VALUE"""),"17/2/2023, 17:00:00")</f>
        <v>17/2/2023, 17:00:00</v>
      </c>
      <c r="I1800" s="1" t="str">
        <f>IFERROR(__xludf.DUMMYFUNCTION("""COMPUTED_VALUE"""),"RETIRADO OK POR CLIENTE")</f>
        <v>RETIRADO OK POR CLIENTE</v>
      </c>
      <c r="J1800" s="1">
        <f t="shared" si="3"/>
        <v>6</v>
      </c>
      <c r="K1800" s="1" t="str">
        <f t="shared" si="4"/>
        <v>Entregamos tus lentes, que los disfrutes!</v>
      </c>
    </row>
    <row r="1801">
      <c r="A1801" s="1">
        <f>IFERROR(__xludf.DUMMYFUNCTION("""COMPUTED_VALUE"""),86351.0)</f>
        <v>86351</v>
      </c>
      <c r="B1801" s="5">
        <f>IFERROR(__xludf.DUMMYFUNCTION("""COMPUTED_VALUE"""),44966.53165388889)</f>
        <v>44966.53165</v>
      </c>
      <c r="C1801" s="1" t="str">
        <f>IFERROR(__xludf.DUMMYFUNCTION("""COMPUTED_VALUE"""),"Sosa gimenez carolina")</f>
        <v>Sosa gimenez carolina</v>
      </c>
      <c r="D1801" s="1" t="str">
        <f>IFERROR(__xludf.DUMMYFUNCTION("""COMPUTED_VALUE"""),"Reparaciones/Otros")</f>
        <v>Reparaciones/Otros</v>
      </c>
      <c r="E1801" s="1" t="str">
        <f>IFERROR(__xludf.DUMMYFUNCTION("""COMPUTED_VALUE"""),"ARTIGAS Sandra G")</f>
        <v>ARTIGAS Sandra G</v>
      </c>
      <c r="F1801" s="1" t="str">
        <f t="shared" si="1"/>
        <v>ARTIGAS </v>
      </c>
      <c r="G1801" s="1" t="str">
        <f t="shared" si="2"/>
        <v>Sandra G</v>
      </c>
      <c r="H1801" s="1" t="str">
        <f>IFERROR(__xludf.DUMMYFUNCTION("""COMPUTED_VALUE"""),"14/2/2023, 17:00:00")</f>
        <v>14/2/2023, 17:00:00</v>
      </c>
      <c r="I1801" s="1" t="str">
        <f>IFERROR(__xludf.DUMMYFUNCTION("""COMPUTED_VALUE"""),"Completado en SUCURSAL")</f>
        <v>Completado en SUCURSAL</v>
      </c>
      <c r="J1801" s="1">
        <f t="shared" si="3"/>
        <v>5</v>
      </c>
      <c r="K1801" s="1" t="str">
        <f t="shared" si="4"/>
        <v>Tus Lentes estan LISTAS PARA ENTREGAR, te esperamos.</v>
      </c>
    </row>
    <row r="1802">
      <c r="A1802" s="1">
        <f>IFERROR(__xludf.DUMMYFUNCTION("""COMPUTED_VALUE"""),86352.0)</f>
        <v>86352</v>
      </c>
      <c r="B1802" s="5">
        <f>IFERROR(__xludf.DUMMYFUNCTION("""COMPUTED_VALUE"""),44966.54111549769)</f>
        <v>44966.54112</v>
      </c>
      <c r="C1802" s="1" t="str">
        <f>IFERROR(__xludf.DUMMYFUNCTION("""COMPUTED_VALUE"""),"QUIROGA DANIELA")</f>
        <v>QUIROGA DANIELA</v>
      </c>
      <c r="D1802" s="1" t="str">
        <f>IFERROR(__xludf.DUMMYFUNCTION("""COMPUTED_VALUE"""),"Lentes de STOCK")</f>
        <v>Lentes de STOCK</v>
      </c>
      <c r="E1802" s="1" t="str">
        <f>IFERROR(__xludf.DUMMYFUNCTION("""COMPUTED_VALUE"""),"RIVADAVIA Luciana")</f>
        <v>RIVADAVIA Luciana</v>
      </c>
      <c r="F1802" s="1" t="str">
        <f t="shared" si="1"/>
        <v>RIVADAVIA </v>
      </c>
      <c r="G1802" s="1" t="str">
        <f t="shared" si="2"/>
        <v>Luciana</v>
      </c>
      <c r="H1802" s="1" t="str">
        <f>IFERROR(__xludf.DUMMYFUNCTION("""COMPUTED_VALUE"""),"15/2/2023, 17:00:00")</f>
        <v>15/2/2023, 17:00:00</v>
      </c>
      <c r="I1802" s="1" t="str">
        <f>IFERROR(__xludf.DUMMYFUNCTION("""COMPUTED_VALUE"""),"RETIRADO OK POR CLIENTE")</f>
        <v>RETIRADO OK POR CLIENTE</v>
      </c>
      <c r="J1802" s="1">
        <f t="shared" si="3"/>
        <v>6</v>
      </c>
      <c r="K1802" s="1" t="str">
        <f t="shared" si="4"/>
        <v>Entregamos tus lentes, que los disfrutes!</v>
      </c>
    </row>
    <row r="1803">
      <c r="A1803" s="1">
        <f>IFERROR(__xludf.DUMMYFUNCTION("""COMPUTED_VALUE"""),86353.0)</f>
        <v>86353</v>
      </c>
      <c r="B1803" s="5">
        <f>IFERROR(__xludf.DUMMYFUNCTION("""COMPUTED_VALUE"""),44966.55677164352)</f>
        <v>44966.55677</v>
      </c>
      <c r="C1803" s="1" t="str">
        <f>IFERROR(__xludf.DUMMYFUNCTION("""COMPUTED_VALUE"""),"ZAVALETA EZEQUIEL VALENTIN")</f>
        <v>ZAVALETA EZEQUIEL VALENTIN</v>
      </c>
      <c r="D1803" s="1" t="str">
        <f>IFERROR(__xludf.DUMMYFUNCTION("""COMPUTED_VALUE"""),"Lentes de STOCK")</f>
        <v>Lentes de STOCK</v>
      </c>
      <c r="E1803" s="1" t="str">
        <f>IFERROR(__xludf.DUMMYFUNCTION("""COMPUTED_VALUE"""),"RIVADAVIA Marcela L")</f>
        <v>RIVADAVIA Marcela L</v>
      </c>
      <c r="F1803" s="1" t="str">
        <f t="shared" si="1"/>
        <v>RIVADAVIA </v>
      </c>
      <c r="G1803" s="1" t="str">
        <f t="shared" si="2"/>
        <v>Marcela L</v>
      </c>
      <c r="H1803" s="1" t="str">
        <f>IFERROR(__xludf.DUMMYFUNCTION("""COMPUTED_VALUE"""),"15/2/2023, 17:00:00")</f>
        <v>15/2/2023, 17:00:00</v>
      </c>
      <c r="I1803" s="1" t="str">
        <f>IFERROR(__xludf.DUMMYFUNCTION("""COMPUTED_VALUE"""),"RETIRADO OK POR CLIENTE")</f>
        <v>RETIRADO OK POR CLIENTE</v>
      </c>
      <c r="J1803" s="1">
        <f t="shared" si="3"/>
        <v>6</v>
      </c>
      <c r="K1803" s="1" t="str">
        <f t="shared" si="4"/>
        <v>Entregamos tus lentes, que los disfrutes!</v>
      </c>
    </row>
    <row r="1804">
      <c r="A1804" s="1">
        <f>IFERROR(__xludf.DUMMYFUNCTION("""COMPUTED_VALUE"""),86354.0)</f>
        <v>86354</v>
      </c>
      <c r="B1804" s="5">
        <f>IFERROR(__xludf.DUMMYFUNCTION("""COMPUTED_VALUE"""),44966.56201835648)</f>
        <v>44966.56202</v>
      </c>
      <c r="C1804" s="1" t="str">
        <f>IFERROR(__xludf.DUMMYFUNCTION("""COMPUTED_VALUE"""),"SANCHEZ MARCELA")</f>
        <v>SANCHEZ MARCELA</v>
      </c>
      <c r="D1804" s="1" t="str">
        <f>IFERROR(__xludf.DUMMYFUNCTION("""COMPUTED_VALUE"""),"Lentes de STOCK")</f>
        <v>Lentes de STOCK</v>
      </c>
      <c r="E1804" s="1" t="str">
        <f>IFERROR(__xludf.DUMMYFUNCTION("""COMPUTED_VALUE"""),"RIVADAVIA Luciana")</f>
        <v>RIVADAVIA Luciana</v>
      </c>
      <c r="F1804" s="1" t="str">
        <f t="shared" si="1"/>
        <v>RIVADAVIA </v>
      </c>
      <c r="G1804" s="1" t="str">
        <f t="shared" si="2"/>
        <v>Luciana</v>
      </c>
      <c r="H1804" s="1" t="str">
        <f>IFERROR(__xludf.DUMMYFUNCTION("""COMPUTED_VALUE"""),"15/2/2023, 17:00:00")</f>
        <v>15/2/2023, 17:00:00</v>
      </c>
      <c r="I1804" s="1" t="str">
        <f>IFERROR(__xludf.DUMMYFUNCTION("""COMPUTED_VALUE"""),"Completado en SUCURSAL")</f>
        <v>Completado en SUCURSAL</v>
      </c>
      <c r="J1804" s="1">
        <f t="shared" si="3"/>
        <v>5</v>
      </c>
      <c r="K1804" s="1" t="str">
        <f t="shared" si="4"/>
        <v>Tus Lentes estan LISTAS PARA ENTREGAR, te esperamos.</v>
      </c>
    </row>
    <row r="1805">
      <c r="A1805" s="1">
        <f>IFERROR(__xludf.DUMMYFUNCTION("""COMPUTED_VALUE"""),86355.0)</f>
        <v>86355</v>
      </c>
      <c r="B1805" s="5">
        <f>IFERROR(__xludf.DUMMYFUNCTION("""COMPUTED_VALUE"""),44966.70053989583)</f>
        <v>44966.70054</v>
      </c>
      <c r="C1805" s="1" t="str">
        <f>IFERROR(__xludf.DUMMYFUNCTION("""COMPUTED_VALUE"""),"PONCE ISABEL SANDRA")</f>
        <v>PONCE ISABEL SANDRA</v>
      </c>
      <c r="D1805" s="1" t="str">
        <f>IFERROR(__xludf.DUMMYFUNCTION("""COMPUTED_VALUE"""),"Lentes de LABORATORIO")</f>
        <v>Lentes de LABORATORIO</v>
      </c>
      <c r="E1805" s="1" t="str">
        <f>IFERROR(__xludf.DUMMYFUNCTION("""COMPUTED_VALUE"""),"ARTIGAS Cristian C.")</f>
        <v>ARTIGAS Cristian C.</v>
      </c>
      <c r="F1805" s="1" t="str">
        <f t="shared" si="1"/>
        <v>ARTIGAS </v>
      </c>
      <c r="G1805" s="1" t="str">
        <f t="shared" si="2"/>
        <v>Cristian C.</v>
      </c>
      <c r="H1805" s="1" t="str">
        <f>IFERROR(__xludf.DUMMYFUNCTION("""COMPUTED_VALUE"""),"3/3/2023, 17:00:00")</f>
        <v>3/3/2023, 17:00:00</v>
      </c>
      <c r="I1805" s="1"/>
      <c r="J1805" s="1">
        <f t="shared" si="3"/>
        <v>0</v>
      </c>
      <c r="K1805" s="1" t="str">
        <f t="shared" si="4"/>
        <v/>
      </c>
    </row>
    <row r="1806">
      <c r="A1806" s="1">
        <f>IFERROR(__xludf.DUMMYFUNCTION("""COMPUTED_VALUE"""),86356.0)</f>
        <v>86356</v>
      </c>
      <c r="B1806" s="5">
        <f>IFERROR(__xludf.DUMMYFUNCTION("""COMPUTED_VALUE"""),44966.71689981481)</f>
        <v>44966.7169</v>
      </c>
      <c r="C1806" s="1" t="str">
        <f>IFERROR(__xludf.DUMMYFUNCTION("""COMPUTED_VALUE"""),"ESCOBAREZ VERONICA")</f>
        <v>ESCOBAREZ VERONICA</v>
      </c>
      <c r="D1806" s="1" t="str">
        <f>IFERROR(__xludf.DUMMYFUNCTION("""COMPUTED_VALUE"""),"Lentes de STOCK")</f>
        <v>Lentes de STOCK</v>
      </c>
      <c r="E1806" s="1" t="str">
        <f>IFERROR(__xludf.DUMMYFUNCTION("""COMPUTED_VALUE"""),"ARTIGAS Cristian C.")</f>
        <v>ARTIGAS Cristian C.</v>
      </c>
      <c r="F1806" s="1" t="str">
        <f t="shared" si="1"/>
        <v>ARTIGAS </v>
      </c>
      <c r="G1806" s="1" t="str">
        <f t="shared" si="2"/>
        <v>Cristian C.</v>
      </c>
      <c r="H1806" s="1" t="str">
        <f>IFERROR(__xludf.DUMMYFUNCTION("""COMPUTED_VALUE"""),"13/2/2023, 17:00:00")</f>
        <v>13/2/2023, 17:00:00</v>
      </c>
      <c r="I1806" s="1" t="str">
        <f>IFERROR(__xludf.DUMMYFUNCTION("""COMPUTED_VALUE"""),"RETIRADO OK POR CLIENTE")</f>
        <v>RETIRADO OK POR CLIENTE</v>
      </c>
      <c r="J1806" s="1">
        <f t="shared" si="3"/>
        <v>6</v>
      </c>
      <c r="K1806" s="1" t="str">
        <f t="shared" si="4"/>
        <v>Entregamos tus lentes, que los disfrutes!</v>
      </c>
    </row>
    <row r="1807" hidden="1">
      <c r="A1807" s="1">
        <f>IFERROR(__xludf.DUMMYFUNCTION("""COMPUTED_VALUE"""),86357.0)</f>
        <v>86357</v>
      </c>
      <c r="B1807" s="5">
        <f>IFERROR(__xludf.DUMMYFUNCTION("""COMPUTED_VALUE"""),44966.71822065972)</f>
        <v>44966.71822</v>
      </c>
      <c r="C1807" s="1" t="str">
        <f>IFERROR(__xludf.DUMMYFUNCTION("""COMPUTED_VALUE"""),"alcaraz monica")</f>
        <v>alcaraz monica</v>
      </c>
      <c r="D1807" s="1" t="str">
        <f>IFERROR(__xludf.DUMMYFUNCTION("""COMPUTED_VALUE"""),"Lentes MULTIFOCALES")</f>
        <v>Lentes MULTIFOCALES</v>
      </c>
      <c r="E1807" s="1" t="str">
        <f>IFERROR(__xludf.DUMMYFUNCTION("""COMPUTED_VALUE"""),"RIVADAVIA Santiago N")</f>
        <v>RIVADAVIA Santiago N</v>
      </c>
      <c r="F1807" s="1" t="str">
        <f t="shared" si="1"/>
        <v>RIVADAVIA </v>
      </c>
      <c r="G1807" s="1" t="str">
        <f t="shared" si="2"/>
        <v>Santiago N</v>
      </c>
      <c r="H1807" s="1" t="str">
        <f>IFERROR(__xludf.DUMMYFUNCTION("""COMPUTED_VALUE"""),"22/2/2023, 17:00:00")</f>
        <v>22/2/2023, 17:00:00</v>
      </c>
      <c r="I1807" s="1" t="str">
        <f>IFERROR(__xludf.DUMMYFUNCTION("""COMPUTED_VALUE"""),"DEMORADO")</f>
        <v>DEMORADO</v>
      </c>
      <c r="J1807" s="1" t="str">
        <f t="shared" si="3"/>
        <v/>
      </c>
      <c r="K1807" s="1" t="str">
        <f t="shared" si="4"/>
        <v>Tuvimos una demora con tus lentes y no podremos entregarlo en las fecha acordada, estamos trabajando para terminarlos cuanto antes, te mantendremos al tanto, si es necesario contactanos via whatsapp.</v>
      </c>
    </row>
    <row r="1808">
      <c r="A1808" s="1">
        <f>IFERROR(__xludf.DUMMYFUNCTION("""COMPUTED_VALUE"""),86358.0)</f>
        <v>86358</v>
      </c>
      <c r="B1808" s="5">
        <f>IFERROR(__xludf.DUMMYFUNCTION("""COMPUTED_VALUE"""),44966.71930146991)</f>
        <v>44966.7193</v>
      </c>
      <c r="C1808" s="1" t="str">
        <f>IFERROR(__xludf.DUMMYFUNCTION("""COMPUTED_VALUE"""),"URQUIZA LAUTARO")</f>
        <v>URQUIZA LAUTARO</v>
      </c>
      <c r="D1808" s="1" t="str">
        <f>IFERROR(__xludf.DUMMYFUNCTION("""COMPUTED_VALUE"""),"Lentes de STOCK")</f>
        <v>Lentes de STOCK</v>
      </c>
      <c r="E1808" s="1" t="str">
        <f>IFERROR(__xludf.DUMMYFUNCTION("""COMPUTED_VALUE"""),"RIVADAVIA Luciana")</f>
        <v>RIVADAVIA Luciana</v>
      </c>
      <c r="F1808" s="1" t="str">
        <f t="shared" si="1"/>
        <v>RIVADAVIA </v>
      </c>
      <c r="G1808" s="1" t="str">
        <f t="shared" si="2"/>
        <v>Luciana</v>
      </c>
      <c r="H1808" s="1" t="str">
        <f>IFERROR(__xludf.DUMMYFUNCTION("""COMPUTED_VALUE"""),"15/2/2023, 17:00:00")</f>
        <v>15/2/2023, 17:00:00</v>
      </c>
      <c r="I1808" s="1" t="str">
        <f>IFERROR(__xludf.DUMMYFUNCTION("""COMPUTED_VALUE"""),"RETIRADO OK POR CLIENTE")</f>
        <v>RETIRADO OK POR CLIENTE</v>
      </c>
      <c r="J1808" s="1">
        <f t="shared" si="3"/>
        <v>6</v>
      </c>
      <c r="K1808" s="1" t="str">
        <f t="shared" si="4"/>
        <v>Entregamos tus lentes, que los disfrutes!</v>
      </c>
    </row>
    <row r="1809">
      <c r="A1809" s="1">
        <f>IFERROR(__xludf.DUMMYFUNCTION("""COMPUTED_VALUE"""),86359.0)</f>
        <v>86359</v>
      </c>
      <c r="B1809" s="5">
        <f>IFERROR(__xludf.DUMMYFUNCTION("""COMPUTED_VALUE"""),44966.7288237037)</f>
        <v>44966.72882</v>
      </c>
      <c r="C1809" s="1" t="str">
        <f>IFERROR(__xludf.DUMMYFUNCTION("""COMPUTED_VALUE"""),"Otero Horacio")</f>
        <v>Otero Horacio</v>
      </c>
      <c r="D1809" s="1" t="str">
        <f>IFERROR(__xludf.DUMMYFUNCTION("""COMPUTED_VALUE"""),"Reparaciones/Otros")</f>
        <v>Reparaciones/Otros</v>
      </c>
      <c r="E1809" s="1" t="str">
        <f>IFERROR(__xludf.DUMMYFUNCTION("""COMPUTED_VALUE"""),"Otro (MICAELA AMIEVA )")</f>
        <v>Otro (MICAELA AMIEVA )</v>
      </c>
      <c r="F1809" s="1" t="str">
        <f t="shared" si="1"/>
        <v>Otro </v>
      </c>
      <c r="G1809" s="1" t="str">
        <f t="shared" si="2"/>
        <v>(MICAELA AMIEVA )</v>
      </c>
      <c r="H1809" s="1" t="str">
        <f>IFERROR(__xludf.DUMMYFUNCTION("""COMPUTED_VALUE"""),"13/2/2023, 17:00:00")</f>
        <v>13/2/2023, 17:00:00</v>
      </c>
      <c r="I1809" s="1" t="str">
        <f>IFERROR(__xludf.DUMMYFUNCTION("""COMPUTED_VALUE"""),"Recibido en Laboratorio")</f>
        <v>Recibido en Laboratorio</v>
      </c>
      <c r="J1809" s="1">
        <f t="shared" si="3"/>
        <v>2</v>
      </c>
      <c r="K1809" s="1" t="str">
        <f t="shared" si="4"/>
        <v>Nuestro Laboratorio esta trabajando en tus lentes, los entregaremos en la fecha acordada.</v>
      </c>
    </row>
    <row r="1810">
      <c r="A1810" s="1">
        <f>IFERROR(__xludf.DUMMYFUNCTION("""COMPUTED_VALUE"""),86360.0)</f>
        <v>86360</v>
      </c>
      <c r="B1810" s="5">
        <f>IFERROR(__xludf.DUMMYFUNCTION("""COMPUTED_VALUE"""),44966.74552048611)</f>
        <v>44966.74552</v>
      </c>
      <c r="C1810" s="1" t="str">
        <f>IFERROR(__xludf.DUMMYFUNCTION("""COMPUTED_VALUE"""),"LUCERO DAIANA")</f>
        <v>LUCERO DAIANA</v>
      </c>
      <c r="D1810" s="1" t="str">
        <f>IFERROR(__xludf.DUMMYFUNCTION("""COMPUTED_VALUE"""),"Lentes de STOCK")</f>
        <v>Lentes de STOCK</v>
      </c>
      <c r="E1810" s="1" t="str">
        <f>IFERROR(__xludf.DUMMYFUNCTION("""COMPUTED_VALUE"""),"ARTIGAS Cristian C.")</f>
        <v>ARTIGAS Cristian C.</v>
      </c>
      <c r="F1810" s="1" t="str">
        <f t="shared" si="1"/>
        <v>ARTIGAS </v>
      </c>
      <c r="G1810" s="1" t="str">
        <f t="shared" si="2"/>
        <v>Cristian C.</v>
      </c>
      <c r="H1810" s="1" t="str">
        <f>IFERROR(__xludf.DUMMYFUNCTION("""COMPUTED_VALUE"""),"16/2/2023, 17:00:00")</f>
        <v>16/2/2023, 17:00:00</v>
      </c>
      <c r="I1810" s="1" t="str">
        <f>IFERROR(__xludf.DUMMYFUNCTION("""COMPUTED_VALUE"""),"RETIRADO OK POR CLIENTE")</f>
        <v>RETIRADO OK POR CLIENTE</v>
      </c>
      <c r="J1810" s="1">
        <f t="shared" si="3"/>
        <v>6</v>
      </c>
      <c r="K1810" s="1" t="str">
        <f t="shared" si="4"/>
        <v>Entregamos tus lentes, que los disfrutes!</v>
      </c>
    </row>
    <row r="1811" hidden="1">
      <c r="A1811" s="1">
        <f>IFERROR(__xludf.DUMMYFUNCTION("""COMPUTED_VALUE"""),86361.0)</f>
        <v>86361</v>
      </c>
      <c r="B1811" s="5">
        <f>IFERROR(__xludf.DUMMYFUNCTION("""COMPUTED_VALUE"""),44966.74784408565)</f>
        <v>44966.74784</v>
      </c>
      <c r="C1811" s="1" t="str">
        <f>IFERROR(__xludf.DUMMYFUNCTION("""COMPUTED_VALUE"""),"corrrea maria del carmen")</f>
        <v>corrrea maria del carmen</v>
      </c>
      <c r="D1811" s="1" t="str">
        <f>IFERROR(__xludf.DUMMYFUNCTION("""COMPUTED_VALUE"""),"Lentes MULTIFOCALES")</f>
        <v>Lentes MULTIFOCALES</v>
      </c>
      <c r="E1811" s="1" t="str">
        <f>IFERROR(__xludf.DUMMYFUNCTION("""COMPUTED_VALUE"""),"RIVADAVIA Santiago N")</f>
        <v>RIVADAVIA Santiago N</v>
      </c>
      <c r="F1811" s="1" t="str">
        <f t="shared" si="1"/>
        <v>RIVADAVIA </v>
      </c>
      <c r="G1811" s="1" t="str">
        <f t="shared" si="2"/>
        <v>Santiago N</v>
      </c>
      <c r="H1811" s="1" t="str">
        <f>IFERROR(__xludf.DUMMYFUNCTION("""COMPUTED_VALUE"""),"22/2/2023, 17:00:00")</f>
        <v>22/2/2023, 17:00:00</v>
      </c>
      <c r="I1811" s="1" t="str">
        <f>IFERROR(__xludf.DUMMYFUNCTION("""COMPUTED_VALUE"""),"DEMORADO")</f>
        <v>DEMORADO</v>
      </c>
      <c r="J1811" s="1" t="str">
        <f t="shared" si="3"/>
        <v/>
      </c>
      <c r="K1811" s="1" t="str">
        <f t="shared" si="4"/>
        <v>Tuvimos una demora con tus lentes y no podremos entregarlo en las fecha acordada, estamos trabajando para terminarlos cuanto antes, te mantendremos al tanto, si es necesario contactanos via whatsapp.</v>
      </c>
    </row>
    <row r="1812">
      <c r="A1812" s="1">
        <f>IFERROR(__xludf.DUMMYFUNCTION("""COMPUTED_VALUE"""),86362.0)</f>
        <v>86362</v>
      </c>
      <c r="B1812" s="5">
        <f>IFERROR(__xludf.DUMMYFUNCTION("""COMPUTED_VALUE"""),44966.74943268519)</f>
        <v>44966.74943</v>
      </c>
      <c r="C1812" s="1" t="str">
        <f>IFERROR(__xludf.DUMMYFUNCTION("""COMPUTED_VALUE"""),"Lacan Marilina")</f>
        <v>Lacan Marilina</v>
      </c>
      <c r="D1812" s="1" t="str">
        <f>IFERROR(__xludf.DUMMYFUNCTION("""COMPUTED_VALUE"""),"Reparaciones/Otros")</f>
        <v>Reparaciones/Otros</v>
      </c>
      <c r="E1812" s="1" t="str">
        <f>IFERROR(__xludf.DUMMYFUNCTION("""COMPUTED_VALUE"""),"ARTIGAS Roció")</f>
        <v>ARTIGAS Roció</v>
      </c>
      <c r="F1812" s="1" t="str">
        <f t="shared" si="1"/>
        <v>ARTIGAS </v>
      </c>
      <c r="G1812" s="1" t="str">
        <f t="shared" si="2"/>
        <v>Roció</v>
      </c>
      <c r="H1812" s="1" t="str">
        <f>IFERROR(__xludf.DUMMYFUNCTION("""COMPUTED_VALUE"""),"13/2/2023, 17:00:00")</f>
        <v>13/2/2023, 17:00:00</v>
      </c>
      <c r="I1812" s="1"/>
      <c r="J1812" s="1">
        <f t="shared" si="3"/>
        <v>0</v>
      </c>
      <c r="K1812" s="1" t="str">
        <f t="shared" si="4"/>
        <v/>
      </c>
    </row>
    <row r="1813">
      <c r="A1813" s="1">
        <f>IFERROR(__xludf.DUMMYFUNCTION("""COMPUTED_VALUE"""),86363.0)</f>
        <v>86363</v>
      </c>
      <c r="B1813" s="5">
        <f>IFERROR(__xludf.DUMMYFUNCTION("""COMPUTED_VALUE"""),44966.75599858796)</f>
        <v>44966.756</v>
      </c>
      <c r="C1813" s="1" t="str">
        <f>IFERROR(__xludf.DUMMYFUNCTION("""COMPUTED_VALUE"""),"ZERNERI SILVINA MARIEL")</f>
        <v>ZERNERI SILVINA MARIEL</v>
      </c>
      <c r="D1813" s="1" t="str">
        <f>IFERROR(__xludf.DUMMYFUNCTION("""COMPUTED_VALUE"""),"Lentes MULTIFOCALES")</f>
        <v>Lentes MULTIFOCALES</v>
      </c>
      <c r="E1813" s="1" t="str">
        <f>IFERROR(__xludf.DUMMYFUNCTION("""COMPUTED_VALUE"""),"RIVADAVIA Javier")</f>
        <v>RIVADAVIA Javier</v>
      </c>
      <c r="F1813" s="1" t="str">
        <f t="shared" si="1"/>
        <v>RIVADAVIA </v>
      </c>
      <c r="G1813" s="1" t="str">
        <f t="shared" si="2"/>
        <v>Javier</v>
      </c>
      <c r="H1813" s="1" t="str">
        <f>IFERROR(__xludf.DUMMYFUNCTION("""COMPUTED_VALUE"""),"22/2/2023, 17:00:00")</f>
        <v>22/2/2023, 17:00:00</v>
      </c>
      <c r="I1813" s="1" t="str">
        <f>IFERROR(__xludf.DUMMYFUNCTION("""COMPUTED_VALUE"""),"Completado en SUCURSAL")</f>
        <v>Completado en SUCURSAL</v>
      </c>
      <c r="J1813" s="1">
        <f t="shared" si="3"/>
        <v>5</v>
      </c>
      <c r="K1813" s="1" t="str">
        <f t="shared" si="4"/>
        <v>Tus Lentes estan LISTAS PARA ENTREGAR, te esperamos.</v>
      </c>
    </row>
    <row r="1814">
      <c r="A1814" s="1">
        <f>IFERROR(__xludf.DUMMYFUNCTION("""COMPUTED_VALUE"""),86364.0)</f>
        <v>86364</v>
      </c>
      <c r="B1814" s="5">
        <f>IFERROR(__xludf.DUMMYFUNCTION("""COMPUTED_VALUE"""),44966.75804770833)</f>
        <v>44966.75805</v>
      </c>
      <c r="C1814" s="1" t="str">
        <f>IFERROR(__xludf.DUMMYFUNCTION("""COMPUTED_VALUE"""),"woronko maria candela")</f>
        <v>woronko maria candela</v>
      </c>
      <c r="D1814" s="1" t="str">
        <f>IFERROR(__xludf.DUMMYFUNCTION("""COMPUTED_VALUE"""),"Lentes de STOCK")</f>
        <v>Lentes de STOCK</v>
      </c>
      <c r="E1814" s="1" t="str">
        <f>IFERROR(__xludf.DUMMYFUNCTION("""COMPUTED_VALUE"""),"RIVADAVIA Santiago N")</f>
        <v>RIVADAVIA Santiago N</v>
      </c>
      <c r="F1814" s="1" t="str">
        <f t="shared" si="1"/>
        <v>RIVADAVIA </v>
      </c>
      <c r="G1814" s="1" t="str">
        <f t="shared" si="2"/>
        <v>Santiago N</v>
      </c>
      <c r="H1814" s="1" t="str">
        <f>IFERROR(__xludf.DUMMYFUNCTION("""COMPUTED_VALUE"""),"13/2/2023, 17:00:00")</f>
        <v>13/2/2023, 17:00:00</v>
      </c>
      <c r="I1814" s="1" t="str">
        <f>IFERROR(__xludf.DUMMYFUNCTION("""COMPUTED_VALUE"""),"RETIRADO OK POR CLIENTE")</f>
        <v>RETIRADO OK POR CLIENTE</v>
      </c>
      <c r="J1814" s="1">
        <f t="shared" si="3"/>
        <v>6</v>
      </c>
      <c r="K1814" s="1" t="str">
        <f t="shared" si="4"/>
        <v>Entregamos tus lentes, que los disfrutes!</v>
      </c>
    </row>
    <row r="1815">
      <c r="A1815" s="1">
        <f>IFERROR(__xludf.DUMMYFUNCTION("""COMPUTED_VALUE"""),86365.0)</f>
        <v>86365</v>
      </c>
      <c r="B1815" s="5">
        <f>IFERROR(__xludf.DUMMYFUNCTION("""COMPUTED_VALUE"""),44966.762398969906)</f>
        <v>44966.7624</v>
      </c>
      <c r="C1815" s="1" t="str">
        <f>IFERROR(__xludf.DUMMYFUNCTION("""COMPUTED_VALUE"""),"doso maravillas")</f>
        <v>doso maravillas</v>
      </c>
      <c r="D1815" s="1" t="str">
        <f>IFERROR(__xludf.DUMMYFUNCTION("""COMPUTED_VALUE"""),"Reparaciones/Otros")</f>
        <v>Reparaciones/Otros</v>
      </c>
      <c r="E1815" s="1" t="str">
        <f>IFERROR(__xludf.DUMMYFUNCTION("""COMPUTED_VALUE"""),"RIVADAVIA Santiago N")</f>
        <v>RIVADAVIA Santiago N</v>
      </c>
      <c r="F1815" s="1" t="str">
        <f t="shared" si="1"/>
        <v>RIVADAVIA </v>
      </c>
      <c r="G1815" s="1" t="str">
        <f t="shared" si="2"/>
        <v>Santiago N</v>
      </c>
      <c r="H1815" s="1" t="str">
        <f>IFERROR(__xludf.DUMMYFUNCTION("""COMPUTED_VALUE"""),"10/2/2023, 17:00:00")</f>
        <v>10/2/2023, 17:00:00</v>
      </c>
      <c r="I1815" s="1"/>
      <c r="J1815" s="1">
        <f t="shared" si="3"/>
        <v>0</v>
      </c>
      <c r="K1815" s="1" t="str">
        <f t="shared" si="4"/>
        <v/>
      </c>
    </row>
    <row r="1816">
      <c r="A1816" s="1">
        <f>IFERROR(__xludf.DUMMYFUNCTION("""COMPUTED_VALUE"""),86366.0)</f>
        <v>86366</v>
      </c>
      <c r="B1816" s="5">
        <f>IFERROR(__xludf.DUMMYFUNCTION("""COMPUTED_VALUE"""),44966.76932659722)</f>
        <v>44966.76933</v>
      </c>
      <c r="C1816" s="1" t="str">
        <f>IFERROR(__xludf.DUMMYFUNCTION("""COMPUTED_VALUE"""),"britos cesar")</f>
        <v>britos cesar</v>
      </c>
      <c r="D1816" s="1" t="str">
        <f>IFERROR(__xludf.DUMMYFUNCTION("""COMPUTED_VALUE"""),"Lentes de STOCK")</f>
        <v>Lentes de STOCK</v>
      </c>
      <c r="E1816" s="1" t="str">
        <f>IFERROR(__xludf.DUMMYFUNCTION("""COMPUTED_VALUE"""),"RIVADAVIA Santiago N")</f>
        <v>RIVADAVIA Santiago N</v>
      </c>
      <c r="F1816" s="1" t="str">
        <f t="shared" si="1"/>
        <v>RIVADAVIA </v>
      </c>
      <c r="G1816" s="1" t="str">
        <f t="shared" si="2"/>
        <v>Santiago N</v>
      </c>
      <c r="H1816" s="1" t="str">
        <f>IFERROR(__xludf.DUMMYFUNCTION("""COMPUTED_VALUE"""),"11/2/2023, 17:00:00")</f>
        <v>11/2/2023, 17:00:00</v>
      </c>
      <c r="I1816" s="1" t="str">
        <f>IFERROR(__xludf.DUMMYFUNCTION("""COMPUTED_VALUE"""),"Completado en SUCURSAL")</f>
        <v>Completado en SUCURSAL</v>
      </c>
      <c r="J1816" s="1">
        <f t="shared" si="3"/>
        <v>5</v>
      </c>
      <c r="K1816" s="1" t="str">
        <f t="shared" si="4"/>
        <v>Tus Lentes estan LISTAS PARA ENTREGAR, te esperamos.</v>
      </c>
    </row>
    <row r="1817">
      <c r="A1817" s="1">
        <f>IFERROR(__xludf.DUMMYFUNCTION("""COMPUTED_VALUE"""),86367.0)</f>
        <v>86367</v>
      </c>
      <c r="B1817" s="5">
        <f>IFERROR(__xludf.DUMMYFUNCTION("""COMPUTED_VALUE"""),44966.7737321412)</f>
        <v>44966.77373</v>
      </c>
      <c r="C1817" s="1" t="str">
        <f>IFERROR(__xludf.DUMMYFUNCTION("""COMPUTED_VALUE"""),"MAGALLANES JORGE ATILIO")</f>
        <v>MAGALLANES JORGE ATILIO</v>
      </c>
      <c r="D1817" s="1" t="str">
        <f>IFERROR(__xludf.DUMMYFUNCTION("""COMPUTED_VALUE"""),"Lentes de STOCK")</f>
        <v>Lentes de STOCK</v>
      </c>
      <c r="E1817" s="1" t="str">
        <f>IFERROR(__xludf.DUMMYFUNCTION("""COMPUTED_VALUE"""),"ARTIGAS Roció")</f>
        <v>ARTIGAS Roció</v>
      </c>
      <c r="F1817" s="1" t="str">
        <f t="shared" si="1"/>
        <v>ARTIGAS </v>
      </c>
      <c r="G1817" s="1" t="str">
        <f t="shared" si="2"/>
        <v>Roció</v>
      </c>
      <c r="H1817" s="1" t="str">
        <f>IFERROR(__xludf.DUMMYFUNCTION("""COMPUTED_VALUE"""),"17/2/2023, 17:00:00")</f>
        <v>17/2/2023, 17:00:00</v>
      </c>
      <c r="I1817" s="1" t="str">
        <f>IFERROR(__xludf.DUMMYFUNCTION("""COMPUTED_VALUE"""),"RETIRADO OK POR CLIENTE")</f>
        <v>RETIRADO OK POR CLIENTE</v>
      </c>
      <c r="J1817" s="1">
        <f t="shared" si="3"/>
        <v>6</v>
      </c>
      <c r="K1817" s="1" t="str">
        <f t="shared" si="4"/>
        <v>Entregamos tus lentes, que los disfrutes!</v>
      </c>
    </row>
    <row r="1818">
      <c r="A1818" s="1">
        <f>IFERROR(__xludf.DUMMYFUNCTION("""COMPUTED_VALUE"""),86368.0)</f>
        <v>86368</v>
      </c>
      <c r="B1818" s="5">
        <f>IFERROR(__xludf.DUMMYFUNCTION("""COMPUTED_VALUE"""),44966.776197025465)</f>
        <v>44966.7762</v>
      </c>
      <c r="C1818" s="1" t="str">
        <f>IFERROR(__xludf.DUMMYFUNCTION("""COMPUTED_VALUE"""),"zabala chacur maria belen")</f>
        <v>zabala chacur maria belen</v>
      </c>
      <c r="D1818" s="1" t="str">
        <f>IFERROR(__xludf.DUMMYFUNCTION("""COMPUTED_VALUE"""),"Lentes de STOCK")</f>
        <v>Lentes de STOCK</v>
      </c>
      <c r="E1818" s="1" t="str">
        <f>IFERROR(__xludf.DUMMYFUNCTION("""COMPUTED_VALUE"""),"RIVADAVIA Santiago N")</f>
        <v>RIVADAVIA Santiago N</v>
      </c>
      <c r="F1818" s="1" t="str">
        <f t="shared" si="1"/>
        <v>RIVADAVIA </v>
      </c>
      <c r="G1818" s="1" t="str">
        <f t="shared" si="2"/>
        <v>Santiago N</v>
      </c>
      <c r="H1818" s="1" t="str">
        <f>IFERROR(__xludf.DUMMYFUNCTION("""COMPUTED_VALUE"""),"13/2/2023, 17:00:00")</f>
        <v>13/2/2023, 17:00:00</v>
      </c>
      <c r="I1818" s="1"/>
      <c r="J1818" s="1">
        <f t="shared" si="3"/>
        <v>0</v>
      </c>
      <c r="K1818" s="1" t="str">
        <f t="shared" si="4"/>
        <v/>
      </c>
    </row>
    <row r="1819">
      <c r="A1819" s="1">
        <f>IFERROR(__xludf.DUMMYFUNCTION("""COMPUTED_VALUE"""),86369.0)</f>
        <v>86369</v>
      </c>
      <c r="B1819" s="5">
        <f>IFERROR(__xludf.DUMMYFUNCTION("""COMPUTED_VALUE"""),44966.77934168981)</f>
        <v>44966.77934</v>
      </c>
      <c r="C1819" s="1" t="str">
        <f>IFERROR(__xludf.DUMMYFUNCTION("""COMPUTED_VALUE"""),"ROBBIO LUDMILA")</f>
        <v>ROBBIO LUDMILA</v>
      </c>
      <c r="D1819" s="1" t="str">
        <f>IFERROR(__xludf.DUMMYFUNCTION("""COMPUTED_VALUE"""),"Lentes de STOCK")</f>
        <v>Lentes de STOCK</v>
      </c>
      <c r="E1819" s="1" t="str">
        <f>IFERROR(__xludf.DUMMYFUNCTION("""COMPUTED_VALUE"""),"ARTIGAS Cristian C.")</f>
        <v>ARTIGAS Cristian C.</v>
      </c>
      <c r="F1819" s="1" t="str">
        <f t="shared" si="1"/>
        <v>ARTIGAS </v>
      </c>
      <c r="G1819" s="1" t="str">
        <f t="shared" si="2"/>
        <v>Cristian C.</v>
      </c>
      <c r="H1819" s="1" t="str">
        <f>IFERROR(__xludf.DUMMYFUNCTION("""COMPUTED_VALUE"""),"16/2/2023, 17:00:00")</f>
        <v>16/2/2023, 17:00:00</v>
      </c>
      <c r="I1819" s="1" t="str">
        <f>IFERROR(__xludf.DUMMYFUNCTION("""COMPUTED_VALUE"""),"RETIRADO OK POR CLIENTE")</f>
        <v>RETIRADO OK POR CLIENTE</v>
      </c>
      <c r="J1819" s="1">
        <f t="shared" si="3"/>
        <v>6</v>
      </c>
      <c r="K1819" s="1" t="str">
        <f t="shared" si="4"/>
        <v>Entregamos tus lentes, que los disfrutes!</v>
      </c>
    </row>
    <row r="1820">
      <c r="A1820" s="1">
        <f>IFERROR(__xludf.DUMMYFUNCTION("""COMPUTED_VALUE"""),86370.0)</f>
        <v>86370</v>
      </c>
      <c r="B1820" s="5">
        <f>IFERROR(__xludf.DUMMYFUNCTION("""COMPUTED_VALUE"""),44966.78123984954)</f>
        <v>44966.78124</v>
      </c>
      <c r="C1820" s="1" t="str">
        <f>IFERROR(__xludf.DUMMYFUNCTION("""COMPUTED_VALUE"""),"Quiroga Blanca")</f>
        <v>Quiroga Blanca</v>
      </c>
      <c r="D1820" s="1" t="str">
        <f>IFERROR(__xludf.DUMMYFUNCTION("""COMPUTED_VALUE"""),"Lentes de STOCK")</f>
        <v>Lentes de STOCK</v>
      </c>
      <c r="E1820" s="1" t="str">
        <f>IFERROR(__xludf.DUMMYFUNCTION("""COMPUTED_VALUE"""),"ARTIGAS Roció")</f>
        <v>ARTIGAS Roció</v>
      </c>
      <c r="F1820" s="1" t="str">
        <f t="shared" si="1"/>
        <v>ARTIGAS </v>
      </c>
      <c r="G1820" s="1" t="str">
        <f t="shared" si="2"/>
        <v>Roció</v>
      </c>
      <c r="H1820" s="1" t="str">
        <f>IFERROR(__xludf.DUMMYFUNCTION("""COMPUTED_VALUE"""),"13/2/2023, 17:00:00")</f>
        <v>13/2/2023, 17:00:00</v>
      </c>
      <c r="I1820" s="1" t="str">
        <f>IFERROR(__xludf.DUMMYFUNCTION("""COMPUTED_VALUE"""),"RETIRADO OK POR CLIENTE")</f>
        <v>RETIRADO OK POR CLIENTE</v>
      </c>
      <c r="J1820" s="1">
        <f t="shared" si="3"/>
        <v>6</v>
      </c>
      <c r="K1820" s="1" t="str">
        <f t="shared" si="4"/>
        <v>Entregamos tus lentes, que los disfrutes!</v>
      </c>
    </row>
    <row r="1821">
      <c r="A1821" s="1">
        <f>IFERROR(__xludf.DUMMYFUNCTION("""COMPUTED_VALUE"""),86371.0)</f>
        <v>86371</v>
      </c>
      <c r="B1821" s="5">
        <f>IFERROR(__xludf.DUMMYFUNCTION("""COMPUTED_VALUE"""),44966.78936768518)</f>
        <v>44966.78937</v>
      </c>
      <c r="C1821" s="1" t="str">
        <f>IFERROR(__xludf.DUMMYFUNCTION("""COMPUTED_VALUE"""),"Manrique  Graciela Cecilia")</f>
        <v>Manrique  Graciela Cecilia</v>
      </c>
      <c r="D1821" s="1" t="str">
        <f>IFERROR(__xludf.DUMMYFUNCTION("""COMPUTED_VALUE"""),"Lentes de LABORATORIO")</f>
        <v>Lentes de LABORATORIO</v>
      </c>
      <c r="E1821" s="1" t="str">
        <f>IFERROR(__xludf.DUMMYFUNCTION("""COMPUTED_VALUE"""),"ARTIGAS Roció")</f>
        <v>ARTIGAS Roció</v>
      </c>
      <c r="F1821" s="1" t="str">
        <f t="shared" si="1"/>
        <v>ARTIGAS </v>
      </c>
      <c r="G1821" s="1" t="str">
        <f t="shared" si="2"/>
        <v>Roció</v>
      </c>
      <c r="H1821" s="1" t="str">
        <f>IFERROR(__xludf.DUMMYFUNCTION("""COMPUTED_VALUE"""),"27/2/2023, 17:00:00")</f>
        <v>27/2/2023, 17:00:00</v>
      </c>
      <c r="I1821" s="1" t="str">
        <f>IFERROR(__xludf.DUMMYFUNCTION("""COMPUTED_VALUE"""),"RETIRADO OK POR CLIENTE")</f>
        <v>RETIRADO OK POR CLIENTE</v>
      </c>
      <c r="J1821" s="1">
        <f t="shared" si="3"/>
        <v>6</v>
      </c>
      <c r="K1821" s="1" t="str">
        <f t="shared" si="4"/>
        <v>Entregamos tus lentes, que los disfrutes!</v>
      </c>
    </row>
    <row r="1822">
      <c r="A1822" s="1">
        <f>IFERROR(__xludf.DUMMYFUNCTION("""COMPUTED_VALUE"""),86372.0)</f>
        <v>86372</v>
      </c>
      <c r="B1822" s="5">
        <f>IFERROR(__xludf.DUMMYFUNCTION("""COMPUTED_VALUE"""),44966.79905916667)</f>
        <v>44966.79906</v>
      </c>
      <c r="C1822" s="1" t="str">
        <f>IFERROR(__xludf.DUMMYFUNCTION("""COMPUTED_VALUE"""),"IBAÑEZ MARIA DEL VALLE")</f>
        <v>IBAÑEZ MARIA DEL VALLE</v>
      </c>
      <c r="D1822" s="1" t="str">
        <f>IFERROR(__xludf.DUMMYFUNCTION("""COMPUTED_VALUE"""),"Lentes de STOCK")</f>
        <v>Lentes de STOCK</v>
      </c>
      <c r="E1822" s="1" t="str">
        <f>IFERROR(__xludf.DUMMYFUNCTION("""COMPUTED_VALUE"""),"ARTIGAS Roció")</f>
        <v>ARTIGAS Roció</v>
      </c>
      <c r="F1822" s="1" t="str">
        <f t="shared" si="1"/>
        <v>ARTIGAS </v>
      </c>
      <c r="G1822" s="1" t="str">
        <f t="shared" si="2"/>
        <v>Roció</v>
      </c>
      <c r="H1822" s="1" t="str">
        <f>IFERROR(__xludf.DUMMYFUNCTION("""COMPUTED_VALUE"""),"22/2/2023, 17:00:00")</f>
        <v>22/2/2023, 17:00:00</v>
      </c>
      <c r="I1822" s="1" t="str">
        <f>IFERROR(__xludf.DUMMYFUNCTION("""COMPUTED_VALUE"""),"RETIRADO OK POR CLIENTE")</f>
        <v>RETIRADO OK POR CLIENTE</v>
      </c>
      <c r="J1822" s="1">
        <f t="shared" si="3"/>
        <v>6</v>
      </c>
      <c r="K1822" s="1" t="str">
        <f t="shared" si="4"/>
        <v>Entregamos tus lentes, que los disfrutes!</v>
      </c>
    </row>
    <row r="1823">
      <c r="A1823" s="1">
        <f>IFERROR(__xludf.DUMMYFUNCTION("""COMPUTED_VALUE"""),86373.0)</f>
        <v>86373</v>
      </c>
      <c r="B1823" s="5">
        <f>IFERROR(__xludf.DUMMYFUNCTION("""COMPUTED_VALUE"""),44966.81466909722)</f>
        <v>44966.81467</v>
      </c>
      <c r="C1823" s="1" t="str">
        <f>IFERROR(__xludf.DUMMYFUNCTION("""COMPUTED_VALUE"""),"GIMENEZ SILVIA")</f>
        <v>GIMENEZ SILVIA</v>
      </c>
      <c r="D1823" s="1" t="str">
        <f>IFERROR(__xludf.DUMMYFUNCTION("""COMPUTED_VALUE"""),"Lentes MULTIFOCALES")</f>
        <v>Lentes MULTIFOCALES</v>
      </c>
      <c r="E1823" s="1" t="str">
        <f>IFERROR(__xludf.DUMMYFUNCTION("""COMPUTED_VALUE"""),"ARTIGAS Cristian C.")</f>
        <v>ARTIGAS Cristian C.</v>
      </c>
      <c r="F1823" s="1" t="str">
        <f t="shared" si="1"/>
        <v>ARTIGAS </v>
      </c>
      <c r="G1823" s="1" t="str">
        <f t="shared" si="2"/>
        <v>Cristian C.</v>
      </c>
      <c r="H1823" s="1" t="str">
        <f>IFERROR(__xludf.DUMMYFUNCTION("""COMPUTED_VALUE"""),"17/2/2023, 17:00:00")</f>
        <v>17/2/2023, 17:00:00</v>
      </c>
      <c r="I1823" s="1" t="str">
        <f>IFERROR(__xludf.DUMMYFUNCTION("""COMPUTED_VALUE"""),"RETIRADO OK POR CLIENTE")</f>
        <v>RETIRADO OK POR CLIENTE</v>
      </c>
      <c r="J1823" s="1">
        <f t="shared" si="3"/>
        <v>6</v>
      </c>
      <c r="K1823" s="1" t="str">
        <f t="shared" si="4"/>
        <v>Entregamos tus lentes, que los disfrutes!</v>
      </c>
    </row>
    <row r="1824">
      <c r="A1824" s="1">
        <f>IFERROR(__xludf.DUMMYFUNCTION("""COMPUTED_VALUE"""),86374.0)</f>
        <v>86374</v>
      </c>
      <c r="B1824" s="5">
        <f>IFERROR(__xludf.DUMMYFUNCTION("""COMPUTED_VALUE"""),44966.82068398148)</f>
        <v>44966.82068</v>
      </c>
      <c r="C1824" s="1" t="str">
        <f>IFERROR(__xludf.DUMMYFUNCTION("""COMPUTED_VALUE"""),"Viviana Araya ")</f>
        <v>Viviana Araya </v>
      </c>
      <c r="D1824" s="1" t="str">
        <f>IFERROR(__xludf.DUMMYFUNCTION("""COMPUTED_VALUE"""),"Reparaciones/Otros")</f>
        <v>Reparaciones/Otros</v>
      </c>
      <c r="E1824" s="1" t="str">
        <f>IFERROR(__xludf.DUMMYFUNCTION("""COMPUTED_VALUE"""),"Otro (MICAELA AMIEVA )")</f>
        <v>Otro (MICAELA AMIEVA )</v>
      </c>
      <c r="F1824" s="1" t="str">
        <f t="shared" si="1"/>
        <v>Otro </v>
      </c>
      <c r="G1824" s="1" t="str">
        <f t="shared" si="2"/>
        <v>(MICAELA AMIEVA )</v>
      </c>
      <c r="H1824" s="1" t="str">
        <f>IFERROR(__xludf.DUMMYFUNCTION("""COMPUTED_VALUE"""),"13/2/2023, 17:00:00")</f>
        <v>13/2/2023, 17:00:00</v>
      </c>
      <c r="I1824" s="1"/>
      <c r="J1824" s="1">
        <f t="shared" si="3"/>
        <v>0</v>
      </c>
      <c r="K1824" s="1" t="str">
        <f t="shared" si="4"/>
        <v/>
      </c>
    </row>
    <row r="1825">
      <c r="A1825" s="1">
        <f>IFERROR(__xludf.DUMMYFUNCTION("""COMPUTED_VALUE"""),86375.0)</f>
        <v>86375</v>
      </c>
      <c r="B1825" s="5">
        <f>IFERROR(__xludf.DUMMYFUNCTION("""COMPUTED_VALUE"""),44966.83056559028)</f>
        <v>44966.83057</v>
      </c>
      <c r="C1825" s="1" t="str">
        <f>IFERROR(__xludf.DUMMYFUNCTION("""COMPUTED_VALUE"""),"KUBITZ MARIANA")</f>
        <v>KUBITZ MARIANA</v>
      </c>
      <c r="D1825" s="1" t="str">
        <f>IFERROR(__xludf.DUMMYFUNCTION("""COMPUTED_VALUE"""),"Lentes de STOCK")</f>
        <v>Lentes de STOCK</v>
      </c>
      <c r="E1825" s="1" t="str">
        <f>IFERROR(__xludf.DUMMYFUNCTION("""COMPUTED_VALUE"""),"RIVADAVIA Luciana")</f>
        <v>RIVADAVIA Luciana</v>
      </c>
      <c r="F1825" s="1" t="str">
        <f t="shared" si="1"/>
        <v>RIVADAVIA </v>
      </c>
      <c r="G1825" s="1" t="str">
        <f t="shared" si="2"/>
        <v>Luciana</v>
      </c>
      <c r="H1825" s="1" t="str">
        <f>IFERROR(__xludf.DUMMYFUNCTION("""COMPUTED_VALUE"""),"15/2/2023, 17:00:00")</f>
        <v>15/2/2023, 17:00:00</v>
      </c>
      <c r="I1825" s="1" t="str">
        <f>IFERROR(__xludf.DUMMYFUNCTION("""COMPUTED_VALUE"""),"RETIRADO OK POR CLIENTE")</f>
        <v>RETIRADO OK POR CLIENTE</v>
      </c>
      <c r="J1825" s="1">
        <f t="shared" si="3"/>
        <v>6</v>
      </c>
      <c r="K1825" s="1" t="str">
        <f t="shared" si="4"/>
        <v>Entregamos tus lentes, que los disfrutes!</v>
      </c>
    </row>
    <row r="1826">
      <c r="A1826" s="1">
        <f>IFERROR(__xludf.DUMMYFUNCTION("""COMPUTED_VALUE"""),86376.0)</f>
        <v>86376</v>
      </c>
      <c r="B1826" s="5">
        <f>IFERROR(__xludf.DUMMYFUNCTION("""COMPUTED_VALUE"""),44966.83759784722)</f>
        <v>44966.8376</v>
      </c>
      <c r="C1826" s="1" t="str">
        <f>IFERROR(__xludf.DUMMYFUNCTION("""COMPUTED_VALUE"""),"CALDERA DIEGO")</f>
        <v>CALDERA DIEGO</v>
      </c>
      <c r="D1826" s="1" t="str">
        <f>IFERROR(__xludf.DUMMYFUNCTION("""COMPUTED_VALUE"""),"Lentes de STOCK")</f>
        <v>Lentes de STOCK</v>
      </c>
      <c r="E1826" s="1" t="str">
        <f>IFERROR(__xludf.DUMMYFUNCTION("""COMPUTED_VALUE"""),"RIVADAVIA Luciana")</f>
        <v>RIVADAVIA Luciana</v>
      </c>
      <c r="F1826" s="1" t="str">
        <f t="shared" si="1"/>
        <v>RIVADAVIA </v>
      </c>
      <c r="G1826" s="1" t="str">
        <f t="shared" si="2"/>
        <v>Luciana</v>
      </c>
      <c r="H1826" s="1" t="str">
        <f>IFERROR(__xludf.DUMMYFUNCTION("""COMPUTED_VALUE"""),"15/2/2023, 17:00:00")</f>
        <v>15/2/2023, 17:00:00</v>
      </c>
      <c r="I1826" s="1" t="str">
        <f>IFERROR(__xludf.DUMMYFUNCTION("""COMPUTED_VALUE"""),"RETIRADO OK POR CLIENTE")</f>
        <v>RETIRADO OK POR CLIENTE</v>
      </c>
      <c r="J1826" s="1">
        <f t="shared" si="3"/>
        <v>6</v>
      </c>
      <c r="K1826" s="1" t="str">
        <f t="shared" si="4"/>
        <v>Entregamos tus lentes, que los disfrutes!</v>
      </c>
    </row>
    <row r="1827">
      <c r="A1827" s="1">
        <f>IFERROR(__xludf.DUMMYFUNCTION("""COMPUTED_VALUE"""),86377.0)</f>
        <v>86377</v>
      </c>
      <c r="B1827" s="5">
        <f>IFERROR(__xludf.DUMMYFUNCTION("""COMPUTED_VALUE"""),44966.84349372685)</f>
        <v>44966.84349</v>
      </c>
      <c r="C1827" s="1" t="str">
        <f>IFERROR(__xludf.DUMMYFUNCTION("""COMPUTED_VALUE"""),"QUIETO MARTINA")</f>
        <v>QUIETO MARTINA</v>
      </c>
      <c r="D1827" s="1" t="str">
        <f>IFERROR(__xludf.DUMMYFUNCTION("""COMPUTED_VALUE"""),"Lentes de STOCK")</f>
        <v>Lentes de STOCK</v>
      </c>
      <c r="E1827" s="1" t="str">
        <f>IFERROR(__xludf.DUMMYFUNCTION("""COMPUTED_VALUE"""),"RIVADAVIA Javier")</f>
        <v>RIVADAVIA Javier</v>
      </c>
      <c r="F1827" s="1" t="str">
        <f t="shared" si="1"/>
        <v>RIVADAVIA </v>
      </c>
      <c r="G1827" s="1" t="str">
        <f t="shared" si="2"/>
        <v>Javier</v>
      </c>
      <c r="H1827" s="1" t="str">
        <f>IFERROR(__xludf.DUMMYFUNCTION("""COMPUTED_VALUE"""),"14/2/2023, 17:00:00")</f>
        <v>14/2/2023, 17:00:00</v>
      </c>
      <c r="I1827" s="1" t="str">
        <f>IFERROR(__xludf.DUMMYFUNCTION("""COMPUTED_VALUE"""),"RETIRADO OK POR CLIENTE")</f>
        <v>RETIRADO OK POR CLIENTE</v>
      </c>
      <c r="J1827" s="1">
        <f t="shared" si="3"/>
        <v>6</v>
      </c>
      <c r="K1827" s="1" t="str">
        <f t="shared" si="4"/>
        <v>Entregamos tus lentes, que los disfrutes!</v>
      </c>
    </row>
    <row r="1828">
      <c r="A1828" s="1">
        <f>IFERROR(__xludf.DUMMYFUNCTION("""COMPUTED_VALUE"""),86378.0)</f>
        <v>86378</v>
      </c>
      <c r="B1828" s="5">
        <f>IFERROR(__xludf.DUMMYFUNCTION("""COMPUTED_VALUE"""),44966.850350196764)</f>
        <v>44966.85035</v>
      </c>
      <c r="C1828" s="1" t="str">
        <f>IFERROR(__xludf.DUMMYFUNCTION("""COMPUTED_VALUE"""),"jofre mirta")</f>
        <v>jofre mirta</v>
      </c>
      <c r="D1828" s="1" t="str">
        <f>IFERROR(__xludf.DUMMYFUNCTION("""COMPUTED_VALUE"""),"Reparaciones/Otros")</f>
        <v>Reparaciones/Otros</v>
      </c>
      <c r="E1828" s="1" t="str">
        <f>IFERROR(__xludf.DUMMYFUNCTION("""COMPUTED_VALUE"""),"RIVADAVIA Daniel CM")</f>
        <v>RIVADAVIA Daniel CM</v>
      </c>
      <c r="F1828" s="1" t="str">
        <f t="shared" si="1"/>
        <v>RIVADAVIA </v>
      </c>
      <c r="G1828" s="1" t="str">
        <f t="shared" si="2"/>
        <v>Daniel CM</v>
      </c>
      <c r="H1828" s="1" t="str">
        <f>IFERROR(__xludf.DUMMYFUNCTION("""COMPUTED_VALUE"""),"10/2/2023, 17:00:00")</f>
        <v>10/2/2023, 17:00:00</v>
      </c>
      <c r="I1828" s="1"/>
      <c r="J1828" s="1">
        <f t="shared" si="3"/>
        <v>0</v>
      </c>
      <c r="K1828" s="1" t="str">
        <f t="shared" si="4"/>
        <v/>
      </c>
    </row>
    <row r="1829">
      <c r="A1829" s="1">
        <f>IFERROR(__xludf.DUMMYFUNCTION("""COMPUTED_VALUE"""),86379.0)</f>
        <v>86379</v>
      </c>
      <c r="B1829" s="5">
        <f>IFERROR(__xludf.DUMMYFUNCTION("""COMPUTED_VALUE"""),44966.854362847225)</f>
        <v>44966.85436</v>
      </c>
      <c r="C1829" s="1" t="str">
        <f>IFERROR(__xludf.DUMMYFUNCTION("""COMPUTED_VALUE"""),"MARAÑON  EMMA ")</f>
        <v>MARAÑON  EMMA </v>
      </c>
      <c r="D1829" s="1" t="str">
        <f>IFERROR(__xludf.DUMMYFUNCTION("""COMPUTED_VALUE"""),"Lentes de STOCK")</f>
        <v>Lentes de STOCK</v>
      </c>
      <c r="E1829" s="1" t="str">
        <f>IFERROR(__xludf.DUMMYFUNCTION("""COMPUTED_VALUE"""),"RIVADAVIA Luciana")</f>
        <v>RIVADAVIA Luciana</v>
      </c>
      <c r="F1829" s="1" t="str">
        <f t="shared" si="1"/>
        <v>RIVADAVIA </v>
      </c>
      <c r="G1829" s="1" t="str">
        <f t="shared" si="2"/>
        <v>Luciana</v>
      </c>
      <c r="H1829" s="1" t="str">
        <f>IFERROR(__xludf.DUMMYFUNCTION("""COMPUTED_VALUE"""),"15/2/2023, 17:00:00")</f>
        <v>15/2/2023, 17:00:00</v>
      </c>
      <c r="I1829" s="1" t="str">
        <f>IFERROR(__xludf.DUMMYFUNCTION("""COMPUTED_VALUE"""),"RETIRADO OK POR CLIENTE")</f>
        <v>RETIRADO OK POR CLIENTE</v>
      </c>
      <c r="J1829" s="1">
        <f t="shared" si="3"/>
        <v>6</v>
      </c>
      <c r="K1829" s="1" t="str">
        <f t="shared" si="4"/>
        <v>Entregamos tus lentes, que los disfrutes!</v>
      </c>
    </row>
    <row r="1830">
      <c r="A1830" s="1">
        <f>IFERROR(__xludf.DUMMYFUNCTION("""COMPUTED_VALUE"""),86380.0)</f>
        <v>86380</v>
      </c>
      <c r="B1830" s="5">
        <f>IFERROR(__xludf.DUMMYFUNCTION("""COMPUTED_VALUE"""),44967.36510982639)</f>
        <v>44967.36511</v>
      </c>
      <c r="C1830" s="1" t="str">
        <f>IFERROR(__xludf.DUMMYFUNCTION("""COMPUTED_VALUE"""),"otermi betiana")</f>
        <v>otermi betiana</v>
      </c>
      <c r="D1830" s="1" t="str">
        <f>IFERROR(__xludf.DUMMYFUNCTION("""COMPUTED_VALUE"""),"Reparaciones/Otros")</f>
        <v>Reparaciones/Otros</v>
      </c>
      <c r="E1830" s="1" t="str">
        <f>IFERROR(__xludf.DUMMYFUNCTION("""COMPUTED_VALUE"""),"RIVADAVIA Daniel CM")</f>
        <v>RIVADAVIA Daniel CM</v>
      </c>
      <c r="F1830" s="1" t="str">
        <f t="shared" si="1"/>
        <v>RIVADAVIA </v>
      </c>
      <c r="G1830" s="1" t="str">
        <f t="shared" si="2"/>
        <v>Daniel CM</v>
      </c>
      <c r="H1830" s="1" t="str">
        <f>IFERROR(__xludf.DUMMYFUNCTION("""COMPUTED_VALUE"""),"11/2/2023, 17:00:00")</f>
        <v>11/2/2023, 17:00:00</v>
      </c>
      <c r="I1830" s="1"/>
      <c r="J1830" s="1">
        <f t="shared" si="3"/>
        <v>0</v>
      </c>
      <c r="K1830" s="1" t="str">
        <f t="shared" si="4"/>
        <v/>
      </c>
    </row>
    <row r="1831">
      <c r="A1831" s="1">
        <f>IFERROR(__xludf.DUMMYFUNCTION("""COMPUTED_VALUE"""),86381.0)</f>
        <v>86381</v>
      </c>
      <c r="B1831" s="5">
        <f>IFERROR(__xludf.DUMMYFUNCTION("""COMPUTED_VALUE"""),44967.383978495374)</f>
        <v>44967.38398</v>
      </c>
      <c r="C1831" s="1" t="str">
        <f>IFERROR(__xludf.DUMMYFUNCTION("""COMPUTED_VALUE"""),"BARRERA MARIO")</f>
        <v>BARRERA MARIO</v>
      </c>
      <c r="D1831" s="1" t="str">
        <f>IFERROR(__xludf.DUMMYFUNCTION("""COMPUTED_VALUE"""),"Reparaciones/Otros")</f>
        <v>Reparaciones/Otros</v>
      </c>
      <c r="E1831" s="1" t="str">
        <f>IFERROR(__xludf.DUMMYFUNCTION("""COMPUTED_VALUE"""),"Otro (LUCIANA ARTIGAS)")</f>
        <v>Otro (LUCIANA ARTIGAS)</v>
      </c>
      <c r="F1831" s="1" t="str">
        <f t="shared" si="1"/>
        <v>Otro </v>
      </c>
      <c r="G1831" s="1" t="str">
        <f t="shared" si="2"/>
        <v>(LUCIANA ARTIGAS)</v>
      </c>
      <c r="H1831" s="1" t="str">
        <f>IFERROR(__xludf.DUMMYFUNCTION("""COMPUTED_VALUE"""),"11/2/2023, 17:00:00")</f>
        <v>11/2/2023, 17:00:00</v>
      </c>
      <c r="I1831" s="1"/>
      <c r="J1831" s="1">
        <f t="shared" si="3"/>
        <v>0</v>
      </c>
      <c r="K1831" s="1" t="str">
        <f t="shared" si="4"/>
        <v/>
      </c>
    </row>
    <row r="1832">
      <c r="A1832" s="1">
        <f>IFERROR(__xludf.DUMMYFUNCTION("""COMPUTED_VALUE"""),86382.0)</f>
        <v>86382</v>
      </c>
      <c r="B1832" s="5">
        <f>IFERROR(__xludf.DUMMYFUNCTION("""COMPUTED_VALUE"""),44967.38459965278)</f>
        <v>44967.3846</v>
      </c>
      <c r="C1832" s="1" t="str">
        <f>IFERROR(__xludf.DUMMYFUNCTION("""COMPUTED_VALUE"""),"LPEZ ABRIL")</f>
        <v>LPEZ ABRIL</v>
      </c>
      <c r="D1832" s="1" t="str">
        <f>IFERROR(__xludf.DUMMYFUNCTION("""COMPUTED_VALUE"""),"Lentes de STOCK")</f>
        <v>Lentes de STOCK</v>
      </c>
      <c r="E1832" s="1" t="str">
        <f>IFERROR(__xludf.DUMMYFUNCTION("""COMPUTED_VALUE"""),"RIVADAVIA Daniel CM")</f>
        <v>RIVADAVIA Daniel CM</v>
      </c>
      <c r="F1832" s="1" t="str">
        <f t="shared" si="1"/>
        <v>RIVADAVIA </v>
      </c>
      <c r="G1832" s="1" t="str">
        <f t="shared" si="2"/>
        <v>Daniel CM</v>
      </c>
      <c r="H1832" s="1" t="str">
        <f>IFERROR(__xludf.DUMMYFUNCTION("""COMPUTED_VALUE"""),"14/2/2023, 17:00:00")</f>
        <v>14/2/2023, 17:00:00</v>
      </c>
      <c r="I1832" s="1" t="str">
        <f>IFERROR(__xludf.DUMMYFUNCTION("""COMPUTED_VALUE"""),"RETIRADO OK POR CLIENTE")</f>
        <v>RETIRADO OK POR CLIENTE</v>
      </c>
      <c r="J1832" s="1">
        <f t="shared" si="3"/>
        <v>6</v>
      </c>
      <c r="K1832" s="1" t="str">
        <f t="shared" si="4"/>
        <v>Entregamos tus lentes, que los disfrutes!</v>
      </c>
    </row>
    <row r="1833">
      <c r="A1833" s="1">
        <f>IFERROR(__xludf.DUMMYFUNCTION("""COMPUTED_VALUE"""),86383.0)</f>
        <v>86383</v>
      </c>
      <c r="B1833" s="5">
        <f>IFERROR(__xludf.DUMMYFUNCTION("""COMPUTED_VALUE"""),44967.38484976852)</f>
        <v>44967.38485</v>
      </c>
      <c r="C1833" s="1" t="str">
        <f>IFERROR(__xludf.DUMMYFUNCTION("""COMPUTED_VALUE"""),"ESCUDERO BRAYAN")</f>
        <v>ESCUDERO BRAYAN</v>
      </c>
      <c r="D1833" s="1" t="str">
        <f>IFERROR(__xludf.DUMMYFUNCTION("""COMPUTED_VALUE"""),"Lentes de STOCK")</f>
        <v>Lentes de STOCK</v>
      </c>
      <c r="E1833" s="1" t="str">
        <f>IFERROR(__xludf.DUMMYFUNCTION("""COMPUTED_VALUE"""),"RIVADAVIA Javier")</f>
        <v>RIVADAVIA Javier</v>
      </c>
      <c r="F1833" s="1" t="str">
        <f t="shared" si="1"/>
        <v>RIVADAVIA </v>
      </c>
      <c r="G1833" s="1" t="str">
        <f t="shared" si="2"/>
        <v>Javier</v>
      </c>
      <c r="H1833" s="1" t="str">
        <f>IFERROR(__xludf.DUMMYFUNCTION("""COMPUTED_VALUE"""),"13/2/2023, 17:00:00")</f>
        <v>13/2/2023, 17:00:00</v>
      </c>
      <c r="I1833" s="1" t="str">
        <f>IFERROR(__xludf.DUMMYFUNCTION("""COMPUTED_VALUE"""),"RETIRADO OK POR CLIENTE")</f>
        <v>RETIRADO OK POR CLIENTE</v>
      </c>
      <c r="J1833" s="1">
        <f t="shared" si="3"/>
        <v>6</v>
      </c>
      <c r="K1833" s="1" t="str">
        <f t="shared" si="4"/>
        <v>Entregamos tus lentes, que los disfrutes!</v>
      </c>
    </row>
    <row r="1834">
      <c r="A1834" s="1">
        <f>IFERROR(__xludf.DUMMYFUNCTION("""COMPUTED_VALUE"""),86384.0)</f>
        <v>86384</v>
      </c>
      <c r="B1834" s="5">
        <f>IFERROR(__xludf.DUMMYFUNCTION("""COMPUTED_VALUE"""),44967.38976542824)</f>
        <v>44967.38977</v>
      </c>
      <c r="C1834" s="1" t="str">
        <f>IFERROR(__xludf.DUMMYFUNCTION("""COMPUTED_VALUE"""),"FERNANDEZ ARMINDA RAMONA")</f>
        <v>FERNANDEZ ARMINDA RAMONA</v>
      </c>
      <c r="D1834" s="1" t="str">
        <f>IFERROR(__xludf.DUMMYFUNCTION("""COMPUTED_VALUE"""),"Lentes de STOCK")</f>
        <v>Lentes de STOCK</v>
      </c>
      <c r="E1834" s="1" t="str">
        <f>IFERROR(__xludf.DUMMYFUNCTION("""COMPUTED_VALUE"""),"RIVADAVIA Marcela L")</f>
        <v>RIVADAVIA Marcela L</v>
      </c>
      <c r="F1834" s="1" t="str">
        <f t="shared" si="1"/>
        <v>RIVADAVIA </v>
      </c>
      <c r="G1834" s="1" t="str">
        <f t="shared" si="2"/>
        <v>Marcela L</v>
      </c>
      <c r="H1834" s="1" t="str">
        <f>IFERROR(__xludf.DUMMYFUNCTION("""COMPUTED_VALUE"""),"13/2/2023, 17:00:00")</f>
        <v>13/2/2023, 17:00:00</v>
      </c>
      <c r="I1834" s="1" t="str">
        <f>IFERROR(__xludf.DUMMYFUNCTION("""COMPUTED_VALUE"""),"RETIRADO OK POR CLIENTE")</f>
        <v>RETIRADO OK POR CLIENTE</v>
      </c>
      <c r="J1834" s="1">
        <f t="shared" si="3"/>
        <v>6</v>
      </c>
      <c r="K1834" s="1" t="str">
        <f t="shared" si="4"/>
        <v>Entregamos tus lentes, que los disfrutes!</v>
      </c>
    </row>
    <row r="1835">
      <c r="A1835" s="1">
        <f>IFERROR(__xludf.DUMMYFUNCTION("""COMPUTED_VALUE"""),86385.0)</f>
        <v>86385</v>
      </c>
      <c r="B1835" s="5">
        <f>IFERROR(__xludf.DUMMYFUNCTION("""COMPUTED_VALUE"""),44967.393208368056)</f>
        <v>44967.39321</v>
      </c>
      <c r="C1835" s="1" t="str">
        <f>IFERROR(__xludf.DUMMYFUNCTION("""COMPUTED_VALUE"""),"OLGUIN OMAR ARGENTINO")</f>
        <v>OLGUIN OMAR ARGENTINO</v>
      </c>
      <c r="D1835" s="1" t="str">
        <f>IFERROR(__xludf.DUMMYFUNCTION("""COMPUTED_VALUE"""),"Lentes de STOCK")</f>
        <v>Lentes de STOCK</v>
      </c>
      <c r="E1835" s="1" t="str">
        <f>IFERROR(__xludf.DUMMYFUNCTION("""COMPUTED_VALUE"""),"ARTIGAS Cristian C.")</f>
        <v>ARTIGAS Cristian C.</v>
      </c>
      <c r="F1835" s="1" t="str">
        <f t="shared" si="1"/>
        <v>ARTIGAS </v>
      </c>
      <c r="G1835" s="1" t="str">
        <f t="shared" si="2"/>
        <v>Cristian C.</v>
      </c>
      <c r="H1835" s="1" t="str">
        <f>IFERROR(__xludf.DUMMYFUNCTION("""COMPUTED_VALUE"""),"16/2/2023, 17:00:00")</f>
        <v>16/2/2023, 17:00:00</v>
      </c>
      <c r="I1835" s="1" t="str">
        <f>IFERROR(__xludf.DUMMYFUNCTION("""COMPUTED_VALUE"""),"RETIRADO OK POR CLIENTE")</f>
        <v>RETIRADO OK POR CLIENTE</v>
      </c>
      <c r="J1835" s="1">
        <f t="shared" si="3"/>
        <v>6</v>
      </c>
      <c r="K1835" s="1" t="str">
        <f t="shared" si="4"/>
        <v>Entregamos tus lentes, que los disfrutes!</v>
      </c>
    </row>
    <row r="1836">
      <c r="A1836" s="1">
        <f>IFERROR(__xludf.DUMMYFUNCTION("""COMPUTED_VALUE"""),86386.0)</f>
        <v>86386</v>
      </c>
      <c r="B1836" s="5">
        <f>IFERROR(__xludf.DUMMYFUNCTION("""COMPUTED_VALUE"""),44967.39910556713)</f>
        <v>44967.39911</v>
      </c>
      <c r="C1836" s="1" t="str">
        <f>IFERROR(__xludf.DUMMYFUNCTION("""COMPUTED_VALUE"""),"FARANA DANIEL")</f>
        <v>FARANA DANIEL</v>
      </c>
      <c r="D1836" s="1" t="str">
        <f>IFERROR(__xludf.DUMMYFUNCTION("""COMPUTED_VALUE"""),"Reparaciones/Otros")</f>
        <v>Reparaciones/Otros</v>
      </c>
      <c r="E1836" s="1" t="str">
        <f>IFERROR(__xludf.DUMMYFUNCTION("""COMPUTED_VALUE"""),"RIVADAVIA Daniel CM")</f>
        <v>RIVADAVIA Daniel CM</v>
      </c>
      <c r="F1836" s="1" t="str">
        <f t="shared" si="1"/>
        <v>RIVADAVIA </v>
      </c>
      <c r="G1836" s="1" t="str">
        <f t="shared" si="2"/>
        <v>Daniel CM</v>
      </c>
      <c r="H1836" s="1" t="str">
        <f>IFERROR(__xludf.DUMMYFUNCTION("""COMPUTED_VALUE"""),"11/2/2023, 17:00:00")</f>
        <v>11/2/2023, 17:00:00</v>
      </c>
      <c r="I1836" s="1"/>
      <c r="J1836" s="1">
        <f t="shared" si="3"/>
        <v>0</v>
      </c>
      <c r="K1836" s="1" t="str">
        <f t="shared" si="4"/>
        <v/>
      </c>
    </row>
    <row r="1837">
      <c r="A1837" s="1">
        <f>IFERROR(__xludf.DUMMYFUNCTION("""COMPUTED_VALUE"""),86387.0)</f>
        <v>86387</v>
      </c>
      <c r="B1837" s="5">
        <f>IFERROR(__xludf.DUMMYFUNCTION("""COMPUTED_VALUE"""),44967.40050175926)</f>
        <v>44967.4005</v>
      </c>
      <c r="C1837" s="1" t="str">
        <f>IFERROR(__xludf.DUMMYFUNCTION("""COMPUTED_VALUE"""),"dominguez mirta")</f>
        <v>dominguez mirta</v>
      </c>
      <c r="D1837" s="1" t="str">
        <f>IFERROR(__xludf.DUMMYFUNCTION("""COMPUTED_VALUE"""),"Reparaciones/Otros")</f>
        <v>Reparaciones/Otros</v>
      </c>
      <c r="E1837" s="1" t="str">
        <f>IFERROR(__xludf.DUMMYFUNCTION("""COMPUTED_VALUE"""),"RIVADAVIA Santiago N")</f>
        <v>RIVADAVIA Santiago N</v>
      </c>
      <c r="F1837" s="1" t="str">
        <f t="shared" si="1"/>
        <v>RIVADAVIA </v>
      </c>
      <c r="G1837" s="1" t="str">
        <f t="shared" si="2"/>
        <v>Santiago N</v>
      </c>
      <c r="H1837" s="1" t="str">
        <f>IFERROR(__xludf.DUMMYFUNCTION("""COMPUTED_VALUE"""),"11/2/2023, 17:00:00")</f>
        <v>11/2/2023, 17:00:00</v>
      </c>
      <c r="I1837" s="1"/>
      <c r="J1837" s="1">
        <f t="shared" si="3"/>
        <v>0</v>
      </c>
      <c r="K1837" s="1" t="str">
        <f t="shared" si="4"/>
        <v/>
      </c>
    </row>
    <row r="1838">
      <c r="A1838" s="1">
        <f>IFERROR(__xludf.DUMMYFUNCTION("""COMPUTED_VALUE"""),86388.0)</f>
        <v>86388</v>
      </c>
      <c r="B1838" s="5">
        <f>IFERROR(__xludf.DUMMYFUNCTION("""COMPUTED_VALUE"""),44967.40363179398)</f>
        <v>44967.40363</v>
      </c>
      <c r="C1838" s="1" t="str">
        <f>IFERROR(__xludf.DUMMYFUNCTION("""COMPUTED_VALUE"""),"muñoz marcos")</f>
        <v>muñoz marcos</v>
      </c>
      <c r="D1838" s="1" t="str">
        <f>IFERROR(__xludf.DUMMYFUNCTION("""COMPUTED_VALUE"""),"Reparaciones/Otros")</f>
        <v>Reparaciones/Otros</v>
      </c>
      <c r="E1838" s="1" t="str">
        <f>IFERROR(__xludf.DUMMYFUNCTION("""COMPUTED_VALUE"""),"RIVADAVIA Daniel CM")</f>
        <v>RIVADAVIA Daniel CM</v>
      </c>
      <c r="F1838" s="1" t="str">
        <f t="shared" si="1"/>
        <v>RIVADAVIA </v>
      </c>
      <c r="G1838" s="1" t="str">
        <f t="shared" si="2"/>
        <v>Daniel CM</v>
      </c>
      <c r="H1838" s="1" t="str">
        <f>IFERROR(__xludf.DUMMYFUNCTION("""COMPUTED_VALUE"""),"11/2/2023, 17:00:00")</f>
        <v>11/2/2023, 17:00:00</v>
      </c>
      <c r="I1838" s="1"/>
      <c r="J1838" s="1">
        <f t="shared" si="3"/>
        <v>0</v>
      </c>
      <c r="K1838" s="1" t="str">
        <f t="shared" si="4"/>
        <v/>
      </c>
    </row>
    <row r="1839">
      <c r="A1839" s="1">
        <f>IFERROR(__xludf.DUMMYFUNCTION("""COMPUTED_VALUE"""),86389.0)</f>
        <v>86389</v>
      </c>
      <c r="B1839" s="5">
        <f>IFERROR(__xludf.DUMMYFUNCTION("""COMPUTED_VALUE"""),44967.40827674769)</f>
        <v>44967.40828</v>
      </c>
      <c r="C1839" s="1" t="str">
        <f>IFERROR(__xludf.DUMMYFUNCTION("""COMPUTED_VALUE"""),"PAEZ MARIS ELIZABETH")</f>
        <v>PAEZ MARIS ELIZABETH</v>
      </c>
      <c r="D1839" s="1" t="str">
        <f>IFERROR(__xludf.DUMMYFUNCTION("""COMPUTED_VALUE"""),"Reparaciones/Otros")</f>
        <v>Reparaciones/Otros</v>
      </c>
      <c r="E1839" s="1" t="str">
        <f>IFERROR(__xludf.DUMMYFUNCTION("""COMPUTED_VALUE"""),"RIVADAVIA Marcela L")</f>
        <v>RIVADAVIA Marcela L</v>
      </c>
      <c r="F1839" s="1" t="str">
        <f t="shared" si="1"/>
        <v>RIVADAVIA </v>
      </c>
      <c r="G1839" s="1" t="str">
        <f t="shared" si="2"/>
        <v>Marcela L</v>
      </c>
      <c r="H1839" s="1" t="str">
        <f>IFERROR(__xludf.DUMMYFUNCTION("""COMPUTED_VALUE"""),"13/2/2023, 17:00:00")</f>
        <v>13/2/2023, 17:00:00</v>
      </c>
      <c r="I1839" s="1"/>
      <c r="J1839" s="1">
        <f t="shared" si="3"/>
        <v>0</v>
      </c>
      <c r="K1839" s="1" t="str">
        <f t="shared" si="4"/>
        <v/>
      </c>
    </row>
    <row r="1840">
      <c r="A1840" s="1">
        <f>IFERROR(__xludf.DUMMYFUNCTION("""COMPUTED_VALUE"""),86390.0)</f>
        <v>86390</v>
      </c>
      <c r="B1840" s="5">
        <f>IFERROR(__xludf.DUMMYFUNCTION("""COMPUTED_VALUE"""),44967.41171853009)</f>
        <v>44967.41172</v>
      </c>
      <c r="C1840" s="1" t="str">
        <f>IFERROR(__xludf.DUMMYFUNCTION("""COMPUTED_VALUE"""),"salinas mario")</f>
        <v>salinas mario</v>
      </c>
      <c r="D1840" s="1" t="str">
        <f>IFERROR(__xludf.DUMMYFUNCTION("""COMPUTED_VALUE"""),"Lentes de STOCK")</f>
        <v>Lentes de STOCK</v>
      </c>
      <c r="E1840" s="1" t="str">
        <f>IFERROR(__xludf.DUMMYFUNCTION("""COMPUTED_VALUE"""),"RIVADAVIA Daniel CM")</f>
        <v>RIVADAVIA Daniel CM</v>
      </c>
      <c r="F1840" s="1" t="str">
        <f t="shared" si="1"/>
        <v>RIVADAVIA </v>
      </c>
      <c r="G1840" s="1" t="str">
        <f t="shared" si="2"/>
        <v>Daniel CM</v>
      </c>
      <c r="H1840" s="1" t="str">
        <f>IFERROR(__xludf.DUMMYFUNCTION("""COMPUTED_VALUE"""),"14/2/2023, 17:00:00")</f>
        <v>14/2/2023, 17:00:00</v>
      </c>
      <c r="I1840" s="1" t="str">
        <f>IFERROR(__xludf.DUMMYFUNCTION("""COMPUTED_VALUE"""),"RETIRADO OK POR CLIENTE")</f>
        <v>RETIRADO OK POR CLIENTE</v>
      </c>
      <c r="J1840" s="1">
        <f t="shared" si="3"/>
        <v>6</v>
      </c>
      <c r="K1840" s="1" t="str">
        <f t="shared" si="4"/>
        <v>Entregamos tus lentes, que los disfrutes!</v>
      </c>
    </row>
    <row r="1841">
      <c r="A1841" s="1">
        <f>IFERROR(__xludf.DUMMYFUNCTION("""COMPUTED_VALUE"""),86391.0)</f>
        <v>86391</v>
      </c>
      <c r="B1841" s="5">
        <f>IFERROR(__xludf.DUMMYFUNCTION("""COMPUTED_VALUE"""),44967.420371597225)</f>
        <v>44967.42037</v>
      </c>
      <c r="C1841" s="1" t="str">
        <f>IFERROR(__xludf.DUMMYFUNCTION("""COMPUTED_VALUE"""),"SENZINI PATRICIA")</f>
        <v>SENZINI PATRICIA</v>
      </c>
      <c r="D1841" s="1" t="str">
        <f>IFERROR(__xludf.DUMMYFUNCTION("""COMPUTED_VALUE"""),"Reparaciones/Otros")</f>
        <v>Reparaciones/Otros</v>
      </c>
      <c r="E1841" s="1" t="str">
        <f>IFERROR(__xludf.DUMMYFUNCTION("""COMPUTED_VALUE"""),"RIVADAVIA Marcela L")</f>
        <v>RIVADAVIA Marcela L</v>
      </c>
      <c r="F1841" s="1" t="str">
        <f t="shared" si="1"/>
        <v>RIVADAVIA </v>
      </c>
      <c r="G1841" s="1" t="str">
        <f t="shared" si="2"/>
        <v>Marcela L</v>
      </c>
      <c r="H1841" s="1" t="str">
        <f>IFERROR(__xludf.DUMMYFUNCTION("""COMPUTED_VALUE"""),"13/2/2023, 17:00:00")</f>
        <v>13/2/2023, 17:00:00</v>
      </c>
      <c r="I1841" s="1"/>
      <c r="J1841" s="1">
        <f t="shared" si="3"/>
        <v>0</v>
      </c>
      <c r="K1841" s="1" t="str">
        <f t="shared" si="4"/>
        <v/>
      </c>
    </row>
    <row r="1842">
      <c r="A1842" s="1">
        <f>IFERROR(__xludf.DUMMYFUNCTION("""COMPUTED_VALUE"""),86392.0)</f>
        <v>86392</v>
      </c>
      <c r="B1842" s="5">
        <f>IFERROR(__xludf.DUMMYFUNCTION("""COMPUTED_VALUE"""),44967.42836725694)</f>
        <v>44967.42837</v>
      </c>
      <c r="C1842" s="1" t="str">
        <f>IFERROR(__xludf.DUMMYFUNCTION("""COMPUTED_VALUE"""),"aguilera renzo ")</f>
        <v>aguilera renzo </v>
      </c>
      <c r="D1842" s="1" t="str">
        <f>IFERROR(__xludf.DUMMYFUNCTION("""COMPUTED_VALUE"""),"Reparaciones/Otros")</f>
        <v>Reparaciones/Otros</v>
      </c>
      <c r="E1842" s="1" t="str">
        <f>IFERROR(__xludf.DUMMYFUNCTION("""COMPUTED_VALUE"""),"RIVADAVIA Daniel CM")</f>
        <v>RIVADAVIA Daniel CM</v>
      </c>
      <c r="F1842" s="1" t="str">
        <f t="shared" si="1"/>
        <v>RIVADAVIA </v>
      </c>
      <c r="G1842" s="1" t="str">
        <f t="shared" si="2"/>
        <v>Daniel CM</v>
      </c>
      <c r="H1842" s="1" t="str">
        <f>IFERROR(__xludf.DUMMYFUNCTION("""COMPUTED_VALUE"""),"11/2/2023, 17:00:00")</f>
        <v>11/2/2023, 17:00:00</v>
      </c>
      <c r="I1842" s="1"/>
      <c r="J1842" s="1">
        <f t="shared" si="3"/>
        <v>0</v>
      </c>
      <c r="K1842" s="1" t="str">
        <f t="shared" si="4"/>
        <v/>
      </c>
    </row>
    <row r="1843">
      <c r="A1843" s="1">
        <f>IFERROR(__xludf.DUMMYFUNCTION("""COMPUTED_VALUE"""),86393.0)</f>
        <v>86393</v>
      </c>
      <c r="B1843" s="5">
        <f>IFERROR(__xludf.DUMMYFUNCTION("""COMPUTED_VALUE"""),44967.42939452546)</f>
        <v>44967.42939</v>
      </c>
      <c r="C1843" s="1" t="str">
        <f>IFERROR(__xludf.DUMMYFUNCTION("""COMPUTED_VALUE"""),"DI GENNARO HUGO RAFAEL")</f>
        <v>DI GENNARO HUGO RAFAEL</v>
      </c>
      <c r="D1843" s="1" t="str">
        <f>IFERROR(__xludf.DUMMYFUNCTION("""COMPUTED_VALUE"""),"Lentes de STOCK")</f>
        <v>Lentes de STOCK</v>
      </c>
      <c r="E1843" s="1" t="str">
        <f>IFERROR(__xludf.DUMMYFUNCTION("""COMPUTED_VALUE"""),"RIVADAVIA Daniel CM")</f>
        <v>RIVADAVIA Daniel CM</v>
      </c>
      <c r="F1843" s="1" t="str">
        <f t="shared" si="1"/>
        <v>RIVADAVIA </v>
      </c>
      <c r="G1843" s="1" t="str">
        <f t="shared" si="2"/>
        <v>Daniel CM</v>
      </c>
      <c r="H1843" s="1" t="str">
        <f>IFERROR(__xludf.DUMMYFUNCTION("""COMPUTED_VALUE"""),"14/2/2023, 17:00:00")</f>
        <v>14/2/2023, 17:00:00</v>
      </c>
      <c r="I1843" s="1" t="str">
        <f>IFERROR(__xludf.DUMMYFUNCTION("""COMPUTED_VALUE"""),"RETIRADO OK POR CLIENTE")</f>
        <v>RETIRADO OK POR CLIENTE</v>
      </c>
      <c r="J1843" s="1">
        <f t="shared" si="3"/>
        <v>6</v>
      </c>
      <c r="K1843" s="1" t="str">
        <f t="shared" si="4"/>
        <v>Entregamos tus lentes, que los disfrutes!</v>
      </c>
    </row>
    <row r="1844">
      <c r="A1844" s="1">
        <f>IFERROR(__xludf.DUMMYFUNCTION("""COMPUTED_VALUE"""),86394.0)</f>
        <v>86394</v>
      </c>
      <c r="B1844" s="5">
        <f>IFERROR(__xludf.DUMMYFUNCTION("""COMPUTED_VALUE"""),44967.43711435185)</f>
        <v>44967.43711</v>
      </c>
      <c r="C1844" s="1" t="str">
        <f>IFERROR(__xludf.DUMMYFUNCTION("""COMPUTED_VALUE"""),"SALINAS MAXIMILIANO")</f>
        <v>SALINAS MAXIMILIANO</v>
      </c>
      <c r="D1844" s="1" t="str">
        <f>IFERROR(__xludf.DUMMYFUNCTION("""COMPUTED_VALUE"""),"Lentes de STOCK")</f>
        <v>Lentes de STOCK</v>
      </c>
      <c r="E1844" s="1" t="str">
        <f>IFERROR(__xludf.DUMMYFUNCTION("""COMPUTED_VALUE"""),"RIVADAVIA Javier")</f>
        <v>RIVADAVIA Javier</v>
      </c>
      <c r="F1844" s="1" t="str">
        <f t="shared" si="1"/>
        <v>RIVADAVIA </v>
      </c>
      <c r="G1844" s="1" t="str">
        <f t="shared" si="2"/>
        <v>Javier</v>
      </c>
      <c r="H1844" s="1" t="str">
        <f>IFERROR(__xludf.DUMMYFUNCTION("""COMPUTED_VALUE"""),"15/2/2023, 17:00:00")</f>
        <v>15/2/2023, 17:00:00</v>
      </c>
      <c r="I1844" s="1" t="str">
        <f>IFERROR(__xludf.DUMMYFUNCTION("""COMPUTED_VALUE"""),"RETIRADO OK POR CLIENTE")</f>
        <v>RETIRADO OK POR CLIENTE</v>
      </c>
      <c r="J1844" s="1">
        <f t="shared" si="3"/>
        <v>6</v>
      </c>
      <c r="K1844" s="1" t="str">
        <f t="shared" si="4"/>
        <v>Entregamos tus lentes, que los disfrutes!</v>
      </c>
    </row>
    <row r="1845">
      <c r="A1845" s="1">
        <f>IFERROR(__xludf.DUMMYFUNCTION("""COMPUTED_VALUE"""),86395.0)</f>
        <v>86395</v>
      </c>
      <c r="B1845" s="5">
        <f>IFERROR(__xludf.DUMMYFUNCTION("""COMPUTED_VALUE"""),44967.44515546296)</f>
        <v>44967.44516</v>
      </c>
      <c r="C1845" s="1" t="str">
        <f>IFERROR(__xludf.DUMMYFUNCTION("""COMPUTED_VALUE"""),"funes ramona teresa")</f>
        <v>funes ramona teresa</v>
      </c>
      <c r="D1845" s="1" t="str">
        <f>IFERROR(__xludf.DUMMYFUNCTION("""COMPUTED_VALUE"""),"Lentes de STOCK")</f>
        <v>Lentes de STOCK</v>
      </c>
      <c r="E1845" s="1" t="str">
        <f>IFERROR(__xludf.DUMMYFUNCTION("""COMPUTED_VALUE"""),"RIVADAVIA Daniel CM")</f>
        <v>RIVADAVIA Daniel CM</v>
      </c>
      <c r="F1845" s="1" t="str">
        <f t="shared" si="1"/>
        <v>RIVADAVIA </v>
      </c>
      <c r="G1845" s="1" t="str">
        <f t="shared" si="2"/>
        <v>Daniel CM</v>
      </c>
      <c r="H1845" s="1" t="str">
        <f>IFERROR(__xludf.DUMMYFUNCTION("""COMPUTED_VALUE"""),"17/2/2023, 18:00:00")</f>
        <v>17/2/2023, 18:00:00</v>
      </c>
      <c r="I1845" s="1" t="str">
        <f>IFERROR(__xludf.DUMMYFUNCTION("""COMPUTED_VALUE"""),"RETIRADO OK POR CLIENTE")</f>
        <v>RETIRADO OK POR CLIENTE</v>
      </c>
      <c r="J1845" s="1">
        <f t="shared" si="3"/>
        <v>6</v>
      </c>
      <c r="K1845" s="1" t="str">
        <f t="shared" si="4"/>
        <v>Entregamos tus lentes, que los disfrutes!</v>
      </c>
    </row>
    <row r="1846">
      <c r="A1846" s="1">
        <f>IFERROR(__xludf.DUMMYFUNCTION("""COMPUTED_VALUE"""),86396.0)</f>
        <v>86396</v>
      </c>
      <c r="B1846" s="5">
        <f>IFERROR(__xludf.DUMMYFUNCTION("""COMPUTED_VALUE"""),44967.44596067129)</f>
        <v>44967.44596</v>
      </c>
      <c r="C1846" s="1" t="str">
        <f>IFERROR(__xludf.DUMMYFUNCTION("""COMPUTED_VALUE"""),"FERONIA PATRICIA")</f>
        <v>FERONIA PATRICIA</v>
      </c>
      <c r="D1846" s="1" t="str">
        <f>IFERROR(__xludf.DUMMYFUNCTION("""COMPUTED_VALUE"""),"Lentes de STOCK")</f>
        <v>Lentes de STOCK</v>
      </c>
      <c r="E1846" s="1" t="str">
        <f>IFERROR(__xludf.DUMMYFUNCTION("""COMPUTED_VALUE"""),"Otro (LUCIANA ARTIGAS)")</f>
        <v>Otro (LUCIANA ARTIGAS)</v>
      </c>
      <c r="F1846" s="1" t="str">
        <f t="shared" si="1"/>
        <v>Otro </v>
      </c>
      <c r="G1846" s="1" t="str">
        <f t="shared" si="2"/>
        <v>(LUCIANA ARTIGAS)</v>
      </c>
      <c r="H1846" s="1" t="str">
        <f>IFERROR(__xludf.DUMMYFUNCTION("""COMPUTED_VALUE"""),"15/2/2023, 17:00:00")</f>
        <v>15/2/2023, 17:00:00</v>
      </c>
      <c r="I1846" s="1" t="str">
        <f>IFERROR(__xludf.DUMMYFUNCTION("""COMPUTED_VALUE"""),"RETIRADO OK POR CLIENTE")</f>
        <v>RETIRADO OK POR CLIENTE</v>
      </c>
      <c r="J1846" s="1">
        <f t="shared" si="3"/>
        <v>6</v>
      </c>
      <c r="K1846" s="1" t="str">
        <f t="shared" si="4"/>
        <v>Entregamos tus lentes, que los disfrutes!</v>
      </c>
    </row>
    <row r="1847">
      <c r="A1847" s="1">
        <f>IFERROR(__xludf.DUMMYFUNCTION("""COMPUTED_VALUE"""),86397.0)</f>
        <v>86397</v>
      </c>
      <c r="B1847" s="5">
        <f>IFERROR(__xludf.DUMMYFUNCTION("""COMPUTED_VALUE"""),44967.451328854164)</f>
        <v>44967.45133</v>
      </c>
      <c r="C1847" s="1" t="str">
        <f>IFERROR(__xludf.DUMMYFUNCTION("""COMPUTED_VALUE"""),"BRITO MARIO")</f>
        <v>BRITO MARIO</v>
      </c>
      <c r="D1847" s="1" t="str">
        <f>IFERROR(__xludf.DUMMYFUNCTION("""COMPUTED_VALUE"""),"Reparaciones/Otros")</f>
        <v>Reparaciones/Otros</v>
      </c>
      <c r="E1847" s="1" t="str">
        <f>IFERROR(__xludf.DUMMYFUNCTION("""COMPUTED_VALUE"""),"ARTIGAS Cristian C.")</f>
        <v>ARTIGAS Cristian C.</v>
      </c>
      <c r="F1847" s="1" t="str">
        <f t="shared" si="1"/>
        <v>ARTIGAS </v>
      </c>
      <c r="G1847" s="1" t="str">
        <f t="shared" si="2"/>
        <v>Cristian C.</v>
      </c>
      <c r="H1847" s="1" t="str">
        <f>IFERROR(__xludf.DUMMYFUNCTION("""COMPUTED_VALUE"""),"14/2/2023, 17:00:00")</f>
        <v>14/2/2023, 17:00:00</v>
      </c>
      <c r="I1847" s="1"/>
      <c r="J1847" s="1">
        <f t="shared" si="3"/>
        <v>0</v>
      </c>
      <c r="K1847" s="1" t="str">
        <f t="shared" si="4"/>
        <v/>
      </c>
    </row>
    <row r="1848">
      <c r="A1848" s="1">
        <f>IFERROR(__xludf.DUMMYFUNCTION("""COMPUTED_VALUE"""),86398.0)</f>
        <v>86398</v>
      </c>
      <c r="B1848" s="5">
        <f>IFERROR(__xludf.DUMMYFUNCTION("""COMPUTED_VALUE"""),44967.45213885416)</f>
        <v>44967.45214</v>
      </c>
      <c r="C1848" s="1" t="str">
        <f>IFERROR(__xludf.DUMMYFUNCTION("""COMPUTED_VALUE"""),"PEREZ SUSANA ALEJANDRA")</f>
        <v>PEREZ SUSANA ALEJANDRA</v>
      </c>
      <c r="D1848" s="1" t="str">
        <f>IFERROR(__xludf.DUMMYFUNCTION("""COMPUTED_VALUE"""),"Lentes de STOCK")</f>
        <v>Lentes de STOCK</v>
      </c>
      <c r="E1848" s="1" t="str">
        <f>IFERROR(__xludf.DUMMYFUNCTION("""COMPUTED_VALUE"""),"RIVADAVIA Marcela L")</f>
        <v>RIVADAVIA Marcela L</v>
      </c>
      <c r="F1848" s="1" t="str">
        <f t="shared" si="1"/>
        <v>RIVADAVIA </v>
      </c>
      <c r="G1848" s="1" t="str">
        <f t="shared" si="2"/>
        <v>Marcela L</v>
      </c>
      <c r="H1848" s="1" t="str">
        <f>IFERROR(__xludf.DUMMYFUNCTION("""COMPUTED_VALUE"""),"15/2/2023, 17:00:00")</f>
        <v>15/2/2023, 17:00:00</v>
      </c>
      <c r="I1848" s="1" t="str">
        <f>IFERROR(__xludf.DUMMYFUNCTION("""COMPUTED_VALUE"""),"RETIRADO OK POR CLIENTE")</f>
        <v>RETIRADO OK POR CLIENTE</v>
      </c>
      <c r="J1848" s="1">
        <f t="shared" si="3"/>
        <v>6</v>
      </c>
      <c r="K1848" s="1" t="str">
        <f t="shared" si="4"/>
        <v>Entregamos tus lentes, que los disfrutes!</v>
      </c>
    </row>
    <row r="1849">
      <c r="A1849" s="1">
        <f>IFERROR(__xludf.DUMMYFUNCTION("""COMPUTED_VALUE"""),86399.0)</f>
        <v>86399</v>
      </c>
      <c r="B1849" s="5">
        <f>IFERROR(__xludf.DUMMYFUNCTION("""COMPUTED_VALUE"""),44967.46312701389)</f>
        <v>44967.46313</v>
      </c>
      <c r="C1849" s="1" t="str">
        <f>IFERROR(__xludf.DUMMYFUNCTION("""COMPUTED_VALUE"""),"cano liliana graciela")</f>
        <v>cano liliana graciela</v>
      </c>
      <c r="D1849" s="1" t="str">
        <f>IFERROR(__xludf.DUMMYFUNCTION("""COMPUTED_VALUE"""),"Lentes de STOCK")</f>
        <v>Lentes de STOCK</v>
      </c>
      <c r="E1849" s="1" t="str">
        <f>IFERROR(__xludf.DUMMYFUNCTION("""COMPUTED_VALUE"""),"RIVADAVIA Santiago N")</f>
        <v>RIVADAVIA Santiago N</v>
      </c>
      <c r="F1849" s="1" t="str">
        <f t="shared" si="1"/>
        <v>RIVADAVIA </v>
      </c>
      <c r="G1849" s="1" t="str">
        <f t="shared" si="2"/>
        <v>Santiago N</v>
      </c>
      <c r="H1849" s="1" t="str">
        <f>IFERROR(__xludf.DUMMYFUNCTION("""COMPUTED_VALUE"""),"13/2/2023, 17:00:00")</f>
        <v>13/2/2023, 17:00:00</v>
      </c>
      <c r="I1849" s="1" t="str">
        <f>IFERROR(__xludf.DUMMYFUNCTION("""COMPUTED_VALUE"""),"RETIRADO OK POR CLIENTE")</f>
        <v>RETIRADO OK POR CLIENTE</v>
      </c>
      <c r="J1849" s="1">
        <f t="shared" si="3"/>
        <v>6</v>
      </c>
      <c r="K1849" s="1" t="str">
        <f t="shared" si="4"/>
        <v>Entregamos tus lentes, que los disfrutes!</v>
      </c>
    </row>
    <row r="1850">
      <c r="A1850" s="1">
        <f>IFERROR(__xludf.DUMMYFUNCTION("""COMPUTED_VALUE"""),86400.0)</f>
        <v>86400</v>
      </c>
      <c r="B1850" s="5">
        <f>IFERROR(__xludf.DUMMYFUNCTION("""COMPUTED_VALUE"""),44967.46601741898)</f>
        <v>44967.46602</v>
      </c>
      <c r="C1850" s="1" t="str">
        <f>IFERROR(__xludf.DUMMYFUNCTION("""COMPUTED_VALUE"""),"LOZANO SILVANA")</f>
        <v>LOZANO SILVANA</v>
      </c>
      <c r="D1850" s="1" t="str">
        <f>IFERROR(__xludf.DUMMYFUNCTION("""COMPUTED_VALUE"""),"Lentes de STOCK")</f>
        <v>Lentes de STOCK</v>
      </c>
      <c r="E1850" s="1" t="str">
        <f>IFERROR(__xludf.DUMMYFUNCTION("""COMPUTED_VALUE"""),"RIVADAVIA Luciana")</f>
        <v>RIVADAVIA Luciana</v>
      </c>
      <c r="F1850" s="1" t="str">
        <f t="shared" si="1"/>
        <v>RIVADAVIA </v>
      </c>
      <c r="G1850" s="1" t="str">
        <f t="shared" si="2"/>
        <v>Luciana</v>
      </c>
      <c r="H1850" s="1" t="str">
        <f>IFERROR(__xludf.DUMMYFUNCTION("""COMPUTED_VALUE"""),"15/2/2023, 17:00:00")</f>
        <v>15/2/2023, 17:00:00</v>
      </c>
      <c r="I1850" s="1" t="str">
        <f>IFERROR(__xludf.DUMMYFUNCTION("""COMPUTED_VALUE"""),"RETIRADO OK POR CLIENTE")</f>
        <v>RETIRADO OK POR CLIENTE</v>
      </c>
      <c r="J1850" s="1">
        <f t="shared" si="3"/>
        <v>6</v>
      </c>
      <c r="K1850" s="1" t="str">
        <f t="shared" si="4"/>
        <v>Entregamos tus lentes, que los disfrutes!</v>
      </c>
    </row>
    <row r="1851">
      <c r="A1851" s="1">
        <f>IFERROR(__xludf.DUMMYFUNCTION("""COMPUTED_VALUE"""),86401.0)</f>
        <v>86401</v>
      </c>
      <c r="B1851" s="5">
        <f>IFERROR(__xludf.DUMMYFUNCTION("""COMPUTED_VALUE"""),44967.47226700232)</f>
        <v>44967.47227</v>
      </c>
      <c r="C1851" s="1" t="str">
        <f>IFERROR(__xludf.DUMMYFUNCTION("""COMPUTED_VALUE"""),"morales maria ema")</f>
        <v>morales maria ema</v>
      </c>
      <c r="D1851" s="1" t="str">
        <f>IFERROR(__xludf.DUMMYFUNCTION("""COMPUTED_VALUE"""),"Lentes de STOCK")</f>
        <v>Lentes de STOCK</v>
      </c>
      <c r="E1851" s="1" t="str">
        <f>IFERROR(__xludf.DUMMYFUNCTION("""COMPUTED_VALUE"""),"RIVADAVIA Santiago N")</f>
        <v>RIVADAVIA Santiago N</v>
      </c>
      <c r="F1851" s="1" t="str">
        <f t="shared" si="1"/>
        <v>RIVADAVIA </v>
      </c>
      <c r="G1851" s="1" t="str">
        <f t="shared" si="2"/>
        <v>Santiago N</v>
      </c>
      <c r="H1851" s="1" t="str">
        <f>IFERROR(__xludf.DUMMYFUNCTION("""COMPUTED_VALUE"""),"13/2/2023, 17:00:00")</f>
        <v>13/2/2023, 17:00:00</v>
      </c>
      <c r="I1851" s="1" t="str">
        <f>IFERROR(__xludf.DUMMYFUNCTION("""COMPUTED_VALUE"""),"RETIRADO OK POR CLIENTE")</f>
        <v>RETIRADO OK POR CLIENTE</v>
      </c>
      <c r="J1851" s="1">
        <f t="shared" si="3"/>
        <v>6</v>
      </c>
      <c r="K1851" s="1" t="str">
        <f t="shared" si="4"/>
        <v>Entregamos tus lentes, que los disfrutes!</v>
      </c>
    </row>
    <row r="1852">
      <c r="A1852" s="1">
        <f>IFERROR(__xludf.DUMMYFUNCTION("""COMPUTED_VALUE"""),86402.0)</f>
        <v>86402</v>
      </c>
      <c r="B1852" s="5">
        <f>IFERROR(__xludf.DUMMYFUNCTION("""COMPUTED_VALUE"""),44967.47365032407)</f>
        <v>44967.47365</v>
      </c>
      <c r="C1852" s="1" t="str">
        <f>IFERROR(__xludf.DUMMYFUNCTION("""COMPUTED_VALUE"""),"ROSSI ALBERTO OSCAR")</f>
        <v>ROSSI ALBERTO OSCAR</v>
      </c>
      <c r="D1852" s="1" t="str">
        <f>IFERROR(__xludf.DUMMYFUNCTION("""COMPUTED_VALUE"""),"Lentes de STOCK")</f>
        <v>Lentes de STOCK</v>
      </c>
      <c r="E1852" s="1" t="str">
        <f>IFERROR(__xludf.DUMMYFUNCTION("""COMPUTED_VALUE"""),"RIVADAVIA Marcela L")</f>
        <v>RIVADAVIA Marcela L</v>
      </c>
      <c r="F1852" s="1" t="str">
        <f t="shared" si="1"/>
        <v>RIVADAVIA </v>
      </c>
      <c r="G1852" s="1" t="str">
        <f t="shared" si="2"/>
        <v>Marcela L</v>
      </c>
      <c r="H1852" s="1" t="str">
        <f>IFERROR(__xludf.DUMMYFUNCTION("""COMPUTED_VALUE"""),"15/2/2023, 17:00:00")</f>
        <v>15/2/2023, 17:00:00</v>
      </c>
      <c r="I1852" s="1" t="str">
        <f>IFERROR(__xludf.DUMMYFUNCTION("""COMPUTED_VALUE"""),"RETIRADO OK POR CLIENTE")</f>
        <v>RETIRADO OK POR CLIENTE</v>
      </c>
      <c r="J1852" s="1">
        <f t="shared" si="3"/>
        <v>6</v>
      </c>
      <c r="K1852" s="1" t="str">
        <f t="shared" si="4"/>
        <v>Entregamos tus lentes, que los disfrutes!</v>
      </c>
    </row>
    <row r="1853">
      <c r="A1853" s="1">
        <f>IFERROR(__xludf.DUMMYFUNCTION("""COMPUTED_VALUE"""),86403.0)</f>
        <v>86403</v>
      </c>
      <c r="B1853" s="5">
        <f>IFERROR(__xludf.DUMMYFUNCTION("""COMPUTED_VALUE"""),44967.478321863426)</f>
        <v>44967.47832</v>
      </c>
      <c r="C1853" s="1" t="str">
        <f>IFERROR(__xludf.DUMMYFUNCTION("""COMPUTED_VALUE"""),"MUÑOZ PEDRO / Fabrica PRINGLES SAN LUIS S.A. PRODIND")</f>
        <v>MUÑOZ PEDRO / Fabrica PRINGLES SAN LUIS S.A. PRODIND</v>
      </c>
      <c r="D1853" s="1" t="str">
        <f>IFERROR(__xludf.DUMMYFUNCTION("""COMPUTED_VALUE"""),"Lentes de LABORATORIO")</f>
        <v>Lentes de LABORATORIO</v>
      </c>
      <c r="E1853" s="1" t="str">
        <f>IFERROR(__xludf.DUMMYFUNCTION("""COMPUTED_VALUE"""),"ARTIGAS Ivana P.")</f>
        <v>ARTIGAS Ivana P.</v>
      </c>
      <c r="F1853" s="1" t="str">
        <f t="shared" si="1"/>
        <v>ARTIGAS </v>
      </c>
      <c r="G1853" s="1" t="str">
        <f t="shared" si="2"/>
        <v>Ivana P.</v>
      </c>
      <c r="H1853" s="1" t="str">
        <f>IFERROR(__xludf.DUMMYFUNCTION("""COMPUTED_VALUE"""),"22/2/2023, 17:00:00")</f>
        <v>22/2/2023, 17:00:00</v>
      </c>
      <c r="I1853" s="1" t="str">
        <f>IFERROR(__xludf.DUMMYFUNCTION("""COMPUTED_VALUE"""),"Completado en SUCURSAL")</f>
        <v>Completado en SUCURSAL</v>
      </c>
      <c r="J1853" s="1">
        <f t="shared" si="3"/>
        <v>5</v>
      </c>
      <c r="K1853" s="1" t="str">
        <f t="shared" si="4"/>
        <v>Tus Lentes estan LISTAS PARA ENTREGAR, te esperamos.</v>
      </c>
    </row>
    <row r="1854">
      <c r="A1854" s="1">
        <f>IFERROR(__xludf.DUMMYFUNCTION("""COMPUTED_VALUE"""),86404.0)</f>
        <v>86404</v>
      </c>
      <c r="B1854" s="5">
        <f>IFERROR(__xludf.DUMMYFUNCTION("""COMPUTED_VALUE"""),44967.483449328705)</f>
        <v>44967.48345</v>
      </c>
      <c r="C1854" s="1" t="str">
        <f>IFERROR(__xludf.DUMMYFUNCTION("""COMPUTED_VALUE"""),"ESCOBAR DAVID")</f>
        <v>ESCOBAR DAVID</v>
      </c>
      <c r="D1854" s="1" t="str">
        <f>IFERROR(__xludf.DUMMYFUNCTION("""COMPUTED_VALUE"""),"Lentes BIFOCALES")</f>
        <v>Lentes BIFOCALES</v>
      </c>
      <c r="E1854" s="1" t="str">
        <f>IFERROR(__xludf.DUMMYFUNCTION("""COMPUTED_VALUE"""),"RIVADAVIA Javier")</f>
        <v>RIVADAVIA Javier</v>
      </c>
      <c r="F1854" s="1" t="str">
        <f t="shared" si="1"/>
        <v>RIVADAVIA </v>
      </c>
      <c r="G1854" s="1" t="str">
        <f t="shared" si="2"/>
        <v>Javier</v>
      </c>
      <c r="H1854" s="1" t="str">
        <f>IFERROR(__xludf.DUMMYFUNCTION("""COMPUTED_VALUE"""),"24/2/2023, 17:00:00")</f>
        <v>24/2/2023, 17:00:00</v>
      </c>
      <c r="I1854" s="1" t="str">
        <f>IFERROR(__xludf.DUMMYFUNCTION("""COMPUTED_VALUE"""),"RETIRADO OK POR CLIENTE")</f>
        <v>RETIRADO OK POR CLIENTE</v>
      </c>
      <c r="J1854" s="1">
        <f t="shared" si="3"/>
        <v>6</v>
      </c>
      <c r="K1854" s="1" t="str">
        <f t="shared" si="4"/>
        <v>Entregamos tus lentes, que los disfrutes!</v>
      </c>
    </row>
    <row r="1855">
      <c r="A1855" s="1">
        <f>IFERROR(__xludf.DUMMYFUNCTION("""COMPUTED_VALUE"""),86405.0)</f>
        <v>86405</v>
      </c>
      <c r="B1855" s="5">
        <f>IFERROR(__xludf.DUMMYFUNCTION("""COMPUTED_VALUE"""),44967.483765983794)</f>
        <v>44967.48377</v>
      </c>
      <c r="C1855" s="1" t="str">
        <f>IFERROR(__xludf.DUMMYFUNCTION("""COMPUTED_VALUE"""),"TORRES RICARDO")</f>
        <v>TORRES RICARDO</v>
      </c>
      <c r="D1855" s="1" t="str">
        <f>IFERROR(__xludf.DUMMYFUNCTION("""COMPUTED_VALUE"""),"Lentes de STOCK")</f>
        <v>Lentes de STOCK</v>
      </c>
      <c r="E1855" s="1" t="str">
        <f>IFERROR(__xludf.DUMMYFUNCTION("""COMPUTED_VALUE"""),"RIVADAVIA Marcela L")</f>
        <v>RIVADAVIA Marcela L</v>
      </c>
      <c r="F1855" s="1" t="str">
        <f t="shared" si="1"/>
        <v>RIVADAVIA </v>
      </c>
      <c r="G1855" s="1" t="str">
        <f t="shared" si="2"/>
        <v>Marcela L</v>
      </c>
      <c r="H1855" s="1" t="str">
        <f>IFERROR(__xludf.DUMMYFUNCTION("""COMPUTED_VALUE"""),"15/2/2023, 17:00:00")</f>
        <v>15/2/2023, 17:00:00</v>
      </c>
      <c r="I1855" s="1" t="str">
        <f>IFERROR(__xludf.DUMMYFUNCTION("""COMPUTED_VALUE"""),"RETIRADO OK POR CLIENTE")</f>
        <v>RETIRADO OK POR CLIENTE</v>
      </c>
      <c r="J1855" s="1">
        <f t="shared" si="3"/>
        <v>6</v>
      </c>
      <c r="K1855" s="1" t="str">
        <f t="shared" si="4"/>
        <v>Entregamos tus lentes, que los disfrutes!</v>
      </c>
    </row>
    <row r="1856">
      <c r="A1856" s="1">
        <f>IFERROR(__xludf.DUMMYFUNCTION("""COMPUTED_VALUE"""),86406.0)</f>
        <v>86406</v>
      </c>
      <c r="B1856" s="5">
        <f>IFERROR(__xludf.DUMMYFUNCTION("""COMPUTED_VALUE"""),44967.493448194444)</f>
        <v>44967.49345</v>
      </c>
      <c r="C1856" s="1" t="str">
        <f>IFERROR(__xludf.DUMMYFUNCTION("""COMPUTED_VALUE"""),"NIEVAS AGUSTIN")</f>
        <v>NIEVAS AGUSTIN</v>
      </c>
      <c r="D1856" s="1" t="str">
        <f>IFERROR(__xludf.DUMMYFUNCTION("""COMPUTED_VALUE"""),"Lentes de STOCK")</f>
        <v>Lentes de STOCK</v>
      </c>
      <c r="E1856" s="1" t="str">
        <f>IFERROR(__xludf.DUMMYFUNCTION("""COMPUTED_VALUE"""),"RIVADAVIA Javier")</f>
        <v>RIVADAVIA Javier</v>
      </c>
      <c r="F1856" s="1" t="str">
        <f t="shared" si="1"/>
        <v>RIVADAVIA </v>
      </c>
      <c r="G1856" s="1" t="str">
        <f t="shared" si="2"/>
        <v>Javier</v>
      </c>
      <c r="H1856" s="1" t="str">
        <f>IFERROR(__xludf.DUMMYFUNCTION("""COMPUTED_VALUE"""),"15/2/2023, 17:00:00")</f>
        <v>15/2/2023, 17:00:00</v>
      </c>
      <c r="I1856" s="1" t="str">
        <f>IFERROR(__xludf.DUMMYFUNCTION("""COMPUTED_VALUE"""),"RETIRADO OK POR CLIENTE")</f>
        <v>RETIRADO OK POR CLIENTE</v>
      </c>
      <c r="J1856" s="1">
        <f t="shared" si="3"/>
        <v>6</v>
      </c>
      <c r="K1856" s="1" t="str">
        <f t="shared" si="4"/>
        <v>Entregamos tus lentes, que los disfrutes!</v>
      </c>
    </row>
    <row r="1857">
      <c r="A1857" s="1">
        <f>IFERROR(__xludf.DUMMYFUNCTION("""COMPUTED_VALUE"""),86407.0)</f>
        <v>86407</v>
      </c>
      <c r="B1857" s="5">
        <f>IFERROR(__xludf.DUMMYFUNCTION("""COMPUTED_VALUE"""),44967.49592357639)</f>
        <v>44967.49592</v>
      </c>
      <c r="C1857" s="1" t="str">
        <f>IFERROR(__xludf.DUMMYFUNCTION("""COMPUTED_VALUE"""),"tobares nieve ")</f>
        <v>tobares nieve </v>
      </c>
      <c r="D1857" s="1" t="str">
        <f>IFERROR(__xludf.DUMMYFUNCTION("""COMPUTED_VALUE"""),"Lentes de STOCK")</f>
        <v>Lentes de STOCK</v>
      </c>
      <c r="E1857" s="1" t="str">
        <f>IFERROR(__xludf.DUMMYFUNCTION("""COMPUTED_VALUE"""),"RIVADAVIA Santiago N")</f>
        <v>RIVADAVIA Santiago N</v>
      </c>
      <c r="F1857" s="1" t="str">
        <f t="shared" si="1"/>
        <v>RIVADAVIA </v>
      </c>
      <c r="G1857" s="1" t="str">
        <f t="shared" si="2"/>
        <v>Santiago N</v>
      </c>
      <c r="H1857" s="1" t="str">
        <f>IFERROR(__xludf.DUMMYFUNCTION("""COMPUTED_VALUE"""),"16/2/2023, 17:00:00")</f>
        <v>16/2/2023, 17:00:00</v>
      </c>
      <c r="I1857" s="1" t="str">
        <f>IFERROR(__xludf.DUMMYFUNCTION("""COMPUTED_VALUE"""),"RETIRADO OK POR CLIENTE")</f>
        <v>RETIRADO OK POR CLIENTE</v>
      </c>
      <c r="J1857" s="1">
        <f t="shared" si="3"/>
        <v>6</v>
      </c>
      <c r="K1857" s="1" t="str">
        <f t="shared" si="4"/>
        <v>Entregamos tus lentes, que los disfrutes!</v>
      </c>
    </row>
    <row r="1858">
      <c r="A1858" s="1">
        <f>IFERROR(__xludf.DUMMYFUNCTION("""COMPUTED_VALUE"""),86408.0)</f>
        <v>86408</v>
      </c>
      <c r="B1858" s="5">
        <f>IFERROR(__xludf.DUMMYFUNCTION("""COMPUTED_VALUE"""),44967.49812077546)</f>
        <v>44967.49812</v>
      </c>
      <c r="C1858" s="1" t="str">
        <f>IFERROR(__xludf.DUMMYFUNCTION("""COMPUTED_VALUE"""),"LUNA LORENA")</f>
        <v>LUNA LORENA</v>
      </c>
      <c r="D1858" s="1" t="str">
        <f>IFERROR(__xludf.DUMMYFUNCTION("""COMPUTED_VALUE"""),"Lentes de STOCK")</f>
        <v>Lentes de STOCK</v>
      </c>
      <c r="E1858" s="1" t="str">
        <f>IFERROR(__xludf.DUMMYFUNCTION("""COMPUTED_VALUE"""),"RIVADAVIA Javier")</f>
        <v>RIVADAVIA Javier</v>
      </c>
      <c r="F1858" s="1" t="str">
        <f t="shared" si="1"/>
        <v>RIVADAVIA </v>
      </c>
      <c r="G1858" s="1" t="str">
        <f t="shared" si="2"/>
        <v>Javier</v>
      </c>
      <c r="H1858" s="1" t="str">
        <f>IFERROR(__xludf.DUMMYFUNCTION("""COMPUTED_VALUE"""),"16/2/2023, 17:00:00")</f>
        <v>16/2/2023, 17:00:00</v>
      </c>
      <c r="I1858" s="1" t="str">
        <f>IFERROR(__xludf.DUMMYFUNCTION("""COMPUTED_VALUE"""),"RETIRADO OK POR CLIENTE")</f>
        <v>RETIRADO OK POR CLIENTE</v>
      </c>
      <c r="J1858" s="1">
        <f t="shared" si="3"/>
        <v>6</v>
      </c>
      <c r="K1858" s="1" t="str">
        <f t="shared" si="4"/>
        <v>Entregamos tus lentes, que los disfrutes!</v>
      </c>
    </row>
    <row r="1859">
      <c r="A1859" s="1">
        <f>IFERROR(__xludf.DUMMYFUNCTION("""COMPUTED_VALUE"""),86409.0)</f>
        <v>86409</v>
      </c>
      <c r="B1859" s="5">
        <f>IFERROR(__xludf.DUMMYFUNCTION("""COMPUTED_VALUE"""),44967.502432002315)</f>
        <v>44967.50243</v>
      </c>
      <c r="C1859" s="1" t="str">
        <f>IFERROR(__xludf.DUMMYFUNCTION("""COMPUTED_VALUE"""),"GARRO MARCELO")</f>
        <v>GARRO MARCELO</v>
      </c>
      <c r="D1859" s="1" t="str">
        <f>IFERROR(__xludf.DUMMYFUNCTION("""COMPUTED_VALUE"""),"Lentes de STOCK")</f>
        <v>Lentes de STOCK</v>
      </c>
      <c r="E1859" s="1" t="str">
        <f>IFERROR(__xludf.DUMMYFUNCTION("""COMPUTED_VALUE"""),"RIVADAVIA Santiago N")</f>
        <v>RIVADAVIA Santiago N</v>
      </c>
      <c r="F1859" s="1" t="str">
        <f t="shared" si="1"/>
        <v>RIVADAVIA </v>
      </c>
      <c r="G1859" s="1" t="str">
        <f t="shared" si="2"/>
        <v>Santiago N</v>
      </c>
      <c r="H1859" s="1" t="str">
        <f>IFERROR(__xludf.DUMMYFUNCTION("""COMPUTED_VALUE"""),"13/2/2023, 17:00:00")</f>
        <v>13/2/2023, 17:00:00</v>
      </c>
      <c r="I1859" s="1" t="str">
        <f>IFERROR(__xludf.DUMMYFUNCTION("""COMPUTED_VALUE"""),"RETIRADO OK POR CLIENTE")</f>
        <v>RETIRADO OK POR CLIENTE</v>
      </c>
      <c r="J1859" s="1">
        <f t="shared" si="3"/>
        <v>6</v>
      </c>
      <c r="K1859" s="1" t="str">
        <f t="shared" si="4"/>
        <v>Entregamos tus lentes, que los disfrutes!</v>
      </c>
    </row>
    <row r="1860">
      <c r="A1860" s="1">
        <f>IFERROR(__xludf.DUMMYFUNCTION("""COMPUTED_VALUE"""),86410.0)</f>
        <v>86410</v>
      </c>
      <c r="B1860" s="5">
        <f>IFERROR(__xludf.DUMMYFUNCTION("""COMPUTED_VALUE"""),44967.50615876158)</f>
        <v>44967.50616</v>
      </c>
      <c r="C1860" s="1" t="str">
        <f>IFERROR(__xludf.DUMMYFUNCTION("""COMPUTED_VALUE"""),"IBAÑEZ MAIDA ")</f>
        <v>IBAÑEZ MAIDA </v>
      </c>
      <c r="D1860" s="1" t="str">
        <f>IFERROR(__xludf.DUMMYFUNCTION("""COMPUTED_VALUE"""),"Lentes de STOCK")</f>
        <v>Lentes de STOCK</v>
      </c>
      <c r="E1860" s="1" t="str">
        <f>IFERROR(__xludf.DUMMYFUNCTION("""COMPUTED_VALUE"""),"Otro (LUCIANA ARTIGAS)")</f>
        <v>Otro (LUCIANA ARTIGAS)</v>
      </c>
      <c r="F1860" s="1" t="str">
        <f t="shared" si="1"/>
        <v>Otro </v>
      </c>
      <c r="G1860" s="1" t="str">
        <f t="shared" si="2"/>
        <v>(LUCIANA ARTIGAS)</v>
      </c>
      <c r="H1860" s="1" t="str">
        <f>IFERROR(__xludf.DUMMYFUNCTION("""COMPUTED_VALUE"""),"15/2/2023, 17:00:00")</f>
        <v>15/2/2023, 17:00:00</v>
      </c>
      <c r="I1860" s="1" t="str">
        <f>IFERROR(__xludf.DUMMYFUNCTION("""COMPUTED_VALUE"""),"RETIRADO OK POR CLIENTE")</f>
        <v>RETIRADO OK POR CLIENTE</v>
      </c>
      <c r="J1860" s="1">
        <f t="shared" si="3"/>
        <v>6</v>
      </c>
      <c r="K1860" s="1" t="str">
        <f t="shared" si="4"/>
        <v>Entregamos tus lentes, que los disfrutes!</v>
      </c>
    </row>
    <row r="1861">
      <c r="A1861" s="1">
        <f>IFERROR(__xludf.DUMMYFUNCTION("""COMPUTED_VALUE"""),86411.0)</f>
        <v>86411</v>
      </c>
      <c r="B1861" s="5">
        <f>IFERROR(__xludf.DUMMYFUNCTION("""COMPUTED_VALUE"""),44967.50648861111)</f>
        <v>44967.50649</v>
      </c>
      <c r="C1861" s="1" t="str">
        <f>IFERROR(__xludf.DUMMYFUNCTION("""COMPUTED_VALUE"""),"Vera Salvador ")</f>
        <v>Vera Salvador </v>
      </c>
      <c r="D1861" s="1" t="str">
        <f>IFERROR(__xludf.DUMMYFUNCTION("""COMPUTED_VALUE"""),"Reparaciones/Otros")</f>
        <v>Reparaciones/Otros</v>
      </c>
      <c r="E1861" s="1" t="str">
        <f>IFERROR(__xludf.DUMMYFUNCTION("""COMPUTED_VALUE"""),"ARTIGAS Sandra G")</f>
        <v>ARTIGAS Sandra G</v>
      </c>
      <c r="F1861" s="1" t="str">
        <f t="shared" si="1"/>
        <v>ARTIGAS </v>
      </c>
      <c r="G1861" s="1" t="str">
        <f t="shared" si="2"/>
        <v>Sandra G</v>
      </c>
      <c r="H1861" s="1" t="str">
        <f>IFERROR(__xludf.DUMMYFUNCTION("""COMPUTED_VALUE"""),"14/2/2023, 17:00:00")</f>
        <v>14/2/2023, 17:00:00</v>
      </c>
      <c r="I1861" s="1" t="str">
        <f>IFERROR(__xludf.DUMMYFUNCTION("""COMPUTED_VALUE"""),"Completado en SUCURSAL")</f>
        <v>Completado en SUCURSAL</v>
      </c>
      <c r="J1861" s="1">
        <f t="shared" si="3"/>
        <v>5</v>
      </c>
      <c r="K1861" s="1" t="str">
        <f t="shared" si="4"/>
        <v>Tus Lentes estan LISTAS PARA ENTREGAR, te esperamos.</v>
      </c>
    </row>
    <row r="1862">
      <c r="A1862" s="1">
        <f>IFERROR(__xludf.DUMMYFUNCTION("""COMPUTED_VALUE"""),86412.0)</f>
        <v>86412</v>
      </c>
      <c r="B1862" s="5">
        <f>IFERROR(__xludf.DUMMYFUNCTION("""COMPUTED_VALUE"""),44967.50829118055)</f>
        <v>44967.50829</v>
      </c>
      <c r="C1862" s="1" t="str">
        <f>IFERROR(__xludf.DUMMYFUNCTION("""COMPUTED_VALUE"""),"ASSAYAS GUSTAVO")</f>
        <v>ASSAYAS GUSTAVO</v>
      </c>
      <c r="D1862" s="1" t="str">
        <f>IFERROR(__xludf.DUMMYFUNCTION("""COMPUTED_VALUE"""),"Lentes BIFOCALES")</f>
        <v>Lentes BIFOCALES</v>
      </c>
      <c r="E1862" s="1" t="str">
        <f>IFERROR(__xludf.DUMMYFUNCTION("""COMPUTED_VALUE"""),"ARTIGAS Cristian C.")</f>
        <v>ARTIGAS Cristian C.</v>
      </c>
      <c r="F1862" s="1" t="str">
        <f t="shared" si="1"/>
        <v>ARTIGAS </v>
      </c>
      <c r="G1862" s="1" t="str">
        <f t="shared" si="2"/>
        <v>Cristian C.</v>
      </c>
      <c r="H1862" s="1" t="str">
        <f>IFERROR(__xludf.DUMMYFUNCTION("""COMPUTED_VALUE"""),"24/2/2023, 17:00:00")</f>
        <v>24/2/2023, 17:00:00</v>
      </c>
      <c r="I1862" s="1" t="str">
        <f>IFERROR(__xludf.DUMMYFUNCTION("""COMPUTED_VALUE"""),"RETIRADO OK POR CLIENTE")</f>
        <v>RETIRADO OK POR CLIENTE</v>
      </c>
      <c r="J1862" s="1">
        <f t="shared" si="3"/>
        <v>6</v>
      </c>
      <c r="K1862" s="1" t="str">
        <f t="shared" si="4"/>
        <v>Entregamos tus lentes, que los disfrutes!</v>
      </c>
    </row>
    <row r="1863">
      <c r="A1863" s="1">
        <f>IFERROR(__xludf.DUMMYFUNCTION("""COMPUTED_VALUE"""),86413.0)</f>
        <v>86413</v>
      </c>
      <c r="B1863" s="5">
        <f>IFERROR(__xludf.DUMMYFUNCTION("""COMPUTED_VALUE"""),44967.51730878472)</f>
        <v>44967.51731</v>
      </c>
      <c r="C1863" s="1" t="str">
        <f>IFERROR(__xludf.DUMMYFUNCTION("""COMPUTED_VALUE"""),"aguilar guillermo")</f>
        <v>aguilar guillermo</v>
      </c>
      <c r="D1863" s="1" t="str">
        <f>IFERROR(__xludf.DUMMYFUNCTION("""COMPUTED_VALUE"""),"Reparaciones/Otros")</f>
        <v>Reparaciones/Otros</v>
      </c>
      <c r="E1863" s="1" t="str">
        <f>IFERROR(__xludf.DUMMYFUNCTION("""COMPUTED_VALUE"""),"RIVADAVIA Daniel CM")</f>
        <v>RIVADAVIA Daniel CM</v>
      </c>
      <c r="F1863" s="1" t="str">
        <f t="shared" si="1"/>
        <v>RIVADAVIA </v>
      </c>
      <c r="G1863" s="1" t="str">
        <f t="shared" si="2"/>
        <v>Daniel CM</v>
      </c>
      <c r="H1863" s="1" t="str">
        <f>IFERROR(__xludf.DUMMYFUNCTION("""COMPUTED_VALUE"""),"11/2/2023, 17:00:00")</f>
        <v>11/2/2023, 17:00:00</v>
      </c>
      <c r="I1863" s="1" t="str">
        <f>IFERROR(__xludf.DUMMYFUNCTION("""COMPUTED_VALUE"""),"Completado en SUCURSAL")</f>
        <v>Completado en SUCURSAL</v>
      </c>
      <c r="J1863" s="1">
        <f t="shared" si="3"/>
        <v>5</v>
      </c>
      <c r="K1863" s="1" t="str">
        <f t="shared" si="4"/>
        <v>Tus Lentes estan LISTAS PARA ENTREGAR, te esperamos.</v>
      </c>
    </row>
    <row r="1864">
      <c r="A1864" s="1">
        <f>IFERROR(__xludf.DUMMYFUNCTION("""COMPUTED_VALUE"""),86414.0)</f>
        <v>86414</v>
      </c>
      <c r="B1864" s="5">
        <f>IFERROR(__xludf.DUMMYFUNCTION("""COMPUTED_VALUE"""),44967.51826848379)</f>
        <v>44967.51827</v>
      </c>
      <c r="C1864" s="1" t="str">
        <f>IFERROR(__xludf.DUMMYFUNCTION("""COMPUTED_VALUE"""),"MARIA INES MARTIN")</f>
        <v>MARIA INES MARTIN</v>
      </c>
      <c r="D1864" s="1" t="str">
        <f>IFERROR(__xludf.DUMMYFUNCTION("""COMPUTED_VALUE"""),"Reparaciones/Otros")</f>
        <v>Reparaciones/Otros</v>
      </c>
      <c r="E1864" s="1" t="str">
        <f>IFERROR(__xludf.DUMMYFUNCTION("""COMPUTED_VALUE"""),"RIVADAVIA Javier")</f>
        <v>RIVADAVIA Javier</v>
      </c>
      <c r="F1864" s="1" t="str">
        <f t="shared" si="1"/>
        <v>RIVADAVIA </v>
      </c>
      <c r="G1864" s="1" t="str">
        <f t="shared" si="2"/>
        <v>Javier</v>
      </c>
      <c r="H1864" s="1" t="str">
        <f>IFERROR(__xludf.DUMMYFUNCTION("""COMPUTED_VALUE"""),"11/2/2023, 17:00:00")</f>
        <v>11/2/2023, 17:00:00</v>
      </c>
      <c r="I1864" s="1"/>
      <c r="J1864" s="1">
        <f t="shared" si="3"/>
        <v>0</v>
      </c>
      <c r="K1864" s="1" t="str">
        <f t="shared" si="4"/>
        <v/>
      </c>
    </row>
    <row r="1865">
      <c r="A1865" s="1">
        <f>IFERROR(__xludf.DUMMYFUNCTION("""COMPUTED_VALUE"""),86415.0)</f>
        <v>86415</v>
      </c>
      <c r="B1865" s="5">
        <f>IFERROR(__xludf.DUMMYFUNCTION("""COMPUTED_VALUE"""),44967.5187941551)</f>
        <v>44967.51879</v>
      </c>
      <c r="C1865" s="1" t="str">
        <f>IFERROR(__xludf.DUMMYFUNCTION("""COMPUTED_VALUE"""),"Mendoza Liliana")</f>
        <v>Mendoza Liliana</v>
      </c>
      <c r="D1865" s="1" t="str">
        <f>IFERROR(__xludf.DUMMYFUNCTION("""COMPUTED_VALUE"""),"Reparaciones/Otros")</f>
        <v>Reparaciones/Otros</v>
      </c>
      <c r="E1865" s="1" t="str">
        <f>IFERROR(__xludf.DUMMYFUNCTION("""COMPUTED_VALUE"""),"ARTIGAS Sandra G")</f>
        <v>ARTIGAS Sandra G</v>
      </c>
      <c r="F1865" s="1" t="str">
        <f t="shared" si="1"/>
        <v>ARTIGAS </v>
      </c>
      <c r="G1865" s="1" t="str">
        <f t="shared" si="2"/>
        <v>Sandra G</v>
      </c>
      <c r="H1865" s="1" t="str">
        <f>IFERROR(__xludf.DUMMYFUNCTION("""COMPUTED_VALUE"""),"11/2/2023, 17:00:00")</f>
        <v>11/2/2023, 17:00:00</v>
      </c>
      <c r="I1865" s="1"/>
      <c r="J1865" s="1">
        <f t="shared" si="3"/>
        <v>0</v>
      </c>
      <c r="K1865" s="1" t="str">
        <f t="shared" si="4"/>
        <v/>
      </c>
    </row>
    <row r="1866">
      <c r="A1866" s="1">
        <f>IFERROR(__xludf.DUMMYFUNCTION("""COMPUTED_VALUE"""),86416.0)</f>
        <v>86416</v>
      </c>
      <c r="B1866" s="5">
        <f>IFERROR(__xludf.DUMMYFUNCTION("""COMPUTED_VALUE"""),44967.52094462963)</f>
        <v>44967.52094</v>
      </c>
      <c r="C1866" s="1" t="str">
        <f>IFERROR(__xludf.DUMMYFUNCTION("""COMPUTED_VALUE"""),"albizu esteves clara")</f>
        <v>albizu esteves clara</v>
      </c>
      <c r="D1866" s="1" t="str">
        <f>IFERROR(__xludf.DUMMYFUNCTION("""COMPUTED_VALUE"""),"Lentes de STOCK")</f>
        <v>Lentes de STOCK</v>
      </c>
      <c r="E1866" s="1" t="str">
        <f>IFERROR(__xludf.DUMMYFUNCTION("""COMPUTED_VALUE"""),"RIVADAVIA Santiago N")</f>
        <v>RIVADAVIA Santiago N</v>
      </c>
      <c r="F1866" s="1" t="str">
        <f t="shared" si="1"/>
        <v>RIVADAVIA </v>
      </c>
      <c r="G1866" s="1" t="str">
        <f t="shared" si="2"/>
        <v>Santiago N</v>
      </c>
      <c r="H1866" s="1" t="str">
        <f>IFERROR(__xludf.DUMMYFUNCTION("""COMPUTED_VALUE"""),"13/2/2023, 17:00:00")</f>
        <v>13/2/2023, 17:00:00</v>
      </c>
      <c r="I1866" s="1" t="str">
        <f>IFERROR(__xludf.DUMMYFUNCTION("""COMPUTED_VALUE"""),"RETIRADO OK POR CLIENTE")</f>
        <v>RETIRADO OK POR CLIENTE</v>
      </c>
      <c r="J1866" s="1">
        <f t="shared" si="3"/>
        <v>6</v>
      </c>
      <c r="K1866" s="1" t="str">
        <f t="shared" si="4"/>
        <v>Entregamos tus lentes, que los disfrutes!</v>
      </c>
    </row>
    <row r="1867">
      <c r="A1867" s="1">
        <f>IFERROR(__xludf.DUMMYFUNCTION("""COMPUTED_VALUE"""),86417.0)</f>
        <v>86417</v>
      </c>
      <c r="B1867" s="5">
        <f>IFERROR(__xludf.DUMMYFUNCTION("""COMPUTED_VALUE"""),44967.52332681713)</f>
        <v>44967.52333</v>
      </c>
      <c r="C1867" s="1" t="str">
        <f>IFERROR(__xludf.DUMMYFUNCTION("""COMPUTED_VALUE"""),"PEDERNERA ESTELA")</f>
        <v>PEDERNERA ESTELA</v>
      </c>
      <c r="D1867" s="1" t="str">
        <f>IFERROR(__xludf.DUMMYFUNCTION("""COMPUTED_VALUE"""),"Reparaciones/Otros")</f>
        <v>Reparaciones/Otros</v>
      </c>
      <c r="E1867" s="1" t="str">
        <f>IFERROR(__xludf.DUMMYFUNCTION("""COMPUTED_VALUE"""),"Otro (LUCIANA ARTIGAS)")</f>
        <v>Otro (LUCIANA ARTIGAS)</v>
      </c>
      <c r="F1867" s="1" t="str">
        <f t="shared" si="1"/>
        <v>Otro </v>
      </c>
      <c r="G1867" s="1" t="str">
        <f t="shared" si="2"/>
        <v>(LUCIANA ARTIGAS)</v>
      </c>
      <c r="H1867" s="1" t="str">
        <f>IFERROR(__xludf.DUMMYFUNCTION("""COMPUTED_VALUE"""),"13/2/2023, 17:00:00")</f>
        <v>13/2/2023, 17:00:00</v>
      </c>
      <c r="I1867" s="1"/>
      <c r="J1867" s="1">
        <f t="shared" si="3"/>
        <v>0</v>
      </c>
      <c r="K1867" s="1" t="str">
        <f t="shared" si="4"/>
        <v/>
      </c>
    </row>
    <row r="1868">
      <c r="A1868" s="1">
        <f>IFERROR(__xludf.DUMMYFUNCTION("""COMPUTED_VALUE"""),86418.0)</f>
        <v>86418</v>
      </c>
      <c r="B1868" s="5">
        <f>IFERROR(__xludf.DUMMYFUNCTION("""COMPUTED_VALUE"""),44967.52768666667)</f>
        <v>44967.52769</v>
      </c>
      <c r="C1868" s="1" t="str">
        <f>IFERROR(__xludf.DUMMYFUNCTION("""COMPUTED_VALUE"""),"QUEVEDO AYELEN ")</f>
        <v>QUEVEDO AYELEN </v>
      </c>
      <c r="D1868" s="1" t="str">
        <f>IFERROR(__xludf.DUMMYFUNCTION("""COMPUTED_VALUE"""),"Lentes de STOCK")</f>
        <v>Lentes de STOCK</v>
      </c>
      <c r="E1868" s="1" t="str">
        <f>IFERROR(__xludf.DUMMYFUNCTION("""COMPUTED_VALUE"""),"ARTIGAS Cristian C.")</f>
        <v>ARTIGAS Cristian C.</v>
      </c>
      <c r="F1868" s="1" t="str">
        <f t="shared" si="1"/>
        <v>ARTIGAS </v>
      </c>
      <c r="G1868" s="1" t="str">
        <f t="shared" si="2"/>
        <v>Cristian C.</v>
      </c>
      <c r="H1868" s="1" t="str">
        <f>IFERROR(__xludf.DUMMYFUNCTION("""COMPUTED_VALUE"""),"22/2/2023, 17:00:00")</f>
        <v>22/2/2023, 17:00:00</v>
      </c>
      <c r="I1868" s="1" t="str">
        <f>IFERROR(__xludf.DUMMYFUNCTION("""COMPUTED_VALUE"""),"Completado en SUCURSAL")</f>
        <v>Completado en SUCURSAL</v>
      </c>
      <c r="J1868" s="1">
        <f t="shared" si="3"/>
        <v>5</v>
      </c>
      <c r="K1868" s="1" t="str">
        <f t="shared" si="4"/>
        <v>Tus Lentes estan LISTAS PARA ENTREGAR, te esperamos.</v>
      </c>
    </row>
    <row r="1869">
      <c r="A1869" s="1">
        <f>IFERROR(__xludf.DUMMYFUNCTION("""COMPUTED_VALUE"""),86419.0)</f>
        <v>86419</v>
      </c>
      <c r="B1869" s="5">
        <f>IFERROR(__xludf.DUMMYFUNCTION("""COMPUTED_VALUE"""),44967.52894336806)</f>
        <v>44967.52894</v>
      </c>
      <c r="C1869" s="1" t="str">
        <f>IFERROR(__xludf.DUMMYFUNCTION("""COMPUTED_VALUE"""),"benitez ramona")</f>
        <v>benitez ramona</v>
      </c>
      <c r="D1869" s="1" t="str">
        <f>IFERROR(__xludf.DUMMYFUNCTION("""COMPUTED_VALUE"""),"Lentes de STOCK")</f>
        <v>Lentes de STOCK</v>
      </c>
      <c r="E1869" s="1" t="str">
        <f>IFERROR(__xludf.DUMMYFUNCTION("""COMPUTED_VALUE"""),"RIVADAVIA Santiago N")</f>
        <v>RIVADAVIA Santiago N</v>
      </c>
      <c r="F1869" s="1" t="str">
        <f t="shared" si="1"/>
        <v>RIVADAVIA </v>
      </c>
      <c r="G1869" s="1" t="str">
        <f t="shared" si="2"/>
        <v>Santiago N</v>
      </c>
      <c r="H1869" s="1" t="str">
        <f>IFERROR(__xludf.DUMMYFUNCTION("""COMPUTED_VALUE"""),"13/2/2023, 17:00:00")</f>
        <v>13/2/2023, 17:00:00</v>
      </c>
      <c r="I1869" s="1" t="str">
        <f>IFERROR(__xludf.DUMMYFUNCTION("""COMPUTED_VALUE"""),"RETIRADO OK POR CLIENTE")</f>
        <v>RETIRADO OK POR CLIENTE</v>
      </c>
      <c r="J1869" s="1">
        <f t="shared" si="3"/>
        <v>6</v>
      </c>
      <c r="K1869" s="1" t="str">
        <f t="shared" si="4"/>
        <v>Entregamos tus lentes, que los disfrutes!</v>
      </c>
    </row>
    <row r="1870">
      <c r="A1870" s="1">
        <f>IFERROR(__xludf.DUMMYFUNCTION("""COMPUTED_VALUE"""),85829.0)</f>
        <v>85829</v>
      </c>
      <c r="B1870" s="5">
        <f>IFERROR(__xludf.DUMMYFUNCTION("""COMPUTED_VALUE"""),44967.536131076384)</f>
        <v>44967.53613</v>
      </c>
      <c r="C1870" s="1" t="str">
        <f>IFERROR(__xludf.DUMMYFUNCTION("""COMPUTED_VALUE"""),"SOSA ANTONIA DEL CARMEN")</f>
        <v>SOSA ANTONIA DEL CARMEN</v>
      </c>
      <c r="D1870" s="1" t="str">
        <f>IFERROR(__xludf.DUMMYFUNCTION("""COMPUTED_VALUE"""),"Lentes de STOCK")</f>
        <v>Lentes de STOCK</v>
      </c>
      <c r="E1870" s="1" t="str">
        <f>IFERROR(__xludf.DUMMYFUNCTION("""COMPUTED_VALUE"""),"RIVADAVIA Marcela L")</f>
        <v>RIVADAVIA Marcela L</v>
      </c>
      <c r="F1870" s="1" t="str">
        <f t="shared" si="1"/>
        <v>RIVADAVIA </v>
      </c>
      <c r="G1870" s="1" t="str">
        <f t="shared" si="2"/>
        <v>Marcela L</v>
      </c>
      <c r="H1870" s="1" t="str">
        <f>IFERROR(__xludf.DUMMYFUNCTION("""COMPUTED_VALUE"""),"13/2/2023, 17:00:00")</f>
        <v>13/2/2023, 17:00:00</v>
      </c>
      <c r="I1870" s="1"/>
      <c r="J1870" s="1">
        <f t="shared" si="3"/>
        <v>0</v>
      </c>
      <c r="K1870" s="1" t="str">
        <f t="shared" si="4"/>
        <v/>
      </c>
    </row>
    <row r="1871">
      <c r="A1871" s="1">
        <f>IFERROR(__xludf.DUMMYFUNCTION("""COMPUTED_VALUE"""),86421.0)</f>
        <v>86421</v>
      </c>
      <c r="B1871" s="5">
        <f>IFERROR(__xludf.DUMMYFUNCTION("""COMPUTED_VALUE"""),44967.54035430556)</f>
        <v>44967.54035</v>
      </c>
      <c r="C1871" s="1" t="str">
        <f>IFERROR(__xludf.DUMMYFUNCTION("""COMPUTED_VALUE"""),"GERVASONI NORMA")</f>
        <v>GERVASONI NORMA</v>
      </c>
      <c r="D1871" s="1" t="str">
        <f>IFERROR(__xludf.DUMMYFUNCTION("""COMPUTED_VALUE"""),"Lentes de STOCK")</f>
        <v>Lentes de STOCK</v>
      </c>
      <c r="E1871" s="1" t="str">
        <f>IFERROR(__xludf.DUMMYFUNCTION("""COMPUTED_VALUE"""),"RIVADAVIA Javier")</f>
        <v>RIVADAVIA Javier</v>
      </c>
      <c r="F1871" s="1" t="str">
        <f t="shared" si="1"/>
        <v>RIVADAVIA </v>
      </c>
      <c r="G1871" s="1" t="str">
        <f t="shared" si="2"/>
        <v>Javier</v>
      </c>
      <c r="H1871" s="1" t="str">
        <f>IFERROR(__xludf.DUMMYFUNCTION("""COMPUTED_VALUE"""),"15/2/2023, 17:00:00")</f>
        <v>15/2/2023, 17:00:00</v>
      </c>
      <c r="I1871" s="1" t="str">
        <f>IFERROR(__xludf.DUMMYFUNCTION("""COMPUTED_VALUE"""),"RETIRADO OK POR CLIENTE")</f>
        <v>RETIRADO OK POR CLIENTE</v>
      </c>
      <c r="J1871" s="1">
        <f t="shared" si="3"/>
        <v>6</v>
      </c>
      <c r="K1871" s="1" t="str">
        <f t="shared" si="4"/>
        <v>Entregamos tus lentes, que los disfrutes!</v>
      </c>
    </row>
    <row r="1872">
      <c r="A1872" s="1">
        <f>IFERROR(__xludf.DUMMYFUNCTION("""COMPUTED_VALUE"""),86422.0)</f>
        <v>86422</v>
      </c>
      <c r="B1872" s="5">
        <f>IFERROR(__xludf.DUMMYFUNCTION("""COMPUTED_VALUE"""),44967.54717052083)</f>
        <v>44967.54717</v>
      </c>
      <c r="C1872" s="1" t="str">
        <f>IFERROR(__xludf.DUMMYFUNCTION("""COMPUTED_VALUE"""),"woronko sofia")</f>
        <v>woronko sofia</v>
      </c>
      <c r="D1872" s="1" t="str">
        <f>IFERROR(__xludf.DUMMYFUNCTION("""COMPUTED_VALUE"""),"Lentes de STOCK")</f>
        <v>Lentes de STOCK</v>
      </c>
      <c r="E1872" s="1" t="str">
        <f>IFERROR(__xludf.DUMMYFUNCTION("""COMPUTED_VALUE"""),"RIVADAVIA Santiago N")</f>
        <v>RIVADAVIA Santiago N</v>
      </c>
      <c r="F1872" s="1" t="str">
        <f t="shared" si="1"/>
        <v>RIVADAVIA </v>
      </c>
      <c r="G1872" s="1" t="str">
        <f t="shared" si="2"/>
        <v>Santiago N</v>
      </c>
      <c r="H1872" s="1" t="str">
        <f>IFERROR(__xludf.DUMMYFUNCTION("""COMPUTED_VALUE"""),"13/2/2023, 17:00:00")</f>
        <v>13/2/2023, 17:00:00</v>
      </c>
      <c r="I1872" s="1" t="str">
        <f>IFERROR(__xludf.DUMMYFUNCTION("""COMPUTED_VALUE"""),"RETIRADO OK POR CLIENTE")</f>
        <v>RETIRADO OK POR CLIENTE</v>
      </c>
      <c r="J1872" s="1">
        <f t="shared" si="3"/>
        <v>6</v>
      </c>
      <c r="K1872" s="1" t="str">
        <f t="shared" si="4"/>
        <v>Entregamos tus lentes, que los disfrutes!</v>
      </c>
    </row>
    <row r="1873">
      <c r="A1873" s="1">
        <f>IFERROR(__xludf.DUMMYFUNCTION("""COMPUTED_VALUE"""),86423.0)</f>
        <v>86423</v>
      </c>
      <c r="B1873" s="5">
        <f>IFERROR(__xludf.DUMMYFUNCTION("""COMPUTED_VALUE"""),44967.54991111111)</f>
        <v>44967.54991</v>
      </c>
      <c r="C1873" s="1" t="str">
        <f>IFERROR(__xludf.DUMMYFUNCTION("""COMPUTED_VALUE"""),"PEREIRA ROCIO")</f>
        <v>PEREIRA ROCIO</v>
      </c>
      <c r="D1873" s="1" t="str">
        <f>IFERROR(__xludf.DUMMYFUNCTION("""COMPUTED_VALUE"""),"Lentes de STOCK")</f>
        <v>Lentes de STOCK</v>
      </c>
      <c r="E1873" s="1" t="str">
        <f>IFERROR(__xludf.DUMMYFUNCTION("""COMPUTED_VALUE"""),"RIVADAVIA Javier")</f>
        <v>RIVADAVIA Javier</v>
      </c>
      <c r="F1873" s="1" t="str">
        <f t="shared" si="1"/>
        <v>RIVADAVIA </v>
      </c>
      <c r="G1873" s="1" t="str">
        <f t="shared" si="2"/>
        <v>Javier</v>
      </c>
      <c r="H1873" s="1" t="str">
        <f>IFERROR(__xludf.DUMMYFUNCTION("""COMPUTED_VALUE"""),"16/2/2023, 17:00:00")</f>
        <v>16/2/2023, 17:00:00</v>
      </c>
      <c r="I1873" s="1" t="str">
        <f>IFERROR(__xludf.DUMMYFUNCTION("""COMPUTED_VALUE"""),"RETIRADO OK POR CLIENTE")</f>
        <v>RETIRADO OK POR CLIENTE</v>
      </c>
      <c r="J1873" s="1">
        <f t="shared" si="3"/>
        <v>6</v>
      </c>
      <c r="K1873" s="1" t="str">
        <f t="shared" si="4"/>
        <v>Entregamos tus lentes, que los disfrutes!</v>
      </c>
    </row>
    <row r="1874">
      <c r="A1874" s="1">
        <f>IFERROR(__xludf.DUMMYFUNCTION("""COMPUTED_VALUE"""),86424.0)</f>
        <v>86424</v>
      </c>
      <c r="B1874" s="5">
        <f>IFERROR(__xludf.DUMMYFUNCTION("""COMPUTED_VALUE"""),44967.55195216435)</f>
        <v>44967.55195</v>
      </c>
      <c r="C1874" s="1" t="str">
        <f>IFERROR(__xludf.DUMMYFUNCTION("""COMPUTED_VALUE"""),"lucero virginia")</f>
        <v>lucero virginia</v>
      </c>
      <c r="D1874" s="1" t="str">
        <f>IFERROR(__xludf.DUMMYFUNCTION("""COMPUTED_VALUE"""),"Lentes de STOCK")</f>
        <v>Lentes de STOCK</v>
      </c>
      <c r="E1874" s="1" t="str">
        <f>IFERROR(__xludf.DUMMYFUNCTION("""COMPUTED_VALUE"""),"RIVADAVIA Santiago N")</f>
        <v>RIVADAVIA Santiago N</v>
      </c>
      <c r="F1874" s="1" t="str">
        <f t="shared" si="1"/>
        <v>RIVADAVIA </v>
      </c>
      <c r="G1874" s="1" t="str">
        <f t="shared" si="2"/>
        <v>Santiago N</v>
      </c>
      <c r="H1874" s="1" t="str">
        <f>IFERROR(__xludf.DUMMYFUNCTION("""COMPUTED_VALUE"""),"13/2/2023, 17:00:00")</f>
        <v>13/2/2023, 17:00:00</v>
      </c>
      <c r="I1874" s="1" t="str">
        <f>IFERROR(__xludf.DUMMYFUNCTION("""COMPUTED_VALUE"""),"RETIRADO OK POR CLIENTE")</f>
        <v>RETIRADO OK POR CLIENTE</v>
      </c>
      <c r="J1874" s="1">
        <f t="shared" si="3"/>
        <v>6</v>
      </c>
      <c r="K1874" s="1" t="str">
        <f t="shared" si="4"/>
        <v>Entregamos tus lentes, que los disfrutes!</v>
      </c>
    </row>
    <row r="1875">
      <c r="A1875" s="1">
        <f>IFERROR(__xludf.DUMMYFUNCTION("""COMPUTED_VALUE"""),86425.0)</f>
        <v>86425</v>
      </c>
      <c r="B1875" s="5">
        <f>IFERROR(__xludf.DUMMYFUNCTION("""COMPUTED_VALUE"""),44967.557823634255)</f>
        <v>44967.55782</v>
      </c>
      <c r="C1875" s="1" t="str">
        <f>IFERROR(__xludf.DUMMYFUNCTION("""COMPUTED_VALUE"""),"TOBARES LUIS EDGARDO")</f>
        <v>TOBARES LUIS EDGARDO</v>
      </c>
      <c r="D1875" s="1" t="str">
        <f>IFERROR(__xludf.DUMMYFUNCTION("""COMPUTED_VALUE"""),"Lentes MULTIFOCALES")</f>
        <v>Lentes MULTIFOCALES</v>
      </c>
      <c r="E1875" s="1" t="str">
        <f>IFERROR(__xludf.DUMMYFUNCTION("""COMPUTED_VALUE"""),"Otro (LUCIANA ARTIGAS)")</f>
        <v>Otro (LUCIANA ARTIGAS)</v>
      </c>
      <c r="F1875" s="1" t="str">
        <f t="shared" si="1"/>
        <v>Otro </v>
      </c>
      <c r="G1875" s="1" t="str">
        <f t="shared" si="2"/>
        <v>(LUCIANA ARTIGAS)</v>
      </c>
      <c r="H1875" s="1" t="str">
        <f>IFERROR(__xludf.DUMMYFUNCTION("""COMPUTED_VALUE"""),"27/2/2023, 17:00:00")</f>
        <v>27/2/2023, 17:00:00</v>
      </c>
      <c r="I1875" s="1" t="str">
        <f>IFERROR(__xludf.DUMMYFUNCTION("""COMPUTED_VALUE"""),"Completado en SUCURSAL")</f>
        <v>Completado en SUCURSAL</v>
      </c>
      <c r="J1875" s="1">
        <f t="shared" si="3"/>
        <v>5</v>
      </c>
      <c r="K1875" s="1" t="str">
        <f t="shared" si="4"/>
        <v>Tus Lentes estan LISTAS PARA ENTREGAR, te esperamos.</v>
      </c>
    </row>
    <row r="1876">
      <c r="A1876" s="1">
        <f>IFERROR(__xludf.DUMMYFUNCTION("""COMPUTED_VALUE"""),86426.0)</f>
        <v>86426</v>
      </c>
      <c r="B1876" s="5">
        <f>IFERROR(__xludf.DUMMYFUNCTION("""COMPUTED_VALUE"""),44967.55794370371)</f>
        <v>44967.55794</v>
      </c>
      <c r="C1876" s="1" t="str">
        <f>IFERROR(__xludf.DUMMYFUNCTION("""COMPUTED_VALUE"""),"vallegos patricia")</f>
        <v>vallegos patricia</v>
      </c>
      <c r="D1876" s="1" t="str">
        <f>IFERROR(__xludf.DUMMYFUNCTION("""COMPUTED_VALUE"""),"Lentes de STOCK")</f>
        <v>Lentes de STOCK</v>
      </c>
      <c r="E1876" s="1" t="str">
        <f>IFERROR(__xludf.DUMMYFUNCTION("""COMPUTED_VALUE"""),"RIVADAVIA Santiago N")</f>
        <v>RIVADAVIA Santiago N</v>
      </c>
      <c r="F1876" s="1" t="str">
        <f t="shared" si="1"/>
        <v>RIVADAVIA </v>
      </c>
      <c r="G1876" s="1" t="str">
        <f t="shared" si="2"/>
        <v>Santiago N</v>
      </c>
      <c r="H1876" s="1" t="str">
        <f>IFERROR(__xludf.DUMMYFUNCTION("""COMPUTED_VALUE"""),"13/2/2023, 17:00:00")</f>
        <v>13/2/2023, 17:00:00</v>
      </c>
      <c r="I1876" s="1" t="str">
        <f>IFERROR(__xludf.DUMMYFUNCTION("""COMPUTED_VALUE"""),"RETIRADO OK POR CLIENTE")</f>
        <v>RETIRADO OK POR CLIENTE</v>
      </c>
      <c r="J1876" s="1">
        <f t="shared" si="3"/>
        <v>6</v>
      </c>
      <c r="K1876" s="1" t="str">
        <f t="shared" si="4"/>
        <v>Entregamos tus lentes, que los disfrutes!</v>
      </c>
    </row>
    <row r="1877">
      <c r="A1877" s="1">
        <f>IFERROR(__xludf.DUMMYFUNCTION("""COMPUTED_VALUE"""),86427.0)</f>
        <v>86427</v>
      </c>
      <c r="B1877" s="5">
        <f>IFERROR(__xludf.DUMMYFUNCTION("""COMPUTED_VALUE"""),44967.716345740744)</f>
        <v>44967.71635</v>
      </c>
      <c r="C1877" s="1" t="str">
        <f>IFERROR(__xludf.DUMMYFUNCTION("""COMPUTED_VALUE"""),"GARCIA NELLY NELVA")</f>
        <v>GARCIA NELLY NELVA</v>
      </c>
      <c r="D1877" s="1" t="str">
        <f>IFERROR(__xludf.DUMMYFUNCTION("""COMPUTED_VALUE"""),"Lentes de STOCK")</f>
        <v>Lentes de STOCK</v>
      </c>
      <c r="E1877" s="1" t="str">
        <f>IFERROR(__xludf.DUMMYFUNCTION("""COMPUTED_VALUE"""),"RIVADAVIA Santiago N")</f>
        <v>RIVADAVIA Santiago N</v>
      </c>
      <c r="F1877" s="1" t="str">
        <f t="shared" si="1"/>
        <v>RIVADAVIA </v>
      </c>
      <c r="G1877" s="1" t="str">
        <f t="shared" si="2"/>
        <v>Santiago N</v>
      </c>
      <c r="H1877" s="1" t="str">
        <f>IFERROR(__xludf.DUMMYFUNCTION("""COMPUTED_VALUE"""),"22/2/2023, 17:00:00")</f>
        <v>22/2/2023, 17:00:00</v>
      </c>
      <c r="I1877" s="1" t="str">
        <f>IFERROR(__xludf.DUMMYFUNCTION("""COMPUTED_VALUE"""),"Completado en SUCURSAL")</f>
        <v>Completado en SUCURSAL</v>
      </c>
      <c r="J1877" s="1">
        <f t="shared" si="3"/>
        <v>5</v>
      </c>
      <c r="K1877" s="1" t="str">
        <f t="shared" si="4"/>
        <v>Tus Lentes estan LISTAS PARA ENTREGAR, te esperamos.</v>
      </c>
    </row>
    <row r="1878">
      <c r="A1878" s="1">
        <f>IFERROR(__xludf.DUMMYFUNCTION("""COMPUTED_VALUE"""),86428.0)</f>
        <v>86428</v>
      </c>
      <c r="B1878" s="5">
        <f>IFERROR(__xludf.DUMMYFUNCTION("""COMPUTED_VALUE"""),44967.730751724535)</f>
        <v>44967.73075</v>
      </c>
      <c r="C1878" s="1" t="str">
        <f>IFERROR(__xludf.DUMMYFUNCTION("""COMPUTED_VALUE"""),"DURELLI FABIO")</f>
        <v>DURELLI FABIO</v>
      </c>
      <c r="D1878" s="1" t="str">
        <f>IFERROR(__xludf.DUMMYFUNCTION("""COMPUTED_VALUE"""),"Lentes de STOCK")</f>
        <v>Lentes de STOCK</v>
      </c>
      <c r="E1878" s="1" t="str">
        <f>IFERROR(__xludf.DUMMYFUNCTION("""COMPUTED_VALUE"""),"RIVADAVIA Santiago N")</f>
        <v>RIVADAVIA Santiago N</v>
      </c>
      <c r="F1878" s="1" t="str">
        <f t="shared" si="1"/>
        <v>RIVADAVIA </v>
      </c>
      <c r="G1878" s="1" t="str">
        <f t="shared" si="2"/>
        <v>Santiago N</v>
      </c>
      <c r="H1878" s="1" t="str">
        <f>IFERROR(__xludf.DUMMYFUNCTION("""COMPUTED_VALUE"""),"13/2/2023, 17:00:00")</f>
        <v>13/2/2023, 17:00:00</v>
      </c>
      <c r="I1878" s="1" t="str">
        <f>IFERROR(__xludf.DUMMYFUNCTION("""COMPUTED_VALUE"""),"Completado en SUCURSAL")</f>
        <v>Completado en SUCURSAL</v>
      </c>
      <c r="J1878" s="1">
        <f t="shared" si="3"/>
        <v>5</v>
      </c>
      <c r="K1878" s="1" t="str">
        <f t="shared" si="4"/>
        <v>Tus Lentes estan LISTAS PARA ENTREGAR, te esperamos.</v>
      </c>
    </row>
    <row r="1879">
      <c r="A1879" s="1">
        <f>IFERROR(__xludf.DUMMYFUNCTION("""COMPUTED_VALUE"""),86429.0)</f>
        <v>86429</v>
      </c>
      <c r="B1879" s="5">
        <f>IFERROR(__xludf.DUMMYFUNCTION("""COMPUTED_VALUE"""),44967.7349131713)</f>
        <v>44967.73491</v>
      </c>
      <c r="C1879" s="1" t="str">
        <f>IFERROR(__xludf.DUMMYFUNCTION("""COMPUTED_VALUE"""),"DURELLI FABIO")</f>
        <v>DURELLI FABIO</v>
      </c>
      <c r="D1879" s="1" t="str">
        <f>IFERROR(__xludf.DUMMYFUNCTION("""COMPUTED_VALUE"""),"Reparaciones/Otros")</f>
        <v>Reparaciones/Otros</v>
      </c>
      <c r="E1879" s="1" t="str">
        <f>IFERROR(__xludf.DUMMYFUNCTION("""COMPUTED_VALUE"""),"RIVADAVIA Santiago N")</f>
        <v>RIVADAVIA Santiago N</v>
      </c>
      <c r="F1879" s="1" t="str">
        <f t="shared" si="1"/>
        <v>RIVADAVIA </v>
      </c>
      <c r="G1879" s="1" t="str">
        <f t="shared" si="2"/>
        <v>Santiago N</v>
      </c>
      <c r="H1879" s="1" t="str">
        <f>IFERROR(__xludf.DUMMYFUNCTION("""COMPUTED_VALUE"""),"15/2/2023, 17:00:00")</f>
        <v>15/2/2023, 17:00:00</v>
      </c>
      <c r="I1879" s="1" t="str">
        <f>IFERROR(__xludf.DUMMYFUNCTION("""COMPUTED_VALUE"""),"Completado en SUCURSAL")</f>
        <v>Completado en SUCURSAL</v>
      </c>
      <c r="J1879" s="1">
        <f t="shared" si="3"/>
        <v>5</v>
      </c>
      <c r="K1879" s="1" t="str">
        <f t="shared" si="4"/>
        <v>Tus Lentes estan LISTAS PARA ENTREGAR, te esperamos.</v>
      </c>
    </row>
    <row r="1880">
      <c r="A1880" s="1">
        <f>IFERROR(__xludf.DUMMYFUNCTION("""COMPUTED_VALUE"""),86430.0)</f>
        <v>86430</v>
      </c>
      <c r="B1880" s="5">
        <f>IFERROR(__xludf.DUMMYFUNCTION("""COMPUTED_VALUE"""),44967.75950043982)</f>
        <v>44967.7595</v>
      </c>
      <c r="C1880" s="1" t="str">
        <f>IFERROR(__xludf.DUMMYFUNCTION("""COMPUTED_VALUE"""),"MERCAU JUAN ALBERTO")</f>
        <v>MERCAU JUAN ALBERTO</v>
      </c>
      <c r="D1880" s="1" t="str">
        <f>IFERROR(__xludf.DUMMYFUNCTION("""COMPUTED_VALUE"""),"Lentes MULTIFOCALES")</f>
        <v>Lentes MULTIFOCALES</v>
      </c>
      <c r="E1880" s="1" t="str">
        <f>IFERROR(__xludf.DUMMYFUNCTION("""COMPUTED_VALUE"""),"RIVADAVIA Javier")</f>
        <v>RIVADAVIA Javier</v>
      </c>
      <c r="F1880" s="1" t="str">
        <f t="shared" si="1"/>
        <v>RIVADAVIA </v>
      </c>
      <c r="G1880" s="1" t="str">
        <f t="shared" si="2"/>
        <v>Javier</v>
      </c>
      <c r="H1880" s="1" t="str">
        <f>IFERROR(__xludf.DUMMYFUNCTION("""COMPUTED_VALUE"""),"23/2/2023, 17:00:00")</f>
        <v>23/2/2023, 17:00:00</v>
      </c>
      <c r="I1880" s="1" t="str">
        <f>IFERROR(__xludf.DUMMYFUNCTION("""COMPUTED_VALUE"""),"Completado en SUCURSAL")</f>
        <v>Completado en SUCURSAL</v>
      </c>
      <c r="J1880" s="1">
        <f t="shared" si="3"/>
        <v>5</v>
      </c>
      <c r="K1880" s="1" t="str">
        <f t="shared" si="4"/>
        <v>Tus Lentes estan LISTAS PARA ENTREGAR, te esperamos.</v>
      </c>
    </row>
    <row r="1881">
      <c r="A1881" s="1">
        <f>IFERROR(__xludf.DUMMYFUNCTION("""COMPUTED_VALUE"""),86431.0)</f>
        <v>86431</v>
      </c>
      <c r="B1881" s="5">
        <f>IFERROR(__xludf.DUMMYFUNCTION("""COMPUTED_VALUE"""),44967.771393483796)</f>
        <v>44967.77139</v>
      </c>
      <c r="C1881" s="1" t="str">
        <f>IFERROR(__xludf.DUMMYFUNCTION("""COMPUTED_VALUE"""),"DI SANTO SANTINO LIONEL")</f>
        <v>DI SANTO SANTINO LIONEL</v>
      </c>
      <c r="D1881" s="1" t="str">
        <f>IFERROR(__xludf.DUMMYFUNCTION("""COMPUTED_VALUE"""),"Lentes de STOCK")</f>
        <v>Lentes de STOCK</v>
      </c>
      <c r="E1881" s="1" t="str">
        <f>IFERROR(__xludf.DUMMYFUNCTION("""COMPUTED_VALUE"""),"RIVADAVIA Marcela L")</f>
        <v>RIVADAVIA Marcela L</v>
      </c>
      <c r="F1881" s="1" t="str">
        <f t="shared" si="1"/>
        <v>RIVADAVIA </v>
      </c>
      <c r="G1881" s="1" t="str">
        <f t="shared" si="2"/>
        <v>Marcela L</v>
      </c>
      <c r="H1881" s="1" t="str">
        <f>IFERROR(__xludf.DUMMYFUNCTION("""COMPUTED_VALUE"""),"15/2/2023, 17:00:00")</f>
        <v>15/2/2023, 17:00:00</v>
      </c>
      <c r="I1881" s="1" t="str">
        <f>IFERROR(__xludf.DUMMYFUNCTION("""COMPUTED_VALUE"""),"RETIRADO OK POR CLIENTE")</f>
        <v>RETIRADO OK POR CLIENTE</v>
      </c>
      <c r="J1881" s="1">
        <f t="shared" si="3"/>
        <v>6</v>
      </c>
      <c r="K1881" s="1" t="str">
        <f t="shared" si="4"/>
        <v>Entregamos tus lentes, que los disfrutes!</v>
      </c>
    </row>
    <row r="1882">
      <c r="A1882" s="1">
        <f>IFERROR(__xludf.DUMMYFUNCTION("""COMPUTED_VALUE"""),86432.0)</f>
        <v>86432</v>
      </c>
      <c r="B1882" s="5">
        <f>IFERROR(__xludf.DUMMYFUNCTION("""COMPUTED_VALUE"""),44967.77265608797)</f>
        <v>44967.77266</v>
      </c>
      <c r="C1882" s="1" t="str">
        <f>IFERROR(__xludf.DUMMYFUNCTION("""COMPUTED_VALUE"""),"QUESADA MURUA SOFIA MORENA ")</f>
        <v>QUESADA MURUA SOFIA MORENA </v>
      </c>
      <c r="D1882" s="1" t="str">
        <f>IFERROR(__xludf.DUMMYFUNCTION("""COMPUTED_VALUE"""),"Lentes de STOCK")</f>
        <v>Lentes de STOCK</v>
      </c>
      <c r="E1882" s="1" t="str">
        <f>IFERROR(__xludf.DUMMYFUNCTION("""COMPUTED_VALUE"""),"Otro (LUCIANA ARTIGAS)")</f>
        <v>Otro (LUCIANA ARTIGAS)</v>
      </c>
      <c r="F1882" s="1" t="str">
        <f t="shared" si="1"/>
        <v>Otro </v>
      </c>
      <c r="G1882" s="1" t="str">
        <f t="shared" si="2"/>
        <v>(LUCIANA ARTIGAS)</v>
      </c>
      <c r="H1882" s="1" t="str">
        <f>IFERROR(__xludf.DUMMYFUNCTION("""COMPUTED_VALUE"""),"15/2/2023, 17:00:00")</f>
        <v>15/2/2023, 17:00:00</v>
      </c>
      <c r="I1882" s="1" t="str">
        <f>IFERROR(__xludf.DUMMYFUNCTION("""COMPUTED_VALUE"""),"RETIRADO OK POR CLIENTE")</f>
        <v>RETIRADO OK POR CLIENTE</v>
      </c>
      <c r="J1882" s="1">
        <f t="shared" si="3"/>
        <v>6</v>
      </c>
      <c r="K1882" s="1" t="str">
        <f t="shared" si="4"/>
        <v>Entregamos tus lentes, que los disfrutes!</v>
      </c>
    </row>
    <row r="1883">
      <c r="A1883" s="1">
        <f>IFERROR(__xludf.DUMMYFUNCTION("""COMPUTED_VALUE"""),86433.0)</f>
        <v>86433</v>
      </c>
      <c r="B1883" s="5">
        <f>IFERROR(__xludf.DUMMYFUNCTION("""COMPUTED_VALUE"""),44967.77429120371)</f>
        <v>44967.77429</v>
      </c>
      <c r="C1883" s="1" t="str">
        <f>IFERROR(__xludf.DUMMYFUNCTION("""COMPUTED_VALUE"""),"SOSA MARGARITA")</f>
        <v>SOSA MARGARITA</v>
      </c>
      <c r="D1883" s="1" t="str">
        <f>IFERROR(__xludf.DUMMYFUNCTION("""COMPUTED_VALUE"""),"Lentes de LABORATORIO")</f>
        <v>Lentes de LABORATORIO</v>
      </c>
      <c r="E1883" s="1" t="str">
        <f>IFERROR(__xludf.DUMMYFUNCTION("""COMPUTED_VALUE"""),"ARTIGAS Cristian C.")</f>
        <v>ARTIGAS Cristian C.</v>
      </c>
      <c r="F1883" s="1" t="str">
        <f t="shared" si="1"/>
        <v>ARTIGAS </v>
      </c>
      <c r="G1883" s="1" t="str">
        <f t="shared" si="2"/>
        <v>Cristian C.</v>
      </c>
      <c r="H1883" s="1" t="str">
        <f>IFERROR(__xludf.DUMMYFUNCTION("""COMPUTED_VALUE"""),"3/3/2023, 17:00:00")</f>
        <v>3/3/2023, 17:00:00</v>
      </c>
      <c r="I1883" s="1" t="str">
        <f>IFERROR(__xludf.DUMMYFUNCTION("""COMPUTED_VALUE"""),"RETIRADO OK POR CLIENTE")</f>
        <v>RETIRADO OK POR CLIENTE</v>
      </c>
      <c r="J1883" s="1">
        <f t="shared" si="3"/>
        <v>6</v>
      </c>
      <c r="K1883" s="1" t="str">
        <f t="shared" si="4"/>
        <v>Entregamos tus lentes, que los disfrutes!</v>
      </c>
    </row>
    <row r="1884">
      <c r="A1884" s="1">
        <f>IFERROR(__xludf.DUMMYFUNCTION("""COMPUTED_VALUE"""),86434.0)</f>
        <v>86434</v>
      </c>
      <c r="B1884" s="5">
        <f>IFERROR(__xludf.DUMMYFUNCTION("""COMPUTED_VALUE"""),44967.78085372685)</f>
        <v>44967.78085</v>
      </c>
      <c r="C1884" s="1" t="str">
        <f>IFERROR(__xludf.DUMMYFUNCTION("""COMPUTED_VALUE"""),"nerich brenda")</f>
        <v>nerich brenda</v>
      </c>
      <c r="D1884" s="1" t="str">
        <f>IFERROR(__xludf.DUMMYFUNCTION("""COMPUTED_VALUE"""),"Lentes de STOCK")</f>
        <v>Lentes de STOCK</v>
      </c>
      <c r="E1884" s="1" t="str">
        <f>IFERROR(__xludf.DUMMYFUNCTION("""COMPUTED_VALUE"""),"RIVADAVIA Santiago N")</f>
        <v>RIVADAVIA Santiago N</v>
      </c>
      <c r="F1884" s="1" t="str">
        <f t="shared" si="1"/>
        <v>RIVADAVIA </v>
      </c>
      <c r="G1884" s="1" t="str">
        <f t="shared" si="2"/>
        <v>Santiago N</v>
      </c>
      <c r="H1884" s="1" t="str">
        <f>IFERROR(__xludf.DUMMYFUNCTION("""COMPUTED_VALUE"""),"13/2/2023, 17:00:00")</f>
        <v>13/2/2023, 17:00:00</v>
      </c>
      <c r="I1884" s="1" t="str">
        <f>IFERROR(__xludf.DUMMYFUNCTION("""COMPUTED_VALUE"""),"RETIRADO OK POR CLIENTE")</f>
        <v>RETIRADO OK POR CLIENTE</v>
      </c>
      <c r="J1884" s="1">
        <f t="shared" si="3"/>
        <v>6</v>
      </c>
      <c r="K1884" s="1" t="str">
        <f t="shared" si="4"/>
        <v>Entregamos tus lentes, que los disfrutes!</v>
      </c>
    </row>
    <row r="1885">
      <c r="A1885" s="1">
        <f>IFERROR(__xludf.DUMMYFUNCTION("""COMPUTED_VALUE"""),86435.0)</f>
        <v>86435</v>
      </c>
      <c r="B1885" s="5">
        <f>IFERROR(__xludf.DUMMYFUNCTION("""COMPUTED_VALUE"""),44967.79998729167)</f>
        <v>44967.79999</v>
      </c>
      <c r="C1885" s="1" t="str">
        <f>IFERROR(__xludf.DUMMYFUNCTION("""COMPUTED_VALUE"""),"SESMILO JOSE FELICIANO")</f>
        <v>SESMILO JOSE FELICIANO</v>
      </c>
      <c r="D1885" s="1" t="str">
        <f>IFERROR(__xludf.DUMMYFUNCTION("""COMPUTED_VALUE"""),"Lentes de STOCK")</f>
        <v>Lentes de STOCK</v>
      </c>
      <c r="E1885" s="1" t="str">
        <f>IFERROR(__xludf.DUMMYFUNCTION("""COMPUTED_VALUE"""),"ARTIGAS Cristian C.")</f>
        <v>ARTIGAS Cristian C.</v>
      </c>
      <c r="F1885" s="1" t="str">
        <f t="shared" si="1"/>
        <v>ARTIGAS </v>
      </c>
      <c r="G1885" s="1" t="str">
        <f t="shared" si="2"/>
        <v>Cristian C.</v>
      </c>
      <c r="H1885" s="1" t="str">
        <f>IFERROR(__xludf.DUMMYFUNCTION("""COMPUTED_VALUE"""),"17/2/2023, 17:00:00")</f>
        <v>17/2/2023, 17:00:00</v>
      </c>
      <c r="I1885" s="1" t="str">
        <f>IFERROR(__xludf.DUMMYFUNCTION("""COMPUTED_VALUE"""),"RETIRADO OK POR CLIENTE")</f>
        <v>RETIRADO OK POR CLIENTE</v>
      </c>
      <c r="J1885" s="1">
        <f t="shared" si="3"/>
        <v>6</v>
      </c>
      <c r="K1885" s="1" t="str">
        <f t="shared" si="4"/>
        <v>Entregamos tus lentes, que los disfrutes!</v>
      </c>
    </row>
    <row r="1886">
      <c r="A1886" s="1">
        <f>IFERROR(__xludf.DUMMYFUNCTION("""COMPUTED_VALUE"""),86436.0)</f>
        <v>86436</v>
      </c>
      <c r="B1886" s="5">
        <f>IFERROR(__xludf.DUMMYFUNCTION("""COMPUTED_VALUE"""),44967.802598553244)</f>
        <v>44967.8026</v>
      </c>
      <c r="C1886" s="1" t="str">
        <f>IFERROR(__xludf.DUMMYFUNCTION("""COMPUTED_VALUE"""),"boglieri jorge")</f>
        <v>boglieri jorge</v>
      </c>
      <c r="D1886" s="1" t="str">
        <f>IFERROR(__xludf.DUMMYFUNCTION("""COMPUTED_VALUE"""),"Lentes MULTIFOCALES")</f>
        <v>Lentes MULTIFOCALES</v>
      </c>
      <c r="E1886" s="1" t="str">
        <f>IFERROR(__xludf.DUMMYFUNCTION("""COMPUTED_VALUE"""),"RIVADAVIA Santiago N")</f>
        <v>RIVADAVIA Santiago N</v>
      </c>
      <c r="F1886" s="1" t="str">
        <f t="shared" si="1"/>
        <v>RIVADAVIA </v>
      </c>
      <c r="G1886" s="1" t="str">
        <f t="shared" si="2"/>
        <v>Santiago N</v>
      </c>
      <c r="H1886" s="1" t="str">
        <f>IFERROR(__xludf.DUMMYFUNCTION("""COMPUTED_VALUE"""),"23/2/2023, 17:00:00")</f>
        <v>23/2/2023, 17:00:00</v>
      </c>
      <c r="I1886" s="1" t="str">
        <f>IFERROR(__xludf.DUMMYFUNCTION("""COMPUTED_VALUE"""),"Completado en SUCURSAL")</f>
        <v>Completado en SUCURSAL</v>
      </c>
      <c r="J1886" s="1">
        <f t="shared" si="3"/>
        <v>5</v>
      </c>
      <c r="K1886" s="1" t="str">
        <f t="shared" si="4"/>
        <v>Tus Lentes estan LISTAS PARA ENTREGAR, te esperamos.</v>
      </c>
    </row>
    <row r="1887">
      <c r="A1887" s="1">
        <f>IFERROR(__xludf.DUMMYFUNCTION("""COMPUTED_VALUE"""),86437.0)</f>
        <v>86437</v>
      </c>
      <c r="B1887" s="5">
        <f>IFERROR(__xludf.DUMMYFUNCTION("""COMPUTED_VALUE"""),44967.80440871528)</f>
        <v>44967.80441</v>
      </c>
      <c r="C1887" s="1" t="str">
        <f>IFERROR(__xludf.DUMMYFUNCTION("""COMPUTED_VALUE"""),"LUCERO MARIA ISABEL")</f>
        <v>LUCERO MARIA ISABEL</v>
      </c>
      <c r="D1887" s="1" t="str">
        <f>IFERROR(__xludf.DUMMYFUNCTION("""COMPUTED_VALUE"""),"Lentes de STOCK")</f>
        <v>Lentes de STOCK</v>
      </c>
      <c r="E1887" s="1" t="str">
        <f>IFERROR(__xludf.DUMMYFUNCTION("""COMPUTED_VALUE"""),"Otro (LUCIANA ARTIGAS)")</f>
        <v>Otro (LUCIANA ARTIGAS)</v>
      </c>
      <c r="F1887" s="1" t="str">
        <f t="shared" si="1"/>
        <v>Otro </v>
      </c>
      <c r="G1887" s="1" t="str">
        <f t="shared" si="2"/>
        <v>(LUCIANA ARTIGAS)</v>
      </c>
      <c r="H1887" s="1" t="str">
        <f>IFERROR(__xludf.DUMMYFUNCTION("""COMPUTED_VALUE"""),"16/2/2023, 17:00:00")</f>
        <v>16/2/2023, 17:00:00</v>
      </c>
      <c r="I1887" s="1" t="str">
        <f>IFERROR(__xludf.DUMMYFUNCTION("""COMPUTED_VALUE"""),"RETIRADO OK POR CLIENTE")</f>
        <v>RETIRADO OK POR CLIENTE</v>
      </c>
      <c r="J1887" s="1">
        <f t="shared" si="3"/>
        <v>6</v>
      </c>
      <c r="K1887" s="1" t="str">
        <f t="shared" si="4"/>
        <v>Entregamos tus lentes, que los disfrutes!</v>
      </c>
    </row>
    <row r="1888">
      <c r="A1888" s="1">
        <f>IFERROR(__xludf.DUMMYFUNCTION("""COMPUTED_VALUE"""),86438.0)</f>
        <v>86438</v>
      </c>
      <c r="B1888" s="5">
        <f>IFERROR(__xludf.DUMMYFUNCTION("""COMPUTED_VALUE"""),44967.80941287037)</f>
        <v>44967.80941</v>
      </c>
      <c r="C1888" s="1" t="str">
        <f>IFERROR(__xludf.DUMMYFUNCTION("""COMPUTED_VALUE"""),"CALDERON ILDA")</f>
        <v>CALDERON ILDA</v>
      </c>
      <c r="D1888" s="1" t="str">
        <f>IFERROR(__xludf.DUMMYFUNCTION("""COMPUTED_VALUE"""),"Lentes de STOCK")</f>
        <v>Lentes de STOCK</v>
      </c>
      <c r="E1888" s="1" t="str">
        <f>IFERROR(__xludf.DUMMYFUNCTION("""COMPUTED_VALUE"""),"ARTIGAS Cristian C.")</f>
        <v>ARTIGAS Cristian C.</v>
      </c>
      <c r="F1888" s="1" t="str">
        <f t="shared" si="1"/>
        <v>ARTIGAS </v>
      </c>
      <c r="G1888" s="1" t="str">
        <f t="shared" si="2"/>
        <v>Cristian C.</v>
      </c>
      <c r="H1888" s="1" t="str">
        <f>IFERROR(__xludf.DUMMYFUNCTION("""COMPUTED_VALUE"""),"17/2/2023, 17:00:00")</f>
        <v>17/2/2023, 17:00:00</v>
      </c>
      <c r="I1888" s="1" t="str">
        <f>IFERROR(__xludf.DUMMYFUNCTION("""COMPUTED_VALUE"""),"RETIRADO OK POR CLIENTE")</f>
        <v>RETIRADO OK POR CLIENTE</v>
      </c>
      <c r="J1888" s="1">
        <f t="shared" si="3"/>
        <v>6</v>
      </c>
      <c r="K1888" s="1" t="str">
        <f t="shared" si="4"/>
        <v>Entregamos tus lentes, que los disfrutes!</v>
      </c>
    </row>
    <row r="1889">
      <c r="A1889" s="1">
        <f>IFERROR(__xludf.DUMMYFUNCTION("""COMPUTED_VALUE"""),86439.0)</f>
        <v>86439</v>
      </c>
      <c r="B1889" s="5">
        <f>IFERROR(__xludf.DUMMYFUNCTION("""COMPUTED_VALUE"""),44967.823397789354)</f>
        <v>44967.8234</v>
      </c>
      <c r="C1889" s="1" t="str">
        <f>IFERROR(__xludf.DUMMYFUNCTION("""COMPUTED_VALUE"""),"MASSARES MAXIMILIANO")</f>
        <v>MASSARES MAXIMILIANO</v>
      </c>
      <c r="D1889" s="1" t="str">
        <f>IFERROR(__xludf.DUMMYFUNCTION("""COMPUTED_VALUE"""),"Lentes de STOCK")</f>
        <v>Lentes de STOCK</v>
      </c>
      <c r="E1889" s="1" t="str">
        <f>IFERROR(__xludf.DUMMYFUNCTION("""COMPUTED_VALUE"""),"RIVADAVIA Daniel CM")</f>
        <v>RIVADAVIA Daniel CM</v>
      </c>
      <c r="F1889" s="1" t="str">
        <f t="shared" si="1"/>
        <v>RIVADAVIA </v>
      </c>
      <c r="G1889" s="1" t="str">
        <f t="shared" si="2"/>
        <v>Daniel CM</v>
      </c>
      <c r="H1889" s="1" t="str">
        <f>IFERROR(__xludf.DUMMYFUNCTION("""COMPUTED_VALUE"""),"22/2/2023, 17:00:00")</f>
        <v>22/2/2023, 17:00:00</v>
      </c>
      <c r="I1889" s="1" t="str">
        <f>IFERROR(__xludf.DUMMYFUNCTION("""COMPUTED_VALUE"""),"RETIRADO OK POR CLIENTE")</f>
        <v>RETIRADO OK POR CLIENTE</v>
      </c>
      <c r="J1889" s="1">
        <f t="shared" si="3"/>
        <v>6</v>
      </c>
      <c r="K1889" s="1" t="str">
        <f t="shared" si="4"/>
        <v>Entregamos tus lentes, que los disfrutes!</v>
      </c>
    </row>
    <row r="1890">
      <c r="A1890" s="1">
        <f>IFERROR(__xludf.DUMMYFUNCTION("""COMPUTED_VALUE"""),86440.0)</f>
        <v>86440</v>
      </c>
      <c r="B1890" s="5">
        <f>IFERROR(__xludf.DUMMYFUNCTION("""COMPUTED_VALUE"""),44967.82732517361)</f>
        <v>44967.82733</v>
      </c>
      <c r="C1890" s="1" t="str">
        <f>IFERROR(__xludf.DUMMYFUNCTION("""COMPUTED_VALUE"""),"GODOY PEDRO ")</f>
        <v>GODOY PEDRO </v>
      </c>
      <c r="D1890" s="1" t="str">
        <f>IFERROR(__xludf.DUMMYFUNCTION("""COMPUTED_VALUE"""),"Lentes de STOCK")</f>
        <v>Lentes de STOCK</v>
      </c>
      <c r="E1890" s="1" t="str">
        <f>IFERROR(__xludf.DUMMYFUNCTION("""COMPUTED_VALUE"""),"Otro (LUCIANA ARTIGAS)")</f>
        <v>Otro (LUCIANA ARTIGAS)</v>
      </c>
      <c r="F1890" s="1" t="str">
        <f t="shared" si="1"/>
        <v>Otro </v>
      </c>
      <c r="G1890" s="1" t="str">
        <f t="shared" si="2"/>
        <v>(LUCIANA ARTIGAS)</v>
      </c>
      <c r="H1890" s="1" t="str">
        <f>IFERROR(__xludf.DUMMYFUNCTION("""COMPUTED_VALUE"""),"15/2/2023, 17:00:00")</f>
        <v>15/2/2023, 17:00:00</v>
      </c>
      <c r="I1890" s="1" t="str">
        <f>IFERROR(__xludf.DUMMYFUNCTION("""COMPUTED_VALUE"""),"RETIRADO OK POR CLIENTE")</f>
        <v>RETIRADO OK POR CLIENTE</v>
      </c>
      <c r="J1890" s="1">
        <f t="shared" si="3"/>
        <v>6</v>
      </c>
      <c r="K1890" s="1" t="str">
        <f t="shared" si="4"/>
        <v>Entregamos tus lentes, que los disfrutes!</v>
      </c>
    </row>
    <row r="1891">
      <c r="A1891" s="1">
        <f>IFERROR(__xludf.DUMMYFUNCTION("""COMPUTED_VALUE"""),86441.0)</f>
        <v>86441</v>
      </c>
      <c r="B1891" s="5">
        <f>IFERROR(__xludf.DUMMYFUNCTION("""COMPUTED_VALUE"""),44967.827734895836)</f>
        <v>44967.82773</v>
      </c>
      <c r="C1891" s="1" t="str">
        <f>IFERROR(__xludf.DUMMYFUNCTION("""COMPUTED_VALUE"""),"VALLEJO DARIO")</f>
        <v>VALLEJO DARIO</v>
      </c>
      <c r="D1891" s="1" t="str">
        <f>IFERROR(__xludf.DUMMYFUNCTION("""COMPUTED_VALUE"""),"Lentes de STOCK")</f>
        <v>Lentes de STOCK</v>
      </c>
      <c r="E1891" s="1" t="str">
        <f>IFERROR(__xludf.DUMMYFUNCTION("""COMPUTED_VALUE"""),"RIVADAVIA Marcela L")</f>
        <v>RIVADAVIA Marcela L</v>
      </c>
      <c r="F1891" s="1" t="str">
        <f t="shared" si="1"/>
        <v>RIVADAVIA </v>
      </c>
      <c r="G1891" s="1" t="str">
        <f t="shared" si="2"/>
        <v>Marcela L</v>
      </c>
      <c r="H1891" s="1" t="str">
        <f>IFERROR(__xludf.DUMMYFUNCTION("""COMPUTED_VALUE"""),"16/2/2023, 17:00:00")</f>
        <v>16/2/2023, 17:00:00</v>
      </c>
      <c r="I1891" s="1" t="str">
        <f>IFERROR(__xludf.DUMMYFUNCTION("""COMPUTED_VALUE"""),"RETIRADO OK POR CLIENTE")</f>
        <v>RETIRADO OK POR CLIENTE</v>
      </c>
      <c r="J1891" s="1">
        <f t="shared" si="3"/>
        <v>6</v>
      </c>
      <c r="K1891" s="1" t="str">
        <f t="shared" si="4"/>
        <v>Entregamos tus lentes, que los disfrutes!</v>
      </c>
    </row>
    <row r="1892">
      <c r="A1892" s="1">
        <f>IFERROR(__xludf.DUMMYFUNCTION("""COMPUTED_VALUE"""),86442.0)</f>
        <v>86442</v>
      </c>
      <c r="B1892" s="5">
        <f>IFERROR(__xludf.DUMMYFUNCTION("""COMPUTED_VALUE"""),44967.82835416667)</f>
        <v>44967.82835</v>
      </c>
      <c r="C1892" s="1" t="str">
        <f>IFERROR(__xludf.DUMMYFUNCTION("""COMPUTED_VALUE"""),"ALGAÑARAZ VIVIANA")</f>
        <v>ALGAÑARAZ VIVIANA</v>
      </c>
      <c r="D1892" s="1" t="str">
        <f>IFERROR(__xludf.DUMMYFUNCTION("""COMPUTED_VALUE"""),"Lentes de STOCK")</f>
        <v>Lentes de STOCK</v>
      </c>
      <c r="E1892" s="1" t="str">
        <f>IFERROR(__xludf.DUMMYFUNCTION("""COMPUTED_VALUE"""),"ARTIGAS Cristian C.")</f>
        <v>ARTIGAS Cristian C.</v>
      </c>
      <c r="F1892" s="1" t="str">
        <f t="shared" si="1"/>
        <v>ARTIGAS </v>
      </c>
      <c r="G1892" s="1" t="str">
        <f t="shared" si="2"/>
        <v>Cristian C.</v>
      </c>
      <c r="H1892" s="1" t="str">
        <f>IFERROR(__xludf.DUMMYFUNCTION("""COMPUTED_VALUE"""),"22/2/2023, 17:00:00")</f>
        <v>22/2/2023, 17:00:00</v>
      </c>
      <c r="I1892" s="1" t="str">
        <f>IFERROR(__xludf.DUMMYFUNCTION("""COMPUTED_VALUE"""),"RETIRADO OK POR CLIENTE")</f>
        <v>RETIRADO OK POR CLIENTE</v>
      </c>
      <c r="J1892" s="1">
        <f t="shared" si="3"/>
        <v>6</v>
      </c>
      <c r="K1892" s="1" t="str">
        <f t="shared" si="4"/>
        <v>Entregamos tus lentes, que los disfrutes!</v>
      </c>
    </row>
    <row r="1893">
      <c r="A1893" s="1">
        <f>IFERROR(__xludf.DUMMYFUNCTION("""COMPUTED_VALUE"""),86443.0)</f>
        <v>86443</v>
      </c>
      <c r="B1893" s="5">
        <f>IFERROR(__xludf.DUMMYFUNCTION("""COMPUTED_VALUE"""),44967.82881572917)</f>
        <v>44967.82882</v>
      </c>
      <c r="C1893" s="1" t="str">
        <f>IFERROR(__xludf.DUMMYFUNCTION("""COMPUTED_VALUE"""),"venturino jorge ")</f>
        <v>venturino jorge </v>
      </c>
      <c r="D1893" s="1" t="str">
        <f>IFERROR(__xludf.DUMMYFUNCTION("""COMPUTED_VALUE"""),"Lentes MULTIFOCALES")</f>
        <v>Lentes MULTIFOCALES</v>
      </c>
      <c r="E1893" s="1" t="str">
        <f>IFERROR(__xludf.DUMMYFUNCTION("""COMPUTED_VALUE"""),"RIVADAVIA Santiago N")</f>
        <v>RIVADAVIA Santiago N</v>
      </c>
      <c r="F1893" s="1" t="str">
        <f t="shared" si="1"/>
        <v>RIVADAVIA </v>
      </c>
      <c r="G1893" s="1" t="str">
        <f t="shared" si="2"/>
        <v>Santiago N</v>
      </c>
      <c r="H1893" s="1" t="str">
        <f>IFERROR(__xludf.DUMMYFUNCTION("""COMPUTED_VALUE"""),"23/2/2023, 17:00:00")</f>
        <v>23/2/2023, 17:00:00</v>
      </c>
      <c r="I1893" s="1"/>
      <c r="J1893" s="1">
        <f t="shared" si="3"/>
        <v>0</v>
      </c>
      <c r="K1893" s="1" t="str">
        <f t="shared" si="4"/>
        <v/>
      </c>
    </row>
    <row r="1894">
      <c r="A1894" s="1">
        <f>IFERROR(__xludf.DUMMYFUNCTION("""COMPUTED_VALUE"""),86444.0)</f>
        <v>86444</v>
      </c>
      <c r="B1894" s="5">
        <f>IFERROR(__xludf.DUMMYFUNCTION("""COMPUTED_VALUE"""),44967.83202913194)</f>
        <v>44967.83203</v>
      </c>
      <c r="C1894" s="1" t="str">
        <f>IFERROR(__xludf.DUMMYFUNCTION("""COMPUTED_VALUE"""),"MORALES FERNANDO")</f>
        <v>MORALES FERNANDO</v>
      </c>
      <c r="D1894" s="1" t="str">
        <f>IFERROR(__xludf.DUMMYFUNCTION("""COMPUTED_VALUE"""),"Lentes MULTIFOCALES")</f>
        <v>Lentes MULTIFOCALES</v>
      </c>
      <c r="E1894" s="1" t="str">
        <f>IFERROR(__xludf.DUMMYFUNCTION("""COMPUTED_VALUE"""),"RIVADAVIA Javier")</f>
        <v>RIVADAVIA Javier</v>
      </c>
      <c r="F1894" s="1" t="str">
        <f t="shared" si="1"/>
        <v>RIVADAVIA </v>
      </c>
      <c r="G1894" s="1" t="str">
        <f t="shared" si="2"/>
        <v>Javier</v>
      </c>
      <c r="H1894" s="1" t="str">
        <f>IFERROR(__xludf.DUMMYFUNCTION("""COMPUTED_VALUE"""),"23/2/2023, 17:00:00")</f>
        <v>23/2/2023, 17:00:00</v>
      </c>
      <c r="I1894" s="1" t="str">
        <f>IFERROR(__xludf.DUMMYFUNCTION("""COMPUTED_VALUE"""),"Completado en SUCURSAL")</f>
        <v>Completado en SUCURSAL</v>
      </c>
      <c r="J1894" s="1">
        <f t="shared" si="3"/>
        <v>5</v>
      </c>
      <c r="K1894" s="1" t="str">
        <f t="shared" si="4"/>
        <v>Tus Lentes estan LISTAS PARA ENTREGAR, te esperamos.</v>
      </c>
    </row>
    <row r="1895">
      <c r="A1895" s="1">
        <f>IFERROR(__xludf.DUMMYFUNCTION("""COMPUTED_VALUE"""),86445.0)</f>
        <v>86445</v>
      </c>
      <c r="B1895" s="5">
        <f>IFERROR(__xludf.DUMMYFUNCTION("""COMPUTED_VALUE"""),44967.83241391204)</f>
        <v>44967.83241</v>
      </c>
      <c r="C1895" s="1" t="str">
        <f>IFERROR(__xludf.DUMMYFUNCTION("""COMPUTED_VALUE"""),"GONZALEZ MARIA FRANCESCA ")</f>
        <v>GONZALEZ MARIA FRANCESCA </v>
      </c>
      <c r="D1895" s="1" t="str">
        <f>IFERROR(__xludf.DUMMYFUNCTION("""COMPUTED_VALUE"""),"Lentes de STOCK")</f>
        <v>Lentes de STOCK</v>
      </c>
      <c r="E1895" s="1" t="str">
        <f>IFERROR(__xludf.DUMMYFUNCTION("""COMPUTED_VALUE"""),"Otro (LUCIANA ARTIGAS)")</f>
        <v>Otro (LUCIANA ARTIGAS)</v>
      </c>
      <c r="F1895" s="1" t="str">
        <f t="shared" si="1"/>
        <v>Otro </v>
      </c>
      <c r="G1895" s="1" t="str">
        <f t="shared" si="2"/>
        <v>(LUCIANA ARTIGAS)</v>
      </c>
      <c r="H1895" s="1" t="str">
        <f>IFERROR(__xludf.DUMMYFUNCTION("""COMPUTED_VALUE"""),"16/2/2023, 17:00:00")</f>
        <v>16/2/2023, 17:00:00</v>
      </c>
      <c r="I1895" s="1" t="str">
        <f>IFERROR(__xludf.DUMMYFUNCTION("""COMPUTED_VALUE"""),"RETIRADO OK POR CLIENTE")</f>
        <v>RETIRADO OK POR CLIENTE</v>
      </c>
      <c r="J1895" s="1">
        <f t="shared" si="3"/>
        <v>6</v>
      </c>
      <c r="K1895" s="1" t="str">
        <f t="shared" si="4"/>
        <v>Entregamos tus lentes, que los disfrutes!</v>
      </c>
    </row>
    <row r="1896">
      <c r="A1896" s="1">
        <f>IFERROR(__xludf.DUMMYFUNCTION("""COMPUTED_VALUE"""),86446.0)</f>
        <v>86446</v>
      </c>
      <c r="B1896" s="5">
        <f>IFERROR(__xludf.DUMMYFUNCTION("""COMPUTED_VALUE"""),44967.83808563657)</f>
        <v>44967.83809</v>
      </c>
      <c r="C1896" s="1" t="str">
        <f>IFERROR(__xludf.DUMMYFUNCTION("""COMPUTED_VALUE"""),"venturino jorge ")</f>
        <v>venturino jorge </v>
      </c>
      <c r="D1896" s="1" t="str">
        <f>IFERROR(__xludf.DUMMYFUNCTION("""COMPUTED_VALUE"""),"Lentes MULTIFOCALES")</f>
        <v>Lentes MULTIFOCALES</v>
      </c>
      <c r="E1896" s="1" t="str">
        <f>IFERROR(__xludf.DUMMYFUNCTION("""COMPUTED_VALUE"""),"RIVADAVIA Santiago N")</f>
        <v>RIVADAVIA Santiago N</v>
      </c>
      <c r="F1896" s="1" t="str">
        <f t="shared" si="1"/>
        <v>RIVADAVIA </v>
      </c>
      <c r="G1896" s="1" t="str">
        <f t="shared" si="2"/>
        <v>Santiago N</v>
      </c>
      <c r="H1896" s="1" t="str">
        <f>IFERROR(__xludf.DUMMYFUNCTION("""COMPUTED_VALUE"""),"23/2/2023, 17:00:00")</f>
        <v>23/2/2023, 17:00:00</v>
      </c>
      <c r="I1896" s="1"/>
      <c r="J1896" s="1">
        <f t="shared" si="3"/>
        <v>0</v>
      </c>
      <c r="K1896" s="1" t="str">
        <f t="shared" si="4"/>
        <v/>
      </c>
    </row>
    <row r="1897">
      <c r="A1897" s="1">
        <f>IFERROR(__xludf.DUMMYFUNCTION("""COMPUTED_VALUE"""),86447.0)</f>
        <v>86447</v>
      </c>
      <c r="B1897" s="5">
        <f>IFERROR(__xludf.DUMMYFUNCTION("""COMPUTED_VALUE"""),44967.843010150464)</f>
        <v>44967.84301</v>
      </c>
      <c r="C1897" s="1" t="str">
        <f>IFERROR(__xludf.DUMMYFUNCTION("""COMPUTED_VALUE"""),"TEMOLIO RAUL")</f>
        <v>TEMOLIO RAUL</v>
      </c>
      <c r="D1897" s="1" t="str">
        <f>IFERROR(__xludf.DUMMYFUNCTION("""COMPUTED_VALUE"""),"Reparaciones/Otros")</f>
        <v>Reparaciones/Otros</v>
      </c>
      <c r="E1897" s="1" t="str">
        <f>IFERROR(__xludf.DUMMYFUNCTION("""COMPUTED_VALUE"""),"Otro (LUCIANA ARTIGAS)")</f>
        <v>Otro (LUCIANA ARTIGAS)</v>
      </c>
      <c r="F1897" s="1" t="str">
        <f t="shared" si="1"/>
        <v>Otro </v>
      </c>
      <c r="G1897" s="1" t="str">
        <f t="shared" si="2"/>
        <v>(LUCIANA ARTIGAS)</v>
      </c>
      <c r="H1897" s="1" t="str">
        <f>IFERROR(__xludf.DUMMYFUNCTION("""COMPUTED_VALUE"""),"13/2/2023, 17:00:00")</f>
        <v>13/2/2023, 17:00:00</v>
      </c>
      <c r="I1897" s="1"/>
      <c r="J1897" s="1">
        <f t="shared" si="3"/>
        <v>0</v>
      </c>
      <c r="K1897" s="1" t="str">
        <f t="shared" si="4"/>
        <v/>
      </c>
    </row>
    <row r="1898">
      <c r="A1898" s="1">
        <f>IFERROR(__xludf.DUMMYFUNCTION("""COMPUTED_VALUE"""),86448.0)</f>
        <v>86448</v>
      </c>
      <c r="B1898" s="5">
        <f>IFERROR(__xludf.DUMMYFUNCTION("""COMPUTED_VALUE"""),44967.84912564815)</f>
        <v>44967.84913</v>
      </c>
      <c r="C1898" s="1" t="str">
        <f>IFERROR(__xludf.DUMMYFUNCTION("""COMPUTED_VALUE"""),"JOFRE VIDAL RAFAEL ALFONSO")</f>
        <v>JOFRE VIDAL RAFAEL ALFONSO</v>
      </c>
      <c r="D1898" s="1" t="str">
        <f>IFERROR(__xludf.DUMMYFUNCTION("""COMPUTED_VALUE"""),"Lentes de STOCK")</f>
        <v>Lentes de STOCK</v>
      </c>
      <c r="E1898" s="1" t="str">
        <f>IFERROR(__xludf.DUMMYFUNCTION("""COMPUTED_VALUE"""),"RIVADAVIA Daniel CM")</f>
        <v>RIVADAVIA Daniel CM</v>
      </c>
      <c r="F1898" s="1" t="str">
        <f t="shared" si="1"/>
        <v>RIVADAVIA </v>
      </c>
      <c r="G1898" s="1" t="str">
        <f t="shared" si="2"/>
        <v>Daniel CM</v>
      </c>
      <c r="H1898" s="1" t="str">
        <f>IFERROR(__xludf.DUMMYFUNCTION("""COMPUTED_VALUE"""),"16/2/2023, 17:00:00")</f>
        <v>16/2/2023, 17:00:00</v>
      </c>
      <c r="I1898" s="1" t="str">
        <f>IFERROR(__xludf.DUMMYFUNCTION("""COMPUTED_VALUE"""),"RETIRADO OK POR CLIENTE")</f>
        <v>RETIRADO OK POR CLIENTE</v>
      </c>
      <c r="J1898" s="1">
        <f t="shared" si="3"/>
        <v>6</v>
      </c>
      <c r="K1898" s="1" t="str">
        <f t="shared" si="4"/>
        <v>Entregamos tus lentes, que los disfrutes!</v>
      </c>
    </row>
    <row r="1899">
      <c r="A1899" s="1">
        <f>IFERROR(__xludf.DUMMYFUNCTION("""COMPUTED_VALUE"""),86449.0)</f>
        <v>86449</v>
      </c>
      <c r="B1899" s="5">
        <f>IFERROR(__xludf.DUMMYFUNCTION("""COMPUTED_VALUE"""),44967.849154537034)</f>
        <v>44967.84915</v>
      </c>
      <c r="C1899" s="1" t="str">
        <f>IFERROR(__xludf.DUMMYFUNCTION("""COMPUTED_VALUE"""),"LEGUIZAMON MIRIAM DE LAS MERCEDES")</f>
        <v>LEGUIZAMON MIRIAM DE LAS MERCEDES</v>
      </c>
      <c r="D1899" s="1" t="str">
        <f>IFERROR(__xludf.DUMMYFUNCTION("""COMPUTED_VALUE"""),"Lentes de STOCK")</f>
        <v>Lentes de STOCK</v>
      </c>
      <c r="E1899" s="1" t="str">
        <f>IFERROR(__xludf.DUMMYFUNCTION("""COMPUTED_VALUE"""),"RIVADAVIA Marcela L")</f>
        <v>RIVADAVIA Marcela L</v>
      </c>
      <c r="F1899" s="1" t="str">
        <f t="shared" si="1"/>
        <v>RIVADAVIA </v>
      </c>
      <c r="G1899" s="1" t="str">
        <f t="shared" si="2"/>
        <v>Marcela L</v>
      </c>
      <c r="H1899" s="1" t="str">
        <f>IFERROR(__xludf.DUMMYFUNCTION("""COMPUTED_VALUE"""),"17/2/2023, 17:00:00")</f>
        <v>17/2/2023, 17:00:00</v>
      </c>
      <c r="I1899" s="1" t="str">
        <f>IFERROR(__xludf.DUMMYFUNCTION("""COMPUTED_VALUE"""),"RETIRADO OK POR CLIENTE")</f>
        <v>RETIRADO OK POR CLIENTE</v>
      </c>
      <c r="J1899" s="1">
        <f t="shared" si="3"/>
        <v>6</v>
      </c>
      <c r="K1899" s="1" t="str">
        <f t="shared" si="4"/>
        <v>Entregamos tus lentes, que los disfrutes!</v>
      </c>
    </row>
    <row r="1900">
      <c r="A1900" s="1">
        <f>IFERROR(__xludf.DUMMYFUNCTION("""COMPUTED_VALUE"""),86450.0)</f>
        <v>86450</v>
      </c>
      <c r="B1900" s="5">
        <f>IFERROR(__xludf.DUMMYFUNCTION("""COMPUTED_VALUE"""),44968.38156675926)</f>
        <v>44968.38157</v>
      </c>
      <c r="C1900" s="1" t="str">
        <f>IFERROR(__xludf.DUMMYFUNCTION("""COMPUTED_VALUE"""),"GIL LILIANA")</f>
        <v>GIL LILIANA</v>
      </c>
      <c r="D1900" s="1" t="str">
        <f>IFERROR(__xludf.DUMMYFUNCTION("""COMPUTED_VALUE"""),"Reparaciones/Otros")</f>
        <v>Reparaciones/Otros</v>
      </c>
      <c r="E1900" s="1" t="str">
        <f>IFERROR(__xludf.DUMMYFUNCTION("""COMPUTED_VALUE"""),"RIVADAVIA Daniel CM")</f>
        <v>RIVADAVIA Daniel CM</v>
      </c>
      <c r="F1900" s="1" t="str">
        <f t="shared" si="1"/>
        <v>RIVADAVIA </v>
      </c>
      <c r="G1900" s="1" t="str">
        <f t="shared" si="2"/>
        <v>Daniel CM</v>
      </c>
      <c r="H1900" s="1" t="str">
        <f>IFERROR(__xludf.DUMMYFUNCTION("""COMPUTED_VALUE"""),"13/2/2023, 17:00:00")</f>
        <v>13/2/2023, 17:00:00</v>
      </c>
      <c r="I1900" s="1"/>
      <c r="J1900" s="1">
        <f t="shared" si="3"/>
        <v>0</v>
      </c>
      <c r="K1900" s="1" t="str">
        <f t="shared" si="4"/>
        <v/>
      </c>
    </row>
    <row r="1901">
      <c r="A1901" s="1">
        <f>IFERROR(__xludf.DUMMYFUNCTION("""COMPUTED_VALUE"""),86451.0)</f>
        <v>86451</v>
      </c>
      <c r="B1901" s="5">
        <f>IFERROR(__xludf.DUMMYFUNCTION("""COMPUTED_VALUE"""),44968.40045001157)</f>
        <v>44968.40045</v>
      </c>
      <c r="C1901" s="1" t="str">
        <f>IFERROR(__xludf.DUMMYFUNCTION("""COMPUTED_VALUE"""),"MOYANO MARTA ARMINDA")</f>
        <v>MOYANO MARTA ARMINDA</v>
      </c>
      <c r="D1901" s="1" t="str">
        <f>IFERROR(__xludf.DUMMYFUNCTION("""COMPUTED_VALUE"""),"Lentes de STOCK")</f>
        <v>Lentes de STOCK</v>
      </c>
      <c r="E1901" s="1" t="str">
        <f>IFERROR(__xludf.DUMMYFUNCTION("""COMPUTED_VALUE"""),"ARTIGAS Cristian C.")</f>
        <v>ARTIGAS Cristian C.</v>
      </c>
      <c r="F1901" s="1" t="str">
        <f t="shared" si="1"/>
        <v>ARTIGAS </v>
      </c>
      <c r="G1901" s="1" t="str">
        <f t="shared" si="2"/>
        <v>Cristian C.</v>
      </c>
      <c r="H1901" s="1" t="str">
        <f>IFERROR(__xludf.DUMMYFUNCTION("""COMPUTED_VALUE"""),"14/2/2023, 17:00:00")</f>
        <v>14/2/2023, 17:00:00</v>
      </c>
      <c r="I1901" s="1" t="str">
        <f>IFERROR(__xludf.DUMMYFUNCTION("""COMPUTED_VALUE"""),"RETIRADO OK POR CLIENTE")</f>
        <v>RETIRADO OK POR CLIENTE</v>
      </c>
      <c r="J1901" s="1">
        <f t="shared" si="3"/>
        <v>6</v>
      </c>
      <c r="K1901" s="1" t="str">
        <f t="shared" si="4"/>
        <v>Entregamos tus lentes, que los disfrutes!</v>
      </c>
    </row>
    <row r="1902">
      <c r="A1902" s="1">
        <f>IFERROR(__xludf.DUMMYFUNCTION("""COMPUTED_VALUE"""),86452.0)</f>
        <v>86452</v>
      </c>
      <c r="B1902" s="5">
        <f>IFERROR(__xludf.DUMMYFUNCTION("""COMPUTED_VALUE"""),44968.41275116898)</f>
        <v>44968.41275</v>
      </c>
      <c r="C1902" s="1" t="str">
        <f>IFERROR(__xludf.DUMMYFUNCTION("""COMPUTED_VALUE"""),"DELICIA DARIO")</f>
        <v>DELICIA DARIO</v>
      </c>
      <c r="D1902" s="1" t="str">
        <f>IFERROR(__xludf.DUMMYFUNCTION("""COMPUTED_VALUE"""),"Lentes de STOCK")</f>
        <v>Lentes de STOCK</v>
      </c>
      <c r="E1902" s="1" t="str">
        <f>IFERROR(__xludf.DUMMYFUNCTION("""COMPUTED_VALUE"""),"ARTIGAS Cristian C.")</f>
        <v>ARTIGAS Cristian C.</v>
      </c>
      <c r="F1902" s="1" t="str">
        <f t="shared" si="1"/>
        <v>ARTIGAS </v>
      </c>
      <c r="G1902" s="1" t="str">
        <f t="shared" si="2"/>
        <v>Cristian C.</v>
      </c>
      <c r="H1902" s="1" t="str">
        <f>IFERROR(__xludf.DUMMYFUNCTION("""COMPUTED_VALUE"""),"16/2/2023, 17:00:00")</f>
        <v>16/2/2023, 17:00:00</v>
      </c>
      <c r="I1902" s="1" t="str">
        <f>IFERROR(__xludf.DUMMYFUNCTION("""COMPUTED_VALUE"""),"RETIRADO OK POR CLIENTE")</f>
        <v>RETIRADO OK POR CLIENTE</v>
      </c>
      <c r="J1902" s="1">
        <f t="shared" si="3"/>
        <v>6</v>
      </c>
      <c r="K1902" s="1" t="str">
        <f t="shared" si="4"/>
        <v>Entregamos tus lentes, que los disfrutes!</v>
      </c>
    </row>
    <row r="1903">
      <c r="A1903" s="1">
        <f>IFERROR(__xludf.DUMMYFUNCTION("""COMPUTED_VALUE"""),86453.0)</f>
        <v>86453</v>
      </c>
      <c r="B1903" s="5">
        <f>IFERROR(__xludf.DUMMYFUNCTION("""COMPUTED_VALUE"""),44968.418634664355)</f>
        <v>44968.41863</v>
      </c>
      <c r="C1903" s="1" t="str">
        <f>IFERROR(__xludf.DUMMYFUNCTION("""COMPUTED_VALUE"""),"MARIA ROSA CAREIS")</f>
        <v>MARIA ROSA CAREIS</v>
      </c>
      <c r="D1903" s="1" t="str">
        <f>IFERROR(__xludf.DUMMYFUNCTION("""COMPUTED_VALUE"""),"Reparaciones/Otros")</f>
        <v>Reparaciones/Otros</v>
      </c>
      <c r="E1903" s="1" t="str">
        <f>IFERROR(__xludf.DUMMYFUNCTION("""COMPUTED_VALUE"""),"RIVADAVIA Javier")</f>
        <v>RIVADAVIA Javier</v>
      </c>
      <c r="F1903" s="1" t="str">
        <f t="shared" si="1"/>
        <v>RIVADAVIA </v>
      </c>
      <c r="G1903" s="1" t="str">
        <f t="shared" si="2"/>
        <v>Javier</v>
      </c>
      <c r="H1903" s="1" t="str">
        <f>IFERROR(__xludf.DUMMYFUNCTION("""COMPUTED_VALUE"""),"13/2/2023, 17:00:00")</f>
        <v>13/2/2023, 17:00:00</v>
      </c>
      <c r="I1903" s="1"/>
      <c r="J1903" s="1">
        <f t="shared" si="3"/>
        <v>0</v>
      </c>
      <c r="K1903" s="1" t="str">
        <f t="shared" si="4"/>
        <v/>
      </c>
    </row>
    <row r="1904">
      <c r="A1904" s="1">
        <f>IFERROR(__xludf.DUMMYFUNCTION("""COMPUTED_VALUE"""),86454.0)</f>
        <v>86454</v>
      </c>
      <c r="B1904" s="5">
        <f>IFERROR(__xludf.DUMMYFUNCTION("""COMPUTED_VALUE"""),44968.41870711806)</f>
        <v>44968.41871</v>
      </c>
      <c r="C1904" s="1" t="str">
        <f>IFERROR(__xludf.DUMMYFUNCTION("""COMPUTED_VALUE"""),"SOSA NATALIA")</f>
        <v>SOSA NATALIA</v>
      </c>
      <c r="D1904" s="1" t="str">
        <f>IFERROR(__xludf.DUMMYFUNCTION("""COMPUTED_VALUE"""),"Lentes de STOCK")</f>
        <v>Lentes de STOCK</v>
      </c>
      <c r="E1904" s="1" t="str">
        <f>IFERROR(__xludf.DUMMYFUNCTION("""COMPUTED_VALUE"""),"ARTIGAS Cristian C.")</f>
        <v>ARTIGAS Cristian C.</v>
      </c>
      <c r="F1904" s="1" t="str">
        <f t="shared" si="1"/>
        <v>ARTIGAS </v>
      </c>
      <c r="G1904" s="1" t="str">
        <f t="shared" si="2"/>
        <v>Cristian C.</v>
      </c>
      <c r="H1904" s="1" t="str">
        <f>IFERROR(__xludf.DUMMYFUNCTION("""COMPUTED_VALUE"""),"16/2/2023, 17:00:00")</f>
        <v>16/2/2023, 17:00:00</v>
      </c>
      <c r="I1904" s="1" t="str">
        <f>IFERROR(__xludf.DUMMYFUNCTION("""COMPUTED_VALUE"""),"RETIRADO OK POR CLIENTE")</f>
        <v>RETIRADO OK POR CLIENTE</v>
      </c>
      <c r="J1904" s="1">
        <f t="shared" si="3"/>
        <v>6</v>
      </c>
      <c r="K1904" s="1" t="str">
        <f t="shared" si="4"/>
        <v>Entregamos tus lentes, que los disfrutes!</v>
      </c>
    </row>
    <row r="1905">
      <c r="A1905" s="1">
        <f>IFERROR(__xludf.DUMMYFUNCTION("""COMPUTED_VALUE"""),86455.0)</f>
        <v>86455</v>
      </c>
      <c r="B1905" s="5">
        <f>IFERROR(__xludf.DUMMYFUNCTION("""COMPUTED_VALUE"""),44968.42297400463)</f>
        <v>44968.42297</v>
      </c>
      <c r="C1905" s="1" t="str">
        <f>IFERROR(__xludf.DUMMYFUNCTION("""COMPUTED_VALUE"""),"soto mariano")</f>
        <v>soto mariano</v>
      </c>
      <c r="D1905" s="1" t="str">
        <f>IFERROR(__xludf.DUMMYFUNCTION("""COMPUTED_VALUE"""),"Reparaciones/Otros")</f>
        <v>Reparaciones/Otros</v>
      </c>
      <c r="E1905" s="1" t="str">
        <f>IFERROR(__xludf.DUMMYFUNCTION("""COMPUTED_VALUE"""),"ARTIGAS Roció")</f>
        <v>ARTIGAS Roció</v>
      </c>
      <c r="F1905" s="1" t="str">
        <f t="shared" si="1"/>
        <v>ARTIGAS </v>
      </c>
      <c r="G1905" s="1" t="str">
        <f t="shared" si="2"/>
        <v>Roció</v>
      </c>
      <c r="H1905" s="1" t="str">
        <f>IFERROR(__xludf.DUMMYFUNCTION("""COMPUTED_VALUE"""),"14/2/2023, 17:00:00")</f>
        <v>14/2/2023, 17:00:00</v>
      </c>
      <c r="I1905" s="1" t="str">
        <f>IFERROR(__xludf.DUMMYFUNCTION("""COMPUTED_VALUE"""),"Completado en SUCURSAL")</f>
        <v>Completado en SUCURSAL</v>
      </c>
      <c r="J1905" s="1">
        <f t="shared" si="3"/>
        <v>5</v>
      </c>
      <c r="K1905" s="1" t="str">
        <f t="shared" si="4"/>
        <v>Tus Lentes estan LISTAS PARA ENTREGAR, te esperamos.</v>
      </c>
    </row>
    <row r="1906">
      <c r="A1906" s="1">
        <f>IFERROR(__xludf.DUMMYFUNCTION("""COMPUTED_VALUE"""),86456.0)</f>
        <v>86456</v>
      </c>
      <c r="B1906" s="5">
        <f>IFERROR(__xludf.DUMMYFUNCTION("""COMPUTED_VALUE"""),44968.42993774306)</f>
        <v>44968.42994</v>
      </c>
      <c r="C1906" s="1" t="str">
        <f>IFERROR(__xludf.DUMMYFUNCTION("""COMPUTED_VALUE"""),"THOME KARIME")</f>
        <v>THOME KARIME</v>
      </c>
      <c r="D1906" s="1" t="str">
        <f>IFERROR(__xludf.DUMMYFUNCTION("""COMPUTED_VALUE"""),"Lentes de STOCK")</f>
        <v>Lentes de STOCK</v>
      </c>
      <c r="E1906" s="1" t="str">
        <f>IFERROR(__xludf.DUMMYFUNCTION("""COMPUTED_VALUE"""),"RIVADAVIA Luciana")</f>
        <v>RIVADAVIA Luciana</v>
      </c>
      <c r="F1906" s="1" t="str">
        <f t="shared" si="1"/>
        <v>RIVADAVIA </v>
      </c>
      <c r="G1906" s="1" t="str">
        <f t="shared" si="2"/>
        <v>Luciana</v>
      </c>
      <c r="H1906" s="1" t="str">
        <f>IFERROR(__xludf.DUMMYFUNCTION("""COMPUTED_VALUE"""),"15/2/2023, 17:00:00")</f>
        <v>15/2/2023, 17:00:00</v>
      </c>
      <c r="I1906" s="1" t="str">
        <f>IFERROR(__xludf.DUMMYFUNCTION("""COMPUTED_VALUE"""),"RETIRADO OK POR CLIENTE")</f>
        <v>RETIRADO OK POR CLIENTE</v>
      </c>
      <c r="J1906" s="1">
        <f t="shared" si="3"/>
        <v>6</v>
      </c>
      <c r="K1906" s="1" t="str">
        <f t="shared" si="4"/>
        <v>Entregamos tus lentes, que los disfrutes!</v>
      </c>
    </row>
    <row r="1907">
      <c r="A1907" s="1">
        <f>IFERROR(__xludf.DUMMYFUNCTION("""COMPUTED_VALUE"""),86457.0)</f>
        <v>86457</v>
      </c>
      <c r="B1907" s="5">
        <f>IFERROR(__xludf.DUMMYFUNCTION("""COMPUTED_VALUE"""),44968.44841660879)</f>
        <v>44968.44842</v>
      </c>
      <c r="C1907" s="1" t="str">
        <f>IFERROR(__xludf.DUMMYFUNCTION("""COMPUTED_VALUE"""),"Cornejo Rita Carmen")</f>
        <v>Cornejo Rita Carmen</v>
      </c>
      <c r="D1907" s="1" t="str">
        <f>IFERROR(__xludf.DUMMYFUNCTION("""COMPUTED_VALUE"""),"Lentes de STOCK")</f>
        <v>Lentes de STOCK</v>
      </c>
      <c r="E1907" s="1" t="str">
        <f>IFERROR(__xludf.DUMMYFUNCTION("""COMPUTED_VALUE"""),"ARTIGAS Roció")</f>
        <v>ARTIGAS Roció</v>
      </c>
      <c r="F1907" s="1" t="str">
        <f t="shared" si="1"/>
        <v>ARTIGAS </v>
      </c>
      <c r="G1907" s="1" t="str">
        <f t="shared" si="2"/>
        <v>Roció</v>
      </c>
      <c r="H1907" s="1" t="str">
        <f>IFERROR(__xludf.DUMMYFUNCTION("""COMPUTED_VALUE"""),"17/2/2023, 17:00:00")</f>
        <v>17/2/2023, 17:00:00</v>
      </c>
      <c r="I1907" s="1" t="str">
        <f>IFERROR(__xludf.DUMMYFUNCTION("""COMPUTED_VALUE"""),"RETIRADO OK POR CLIENTE")</f>
        <v>RETIRADO OK POR CLIENTE</v>
      </c>
      <c r="J1907" s="1">
        <f t="shared" si="3"/>
        <v>6</v>
      </c>
      <c r="K1907" s="1" t="str">
        <f t="shared" si="4"/>
        <v>Entregamos tus lentes, que los disfrutes!</v>
      </c>
    </row>
    <row r="1908">
      <c r="A1908" s="1">
        <f>IFERROR(__xludf.DUMMYFUNCTION("""COMPUTED_VALUE"""),86458.0)</f>
        <v>86458</v>
      </c>
      <c r="B1908" s="5">
        <f>IFERROR(__xludf.DUMMYFUNCTION("""COMPUTED_VALUE"""),44968.45934065973)</f>
        <v>44968.45934</v>
      </c>
      <c r="C1908" s="1" t="str">
        <f>IFERROR(__xludf.DUMMYFUNCTION("""COMPUTED_VALUE"""),"GONZALEZ EDUARDO ALBERTO")</f>
        <v>GONZALEZ EDUARDO ALBERTO</v>
      </c>
      <c r="D1908" s="1" t="str">
        <f>IFERROR(__xludf.DUMMYFUNCTION("""COMPUTED_VALUE"""),"Lentes de STOCK")</f>
        <v>Lentes de STOCK</v>
      </c>
      <c r="E1908" s="1" t="str">
        <f>IFERROR(__xludf.DUMMYFUNCTION("""COMPUTED_VALUE"""),"ARTIGAS Cristian C.")</f>
        <v>ARTIGAS Cristian C.</v>
      </c>
      <c r="F1908" s="1" t="str">
        <f t="shared" si="1"/>
        <v>ARTIGAS </v>
      </c>
      <c r="G1908" s="1" t="str">
        <f t="shared" si="2"/>
        <v>Cristian C.</v>
      </c>
      <c r="H1908" s="1" t="str">
        <f>IFERROR(__xludf.DUMMYFUNCTION("""COMPUTED_VALUE"""),"22/2/2023, 17:00:00")</f>
        <v>22/2/2023, 17:00:00</v>
      </c>
      <c r="I1908" s="1" t="str">
        <f>IFERROR(__xludf.DUMMYFUNCTION("""COMPUTED_VALUE"""),"RETIRADO OK POR CLIENTE")</f>
        <v>RETIRADO OK POR CLIENTE</v>
      </c>
      <c r="J1908" s="1">
        <f t="shared" si="3"/>
        <v>6</v>
      </c>
      <c r="K1908" s="1" t="str">
        <f t="shared" si="4"/>
        <v>Entregamos tus lentes, que los disfrutes!</v>
      </c>
    </row>
    <row r="1909">
      <c r="A1909" s="1">
        <f>IFERROR(__xludf.DUMMYFUNCTION("""COMPUTED_VALUE"""),86459.0)</f>
        <v>86459</v>
      </c>
      <c r="B1909" s="5">
        <f>IFERROR(__xludf.DUMMYFUNCTION("""COMPUTED_VALUE"""),44968.46321332176)</f>
        <v>44968.46321</v>
      </c>
      <c r="C1909" s="1" t="str">
        <f>IFERROR(__xludf.DUMMYFUNCTION("""COMPUTED_VALUE"""),"Britos Rafaela Nelba")</f>
        <v>Britos Rafaela Nelba</v>
      </c>
      <c r="D1909" s="1" t="str">
        <f>IFERROR(__xludf.DUMMYFUNCTION("""COMPUTED_VALUE"""),"Lentes de STOCK")</f>
        <v>Lentes de STOCK</v>
      </c>
      <c r="E1909" s="1" t="str">
        <f>IFERROR(__xludf.DUMMYFUNCTION("""COMPUTED_VALUE"""),"ARTIGAS Roció")</f>
        <v>ARTIGAS Roció</v>
      </c>
      <c r="F1909" s="1" t="str">
        <f t="shared" si="1"/>
        <v>ARTIGAS </v>
      </c>
      <c r="G1909" s="1" t="str">
        <f t="shared" si="2"/>
        <v>Roció</v>
      </c>
      <c r="H1909" s="1" t="str">
        <f>IFERROR(__xludf.DUMMYFUNCTION("""COMPUTED_VALUE"""),"23/2/2023, 17:00:00")</f>
        <v>23/2/2023, 17:00:00</v>
      </c>
      <c r="I1909" s="1" t="str">
        <f>IFERROR(__xludf.DUMMYFUNCTION("""COMPUTED_VALUE"""),"RETIRADO OK POR CLIENTE")</f>
        <v>RETIRADO OK POR CLIENTE</v>
      </c>
      <c r="J1909" s="1">
        <f t="shared" si="3"/>
        <v>6</v>
      </c>
      <c r="K1909" s="1" t="str">
        <f t="shared" si="4"/>
        <v>Entregamos tus lentes, que los disfrutes!</v>
      </c>
    </row>
    <row r="1910">
      <c r="A1910" s="1">
        <f>IFERROR(__xludf.DUMMYFUNCTION("""COMPUTED_VALUE"""),86460.0)</f>
        <v>86460</v>
      </c>
      <c r="B1910" s="5">
        <f>IFERROR(__xludf.DUMMYFUNCTION("""COMPUTED_VALUE"""),44968.47036733796)</f>
        <v>44968.47037</v>
      </c>
      <c r="C1910" s="1" t="str">
        <f>IFERROR(__xludf.DUMMYFUNCTION("""COMPUTED_VALUE"""),"SORIA YAMINA ROSA")</f>
        <v>SORIA YAMINA ROSA</v>
      </c>
      <c r="D1910" s="1" t="str">
        <f>IFERROR(__xludf.DUMMYFUNCTION("""COMPUTED_VALUE"""),"Lentes de STOCK")</f>
        <v>Lentes de STOCK</v>
      </c>
      <c r="E1910" s="1" t="str">
        <f>IFERROR(__xludf.DUMMYFUNCTION("""COMPUTED_VALUE"""),"ARTIGAS Roció")</f>
        <v>ARTIGAS Roció</v>
      </c>
      <c r="F1910" s="1" t="str">
        <f t="shared" si="1"/>
        <v>ARTIGAS </v>
      </c>
      <c r="G1910" s="1" t="str">
        <f t="shared" si="2"/>
        <v>Roció</v>
      </c>
      <c r="H1910" s="1" t="str">
        <f>IFERROR(__xludf.DUMMYFUNCTION("""COMPUTED_VALUE"""),"22/2/2023, 17:00:00")</f>
        <v>22/2/2023, 17:00:00</v>
      </c>
      <c r="I1910" s="1" t="str">
        <f>IFERROR(__xludf.DUMMYFUNCTION("""COMPUTED_VALUE"""),"RETIRADO OK POR CLIENTE")</f>
        <v>RETIRADO OK POR CLIENTE</v>
      </c>
      <c r="J1910" s="1">
        <f t="shared" si="3"/>
        <v>6</v>
      </c>
      <c r="K1910" s="1" t="str">
        <f t="shared" si="4"/>
        <v>Entregamos tus lentes, que los disfrutes!</v>
      </c>
    </row>
    <row r="1911">
      <c r="A1911" s="1">
        <f>IFERROR(__xludf.DUMMYFUNCTION("""COMPUTED_VALUE"""),86461.0)</f>
        <v>86461</v>
      </c>
      <c r="B1911" s="5">
        <f>IFERROR(__xludf.DUMMYFUNCTION("""COMPUTED_VALUE"""),44968.47657616898)</f>
        <v>44968.47658</v>
      </c>
      <c r="C1911" s="1" t="str">
        <f>IFERROR(__xludf.DUMMYFUNCTION("""COMPUTED_VALUE"""),"SALINAS CINTIA PAOLA")</f>
        <v>SALINAS CINTIA PAOLA</v>
      </c>
      <c r="D1911" s="1" t="str">
        <f>IFERROR(__xludf.DUMMYFUNCTION("""COMPUTED_VALUE"""),"Lentes de STOCK")</f>
        <v>Lentes de STOCK</v>
      </c>
      <c r="E1911" s="1" t="str">
        <f>IFERROR(__xludf.DUMMYFUNCTION("""COMPUTED_VALUE"""),"ARTIGAS Roció")</f>
        <v>ARTIGAS Roció</v>
      </c>
      <c r="F1911" s="1" t="str">
        <f t="shared" si="1"/>
        <v>ARTIGAS </v>
      </c>
      <c r="G1911" s="1" t="str">
        <f t="shared" si="2"/>
        <v>Roció</v>
      </c>
      <c r="H1911" s="1" t="str">
        <f>IFERROR(__xludf.DUMMYFUNCTION("""COMPUTED_VALUE"""),"17/2/2023, 17:00:00")</f>
        <v>17/2/2023, 17:00:00</v>
      </c>
      <c r="I1911" s="1" t="str">
        <f>IFERROR(__xludf.DUMMYFUNCTION("""COMPUTED_VALUE"""),"RETIRADO OK POR CLIENTE")</f>
        <v>RETIRADO OK POR CLIENTE</v>
      </c>
      <c r="J1911" s="1">
        <f t="shared" si="3"/>
        <v>6</v>
      </c>
      <c r="K1911" s="1" t="str">
        <f t="shared" si="4"/>
        <v>Entregamos tus lentes, que los disfrutes!</v>
      </c>
    </row>
    <row r="1912">
      <c r="A1912" s="1">
        <f>IFERROR(__xludf.DUMMYFUNCTION("""COMPUTED_VALUE"""),86462.0)</f>
        <v>86462</v>
      </c>
      <c r="B1912" s="5">
        <f>IFERROR(__xludf.DUMMYFUNCTION("""COMPUTED_VALUE"""),44968.4907502662)</f>
        <v>44968.49075</v>
      </c>
      <c r="C1912" s="1" t="str">
        <f>IFERROR(__xludf.DUMMYFUNCTION("""COMPUTED_VALUE"""),"PENA FLORENTINA ELVIRA ")</f>
        <v>PENA FLORENTINA ELVIRA </v>
      </c>
      <c r="D1912" s="1" t="str">
        <f>IFERROR(__xludf.DUMMYFUNCTION("""COMPUTED_VALUE"""),"Lentes de STOCK")</f>
        <v>Lentes de STOCK</v>
      </c>
      <c r="E1912" s="1" t="str">
        <f>IFERROR(__xludf.DUMMYFUNCTION("""COMPUTED_VALUE"""),"RIVADAVIA Luciana")</f>
        <v>RIVADAVIA Luciana</v>
      </c>
      <c r="F1912" s="1" t="str">
        <f t="shared" si="1"/>
        <v>RIVADAVIA </v>
      </c>
      <c r="G1912" s="1" t="str">
        <f t="shared" si="2"/>
        <v>Luciana</v>
      </c>
      <c r="H1912" s="1" t="str">
        <f>IFERROR(__xludf.DUMMYFUNCTION("""COMPUTED_VALUE"""),"16/2/2023, 17:00:00")</f>
        <v>16/2/2023, 17:00:00</v>
      </c>
      <c r="I1912" s="1" t="str">
        <f>IFERROR(__xludf.DUMMYFUNCTION("""COMPUTED_VALUE"""),"Completado en SUCURSAL")</f>
        <v>Completado en SUCURSAL</v>
      </c>
      <c r="J1912" s="1">
        <f t="shared" si="3"/>
        <v>5</v>
      </c>
      <c r="K1912" s="1" t="str">
        <f t="shared" si="4"/>
        <v>Tus Lentes estan LISTAS PARA ENTREGAR, te esperamos.</v>
      </c>
    </row>
    <row r="1913">
      <c r="A1913" s="1">
        <f>IFERROR(__xludf.DUMMYFUNCTION("""COMPUTED_VALUE"""),86463.0)</f>
        <v>86463</v>
      </c>
      <c r="B1913" s="5">
        <f>IFERROR(__xludf.DUMMYFUNCTION("""COMPUTED_VALUE"""),44968.49256193287)</f>
        <v>44968.49256</v>
      </c>
      <c r="C1913" s="1" t="str">
        <f>IFERROR(__xludf.DUMMYFUNCTION("""COMPUTED_VALUE"""),"orquera carlos javier")</f>
        <v>orquera carlos javier</v>
      </c>
      <c r="D1913" s="1" t="str">
        <f>IFERROR(__xludf.DUMMYFUNCTION("""COMPUTED_VALUE"""),"Lentes de STOCK")</f>
        <v>Lentes de STOCK</v>
      </c>
      <c r="E1913" s="1" t="str">
        <f>IFERROR(__xludf.DUMMYFUNCTION("""COMPUTED_VALUE"""),"RIVADAVIA Daniel CM")</f>
        <v>RIVADAVIA Daniel CM</v>
      </c>
      <c r="F1913" s="1" t="str">
        <f t="shared" si="1"/>
        <v>RIVADAVIA </v>
      </c>
      <c r="G1913" s="1" t="str">
        <f t="shared" si="2"/>
        <v>Daniel CM</v>
      </c>
      <c r="H1913" s="1" t="str">
        <f>IFERROR(__xludf.DUMMYFUNCTION("""COMPUTED_VALUE"""),"14/2/2023, 17:00:00")</f>
        <v>14/2/2023, 17:00:00</v>
      </c>
      <c r="I1913" s="1" t="str">
        <f>IFERROR(__xludf.DUMMYFUNCTION("""COMPUTED_VALUE"""),"RETIRADO OK POR CLIENTE")</f>
        <v>RETIRADO OK POR CLIENTE</v>
      </c>
      <c r="J1913" s="1">
        <f t="shared" si="3"/>
        <v>6</v>
      </c>
      <c r="K1913" s="1" t="str">
        <f t="shared" si="4"/>
        <v>Entregamos tus lentes, que los disfrutes!</v>
      </c>
    </row>
    <row r="1914">
      <c r="A1914" s="1">
        <f>IFERROR(__xludf.DUMMYFUNCTION("""COMPUTED_VALUE"""),86464.0)</f>
        <v>86464</v>
      </c>
      <c r="B1914" s="5">
        <f>IFERROR(__xludf.DUMMYFUNCTION("""COMPUTED_VALUE"""),44968.502074108794)</f>
        <v>44968.50207</v>
      </c>
      <c r="C1914" s="1" t="str">
        <f>IFERROR(__xludf.DUMMYFUNCTION("""COMPUTED_VALUE"""),"FALCON HUMBERTO")</f>
        <v>FALCON HUMBERTO</v>
      </c>
      <c r="D1914" s="1" t="str">
        <f>IFERROR(__xludf.DUMMYFUNCTION("""COMPUTED_VALUE"""),"Lentes de STOCK")</f>
        <v>Lentes de STOCK</v>
      </c>
      <c r="E1914" s="1" t="str">
        <f>IFERROR(__xludf.DUMMYFUNCTION("""COMPUTED_VALUE"""),"RIVADAVIA Javier")</f>
        <v>RIVADAVIA Javier</v>
      </c>
      <c r="F1914" s="1" t="str">
        <f t="shared" si="1"/>
        <v>RIVADAVIA </v>
      </c>
      <c r="G1914" s="1" t="str">
        <f t="shared" si="2"/>
        <v>Javier</v>
      </c>
      <c r="H1914" s="1" t="str">
        <f>IFERROR(__xludf.DUMMYFUNCTION("""COMPUTED_VALUE"""),"15/2/2023, 17:00:00")</f>
        <v>15/2/2023, 17:00:00</v>
      </c>
      <c r="I1914" s="1" t="str">
        <f>IFERROR(__xludf.DUMMYFUNCTION("""COMPUTED_VALUE"""),"RETIRADO OK POR CLIENTE")</f>
        <v>RETIRADO OK POR CLIENTE</v>
      </c>
      <c r="J1914" s="1">
        <f t="shared" si="3"/>
        <v>6</v>
      </c>
      <c r="K1914" s="1" t="str">
        <f t="shared" si="4"/>
        <v>Entregamos tus lentes, que los disfrutes!</v>
      </c>
    </row>
    <row r="1915">
      <c r="A1915" s="1">
        <f>IFERROR(__xludf.DUMMYFUNCTION("""COMPUTED_VALUE"""),86465.0)</f>
        <v>86465</v>
      </c>
      <c r="B1915" s="5">
        <f>IFERROR(__xludf.DUMMYFUNCTION("""COMPUTED_VALUE"""),44968.51090136574)</f>
        <v>44968.5109</v>
      </c>
      <c r="C1915" s="1" t="str">
        <f>IFERROR(__xludf.DUMMYFUNCTION("""COMPUTED_VALUE"""),"GIMENEZ VIVIANA")</f>
        <v>GIMENEZ VIVIANA</v>
      </c>
      <c r="D1915" s="1" t="str">
        <f>IFERROR(__xludf.DUMMYFUNCTION("""COMPUTED_VALUE"""),"Lentes de STOCK")</f>
        <v>Lentes de STOCK</v>
      </c>
      <c r="E1915" s="1" t="str">
        <f>IFERROR(__xludf.DUMMYFUNCTION("""COMPUTED_VALUE"""),"RIVADAVIA Daniel CM")</f>
        <v>RIVADAVIA Daniel CM</v>
      </c>
      <c r="F1915" s="1" t="str">
        <f t="shared" si="1"/>
        <v>RIVADAVIA </v>
      </c>
      <c r="G1915" s="1" t="str">
        <f t="shared" si="2"/>
        <v>Daniel CM</v>
      </c>
      <c r="H1915" s="1" t="str">
        <f>IFERROR(__xludf.DUMMYFUNCTION("""COMPUTED_VALUE"""),"15/2/2023, 17:00:00")</f>
        <v>15/2/2023, 17:00:00</v>
      </c>
      <c r="I1915" s="1" t="str">
        <f>IFERROR(__xludf.DUMMYFUNCTION("""COMPUTED_VALUE"""),"RETIRADO OK POR CLIENTE")</f>
        <v>RETIRADO OK POR CLIENTE</v>
      </c>
      <c r="J1915" s="1">
        <f t="shared" si="3"/>
        <v>6</v>
      </c>
      <c r="K1915" s="1" t="str">
        <f t="shared" si="4"/>
        <v>Entregamos tus lentes, que los disfrutes!</v>
      </c>
    </row>
    <row r="1916">
      <c r="A1916" s="1">
        <f>IFERROR(__xludf.DUMMYFUNCTION("""COMPUTED_VALUE"""),86466.0)</f>
        <v>86466</v>
      </c>
      <c r="B1916" s="5">
        <f>IFERROR(__xludf.DUMMYFUNCTION("""COMPUTED_VALUE"""),44968.52360252315)</f>
        <v>44968.5236</v>
      </c>
      <c r="C1916" s="1" t="str">
        <f>IFERROR(__xludf.DUMMYFUNCTION("""COMPUTED_VALUE"""),"REY CLAUDIA")</f>
        <v>REY CLAUDIA</v>
      </c>
      <c r="D1916" s="1" t="str">
        <f>IFERROR(__xludf.DUMMYFUNCTION("""COMPUTED_VALUE"""),"Lentes de STOCK")</f>
        <v>Lentes de STOCK</v>
      </c>
      <c r="E1916" s="1" t="str">
        <f>IFERROR(__xludf.DUMMYFUNCTION("""COMPUTED_VALUE"""),"ARTIGAS Roció")</f>
        <v>ARTIGAS Roció</v>
      </c>
      <c r="F1916" s="1" t="str">
        <f t="shared" si="1"/>
        <v>ARTIGAS </v>
      </c>
      <c r="G1916" s="1" t="str">
        <f t="shared" si="2"/>
        <v>Roció</v>
      </c>
      <c r="H1916" s="1" t="str">
        <f>IFERROR(__xludf.DUMMYFUNCTION("""COMPUTED_VALUE"""),"17/2/2023, 17:00:00")</f>
        <v>17/2/2023, 17:00:00</v>
      </c>
      <c r="I1916" s="1" t="str">
        <f>IFERROR(__xludf.DUMMYFUNCTION("""COMPUTED_VALUE"""),"RETIRADO OK POR CLIENTE")</f>
        <v>RETIRADO OK POR CLIENTE</v>
      </c>
      <c r="J1916" s="1">
        <f t="shared" si="3"/>
        <v>6</v>
      </c>
      <c r="K1916" s="1" t="str">
        <f t="shared" si="4"/>
        <v>Entregamos tus lentes, que los disfrutes!</v>
      </c>
    </row>
    <row r="1917">
      <c r="A1917" s="1">
        <f>IFERROR(__xludf.DUMMYFUNCTION("""COMPUTED_VALUE"""),86467.0)</f>
        <v>86467</v>
      </c>
      <c r="B1917" s="5">
        <f>IFERROR(__xludf.DUMMYFUNCTION("""COMPUTED_VALUE"""),44968.54009913195)</f>
        <v>44968.5401</v>
      </c>
      <c r="C1917" s="1" t="str">
        <f>IFERROR(__xludf.DUMMYFUNCTION("""COMPUTED_VALUE"""),"VICENTELA ROLANDO OSCAR")</f>
        <v>VICENTELA ROLANDO OSCAR</v>
      </c>
      <c r="D1917" s="1" t="str">
        <f>IFERROR(__xludf.DUMMYFUNCTION("""COMPUTED_VALUE"""),"Lentes de STOCK")</f>
        <v>Lentes de STOCK</v>
      </c>
      <c r="E1917" s="1" t="str">
        <f>IFERROR(__xludf.DUMMYFUNCTION("""COMPUTED_VALUE"""),"RIVADAVIA Javier")</f>
        <v>RIVADAVIA Javier</v>
      </c>
      <c r="F1917" s="1" t="str">
        <f t="shared" si="1"/>
        <v>RIVADAVIA </v>
      </c>
      <c r="G1917" s="1" t="str">
        <f t="shared" si="2"/>
        <v>Javier</v>
      </c>
      <c r="H1917" s="1" t="str">
        <f>IFERROR(__xludf.DUMMYFUNCTION("""COMPUTED_VALUE"""),"15/2/2023, 17:00:00")</f>
        <v>15/2/2023, 17:00:00</v>
      </c>
      <c r="I1917" s="1" t="str">
        <f>IFERROR(__xludf.DUMMYFUNCTION("""COMPUTED_VALUE"""),"RETIRADO OK POR CLIENTE")</f>
        <v>RETIRADO OK POR CLIENTE</v>
      </c>
      <c r="J1917" s="1">
        <f t="shared" si="3"/>
        <v>6</v>
      </c>
      <c r="K1917" s="1" t="str">
        <f t="shared" si="4"/>
        <v>Entregamos tus lentes, que los disfrutes!</v>
      </c>
    </row>
    <row r="1918">
      <c r="A1918" s="1">
        <f>IFERROR(__xludf.DUMMYFUNCTION("""COMPUTED_VALUE"""),86468.0)</f>
        <v>86468</v>
      </c>
      <c r="B1918" s="5">
        <f>IFERROR(__xludf.DUMMYFUNCTION("""COMPUTED_VALUE"""),44970.39481730324)</f>
        <v>44970.39482</v>
      </c>
      <c r="C1918" s="1" t="str">
        <f>IFERROR(__xludf.DUMMYFUNCTION("""COMPUTED_VALUE"""),"Sosa Humberto")</f>
        <v>Sosa Humberto</v>
      </c>
      <c r="D1918" s="1" t="str">
        <f>IFERROR(__xludf.DUMMYFUNCTION("""COMPUTED_VALUE"""),"Lentes de STOCK")</f>
        <v>Lentes de STOCK</v>
      </c>
      <c r="E1918" s="1" t="str">
        <f>IFERROR(__xludf.DUMMYFUNCTION("""COMPUTED_VALUE"""),"ARTIGAS Roció")</f>
        <v>ARTIGAS Roció</v>
      </c>
      <c r="F1918" s="1" t="str">
        <f t="shared" si="1"/>
        <v>ARTIGAS </v>
      </c>
      <c r="G1918" s="1" t="str">
        <f t="shared" si="2"/>
        <v>Roció</v>
      </c>
      <c r="H1918" s="1" t="str">
        <f>IFERROR(__xludf.DUMMYFUNCTION("""COMPUTED_VALUE"""),"22/2/2023, 17:00:00")</f>
        <v>22/2/2023, 17:00:00</v>
      </c>
      <c r="I1918" s="1" t="str">
        <f>IFERROR(__xludf.DUMMYFUNCTION("""COMPUTED_VALUE"""),"Completado en SUCURSAL")</f>
        <v>Completado en SUCURSAL</v>
      </c>
      <c r="J1918" s="1">
        <f t="shared" si="3"/>
        <v>5</v>
      </c>
      <c r="K1918" s="1" t="str">
        <f t="shared" si="4"/>
        <v>Tus Lentes estan LISTAS PARA ENTREGAR, te esperamos.</v>
      </c>
    </row>
    <row r="1919">
      <c r="A1919" s="1">
        <f>IFERROR(__xludf.DUMMYFUNCTION("""COMPUTED_VALUE"""),86469.0)</f>
        <v>86469</v>
      </c>
      <c r="B1919" s="5">
        <f>IFERROR(__xludf.DUMMYFUNCTION("""COMPUTED_VALUE"""),44970.40385018519)</f>
        <v>44970.40385</v>
      </c>
      <c r="C1919" s="1" t="str">
        <f>IFERROR(__xludf.DUMMYFUNCTION("""COMPUTED_VALUE"""),"FERREYRA JUAN")</f>
        <v>FERREYRA JUAN</v>
      </c>
      <c r="D1919" s="1" t="str">
        <f>IFERROR(__xludf.DUMMYFUNCTION("""COMPUTED_VALUE"""),"Lentes de STOCK")</f>
        <v>Lentes de STOCK</v>
      </c>
      <c r="E1919" s="1" t="str">
        <f>IFERROR(__xludf.DUMMYFUNCTION("""COMPUTED_VALUE"""),"ARTIGAS Ivana P.")</f>
        <v>ARTIGAS Ivana P.</v>
      </c>
      <c r="F1919" s="1" t="str">
        <f t="shared" si="1"/>
        <v>ARTIGAS </v>
      </c>
      <c r="G1919" s="1" t="str">
        <f t="shared" si="2"/>
        <v>Ivana P.</v>
      </c>
      <c r="H1919" s="1" t="str">
        <f>IFERROR(__xludf.DUMMYFUNCTION("""COMPUTED_VALUE"""),"15/2/2023, 17:00:00")</f>
        <v>15/2/2023, 17:00:00</v>
      </c>
      <c r="I1919" s="1" t="str">
        <f>IFERROR(__xludf.DUMMYFUNCTION("""COMPUTED_VALUE"""),"RETIRADO OK POR CLIENTE")</f>
        <v>RETIRADO OK POR CLIENTE</v>
      </c>
      <c r="J1919" s="1">
        <f t="shared" si="3"/>
        <v>6</v>
      </c>
      <c r="K1919" s="1" t="str">
        <f t="shared" si="4"/>
        <v>Entregamos tus lentes, que los disfrutes!</v>
      </c>
    </row>
    <row r="1920">
      <c r="A1920" s="1">
        <f>IFERROR(__xludf.DUMMYFUNCTION("""COMPUTED_VALUE"""),86470.0)</f>
        <v>86470</v>
      </c>
      <c r="B1920" s="5">
        <f>IFERROR(__xludf.DUMMYFUNCTION("""COMPUTED_VALUE"""),44970.40411101852)</f>
        <v>44970.40411</v>
      </c>
      <c r="C1920" s="1" t="str">
        <f>IFERROR(__xludf.DUMMYFUNCTION("""COMPUTED_VALUE"""),"Reynoso Luis Esteban")</f>
        <v>Reynoso Luis Esteban</v>
      </c>
      <c r="D1920" s="1" t="str">
        <f>IFERROR(__xludf.DUMMYFUNCTION("""COMPUTED_VALUE"""),"Reparaciones/Otros")</f>
        <v>Reparaciones/Otros</v>
      </c>
      <c r="E1920" s="1" t="str">
        <f>IFERROR(__xludf.DUMMYFUNCTION("""COMPUTED_VALUE"""),"ARTIGAS Roció")</f>
        <v>ARTIGAS Roció</v>
      </c>
      <c r="F1920" s="1" t="str">
        <f t="shared" si="1"/>
        <v>ARTIGAS </v>
      </c>
      <c r="G1920" s="1" t="str">
        <f t="shared" si="2"/>
        <v>Roció</v>
      </c>
      <c r="H1920" s="1" t="str">
        <f>IFERROR(__xludf.DUMMYFUNCTION("""COMPUTED_VALUE"""),"14/2/2023, 17:00:00")</f>
        <v>14/2/2023, 17:00:00</v>
      </c>
      <c r="I1920" s="1" t="str">
        <f>IFERROR(__xludf.DUMMYFUNCTION("""COMPUTED_VALUE"""),"Completado en SUCURSAL")</f>
        <v>Completado en SUCURSAL</v>
      </c>
      <c r="J1920" s="1">
        <f t="shared" si="3"/>
        <v>5</v>
      </c>
      <c r="K1920" s="1" t="str">
        <f t="shared" si="4"/>
        <v>Tus Lentes estan LISTAS PARA ENTREGAR, te esperamos.</v>
      </c>
    </row>
    <row r="1921">
      <c r="A1921" s="1">
        <f>IFERROR(__xludf.DUMMYFUNCTION("""COMPUTED_VALUE"""),86471.0)</f>
        <v>86471</v>
      </c>
      <c r="B1921" s="5">
        <f>IFERROR(__xludf.DUMMYFUNCTION("""COMPUTED_VALUE"""),44970.40691939815)</f>
        <v>44970.40692</v>
      </c>
      <c r="C1921" s="1" t="str">
        <f>IFERROR(__xludf.DUMMYFUNCTION("""COMPUTED_VALUE"""),"Robles Roxana")</f>
        <v>Robles Roxana</v>
      </c>
      <c r="D1921" s="1" t="str">
        <f>IFERROR(__xludf.DUMMYFUNCTION("""COMPUTED_VALUE"""),"Reparaciones/Otros")</f>
        <v>Reparaciones/Otros</v>
      </c>
      <c r="E1921" s="1" t="str">
        <f>IFERROR(__xludf.DUMMYFUNCTION("""COMPUTED_VALUE"""),"ARTIGAS Roció")</f>
        <v>ARTIGAS Roció</v>
      </c>
      <c r="F1921" s="1" t="str">
        <f t="shared" si="1"/>
        <v>ARTIGAS </v>
      </c>
      <c r="G1921" s="1" t="str">
        <f t="shared" si="2"/>
        <v>Roció</v>
      </c>
      <c r="H1921" s="1" t="str">
        <f>IFERROR(__xludf.DUMMYFUNCTION("""COMPUTED_VALUE"""),"14/2/2023, 17:00:00")</f>
        <v>14/2/2023, 17:00:00</v>
      </c>
      <c r="I1921" s="1"/>
      <c r="J1921" s="1">
        <f t="shared" si="3"/>
        <v>0</v>
      </c>
      <c r="K1921" s="1" t="str">
        <f t="shared" si="4"/>
        <v/>
      </c>
    </row>
    <row r="1922">
      <c r="A1922" s="1">
        <f>IFERROR(__xludf.DUMMYFUNCTION("""COMPUTED_VALUE"""),86472.0)</f>
        <v>86472</v>
      </c>
      <c r="B1922" s="5">
        <f>IFERROR(__xludf.DUMMYFUNCTION("""COMPUTED_VALUE"""),44970.41082391204)</f>
        <v>44970.41082</v>
      </c>
      <c r="C1922" s="1" t="str">
        <f>IFERROR(__xludf.DUMMYFUNCTION("""COMPUTED_VALUE"""),"BENITEZ ROSA")</f>
        <v>BENITEZ ROSA</v>
      </c>
      <c r="D1922" s="1" t="str">
        <f>IFERROR(__xludf.DUMMYFUNCTION("""COMPUTED_VALUE"""),"Lentes de STOCK")</f>
        <v>Lentes de STOCK</v>
      </c>
      <c r="E1922" s="1" t="str">
        <f>IFERROR(__xludf.DUMMYFUNCTION("""COMPUTED_VALUE"""),"ARTIGAS Roció")</f>
        <v>ARTIGAS Roció</v>
      </c>
      <c r="F1922" s="1" t="str">
        <f t="shared" si="1"/>
        <v>ARTIGAS </v>
      </c>
      <c r="G1922" s="1" t="str">
        <f t="shared" si="2"/>
        <v>Roció</v>
      </c>
      <c r="H1922" s="1" t="str">
        <f>IFERROR(__xludf.DUMMYFUNCTION("""COMPUTED_VALUE"""),"17/2/2023, 17:00:00")</f>
        <v>17/2/2023, 17:00:00</v>
      </c>
      <c r="I1922" s="1" t="str">
        <f>IFERROR(__xludf.DUMMYFUNCTION("""COMPUTED_VALUE"""),"RETIRADO OK POR CLIENTE")</f>
        <v>RETIRADO OK POR CLIENTE</v>
      </c>
      <c r="J1922" s="1">
        <f t="shared" si="3"/>
        <v>6</v>
      </c>
      <c r="K1922" s="1" t="str">
        <f t="shared" si="4"/>
        <v>Entregamos tus lentes, que los disfrutes!</v>
      </c>
    </row>
    <row r="1923" hidden="1">
      <c r="A1923" s="1">
        <f>IFERROR(__xludf.DUMMYFUNCTION("""COMPUTED_VALUE"""),86473.0)</f>
        <v>86473</v>
      </c>
      <c r="B1923" s="5">
        <f>IFERROR(__xludf.DUMMYFUNCTION("""COMPUTED_VALUE"""),44970.43674309028)</f>
        <v>44970.43674</v>
      </c>
      <c r="C1923" s="1" t="str">
        <f>IFERROR(__xludf.DUMMYFUNCTION("""COMPUTED_VALUE"""),"bertoglio nilda raquel")</f>
        <v>bertoglio nilda raquel</v>
      </c>
      <c r="D1923" s="1" t="str">
        <f>IFERROR(__xludf.DUMMYFUNCTION("""COMPUTED_VALUE"""),"Lentes MULTIFOCALES")</f>
        <v>Lentes MULTIFOCALES</v>
      </c>
      <c r="E1923" s="1" t="str">
        <f>IFERROR(__xludf.DUMMYFUNCTION("""COMPUTED_VALUE"""),"RIVADAVIA Santiago N")</f>
        <v>RIVADAVIA Santiago N</v>
      </c>
      <c r="F1923" s="1" t="str">
        <f t="shared" si="1"/>
        <v>RIVADAVIA </v>
      </c>
      <c r="G1923" s="1" t="str">
        <f t="shared" si="2"/>
        <v>Santiago N</v>
      </c>
      <c r="H1923" s="1" t="str">
        <f>IFERROR(__xludf.DUMMYFUNCTION("""COMPUTED_VALUE"""),"27/2/2023, 17:00:00")</f>
        <v>27/2/2023, 17:00:00</v>
      </c>
      <c r="I1923" s="1" t="str">
        <f>IFERROR(__xludf.DUMMYFUNCTION("""COMPUTED_VALUE"""),"DEMORADO")</f>
        <v>DEMORADO</v>
      </c>
      <c r="J1923" s="1" t="str">
        <f t="shared" si="3"/>
        <v/>
      </c>
      <c r="K1923" s="1" t="str">
        <f t="shared" si="4"/>
        <v>Tuvimos una demora con tus lentes y no podremos entregarlo en las fecha acordada, estamos trabajando para terminarlos cuanto antes, te mantendremos al tanto, si es necesario contactanos via whatsapp.</v>
      </c>
    </row>
    <row r="1924">
      <c r="A1924" s="1">
        <f>IFERROR(__xludf.DUMMYFUNCTION("""COMPUTED_VALUE"""),86474.0)</f>
        <v>86474</v>
      </c>
      <c r="B1924" s="5">
        <f>IFERROR(__xludf.DUMMYFUNCTION("""COMPUTED_VALUE"""),44970.43855898148)</f>
        <v>44970.43856</v>
      </c>
      <c r="C1924" s="1" t="str">
        <f>IFERROR(__xludf.DUMMYFUNCTION("""COMPUTED_VALUE"""),"Bravo Rocio Belen")</f>
        <v>Bravo Rocio Belen</v>
      </c>
      <c r="D1924" s="1" t="str">
        <f>IFERROR(__xludf.DUMMYFUNCTION("""COMPUTED_VALUE"""),"Lentes de STOCK")</f>
        <v>Lentes de STOCK</v>
      </c>
      <c r="E1924" s="1" t="str">
        <f>IFERROR(__xludf.DUMMYFUNCTION("""COMPUTED_VALUE"""),"ARTIGAS Roció")</f>
        <v>ARTIGAS Roció</v>
      </c>
      <c r="F1924" s="1" t="str">
        <f t="shared" si="1"/>
        <v>ARTIGAS </v>
      </c>
      <c r="G1924" s="1" t="str">
        <f t="shared" si="2"/>
        <v>Roció</v>
      </c>
      <c r="H1924" s="1" t="str">
        <f>IFERROR(__xludf.DUMMYFUNCTION("""COMPUTED_VALUE"""),"22/2/2023, 17:00:00")</f>
        <v>22/2/2023, 17:00:00</v>
      </c>
      <c r="I1924" s="1" t="str">
        <f>IFERROR(__xludf.DUMMYFUNCTION("""COMPUTED_VALUE"""),"RETIRADO OK POR CLIENTE")</f>
        <v>RETIRADO OK POR CLIENTE</v>
      </c>
      <c r="J1924" s="1">
        <f t="shared" si="3"/>
        <v>6</v>
      </c>
      <c r="K1924" s="1" t="str">
        <f t="shared" si="4"/>
        <v>Entregamos tus lentes, que los disfrutes!</v>
      </c>
    </row>
    <row r="1925">
      <c r="A1925" s="1">
        <f>IFERROR(__xludf.DUMMYFUNCTION("""COMPUTED_VALUE"""),86475.0)</f>
        <v>86475</v>
      </c>
      <c r="B1925" s="5">
        <f>IFERROR(__xludf.DUMMYFUNCTION("""COMPUTED_VALUE"""),44970.44585456018)</f>
        <v>44970.44585</v>
      </c>
      <c r="C1925" s="1" t="str">
        <f>IFERROR(__xludf.DUMMYFUNCTION("""COMPUTED_VALUE"""),"SAIZ MIRTHA")</f>
        <v>SAIZ MIRTHA</v>
      </c>
      <c r="D1925" s="1" t="str">
        <f>IFERROR(__xludf.DUMMYFUNCTION("""COMPUTED_VALUE"""),"Lentes de STOCK")</f>
        <v>Lentes de STOCK</v>
      </c>
      <c r="E1925" s="1" t="str">
        <f>IFERROR(__xludf.DUMMYFUNCTION("""COMPUTED_VALUE"""),"ARTIGAS Ivana P.")</f>
        <v>ARTIGAS Ivana P.</v>
      </c>
      <c r="F1925" s="1" t="str">
        <f t="shared" si="1"/>
        <v>ARTIGAS </v>
      </c>
      <c r="G1925" s="1" t="str">
        <f t="shared" si="2"/>
        <v>Ivana P.</v>
      </c>
      <c r="H1925" s="1" t="str">
        <f>IFERROR(__xludf.DUMMYFUNCTION("""COMPUTED_VALUE"""),"16/2/2023, 17:00:00")</f>
        <v>16/2/2023, 17:00:00</v>
      </c>
      <c r="I1925" s="1" t="str">
        <f>IFERROR(__xludf.DUMMYFUNCTION("""COMPUTED_VALUE"""),"RETIRADO OK POR CLIENTE")</f>
        <v>RETIRADO OK POR CLIENTE</v>
      </c>
      <c r="J1925" s="1">
        <f t="shared" si="3"/>
        <v>6</v>
      </c>
      <c r="K1925" s="1" t="str">
        <f t="shared" si="4"/>
        <v>Entregamos tus lentes, que los disfrutes!</v>
      </c>
    </row>
    <row r="1926">
      <c r="A1926" s="1">
        <f>IFERROR(__xludf.DUMMYFUNCTION("""COMPUTED_VALUE"""),86476.0)</f>
        <v>86476</v>
      </c>
      <c r="B1926" s="5">
        <f>IFERROR(__xludf.DUMMYFUNCTION("""COMPUTED_VALUE"""),44970.454732928236)</f>
        <v>44970.45473</v>
      </c>
      <c r="C1926" s="1" t="str">
        <f>IFERROR(__xludf.DUMMYFUNCTION("""COMPUTED_VALUE"""),"PEREZ ESTELA")</f>
        <v>PEREZ ESTELA</v>
      </c>
      <c r="D1926" s="1" t="str">
        <f>IFERROR(__xludf.DUMMYFUNCTION("""COMPUTED_VALUE"""),"Reparaciones/Otros")</f>
        <v>Reparaciones/Otros</v>
      </c>
      <c r="E1926" s="1" t="str">
        <f>IFERROR(__xludf.DUMMYFUNCTION("""COMPUTED_VALUE"""),"ARTIGAS Ivana P.")</f>
        <v>ARTIGAS Ivana P.</v>
      </c>
      <c r="F1926" s="1" t="str">
        <f t="shared" si="1"/>
        <v>ARTIGAS </v>
      </c>
      <c r="G1926" s="1" t="str">
        <f t="shared" si="2"/>
        <v>Ivana P.</v>
      </c>
      <c r="H1926" s="1" t="str">
        <f>IFERROR(__xludf.DUMMYFUNCTION("""COMPUTED_VALUE"""),"14/2/2023, 17:00:00")</f>
        <v>14/2/2023, 17:00:00</v>
      </c>
      <c r="I1926" s="1" t="str">
        <f>IFERROR(__xludf.DUMMYFUNCTION("""COMPUTED_VALUE"""),"Completado en SUCURSAL")</f>
        <v>Completado en SUCURSAL</v>
      </c>
      <c r="J1926" s="1">
        <f t="shared" si="3"/>
        <v>5</v>
      </c>
      <c r="K1926" s="1" t="str">
        <f t="shared" si="4"/>
        <v>Tus Lentes estan LISTAS PARA ENTREGAR, te esperamos.</v>
      </c>
    </row>
    <row r="1927">
      <c r="A1927" s="1">
        <f>IFERROR(__xludf.DUMMYFUNCTION("""COMPUTED_VALUE"""),86477.0)</f>
        <v>86477</v>
      </c>
      <c r="B1927" s="5">
        <f>IFERROR(__xludf.DUMMYFUNCTION("""COMPUTED_VALUE"""),44970.457761921294)</f>
        <v>44970.45776</v>
      </c>
      <c r="C1927" s="1" t="str">
        <f>IFERROR(__xludf.DUMMYFUNCTION("""COMPUTED_VALUE"""),"CASTILLO JUAN VALENTIN")</f>
        <v>CASTILLO JUAN VALENTIN</v>
      </c>
      <c r="D1927" s="1" t="str">
        <f>IFERROR(__xludf.DUMMYFUNCTION("""COMPUTED_VALUE"""),"Lentes de STOCK")</f>
        <v>Lentes de STOCK</v>
      </c>
      <c r="E1927" s="1" t="str">
        <f>IFERROR(__xludf.DUMMYFUNCTION("""COMPUTED_VALUE"""),"RIVADAVIA Daniel CM")</f>
        <v>RIVADAVIA Daniel CM</v>
      </c>
      <c r="F1927" s="1" t="str">
        <f t="shared" si="1"/>
        <v>RIVADAVIA </v>
      </c>
      <c r="G1927" s="1" t="str">
        <f t="shared" si="2"/>
        <v>Daniel CM</v>
      </c>
      <c r="H1927" s="1" t="str">
        <f>IFERROR(__xludf.DUMMYFUNCTION("""COMPUTED_VALUE"""),"16/2/2023, 17:00:00")</f>
        <v>16/2/2023, 17:00:00</v>
      </c>
      <c r="I1927" s="1"/>
      <c r="J1927" s="1">
        <f t="shared" si="3"/>
        <v>0</v>
      </c>
      <c r="K1927" s="1" t="str">
        <f t="shared" si="4"/>
        <v/>
      </c>
    </row>
    <row r="1928">
      <c r="A1928" s="1">
        <f>IFERROR(__xludf.DUMMYFUNCTION("""COMPUTED_VALUE"""),86478.0)</f>
        <v>86478</v>
      </c>
      <c r="B1928" s="5">
        <f>IFERROR(__xludf.DUMMYFUNCTION("""COMPUTED_VALUE"""),44970.46588575232)</f>
        <v>44970.46589</v>
      </c>
      <c r="C1928" s="1" t="str">
        <f>IFERROR(__xludf.DUMMYFUNCTION("""COMPUTED_VALUE"""),"Garcia Rodriguez Miguel Angel")</f>
        <v>Garcia Rodriguez Miguel Angel</v>
      </c>
      <c r="D1928" s="1" t="str">
        <f>IFERROR(__xludf.DUMMYFUNCTION("""COMPUTED_VALUE"""),"Lentes de STOCK")</f>
        <v>Lentes de STOCK</v>
      </c>
      <c r="E1928" s="1" t="str">
        <f>IFERROR(__xludf.DUMMYFUNCTION("""COMPUTED_VALUE"""),"ARTIGAS Roció")</f>
        <v>ARTIGAS Roció</v>
      </c>
      <c r="F1928" s="1" t="str">
        <f t="shared" si="1"/>
        <v>ARTIGAS </v>
      </c>
      <c r="G1928" s="1" t="str">
        <f t="shared" si="2"/>
        <v>Roció</v>
      </c>
      <c r="H1928" s="1" t="str">
        <f>IFERROR(__xludf.DUMMYFUNCTION("""COMPUTED_VALUE"""),"17/2/2023, 17:00:00")</f>
        <v>17/2/2023, 17:00:00</v>
      </c>
      <c r="I1928" s="1" t="str">
        <f>IFERROR(__xludf.DUMMYFUNCTION("""COMPUTED_VALUE"""),"RETIRADO OK POR CLIENTE")</f>
        <v>RETIRADO OK POR CLIENTE</v>
      </c>
      <c r="J1928" s="1">
        <f t="shared" si="3"/>
        <v>6</v>
      </c>
      <c r="K1928" s="1" t="str">
        <f t="shared" si="4"/>
        <v>Entregamos tus lentes, que los disfrutes!</v>
      </c>
    </row>
    <row r="1929" hidden="1">
      <c r="A1929" s="1">
        <f>IFERROR(__xludf.DUMMYFUNCTION("""COMPUTED_VALUE"""),86479.0)</f>
        <v>86479</v>
      </c>
      <c r="B1929" s="5">
        <f>IFERROR(__xludf.DUMMYFUNCTION("""COMPUTED_VALUE"""),44970.47624934028)</f>
        <v>44970.47625</v>
      </c>
      <c r="C1929" s="1" t="str">
        <f>IFERROR(__xludf.DUMMYFUNCTION("""COMPUTED_VALUE"""),"MICHEA NATANAEL")</f>
        <v>MICHEA NATANAEL</v>
      </c>
      <c r="D1929" s="1" t="str">
        <f>IFERROR(__xludf.DUMMYFUNCTION("""COMPUTED_VALUE"""),"Lentes MULTIFOCALES")</f>
        <v>Lentes MULTIFOCALES</v>
      </c>
      <c r="E1929" s="1" t="str">
        <f>IFERROR(__xludf.DUMMYFUNCTION("""COMPUTED_VALUE"""),"ARTIGAS Ivana P.")</f>
        <v>ARTIGAS Ivana P.</v>
      </c>
      <c r="F1929" s="1" t="str">
        <f t="shared" si="1"/>
        <v>ARTIGAS </v>
      </c>
      <c r="G1929" s="1" t="str">
        <f t="shared" si="2"/>
        <v>Ivana P.</v>
      </c>
      <c r="H1929" s="1" t="str">
        <f>IFERROR(__xludf.DUMMYFUNCTION("""COMPUTED_VALUE"""),"27/2/2023, 17:00:00")</f>
        <v>27/2/2023, 17:00:00</v>
      </c>
      <c r="I1929" s="1" t="str">
        <f>IFERROR(__xludf.DUMMYFUNCTION("""COMPUTED_VALUE"""),"DEMORADO")</f>
        <v>DEMORADO</v>
      </c>
      <c r="J1929" s="1" t="str">
        <f t="shared" si="3"/>
        <v/>
      </c>
      <c r="K1929" s="1" t="str">
        <f t="shared" si="4"/>
        <v>Tuvimos una demora con tus lentes y no podremos entregarlo en las fecha acordada, estamos trabajando para terminarlos cuanto antes, te mantendremos al tanto, si es necesario contactanos via whatsapp.</v>
      </c>
    </row>
    <row r="1930">
      <c r="A1930" s="1">
        <f>IFERROR(__xludf.DUMMYFUNCTION("""COMPUTED_VALUE"""),86480.0)</f>
        <v>86480</v>
      </c>
      <c r="B1930" s="5">
        <f>IFERROR(__xludf.DUMMYFUNCTION("""COMPUTED_VALUE"""),44970.48416083334)</f>
        <v>44970.48416</v>
      </c>
      <c r="C1930" s="1" t="str">
        <f>IFERROR(__xludf.DUMMYFUNCTION("""COMPUTED_VALUE"""),"Mitillo, Daniel Alfredo")</f>
        <v>Mitillo, Daniel Alfredo</v>
      </c>
      <c r="D1930" s="1" t="str">
        <f>IFERROR(__xludf.DUMMYFUNCTION("""COMPUTED_VALUE"""),"Lentes de STOCK")</f>
        <v>Lentes de STOCK</v>
      </c>
      <c r="E1930" s="1" t="str">
        <f>IFERROR(__xludf.DUMMYFUNCTION("""COMPUTED_VALUE"""),"ARTIGAS Roció")</f>
        <v>ARTIGAS Roció</v>
      </c>
      <c r="F1930" s="1" t="str">
        <f t="shared" si="1"/>
        <v>ARTIGAS </v>
      </c>
      <c r="G1930" s="1" t="str">
        <f t="shared" si="2"/>
        <v>Roció</v>
      </c>
      <c r="H1930" s="1" t="str">
        <f>IFERROR(__xludf.DUMMYFUNCTION("""COMPUTED_VALUE"""),"22/2/2023, 17:00:00")</f>
        <v>22/2/2023, 17:00:00</v>
      </c>
      <c r="I1930" s="1" t="str">
        <f>IFERROR(__xludf.DUMMYFUNCTION("""COMPUTED_VALUE"""),"Completado en SUCURSAL")</f>
        <v>Completado en SUCURSAL</v>
      </c>
      <c r="J1930" s="1">
        <f t="shared" si="3"/>
        <v>5</v>
      </c>
      <c r="K1930" s="1" t="str">
        <f t="shared" si="4"/>
        <v>Tus Lentes estan LISTAS PARA ENTREGAR, te esperamos.</v>
      </c>
    </row>
    <row r="1931">
      <c r="A1931" s="1">
        <f>IFERROR(__xludf.DUMMYFUNCTION("""COMPUTED_VALUE"""),86481.0)</f>
        <v>86481</v>
      </c>
      <c r="B1931" s="5">
        <f>IFERROR(__xludf.DUMMYFUNCTION("""COMPUTED_VALUE"""),44970.48456241898)</f>
        <v>44970.48456</v>
      </c>
      <c r="C1931" s="1" t="str">
        <f>IFERROR(__xludf.DUMMYFUNCTION("""COMPUTED_VALUE"""),"Soto Susana")</f>
        <v>Soto Susana</v>
      </c>
      <c r="D1931" s="1" t="str">
        <f>IFERROR(__xludf.DUMMYFUNCTION("""COMPUTED_VALUE"""),"Reparaciones/Otros")</f>
        <v>Reparaciones/Otros</v>
      </c>
      <c r="E1931" s="1" t="str">
        <f>IFERROR(__xludf.DUMMYFUNCTION("""COMPUTED_VALUE"""),"ARTIGAS Sandra G")</f>
        <v>ARTIGAS Sandra G</v>
      </c>
      <c r="F1931" s="1" t="str">
        <f t="shared" si="1"/>
        <v>ARTIGAS </v>
      </c>
      <c r="G1931" s="1" t="str">
        <f t="shared" si="2"/>
        <v>Sandra G</v>
      </c>
      <c r="H1931" s="1" t="str">
        <f>IFERROR(__xludf.DUMMYFUNCTION("""COMPUTED_VALUE"""),"14/2/2023, 17:00:00")</f>
        <v>14/2/2023, 17:00:00</v>
      </c>
      <c r="I1931" s="1" t="str">
        <f>IFERROR(__xludf.DUMMYFUNCTION("""COMPUTED_VALUE"""),"Completado en SUCURSAL")</f>
        <v>Completado en SUCURSAL</v>
      </c>
      <c r="J1931" s="1">
        <f t="shared" si="3"/>
        <v>5</v>
      </c>
      <c r="K1931" s="1" t="str">
        <f t="shared" si="4"/>
        <v>Tus Lentes estan LISTAS PARA ENTREGAR, te esperamos.</v>
      </c>
    </row>
    <row r="1932">
      <c r="A1932" s="1">
        <f>IFERROR(__xludf.DUMMYFUNCTION("""COMPUTED_VALUE"""),86482.0)</f>
        <v>86482</v>
      </c>
      <c r="B1932" s="5">
        <f>IFERROR(__xludf.DUMMYFUNCTION("""COMPUTED_VALUE"""),44970.48949142361)</f>
        <v>44970.48949</v>
      </c>
      <c r="C1932" s="1" t="str">
        <f>IFERROR(__xludf.DUMMYFUNCTION("""COMPUTED_VALUE"""),"chiappero jose damian")</f>
        <v>chiappero jose damian</v>
      </c>
      <c r="D1932" s="1" t="str">
        <f>IFERROR(__xludf.DUMMYFUNCTION("""COMPUTED_VALUE"""),"Lentes MULTIFOCALES")</f>
        <v>Lentes MULTIFOCALES</v>
      </c>
      <c r="E1932" s="1" t="str">
        <f>IFERROR(__xludf.DUMMYFUNCTION("""COMPUTED_VALUE"""),"RIVADAVIA Santiago N")</f>
        <v>RIVADAVIA Santiago N</v>
      </c>
      <c r="F1932" s="1" t="str">
        <f t="shared" si="1"/>
        <v>RIVADAVIA </v>
      </c>
      <c r="G1932" s="1" t="str">
        <f t="shared" si="2"/>
        <v>Santiago N</v>
      </c>
      <c r="H1932" s="1" t="str">
        <f>IFERROR(__xludf.DUMMYFUNCTION("""COMPUTED_VALUE"""),"27/2/2023, 17:00:00")</f>
        <v>27/2/2023, 17:00:00</v>
      </c>
      <c r="I1932" s="1" t="str">
        <f>IFERROR(__xludf.DUMMYFUNCTION("""COMPUTED_VALUE"""),"Completado en SUCURSAL")</f>
        <v>Completado en SUCURSAL</v>
      </c>
      <c r="J1932" s="1">
        <f t="shared" si="3"/>
        <v>5</v>
      </c>
      <c r="K1932" s="1" t="str">
        <f t="shared" si="4"/>
        <v>Tus Lentes estan LISTAS PARA ENTREGAR, te esperamos.</v>
      </c>
    </row>
    <row r="1933">
      <c r="A1933" s="1">
        <f>IFERROR(__xludf.DUMMYFUNCTION("""COMPUTED_VALUE"""),86483.0)</f>
        <v>86483</v>
      </c>
      <c r="B1933" s="5">
        <f>IFERROR(__xludf.DUMMYFUNCTION("""COMPUTED_VALUE"""),44970.49033141204)</f>
        <v>44970.49033</v>
      </c>
      <c r="C1933" s="1" t="str">
        <f>IFERROR(__xludf.DUMMYFUNCTION("""COMPUTED_VALUE"""),"FRIAS ANALIA")</f>
        <v>FRIAS ANALIA</v>
      </c>
      <c r="D1933" s="1" t="str">
        <f>IFERROR(__xludf.DUMMYFUNCTION("""COMPUTED_VALUE"""),"Lentes de STOCK")</f>
        <v>Lentes de STOCK</v>
      </c>
      <c r="E1933" s="1" t="str">
        <f>IFERROR(__xludf.DUMMYFUNCTION("""COMPUTED_VALUE"""),"ARTIGAS Ivana P.")</f>
        <v>ARTIGAS Ivana P.</v>
      </c>
      <c r="F1933" s="1" t="str">
        <f t="shared" si="1"/>
        <v>ARTIGAS </v>
      </c>
      <c r="G1933" s="1" t="str">
        <f t="shared" si="2"/>
        <v>Ivana P.</v>
      </c>
      <c r="H1933" s="1" t="str">
        <f>IFERROR(__xludf.DUMMYFUNCTION("""COMPUTED_VALUE"""),"16/2/2023, 17:00:00")</f>
        <v>16/2/2023, 17:00:00</v>
      </c>
      <c r="I1933" s="1" t="str">
        <f>IFERROR(__xludf.DUMMYFUNCTION("""COMPUTED_VALUE"""),"RETIRADO OK POR CLIENTE")</f>
        <v>RETIRADO OK POR CLIENTE</v>
      </c>
      <c r="J1933" s="1">
        <f t="shared" si="3"/>
        <v>6</v>
      </c>
      <c r="K1933" s="1" t="str">
        <f t="shared" si="4"/>
        <v>Entregamos tus lentes, que los disfrutes!</v>
      </c>
    </row>
    <row r="1934">
      <c r="A1934" s="1">
        <f>IFERROR(__xludf.DUMMYFUNCTION("""COMPUTED_VALUE"""),86484.0)</f>
        <v>86484</v>
      </c>
      <c r="B1934" s="5">
        <f>IFERROR(__xludf.DUMMYFUNCTION("""COMPUTED_VALUE"""),44970.49379729167)</f>
        <v>44970.4938</v>
      </c>
      <c r="C1934" s="1" t="str">
        <f>IFERROR(__xludf.DUMMYFUNCTION("""COMPUTED_VALUE"""),"ANDRADA ARIANA")</f>
        <v>ANDRADA ARIANA</v>
      </c>
      <c r="D1934" s="1" t="str">
        <f>IFERROR(__xludf.DUMMYFUNCTION("""COMPUTED_VALUE"""),"Lentes de STOCK")</f>
        <v>Lentes de STOCK</v>
      </c>
      <c r="E1934" s="1" t="str">
        <f>IFERROR(__xludf.DUMMYFUNCTION("""COMPUTED_VALUE"""),"RIVADAVIA Luciana")</f>
        <v>RIVADAVIA Luciana</v>
      </c>
      <c r="F1934" s="1" t="str">
        <f t="shared" si="1"/>
        <v>RIVADAVIA </v>
      </c>
      <c r="G1934" s="1" t="str">
        <f t="shared" si="2"/>
        <v>Luciana</v>
      </c>
      <c r="H1934" s="1" t="str">
        <f>IFERROR(__xludf.DUMMYFUNCTION("""COMPUTED_VALUE"""),"17/2/2023, 18:00:00")</f>
        <v>17/2/2023, 18:00:00</v>
      </c>
      <c r="I1934" s="1" t="str">
        <f>IFERROR(__xludf.DUMMYFUNCTION("""COMPUTED_VALUE"""),"RETIRADO OK POR CLIENTE")</f>
        <v>RETIRADO OK POR CLIENTE</v>
      </c>
      <c r="J1934" s="1">
        <f t="shared" si="3"/>
        <v>6</v>
      </c>
      <c r="K1934" s="1" t="str">
        <f t="shared" si="4"/>
        <v>Entregamos tus lentes, que los disfrutes!</v>
      </c>
    </row>
    <row r="1935">
      <c r="A1935" s="1">
        <f>IFERROR(__xludf.DUMMYFUNCTION("""COMPUTED_VALUE"""),86485.0)</f>
        <v>86485</v>
      </c>
      <c r="B1935" s="5">
        <f>IFERROR(__xludf.DUMMYFUNCTION("""COMPUTED_VALUE"""),44970.49532646991)</f>
        <v>44970.49533</v>
      </c>
      <c r="C1935" s="1" t="str">
        <f>IFERROR(__xludf.DUMMYFUNCTION("""COMPUTED_VALUE"""),"CHAVARRIA BLANCA")</f>
        <v>CHAVARRIA BLANCA</v>
      </c>
      <c r="D1935" s="1" t="str">
        <f>IFERROR(__xludf.DUMMYFUNCTION("""COMPUTED_VALUE"""),"Lentes de STOCK")</f>
        <v>Lentes de STOCK</v>
      </c>
      <c r="E1935" s="1" t="str">
        <f>IFERROR(__xludf.DUMMYFUNCTION("""COMPUTED_VALUE"""),"ARTIGAS Roció")</f>
        <v>ARTIGAS Roció</v>
      </c>
      <c r="F1935" s="1" t="str">
        <f t="shared" si="1"/>
        <v>ARTIGAS </v>
      </c>
      <c r="G1935" s="1" t="str">
        <f t="shared" si="2"/>
        <v>Roció</v>
      </c>
      <c r="H1935" s="1" t="str">
        <f>IFERROR(__xludf.DUMMYFUNCTION("""COMPUTED_VALUE"""),"22/2/2023, 17:00:00")</f>
        <v>22/2/2023, 17:00:00</v>
      </c>
      <c r="I1935" s="1" t="str">
        <f>IFERROR(__xludf.DUMMYFUNCTION("""COMPUTED_VALUE"""),"Completado en SUCURSAL")</f>
        <v>Completado en SUCURSAL</v>
      </c>
      <c r="J1935" s="1">
        <f t="shared" si="3"/>
        <v>5</v>
      </c>
      <c r="K1935" s="1" t="str">
        <f t="shared" si="4"/>
        <v>Tus Lentes estan LISTAS PARA ENTREGAR, te esperamos.</v>
      </c>
    </row>
    <row r="1936">
      <c r="A1936" s="1">
        <f>IFERROR(__xludf.DUMMYFUNCTION("""COMPUTED_VALUE"""),86486.0)</f>
        <v>86486</v>
      </c>
      <c r="B1936" s="5">
        <f>IFERROR(__xludf.DUMMYFUNCTION("""COMPUTED_VALUE"""),44970.49704574074)</f>
        <v>44970.49705</v>
      </c>
      <c r="C1936" s="1" t="str">
        <f>IFERROR(__xludf.DUMMYFUNCTION("""COMPUTED_VALUE"""),"ALCARAZ JUAN")</f>
        <v>ALCARAZ JUAN</v>
      </c>
      <c r="D1936" s="1" t="str">
        <f>IFERROR(__xludf.DUMMYFUNCTION("""COMPUTED_VALUE"""),"Lentes de STOCK")</f>
        <v>Lentes de STOCK</v>
      </c>
      <c r="E1936" s="1" t="str">
        <f>IFERROR(__xludf.DUMMYFUNCTION("""COMPUTED_VALUE"""),"ARTIGAS Ivana P.")</f>
        <v>ARTIGAS Ivana P.</v>
      </c>
      <c r="F1936" s="1" t="str">
        <f t="shared" si="1"/>
        <v>ARTIGAS </v>
      </c>
      <c r="G1936" s="1" t="str">
        <f t="shared" si="2"/>
        <v>Ivana P.</v>
      </c>
      <c r="H1936" s="1" t="str">
        <f>IFERROR(__xludf.DUMMYFUNCTION("""COMPUTED_VALUE"""),"16/2/2023, 17:00:00")</f>
        <v>16/2/2023, 17:00:00</v>
      </c>
      <c r="I1936" s="1" t="str">
        <f>IFERROR(__xludf.DUMMYFUNCTION("""COMPUTED_VALUE"""),"RETIRADO OK POR CLIENTE")</f>
        <v>RETIRADO OK POR CLIENTE</v>
      </c>
      <c r="J1936" s="1">
        <f t="shared" si="3"/>
        <v>6</v>
      </c>
      <c r="K1936" s="1" t="str">
        <f t="shared" si="4"/>
        <v>Entregamos tus lentes, que los disfrutes!</v>
      </c>
    </row>
    <row r="1937">
      <c r="A1937" s="1">
        <f>IFERROR(__xludf.DUMMYFUNCTION("""COMPUTED_VALUE"""),86487.0)</f>
        <v>86487</v>
      </c>
      <c r="B1937" s="5">
        <f>IFERROR(__xludf.DUMMYFUNCTION("""COMPUTED_VALUE"""),44970.49879385417)</f>
        <v>44970.49879</v>
      </c>
      <c r="C1937" s="1" t="str">
        <f>IFERROR(__xludf.DUMMYFUNCTION("""COMPUTED_VALUE"""),"MIRANDA MARIA BELEN")</f>
        <v>MIRANDA MARIA BELEN</v>
      </c>
      <c r="D1937" s="1" t="str">
        <f>IFERROR(__xludf.DUMMYFUNCTION("""COMPUTED_VALUE"""),"Lentes de STOCK")</f>
        <v>Lentes de STOCK</v>
      </c>
      <c r="E1937" s="1" t="str">
        <f>IFERROR(__xludf.DUMMYFUNCTION("""COMPUTED_VALUE"""),"RIVADAVIA Luciana")</f>
        <v>RIVADAVIA Luciana</v>
      </c>
      <c r="F1937" s="1" t="str">
        <f t="shared" si="1"/>
        <v>RIVADAVIA </v>
      </c>
      <c r="G1937" s="1" t="str">
        <f t="shared" si="2"/>
        <v>Luciana</v>
      </c>
      <c r="H1937" s="1" t="str">
        <f>IFERROR(__xludf.DUMMYFUNCTION("""COMPUTED_VALUE"""),"17/2/2023, 18:00:00")</f>
        <v>17/2/2023, 18:00:00</v>
      </c>
      <c r="I1937" s="1" t="str">
        <f>IFERROR(__xludf.DUMMYFUNCTION("""COMPUTED_VALUE"""),"RETIRADO OK POR CLIENTE")</f>
        <v>RETIRADO OK POR CLIENTE</v>
      </c>
      <c r="J1937" s="1">
        <f t="shared" si="3"/>
        <v>6</v>
      </c>
      <c r="K1937" s="1" t="str">
        <f t="shared" si="4"/>
        <v>Entregamos tus lentes, que los disfrutes!</v>
      </c>
    </row>
    <row r="1938">
      <c r="A1938" s="1">
        <f>IFERROR(__xludf.DUMMYFUNCTION("""COMPUTED_VALUE"""),86488.0)</f>
        <v>86488</v>
      </c>
      <c r="B1938" s="5">
        <f>IFERROR(__xludf.DUMMYFUNCTION("""COMPUTED_VALUE"""),44970.50078549769)</f>
        <v>44970.50079</v>
      </c>
      <c r="C1938" s="1" t="str">
        <f>IFERROR(__xludf.DUMMYFUNCTION("""COMPUTED_VALUE"""),"OLMO ENCARNACION MARIA")</f>
        <v>OLMO ENCARNACION MARIA</v>
      </c>
      <c r="D1938" s="1" t="str">
        <f>IFERROR(__xludf.DUMMYFUNCTION("""COMPUTED_VALUE"""),"Lentes de STOCK")</f>
        <v>Lentes de STOCK</v>
      </c>
      <c r="E1938" s="1" t="str">
        <f>IFERROR(__xludf.DUMMYFUNCTION("""COMPUTED_VALUE"""),"RIVADAVIA Javier")</f>
        <v>RIVADAVIA Javier</v>
      </c>
      <c r="F1938" s="1" t="str">
        <f t="shared" si="1"/>
        <v>RIVADAVIA </v>
      </c>
      <c r="G1938" s="1" t="str">
        <f t="shared" si="2"/>
        <v>Javier</v>
      </c>
      <c r="H1938" s="1" t="str">
        <f>IFERROR(__xludf.DUMMYFUNCTION("""COMPUTED_VALUE"""),"16/2/2023, 17:00:00")</f>
        <v>16/2/2023, 17:00:00</v>
      </c>
      <c r="I1938" s="1" t="str">
        <f>IFERROR(__xludf.DUMMYFUNCTION("""COMPUTED_VALUE"""),"RETIRADO OK POR CLIENTE")</f>
        <v>RETIRADO OK POR CLIENTE</v>
      </c>
      <c r="J1938" s="1">
        <f t="shared" si="3"/>
        <v>6</v>
      </c>
      <c r="K1938" s="1" t="str">
        <f t="shared" si="4"/>
        <v>Entregamos tus lentes, que los disfrutes!</v>
      </c>
    </row>
    <row r="1939">
      <c r="A1939" s="1">
        <f>IFERROR(__xludf.DUMMYFUNCTION("""COMPUTED_VALUE"""),86489.0)</f>
        <v>86489</v>
      </c>
      <c r="B1939" s="5">
        <f>IFERROR(__xludf.DUMMYFUNCTION("""COMPUTED_VALUE"""),44970.501135949075)</f>
        <v>44970.50114</v>
      </c>
      <c r="C1939" s="1" t="str">
        <f>IFERROR(__xludf.DUMMYFUNCTION("""COMPUTED_VALUE"""),"SUAREZ SUSANA")</f>
        <v>SUAREZ SUSANA</v>
      </c>
      <c r="D1939" s="1" t="str">
        <f>IFERROR(__xludf.DUMMYFUNCTION("""COMPUTED_VALUE"""),"Reparaciones/Otros")</f>
        <v>Reparaciones/Otros</v>
      </c>
      <c r="E1939" s="1" t="str">
        <f>IFERROR(__xludf.DUMMYFUNCTION("""COMPUTED_VALUE"""),"RIVADAVIA Daniel CM")</f>
        <v>RIVADAVIA Daniel CM</v>
      </c>
      <c r="F1939" s="1" t="str">
        <f t="shared" si="1"/>
        <v>RIVADAVIA </v>
      </c>
      <c r="G1939" s="1" t="str">
        <f t="shared" si="2"/>
        <v>Daniel CM</v>
      </c>
      <c r="H1939" s="1" t="str">
        <f>IFERROR(__xludf.DUMMYFUNCTION("""COMPUTED_VALUE"""),"14/2/2023, 17:00:00")</f>
        <v>14/2/2023, 17:00:00</v>
      </c>
      <c r="I1939" s="1" t="str">
        <f>IFERROR(__xludf.DUMMYFUNCTION("""COMPUTED_VALUE"""),"Completado en SUCURSAL")</f>
        <v>Completado en SUCURSAL</v>
      </c>
      <c r="J1939" s="1">
        <f t="shared" si="3"/>
        <v>5</v>
      </c>
      <c r="K1939" s="1" t="str">
        <f t="shared" si="4"/>
        <v>Tus Lentes estan LISTAS PARA ENTREGAR, te esperamos.</v>
      </c>
    </row>
    <row r="1940">
      <c r="A1940" s="1">
        <f>IFERROR(__xludf.DUMMYFUNCTION("""COMPUTED_VALUE"""),86490.0)</f>
        <v>86490</v>
      </c>
      <c r="B1940" s="5">
        <f>IFERROR(__xludf.DUMMYFUNCTION("""COMPUTED_VALUE"""),44970.5034844676)</f>
        <v>44970.50348</v>
      </c>
      <c r="C1940" s="1" t="str">
        <f>IFERROR(__xludf.DUMMYFUNCTION("""COMPUTED_VALUE"""),"QUIROZ RAMON VICENTE")</f>
        <v>QUIROZ RAMON VICENTE</v>
      </c>
      <c r="D1940" s="1" t="str">
        <f>IFERROR(__xludf.DUMMYFUNCTION("""COMPUTED_VALUE"""),"Lentes de STOCK")</f>
        <v>Lentes de STOCK</v>
      </c>
      <c r="E1940" s="1" t="str">
        <f>IFERROR(__xludf.DUMMYFUNCTION("""COMPUTED_VALUE"""),"RIVADAVIA Javier")</f>
        <v>RIVADAVIA Javier</v>
      </c>
      <c r="F1940" s="1" t="str">
        <f t="shared" si="1"/>
        <v>RIVADAVIA </v>
      </c>
      <c r="G1940" s="1" t="str">
        <f t="shared" si="2"/>
        <v>Javier</v>
      </c>
      <c r="H1940" s="1" t="str">
        <f>IFERROR(__xludf.DUMMYFUNCTION("""COMPUTED_VALUE"""),"16/2/2023, 17:00:00")</f>
        <v>16/2/2023, 17:00:00</v>
      </c>
      <c r="I1940" s="1" t="str">
        <f>IFERROR(__xludf.DUMMYFUNCTION("""COMPUTED_VALUE"""),"RETIRADO OK POR CLIENTE")</f>
        <v>RETIRADO OK POR CLIENTE</v>
      </c>
      <c r="J1940" s="1">
        <f t="shared" si="3"/>
        <v>6</v>
      </c>
      <c r="K1940" s="1" t="str">
        <f t="shared" si="4"/>
        <v>Entregamos tus lentes, que los disfrutes!</v>
      </c>
    </row>
    <row r="1941">
      <c r="A1941" s="1">
        <f>IFERROR(__xludf.DUMMYFUNCTION("""COMPUTED_VALUE"""),86491.0)</f>
        <v>86491</v>
      </c>
      <c r="B1941" s="5">
        <f>IFERROR(__xludf.DUMMYFUNCTION("""COMPUTED_VALUE"""),44970.50459740741)</f>
        <v>44970.5046</v>
      </c>
      <c r="C1941" s="1" t="str">
        <f>IFERROR(__xludf.DUMMYFUNCTION("""COMPUTED_VALUE"""),"pastor reynaldo")</f>
        <v>pastor reynaldo</v>
      </c>
      <c r="D1941" s="1" t="str">
        <f>IFERROR(__xludf.DUMMYFUNCTION("""COMPUTED_VALUE"""),"Lentes de STOCK")</f>
        <v>Lentes de STOCK</v>
      </c>
      <c r="E1941" s="1" t="str">
        <f>IFERROR(__xludf.DUMMYFUNCTION("""COMPUTED_VALUE"""),"RIVADAVIA Santiago N")</f>
        <v>RIVADAVIA Santiago N</v>
      </c>
      <c r="F1941" s="1" t="str">
        <f t="shared" si="1"/>
        <v>RIVADAVIA </v>
      </c>
      <c r="G1941" s="1" t="str">
        <f t="shared" si="2"/>
        <v>Santiago N</v>
      </c>
      <c r="H1941" s="1" t="str">
        <f>IFERROR(__xludf.DUMMYFUNCTION("""COMPUTED_VALUE"""),"22/2/2023, 17:00:00")</f>
        <v>22/2/2023, 17:00:00</v>
      </c>
      <c r="I1941" s="1" t="str">
        <f>IFERROR(__xludf.DUMMYFUNCTION("""COMPUTED_VALUE"""),"RETIRADO OK POR CLIENTE")</f>
        <v>RETIRADO OK POR CLIENTE</v>
      </c>
      <c r="J1941" s="1">
        <f t="shared" si="3"/>
        <v>6</v>
      </c>
      <c r="K1941" s="1" t="str">
        <f t="shared" si="4"/>
        <v>Entregamos tus lentes, que los disfrutes!</v>
      </c>
    </row>
    <row r="1942">
      <c r="A1942" s="1">
        <f>IFERROR(__xludf.DUMMYFUNCTION("""COMPUTED_VALUE"""),86492.0)</f>
        <v>86492</v>
      </c>
      <c r="B1942" s="5">
        <f>IFERROR(__xludf.DUMMYFUNCTION("""COMPUTED_VALUE"""),44970.50511733796)</f>
        <v>44970.50512</v>
      </c>
      <c r="C1942" s="1" t="str">
        <f>IFERROR(__xludf.DUMMYFUNCTION("""COMPUTED_VALUE"""),"lucero maria carina")</f>
        <v>lucero maria carina</v>
      </c>
      <c r="D1942" s="1" t="str">
        <f>IFERROR(__xludf.DUMMYFUNCTION("""COMPUTED_VALUE"""),"Lentes de STOCK")</f>
        <v>Lentes de STOCK</v>
      </c>
      <c r="E1942" s="1" t="str">
        <f>IFERROR(__xludf.DUMMYFUNCTION("""COMPUTED_VALUE"""),"RIVADAVIA Santiago N")</f>
        <v>RIVADAVIA Santiago N</v>
      </c>
      <c r="F1942" s="1" t="str">
        <f t="shared" si="1"/>
        <v>RIVADAVIA </v>
      </c>
      <c r="G1942" s="1" t="str">
        <f t="shared" si="2"/>
        <v>Santiago N</v>
      </c>
      <c r="H1942" s="1" t="str">
        <f>IFERROR(__xludf.DUMMYFUNCTION("""COMPUTED_VALUE"""),"18/2/2023, 17:00:00")</f>
        <v>18/2/2023, 17:00:00</v>
      </c>
      <c r="I1942" s="1" t="str">
        <f>IFERROR(__xludf.DUMMYFUNCTION("""COMPUTED_VALUE"""),"RETIRADO OK POR CLIENTE")</f>
        <v>RETIRADO OK POR CLIENTE</v>
      </c>
      <c r="J1942" s="1">
        <f t="shared" si="3"/>
        <v>6</v>
      </c>
      <c r="K1942" s="1" t="str">
        <f t="shared" si="4"/>
        <v>Entregamos tus lentes, que los disfrutes!</v>
      </c>
    </row>
    <row r="1943">
      <c r="A1943" s="1">
        <f>IFERROR(__xludf.DUMMYFUNCTION("""COMPUTED_VALUE"""),86493.0)</f>
        <v>86493</v>
      </c>
      <c r="B1943" s="5">
        <f>IFERROR(__xludf.DUMMYFUNCTION("""COMPUTED_VALUE"""),44970.512595625)</f>
        <v>44970.5126</v>
      </c>
      <c r="C1943" s="1" t="str">
        <f>IFERROR(__xludf.DUMMYFUNCTION("""COMPUTED_VALUE"""),"schnitz gabriela")</f>
        <v>schnitz gabriela</v>
      </c>
      <c r="D1943" s="1" t="str">
        <f>IFERROR(__xludf.DUMMYFUNCTION("""COMPUTED_VALUE"""),"Lentes de STOCK")</f>
        <v>Lentes de STOCK</v>
      </c>
      <c r="E1943" s="1" t="str">
        <f>IFERROR(__xludf.DUMMYFUNCTION("""COMPUTED_VALUE"""),"RIVADAVIA Santiago N")</f>
        <v>RIVADAVIA Santiago N</v>
      </c>
      <c r="F1943" s="1" t="str">
        <f t="shared" si="1"/>
        <v>RIVADAVIA </v>
      </c>
      <c r="G1943" s="1" t="str">
        <f t="shared" si="2"/>
        <v>Santiago N</v>
      </c>
      <c r="H1943" s="1" t="str">
        <f>IFERROR(__xludf.DUMMYFUNCTION("""COMPUTED_VALUE"""),"18/2/2023, 17:00:00")</f>
        <v>18/2/2023, 17:00:00</v>
      </c>
      <c r="I1943" s="1" t="str">
        <f>IFERROR(__xludf.DUMMYFUNCTION("""COMPUTED_VALUE"""),"RETIRADO OK POR CLIENTE")</f>
        <v>RETIRADO OK POR CLIENTE</v>
      </c>
      <c r="J1943" s="1">
        <f t="shared" si="3"/>
        <v>6</v>
      </c>
      <c r="K1943" s="1" t="str">
        <f t="shared" si="4"/>
        <v>Entregamos tus lentes, que los disfrutes!</v>
      </c>
    </row>
    <row r="1944">
      <c r="A1944" s="1">
        <f>IFERROR(__xludf.DUMMYFUNCTION("""COMPUTED_VALUE"""),86494.0)</f>
        <v>86494</v>
      </c>
      <c r="B1944" s="5">
        <f>IFERROR(__xludf.DUMMYFUNCTION("""COMPUTED_VALUE"""),44970.51566326389)</f>
        <v>44970.51566</v>
      </c>
      <c r="C1944" s="1" t="str">
        <f>IFERROR(__xludf.DUMMYFUNCTION("""COMPUTED_VALUE"""),"GOMEZ ANA MARIA ")</f>
        <v>GOMEZ ANA MARIA </v>
      </c>
      <c r="D1944" s="1" t="str">
        <f>IFERROR(__xludf.DUMMYFUNCTION("""COMPUTED_VALUE"""),"Lentes BIFOCALES")</f>
        <v>Lentes BIFOCALES</v>
      </c>
      <c r="E1944" s="1" t="str">
        <f>IFERROR(__xludf.DUMMYFUNCTION("""COMPUTED_VALUE"""),"RIVADAVIA Luciana")</f>
        <v>RIVADAVIA Luciana</v>
      </c>
      <c r="F1944" s="1" t="str">
        <f t="shared" si="1"/>
        <v>RIVADAVIA </v>
      </c>
      <c r="G1944" s="1" t="str">
        <f t="shared" si="2"/>
        <v>Luciana</v>
      </c>
      <c r="H1944" s="1" t="str">
        <f>IFERROR(__xludf.DUMMYFUNCTION("""COMPUTED_VALUE"""),"1/3/2023, 17:00:00")</f>
        <v>1/3/2023, 17:00:00</v>
      </c>
      <c r="I1944" s="1" t="str">
        <f>IFERROR(__xludf.DUMMYFUNCTION("""COMPUTED_VALUE"""),"Recibido en Laboratorio")</f>
        <v>Recibido en Laboratorio</v>
      </c>
      <c r="J1944" s="1">
        <f t="shared" si="3"/>
        <v>2</v>
      </c>
      <c r="K1944" s="1" t="str">
        <f t="shared" si="4"/>
        <v>Nuestro Laboratorio esta trabajando en tus lentes, los entregaremos en la fecha acordada.</v>
      </c>
    </row>
    <row r="1945">
      <c r="A1945" s="1">
        <f>IFERROR(__xludf.DUMMYFUNCTION("""COMPUTED_VALUE"""),86495.0)</f>
        <v>86495</v>
      </c>
      <c r="B1945" s="5">
        <f>IFERROR(__xludf.DUMMYFUNCTION("""COMPUTED_VALUE"""),44970.51658016204)</f>
        <v>44970.51658</v>
      </c>
      <c r="C1945" s="1" t="str">
        <f>IFERROR(__xludf.DUMMYFUNCTION("""COMPUTED_VALUE"""),"MIUSSO BRISA")</f>
        <v>MIUSSO BRISA</v>
      </c>
      <c r="D1945" s="1" t="str">
        <f>IFERROR(__xludf.DUMMYFUNCTION("""COMPUTED_VALUE"""),"Lentes de STOCK")</f>
        <v>Lentes de STOCK</v>
      </c>
      <c r="E1945" s="1" t="str">
        <f>IFERROR(__xludf.DUMMYFUNCTION("""COMPUTED_VALUE"""),"ARTIGAS Ivana P.")</f>
        <v>ARTIGAS Ivana P.</v>
      </c>
      <c r="F1945" s="1" t="str">
        <f t="shared" si="1"/>
        <v>ARTIGAS </v>
      </c>
      <c r="G1945" s="1" t="str">
        <f t="shared" si="2"/>
        <v>Ivana P.</v>
      </c>
      <c r="H1945" s="1" t="str">
        <f>IFERROR(__xludf.DUMMYFUNCTION("""COMPUTED_VALUE"""),"16/2/2023, 17:00:00")</f>
        <v>16/2/2023, 17:00:00</v>
      </c>
      <c r="I1945" s="1" t="str">
        <f>IFERROR(__xludf.DUMMYFUNCTION("""COMPUTED_VALUE"""),"RETIRADO OK POR CLIENTE")</f>
        <v>RETIRADO OK POR CLIENTE</v>
      </c>
      <c r="J1945" s="1">
        <f t="shared" si="3"/>
        <v>6</v>
      </c>
      <c r="K1945" s="1" t="str">
        <f t="shared" si="4"/>
        <v>Entregamos tus lentes, que los disfrutes!</v>
      </c>
    </row>
    <row r="1946">
      <c r="A1946" s="1">
        <f>IFERROR(__xludf.DUMMYFUNCTION("""COMPUTED_VALUE"""),86496.0)</f>
        <v>86496</v>
      </c>
      <c r="B1946" s="5">
        <f>IFERROR(__xludf.DUMMYFUNCTION("""COMPUTED_VALUE"""),44970.51667916667)</f>
        <v>44970.51668</v>
      </c>
      <c r="C1946" s="1" t="str">
        <f>IFERROR(__xludf.DUMMYFUNCTION("""COMPUTED_VALUE"""),"MUÑOZ EVANGELINA")</f>
        <v>MUÑOZ EVANGELINA</v>
      </c>
      <c r="D1946" s="1" t="str">
        <f>IFERROR(__xludf.DUMMYFUNCTION("""COMPUTED_VALUE"""),"Lentes MULTIFOCALES")</f>
        <v>Lentes MULTIFOCALES</v>
      </c>
      <c r="E1946" s="1" t="str">
        <f>IFERROR(__xludf.DUMMYFUNCTION("""COMPUTED_VALUE"""),"RIVADAVIA Javier")</f>
        <v>RIVADAVIA Javier</v>
      </c>
      <c r="F1946" s="1" t="str">
        <f t="shared" si="1"/>
        <v>RIVADAVIA </v>
      </c>
      <c r="G1946" s="1" t="str">
        <f t="shared" si="2"/>
        <v>Javier</v>
      </c>
      <c r="H1946" s="1" t="str">
        <f>IFERROR(__xludf.DUMMYFUNCTION("""COMPUTED_VALUE"""),"22/2/2023, 17:00:00")</f>
        <v>22/2/2023, 17:00:00</v>
      </c>
      <c r="I1946" s="1" t="str">
        <f>IFERROR(__xludf.DUMMYFUNCTION("""COMPUTED_VALUE"""),"RETIRADO OK POR CLIENTE")</f>
        <v>RETIRADO OK POR CLIENTE</v>
      </c>
      <c r="J1946" s="1">
        <f t="shared" si="3"/>
        <v>6</v>
      </c>
      <c r="K1946" s="1" t="str">
        <f t="shared" si="4"/>
        <v>Entregamos tus lentes, que los disfrutes!</v>
      </c>
    </row>
    <row r="1947">
      <c r="A1947" s="1">
        <f>IFERROR(__xludf.DUMMYFUNCTION("""COMPUTED_VALUE"""),86497.0)</f>
        <v>86497</v>
      </c>
      <c r="B1947" s="5">
        <f>IFERROR(__xludf.DUMMYFUNCTION("""COMPUTED_VALUE"""),44970.5210435301)</f>
        <v>44970.52104</v>
      </c>
      <c r="C1947" s="1" t="str">
        <f>IFERROR(__xludf.DUMMYFUNCTION("""COMPUTED_VALUE"""),"velazquez magali")</f>
        <v>velazquez magali</v>
      </c>
      <c r="D1947" s="1" t="str">
        <f>IFERROR(__xludf.DUMMYFUNCTION("""COMPUTED_VALUE"""),"Lentes de STOCK")</f>
        <v>Lentes de STOCK</v>
      </c>
      <c r="E1947" s="1" t="str">
        <f>IFERROR(__xludf.DUMMYFUNCTION("""COMPUTED_VALUE"""),"RIVADAVIA Santiago N")</f>
        <v>RIVADAVIA Santiago N</v>
      </c>
      <c r="F1947" s="1" t="str">
        <f t="shared" si="1"/>
        <v>RIVADAVIA </v>
      </c>
      <c r="G1947" s="1" t="str">
        <f t="shared" si="2"/>
        <v>Santiago N</v>
      </c>
      <c r="H1947" s="1" t="str">
        <f>IFERROR(__xludf.DUMMYFUNCTION("""COMPUTED_VALUE"""),"16/2/2023, 17:00:00")</f>
        <v>16/2/2023, 17:00:00</v>
      </c>
      <c r="I1947" s="1" t="str">
        <f>IFERROR(__xludf.DUMMYFUNCTION("""COMPUTED_VALUE"""),"RETIRADO OK POR CLIENTE")</f>
        <v>RETIRADO OK POR CLIENTE</v>
      </c>
      <c r="J1947" s="1">
        <f t="shared" si="3"/>
        <v>6</v>
      </c>
      <c r="K1947" s="1" t="str">
        <f t="shared" si="4"/>
        <v>Entregamos tus lentes, que los disfrutes!</v>
      </c>
    </row>
    <row r="1948">
      <c r="A1948" s="1">
        <f>IFERROR(__xludf.DUMMYFUNCTION("""COMPUTED_VALUE"""),86498.0)</f>
        <v>86498</v>
      </c>
      <c r="B1948" s="5">
        <f>IFERROR(__xludf.DUMMYFUNCTION("""COMPUTED_VALUE"""),44970.52694164352)</f>
        <v>44970.52694</v>
      </c>
      <c r="C1948" s="1" t="str">
        <f>IFERROR(__xludf.DUMMYFUNCTION("""COMPUTED_VALUE"""),"suarez zulma")</f>
        <v>suarez zulma</v>
      </c>
      <c r="D1948" s="1" t="str">
        <f>IFERROR(__xludf.DUMMYFUNCTION("""COMPUTED_VALUE"""),"Reparaciones/Otros")</f>
        <v>Reparaciones/Otros</v>
      </c>
      <c r="E1948" s="1" t="str">
        <f>IFERROR(__xludf.DUMMYFUNCTION("""COMPUTED_VALUE"""),"RIVADAVIA Santiago N")</f>
        <v>RIVADAVIA Santiago N</v>
      </c>
      <c r="F1948" s="1" t="str">
        <f t="shared" si="1"/>
        <v>RIVADAVIA </v>
      </c>
      <c r="G1948" s="1" t="str">
        <f t="shared" si="2"/>
        <v>Santiago N</v>
      </c>
      <c r="H1948" s="1" t="str">
        <f>IFERROR(__xludf.DUMMYFUNCTION("""COMPUTED_VALUE"""),"14/2/2023, 17:00:00")</f>
        <v>14/2/2023, 17:00:00</v>
      </c>
      <c r="I1948" s="1" t="str">
        <f>IFERROR(__xludf.DUMMYFUNCTION("""COMPUTED_VALUE"""),"Completado en SUCURSAL")</f>
        <v>Completado en SUCURSAL</v>
      </c>
      <c r="J1948" s="1">
        <f t="shared" si="3"/>
        <v>5</v>
      </c>
      <c r="K1948" s="1" t="str">
        <f t="shared" si="4"/>
        <v>Tus Lentes estan LISTAS PARA ENTREGAR, te esperamos.</v>
      </c>
    </row>
    <row r="1949">
      <c r="A1949" s="1">
        <f>IFERROR(__xludf.DUMMYFUNCTION("""COMPUTED_VALUE"""),86499.0)</f>
        <v>86499</v>
      </c>
      <c r="B1949" s="5">
        <f>IFERROR(__xludf.DUMMYFUNCTION("""COMPUTED_VALUE"""),44970.53887576389)</f>
        <v>44970.53888</v>
      </c>
      <c r="C1949" s="1" t="str">
        <f>IFERROR(__xludf.DUMMYFUNCTION("""COMPUTED_VALUE"""),"PEREYRA ROSA DEL CARMEN")</f>
        <v>PEREYRA ROSA DEL CARMEN</v>
      </c>
      <c r="D1949" s="1" t="str">
        <f>IFERROR(__xludf.DUMMYFUNCTION("""COMPUTED_VALUE"""),"Lentes de STOCK")</f>
        <v>Lentes de STOCK</v>
      </c>
      <c r="E1949" s="1" t="str">
        <f>IFERROR(__xludf.DUMMYFUNCTION("""COMPUTED_VALUE"""),"RIVADAVIA Javier")</f>
        <v>RIVADAVIA Javier</v>
      </c>
      <c r="F1949" s="1" t="str">
        <f t="shared" si="1"/>
        <v>RIVADAVIA </v>
      </c>
      <c r="G1949" s="1" t="str">
        <f t="shared" si="2"/>
        <v>Javier</v>
      </c>
      <c r="H1949" s="1" t="str">
        <f>IFERROR(__xludf.DUMMYFUNCTION("""COMPUTED_VALUE"""),"17/2/2023, 17:00:00")</f>
        <v>17/2/2023, 17:00:00</v>
      </c>
      <c r="I1949" s="1" t="str">
        <f>IFERROR(__xludf.DUMMYFUNCTION("""COMPUTED_VALUE"""),"RETIRADO OK POR CLIENTE")</f>
        <v>RETIRADO OK POR CLIENTE</v>
      </c>
      <c r="J1949" s="1">
        <f t="shared" si="3"/>
        <v>6</v>
      </c>
      <c r="K1949" s="1" t="str">
        <f t="shared" si="4"/>
        <v>Entregamos tus lentes, que los disfrutes!</v>
      </c>
    </row>
    <row r="1950">
      <c r="A1950" s="1">
        <f>IFERROR(__xludf.DUMMYFUNCTION("""COMPUTED_VALUE"""),86500.0)</f>
        <v>86500</v>
      </c>
      <c r="B1950" s="5">
        <f>IFERROR(__xludf.DUMMYFUNCTION("""COMPUTED_VALUE"""),44970.55644299768)</f>
        <v>44970.55644</v>
      </c>
      <c r="C1950" s="1" t="str">
        <f>IFERROR(__xludf.DUMMYFUNCTION("""COMPUTED_VALUE"""),"CIMINARI MARIA EUGENIA")</f>
        <v>CIMINARI MARIA EUGENIA</v>
      </c>
      <c r="D1950" s="1" t="str">
        <f>IFERROR(__xludf.DUMMYFUNCTION("""COMPUTED_VALUE"""),"Lentes MULTIFOCALES")</f>
        <v>Lentes MULTIFOCALES</v>
      </c>
      <c r="E1950" s="1" t="str">
        <f>IFERROR(__xludf.DUMMYFUNCTION("""COMPUTED_VALUE"""),"RIVADAVIA Luciana")</f>
        <v>RIVADAVIA Luciana</v>
      </c>
      <c r="F1950" s="1" t="str">
        <f t="shared" si="1"/>
        <v>RIVADAVIA </v>
      </c>
      <c r="G1950" s="1" t="str">
        <f t="shared" si="2"/>
        <v>Luciana</v>
      </c>
      <c r="H1950" s="1" t="str">
        <f>IFERROR(__xludf.DUMMYFUNCTION("""COMPUTED_VALUE"""),"2/3/2023, 17:00:00")</f>
        <v>2/3/2023, 17:00:00</v>
      </c>
      <c r="I1950" s="1"/>
      <c r="J1950" s="1">
        <f t="shared" si="3"/>
        <v>0</v>
      </c>
      <c r="K1950" s="1" t="str">
        <f t="shared" si="4"/>
        <v/>
      </c>
    </row>
    <row r="1951">
      <c r="A1951" s="1">
        <f>IFERROR(__xludf.DUMMYFUNCTION("""COMPUTED_VALUE"""),86501.0)</f>
        <v>86501</v>
      </c>
      <c r="B1951" s="5">
        <f>IFERROR(__xludf.DUMMYFUNCTION("""COMPUTED_VALUE"""),44970.55717629629)</f>
        <v>44970.55718</v>
      </c>
      <c r="C1951" s="1" t="str">
        <f>IFERROR(__xludf.DUMMYFUNCTION("""COMPUTED_VALUE"""),"COPA MAYERLI YOSELIN")</f>
        <v>COPA MAYERLI YOSELIN</v>
      </c>
      <c r="D1951" s="1" t="str">
        <f>IFERROR(__xludf.DUMMYFUNCTION("""COMPUTED_VALUE"""),"Reparaciones/Otros")</f>
        <v>Reparaciones/Otros</v>
      </c>
      <c r="E1951" s="1" t="str">
        <f>IFERROR(__xludf.DUMMYFUNCTION("""COMPUTED_VALUE"""),"ARTIGAS Roció")</f>
        <v>ARTIGAS Roció</v>
      </c>
      <c r="F1951" s="1" t="str">
        <f t="shared" si="1"/>
        <v>ARTIGAS </v>
      </c>
      <c r="G1951" s="1" t="str">
        <f t="shared" si="2"/>
        <v>Roció</v>
      </c>
      <c r="H1951" s="1" t="str">
        <f>IFERROR(__xludf.DUMMYFUNCTION("""COMPUTED_VALUE"""),"14/2/2023, 17:00:00")</f>
        <v>14/2/2023, 17:00:00</v>
      </c>
      <c r="I1951" s="1" t="str">
        <f>IFERROR(__xludf.DUMMYFUNCTION("""COMPUTED_VALUE"""),"Completado en SUCURSAL")</f>
        <v>Completado en SUCURSAL</v>
      </c>
      <c r="J1951" s="1">
        <f t="shared" si="3"/>
        <v>5</v>
      </c>
      <c r="K1951" s="1" t="str">
        <f t="shared" si="4"/>
        <v>Tus Lentes estan LISTAS PARA ENTREGAR, te esperamos.</v>
      </c>
    </row>
    <row r="1952">
      <c r="A1952" s="1">
        <f>IFERROR(__xludf.DUMMYFUNCTION("""COMPUTED_VALUE"""),86502.0)</f>
        <v>86502</v>
      </c>
      <c r="B1952" s="5">
        <f>IFERROR(__xludf.DUMMYFUNCTION("""COMPUTED_VALUE"""),44970.690824606485)</f>
        <v>44970.69082</v>
      </c>
      <c r="C1952" s="1" t="str">
        <f>IFERROR(__xludf.DUMMYFUNCTION("""COMPUTED_VALUE"""),"Gimenez Tobias")</f>
        <v>Gimenez Tobias</v>
      </c>
      <c r="D1952" s="1" t="str">
        <f>IFERROR(__xludf.DUMMYFUNCTION("""COMPUTED_VALUE"""),"Reparaciones/Otros")</f>
        <v>Reparaciones/Otros</v>
      </c>
      <c r="E1952" s="1" t="str">
        <f>IFERROR(__xludf.DUMMYFUNCTION("""COMPUTED_VALUE"""),"ARTIGAS Roció")</f>
        <v>ARTIGAS Roció</v>
      </c>
      <c r="F1952" s="1" t="str">
        <f t="shared" si="1"/>
        <v>ARTIGAS </v>
      </c>
      <c r="G1952" s="1" t="str">
        <f t="shared" si="2"/>
        <v>Roció</v>
      </c>
      <c r="H1952" s="1" t="str">
        <f>IFERROR(__xludf.DUMMYFUNCTION("""COMPUTED_VALUE"""),"15/2/2023, 17:00:00")</f>
        <v>15/2/2023, 17:00:00</v>
      </c>
      <c r="I1952" s="1" t="str">
        <f>IFERROR(__xludf.DUMMYFUNCTION("""COMPUTED_VALUE"""),"Completado en SUCURSAL")</f>
        <v>Completado en SUCURSAL</v>
      </c>
      <c r="J1952" s="1">
        <f t="shared" si="3"/>
        <v>5</v>
      </c>
      <c r="K1952" s="1" t="str">
        <f t="shared" si="4"/>
        <v>Tus Lentes estan LISTAS PARA ENTREGAR, te esperamos.</v>
      </c>
    </row>
    <row r="1953">
      <c r="A1953" s="1">
        <f>IFERROR(__xludf.DUMMYFUNCTION("""COMPUTED_VALUE"""),86503.0)</f>
        <v>86503</v>
      </c>
      <c r="B1953" s="5">
        <f>IFERROR(__xludf.DUMMYFUNCTION("""COMPUTED_VALUE"""),44970.712799270834)</f>
        <v>44970.7128</v>
      </c>
      <c r="C1953" s="1" t="str">
        <f>IFERROR(__xludf.DUMMYFUNCTION("""COMPUTED_VALUE"""),"CURI AGUIRRE LAURA VERONICA")</f>
        <v>CURI AGUIRRE LAURA VERONICA</v>
      </c>
      <c r="D1953" s="1" t="str">
        <f>IFERROR(__xludf.DUMMYFUNCTION("""COMPUTED_VALUE"""),"Lentes de STOCK")</f>
        <v>Lentes de STOCK</v>
      </c>
      <c r="E1953" s="1" t="str">
        <f>IFERROR(__xludf.DUMMYFUNCTION("""COMPUTED_VALUE"""),"RIVADAVIA Daniel CM")</f>
        <v>RIVADAVIA Daniel CM</v>
      </c>
      <c r="F1953" s="1" t="str">
        <f t="shared" si="1"/>
        <v>RIVADAVIA </v>
      </c>
      <c r="G1953" s="1" t="str">
        <f t="shared" si="2"/>
        <v>Daniel CM</v>
      </c>
      <c r="H1953" s="1" t="str">
        <f>IFERROR(__xludf.DUMMYFUNCTION("""COMPUTED_VALUE"""),"15/2/2023, 17:00:00")</f>
        <v>15/2/2023, 17:00:00</v>
      </c>
      <c r="I1953" s="1" t="str">
        <f>IFERROR(__xludf.DUMMYFUNCTION("""COMPUTED_VALUE"""),"Completado en SUCURSAL")</f>
        <v>Completado en SUCURSAL</v>
      </c>
      <c r="J1953" s="1">
        <f t="shared" si="3"/>
        <v>5</v>
      </c>
      <c r="K1953" s="1" t="str">
        <f t="shared" si="4"/>
        <v>Tus Lentes estan LISTAS PARA ENTREGAR, te esperamos.</v>
      </c>
    </row>
    <row r="1954">
      <c r="A1954" s="1">
        <f>IFERROR(__xludf.DUMMYFUNCTION("""COMPUTED_VALUE"""),86504.0)</f>
        <v>86504</v>
      </c>
      <c r="B1954" s="5">
        <f>IFERROR(__xludf.DUMMYFUNCTION("""COMPUTED_VALUE"""),44970.71891064815)</f>
        <v>44970.71891</v>
      </c>
      <c r="C1954" s="1" t="str">
        <f>IFERROR(__xludf.DUMMYFUNCTION("""COMPUTED_VALUE"""),"FLORES BAUTISTA")</f>
        <v>FLORES BAUTISTA</v>
      </c>
      <c r="D1954" s="1" t="str">
        <f>IFERROR(__xludf.DUMMYFUNCTION("""COMPUTED_VALUE"""),"Lentes de LABORATORIO")</f>
        <v>Lentes de LABORATORIO</v>
      </c>
      <c r="E1954" s="1" t="str">
        <f>IFERROR(__xludf.DUMMYFUNCTION("""COMPUTED_VALUE"""),"ARTIGAS Ivana P.")</f>
        <v>ARTIGAS Ivana P.</v>
      </c>
      <c r="F1954" s="1" t="str">
        <f t="shared" si="1"/>
        <v>ARTIGAS </v>
      </c>
      <c r="G1954" s="1" t="str">
        <f t="shared" si="2"/>
        <v>Ivana P.</v>
      </c>
      <c r="H1954" s="1" t="str">
        <f>IFERROR(__xludf.DUMMYFUNCTION("""COMPUTED_VALUE"""),"23/2/2023, 17:00:00")</f>
        <v>23/2/2023, 17:00:00</v>
      </c>
      <c r="I1954" s="1" t="str">
        <f>IFERROR(__xludf.DUMMYFUNCTION("""COMPUTED_VALUE"""),"Completado en SUCURSAL")</f>
        <v>Completado en SUCURSAL</v>
      </c>
      <c r="J1954" s="1">
        <f t="shared" si="3"/>
        <v>5</v>
      </c>
      <c r="K1954" s="1" t="str">
        <f t="shared" si="4"/>
        <v>Tus Lentes estan LISTAS PARA ENTREGAR, te esperamos.</v>
      </c>
    </row>
    <row r="1955">
      <c r="A1955" s="1">
        <f>IFERROR(__xludf.DUMMYFUNCTION("""COMPUTED_VALUE"""),86505.0)</f>
        <v>86505</v>
      </c>
      <c r="B1955" s="5">
        <f>IFERROR(__xludf.DUMMYFUNCTION("""COMPUTED_VALUE"""),44970.74114570602)</f>
        <v>44970.74115</v>
      </c>
      <c r="C1955" s="1" t="str">
        <f>IFERROR(__xludf.DUMMYFUNCTION("""COMPUTED_VALUE"""),"QUIROGA ANDREA ")</f>
        <v>QUIROGA ANDREA </v>
      </c>
      <c r="D1955" s="1" t="str">
        <f>IFERROR(__xludf.DUMMYFUNCTION("""COMPUTED_VALUE"""),"Lentes de STOCK")</f>
        <v>Lentes de STOCK</v>
      </c>
      <c r="E1955" s="1" t="str">
        <f>IFERROR(__xludf.DUMMYFUNCTION("""COMPUTED_VALUE"""),"RIVADAVIA Santiago N")</f>
        <v>RIVADAVIA Santiago N</v>
      </c>
      <c r="F1955" s="1" t="str">
        <f t="shared" si="1"/>
        <v>RIVADAVIA </v>
      </c>
      <c r="G1955" s="1" t="str">
        <f t="shared" si="2"/>
        <v>Santiago N</v>
      </c>
      <c r="H1955" s="1" t="str">
        <f>IFERROR(__xludf.DUMMYFUNCTION("""COMPUTED_VALUE"""),"16/2/2023, 17:00:00")</f>
        <v>16/2/2023, 17:00:00</v>
      </c>
      <c r="I1955" s="1" t="str">
        <f>IFERROR(__xludf.DUMMYFUNCTION("""COMPUTED_VALUE"""),"RETIRADO OK POR CLIENTE")</f>
        <v>RETIRADO OK POR CLIENTE</v>
      </c>
      <c r="J1955" s="1">
        <f t="shared" si="3"/>
        <v>6</v>
      </c>
      <c r="K1955" s="1" t="str">
        <f t="shared" si="4"/>
        <v>Entregamos tus lentes, que los disfrutes!</v>
      </c>
    </row>
    <row r="1956">
      <c r="A1956" s="1">
        <f>IFERROR(__xludf.DUMMYFUNCTION("""COMPUTED_VALUE"""),86506.0)</f>
        <v>86506</v>
      </c>
      <c r="B1956" s="5">
        <f>IFERROR(__xludf.DUMMYFUNCTION("""COMPUTED_VALUE"""),44970.74155057871)</f>
        <v>44970.74155</v>
      </c>
      <c r="C1956" s="1" t="str">
        <f>IFERROR(__xludf.DUMMYFUNCTION("""COMPUTED_VALUE"""),"ALCARAZ DOROTEA ")</f>
        <v>ALCARAZ DOROTEA </v>
      </c>
      <c r="D1956" s="1" t="str">
        <f>IFERROR(__xludf.DUMMYFUNCTION("""COMPUTED_VALUE"""),"Lentes de STOCK")</f>
        <v>Lentes de STOCK</v>
      </c>
      <c r="E1956" s="1" t="str">
        <f>IFERROR(__xludf.DUMMYFUNCTION("""COMPUTED_VALUE"""),"RIVADAVIA Luciana")</f>
        <v>RIVADAVIA Luciana</v>
      </c>
      <c r="F1956" s="1" t="str">
        <f t="shared" si="1"/>
        <v>RIVADAVIA </v>
      </c>
      <c r="G1956" s="1" t="str">
        <f t="shared" si="2"/>
        <v>Luciana</v>
      </c>
      <c r="H1956" s="1" t="str">
        <f>IFERROR(__xludf.DUMMYFUNCTION("""COMPUTED_VALUE"""),"17/2/2023, 17:00:00")</f>
        <v>17/2/2023, 17:00:00</v>
      </c>
      <c r="I1956" s="1" t="str">
        <f>IFERROR(__xludf.DUMMYFUNCTION("""COMPUTED_VALUE"""),"RETIRADO OK POR CLIENTE")</f>
        <v>RETIRADO OK POR CLIENTE</v>
      </c>
      <c r="J1956" s="1">
        <f t="shared" si="3"/>
        <v>6</v>
      </c>
      <c r="K1956" s="1" t="str">
        <f t="shared" si="4"/>
        <v>Entregamos tus lentes, que los disfrutes!</v>
      </c>
    </row>
    <row r="1957">
      <c r="A1957" s="1">
        <f>IFERROR(__xludf.DUMMYFUNCTION("""COMPUTED_VALUE"""),86507.0)</f>
        <v>86507</v>
      </c>
      <c r="B1957" s="5">
        <f>IFERROR(__xludf.DUMMYFUNCTION("""COMPUTED_VALUE"""),44970.74618233796)</f>
        <v>44970.74618</v>
      </c>
      <c r="C1957" s="1" t="str">
        <f>IFERROR(__xludf.DUMMYFUNCTION("""COMPUTED_VALUE"""),"SAAD ALI MAROOM")</f>
        <v>SAAD ALI MAROOM</v>
      </c>
      <c r="D1957" s="1" t="str">
        <f>IFERROR(__xludf.DUMMYFUNCTION("""COMPUTED_VALUE"""),"Lentes de STOCK")</f>
        <v>Lentes de STOCK</v>
      </c>
      <c r="E1957" s="1" t="str">
        <f>IFERROR(__xludf.DUMMYFUNCTION("""COMPUTED_VALUE"""),"RIVADAVIA Santiago N")</f>
        <v>RIVADAVIA Santiago N</v>
      </c>
      <c r="F1957" s="1" t="str">
        <f t="shared" si="1"/>
        <v>RIVADAVIA </v>
      </c>
      <c r="G1957" s="1" t="str">
        <f t="shared" si="2"/>
        <v>Santiago N</v>
      </c>
      <c r="H1957" s="1" t="str">
        <f>IFERROR(__xludf.DUMMYFUNCTION("""COMPUTED_VALUE"""),"16/2/2023, 17:00:00")</f>
        <v>16/2/2023, 17:00:00</v>
      </c>
      <c r="I1957" s="1" t="str">
        <f>IFERROR(__xludf.DUMMYFUNCTION("""COMPUTED_VALUE"""),"Completado en SUCURSAL")</f>
        <v>Completado en SUCURSAL</v>
      </c>
      <c r="J1957" s="1">
        <f t="shared" si="3"/>
        <v>5</v>
      </c>
      <c r="K1957" s="1" t="str">
        <f t="shared" si="4"/>
        <v>Tus Lentes estan LISTAS PARA ENTREGAR, te esperamos.</v>
      </c>
    </row>
    <row r="1958">
      <c r="A1958" s="1">
        <f>IFERROR(__xludf.DUMMYFUNCTION("""COMPUTED_VALUE"""),86508.0)</f>
        <v>86508</v>
      </c>
      <c r="B1958" s="5">
        <f>IFERROR(__xludf.DUMMYFUNCTION("""COMPUTED_VALUE"""),44970.76777774305)</f>
        <v>44970.76778</v>
      </c>
      <c r="C1958" s="1" t="str">
        <f>IFERROR(__xludf.DUMMYFUNCTION("""COMPUTED_VALUE"""),"SOSA LUDMILA")</f>
        <v>SOSA LUDMILA</v>
      </c>
      <c r="D1958" s="1" t="str">
        <f>IFERROR(__xludf.DUMMYFUNCTION("""COMPUTED_VALUE"""),"Reparaciones/Otros")</f>
        <v>Reparaciones/Otros</v>
      </c>
      <c r="E1958" s="1" t="str">
        <f>IFERROR(__xludf.DUMMYFUNCTION("""COMPUTED_VALUE"""),"RIVADAVIA Javier")</f>
        <v>RIVADAVIA Javier</v>
      </c>
      <c r="F1958" s="1" t="str">
        <f t="shared" si="1"/>
        <v>RIVADAVIA </v>
      </c>
      <c r="G1958" s="1" t="str">
        <f t="shared" si="2"/>
        <v>Javier</v>
      </c>
      <c r="H1958" s="1" t="str">
        <f>IFERROR(__xludf.DUMMYFUNCTION("""COMPUTED_VALUE"""),"14/2/2023, 17:00:00")</f>
        <v>14/2/2023, 17:00:00</v>
      </c>
      <c r="I1958" s="1" t="str">
        <f>IFERROR(__xludf.DUMMYFUNCTION("""COMPUTED_VALUE"""),"Completado en SUCURSAL")</f>
        <v>Completado en SUCURSAL</v>
      </c>
      <c r="J1958" s="1">
        <f t="shared" si="3"/>
        <v>5</v>
      </c>
      <c r="K1958" s="1" t="str">
        <f t="shared" si="4"/>
        <v>Tus Lentes estan LISTAS PARA ENTREGAR, te esperamos.</v>
      </c>
    </row>
    <row r="1959">
      <c r="A1959" s="1">
        <f>IFERROR(__xludf.DUMMYFUNCTION("""COMPUTED_VALUE"""),86509.0)</f>
        <v>86509</v>
      </c>
      <c r="B1959" s="5">
        <f>IFERROR(__xludf.DUMMYFUNCTION("""COMPUTED_VALUE"""),44970.76897981481)</f>
        <v>44970.76898</v>
      </c>
      <c r="C1959" s="1" t="str">
        <f>IFERROR(__xludf.DUMMYFUNCTION("""COMPUTED_VALUE"""),"Alvarez Flavio")</f>
        <v>Alvarez Flavio</v>
      </c>
      <c r="D1959" s="1" t="str">
        <f>IFERROR(__xludf.DUMMYFUNCTION("""COMPUTED_VALUE"""),"Lentes de STOCK")</f>
        <v>Lentes de STOCK</v>
      </c>
      <c r="E1959" s="1" t="str">
        <f>IFERROR(__xludf.DUMMYFUNCTION("""COMPUTED_VALUE"""),"ARTIGAS Roció")</f>
        <v>ARTIGAS Roció</v>
      </c>
      <c r="F1959" s="1" t="str">
        <f t="shared" si="1"/>
        <v>ARTIGAS </v>
      </c>
      <c r="G1959" s="1" t="str">
        <f t="shared" si="2"/>
        <v>Roció</v>
      </c>
      <c r="H1959" s="1" t="str">
        <f>IFERROR(__xludf.DUMMYFUNCTION("""COMPUTED_VALUE"""),"22/2/2023, 17:00:00")</f>
        <v>22/2/2023, 17:00:00</v>
      </c>
      <c r="I1959" s="1" t="str">
        <f>IFERROR(__xludf.DUMMYFUNCTION("""COMPUTED_VALUE"""),"RETIRADO OK POR CLIENTE")</f>
        <v>RETIRADO OK POR CLIENTE</v>
      </c>
      <c r="J1959" s="1">
        <f t="shared" si="3"/>
        <v>6</v>
      </c>
      <c r="K1959" s="1" t="str">
        <f t="shared" si="4"/>
        <v>Entregamos tus lentes, que los disfrutes!</v>
      </c>
    </row>
    <row r="1960">
      <c r="A1960" s="1">
        <f>IFERROR(__xludf.DUMMYFUNCTION("""COMPUTED_VALUE"""),86510.0)</f>
        <v>86510</v>
      </c>
      <c r="B1960" s="5">
        <f>IFERROR(__xludf.DUMMYFUNCTION("""COMPUTED_VALUE"""),44970.77236004629)</f>
        <v>44970.77236</v>
      </c>
      <c r="C1960" s="1" t="str">
        <f>IFERROR(__xludf.DUMMYFUNCTION("""COMPUTED_VALUE"""),"CIAN GIULIANA")</f>
        <v>CIAN GIULIANA</v>
      </c>
      <c r="D1960" s="1" t="str">
        <f>IFERROR(__xludf.DUMMYFUNCTION("""COMPUTED_VALUE"""),"Lentes de STOCK")</f>
        <v>Lentes de STOCK</v>
      </c>
      <c r="E1960" s="1" t="str">
        <f>IFERROR(__xludf.DUMMYFUNCTION("""COMPUTED_VALUE"""),"RIVADAVIA Javier")</f>
        <v>RIVADAVIA Javier</v>
      </c>
      <c r="F1960" s="1" t="str">
        <f t="shared" si="1"/>
        <v>RIVADAVIA </v>
      </c>
      <c r="G1960" s="1" t="str">
        <f t="shared" si="2"/>
        <v>Javier</v>
      </c>
      <c r="H1960" s="1" t="str">
        <f>IFERROR(__xludf.DUMMYFUNCTION("""COMPUTED_VALUE"""),"17/2/2023, 17:00:00")</f>
        <v>17/2/2023, 17:00:00</v>
      </c>
      <c r="I1960" s="1" t="str">
        <f>IFERROR(__xludf.DUMMYFUNCTION("""COMPUTED_VALUE"""),"RETIRADO OK POR CLIENTE")</f>
        <v>RETIRADO OK POR CLIENTE</v>
      </c>
      <c r="J1960" s="1">
        <f t="shared" si="3"/>
        <v>6</v>
      </c>
      <c r="K1960" s="1" t="str">
        <f t="shared" si="4"/>
        <v>Entregamos tus lentes, que los disfrutes!</v>
      </c>
    </row>
    <row r="1961">
      <c r="A1961" s="1">
        <f>IFERROR(__xludf.DUMMYFUNCTION("""COMPUTED_VALUE"""),86511.0)</f>
        <v>86511</v>
      </c>
      <c r="B1961" s="5">
        <f>IFERROR(__xludf.DUMMYFUNCTION("""COMPUTED_VALUE"""),44970.78071190973)</f>
        <v>44970.78071</v>
      </c>
      <c r="C1961" s="1" t="str">
        <f>IFERROR(__xludf.DUMMYFUNCTION("""COMPUTED_VALUE"""),"PARIS JORGE")</f>
        <v>PARIS JORGE</v>
      </c>
      <c r="D1961" s="1" t="str">
        <f>IFERROR(__xludf.DUMMYFUNCTION("""COMPUTED_VALUE"""),"Lentes de STOCK")</f>
        <v>Lentes de STOCK</v>
      </c>
      <c r="E1961" s="1" t="str">
        <f>IFERROR(__xludf.DUMMYFUNCTION("""COMPUTED_VALUE"""),"RIVADAVIA Luciana")</f>
        <v>RIVADAVIA Luciana</v>
      </c>
      <c r="F1961" s="1" t="str">
        <f t="shared" si="1"/>
        <v>RIVADAVIA </v>
      </c>
      <c r="G1961" s="1" t="str">
        <f t="shared" si="2"/>
        <v>Luciana</v>
      </c>
      <c r="H1961" s="1" t="str">
        <f>IFERROR(__xludf.DUMMYFUNCTION("""COMPUTED_VALUE"""),"23/2/2023, 17:00:00")</f>
        <v>23/2/2023, 17:00:00</v>
      </c>
      <c r="I1961" s="1" t="str">
        <f>IFERROR(__xludf.DUMMYFUNCTION("""COMPUTED_VALUE"""),"Completado en SUCURSAL")</f>
        <v>Completado en SUCURSAL</v>
      </c>
      <c r="J1961" s="1">
        <f t="shared" si="3"/>
        <v>5</v>
      </c>
      <c r="K1961" s="1" t="str">
        <f t="shared" si="4"/>
        <v>Tus Lentes estan LISTAS PARA ENTREGAR, te esperamos.</v>
      </c>
    </row>
    <row r="1962">
      <c r="A1962" s="1">
        <f>IFERROR(__xludf.DUMMYFUNCTION("""COMPUTED_VALUE"""),86512.0)</f>
        <v>86512</v>
      </c>
      <c r="B1962" s="5">
        <f>IFERROR(__xludf.DUMMYFUNCTION("""COMPUTED_VALUE"""),44970.790498518516)</f>
        <v>44970.7905</v>
      </c>
      <c r="C1962" s="1" t="str">
        <f>IFERROR(__xludf.DUMMYFUNCTION("""COMPUTED_VALUE"""),"GIL RICARDO")</f>
        <v>GIL RICARDO</v>
      </c>
      <c r="D1962" s="1" t="str">
        <f>IFERROR(__xludf.DUMMYFUNCTION("""COMPUTED_VALUE"""),"Lentes MULTIFOCALES")</f>
        <v>Lentes MULTIFOCALES</v>
      </c>
      <c r="E1962" s="1" t="str">
        <f>IFERROR(__xludf.DUMMYFUNCTION("""COMPUTED_VALUE"""),"ARTIGAS Ivana P.")</f>
        <v>ARTIGAS Ivana P.</v>
      </c>
      <c r="F1962" s="1" t="str">
        <f t="shared" si="1"/>
        <v>ARTIGAS </v>
      </c>
      <c r="G1962" s="1" t="str">
        <f t="shared" si="2"/>
        <v>Ivana P.</v>
      </c>
      <c r="H1962" s="1" t="str">
        <f>IFERROR(__xludf.DUMMYFUNCTION("""COMPUTED_VALUE"""),"27/2/2023, 17:00:00")</f>
        <v>27/2/2023, 17:00:00</v>
      </c>
      <c r="I1962" s="1" t="str">
        <f>IFERROR(__xludf.DUMMYFUNCTION("""COMPUTED_VALUE"""),"RETIRADO OK POR CLIENTE")</f>
        <v>RETIRADO OK POR CLIENTE</v>
      </c>
      <c r="J1962" s="1">
        <f t="shared" si="3"/>
        <v>6</v>
      </c>
      <c r="K1962" s="1" t="str">
        <f t="shared" si="4"/>
        <v>Entregamos tus lentes, que los disfrutes!</v>
      </c>
    </row>
    <row r="1963">
      <c r="A1963" s="1">
        <f>IFERROR(__xludf.DUMMYFUNCTION("""COMPUTED_VALUE"""),86513.0)</f>
        <v>86513</v>
      </c>
      <c r="B1963" s="5">
        <f>IFERROR(__xludf.DUMMYFUNCTION("""COMPUTED_VALUE"""),44970.79517158565)</f>
        <v>44970.79517</v>
      </c>
      <c r="C1963" s="1" t="str">
        <f>IFERROR(__xludf.DUMMYFUNCTION("""COMPUTED_VALUE"""),"Gomez Nelida")</f>
        <v>Gomez Nelida</v>
      </c>
      <c r="D1963" s="1" t="str">
        <f>IFERROR(__xludf.DUMMYFUNCTION("""COMPUTED_VALUE"""),"Lentes de STOCK")</f>
        <v>Lentes de STOCK</v>
      </c>
      <c r="E1963" s="1" t="str">
        <f>IFERROR(__xludf.DUMMYFUNCTION("""COMPUTED_VALUE"""),"ARTIGAS Roció")</f>
        <v>ARTIGAS Roció</v>
      </c>
      <c r="F1963" s="1" t="str">
        <f t="shared" si="1"/>
        <v>ARTIGAS </v>
      </c>
      <c r="G1963" s="1" t="str">
        <f t="shared" si="2"/>
        <v>Roció</v>
      </c>
      <c r="H1963" s="1" t="str">
        <f>IFERROR(__xludf.DUMMYFUNCTION("""COMPUTED_VALUE"""),"23/2/2023, 17:00:00")</f>
        <v>23/2/2023, 17:00:00</v>
      </c>
      <c r="I1963" s="1" t="str">
        <f>IFERROR(__xludf.DUMMYFUNCTION("""COMPUTED_VALUE"""),"RETIRADO OK POR CLIENTE")</f>
        <v>RETIRADO OK POR CLIENTE</v>
      </c>
      <c r="J1963" s="1">
        <f t="shared" si="3"/>
        <v>6</v>
      </c>
      <c r="K1963" s="1" t="str">
        <f t="shared" si="4"/>
        <v>Entregamos tus lentes, que los disfrutes!</v>
      </c>
    </row>
    <row r="1964">
      <c r="A1964" s="1">
        <f>IFERROR(__xludf.DUMMYFUNCTION("""COMPUTED_VALUE"""),86514.0)</f>
        <v>86514</v>
      </c>
      <c r="B1964" s="5">
        <f>IFERROR(__xludf.DUMMYFUNCTION("""COMPUTED_VALUE"""),44970.79950190972)</f>
        <v>44970.7995</v>
      </c>
      <c r="C1964" s="1" t="str">
        <f>IFERROR(__xludf.DUMMYFUNCTION("""COMPUTED_VALUE"""),"LUCERO RUTH ")</f>
        <v>LUCERO RUTH </v>
      </c>
      <c r="D1964" s="1" t="str">
        <f>IFERROR(__xludf.DUMMYFUNCTION("""COMPUTED_VALUE"""),"Lentes de STOCK")</f>
        <v>Lentes de STOCK</v>
      </c>
      <c r="E1964" s="1" t="str">
        <f>IFERROR(__xludf.DUMMYFUNCTION("""COMPUTED_VALUE"""),"RIVADAVIA Luciana")</f>
        <v>RIVADAVIA Luciana</v>
      </c>
      <c r="F1964" s="1" t="str">
        <f t="shared" si="1"/>
        <v>RIVADAVIA </v>
      </c>
      <c r="G1964" s="1" t="str">
        <f t="shared" si="2"/>
        <v>Luciana</v>
      </c>
      <c r="H1964" s="1" t="str">
        <f>IFERROR(__xludf.DUMMYFUNCTION("""COMPUTED_VALUE"""),"17/2/2023, 17:00:00")</f>
        <v>17/2/2023, 17:00:00</v>
      </c>
      <c r="I1964" s="1" t="str">
        <f>IFERROR(__xludf.DUMMYFUNCTION("""COMPUTED_VALUE"""),"RETIRADO OK POR CLIENTE")</f>
        <v>RETIRADO OK POR CLIENTE</v>
      </c>
      <c r="J1964" s="1">
        <f t="shared" si="3"/>
        <v>6</v>
      </c>
      <c r="K1964" s="1" t="str">
        <f t="shared" si="4"/>
        <v>Entregamos tus lentes, que los disfrutes!</v>
      </c>
    </row>
    <row r="1965">
      <c r="A1965" s="1">
        <f>IFERROR(__xludf.DUMMYFUNCTION("""COMPUTED_VALUE"""),86515.0)</f>
        <v>86515</v>
      </c>
      <c r="B1965" s="5">
        <f>IFERROR(__xludf.DUMMYFUNCTION("""COMPUTED_VALUE"""),44970.80100924768)</f>
        <v>44970.80101</v>
      </c>
      <c r="C1965" s="1" t="str">
        <f>IFERROR(__xludf.DUMMYFUNCTION("""COMPUTED_VALUE"""),"LEONE IVY")</f>
        <v>LEONE IVY</v>
      </c>
      <c r="D1965" s="1" t="str">
        <f>IFERROR(__xludf.DUMMYFUNCTION("""COMPUTED_VALUE"""),"Lentes MULTIFOCALES")</f>
        <v>Lentes MULTIFOCALES</v>
      </c>
      <c r="E1965" s="1" t="str">
        <f>IFERROR(__xludf.DUMMYFUNCTION("""COMPUTED_VALUE"""),"RIVADAVIA Santiago N")</f>
        <v>RIVADAVIA Santiago N</v>
      </c>
      <c r="F1965" s="1" t="str">
        <f t="shared" si="1"/>
        <v>RIVADAVIA </v>
      </c>
      <c r="G1965" s="1" t="str">
        <f t="shared" si="2"/>
        <v>Santiago N</v>
      </c>
      <c r="H1965" s="1" t="str">
        <f>IFERROR(__xludf.DUMMYFUNCTION("""COMPUTED_VALUE"""),"27/2/2023, 17:00:00")</f>
        <v>27/2/2023, 17:00:00</v>
      </c>
      <c r="I1965" s="1" t="str">
        <f>IFERROR(__xludf.DUMMYFUNCTION("""COMPUTED_VALUE"""),"Completado en SUCURSAL")</f>
        <v>Completado en SUCURSAL</v>
      </c>
      <c r="J1965" s="1">
        <f t="shared" si="3"/>
        <v>5</v>
      </c>
      <c r="K1965" s="1" t="str">
        <f t="shared" si="4"/>
        <v>Tus Lentes estan LISTAS PARA ENTREGAR, te esperamos.</v>
      </c>
    </row>
    <row r="1966">
      <c r="A1966" s="1">
        <f>IFERROR(__xludf.DUMMYFUNCTION("""COMPUTED_VALUE"""),86516.0)</f>
        <v>86516</v>
      </c>
      <c r="B1966" s="5">
        <f>IFERROR(__xludf.DUMMYFUNCTION("""COMPUTED_VALUE"""),44970.80477689815)</f>
        <v>44970.80478</v>
      </c>
      <c r="C1966" s="1" t="str">
        <f>IFERROR(__xludf.DUMMYFUNCTION("""COMPUTED_VALUE"""),"GOMEZ, VICTORIA SOLANA")</f>
        <v>GOMEZ, VICTORIA SOLANA</v>
      </c>
      <c r="D1966" s="1" t="str">
        <f>IFERROR(__xludf.DUMMYFUNCTION("""COMPUTED_VALUE"""),"Lentes de STOCK")</f>
        <v>Lentes de STOCK</v>
      </c>
      <c r="E1966" s="1" t="str">
        <f>IFERROR(__xludf.DUMMYFUNCTION("""COMPUTED_VALUE"""),"ARTIGAS Roció")</f>
        <v>ARTIGAS Roció</v>
      </c>
      <c r="F1966" s="1" t="str">
        <f t="shared" si="1"/>
        <v>ARTIGAS </v>
      </c>
      <c r="G1966" s="1" t="str">
        <f t="shared" si="2"/>
        <v>Roció</v>
      </c>
      <c r="H1966" s="1" t="str">
        <f>IFERROR(__xludf.DUMMYFUNCTION("""COMPUTED_VALUE"""),"22/2/2023, 17:00:00")</f>
        <v>22/2/2023, 17:00:00</v>
      </c>
      <c r="I1966" s="1" t="str">
        <f>IFERROR(__xludf.DUMMYFUNCTION("""COMPUTED_VALUE"""),"Completado en SUCURSAL")</f>
        <v>Completado en SUCURSAL</v>
      </c>
      <c r="J1966" s="1">
        <f t="shared" si="3"/>
        <v>5</v>
      </c>
      <c r="K1966" s="1" t="str">
        <f t="shared" si="4"/>
        <v>Tus Lentes estan LISTAS PARA ENTREGAR, te esperamos.</v>
      </c>
    </row>
    <row r="1967">
      <c r="A1967" s="1">
        <f>IFERROR(__xludf.DUMMYFUNCTION("""COMPUTED_VALUE"""),86517.0)</f>
        <v>86517</v>
      </c>
      <c r="B1967" s="5">
        <f>IFERROR(__xludf.DUMMYFUNCTION("""COMPUTED_VALUE"""),44970.80726253473)</f>
        <v>44970.80726</v>
      </c>
      <c r="C1967" s="1" t="str">
        <f>IFERROR(__xludf.DUMMYFUNCTION("""COMPUTED_VALUE"""),"PUEBLA ALFREDO")</f>
        <v>PUEBLA ALFREDO</v>
      </c>
      <c r="D1967" s="1" t="str">
        <f>IFERROR(__xludf.DUMMYFUNCTION("""COMPUTED_VALUE"""),"Lentes de STOCK")</f>
        <v>Lentes de STOCK</v>
      </c>
      <c r="E1967" s="1" t="str">
        <f>IFERROR(__xludf.DUMMYFUNCTION("""COMPUTED_VALUE"""),"ARTIGAS Ivana P.")</f>
        <v>ARTIGAS Ivana P.</v>
      </c>
      <c r="F1967" s="1" t="str">
        <f t="shared" si="1"/>
        <v>ARTIGAS </v>
      </c>
      <c r="G1967" s="1" t="str">
        <f t="shared" si="2"/>
        <v>Ivana P.</v>
      </c>
      <c r="H1967" s="1" t="str">
        <f>IFERROR(__xludf.DUMMYFUNCTION("""COMPUTED_VALUE"""),"16/2/2023, 17:00:00")</f>
        <v>16/2/2023, 17:00:00</v>
      </c>
      <c r="I1967" s="1" t="str">
        <f>IFERROR(__xludf.DUMMYFUNCTION("""COMPUTED_VALUE"""),"RETIRADO OK POR CLIENTE")</f>
        <v>RETIRADO OK POR CLIENTE</v>
      </c>
      <c r="J1967" s="1">
        <f t="shared" si="3"/>
        <v>6</v>
      </c>
      <c r="K1967" s="1" t="str">
        <f t="shared" si="4"/>
        <v>Entregamos tus lentes, que los disfrutes!</v>
      </c>
    </row>
    <row r="1968">
      <c r="A1968" s="1">
        <f>IFERROR(__xludf.DUMMYFUNCTION("""COMPUTED_VALUE"""),86518.0)</f>
        <v>86518</v>
      </c>
      <c r="B1968" s="5">
        <f>IFERROR(__xludf.DUMMYFUNCTION("""COMPUTED_VALUE"""),44970.808591712965)</f>
        <v>44970.80859</v>
      </c>
      <c r="C1968" s="1" t="str">
        <f>IFERROR(__xludf.DUMMYFUNCTION("""COMPUTED_VALUE"""),"Añes Brenda Estefania ")</f>
        <v>Añes Brenda Estefania </v>
      </c>
      <c r="D1968" s="1" t="str">
        <f>IFERROR(__xludf.DUMMYFUNCTION("""COMPUTED_VALUE"""),"Lentes de STOCK")</f>
        <v>Lentes de STOCK</v>
      </c>
      <c r="E1968" s="1" t="str">
        <f>IFERROR(__xludf.DUMMYFUNCTION("""COMPUTED_VALUE"""),"ARTIGAS Roció")</f>
        <v>ARTIGAS Roció</v>
      </c>
      <c r="F1968" s="1" t="str">
        <f t="shared" si="1"/>
        <v>ARTIGAS </v>
      </c>
      <c r="G1968" s="1" t="str">
        <f t="shared" si="2"/>
        <v>Roció</v>
      </c>
      <c r="H1968" s="1" t="str">
        <f>IFERROR(__xludf.DUMMYFUNCTION("""COMPUTED_VALUE"""),"22/2/2023, 17:00:00")</f>
        <v>22/2/2023, 17:00:00</v>
      </c>
      <c r="I1968" s="1" t="str">
        <f>IFERROR(__xludf.DUMMYFUNCTION("""COMPUTED_VALUE"""),"RETIRADO OK POR CLIENTE")</f>
        <v>RETIRADO OK POR CLIENTE</v>
      </c>
      <c r="J1968" s="1">
        <f t="shared" si="3"/>
        <v>6</v>
      </c>
      <c r="K1968" s="1" t="str">
        <f t="shared" si="4"/>
        <v>Entregamos tus lentes, que los disfrutes!</v>
      </c>
    </row>
    <row r="1969">
      <c r="A1969" s="1">
        <f>IFERROR(__xludf.DUMMYFUNCTION("""COMPUTED_VALUE"""),86519.0)</f>
        <v>86519</v>
      </c>
      <c r="B1969" s="5">
        <f>IFERROR(__xludf.DUMMYFUNCTION("""COMPUTED_VALUE"""),44970.81035388889)</f>
        <v>44970.81035</v>
      </c>
      <c r="C1969" s="1" t="str">
        <f>IFERROR(__xludf.DUMMYFUNCTION("""COMPUTED_VALUE"""),"ZANFAÑINI JORGE ANTONIO")</f>
        <v>ZANFAÑINI JORGE ANTONIO</v>
      </c>
      <c r="D1969" s="1" t="str">
        <f>IFERROR(__xludf.DUMMYFUNCTION("""COMPUTED_VALUE"""),"Lentes de STOCK")</f>
        <v>Lentes de STOCK</v>
      </c>
      <c r="E1969" s="1" t="str">
        <f>IFERROR(__xludf.DUMMYFUNCTION("""COMPUTED_VALUE"""),"RIVADAVIA Javier")</f>
        <v>RIVADAVIA Javier</v>
      </c>
      <c r="F1969" s="1" t="str">
        <f t="shared" si="1"/>
        <v>RIVADAVIA </v>
      </c>
      <c r="G1969" s="1" t="str">
        <f t="shared" si="2"/>
        <v>Javier</v>
      </c>
      <c r="H1969" s="1" t="str">
        <f>IFERROR(__xludf.DUMMYFUNCTION("""COMPUTED_VALUE"""),"16/2/2023, 17:00:00")</f>
        <v>16/2/2023, 17:00:00</v>
      </c>
      <c r="I1969" s="1" t="str">
        <f>IFERROR(__xludf.DUMMYFUNCTION("""COMPUTED_VALUE"""),"RETIRADO OK POR CLIENTE")</f>
        <v>RETIRADO OK POR CLIENTE</v>
      </c>
      <c r="J1969" s="1">
        <f t="shared" si="3"/>
        <v>6</v>
      </c>
      <c r="K1969" s="1" t="str">
        <f t="shared" si="4"/>
        <v>Entregamos tus lentes, que los disfrutes!</v>
      </c>
    </row>
    <row r="1970">
      <c r="A1970" s="1">
        <f>IFERROR(__xludf.DUMMYFUNCTION("""COMPUTED_VALUE"""),86520.0)</f>
        <v>86520</v>
      </c>
      <c r="B1970" s="5">
        <f>IFERROR(__xludf.DUMMYFUNCTION("""COMPUTED_VALUE"""),44970.81467194445)</f>
        <v>44970.81467</v>
      </c>
      <c r="C1970" s="1" t="str">
        <f>IFERROR(__xludf.DUMMYFUNCTION("""COMPUTED_VALUE"""),"GARCIA MARIA INES")</f>
        <v>GARCIA MARIA INES</v>
      </c>
      <c r="D1970" s="1" t="str">
        <f>IFERROR(__xludf.DUMMYFUNCTION("""COMPUTED_VALUE"""),"Lentes MULTIFOCALES")</f>
        <v>Lentes MULTIFOCALES</v>
      </c>
      <c r="E1970" s="1" t="str">
        <f>IFERROR(__xludf.DUMMYFUNCTION("""COMPUTED_VALUE"""),"ARTIGAS Ivana P.")</f>
        <v>ARTIGAS Ivana P.</v>
      </c>
      <c r="F1970" s="1" t="str">
        <f t="shared" si="1"/>
        <v>ARTIGAS </v>
      </c>
      <c r="G1970" s="1" t="str">
        <f t="shared" si="2"/>
        <v>Ivana P.</v>
      </c>
      <c r="H1970" s="1" t="str">
        <f>IFERROR(__xludf.DUMMYFUNCTION("""COMPUTED_VALUE"""),"28/2/2023, 17:00:00")</f>
        <v>28/2/2023, 17:00:00</v>
      </c>
      <c r="I1970" s="1"/>
      <c r="J1970" s="1">
        <f t="shared" si="3"/>
        <v>0</v>
      </c>
      <c r="K1970" s="1" t="str">
        <f t="shared" si="4"/>
        <v/>
      </c>
    </row>
    <row r="1971">
      <c r="A1971" s="1">
        <f>IFERROR(__xludf.DUMMYFUNCTION("""COMPUTED_VALUE"""),86521.0)</f>
        <v>86521</v>
      </c>
      <c r="B1971" s="5">
        <f>IFERROR(__xludf.DUMMYFUNCTION("""COMPUTED_VALUE"""),44970.81475175926)</f>
        <v>44970.81475</v>
      </c>
      <c r="C1971" s="1" t="str">
        <f>IFERROR(__xludf.DUMMYFUNCTION("""COMPUTED_VALUE"""),"OLGUIN DALMA ")</f>
        <v>OLGUIN DALMA </v>
      </c>
      <c r="D1971" s="1" t="str">
        <f>IFERROR(__xludf.DUMMYFUNCTION("""COMPUTED_VALUE"""),"Lentes de STOCK")</f>
        <v>Lentes de STOCK</v>
      </c>
      <c r="E1971" s="1" t="str">
        <f>IFERROR(__xludf.DUMMYFUNCTION("""COMPUTED_VALUE"""),"RIVADAVIA Luciana")</f>
        <v>RIVADAVIA Luciana</v>
      </c>
      <c r="F1971" s="1" t="str">
        <f t="shared" si="1"/>
        <v>RIVADAVIA </v>
      </c>
      <c r="G1971" s="1" t="str">
        <f t="shared" si="2"/>
        <v>Luciana</v>
      </c>
      <c r="H1971" s="1" t="str">
        <f>IFERROR(__xludf.DUMMYFUNCTION("""COMPUTED_VALUE"""),"16/2/2023, 17:00:00")</f>
        <v>16/2/2023, 17:00:00</v>
      </c>
      <c r="I1971" s="1" t="str">
        <f>IFERROR(__xludf.DUMMYFUNCTION("""COMPUTED_VALUE"""),"RETIRADO OK POR CLIENTE")</f>
        <v>RETIRADO OK POR CLIENTE</v>
      </c>
      <c r="J1971" s="1">
        <f t="shared" si="3"/>
        <v>6</v>
      </c>
      <c r="K1971" s="1" t="str">
        <f t="shared" si="4"/>
        <v>Entregamos tus lentes, que los disfrutes!</v>
      </c>
    </row>
    <row r="1972">
      <c r="A1972" s="1">
        <f>IFERROR(__xludf.DUMMYFUNCTION("""COMPUTED_VALUE"""),86522.0)</f>
        <v>86522</v>
      </c>
      <c r="B1972" s="5">
        <f>IFERROR(__xludf.DUMMYFUNCTION("""COMPUTED_VALUE"""),44970.81974021991)</f>
        <v>44970.81974</v>
      </c>
      <c r="C1972" s="1" t="str">
        <f>IFERROR(__xludf.DUMMYFUNCTION("""COMPUTED_VALUE"""),"JAQUELINE QUEVEDO")</f>
        <v>JAQUELINE QUEVEDO</v>
      </c>
      <c r="D1972" s="1" t="str">
        <f>IFERROR(__xludf.DUMMYFUNCTION("""COMPUTED_VALUE"""),"Reparaciones/Otros")</f>
        <v>Reparaciones/Otros</v>
      </c>
      <c r="E1972" s="1" t="str">
        <f>IFERROR(__xludf.DUMMYFUNCTION("""COMPUTED_VALUE"""),"RIVADAVIA Javier")</f>
        <v>RIVADAVIA Javier</v>
      </c>
      <c r="F1972" s="1" t="str">
        <f t="shared" si="1"/>
        <v>RIVADAVIA </v>
      </c>
      <c r="G1972" s="1" t="str">
        <f t="shared" si="2"/>
        <v>Javier</v>
      </c>
      <c r="H1972" s="1" t="str">
        <f>IFERROR(__xludf.DUMMYFUNCTION("""COMPUTED_VALUE"""),"14/2/2023, 17:00:00")</f>
        <v>14/2/2023, 17:00:00</v>
      </c>
      <c r="I1972" s="1" t="str">
        <f>IFERROR(__xludf.DUMMYFUNCTION("""COMPUTED_VALUE"""),"Completado en SUCURSAL")</f>
        <v>Completado en SUCURSAL</v>
      </c>
      <c r="J1972" s="1">
        <f t="shared" si="3"/>
        <v>5</v>
      </c>
      <c r="K1972" s="1" t="str">
        <f t="shared" si="4"/>
        <v>Tus Lentes estan LISTAS PARA ENTREGAR, te esperamos.</v>
      </c>
    </row>
    <row r="1973">
      <c r="A1973" s="1">
        <f>IFERROR(__xludf.DUMMYFUNCTION("""COMPUTED_VALUE"""),86523.0)</f>
        <v>86523</v>
      </c>
      <c r="B1973" s="5">
        <f>IFERROR(__xludf.DUMMYFUNCTION("""COMPUTED_VALUE"""),44970.821241377314)</f>
        <v>44970.82124</v>
      </c>
      <c r="C1973" s="1" t="str">
        <f>IFERROR(__xludf.DUMMYFUNCTION("""COMPUTED_VALUE"""),"rivero mirta")</f>
        <v>rivero mirta</v>
      </c>
      <c r="D1973" s="1" t="str">
        <f>IFERROR(__xludf.DUMMYFUNCTION("""COMPUTED_VALUE"""),"Lentes de STOCK")</f>
        <v>Lentes de STOCK</v>
      </c>
      <c r="E1973" s="1" t="str">
        <f>IFERROR(__xludf.DUMMYFUNCTION("""COMPUTED_VALUE"""),"RIVADAVIA Santiago N")</f>
        <v>RIVADAVIA Santiago N</v>
      </c>
      <c r="F1973" s="1" t="str">
        <f t="shared" si="1"/>
        <v>RIVADAVIA </v>
      </c>
      <c r="G1973" s="1" t="str">
        <f t="shared" si="2"/>
        <v>Santiago N</v>
      </c>
      <c r="H1973" s="1" t="str">
        <f>IFERROR(__xludf.DUMMYFUNCTION("""COMPUTED_VALUE"""),"16/2/2023, 17:00:00")</f>
        <v>16/2/2023, 17:00:00</v>
      </c>
      <c r="I1973" s="1" t="str">
        <f>IFERROR(__xludf.DUMMYFUNCTION("""COMPUTED_VALUE"""),"RETIRADO OK POR CLIENTE")</f>
        <v>RETIRADO OK POR CLIENTE</v>
      </c>
      <c r="J1973" s="1">
        <f t="shared" si="3"/>
        <v>6</v>
      </c>
      <c r="K1973" s="1" t="str">
        <f t="shared" si="4"/>
        <v>Entregamos tus lentes, que los disfrutes!</v>
      </c>
    </row>
    <row r="1974">
      <c r="A1974" s="1">
        <f>IFERROR(__xludf.DUMMYFUNCTION("""COMPUTED_VALUE"""),86524.0)</f>
        <v>86524</v>
      </c>
      <c r="B1974" s="5">
        <f>IFERROR(__xludf.DUMMYFUNCTION("""COMPUTED_VALUE"""),44970.821586782404)</f>
        <v>44970.82159</v>
      </c>
      <c r="C1974" s="1" t="str">
        <f>IFERROR(__xludf.DUMMYFUNCTION("""COMPUTED_VALUE"""),"QUEVEDO FLAVIA")</f>
        <v>QUEVEDO FLAVIA</v>
      </c>
      <c r="D1974" s="1" t="str">
        <f>IFERROR(__xludf.DUMMYFUNCTION("""COMPUTED_VALUE"""),"Reparaciones/Otros")</f>
        <v>Reparaciones/Otros</v>
      </c>
      <c r="E1974" s="1" t="str">
        <f>IFERROR(__xludf.DUMMYFUNCTION("""COMPUTED_VALUE"""),"RIVADAVIA Javier")</f>
        <v>RIVADAVIA Javier</v>
      </c>
      <c r="F1974" s="1" t="str">
        <f t="shared" si="1"/>
        <v>RIVADAVIA </v>
      </c>
      <c r="G1974" s="1" t="str">
        <f t="shared" si="2"/>
        <v>Javier</v>
      </c>
      <c r="H1974" s="1" t="str">
        <f>IFERROR(__xludf.DUMMYFUNCTION("""COMPUTED_VALUE"""),"14/2/2023, 17:00:00")</f>
        <v>14/2/2023, 17:00:00</v>
      </c>
      <c r="I1974" s="1" t="str">
        <f>IFERROR(__xludf.DUMMYFUNCTION("""COMPUTED_VALUE"""),"Recibido en Laboratorio")</f>
        <v>Recibido en Laboratorio</v>
      </c>
      <c r="J1974" s="1">
        <f t="shared" si="3"/>
        <v>2</v>
      </c>
      <c r="K1974" s="1" t="str">
        <f t="shared" si="4"/>
        <v>Nuestro Laboratorio esta trabajando en tus lentes, los entregaremos en la fecha acordada.</v>
      </c>
    </row>
    <row r="1975">
      <c r="A1975" s="1">
        <f>IFERROR(__xludf.DUMMYFUNCTION("""COMPUTED_VALUE"""),86525.0)</f>
        <v>86525</v>
      </c>
      <c r="B1975" s="5">
        <f>IFERROR(__xludf.DUMMYFUNCTION("""COMPUTED_VALUE"""),44970.82503475694)</f>
        <v>44970.82503</v>
      </c>
      <c r="C1975" s="1" t="str">
        <f>IFERROR(__xludf.DUMMYFUNCTION("""COMPUTED_VALUE"""),"GIMENEZ MARINA")</f>
        <v>GIMENEZ MARINA</v>
      </c>
      <c r="D1975" s="1" t="str">
        <f>IFERROR(__xludf.DUMMYFUNCTION("""COMPUTED_VALUE"""),"Reparaciones/Otros")</f>
        <v>Reparaciones/Otros</v>
      </c>
      <c r="E1975" s="1" t="str">
        <f>IFERROR(__xludf.DUMMYFUNCTION("""COMPUTED_VALUE"""),"ARTIGAS Roció")</f>
        <v>ARTIGAS Roció</v>
      </c>
      <c r="F1975" s="1" t="str">
        <f t="shared" si="1"/>
        <v>ARTIGAS </v>
      </c>
      <c r="G1975" s="1" t="str">
        <f t="shared" si="2"/>
        <v>Roció</v>
      </c>
      <c r="H1975" s="1" t="str">
        <f>IFERROR(__xludf.DUMMYFUNCTION("""COMPUTED_VALUE"""),"14/2/2023, 17:00:00")</f>
        <v>14/2/2023, 17:00:00</v>
      </c>
      <c r="I1975" s="1" t="str">
        <f>IFERROR(__xludf.DUMMYFUNCTION("""COMPUTED_VALUE"""),"Completado en SUCURSAL")</f>
        <v>Completado en SUCURSAL</v>
      </c>
      <c r="J1975" s="1">
        <f t="shared" si="3"/>
        <v>5</v>
      </c>
      <c r="K1975" s="1" t="str">
        <f t="shared" si="4"/>
        <v>Tus Lentes estan LISTAS PARA ENTREGAR, te esperamos.</v>
      </c>
    </row>
    <row r="1976">
      <c r="A1976" s="1">
        <f>IFERROR(__xludf.DUMMYFUNCTION("""COMPUTED_VALUE"""),86526.0)</f>
        <v>86526</v>
      </c>
      <c r="B1976" s="5">
        <f>IFERROR(__xludf.DUMMYFUNCTION("""COMPUTED_VALUE"""),44970.84565596065)</f>
        <v>44970.84566</v>
      </c>
      <c r="C1976" s="1" t="str">
        <f>IFERROR(__xludf.DUMMYFUNCTION("""COMPUTED_VALUE"""),"BIANCO MARTA ")</f>
        <v>BIANCO MARTA </v>
      </c>
      <c r="D1976" s="1" t="str">
        <f>IFERROR(__xludf.DUMMYFUNCTION("""COMPUTED_VALUE"""),"Lentes MULTIFOCALES")</f>
        <v>Lentes MULTIFOCALES</v>
      </c>
      <c r="E1976" s="1" t="str">
        <f>IFERROR(__xludf.DUMMYFUNCTION("""COMPUTED_VALUE"""),"RIVADAVIA Santiago N")</f>
        <v>RIVADAVIA Santiago N</v>
      </c>
      <c r="F1976" s="1" t="str">
        <f t="shared" si="1"/>
        <v>RIVADAVIA </v>
      </c>
      <c r="G1976" s="1" t="str">
        <f t="shared" si="2"/>
        <v>Santiago N</v>
      </c>
      <c r="H1976" s="1" t="str">
        <f>IFERROR(__xludf.DUMMYFUNCTION("""COMPUTED_VALUE"""),"27/2/2023, 17:00:00")</f>
        <v>27/2/2023, 17:00:00</v>
      </c>
      <c r="I1976" s="1" t="str">
        <f>IFERROR(__xludf.DUMMYFUNCTION("""COMPUTED_VALUE"""),"Completado en SUCURSAL")</f>
        <v>Completado en SUCURSAL</v>
      </c>
      <c r="J1976" s="1">
        <f t="shared" si="3"/>
        <v>5</v>
      </c>
      <c r="K1976" s="1" t="str">
        <f t="shared" si="4"/>
        <v>Tus Lentes estan LISTAS PARA ENTREGAR, te esperamos.</v>
      </c>
    </row>
    <row r="1977">
      <c r="A1977" s="1">
        <f>IFERROR(__xludf.DUMMYFUNCTION("""COMPUTED_VALUE"""),86527.0)</f>
        <v>86527</v>
      </c>
      <c r="B1977" s="5">
        <f>IFERROR(__xludf.DUMMYFUNCTION("""COMPUTED_VALUE"""),44970.84739983796)</f>
        <v>44970.8474</v>
      </c>
      <c r="C1977" s="1" t="str">
        <f>IFERROR(__xludf.DUMMYFUNCTION("""COMPUTED_VALUE"""),"ALI JORGE ALBERTO")</f>
        <v>ALI JORGE ALBERTO</v>
      </c>
      <c r="D1977" s="1" t="str">
        <f>IFERROR(__xludf.DUMMYFUNCTION("""COMPUTED_VALUE"""),"Lentes de STOCK")</f>
        <v>Lentes de STOCK</v>
      </c>
      <c r="E1977" s="1" t="str">
        <f>IFERROR(__xludf.DUMMYFUNCTION("""COMPUTED_VALUE"""),"RIVADAVIA Daniel CM")</f>
        <v>RIVADAVIA Daniel CM</v>
      </c>
      <c r="F1977" s="1" t="str">
        <f t="shared" si="1"/>
        <v>RIVADAVIA </v>
      </c>
      <c r="G1977" s="1" t="str">
        <f t="shared" si="2"/>
        <v>Daniel CM</v>
      </c>
      <c r="H1977" s="1" t="str">
        <f>IFERROR(__xludf.DUMMYFUNCTION("""COMPUTED_VALUE"""),"17/2/2023, 17:00:00")</f>
        <v>17/2/2023, 17:00:00</v>
      </c>
      <c r="I1977" s="1" t="str">
        <f>IFERROR(__xludf.DUMMYFUNCTION("""COMPUTED_VALUE"""),"RETIRADO OK POR CLIENTE")</f>
        <v>RETIRADO OK POR CLIENTE</v>
      </c>
      <c r="J1977" s="1">
        <f t="shared" si="3"/>
        <v>6</v>
      </c>
      <c r="K1977" s="1" t="str">
        <f t="shared" si="4"/>
        <v>Entregamos tus lentes, que los disfrutes!</v>
      </c>
    </row>
    <row r="1978">
      <c r="A1978" s="1">
        <f>IFERROR(__xludf.DUMMYFUNCTION("""COMPUTED_VALUE"""),86528.0)</f>
        <v>86528</v>
      </c>
      <c r="B1978" s="5">
        <f>IFERROR(__xludf.DUMMYFUNCTION("""COMPUTED_VALUE"""),44970.85502606482)</f>
        <v>44970.85503</v>
      </c>
      <c r="C1978" s="1" t="str">
        <f>IFERROR(__xludf.DUMMYFUNCTION("""COMPUTED_VALUE"""),"HORACIO MARTIN LUCERO")</f>
        <v>HORACIO MARTIN LUCERO</v>
      </c>
      <c r="D1978" s="1" t="str">
        <f>IFERROR(__xludf.DUMMYFUNCTION("""COMPUTED_VALUE"""),"Lentes de STOCK")</f>
        <v>Lentes de STOCK</v>
      </c>
      <c r="E1978" s="1" t="str">
        <f>IFERROR(__xludf.DUMMYFUNCTION("""COMPUTED_VALUE"""),"RIVADAVIA Javier")</f>
        <v>RIVADAVIA Javier</v>
      </c>
      <c r="F1978" s="1" t="str">
        <f t="shared" si="1"/>
        <v>RIVADAVIA </v>
      </c>
      <c r="G1978" s="1" t="str">
        <f t="shared" si="2"/>
        <v>Javier</v>
      </c>
      <c r="H1978" s="1" t="str">
        <f>IFERROR(__xludf.DUMMYFUNCTION("""COMPUTED_VALUE"""),"23/2/2023, 17:00:00")</f>
        <v>23/2/2023, 17:00:00</v>
      </c>
      <c r="I1978" s="1" t="str">
        <f>IFERROR(__xludf.DUMMYFUNCTION("""COMPUTED_VALUE"""),"Recibido en Laboratorio")</f>
        <v>Recibido en Laboratorio</v>
      </c>
      <c r="J1978" s="1">
        <f t="shared" si="3"/>
        <v>2</v>
      </c>
      <c r="K1978" s="1" t="str">
        <f t="shared" si="4"/>
        <v>Nuestro Laboratorio esta trabajando en tus lentes, los entregaremos en la fecha acordada.</v>
      </c>
    </row>
    <row r="1979">
      <c r="A1979" s="1">
        <f>IFERROR(__xludf.DUMMYFUNCTION("""COMPUTED_VALUE"""),86529.0)</f>
        <v>86529</v>
      </c>
      <c r="B1979" s="5">
        <f>IFERROR(__xludf.DUMMYFUNCTION("""COMPUTED_VALUE"""),44971.39217612268)</f>
        <v>44971.39218</v>
      </c>
      <c r="C1979" s="1" t="str">
        <f>IFERROR(__xludf.DUMMYFUNCTION("""COMPUTED_VALUE"""),"ROUGIER OLGA VIOLETA ")</f>
        <v>ROUGIER OLGA VIOLETA </v>
      </c>
      <c r="D1979" s="1" t="str">
        <f>IFERROR(__xludf.DUMMYFUNCTION("""COMPUTED_VALUE"""),"Reparaciones/Otros")</f>
        <v>Reparaciones/Otros</v>
      </c>
      <c r="E1979" s="1" t="str">
        <f>IFERROR(__xludf.DUMMYFUNCTION("""COMPUTED_VALUE"""),"RIVADAVIA Javier")</f>
        <v>RIVADAVIA Javier</v>
      </c>
      <c r="F1979" s="1" t="str">
        <f t="shared" si="1"/>
        <v>RIVADAVIA </v>
      </c>
      <c r="G1979" s="1" t="str">
        <f t="shared" si="2"/>
        <v>Javier</v>
      </c>
      <c r="H1979" s="1" t="str">
        <f>IFERROR(__xludf.DUMMYFUNCTION("""COMPUTED_VALUE"""),"15/2/2023, 17:00:00")</f>
        <v>15/2/2023, 17:00:00</v>
      </c>
      <c r="I1979" s="1" t="str">
        <f>IFERROR(__xludf.DUMMYFUNCTION("""COMPUTED_VALUE"""),"Completado en SUCURSAL")</f>
        <v>Completado en SUCURSAL</v>
      </c>
      <c r="J1979" s="1">
        <f t="shared" si="3"/>
        <v>5</v>
      </c>
      <c r="K1979" s="1" t="str">
        <f t="shared" si="4"/>
        <v>Tus Lentes estan LISTAS PARA ENTREGAR, te esperamos.</v>
      </c>
    </row>
    <row r="1980">
      <c r="A1980" s="1">
        <f>IFERROR(__xludf.DUMMYFUNCTION("""COMPUTED_VALUE"""),86530.0)</f>
        <v>86530</v>
      </c>
      <c r="B1980" s="5">
        <f>IFERROR(__xludf.DUMMYFUNCTION("""COMPUTED_VALUE"""),44971.394825763884)</f>
        <v>44971.39483</v>
      </c>
      <c r="C1980" s="1" t="str">
        <f>IFERROR(__xludf.DUMMYFUNCTION("""COMPUTED_VALUE"""),"KOLVA MIGUEL")</f>
        <v>KOLVA MIGUEL</v>
      </c>
      <c r="D1980" s="1" t="str">
        <f>IFERROR(__xludf.DUMMYFUNCTION("""COMPUTED_VALUE"""),"Lentes BIFOCALES")</f>
        <v>Lentes BIFOCALES</v>
      </c>
      <c r="E1980" s="1" t="str">
        <f>IFERROR(__xludf.DUMMYFUNCTION("""COMPUTED_VALUE"""),"RIVADAVIA Daniel CM")</f>
        <v>RIVADAVIA Daniel CM</v>
      </c>
      <c r="F1980" s="1" t="str">
        <f t="shared" si="1"/>
        <v>RIVADAVIA </v>
      </c>
      <c r="G1980" s="1" t="str">
        <f t="shared" si="2"/>
        <v>Daniel CM</v>
      </c>
      <c r="H1980" s="1" t="str">
        <f>IFERROR(__xludf.DUMMYFUNCTION("""COMPUTED_VALUE"""),"17/2/2023, 17:00:00")</f>
        <v>17/2/2023, 17:00:00</v>
      </c>
      <c r="I1980" s="1" t="str">
        <f>IFERROR(__xludf.DUMMYFUNCTION("""COMPUTED_VALUE"""),"RETIRADO OK POR CLIENTE")</f>
        <v>RETIRADO OK POR CLIENTE</v>
      </c>
      <c r="J1980" s="1">
        <f t="shared" si="3"/>
        <v>6</v>
      </c>
      <c r="K1980" s="1" t="str">
        <f t="shared" si="4"/>
        <v>Entregamos tus lentes, que los disfrutes!</v>
      </c>
    </row>
    <row r="1981">
      <c r="A1981" s="1">
        <f>IFERROR(__xludf.DUMMYFUNCTION("""COMPUTED_VALUE"""),86531.0)</f>
        <v>86531</v>
      </c>
      <c r="B1981" s="5">
        <f>IFERROR(__xludf.DUMMYFUNCTION("""COMPUTED_VALUE"""),44971.394958923614)</f>
        <v>44971.39496</v>
      </c>
      <c r="C1981" s="1" t="str">
        <f>IFERROR(__xludf.DUMMYFUNCTION("""COMPUTED_VALUE"""),"LUCERO RITA")</f>
        <v>LUCERO RITA</v>
      </c>
      <c r="D1981" s="1" t="str">
        <f>IFERROR(__xludf.DUMMYFUNCTION("""COMPUTED_VALUE"""),"Lentes BIFOCALES")</f>
        <v>Lentes BIFOCALES</v>
      </c>
      <c r="E1981" s="1" t="str">
        <f>IFERROR(__xludf.DUMMYFUNCTION("""COMPUTED_VALUE"""),"RIVADAVIA Santiago N")</f>
        <v>RIVADAVIA Santiago N</v>
      </c>
      <c r="F1981" s="1" t="str">
        <f t="shared" si="1"/>
        <v>RIVADAVIA </v>
      </c>
      <c r="G1981" s="1" t="str">
        <f t="shared" si="2"/>
        <v>Santiago N</v>
      </c>
      <c r="H1981" s="1" t="str">
        <f>IFERROR(__xludf.DUMMYFUNCTION("""COMPUTED_VALUE"""),"18/2/2023, 17:00:00")</f>
        <v>18/2/2023, 17:00:00</v>
      </c>
      <c r="I1981" s="1" t="str">
        <f>IFERROR(__xludf.DUMMYFUNCTION("""COMPUTED_VALUE"""),"Completado en SUCURSAL")</f>
        <v>Completado en SUCURSAL</v>
      </c>
      <c r="J1981" s="1">
        <f t="shared" si="3"/>
        <v>5</v>
      </c>
      <c r="K1981" s="1" t="str">
        <f t="shared" si="4"/>
        <v>Tus Lentes estan LISTAS PARA ENTREGAR, te esperamos.</v>
      </c>
    </row>
    <row r="1982">
      <c r="A1982" s="1">
        <f>IFERROR(__xludf.DUMMYFUNCTION("""COMPUTED_VALUE"""),86532.0)</f>
        <v>86532</v>
      </c>
      <c r="B1982" s="5">
        <f>IFERROR(__xludf.DUMMYFUNCTION("""COMPUTED_VALUE"""),44971.40244936342)</f>
        <v>44971.40245</v>
      </c>
      <c r="C1982" s="1" t="str">
        <f>IFERROR(__xludf.DUMMYFUNCTION("""COMPUTED_VALUE""")," PERALTA MIRTHA NELIDA")</f>
        <v> PERALTA MIRTHA NELIDA</v>
      </c>
      <c r="D1982" s="1" t="str">
        <f>IFERROR(__xludf.DUMMYFUNCTION("""COMPUTED_VALUE"""),"Lentes de STOCK")</f>
        <v>Lentes de STOCK</v>
      </c>
      <c r="E1982" s="1" t="str">
        <f>IFERROR(__xludf.DUMMYFUNCTION("""COMPUTED_VALUE"""),"ARTIGAS Roció")</f>
        <v>ARTIGAS Roció</v>
      </c>
      <c r="F1982" s="1" t="str">
        <f t="shared" si="1"/>
        <v>ARTIGAS </v>
      </c>
      <c r="G1982" s="1" t="str">
        <f t="shared" si="2"/>
        <v>Roció</v>
      </c>
      <c r="H1982" s="1" t="str">
        <f>IFERROR(__xludf.DUMMYFUNCTION("""COMPUTED_VALUE"""),"17/2/2023, 17:00:00")</f>
        <v>17/2/2023, 17:00:00</v>
      </c>
      <c r="I1982" s="1" t="str">
        <f>IFERROR(__xludf.DUMMYFUNCTION("""COMPUTED_VALUE"""),"RETIRADO OK POR CLIENTE")</f>
        <v>RETIRADO OK POR CLIENTE</v>
      </c>
      <c r="J1982" s="1">
        <f t="shared" si="3"/>
        <v>6</v>
      </c>
      <c r="K1982" s="1" t="str">
        <f t="shared" si="4"/>
        <v>Entregamos tus lentes, que los disfrutes!</v>
      </c>
    </row>
    <row r="1983">
      <c r="A1983" s="1">
        <f>IFERROR(__xludf.DUMMYFUNCTION("""COMPUTED_VALUE"""),86533.0)</f>
        <v>86533</v>
      </c>
      <c r="B1983" s="5">
        <f>IFERROR(__xludf.DUMMYFUNCTION("""COMPUTED_VALUE"""),44971.409417511575)</f>
        <v>44971.40942</v>
      </c>
      <c r="C1983" s="1" t="str">
        <f>IFERROR(__xludf.DUMMYFUNCTION("""COMPUTED_VALUE"""),"AVELLANEDA SILVIA MABEL ")</f>
        <v>AVELLANEDA SILVIA MABEL </v>
      </c>
      <c r="D1983" s="1" t="str">
        <f>IFERROR(__xludf.DUMMYFUNCTION("""COMPUTED_VALUE"""),"Lentes de STOCK")</f>
        <v>Lentes de STOCK</v>
      </c>
      <c r="E1983" s="1" t="str">
        <f>IFERROR(__xludf.DUMMYFUNCTION("""COMPUTED_VALUE"""),"ARTIGAS Roció")</f>
        <v>ARTIGAS Roció</v>
      </c>
      <c r="F1983" s="1" t="str">
        <f t="shared" si="1"/>
        <v>ARTIGAS </v>
      </c>
      <c r="G1983" s="1" t="str">
        <f t="shared" si="2"/>
        <v>Roció</v>
      </c>
      <c r="H1983" s="1" t="str">
        <f>IFERROR(__xludf.DUMMYFUNCTION("""COMPUTED_VALUE"""),"23/2/2023, 17:00:00")</f>
        <v>23/2/2023, 17:00:00</v>
      </c>
      <c r="I1983" s="1"/>
      <c r="J1983" s="1">
        <f t="shared" si="3"/>
        <v>0</v>
      </c>
      <c r="K1983" s="1" t="str">
        <f t="shared" si="4"/>
        <v/>
      </c>
    </row>
    <row r="1984">
      <c r="A1984" s="1">
        <f>IFERROR(__xludf.DUMMYFUNCTION("""COMPUTED_VALUE"""),86534.0)</f>
        <v>86534</v>
      </c>
      <c r="B1984" s="5">
        <f>IFERROR(__xludf.DUMMYFUNCTION("""COMPUTED_VALUE"""),44971.412906157406)</f>
        <v>44971.41291</v>
      </c>
      <c r="C1984" s="1" t="str">
        <f>IFERROR(__xludf.DUMMYFUNCTION("""COMPUTED_VALUE"""),"AVELLANEDA SILVIA MABEL")</f>
        <v>AVELLANEDA SILVIA MABEL</v>
      </c>
      <c r="D1984" s="1" t="str">
        <f>IFERROR(__xludf.DUMMYFUNCTION("""COMPUTED_VALUE"""),"Lentes de STOCK")</f>
        <v>Lentes de STOCK</v>
      </c>
      <c r="E1984" s="1" t="str">
        <f>IFERROR(__xludf.DUMMYFUNCTION("""COMPUTED_VALUE"""),"ARTIGAS Roció")</f>
        <v>ARTIGAS Roció</v>
      </c>
      <c r="F1984" s="1" t="str">
        <f t="shared" si="1"/>
        <v>ARTIGAS </v>
      </c>
      <c r="G1984" s="1" t="str">
        <f t="shared" si="2"/>
        <v>Roció</v>
      </c>
      <c r="H1984" s="1" t="str">
        <f>IFERROR(__xludf.DUMMYFUNCTION("""COMPUTED_VALUE"""),"27/2/2023, 17:00:00")</f>
        <v>27/2/2023, 17:00:00</v>
      </c>
      <c r="I1984" s="1" t="str">
        <f>IFERROR(__xludf.DUMMYFUNCTION("""COMPUTED_VALUE"""),"Completado en SUCURSAL")</f>
        <v>Completado en SUCURSAL</v>
      </c>
      <c r="J1984" s="1">
        <f t="shared" si="3"/>
        <v>5</v>
      </c>
      <c r="K1984" s="1" t="str">
        <f t="shared" si="4"/>
        <v>Tus Lentes estan LISTAS PARA ENTREGAR, te esperamos.</v>
      </c>
    </row>
    <row r="1985">
      <c r="A1985" s="1">
        <f>IFERROR(__xludf.DUMMYFUNCTION("""COMPUTED_VALUE"""),86535.0)</f>
        <v>86535</v>
      </c>
      <c r="B1985" s="5">
        <f>IFERROR(__xludf.DUMMYFUNCTION("""COMPUTED_VALUE"""),44971.417095358796)</f>
        <v>44971.4171</v>
      </c>
      <c r="C1985" s="1" t="str">
        <f>IFERROR(__xludf.DUMMYFUNCTION("""COMPUTED_VALUE"""),"GIMENEZ VALENTINA")</f>
        <v>GIMENEZ VALENTINA</v>
      </c>
      <c r="D1985" s="1" t="str">
        <f>IFERROR(__xludf.DUMMYFUNCTION("""COMPUTED_VALUE"""),"Lentes de STOCK")</f>
        <v>Lentes de STOCK</v>
      </c>
      <c r="E1985" s="1" t="str">
        <f>IFERROR(__xludf.DUMMYFUNCTION("""COMPUTED_VALUE"""),"ARTIGAS Ivana P.")</f>
        <v>ARTIGAS Ivana P.</v>
      </c>
      <c r="F1985" s="1" t="str">
        <f t="shared" si="1"/>
        <v>ARTIGAS </v>
      </c>
      <c r="G1985" s="1" t="str">
        <f t="shared" si="2"/>
        <v>Ivana P.</v>
      </c>
      <c r="H1985" s="1" t="str">
        <f>IFERROR(__xludf.DUMMYFUNCTION("""COMPUTED_VALUE"""),"16/2/2023, 17:00:00")</f>
        <v>16/2/2023, 17:00:00</v>
      </c>
      <c r="I1985" s="1" t="str">
        <f>IFERROR(__xludf.DUMMYFUNCTION("""COMPUTED_VALUE"""),"RETIRADO OK POR CLIENTE")</f>
        <v>RETIRADO OK POR CLIENTE</v>
      </c>
      <c r="J1985" s="1">
        <f t="shared" si="3"/>
        <v>6</v>
      </c>
      <c r="K1985" s="1" t="str">
        <f t="shared" si="4"/>
        <v>Entregamos tus lentes, que los disfrutes!</v>
      </c>
    </row>
    <row r="1986">
      <c r="A1986" s="1">
        <f>IFERROR(__xludf.DUMMYFUNCTION("""COMPUTED_VALUE"""),86536.0)</f>
        <v>86536</v>
      </c>
      <c r="B1986" s="5">
        <f>IFERROR(__xludf.DUMMYFUNCTION("""COMPUTED_VALUE"""),44971.41863371528)</f>
        <v>44971.41863</v>
      </c>
      <c r="C1986" s="1" t="str">
        <f>IFERROR(__xludf.DUMMYFUNCTION("""COMPUTED_VALUE"""),"BALAGUER JAUN")</f>
        <v>BALAGUER JAUN</v>
      </c>
      <c r="D1986" s="1" t="str">
        <f>IFERROR(__xludf.DUMMYFUNCTION("""COMPUTED_VALUE"""),"Lentes de STOCK")</f>
        <v>Lentes de STOCK</v>
      </c>
      <c r="E1986" s="1" t="str">
        <f>IFERROR(__xludf.DUMMYFUNCTION("""COMPUTED_VALUE"""),"RIVADAVIA Luciana")</f>
        <v>RIVADAVIA Luciana</v>
      </c>
      <c r="F1986" s="1" t="str">
        <f t="shared" si="1"/>
        <v>RIVADAVIA </v>
      </c>
      <c r="G1986" s="1" t="str">
        <f t="shared" si="2"/>
        <v>Luciana</v>
      </c>
      <c r="H1986" s="1" t="str">
        <f>IFERROR(__xludf.DUMMYFUNCTION("""COMPUTED_VALUE"""),"22/2/2023, 17:00:00")</f>
        <v>22/2/2023, 17:00:00</v>
      </c>
      <c r="I1986" s="1" t="str">
        <f>IFERROR(__xludf.DUMMYFUNCTION("""COMPUTED_VALUE"""),"RETIRADO OK POR CLIENTE")</f>
        <v>RETIRADO OK POR CLIENTE</v>
      </c>
      <c r="J1986" s="1">
        <f t="shared" si="3"/>
        <v>6</v>
      </c>
      <c r="K1986" s="1" t="str">
        <f t="shared" si="4"/>
        <v>Entregamos tus lentes, que los disfrutes!</v>
      </c>
    </row>
    <row r="1987">
      <c r="A1987" s="1">
        <f>IFERROR(__xludf.DUMMYFUNCTION("""COMPUTED_VALUE"""),86537.0)</f>
        <v>86537</v>
      </c>
      <c r="B1987" s="5">
        <f>IFERROR(__xludf.DUMMYFUNCTION("""COMPUTED_VALUE"""),44971.41875752315)</f>
        <v>44971.41876</v>
      </c>
      <c r="C1987" s="1" t="str">
        <f>IFERROR(__xludf.DUMMYFUNCTION("""COMPUTED_VALUE"""),"GIACOSA MARA ESTER")</f>
        <v>GIACOSA MARA ESTER</v>
      </c>
      <c r="D1987" s="1" t="str">
        <f>IFERROR(__xludf.DUMMYFUNCTION("""COMPUTED_VALUE"""),"Reparaciones/Otros")</f>
        <v>Reparaciones/Otros</v>
      </c>
      <c r="E1987" s="1" t="str">
        <f>IFERROR(__xludf.DUMMYFUNCTION("""COMPUTED_VALUE"""),"RIVADAVIA Javier")</f>
        <v>RIVADAVIA Javier</v>
      </c>
      <c r="F1987" s="1" t="str">
        <f t="shared" si="1"/>
        <v>RIVADAVIA </v>
      </c>
      <c r="G1987" s="1" t="str">
        <f t="shared" si="2"/>
        <v>Javier</v>
      </c>
      <c r="H1987" s="1" t="str">
        <f>IFERROR(__xludf.DUMMYFUNCTION("""COMPUTED_VALUE"""),"15/2/2023, 17:00:00")</f>
        <v>15/2/2023, 17:00:00</v>
      </c>
      <c r="I1987" s="1" t="str">
        <f>IFERROR(__xludf.DUMMYFUNCTION("""COMPUTED_VALUE"""),"Completado en SUCURSAL")</f>
        <v>Completado en SUCURSAL</v>
      </c>
      <c r="J1987" s="1">
        <f t="shared" si="3"/>
        <v>5</v>
      </c>
      <c r="K1987" s="1" t="str">
        <f t="shared" si="4"/>
        <v>Tus Lentes estan LISTAS PARA ENTREGAR, te esperamos.</v>
      </c>
    </row>
    <row r="1988">
      <c r="A1988" s="1">
        <f>IFERROR(__xludf.DUMMYFUNCTION("""COMPUTED_VALUE"""),86538.0)</f>
        <v>86538</v>
      </c>
      <c r="B1988" s="5">
        <f>IFERROR(__xludf.DUMMYFUNCTION("""COMPUTED_VALUE"""),44971.42563960648)</f>
        <v>44971.42564</v>
      </c>
      <c r="C1988" s="1" t="str">
        <f>IFERROR(__xludf.DUMMYFUNCTION("""COMPUTED_VALUE"""),"FERRARI ADELA")</f>
        <v>FERRARI ADELA</v>
      </c>
      <c r="D1988" s="1" t="str">
        <f>IFERROR(__xludf.DUMMYFUNCTION("""COMPUTED_VALUE"""),"Lentes de STOCK")</f>
        <v>Lentes de STOCK</v>
      </c>
      <c r="E1988" s="1" t="str">
        <f>IFERROR(__xludf.DUMMYFUNCTION("""COMPUTED_VALUE"""),"ARTIGAS Ivana P.")</f>
        <v>ARTIGAS Ivana P.</v>
      </c>
      <c r="F1988" s="1" t="str">
        <f t="shared" si="1"/>
        <v>ARTIGAS </v>
      </c>
      <c r="G1988" s="1" t="str">
        <f t="shared" si="2"/>
        <v>Ivana P.</v>
      </c>
      <c r="H1988" s="1" t="str">
        <f>IFERROR(__xludf.DUMMYFUNCTION("""COMPUTED_VALUE"""),"17/2/2023, 17:00:00")</f>
        <v>17/2/2023, 17:00:00</v>
      </c>
      <c r="I1988" s="1" t="str">
        <f>IFERROR(__xludf.DUMMYFUNCTION("""COMPUTED_VALUE"""),"RETIRADO OK POR CLIENTE")</f>
        <v>RETIRADO OK POR CLIENTE</v>
      </c>
      <c r="J1988" s="1">
        <f t="shared" si="3"/>
        <v>6</v>
      </c>
      <c r="K1988" s="1" t="str">
        <f t="shared" si="4"/>
        <v>Entregamos tus lentes, que los disfrutes!</v>
      </c>
    </row>
    <row r="1989">
      <c r="A1989" s="1">
        <f>IFERROR(__xludf.DUMMYFUNCTION("""COMPUTED_VALUE"""),86539.0)</f>
        <v>86539</v>
      </c>
      <c r="B1989" s="5">
        <f>IFERROR(__xludf.DUMMYFUNCTION("""COMPUTED_VALUE"""),44971.430388356486)</f>
        <v>44971.43039</v>
      </c>
      <c r="C1989" s="1" t="str">
        <f>IFERROR(__xludf.DUMMYFUNCTION("""COMPUTED_VALUE"""),"OJEDA LAURA ANTONIETA")</f>
        <v>OJEDA LAURA ANTONIETA</v>
      </c>
      <c r="D1989" s="1" t="str">
        <f>IFERROR(__xludf.DUMMYFUNCTION("""COMPUTED_VALUE"""),"Lentes de STOCK")</f>
        <v>Lentes de STOCK</v>
      </c>
      <c r="E1989" s="1" t="str">
        <f>IFERROR(__xludf.DUMMYFUNCTION("""COMPUTED_VALUE"""),"ARTIGAS Roció")</f>
        <v>ARTIGAS Roció</v>
      </c>
      <c r="F1989" s="1" t="str">
        <f t="shared" si="1"/>
        <v>ARTIGAS </v>
      </c>
      <c r="G1989" s="1" t="str">
        <f t="shared" si="2"/>
        <v>Roció</v>
      </c>
      <c r="H1989" s="1" t="str">
        <f>IFERROR(__xludf.DUMMYFUNCTION("""COMPUTED_VALUE"""),"23/2/2023, 17:00:00")</f>
        <v>23/2/2023, 17:00:00</v>
      </c>
      <c r="I1989" s="1" t="str">
        <f>IFERROR(__xludf.DUMMYFUNCTION("""COMPUTED_VALUE"""),"RETIRADO OK POR CLIENTE")</f>
        <v>RETIRADO OK POR CLIENTE</v>
      </c>
      <c r="J1989" s="1">
        <f t="shared" si="3"/>
        <v>6</v>
      </c>
      <c r="K1989" s="1" t="str">
        <f t="shared" si="4"/>
        <v>Entregamos tus lentes, que los disfrutes!</v>
      </c>
    </row>
    <row r="1990">
      <c r="A1990" s="1">
        <f>IFERROR(__xludf.DUMMYFUNCTION("""COMPUTED_VALUE"""),86540.0)</f>
        <v>86540</v>
      </c>
      <c r="B1990" s="5">
        <f>IFERROR(__xludf.DUMMYFUNCTION("""COMPUTED_VALUE"""),44971.43703925926)</f>
        <v>44971.43704</v>
      </c>
      <c r="C1990" s="1" t="str">
        <f>IFERROR(__xludf.DUMMYFUNCTION("""COMPUTED_VALUE"""),"GUALPA FRANCISCA")</f>
        <v>GUALPA FRANCISCA</v>
      </c>
      <c r="D1990" s="1" t="str">
        <f>IFERROR(__xludf.DUMMYFUNCTION("""COMPUTED_VALUE"""),"Lentes de STOCK")</f>
        <v>Lentes de STOCK</v>
      </c>
      <c r="E1990" s="1" t="str">
        <f>IFERROR(__xludf.DUMMYFUNCTION("""COMPUTED_VALUE"""),"ARTIGAS Roció")</f>
        <v>ARTIGAS Roció</v>
      </c>
      <c r="F1990" s="1" t="str">
        <f t="shared" si="1"/>
        <v>ARTIGAS </v>
      </c>
      <c r="G1990" s="1" t="str">
        <f t="shared" si="2"/>
        <v>Roció</v>
      </c>
      <c r="H1990" s="1" t="str">
        <f>IFERROR(__xludf.DUMMYFUNCTION("""COMPUTED_VALUE"""),"24/2/2023, 17:00:00")</f>
        <v>24/2/2023, 17:00:00</v>
      </c>
      <c r="I1990" s="1" t="str">
        <f>IFERROR(__xludf.DUMMYFUNCTION("""COMPUTED_VALUE"""),"RETIRADO OK POR CLIENTE")</f>
        <v>RETIRADO OK POR CLIENTE</v>
      </c>
      <c r="J1990" s="1">
        <f t="shared" si="3"/>
        <v>6</v>
      </c>
      <c r="K1990" s="1" t="str">
        <f t="shared" si="4"/>
        <v>Entregamos tus lentes, que los disfrutes!</v>
      </c>
    </row>
    <row r="1991">
      <c r="A1991" s="1">
        <f>IFERROR(__xludf.DUMMYFUNCTION("""COMPUTED_VALUE"""),86541.0)</f>
        <v>86541</v>
      </c>
      <c r="B1991" s="5">
        <f>IFERROR(__xludf.DUMMYFUNCTION("""COMPUTED_VALUE"""),44971.44736090278)</f>
        <v>44971.44736</v>
      </c>
      <c r="C1991" s="1" t="str">
        <f>IFERROR(__xludf.DUMMYFUNCTION("""COMPUTED_VALUE"""),"OCHOA ALBERTO ALFREDO ")</f>
        <v>OCHOA ALBERTO ALFREDO </v>
      </c>
      <c r="D1991" s="1" t="str">
        <f>IFERROR(__xludf.DUMMYFUNCTION("""COMPUTED_VALUE"""),"Lentes BIFOCALES")</f>
        <v>Lentes BIFOCALES</v>
      </c>
      <c r="E1991" s="1" t="str">
        <f>IFERROR(__xludf.DUMMYFUNCTION("""COMPUTED_VALUE"""),"ARTIGAS Roció")</f>
        <v>ARTIGAS Roció</v>
      </c>
      <c r="F1991" s="1" t="str">
        <f t="shared" si="1"/>
        <v>ARTIGAS </v>
      </c>
      <c r="G1991" s="1" t="str">
        <f t="shared" si="2"/>
        <v>Roció</v>
      </c>
      <c r="H1991" s="1" t="str">
        <f>IFERROR(__xludf.DUMMYFUNCTION("""COMPUTED_VALUE"""),"24/2/2023, 17:00:00")</f>
        <v>24/2/2023, 17:00:00</v>
      </c>
      <c r="I1991" s="1" t="str">
        <f>IFERROR(__xludf.DUMMYFUNCTION("""COMPUTED_VALUE"""),"Completado en SUCURSAL")</f>
        <v>Completado en SUCURSAL</v>
      </c>
      <c r="J1991" s="1">
        <f t="shared" si="3"/>
        <v>5</v>
      </c>
      <c r="K1991" s="1" t="str">
        <f t="shared" si="4"/>
        <v>Tus Lentes estan LISTAS PARA ENTREGAR, te esperamos.</v>
      </c>
    </row>
    <row r="1992">
      <c r="A1992" s="1">
        <f>IFERROR(__xludf.DUMMYFUNCTION("""COMPUTED_VALUE"""),86542.0)</f>
        <v>86542</v>
      </c>
      <c r="B1992" s="5">
        <f>IFERROR(__xludf.DUMMYFUNCTION("""COMPUTED_VALUE"""),44971.44772753472)</f>
        <v>44971.44773</v>
      </c>
      <c r="C1992" s="1" t="str">
        <f>IFERROR(__xludf.DUMMYFUNCTION("""COMPUTED_VALUE"""),"molina monica patricia")</f>
        <v>molina monica patricia</v>
      </c>
      <c r="D1992" s="1" t="str">
        <f>IFERROR(__xludf.DUMMYFUNCTION("""COMPUTED_VALUE"""),"Lentes de STOCK")</f>
        <v>Lentes de STOCK</v>
      </c>
      <c r="E1992" s="1" t="str">
        <f>IFERROR(__xludf.DUMMYFUNCTION("""COMPUTED_VALUE"""),"RIVADAVIA Daniel CM")</f>
        <v>RIVADAVIA Daniel CM</v>
      </c>
      <c r="F1992" s="1" t="str">
        <f t="shared" si="1"/>
        <v>RIVADAVIA </v>
      </c>
      <c r="G1992" s="1" t="str">
        <f t="shared" si="2"/>
        <v>Daniel CM</v>
      </c>
      <c r="H1992" s="1" t="str">
        <f>IFERROR(__xludf.DUMMYFUNCTION("""COMPUTED_VALUE"""),"16/2/2023, 17:00:00")</f>
        <v>16/2/2023, 17:00:00</v>
      </c>
      <c r="I1992" s="1" t="str">
        <f>IFERROR(__xludf.DUMMYFUNCTION("""COMPUTED_VALUE"""),"RETIRADO OK POR CLIENTE")</f>
        <v>RETIRADO OK POR CLIENTE</v>
      </c>
      <c r="J1992" s="1">
        <f t="shared" si="3"/>
        <v>6</v>
      </c>
      <c r="K1992" s="1" t="str">
        <f t="shared" si="4"/>
        <v>Entregamos tus lentes, que los disfrutes!</v>
      </c>
    </row>
    <row r="1993">
      <c r="A1993" s="1">
        <f>IFERROR(__xludf.DUMMYFUNCTION("""COMPUTED_VALUE"""),86543.0)</f>
        <v>86543</v>
      </c>
      <c r="B1993" s="5">
        <f>IFERROR(__xludf.DUMMYFUNCTION("""COMPUTED_VALUE"""),44971.45226708333)</f>
        <v>44971.45227</v>
      </c>
      <c r="C1993" s="1" t="str">
        <f>IFERROR(__xludf.DUMMYFUNCTION("""COMPUTED_VALUE"""),"de lanorte jose")</f>
        <v>de lanorte jose</v>
      </c>
      <c r="D1993" s="1" t="str">
        <f>IFERROR(__xludf.DUMMYFUNCTION("""COMPUTED_VALUE"""),"Reparaciones/Otros")</f>
        <v>Reparaciones/Otros</v>
      </c>
      <c r="E1993" s="1" t="str">
        <f>IFERROR(__xludf.DUMMYFUNCTION("""COMPUTED_VALUE"""),"RIVADAVIA Santiago N")</f>
        <v>RIVADAVIA Santiago N</v>
      </c>
      <c r="F1993" s="1" t="str">
        <f t="shared" si="1"/>
        <v>RIVADAVIA </v>
      </c>
      <c r="G1993" s="1" t="str">
        <f t="shared" si="2"/>
        <v>Santiago N</v>
      </c>
      <c r="H1993" s="1" t="str">
        <f>IFERROR(__xludf.DUMMYFUNCTION("""COMPUTED_VALUE"""),"15/2/2023, 17:00:00")</f>
        <v>15/2/2023, 17:00:00</v>
      </c>
      <c r="I1993" s="1" t="str">
        <f>IFERROR(__xludf.DUMMYFUNCTION("""COMPUTED_VALUE"""),"Completado en SUCURSAL")</f>
        <v>Completado en SUCURSAL</v>
      </c>
      <c r="J1993" s="1">
        <f t="shared" si="3"/>
        <v>5</v>
      </c>
      <c r="K1993" s="1" t="str">
        <f t="shared" si="4"/>
        <v>Tus Lentes estan LISTAS PARA ENTREGAR, te esperamos.</v>
      </c>
    </row>
    <row r="1994">
      <c r="A1994" s="1">
        <f>IFERROR(__xludf.DUMMYFUNCTION("""COMPUTED_VALUE"""),86544.0)</f>
        <v>86544</v>
      </c>
      <c r="B1994" s="5">
        <f>IFERROR(__xludf.DUMMYFUNCTION("""COMPUTED_VALUE"""),44971.458031319446)</f>
        <v>44971.45803</v>
      </c>
      <c r="C1994" s="1" t="str">
        <f>IFERROR(__xludf.DUMMYFUNCTION("""COMPUTED_VALUE"""),"pelaitay hoertencia")</f>
        <v>pelaitay hoertencia</v>
      </c>
      <c r="D1994" s="1" t="str">
        <f>IFERROR(__xludf.DUMMYFUNCTION("""COMPUTED_VALUE"""),"Lentes de STOCK")</f>
        <v>Lentes de STOCK</v>
      </c>
      <c r="E1994" s="1" t="str">
        <f>IFERROR(__xludf.DUMMYFUNCTION("""COMPUTED_VALUE"""),"RIVADAVIA Santiago N")</f>
        <v>RIVADAVIA Santiago N</v>
      </c>
      <c r="F1994" s="1" t="str">
        <f t="shared" si="1"/>
        <v>RIVADAVIA </v>
      </c>
      <c r="G1994" s="1" t="str">
        <f t="shared" si="2"/>
        <v>Santiago N</v>
      </c>
      <c r="H1994" s="1" t="str">
        <f>IFERROR(__xludf.DUMMYFUNCTION("""COMPUTED_VALUE"""),"17/2/2023, 17:00:00")</f>
        <v>17/2/2023, 17:00:00</v>
      </c>
      <c r="I1994" s="1" t="str">
        <f>IFERROR(__xludf.DUMMYFUNCTION("""COMPUTED_VALUE"""),"RETIRADO OK POR CLIENTE")</f>
        <v>RETIRADO OK POR CLIENTE</v>
      </c>
      <c r="J1994" s="1">
        <f t="shared" si="3"/>
        <v>6</v>
      </c>
      <c r="K1994" s="1" t="str">
        <f t="shared" si="4"/>
        <v>Entregamos tus lentes, que los disfrutes!</v>
      </c>
    </row>
    <row r="1995">
      <c r="A1995" s="1">
        <f>IFERROR(__xludf.DUMMYFUNCTION("""COMPUTED_VALUE"""),86545.0)</f>
        <v>86545</v>
      </c>
      <c r="B1995" s="5">
        <f>IFERROR(__xludf.DUMMYFUNCTION("""COMPUTED_VALUE"""),44971.45966641203)</f>
        <v>44971.45967</v>
      </c>
      <c r="C1995" s="1" t="str">
        <f>IFERROR(__xludf.DUMMYFUNCTION("""COMPUTED_VALUE"""),"videla tomas")</f>
        <v>videla tomas</v>
      </c>
      <c r="D1995" s="1" t="str">
        <f>IFERROR(__xludf.DUMMYFUNCTION("""COMPUTED_VALUE"""),"Reparaciones/Otros")</f>
        <v>Reparaciones/Otros</v>
      </c>
      <c r="E1995" s="1" t="str">
        <f>IFERROR(__xludf.DUMMYFUNCTION("""COMPUTED_VALUE"""),"RIVADAVIA Daniel CM")</f>
        <v>RIVADAVIA Daniel CM</v>
      </c>
      <c r="F1995" s="1" t="str">
        <f t="shared" si="1"/>
        <v>RIVADAVIA </v>
      </c>
      <c r="G1995" s="1" t="str">
        <f t="shared" si="2"/>
        <v>Daniel CM</v>
      </c>
      <c r="H1995" s="1" t="str">
        <f>IFERROR(__xludf.DUMMYFUNCTION("""COMPUTED_VALUE"""),"15/2/2023, 17:00:00")</f>
        <v>15/2/2023, 17:00:00</v>
      </c>
      <c r="I1995" s="1" t="str">
        <f>IFERROR(__xludf.DUMMYFUNCTION("""COMPUTED_VALUE"""),"Completado en SUCURSAL")</f>
        <v>Completado en SUCURSAL</v>
      </c>
      <c r="J1995" s="1">
        <f t="shared" si="3"/>
        <v>5</v>
      </c>
      <c r="K1995" s="1" t="str">
        <f t="shared" si="4"/>
        <v>Tus Lentes estan LISTAS PARA ENTREGAR, te esperamos.</v>
      </c>
    </row>
    <row r="1996">
      <c r="A1996" s="1">
        <f>IFERROR(__xludf.DUMMYFUNCTION("""COMPUTED_VALUE"""),86546.0)</f>
        <v>86546</v>
      </c>
      <c r="B1996" s="5">
        <f>IFERROR(__xludf.DUMMYFUNCTION("""COMPUTED_VALUE"""),44971.4612694213)</f>
        <v>44971.46127</v>
      </c>
      <c r="C1996" s="1" t="str">
        <f>IFERROR(__xludf.DUMMYFUNCTION("""COMPUTED_VALUE"""),"TOLEDO LILIANA ")</f>
        <v>TOLEDO LILIANA </v>
      </c>
      <c r="D1996" s="1" t="str">
        <f>IFERROR(__xludf.DUMMYFUNCTION("""COMPUTED_VALUE"""),"Lentes MULTIFOCALES")</f>
        <v>Lentes MULTIFOCALES</v>
      </c>
      <c r="E1996" s="1" t="str">
        <f>IFERROR(__xludf.DUMMYFUNCTION("""COMPUTED_VALUE"""),"RIVADAVIA Luciana")</f>
        <v>RIVADAVIA Luciana</v>
      </c>
      <c r="F1996" s="1" t="str">
        <f t="shared" si="1"/>
        <v>RIVADAVIA </v>
      </c>
      <c r="G1996" s="1" t="str">
        <f t="shared" si="2"/>
        <v>Luciana</v>
      </c>
      <c r="H1996" s="1" t="str">
        <f>IFERROR(__xludf.DUMMYFUNCTION("""COMPUTED_VALUE"""),"27/2/2023, 17:00:00")</f>
        <v>27/2/2023, 17:00:00</v>
      </c>
      <c r="I1996" s="1" t="str">
        <f>IFERROR(__xludf.DUMMYFUNCTION("""COMPUTED_VALUE"""),"Completado en SUCURSAL")</f>
        <v>Completado en SUCURSAL</v>
      </c>
      <c r="J1996" s="1">
        <f t="shared" si="3"/>
        <v>5</v>
      </c>
      <c r="K1996" s="1" t="str">
        <f t="shared" si="4"/>
        <v>Tus Lentes estan LISTAS PARA ENTREGAR, te esperamos.</v>
      </c>
    </row>
    <row r="1997">
      <c r="A1997" s="1">
        <f>IFERROR(__xludf.DUMMYFUNCTION("""COMPUTED_VALUE"""),86547.0)</f>
        <v>86547</v>
      </c>
      <c r="B1997" s="5">
        <f>IFERROR(__xludf.DUMMYFUNCTION("""COMPUTED_VALUE"""),44971.46503762732)</f>
        <v>44971.46504</v>
      </c>
      <c r="C1997" s="1" t="str">
        <f>IFERROR(__xludf.DUMMYFUNCTION("""COMPUTED_VALUE"""),"quiroga ariana agostina")</f>
        <v>quiroga ariana agostina</v>
      </c>
      <c r="D1997" s="1" t="str">
        <f>IFERROR(__xludf.DUMMYFUNCTION("""COMPUTED_VALUE"""),"Lentes de STOCK")</f>
        <v>Lentes de STOCK</v>
      </c>
      <c r="E1997" s="1" t="str">
        <f>IFERROR(__xludf.DUMMYFUNCTION("""COMPUTED_VALUE"""),"RIVADAVIA Santiago N")</f>
        <v>RIVADAVIA Santiago N</v>
      </c>
      <c r="F1997" s="1" t="str">
        <f t="shared" si="1"/>
        <v>RIVADAVIA </v>
      </c>
      <c r="G1997" s="1" t="str">
        <f t="shared" si="2"/>
        <v>Santiago N</v>
      </c>
      <c r="H1997" s="1" t="str">
        <f>IFERROR(__xludf.DUMMYFUNCTION("""COMPUTED_VALUE"""),"17/2/2023, 17:00:00")</f>
        <v>17/2/2023, 17:00:00</v>
      </c>
      <c r="I1997" s="1" t="str">
        <f>IFERROR(__xludf.DUMMYFUNCTION("""COMPUTED_VALUE"""),"RETIRADO OK POR CLIENTE")</f>
        <v>RETIRADO OK POR CLIENTE</v>
      </c>
      <c r="J1997" s="1">
        <f t="shared" si="3"/>
        <v>6</v>
      </c>
      <c r="K1997" s="1" t="str">
        <f t="shared" si="4"/>
        <v>Entregamos tus lentes, que los disfrutes!</v>
      </c>
    </row>
    <row r="1998">
      <c r="A1998" s="1">
        <f>IFERROR(__xludf.DUMMYFUNCTION("""COMPUTED_VALUE"""),86548.0)</f>
        <v>86548</v>
      </c>
      <c r="B1998" s="5">
        <f>IFERROR(__xludf.DUMMYFUNCTION("""COMPUTED_VALUE"""),44971.465749560186)</f>
        <v>44971.46575</v>
      </c>
      <c r="C1998" s="1" t="str">
        <f>IFERROR(__xludf.DUMMYFUNCTION("""COMPUTED_VALUE"""),"BITTANTE LAURA")</f>
        <v>BITTANTE LAURA</v>
      </c>
      <c r="D1998" s="1" t="str">
        <f>IFERROR(__xludf.DUMMYFUNCTION("""COMPUTED_VALUE"""),"Lentes de STOCK")</f>
        <v>Lentes de STOCK</v>
      </c>
      <c r="E1998" s="1" t="str">
        <f>IFERROR(__xludf.DUMMYFUNCTION("""COMPUTED_VALUE"""),"ARTIGAS Roció")</f>
        <v>ARTIGAS Roció</v>
      </c>
      <c r="F1998" s="1" t="str">
        <f t="shared" si="1"/>
        <v>ARTIGAS </v>
      </c>
      <c r="G1998" s="1" t="str">
        <f t="shared" si="2"/>
        <v>Roció</v>
      </c>
      <c r="H1998" s="1" t="str">
        <f>IFERROR(__xludf.DUMMYFUNCTION("""COMPUTED_VALUE"""),"24/2/2023, 17:00:00")</f>
        <v>24/2/2023, 17:00:00</v>
      </c>
      <c r="I1998" s="1" t="str">
        <f>IFERROR(__xludf.DUMMYFUNCTION("""COMPUTED_VALUE"""),"Completado en SUCURSAL")</f>
        <v>Completado en SUCURSAL</v>
      </c>
      <c r="J1998" s="1">
        <f t="shared" si="3"/>
        <v>5</v>
      </c>
      <c r="K1998" s="1" t="str">
        <f t="shared" si="4"/>
        <v>Tus Lentes estan LISTAS PARA ENTREGAR, te esperamos.</v>
      </c>
    </row>
    <row r="1999">
      <c r="A1999" s="1">
        <f>IFERROR(__xludf.DUMMYFUNCTION("""COMPUTED_VALUE"""),86549.0)</f>
        <v>86549</v>
      </c>
      <c r="B1999" s="5">
        <f>IFERROR(__xludf.DUMMYFUNCTION("""COMPUTED_VALUE"""),44971.466603611116)</f>
        <v>44971.4666</v>
      </c>
      <c r="C1999" s="1" t="str">
        <f>IFERROR(__xludf.DUMMYFUNCTION("""COMPUTED_VALUE"""),"LUCERO OLGA")</f>
        <v>LUCERO OLGA</v>
      </c>
      <c r="D1999" s="1" t="str">
        <f>IFERROR(__xludf.DUMMYFUNCTION("""COMPUTED_VALUE"""),"Lentes de STOCK")</f>
        <v>Lentes de STOCK</v>
      </c>
      <c r="E1999" s="1" t="str">
        <f>IFERROR(__xludf.DUMMYFUNCTION("""COMPUTED_VALUE"""),"RIVADAVIA Javier")</f>
        <v>RIVADAVIA Javier</v>
      </c>
      <c r="F1999" s="1" t="str">
        <f t="shared" si="1"/>
        <v>RIVADAVIA </v>
      </c>
      <c r="G1999" s="1" t="str">
        <f t="shared" si="2"/>
        <v>Javier</v>
      </c>
      <c r="H1999" s="1" t="str">
        <f>IFERROR(__xludf.DUMMYFUNCTION("""COMPUTED_VALUE"""),"23/2/2023, 17:00:00")</f>
        <v>23/2/2023, 17:00:00</v>
      </c>
      <c r="I1999" s="1"/>
      <c r="J1999" s="1">
        <f t="shared" si="3"/>
        <v>0</v>
      </c>
      <c r="K1999" s="1" t="str">
        <f t="shared" si="4"/>
        <v/>
      </c>
    </row>
    <row r="2000">
      <c r="A2000" s="1">
        <f>IFERROR(__xludf.DUMMYFUNCTION("""COMPUTED_VALUE"""),86550.0)</f>
        <v>86550</v>
      </c>
      <c r="B2000" s="5">
        <f>IFERROR(__xludf.DUMMYFUNCTION("""COMPUTED_VALUE"""),44971.47901439815)</f>
        <v>44971.47901</v>
      </c>
      <c r="C2000" s="1" t="str">
        <f>IFERROR(__xludf.DUMMYFUNCTION("""COMPUTED_VALUE"""),"MIRANDA NOLBERTO")</f>
        <v>MIRANDA NOLBERTO</v>
      </c>
      <c r="D2000" s="1" t="str">
        <f>IFERROR(__xludf.DUMMYFUNCTION("""COMPUTED_VALUE"""),"Reparaciones/Otros")</f>
        <v>Reparaciones/Otros</v>
      </c>
      <c r="E2000" s="1" t="str">
        <f>IFERROR(__xludf.DUMMYFUNCTION("""COMPUTED_VALUE"""),"ARTIGAS Roció")</f>
        <v>ARTIGAS Roció</v>
      </c>
      <c r="F2000" s="1" t="str">
        <f t="shared" si="1"/>
        <v>ARTIGAS </v>
      </c>
      <c r="G2000" s="1" t="str">
        <f t="shared" si="2"/>
        <v>Roció</v>
      </c>
      <c r="H2000" s="1" t="str">
        <f>IFERROR(__xludf.DUMMYFUNCTION("""COMPUTED_VALUE"""),"16/2/2023, 17:00:00")</f>
        <v>16/2/2023, 17:00:00</v>
      </c>
      <c r="I2000" s="1" t="str">
        <f>IFERROR(__xludf.DUMMYFUNCTION("""COMPUTED_VALUE"""),"Completado en SUCURSAL")</f>
        <v>Completado en SUCURSAL</v>
      </c>
      <c r="J2000" s="1">
        <f t="shared" si="3"/>
        <v>5</v>
      </c>
      <c r="K2000" s="1" t="str">
        <f t="shared" si="4"/>
        <v>Tus Lentes estan LISTAS PARA ENTREGAR, te esperamos.</v>
      </c>
    </row>
    <row r="2001">
      <c r="A2001" s="1">
        <f>IFERROR(__xludf.DUMMYFUNCTION("""COMPUTED_VALUE"""),86551.0)</f>
        <v>86551</v>
      </c>
      <c r="B2001" s="5">
        <f>IFERROR(__xludf.DUMMYFUNCTION("""COMPUTED_VALUE"""),44971.47997047454)</f>
        <v>44971.47997</v>
      </c>
      <c r="C2001" s="1" t="str">
        <f>IFERROR(__xludf.DUMMYFUNCTION("""COMPUTED_VALUE"""),"avaca gladys")</f>
        <v>avaca gladys</v>
      </c>
      <c r="D2001" s="1" t="str">
        <f>IFERROR(__xludf.DUMMYFUNCTION("""COMPUTED_VALUE"""),"Reparaciones/Otros")</f>
        <v>Reparaciones/Otros</v>
      </c>
      <c r="E2001" s="1" t="str">
        <f>IFERROR(__xludf.DUMMYFUNCTION("""COMPUTED_VALUE"""),"RIVADAVIA Santiago N")</f>
        <v>RIVADAVIA Santiago N</v>
      </c>
      <c r="F2001" s="1" t="str">
        <f t="shared" si="1"/>
        <v>RIVADAVIA </v>
      </c>
      <c r="G2001" s="1" t="str">
        <f t="shared" si="2"/>
        <v>Santiago N</v>
      </c>
      <c r="H2001" s="1" t="str">
        <f>IFERROR(__xludf.DUMMYFUNCTION("""COMPUTED_VALUE"""),"15/2/2023, 17:00:00")</f>
        <v>15/2/2023, 17:00:00</v>
      </c>
      <c r="I2001" s="1" t="str">
        <f>IFERROR(__xludf.DUMMYFUNCTION("""COMPUTED_VALUE"""),"Completado en SUCURSAL")</f>
        <v>Completado en SUCURSAL</v>
      </c>
      <c r="J2001" s="1">
        <f t="shared" si="3"/>
        <v>5</v>
      </c>
      <c r="K2001" s="1" t="str">
        <f t="shared" si="4"/>
        <v>Tus Lentes estan LISTAS PARA ENTREGAR, te esperamos.</v>
      </c>
    </row>
    <row r="2002">
      <c r="A2002" s="1">
        <f>IFERROR(__xludf.DUMMYFUNCTION("""COMPUTED_VALUE"""),86552.0)</f>
        <v>86552</v>
      </c>
      <c r="B2002" s="5">
        <f>IFERROR(__xludf.DUMMYFUNCTION("""COMPUTED_VALUE"""),44971.48802069444)</f>
        <v>44971.48802</v>
      </c>
      <c r="C2002" s="1" t="str">
        <f>IFERROR(__xludf.DUMMYFUNCTION("""COMPUTED_VALUE"""),"FUNEZ MARGARITA ESCOLASTICA")</f>
        <v>FUNEZ MARGARITA ESCOLASTICA</v>
      </c>
      <c r="D2002" s="1" t="str">
        <f>IFERROR(__xludf.DUMMYFUNCTION("""COMPUTED_VALUE"""),"Lentes de STOCK")</f>
        <v>Lentes de STOCK</v>
      </c>
      <c r="E2002" s="1" t="str">
        <f>IFERROR(__xludf.DUMMYFUNCTION("""COMPUTED_VALUE"""),"ARTIGAS Roció")</f>
        <v>ARTIGAS Roció</v>
      </c>
      <c r="F2002" s="1" t="str">
        <f t="shared" si="1"/>
        <v>ARTIGAS </v>
      </c>
      <c r="G2002" s="1" t="str">
        <f t="shared" si="2"/>
        <v>Roció</v>
      </c>
      <c r="H2002" s="1" t="str">
        <f>IFERROR(__xludf.DUMMYFUNCTION("""COMPUTED_VALUE"""),"23/2/2023, 17:00:00")</f>
        <v>23/2/2023, 17:00:00</v>
      </c>
      <c r="I2002" s="1" t="str">
        <f>IFERROR(__xludf.DUMMYFUNCTION("""COMPUTED_VALUE"""),"RETIRADO OK POR CLIENTE")</f>
        <v>RETIRADO OK POR CLIENTE</v>
      </c>
      <c r="J2002" s="1">
        <f t="shared" si="3"/>
        <v>6</v>
      </c>
      <c r="K2002" s="1" t="str">
        <f t="shared" si="4"/>
        <v>Entregamos tus lentes, que los disfrutes!</v>
      </c>
    </row>
    <row r="2003">
      <c r="A2003" s="1">
        <f>IFERROR(__xludf.DUMMYFUNCTION("""COMPUTED_VALUE"""),86553.0)</f>
        <v>86553</v>
      </c>
      <c r="B2003" s="5">
        <f>IFERROR(__xludf.DUMMYFUNCTION("""COMPUTED_VALUE"""),44971.48859893519)</f>
        <v>44971.4886</v>
      </c>
      <c r="C2003" s="1" t="str">
        <f>IFERROR(__xludf.DUMMYFUNCTION("""COMPUTED_VALUE"""),"maluff hilda")</f>
        <v>maluff hilda</v>
      </c>
      <c r="D2003" s="1" t="str">
        <f>IFERROR(__xludf.DUMMYFUNCTION("""COMPUTED_VALUE"""),"Lentes de STOCK")</f>
        <v>Lentes de STOCK</v>
      </c>
      <c r="E2003" s="1" t="str">
        <f>IFERROR(__xludf.DUMMYFUNCTION("""COMPUTED_VALUE"""),"RIVADAVIA Daniel CM")</f>
        <v>RIVADAVIA Daniel CM</v>
      </c>
      <c r="F2003" s="1" t="str">
        <f t="shared" si="1"/>
        <v>RIVADAVIA </v>
      </c>
      <c r="G2003" s="1" t="str">
        <f t="shared" si="2"/>
        <v>Daniel CM</v>
      </c>
      <c r="H2003" s="1" t="str">
        <f>IFERROR(__xludf.DUMMYFUNCTION("""COMPUTED_VALUE"""),"16/2/2023, 17:00:00")</f>
        <v>16/2/2023, 17:00:00</v>
      </c>
      <c r="I2003" s="1" t="str">
        <f>IFERROR(__xludf.DUMMYFUNCTION("""COMPUTED_VALUE"""),"Completado en SUCURSAL")</f>
        <v>Completado en SUCURSAL</v>
      </c>
      <c r="J2003" s="1">
        <f t="shared" si="3"/>
        <v>5</v>
      </c>
      <c r="K2003" s="1" t="str">
        <f t="shared" si="4"/>
        <v>Tus Lentes estan LISTAS PARA ENTREGAR, te esperamos.</v>
      </c>
    </row>
    <row r="2004">
      <c r="A2004" s="1">
        <f>IFERROR(__xludf.DUMMYFUNCTION("""COMPUTED_VALUE"""),86554.0)</f>
        <v>86554</v>
      </c>
      <c r="B2004" s="5">
        <f>IFERROR(__xludf.DUMMYFUNCTION("""COMPUTED_VALUE"""),44971.49439259259)</f>
        <v>44971.49439</v>
      </c>
      <c r="C2004" s="1" t="str">
        <f>IFERROR(__xludf.DUMMYFUNCTION("""COMPUTED_VALUE"""),"PANELO VALENTINA")</f>
        <v>PANELO VALENTINA</v>
      </c>
      <c r="D2004" s="1" t="str">
        <f>IFERROR(__xludf.DUMMYFUNCTION("""COMPUTED_VALUE"""),"Lentes de STOCK")</f>
        <v>Lentes de STOCK</v>
      </c>
      <c r="E2004" s="1" t="str">
        <f>IFERROR(__xludf.DUMMYFUNCTION("""COMPUTED_VALUE"""),"RIVADAVIA Luciana")</f>
        <v>RIVADAVIA Luciana</v>
      </c>
      <c r="F2004" s="1" t="str">
        <f t="shared" si="1"/>
        <v>RIVADAVIA </v>
      </c>
      <c r="G2004" s="1" t="str">
        <f t="shared" si="2"/>
        <v>Luciana</v>
      </c>
      <c r="H2004" s="1" t="str">
        <f>IFERROR(__xludf.DUMMYFUNCTION("""COMPUTED_VALUE"""),"23/2/2023, 17:00:00")</f>
        <v>23/2/2023, 17:00:00</v>
      </c>
      <c r="I2004" s="1" t="str">
        <f>IFERROR(__xludf.DUMMYFUNCTION("""COMPUTED_VALUE"""),"Completado en SUCURSAL")</f>
        <v>Completado en SUCURSAL</v>
      </c>
      <c r="J2004" s="1">
        <f t="shared" si="3"/>
        <v>5</v>
      </c>
      <c r="K2004" s="1" t="str">
        <f t="shared" si="4"/>
        <v>Tus Lentes estan LISTAS PARA ENTREGAR, te esperamos.</v>
      </c>
    </row>
    <row r="2005">
      <c r="A2005" s="1">
        <f>IFERROR(__xludf.DUMMYFUNCTION("""COMPUTED_VALUE"""),86555.0)</f>
        <v>86555</v>
      </c>
      <c r="B2005" s="5">
        <f>IFERROR(__xludf.DUMMYFUNCTION("""COMPUTED_VALUE"""),44971.49576359954)</f>
        <v>44971.49576</v>
      </c>
      <c r="C2005" s="1" t="str">
        <f>IFERROR(__xludf.DUMMYFUNCTION("""COMPUTED_VALUE"""),"lasko guillermo jorge")</f>
        <v>lasko guillermo jorge</v>
      </c>
      <c r="D2005" s="1" t="str">
        <f>IFERROR(__xludf.DUMMYFUNCTION("""COMPUTED_VALUE"""),"Lentes de STOCK")</f>
        <v>Lentes de STOCK</v>
      </c>
      <c r="E2005" s="1" t="str">
        <f>IFERROR(__xludf.DUMMYFUNCTION("""COMPUTED_VALUE"""),"RIVADAVIA Daniel CM")</f>
        <v>RIVADAVIA Daniel CM</v>
      </c>
      <c r="F2005" s="1" t="str">
        <f t="shared" si="1"/>
        <v>RIVADAVIA </v>
      </c>
      <c r="G2005" s="1" t="str">
        <f t="shared" si="2"/>
        <v>Daniel CM</v>
      </c>
      <c r="H2005" s="1" t="str">
        <f>IFERROR(__xludf.DUMMYFUNCTION("""COMPUTED_VALUE"""),"23/2/2023, 17:00:00")</f>
        <v>23/2/2023, 17:00:00</v>
      </c>
      <c r="I2005" s="1" t="str">
        <f>IFERROR(__xludf.DUMMYFUNCTION("""COMPUTED_VALUE"""),"RETIRADO OK POR CLIENTE")</f>
        <v>RETIRADO OK POR CLIENTE</v>
      </c>
      <c r="J2005" s="1">
        <f t="shared" si="3"/>
        <v>6</v>
      </c>
      <c r="K2005" s="1" t="str">
        <f t="shared" si="4"/>
        <v>Entregamos tus lentes, que los disfrutes!</v>
      </c>
    </row>
    <row r="2006">
      <c r="A2006" s="1">
        <f>IFERROR(__xludf.DUMMYFUNCTION("""COMPUTED_VALUE"""),86556.0)</f>
        <v>86556</v>
      </c>
      <c r="B2006" s="5">
        <f>IFERROR(__xludf.DUMMYFUNCTION("""COMPUTED_VALUE"""),44971.50350228009)</f>
        <v>44971.5035</v>
      </c>
      <c r="C2006" s="1" t="str">
        <f>IFERROR(__xludf.DUMMYFUNCTION("""COMPUTED_VALUE"""),"PEREZ MARTA")</f>
        <v>PEREZ MARTA</v>
      </c>
      <c r="D2006" s="1" t="str">
        <f>IFERROR(__xludf.DUMMYFUNCTION("""COMPUTED_VALUE"""),"Lentes de STOCK")</f>
        <v>Lentes de STOCK</v>
      </c>
      <c r="E2006" s="1" t="str">
        <f>IFERROR(__xludf.DUMMYFUNCTION("""COMPUTED_VALUE"""),"ARTIGAS Ivana P.")</f>
        <v>ARTIGAS Ivana P.</v>
      </c>
      <c r="F2006" s="1" t="str">
        <f t="shared" si="1"/>
        <v>ARTIGAS </v>
      </c>
      <c r="G2006" s="1" t="str">
        <f t="shared" si="2"/>
        <v>Ivana P.</v>
      </c>
      <c r="H2006" s="1" t="str">
        <f>IFERROR(__xludf.DUMMYFUNCTION("""COMPUTED_VALUE"""),"16/2/2023, 17:00:00")</f>
        <v>16/2/2023, 17:00:00</v>
      </c>
      <c r="I2006" s="1" t="str">
        <f>IFERROR(__xludf.DUMMYFUNCTION("""COMPUTED_VALUE"""),"RETIRADO OK POR CLIENTE")</f>
        <v>RETIRADO OK POR CLIENTE</v>
      </c>
      <c r="J2006" s="1">
        <f t="shared" si="3"/>
        <v>6</v>
      </c>
      <c r="K2006" s="1" t="str">
        <f t="shared" si="4"/>
        <v>Entregamos tus lentes, que los disfrutes!</v>
      </c>
    </row>
    <row r="2007">
      <c r="A2007" s="1">
        <f>IFERROR(__xludf.DUMMYFUNCTION("""COMPUTED_VALUE"""),86557.0)</f>
        <v>86557</v>
      </c>
      <c r="B2007" s="5">
        <f>IFERROR(__xludf.DUMMYFUNCTION("""COMPUTED_VALUE"""),44971.504111898146)</f>
        <v>44971.50411</v>
      </c>
      <c r="C2007" s="1" t="str">
        <f>IFERROR(__xludf.DUMMYFUNCTION("""COMPUTED_VALUE"""),"SOSA GALA")</f>
        <v>SOSA GALA</v>
      </c>
      <c r="D2007" s="1" t="str">
        <f>IFERROR(__xludf.DUMMYFUNCTION("""COMPUTED_VALUE"""),"Lentes de STOCK")</f>
        <v>Lentes de STOCK</v>
      </c>
      <c r="E2007" s="1" t="str">
        <f>IFERROR(__xludf.DUMMYFUNCTION("""COMPUTED_VALUE"""),"RIVADAVIA Luciana")</f>
        <v>RIVADAVIA Luciana</v>
      </c>
      <c r="F2007" s="1" t="str">
        <f t="shared" si="1"/>
        <v>RIVADAVIA </v>
      </c>
      <c r="G2007" s="1" t="str">
        <f t="shared" si="2"/>
        <v>Luciana</v>
      </c>
      <c r="H2007" s="1" t="str">
        <f>IFERROR(__xludf.DUMMYFUNCTION("""COMPUTED_VALUE"""),"22/2/2023, 17:00:00")</f>
        <v>22/2/2023, 17:00:00</v>
      </c>
      <c r="I2007" s="1" t="str">
        <f>IFERROR(__xludf.DUMMYFUNCTION("""COMPUTED_VALUE"""),"Completado en SUCURSAL")</f>
        <v>Completado en SUCURSAL</v>
      </c>
      <c r="J2007" s="1">
        <f t="shared" si="3"/>
        <v>5</v>
      </c>
      <c r="K2007" s="1" t="str">
        <f t="shared" si="4"/>
        <v>Tus Lentes estan LISTAS PARA ENTREGAR, te esperamos.</v>
      </c>
    </row>
    <row r="2008">
      <c r="A2008" s="1">
        <f>IFERROR(__xludf.DUMMYFUNCTION("""COMPUTED_VALUE"""),86558.0)</f>
        <v>86558</v>
      </c>
      <c r="B2008" s="5">
        <f>IFERROR(__xludf.DUMMYFUNCTION("""COMPUTED_VALUE"""),44971.50690125)</f>
        <v>44971.5069</v>
      </c>
      <c r="C2008" s="1" t="str">
        <f>IFERROR(__xludf.DUMMYFUNCTION("""COMPUTED_VALUE"""),"VILLAVICENCIO HUMBERTO AUGUSTO")</f>
        <v>VILLAVICENCIO HUMBERTO AUGUSTO</v>
      </c>
      <c r="D2008" s="1" t="str">
        <f>IFERROR(__xludf.DUMMYFUNCTION("""COMPUTED_VALUE"""),"Lentes de STOCK")</f>
        <v>Lentes de STOCK</v>
      </c>
      <c r="E2008" s="1" t="str">
        <f>IFERROR(__xludf.DUMMYFUNCTION("""COMPUTED_VALUE"""),"RIVADAVIA Javier")</f>
        <v>RIVADAVIA Javier</v>
      </c>
      <c r="F2008" s="1" t="str">
        <f t="shared" si="1"/>
        <v>RIVADAVIA </v>
      </c>
      <c r="G2008" s="1" t="str">
        <f t="shared" si="2"/>
        <v>Javier</v>
      </c>
      <c r="H2008" s="1" t="str">
        <f>IFERROR(__xludf.DUMMYFUNCTION("""COMPUTED_VALUE"""),"17/2/2023, 17:00:00")</f>
        <v>17/2/2023, 17:00:00</v>
      </c>
      <c r="I2008" s="1" t="str">
        <f>IFERROR(__xludf.DUMMYFUNCTION("""COMPUTED_VALUE"""),"RETIRADO OK POR CLIENTE")</f>
        <v>RETIRADO OK POR CLIENTE</v>
      </c>
      <c r="J2008" s="1">
        <f t="shared" si="3"/>
        <v>6</v>
      </c>
      <c r="K2008" s="1" t="str">
        <f t="shared" si="4"/>
        <v>Entregamos tus lentes, que los disfrutes!</v>
      </c>
    </row>
    <row r="2009">
      <c r="A2009" s="1">
        <f>IFERROR(__xludf.DUMMYFUNCTION("""COMPUTED_VALUE"""),86559.0)</f>
        <v>86559</v>
      </c>
      <c r="B2009" s="5">
        <f>IFERROR(__xludf.DUMMYFUNCTION("""COMPUTED_VALUE"""),44971.51740164352)</f>
        <v>44971.5174</v>
      </c>
      <c r="C2009" s="1" t="str">
        <f>IFERROR(__xludf.DUMMYFUNCTION("""COMPUTED_VALUE"""),"ARAUJO MARIA")</f>
        <v>ARAUJO MARIA</v>
      </c>
      <c r="D2009" s="1" t="str">
        <f>IFERROR(__xludf.DUMMYFUNCTION("""COMPUTED_VALUE"""),"Lentes de STOCK")</f>
        <v>Lentes de STOCK</v>
      </c>
      <c r="E2009" s="1" t="str">
        <f>IFERROR(__xludf.DUMMYFUNCTION("""COMPUTED_VALUE"""),"ARTIGAS Roció")</f>
        <v>ARTIGAS Roció</v>
      </c>
      <c r="F2009" s="1" t="str">
        <f t="shared" si="1"/>
        <v>ARTIGAS </v>
      </c>
      <c r="G2009" s="1" t="str">
        <f t="shared" si="2"/>
        <v>Roció</v>
      </c>
      <c r="H2009" s="1" t="str">
        <f>IFERROR(__xludf.DUMMYFUNCTION("""COMPUTED_VALUE"""),"17/2/2023, 17:00:00")</f>
        <v>17/2/2023, 17:00:00</v>
      </c>
      <c r="I2009" s="1" t="str">
        <f>IFERROR(__xludf.DUMMYFUNCTION("""COMPUTED_VALUE"""),"RETIRADO OK POR CLIENTE")</f>
        <v>RETIRADO OK POR CLIENTE</v>
      </c>
      <c r="J2009" s="1">
        <f t="shared" si="3"/>
        <v>6</v>
      </c>
      <c r="K2009" s="1" t="str">
        <f t="shared" si="4"/>
        <v>Entregamos tus lentes, que los disfrutes!</v>
      </c>
    </row>
    <row r="2010">
      <c r="A2010" s="1">
        <f>IFERROR(__xludf.DUMMYFUNCTION("""COMPUTED_VALUE"""),86560.0)</f>
        <v>86560</v>
      </c>
      <c r="B2010" s="5">
        <f>IFERROR(__xludf.DUMMYFUNCTION("""COMPUTED_VALUE"""),44971.52743178241)</f>
        <v>44971.52743</v>
      </c>
      <c r="C2010" s="1" t="str">
        <f>IFERROR(__xludf.DUMMYFUNCTION("""COMPUTED_VALUE"""),"MALDONADO DIEGO RUBEN")</f>
        <v>MALDONADO DIEGO RUBEN</v>
      </c>
      <c r="D2010" s="1" t="str">
        <f>IFERROR(__xludf.DUMMYFUNCTION("""COMPUTED_VALUE"""),"Lentes de STOCK")</f>
        <v>Lentes de STOCK</v>
      </c>
      <c r="E2010" s="1" t="str">
        <f>IFERROR(__xludf.DUMMYFUNCTION("""COMPUTED_VALUE"""),"ARTIGAS Roció")</f>
        <v>ARTIGAS Roció</v>
      </c>
      <c r="F2010" s="1" t="str">
        <f t="shared" si="1"/>
        <v>ARTIGAS </v>
      </c>
      <c r="G2010" s="1" t="str">
        <f t="shared" si="2"/>
        <v>Roció</v>
      </c>
      <c r="H2010" s="1" t="str">
        <f>IFERROR(__xludf.DUMMYFUNCTION("""COMPUTED_VALUE"""),"23/2/2023, 17:00:00")</f>
        <v>23/2/2023, 17:00:00</v>
      </c>
      <c r="I2010" s="1" t="str">
        <f>IFERROR(__xludf.DUMMYFUNCTION("""COMPUTED_VALUE"""),"RETIRADO OK POR CLIENTE")</f>
        <v>RETIRADO OK POR CLIENTE</v>
      </c>
      <c r="J2010" s="1">
        <f t="shared" si="3"/>
        <v>6</v>
      </c>
      <c r="K2010" s="1" t="str">
        <f t="shared" si="4"/>
        <v>Entregamos tus lentes, que los disfrutes!</v>
      </c>
    </row>
    <row r="2011">
      <c r="A2011" s="1">
        <f>IFERROR(__xludf.DUMMYFUNCTION("""COMPUTED_VALUE"""),86561.0)</f>
        <v>86561</v>
      </c>
      <c r="B2011" s="5">
        <f>IFERROR(__xludf.DUMMYFUNCTION("""COMPUTED_VALUE"""),44971.533847743056)</f>
        <v>44971.53385</v>
      </c>
      <c r="C2011" s="1" t="str">
        <f>IFERROR(__xludf.DUMMYFUNCTION("""COMPUTED_VALUE"""),"GARCIA ALBERTO ")</f>
        <v>GARCIA ALBERTO </v>
      </c>
      <c r="D2011" s="1" t="str">
        <f>IFERROR(__xludf.DUMMYFUNCTION("""COMPUTED_VALUE"""),"Reparaciones/Otros")</f>
        <v>Reparaciones/Otros</v>
      </c>
      <c r="E2011" s="1" t="str">
        <f>IFERROR(__xludf.DUMMYFUNCTION("""COMPUTED_VALUE"""),"RIVADAVIA Luciana")</f>
        <v>RIVADAVIA Luciana</v>
      </c>
      <c r="F2011" s="1" t="str">
        <f t="shared" si="1"/>
        <v>RIVADAVIA </v>
      </c>
      <c r="G2011" s="1" t="str">
        <f t="shared" si="2"/>
        <v>Luciana</v>
      </c>
      <c r="H2011" s="1" t="str">
        <f>IFERROR(__xludf.DUMMYFUNCTION("""COMPUTED_VALUE"""),"15/2/2023, 17:00:00")</f>
        <v>15/2/2023, 17:00:00</v>
      </c>
      <c r="I2011" s="1" t="str">
        <f>IFERROR(__xludf.DUMMYFUNCTION("""COMPUTED_VALUE"""),"Completado en SUCURSAL")</f>
        <v>Completado en SUCURSAL</v>
      </c>
      <c r="J2011" s="1">
        <f t="shared" si="3"/>
        <v>5</v>
      </c>
      <c r="K2011" s="1" t="str">
        <f t="shared" si="4"/>
        <v>Tus Lentes estan LISTAS PARA ENTREGAR, te esperamos.</v>
      </c>
    </row>
    <row r="2012">
      <c r="A2012" s="1">
        <f>IFERROR(__xludf.DUMMYFUNCTION("""COMPUTED_VALUE"""),86562.0)</f>
        <v>86562</v>
      </c>
      <c r="B2012" s="5">
        <f>IFERROR(__xludf.DUMMYFUNCTION("""COMPUTED_VALUE"""),44971.535215474534)</f>
        <v>44971.53522</v>
      </c>
      <c r="C2012" s="1" t="str">
        <f>IFERROR(__xludf.DUMMYFUNCTION("""COMPUTED_VALUE"""),"JOFRE MARIA MERCEDES")</f>
        <v>JOFRE MARIA MERCEDES</v>
      </c>
      <c r="D2012" s="1" t="str">
        <f>IFERROR(__xludf.DUMMYFUNCTION("""COMPUTED_VALUE"""),"Lentes de STOCK")</f>
        <v>Lentes de STOCK</v>
      </c>
      <c r="E2012" s="1" t="str">
        <f>IFERROR(__xludf.DUMMYFUNCTION("""COMPUTED_VALUE"""),"ARTIGAS Roció")</f>
        <v>ARTIGAS Roció</v>
      </c>
      <c r="F2012" s="1" t="str">
        <f t="shared" si="1"/>
        <v>ARTIGAS </v>
      </c>
      <c r="G2012" s="1" t="str">
        <f t="shared" si="2"/>
        <v>Roció</v>
      </c>
      <c r="H2012" s="1" t="str">
        <f>IFERROR(__xludf.DUMMYFUNCTION("""COMPUTED_VALUE"""),"23/2/2023, 17:00:00")</f>
        <v>23/2/2023, 17:00:00</v>
      </c>
      <c r="I2012" s="1"/>
      <c r="J2012" s="1">
        <f t="shared" si="3"/>
        <v>0</v>
      </c>
      <c r="K2012" s="1" t="str">
        <f t="shared" si="4"/>
        <v/>
      </c>
    </row>
    <row r="2013">
      <c r="A2013" s="1">
        <f>IFERROR(__xludf.DUMMYFUNCTION("""COMPUTED_VALUE"""),86563.0)</f>
        <v>86563</v>
      </c>
      <c r="B2013" s="5">
        <f>IFERROR(__xludf.DUMMYFUNCTION("""COMPUTED_VALUE"""),44971.55842674768)</f>
        <v>44971.55843</v>
      </c>
      <c r="C2013" s="1" t="str">
        <f>IFERROR(__xludf.DUMMYFUNCTION("""COMPUTED_VALUE"""),"CALDERON LUPE ")</f>
        <v>CALDERON LUPE </v>
      </c>
      <c r="D2013" s="1" t="str">
        <f>IFERROR(__xludf.DUMMYFUNCTION("""COMPUTED_VALUE"""),"Lentes de STOCK")</f>
        <v>Lentes de STOCK</v>
      </c>
      <c r="E2013" s="1" t="str">
        <f>IFERROR(__xludf.DUMMYFUNCTION("""COMPUTED_VALUE"""),"RIVADAVIA Javier")</f>
        <v>RIVADAVIA Javier</v>
      </c>
      <c r="F2013" s="1" t="str">
        <f t="shared" si="1"/>
        <v>RIVADAVIA </v>
      </c>
      <c r="G2013" s="1" t="str">
        <f t="shared" si="2"/>
        <v>Javier</v>
      </c>
      <c r="H2013" s="1" t="str">
        <f>IFERROR(__xludf.DUMMYFUNCTION("""COMPUTED_VALUE"""),"17/2/2023, 17:00:00")</f>
        <v>17/2/2023, 17:00:00</v>
      </c>
      <c r="I2013" s="1" t="str">
        <f>IFERROR(__xludf.DUMMYFUNCTION("""COMPUTED_VALUE"""),"RETIRADO OK POR CLIENTE")</f>
        <v>RETIRADO OK POR CLIENTE</v>
      </c>
      <c r="J2013" s="1">
        <f t="shared" si="3"/>
        <v>6</v>
      </c>
      <c r="K2013" s="1" t="str">
        <f t="shared" si="4"/>
        <v>Entregamos tus lentes, que los disfrutes!</v>
      </c>
    </row>
    <row r="2014">
      <c r="A2014" s="1">
        <f>IFERROR(__xludf.DUMMYFUNCTION("""COMPUTED_VALUE"""),86564.0)</f>
        <v>86564</v>
      </c>
      <c r="B2014" s="5">
        <f>IFERROR(__xludf.DUMMYFUNCTION("""COMPUTED_VALUE"""),44971.70984976852)</f>
        <v>44971.70985</v>
      </c>
      <c r="C2014" s="1" t="str">
        <f>IFERROR(__xludf.DUMMYFUNCTION("""COMPUTED_VALUE"""),"ALMEYDA GISSELA")</f>
        <v>ALMEYDA GISSELA</v>
      </c>
      <c r="D2014" s="1" t="str">
        <f>IFERROR(__xludf.DUMMYFUNCTION("""COMPUTED_VALUE"""),"Lentes de LABORATORIO")</f>
        <v>Lentes de LABORATORIO</v>
      </c>
      <c r="E2014" s="1" t="str">
        <f>IFERROR(__xludf.DUMMYFUNCTION("""COMPUTED_VALUE"""),"ARTIGAS Ivana P.")</f>
        <v>ARTIGAS Ivana P.</v>
      </c>
      <c r="F2014" s="1" t="str">
        <f t="shared" si="1"/>
        <v>ARTIGAS </v>
      </c>
      <c r="G2014" s="1" t="str">
        <f t="shared" si="2"/>
        <v>Ivana P.</v>
      </c>
      <c r="H2014" s="1" t="str">
        <f>IFERROR(__xludf.DUMMYFUNCTION("""COMPUTED_VALUE"""),"24/2/2023, 17:00:00")</f>
        <v>24/2/2023, 17:00:00</v>
      </c>
      <c r="I2014" s="1" t="str">
        <f>IFERROR(__xludf.DUMMYFUNCTION("""COMPUTED_VALUE"""),"Completado en SUCURSAL")</f>
        <v>Completado en SUCURSAL</v>
      </c>
      <c r="J2014" s="1">
        <f t="shared" si="3"/>
        <v>5</v>
      </c>
      <c r="K2014" s="1" t="str">
        <f t="shared" si="4"/>
        <v>Tus Lentes estan LISTAS PARA ENTREGAR, te esperamos.</v>
      </c>
    </row>
    <row r="2015">
      <c r="A2015" s="1">
        <f>IFERROR(__xludf.DUMMYFUNCTION("""COMPUTED_VALUE"""),86565.0)</f>
        <v>86565</v>
      </c>
      <c r="B2015" s="5">
        <f>IFERROR(__xludf.DUMMYFUNCTION("""COMPUTED_VALUE"""),44971.717477060185)</f>
        <v>44971.71748</v>
      </c>
      <c r="C2015" s="1" t="str">
        <f>IFERROR(__xludf.DUMMYFUNCTION("""COMPUTED_VALUE"""),"RETA RAMONA CATALINA")</f>
        <v>RETA RAMONA CATALINA</v>
      </c>
      <c r="D2015" s="1" t="str">
        <f>IFERROR(__xludf.DUMMYFUNCTION("""COMPUTED_VALUE"""),"Lentes de STOCK")</f>
        <v>Lentes de STOCK</v>
      </c>
      <c r="E2015" s="1" t="str">
        <f>IFERROR(__xludf.DUMMYFUNCTION("""COMPUTED_VALUE"""),"RIVADAVIA Daniel CM")</f>
        <v>RIVADAVIA Daniel CM</v>
      </c>
      <c r="F2015" s="1" t="str">
        <f t="shared" si="1"/>
        <v>RIVADAVIA </v>
      </c>
      <c r="G2015" s="1" t="str">
        <f t="shared" si="2"/>
        <v>Daniel CM</v>
      </c>
      <c r="H2015" s="1" t="str">
        <f>IFERROR(__xludf.DUMMYFUNCTION("""COMPUTED_VALUE"""),"17/2/2023, 17:00:00")</f>
        <v>17/2/2023, 17:00:00</v>
      </c>
      <c r="I2015" s="1" t="str">
        <f>IFERROR(__xludf.DUMMYFUNCTION("""COMPUTED_VALUE"""),"RETIRADO OK POR CLIENTE")</f>
        <v>RETIRADO OK POR CLIENTE</v>
      </c>
      <c r="J2015" s="1">
        <f t="shared" si="3"/>
        <v>6</v>
      </c>
      <c r="K2015" s="1" t="str">
        <f t="shared" si="4"/>
        <v>Entregamos tus lentes, que los disfrutes!</v>
      </c>
    </row>
    <row r="2016">
      <c r="A2016" s="1">
        <f>IFERROR(__xludf.DUMMYFUNCTION("""COMPUTED_VALUE"""),86566.0)</f>
        <v>86566</v>
      </c>
      <c r="B2016" s="5">
        <f>IFERROR(__xludf.DUMMYFUNCTION("""COMPUTED_VALUE"""),44971.72391850695)</f>
        <v>44971.72392</v>
      </c>
      <c r="C2016" s="1" t="str">
        <f>IFERROR(__xludf.DUMMYFUNCTION("""COMPUTED_VALUE"""),"MARTINEZ DELIA NORMA")</f>
        <v>MARTINEZ DELIA NORMA</v>
      </c>
      <c r="D2016" s="1" t="str">
        <f>IFERROR(__xludf.DUMMYFUNCTION("""COMPUTED_VALUE"""),"Lentes BIFOCALES")</f>
        <v>Lentes BIFOCALES</v>
      </c>
      <c r="E2016" s="1" t="str">
        <f>IFERROR(__xludf.DUMMYFUNCTION("""COMPUTED_VALUE"""),"ARTIGAS Roció")</f>
        <v>ARTIGAS Roció</v>
      </c>
      <c r="F2016" s="1" t="str">
        <f t="shared" si="1"/>
        <v>ARTIGAS </v>
      </c>
      <c r="G2016" s="1" t="str">
        <f t="shared" si="2"/>
        <v>Roció</v>
      </c>
      <c r="H2016" s="1" t="str">
        <f>IFERROR(__xludf.DUMMYFUNCTION("""COMPUTED_VALUE"""),"24/2/2023, 17:00:00")</f>
        <v>24/2/2023, 17:00:00</v>
      </c>
      <c r="I2016" s="1" t="str">
        <f>IFERROR(__xludf.DUMMYFUNCTION("""COMPUTED_VALUE"""),"Completado en SUCURSAL")</f>
        <v>Completado en SUCURSAL</v>
      </c>
      <c r="J2016" s="1">
        <f t="shared" si="3"/>
        <v>5</v>
      </c>
      <c r="K2016" s="1" t="str">
        <f t="shared" si="4"/>
        <v>Tus Lentes estan LISTAS PARA ENTREGAR, te esperamos.</v>
      </c>
    </row>
    <row r="2017">
      <c r="A2017" s="1">
        <f>IFERROR(__xludf.DUMMYFUNCTION("""COMPUTED_VALUE"""),86567.0)</f>
        <v>86567</v>
      </c>
      <c r="B2017" s="5">
        <f>IFERROR(__xludf.DUMMYFUNCTION("""COMPUTED_VALUE"""),44971.72503320602)</f>
        <v>44971.72503</v>
      </c>
      <c r="C2017" s="1" t="str">
        <f>IFERROR(__xludf.DUMMYFUNCTION("""COMPUTED_VALUE"""),"martinez laura")</f>
        <v>martinez laura</v>
      </c>
      <c r="D2017" s="1" t="str">
        <f>IFERROR(__xludf.DUMMYFUNCTION("""COMPUTED_VALUE"""),"Lentes MULTIFOCALES")</f>
        <v>Lentes MULTIFOCALES</v>
      </c>
      <c r="E2017" s="1" t="str">
        <f>IFERROR(__xludf.DUMMYFUNCTION("""COMPUTED_VALUE"""),"RIVADAVIA Santiago N")</f>
        <v>RIVADAVIA Santiago N</v>
      </c>
      <c r="F2017" s="1" t="str">
        <f t="shared" si="1"/>
        <v>RIVADAVIA </v>
      </c>
      <c r="G2017" s="1" t="str">
        <f t="shared" si="2"/>
        <v>Santiago N</v>
      </c>
      <c r="H2017" s="1" t="str">
        <f>IFERROR(__xludf.DUMMYFUNCTION("""COMPUTED_VALUE"""),"27/2/2023, 17:00:00")</f>
        <v>27/2/2023, 17:00:00</v>
      </c>
      <c r="I2017" s="1" t="str">
        <f>IFERROR(__xludf.DUMMYFUNCTION("""COMPUTED_VALUE"""),"Completado en SUCURSAL")</f>
        <v>Completado en SUCURSAL</v>
      </c>
      <c r="J2017" s="1">
        <f t="shared" si="3"/>
        <v>5</v>
      </c>
      <c r="K2017" s="1" t="str">
        <f t="shared" si="4"/>
        <v>Tus Lentes estan LISTAS PARA ENTREGAR, te esperamos.</v>
      </c>
    </row>
    <row r="2018">
      <c r="A2018" s="1">
        <f>IFERROR(__xludf.DUMMYFUNCTION("""COMPUTED_VALUE"""),86568.0)</f>
        <v>86568</v>
      </c>
      <c r="B2018" s="5">
        <f>IFERROR(__xludf.DUMMYFUNCTION("""COMPUTED_VALUE"""),44971.730157453705)</f>
        <v>44971.73016</v>
      </c>
      <c r="C2018" s="1" t="str">
        <f>IFERROR(__xludf.DUMMYFUNCTION("""COMPUTED_VALUE"""),"Flores Claudia")</f>
        <v>Flores Claudia</v>
      </c>
      <c r="D2018" s="1" t="str">
        <f>IFERROR(__xludf.DUMMYFUNCTION("""COMPUTED_VALUE"""),"Reparaciones/Otros")</f>
        <v>Reparaciones/Otros</v>
      </c>
      <c r="E2018" s="1" t="str">
        <f>IFERROR(__xludf.DUMMYFUNCTION("""COMPUTED_VALUE"""),"ARTIGAS Roció")</f>
        <v>ARTIGAS Roció</v>
      </c>
      <c r="F2018" s="1" t="str">
        <f t="shared" si="1"/>
        <v>ARTIGAS </v>
      </c>
      <c r="G2018" s="1" t="str">
        <f t="shared" si="2"/>
        <v>Roció</v>
      </c>
      <c r="H2018" s="1" t="str">
        <f>IFERROR(__xludf.DUMMYFUNCTION("""COMPUTED_VALUE"""),"17/2/2023, 17:00:00")</f>
        <v>17/2/2023, 17:00:00</v>
      </c>
      <c r="I2018" s="1"/>
      <c r="J2018" s="1">
        <f t="shared" si="3"/>
        <v>0</v>
      </c>
      <c r="K2018" s="1" t="str">
        <f t="shared" si="4"/>
        <v/>
      </c>
    </row>
    <row r="2019">
      <c r="A2019" s="1">
        <f>IFERROR(__xludf.DUMMYFUNCTION("""COMPUTED_VALUE"""),86569.0)</f>
        <v>86569</v>
      </c>
      <c r="B2019" s="5">
        <f>IFERROR(__xludf.DUMMYFUNCTION("""COMPUTED_VALUE"""),44971.73033269676)</f>
        <v>44971.73033</v>
      </c>
      <c r="C2019" s="1" t="str">
        <f>IFERROR(__xludf.DUMMYFUNCTION("""COMPUTED_VALUE"""),"LUCERO EVELYN ")</f>
        <v>LUCERO EVELYN </v>
      </c>
      <c r="D2019" s="1" t="str">
        <f>IFERROR(__xludf.DUMMYFUNCTION("""COMPUTED_VALUE"""),"Lentes de STOCK")</f>
        <v>Lentes de STOCK</v>
      </c>
      <c r="E2019" s="1" t="str">
        <f>IFERROR(__xludf.DUMMYFUNCTION("""COMPUTED_VALUE"""),"RIVADAVIA Javier")</f>
        <v>RIVADAVIA Javier</v>
      </c>
      <c r="F2019" s="1" t="str">
        <f t="shared" si="1"/>
        <v>RIVADAVIA </v>
      </c>
      <c r="G2019" s="1" t="str">
        <f t="shared" si="2"/>
        <v>Javier</v>
      </c>
      <c r="H2019" s="1" t="str">
        <f>IFERROR(__xludf.DUMMYFUNCTION("""COMPUTED_VALUE"""),"22/2/2023, 17:00:00")</f>
        <v>22/2/2023, 17:00:00</v>
      </c>
      <c r="I2019" s="1" t="str">
        <f>IFERROR(__xludf.DUMMYFUNCTION("""COMPUTED_VALUE"""),"RETIRADO OK POR CLIENTE")</f>
        <v>RETIRADO OK POR CLIENTE</v>
      </c>
      <c r="J2019" s="1">
        <f t="shared" si="3"/>
        <v>6</v>
      </c>
      <c r="K2019" s="1" t="str">
        <f t="shared" si="4"/>
        <v>Entregamos tus lentes, que los disfrutes!</v>
      </c>
    </row>
    <row r="2020">
      <c r="A2020" s="1">
        <f>IFERROR(__xludf.DUMMYFUNCTION("""COMPUTED_VALUE"""),86570.0)</f>
        <v>86570</v>
      </c>
      <c r="B2020" s="5">
        <f>IFERROR(__xludf.DUMMYFUNCTION("""COMPUTED_VALUE"""),44971.73360965277)</f>
        <v>44971.73361</v>
      </c>
      <c r="C2020" s="1" t="str">
        <f>IFERROR(__xludf.DUMMYFUNCTION("""COMPUTED_VALUE"""),"GIANNELLI GABRIELA")</f>
        <v>GIANNELLI GABRIELA</v>
      </c>
      <c r="D2020" s="1" t="str">
        <f>IFERROR(__xludf.DUMMYFUNCTION("""COMPUTED_VALUE"""),"Lentes de STOCK")</f>
        <v>Lentes de STOCK</v>
      </c>
      <c r="E2020" s="1" t="str">
        <f>IFERROR(__xludf.DUMMYFUNCTION("""COMPUTED_VALUE"""),"RIVADAVIA Luciana")</f>
        <v>RIVADAVIA Luciana</v>
      </c>
      <c r="F2020" s="1" t="str">
        <f t="shared" si="1"/>
        <v>RIVADAVIA </v>
      </c>
      <c r="G2020" s="1" t="str">
        <f t="shared" si="2"/>
        <v>Luciana</v>
      </c>
      <c r="H2020" s="1" t="str">
        <f>IFERROR(__xludf.DUMMYFUNCTION("""COMPUTED_VALUE"""),"22/2/2023, 17:00:00")</f>
        <v>22/2/2023, 17:00:00</v>
      </c>
      <c r="I2020" s="1" t="str">
        <f>IFERROR(__xludf.DUMMYFUNCTION("""COMPUTED_VALUE"""),"RETIRADO OK POR CLIENTE")</f>
        <v>RETIRADO OK POR CLIENTE</v>
      </c>
      <c r="J2020" s="1">
        <f t="shared" si="3"/>
        <v>6</v>
      </c>
      <c r="K2020" s="1" t="str">
        <f t="shared" si="4"/>
        <v>Entregamos tus lentes, que los disfrutes!</v>
      </c>
    </row>
    <row r="2021">
      <c r="A2021" s="1">
        <f>IFERROR(__xludf.DUMMYFUNCTION("""COMPUTED_VALUE"""),86571.0)</f>
        <v>86571</v>
      </c>
      <c r="B2021" s="5">
        <f>IFERROR(__xludf.DUMMYFUNCTION("""COMPUTED_VALUE"""),44971.734923842596)</f>
        <v>44971.73492</v>
      </c>
      <c r="C2021" s="1" t="str">
        <f>IFERROR(__xludf.DUMMYFUNCTION("""COMPUTED_VALUE"""),"torres luis carlos")</f>
        <v>torres luis carlos</v>
      </c>
      <c r="D2021" s="1" t="str">
        <f>IFERROR(__xludf.DUMMYFUNCTION("""COMPUTED_VALUE"""),"Lentes de STOCK")</f>
        <v>Lentes de STOCK</v>
      </c>
      <c r="E2021" s="1" t="str">
        <f>IFERROR(__xludf.DUMMYFUNCTION("""COMPUTED_VALUE"""),"RIVADAVIA Santiago N")</f>
        <v>RIVADAVIA Santiago N</v>
      </c>
      <c r="F2021" s="1" t="str">
        <f t="shared" si="1"/>
        <v>RIVADAVIA </v>
      </c>
      <c r="G2021" s="1" t="str">
        <f t="shared" si="2"/>
        <v>Santiago N</v>
      </c>
      <c r="H2021" s="1" t="str">
        <f>IFERROR(__xludf.DUMMYFUNCTION("""COMPUTED_VALUE"""),"17/2/2023, 17:00:00")</f>
        <v>17/2/2023, 17:00:00</v>
      </c>
      <c r="I2021" s="1" t="str">
        <f>IFERROR(__xludf.DUMMYFUNCTION("""COMPUTED_VALUE"""),"RETIRADO OK POR CLIENTE")</f>
        <v>RETIRADO OK POR CLIENTE</v>
      </c>
      <c r="J2021" s="1">
        <f t="shared" si="3"/>
        <v>6</v>
      </c>
      <c r="K2021" s="1" t="str">
        <f t="shared" si="4"/>
        <v>Entregamos tus lentes, que los disfrutes!</v>
      </c>
    </row>
    <row r="2022">
      <c r="A2022" s="1">
        <f>IFERROR(__xludf.DUMMYFUNCTION("""COMPUTED_VALUE"""),86572.0)</f>
        <v>86572</v>
      </c>
      <c r="B2022" s="5">
        <f>IFERROR(__xludf.DUMMYFUNCTION("""COMPUTED_VALUE"""),44971.74064258102)</f>
        <v>44971.74064</v>
      </c>
      <c r="C2022" s="1" t="str">
        <f>IFERROR(__xludf.DUMMYFUNCTION("""COMPUTED_VALUE"""),"SOSA JORGE FRANCISCO")</f>
        <v>SOSA JORGE FRANCISCO</v>
      </c>
      <c r="D2022" s="1" t="str">
        <f>IFERROR(__xludf.DUMMYFUNCTION("""COMPUTED_VALUE"""),"Lentes de STOCK")</f>
        <v>Lentes de STOCK</v>
      </c>
      <c r="E2022" s="1" t="str">
        <f>IFERROR(__xludf.DUMMYFUNCTION("""COMPUTED_VALUE"""),"ARTIGAS Ivana P.")</f>
        <v>ARTIGAS Ivana P.</v>
      </c>
      <c r="F2022" s="1" t="str">
        <f t="shared" si="1"/>
        <v>ARTIGAS </v>
      </c>
      <c r="G2022" s="1" t="str">
        <f t="shared" si="2"/>
        <v>Ivana P.</v>
      </c>
      <c r="H2022" s="1" t="str">
        <f>IFERROR(__xludf.DUMMYFUNCTION("""COMPUTED_VALUE"""),"17/2/2023, 17:00:00")</f>
        <v>17/2/2023, 17:00:00</v>
      </c>
      <c r="I2022" s="1" t="str">
        <f>IFERROR(__xludf.DUMMYFUNCTION("""COMPUTED_VALUE"""),"RETIRADO OK POR CLIENTE")</f>
        <v>RETIRADO OK POR CLIENTE</v>
      </c>
      <c r="J2022" s="1">
        <f t="shared" si="3"/>
        <v>6</v>
      </c>
      <c r="K2022" s="1" t="str">
        <f t="shared" si="4"/>
        <v>Entregamos tus lentes, que los disfrutes!</v>
      </c>
    </row>
    <row r="2023">
      <c r="A2023" s="1">
        <f>IFERROR(__xludf.DUMMYFUNCTION("""COMPUTED_VALUE"""),86573.0)</f>
        <v>86573</v>
      </c>
      <c r="B2023" s="5">
        <f>IFERROR(__xludf.DUMMYFUNCTION("""COMPUTED_VALUE"""),44971.75831777778)</f>
        <v>44971.75832</v>
      </c>
      <c r="C2023" s="1" t="str">
        <f>IFERROR(__xludf.DUMMYFUNCTION("""COMPUTED_VALUE"""),"DEL RIO JUAN")</f>
        <v>DEL RIO JUAN</v>
      </c>
      <c r="D2023" s="1" t="str">
        <f>IFERROR(__xludf.DUMMYFUNCTION("""COMPUTED_VALUE"""),"Reparaciones/Otros")</f>
        <v>Reparaciones/Otros</v>
      </c>
      <c r="E2023" s="1" t="str">
        <f>IFERROR(__xludf.DUMMYFUNCTION("""COMPUTED_VALUE"""),"ARTIGAS Ivana P.")</f>
        <v>ARTIGAS Ivana P.</v>
      </c>
      <c r="F2023" s="1" t="str">
        <f t="shared" si="1"/>
        <v>ARTIGAS </v>
      </c>
      <c r="G2023" s="1" t="str">
        <f t="shared" si="2"/>
        <v>Ivana P.</v>
      </c>
      <c r="H2023" s="1" t="str">
        <f>IFERROR(__xludf.DUMMYFUNCTION("""COMPUTED_VALUE"""),"15/2/2023, 17:00:00")</f>
        <v>15/2/2023, 17:00:00</v>
      </c>
      <c r="I2023" s="1" t="str">
        <f>IFERROR(__xludf.DUMMYFUNCTION("""COMPUTED_VALUE"""),"Completado en SUCURSAL")</f>
        <v>Completado en SUCURSAL</v>
      </c>
      <c r="J2023" s="1">
        <f t="shared" si="3"/>
        <v>5</v>
      </c>
      <c r="K2023" s="1" t="str">
        <f t="shared" si="4"/>
        <v>Tus Lentes estan LISTAS PARA ENTREGAR, te esperamos.</v>
      </c>
    </row>
    <row r="2024">
      <c r="A2024" s="1">
        <f>IFERROR(__xludf.DUMMYFUNCTION("""COMPUTED_VALUE"""),86573.0)</f>
        <v>86573</v>
      </c>
      <c r="B2024" s="5">
        <f>IFERROR(__xludf.DUMMYFUNCTION("""COMPUTED_VALUE"""),44971.75831960648)</f>
        <v>44971.75832</v>
      </c>
      <c r="C2024" s="1" t="str">
        <f>IFERROR(__xludf.DUMMYFUNCTION("""COMPUTED_VALUE"""),"BARROSO DIEGO")</f>
        <v>BARROSO DIEGO</v>
      </c>
      <c r="D2024" s="1" t="str">
        <f>IFERROR(__xludf.DUMMYFUNCTION("""COMPUTED_VALUE"""),"Lentes de STOCK")</f>
        <v>Lentes de STOCK</v>
      </c>
      <c r="E2024" s="1" t="str">
        <f>IFERROR(__xludf.DUMMYFUNCTION("""COMPUTED_VALUE"""),"RIVADAVIA Luciana")</f>
        <v>RIVADAVIA Luciana</v>
      </c>
      <c r="F2024" s="1" t="str">
        <f t="shared" si="1"/>
        <v>RIVADAVIA </v>
      </c>
      <c r="G2024" s="1" t="str">
        <f t="shared" si="2"/>
        <v>Luciana</v>
      </c>
      <c r="H2024" s="1" t="str">
        <f>IFERROR(__xludf.DUMMYFUNCTION("""COMPUTED_VALUE"""),"17/2/2023, 17:00:00")</f>
        <v>17/2/2023, 17:00:00</v>
      </c>
      <c r="I2024" s="1"/>
      <c r="J2024" s="1">
        <f t="shared" si="3"/>
        <v>0</v>
      </c>
      <c r="K2024" s="1" t="str">
        <f t="shared" si="4"/>
        <v/>
      </c>
    </row>
    <row r="2025">
      <c r="A2025" s="1">
        <f>IFERROR(__xludf.DUMMYFUNCTION("""COMPUTED_VALUE"""),86574.0)</f>
        <v>86574</v>
      </c>
      <c r="B2025" s="5">
        <f>IFERROR(__xludf.DUMMYFUNCTION("""COMPUTED_VALUE"""),44971.75946068287)</f>
        <v>44971.75946</v>
      </c>
      <c r="C2025" s="1" t="str">
        <f>IFERROR(__xludf.DUMMYFUNCTION("""COMPUTED_VALUE"""),"DEL RIO JUAN")</f>
        <v>DEL RIO JUAN</v>
      </c>
      <c r="D2025" s="1" t="str">
        <f>IFERROR(__xludf.DUMMYFUNCTION("""COMPUTED_VALUE"""),"Reparaciones/Otros")</f>
        <v>Reparaciones/Otros</v>
      </c>
      <c r="E2025" s="1" t="str">
        <f>IFERROR(__xludf.DUMMYFUNCTION("""COMPUTED_VALUE"""),"ARTIGAS Ivana P.")</f>
        <v>ARTIGAS Ivana P.</v>
      </c>
      <c r="F2025" s="1" t="str">
        <f t="shared" si="1"/>
        <v>ARTIGAS </v>
      </c>
      <c r="G2025" s="1" t="str">
        <f t="shared" si="2"/>
        <v>Ivana P.</v>
      </c>
      <c r="H2025" s="1" t="str">
        <f>IFERROR(__xludf.DUMMYFUNCTION("""COMPUTED_VALUE"""),"15/2/2023, 17:00:00")</f>
        <v>15/2/2023, 17:00:00</v>
      </c>
      <c r="I2025" s="1" t="str">
        <f>IFERROR(__xludf.DUMMYFUNCTION("""COMPUTED_VALUE"""),"Completado en SUCURSAL")</f>
        <v>Completado en SUCURSAL</v>
      </c>
      <c r="J2025" s="1">
        <f t="shared" si="3"/>
        <v>5</v>
      </c>
      <c r="K2025" s="1" t="str">
        <f t="shared" si="4"/>
        <v>Tus Lentes estan LISTAS PARA ENTREGAR, te esperamos.</v>
      </c>
    </row>
    <row r="2026">
      <c r="A2026" s="1">
        <f>IFERROR(__xludf.DUMMYFUNCTION("""COMPUTED_VALUE"""),86575.0)</f>
        <v>86575</v>
      </c>
      <c r="B2026" s="5">
        <f>IFERROR(__xludf.DUMMYFUNCTION("""COMPUTED_VALUE"""),44971.772000983794)</f>
        <v>44971.772</v>
      </c>
      <c r="C2026" s="1" t="str">
        <f>IFERROR(__xludf.DUMMYFUNCTION("""COMPUTED_VALUE"""),"CASENTINI CECILIA")</f>
        <v>CASENTINI CECILIA</v>
      </c>
      <c r="D2026" s="1" t="str">
        <f>IFERROR(__xludf.DUMMYFUNCTION("""COMPUTED_VALUE"""),"Reparaciones/Otros")</f>
        <v>Reparaciones/Otros</v>
      </c>
      <c r="E2026" s="1" t="str">
        <f>IFERROR(__xludf.DUMMYFUNCTION("""COMPUTED_VALUE"""),"RIVADAVIA Javier")</f>
        <v>RIVADAVIA Javier</v>
      </c>
      <c r="F2026" s="1" t="str">
        <f t="shared" si="1"/>
        <v>RIVADAVIA </v>
      </c>
      <c r="G2026" s="1" t="str">
        <f t="shared" si="2"/>
        <v>Javier</v>
      </c>
      <c r="H2026" s="1" t="str">
        <f>IFERROR(__xludf.DUMMYFUNCTION("""COMPUTED_VALUE"""),"15/2/2023, 17:00:00")</f>
        <v>15/2/2023, 17:00:00</v>
      </c>
      <c r="I2026" s="1" t="str">
        <f>IFERROR(__xludf.DUMMYFUNCTION("""COMPUTED_VALUE"""),"Completado en SUCURSAL")</f>
        <v>Completado en SUCURSAL</v>
      </c>
      <c r="J2026" s="1">
        <f t="shared" si="3"/>
        <v>5</v>
      </c>
      <c r="K2026" s="1" t="str">
        <f t="shared" si="4"/>
        <v>Tus Lentes estan LISTAS PARA ENTREGAR, te esperamos.</v>
      </c>
    </row>
    <row r="2027">
      <c r="A2027" s="1">
        <f>IFERROR(__xludf.DUMMYFUNCTION("""COMPUTED_VALUE"""),86576.0)</f>
        <v>86576</v>
      </c>
      <c r="B2027" s="5">
        <f>IFERROR(__xludf.DUMMYFUNCTION("""COMPUTED_VALUE"""),44971.7969147338)</f>
        <v>44971.79691</v>
      </c>
      <c r="C2027" s="1" t="str">
        <f>IFERROR(__xludf.DUMMYFUNCTION("""COMPUTED_VALUE"""),"JOFRE MARIA MERCEDES ")</f>
        <v>JOFRE MARIA MERCEDES </v>
      </c>
      <c r="D2027" s="1" t="str">
        <f>IFERROR(__xludf.DUMMYFUNCTION("""COMPUTED_VALUE"""),"Lentes de STOCK")</f>
        <v>Lentes de STOCK</v>
      </c>
      <c r="E2027" s="1" t="str">
        <f>IFERROR(__xludf.DUMMYFUNCTION("""COMPUTED_VALUE"""),"ARTIGAS Roció")</f>
        <v>ARTIGAS Roció</v>
      </c>
      <c r="F2027" s="1" t="str">
        <f t="shared" si="1"/>
        <v>ARTIGAS </v>
      </c>
      <c r="G2027" s="1" t="str">
        <f t="shared" si="2"/>
        <v>Roció</v>
      </c>
      <c r="H2027" s="1" t="str">
        <f>IFERROR(__xludf.DUMMYFUNCTION("""COMPUTED_VALUE"""),"23/2/2023, 17:00:00")</f>
        <v>23/2/2023, 17:00:00</v>
      </c>
      <c r="I2027" s="1" t="str">
        <f>IFERROR(__xludf.DUMMYFUNCTION("""COMPUTED_VALUE"""),"RETIRADO OK POR CLIENTE")</f>
        <v>RETIRADO OK POR CLIENTE</v>
      </c>
      <c r="J2027" s="1">
        <f t="shared" si="3"/>
        <v>6</v>
      </c>
      <c r="K2027" s="1" t="str">
        <f t="shared" si="4"/>
        <v>Entregamos tus lentes, que los disfrutes!</v>
      </c>
    </row>
    <row r="2028">
      <c r="A2028" s="1">
        <f>IFERROR(__xludf.DUMMYFUNCTION("""COMPUTED_VALUE"""),86577.0)</f>
        <v>86577</v>
      </c>
      <c r="B2028" s="5">
        <f>IFERROR(__xludf.DUMMYFUNCTION("""COMPUTED_VALUE"""),44971.80208222222)</f>
        <v>44971.80208</v>
      </c>
      <c r="C2028" s="1" t="str">
        <f>IFERROR(__xludf.DUMMYFUNCTION("""COMPUTED_VALUE"""),"CORIA ELVA NILDA")</f>
        <v>CORIA ELVA NILDA</v>
      </c>
      <c r="D2028" s="1" t="str">
        <f>IFERROR(__xludf.DUMMYFUNCTION("""COMPUTED_VALUE"""),"Lentes de STOCK")</f>
        <v>Lentes de STOCK</v>
      </c>
      <c r="E2028" s="1" t="str">
        <f>IFERROR(__xludf.DUMMYFUNCTION("""COMPUTED_VALUE"""),"ARTIGAS Roció")</f>
        <v>ARTIGAS Roció</v>
      </c>
      <c r="F2028" s="1" t="str">
        <f t="shared" si="1"/>
        <v>ARTIGAS </v>
      </c>
      <c r="G2028" s="1" t="str">
        <f t="shared" si="2"/>
        <v>Roció</v>
      </c>
      <c r="H2028" s="1" t="str">
        <f>IFERROR(__xludf.DUMMYFUNCTION("""COMPUTED_VALUE"""),"24/2/2023, 17:00:00")</f>
        <v>24/2/2023, 17:00:00</v>
      </c>
      <c r="I2028" s="1" t="str">
        <f>IFERROR(__xludf.DUMMYFUNCTION("""COMPUTED_VALUE"""),"RETIRADO OK POR CLIENTE")</f>
        <v>RETIRADO OK POR CLIENTE</v>
      </c>
      <c r="J2028" s="1">
        <f t="shared" si="3"/>
        <v>6</v>
      </c>
      <c r="K2028" s="1" t="str">
        <f t="shared" si="4"/>
        <v>Entregamos tus lentes, que los disfrutes!</v>
      </c>
    </row>
    <row r="2029">
      <c r="A2029" s="1">
        <f>IFERROR(__xludf.DUMMYFUNCTION("""COMPUTED_VALUE"""),86577.0)</f>
        <v>86577</v>
      </c>
      <c r="B2029" s="5">
        <f>IFERROR(__xludf.DUMMYFUNCTION("""COMPUTED_VALUE"""),44971.802083518516)</f>
        <v>44971.80208</v>
      </c>
      <c r="C2029" s="1" t="str">
        <f>IFERROR(__xludf.DUMMYFUNCTION("""COMPUTED_VALUE"""),"Garro Graciela ")</f>
        <v>Garro Graciela </v>
      </c>
      <c r="D2029" s="1" t="str">
        <f>IFERROR(__xludf.DUMMYFUNCTION("""COMPUTED_VALUE"""),"Reparaciones/Otros")</f>
        <v>Reparaciones/Otros</v>
      </c>
      <c r="E2029" s="1" t="str">
        <f>IFERROR(__xludf.DUMMYFUNCTION("""COMPUTED_VALUE"""),"Otro (MICAELA AMIEVA )")</f>
        <v>Otro (MICAELA AMIEVA )</v>
      </c>
      <c r="F2029" s="1" t="str">
        <f t="shared" si="1"/>
        <v>Otro </v>
      </c>
      <c r="G2029" s="1" t="str">
        <f t="shared" si="2"/>
        <v>(MICAELA AMIEVA )</v>
      </c>
      <c r="H2029" s="1" t="str">
        <f>IFERROR(__xludf.DUMMYFUNCTION("""COMPUTED_VALUE"""),"23/2/2023, 17:00:00")</f>
        <v>23/2/2023, 17:00:00</v>
      </c>
      <c r="I2029" s="1"/>
      <c r="J2029" s="1">
        <f t="shared" si="3"/>
        <v>0</v>
      </c>
      <c r="K2029" s="1" t="str">
        <f t="shared" si="4"/>
        <v/>
      </c>
    </row>
    <row r="2030">
      <c r="A2030" s="1">
        <f>IFERROR(__xludf.DUMMYFUNCTION("""COMPUTED_VALUE"""),86578.0)</f>
        <v>86578</v>
      </c>
      <c r="B2030" s="5">
        <f>IFERROR(__xludf.DUMMYFUNCTION("""COMPUTED_VALUE"""),44971.80823065972)</f>
        <v>44971.80823</v>
      </c>
      <c r="C2030" s="1" t="str">
        <f>IFERROR(__xludf.DUMMYFUNCTION("""COMPUTED_VALUE"""),"MIRANDA MARISA")</f>
        <v>MIRANDA MARISA</v>
      </c>
      <c r="D2030" s="1" t="str">
        <f>IFERROR(__xludf.DUMMYFUNCTION("""COMPUTED_VALUE"""),"Lentes de STOCK")</f>
        <v>Lentes de STOCK</v>
      </c>
      <c r="E2030" s="1" t="str">
        <f>IFERROR(__xludf.DUMMYFUNCTION("""COMPUTED_VALUE"""),"ARTIGAS Roció")</f>
        <v>ARTIGAS Roció</v>
      </c>
      <c r="F2030" s="1" t="str">
        <f t="shared" si="1"/>
        <v>ARTIGAS </v>
      </c>
      <c r="G2030" s="1" t="str">
        <f t="shared" si="2"/>
        <v>Roció</v>
      </c>
      <c r="H2030" s="1" t="str">
        <f>IFERROR(__xludf.DUMMYFUNCTION("""COMPUTED_VALUE"""),"23/2/2023, 17:00:00")</f>
        <v>23/2/2023, 17:00:00</v>
      </c>
      <c r="I2030" s="1" t="str">
        <f>IFERROR(__xludf.DUMMYFUNCTION("""COMPUTED_VALUE"""),"RETIRADO OK POR CLIENTE")</f>
        <v>RETIRADO OK POR CLIENTE</v>
      </c>
      <c r="J2030" s="1">
        <f t="shared" si="3"/>
        <v>6</v>
      </c>
      <c r="K2030" s="1" t="str">
        <f t="shared" si="4"/>
        <v>Entregamos tus lentes, que los disfrutes!</v>
      </c>
    </row>
    <row r="2031">
      <c r="A2031" s="1">
        <f>IFERROR(__xludf.DUMMYFUNCTION("""COMPUTED_VALUE"""),86579.0)</f>
        <v>86579</v>
      </c>
      <c r="B2031" s="5">
        <f>IFERROR(__xludf.DUMMYFUNCTION("""COMPUTED_VALUE"""),44971.8177603588)</f>
        <v>44971.81776</v>
      </c>
      <c r="C2031" s="1" t="str">
        <f>IFERROR(__xludf.DUMMYFUNCTION("""COMPUTED_VALUE"""),"visintini maria candelaria")</f>
        <v>visintini maria candelaria</v>
      </c>
      <c r="D2031" s="1" t="str">
        <f>IFERROR(__xludf.DUMMYFUNCTION("""COMPUTED_VALUE"""),"Lentes de STOCK")</f>
        <v>Lentes de STOCK</v>
      </c>
      <c r="E2031" s="1" t="str">
        <f>IFERROR(__xludf.DUMMYFUNCTION("""COMPUTED_VALUE"""),"RIVADAVIA Santiago N")</f>
        <v>RIVADAVIA Santiago N</v>
      </c>
      <c r="F2031" s="1" t="str">
        <f t="shared" si="1"/>
        <v>RIVADAVIA </v>
      </c>
      <c r="G2031" s="1" t="str">
        <f t="shared" si="2"/>
        <v>Santiago N</v>
      </c>
      <c r="H2031" s="1" t="str">
        <f>IFERROR(__xludf.DUMMYFUNCTION("""COMPUTED_VALUE"""),"17/2/2023, 17:00:00")</f>
        <v>17/2/2023, 17:00:00</v>
      </c>
      <c r="I2031" s="1" t="str">
        <f>IFERROR(__xludf.DUMMYFUNCTION("""COMPUTED_VALUE"""),"RETIRADO OK POR CLIENTE")</f>
        <v>RETIRADO OK POR CLIENTE</v>
      </c>
      <c r="J2031" s="1">
        <f t="shared" si="3"/>
        <v>6</v>
      </c>
      <c r="K2031" s="1" t="str">
        <f t="shared" si="4"/>
        <v>Entregamos tus lentes, que los disfrutes!</v>
      </c>
    </row>
    <row r="2032">
      <c r="A2032" s="1">
        <f>IFERROR(__xludf.DUMMYFUNCTION("""COMPUTED_VALUE"""),86580.0)</f>
        <v>86580</v>
      </c>
      <c r="B2032" s="5">
        <f>IFERROR(__xludf.DUMMYFUNCTION("""COMPUTED_VALUE"""),44971.832023333336)</f>
        <v>44971.83202</v>
      </c>
      <c r="C2032" s="1" t="str">
        <f>IFERROR(__xludf.DUMMYFUNCTION("""COMPUTED_VALUE"""),"FERNANDEZ MIRTA")</f>
        <v>FERNANDEZ MIRTA</v>
      </c>
      <c r="D2032" s="1" t="str">
        <f>IFERROR(__xludf.DUMMYFUNCTION("""COMPUTED_VALUE"""),"Lentes BIFOCALES")</f>
        <v>Lentes BIFOCALES</v>
      </c>
      <c r="E2032" s="1" t="str">
        <f>IFERROR(__xludf.DUMMYFUNCTION("""COMPUTED_VALUE"""),"RIVADAVIA Javier")</f>
        <v>RIVADAVIA Javier</v>
      </c>
      <c r="F2032" s="1" t="str">
        <f t="shared" si="1"/>
        <v>RIVADAVIA </v>
      </c>
      <c r="G2032" s="1" t="str">
        <f t="shared" si="2"/>
        <v>Javier</v>
      </c>
      <c r="H2032" s="1" t="str">
        <f>IFERROR(__xludf.DUMMYFUNCTION("""COMPUTED_VALUE"""),"22/2/2023, 17:00:00")</f>
        <v>22/2/2023, 17:00:00</v>
      </c>
      <c r="I2032" s="1" t="str">
        <f>IFERROR(__xludf.DUMMYFUNCTION("""COMPUTED_VALUE"""),"RETIRADO OK POR CLIENTE")</f>
        <v>RETIRADO OK POR CLIENTE</v>
      </c>
      <c r="J2032" s="1">
        <f t="shared" si="3"/>
        <v>6</v>
      </c>
      <c r="K2032" s="1" t="str">
        <f t="shared" si="4"/>
        <v>Entregamos tus lentes, que los disfrutes!</v>
      </c>
    </row>
    <row r="2033">
      <c r="A2033" s="1">
        <f>IFERROR(__xludf.DUMMYFUNCTION("""COMPUTED_VALUE"""),86581.0)</f>
        <v>86581</v>
      </c>
      <c r="B2033" s="5">
        <f>IFERROR(__xludf.DUMMYFUNCTION("""COMPUTED_VALUE"""),44971.83680769676)</f>
        <v>44971.83681</v>
      </c>
      <c r="C2033" s="1" t="str">
        <f>IFERROR(__xludf.DUMMYFUNCTION("""COMPUTED_VALUE"""),"FALCON CLAUDIA")</f>
        <v>FALCON CLAUDIA</v>
      </c>
      <c r="D2033" s="1" t="str">
        <f>IFERROR(__xludf.DUMMYFUNCTION("""COMPUTED_VALUE"""),"Reparaciones/Otros")</f>
        <v>Reparaciones/Otros</v>
      </c>
      <c r="E2033" s="1" t="str">
        <f>IFERROR(__xludf.DUMMYFUNCTION("""COMPUTED_VALUE"""),"RIVADAVIA Daniel CM")</f>
        <v>RIVADAVIA Daniel CM</v>
      </c>
      <c r="F2033" s="1" t="str">
        <f t="shared" si="1"/>
        <v>RIVADAVIA </v>
      </c>
      <c r="G2033" s="1" t="str">
        <f t="shared" si="2"/>
        <v>Daniel CM</v>
      </c>
      <c r="H2033" s="1" t="str">
        <f>IFERROR(__xludf.DUMMYFUNCTION("""COMPUTED_VALUE"""),"15/2/2023, 17:00:00")</f>
        <v>15/2/2023, 17:00:00</v>
      </c>
      <c r="I2033" s="1" t="str">
        <f>IFERROR(__xludf.DUMMYFUNCTION("""COMPUTED_VALUE"""),"Completado en SUCURSAL")</f>
        <v>Completado en SUCURSAL</v>
      </c>
      <c r="J2033" s="1">
        <f t="shared" si="3"/>
        <v>5</v>
      </c>
      <c r="K2033" s="1" t="str">
        <f t="shared" si="4"/>
        <v>Tus Lentes estan LISTAS PARA ENTREGAR, te esperamos.</v>
      </c>
    </row>
    <row r="2034">
      <c r="A2034" s="1">
        <f>IFERROR(__xludf.DUMMYFUNCTION("""COMPUTED_VALUE"""),86582.0)</f>
        <v>86582</v>
      </c>
      <c r="B2034" s="5">
        <f>IFERROR(__xludf.DUMMYFUNCTION("""COMPUTED_VALUE"""),44971.83957372685)</f>
        <v>44971.83957</v>
      </c>
      <c r="C2034" s="1" t="str">
        <f>IFERROR(__xludf.DUMMYFUNCTION("""COMPUTED_VALUE"""),"FUNES FERNANDO RAUL")</f>
        <v>FUNES FERNANDO RAUL</v>
      </c>
      <c r="D2034" s="1" t="str">
        <f>IFERROR(__xludf.DUMMYFUNCTION("""COMPUTED_VALUE"""),"Lentes BIFOCALES")</f>
        <v>Lentes BIFOCALES</v>
      </c>
      <c r="E2034" s="1" t="str">
        <f>IFERROR(__xludf.DUMMYFUNCTION("""COMPUTED_VALUE"""),"RIVADAVIA Luciana")</f>
        <v>RIVADAVIA Luciana</v>
      </c>
      <c r="F2034" s="1" t="str">
        <f t="shared" si="1"/>
        <v>RIVADAVIA </v>
      </c>
      <c r="G2034" s="1" t="str">
        <f t="shared" si="2"/>
        <v>Luciana</v>
      </c>
      <c r="H2034" s="1" t="str">
        <f>IFERROR(__xludf.DUMMYFUNCTION("""COMPUTED_VALUE"""),"2/3/2023, 18:00:00")</f>
        <v>2/3/2023, 18:00:00</v>
      </c>
      <c r="I2034" s="1" t="str">
        <f>IFERROR(__xludf.DUMMYFUNCTION("""COMPUTED_VALUE"""),"Recibido en Laboratorio")</f>
        <v>Recibido en Laboratorio</v>
      </c>
      <c r="J2034" s="1">
        <f t="shared" si="3"/>
        <v>2</v>
      </c>
      <c r="K2034" s="1" t="str">
        <f t="shared" si="4"/>
        <v>Nuestro Laboratorio esta trabajando en tus lentes, los entregaremos en la fecha acordada.</v>
      </c>
    </row>
    <row r="2035">
      <c r="A2035" s="1">
        <f>IFERROR(__xludf.DUMMYFUNCTION("""COMPUTED_VALUE"""),86583.0)</f>
        <v>86583</v>
      </c>
      <c r="B2035" s="5">
        <f>IFERROR(__xludf.DUMMYFUNCTION("""COMPUTED_VALUE"""),44971.84310162037)</f>
        <v>44971.8431</v>
      </c>
      <c r="C2035" s="1" t="str">
        <f>IFERROR(__xludf.DUMMYFUNCTION("""COMPUTED_VALUE"""),"jofre juaquina")</f>
        <v>jofre juaquina</v>
      </c>
      <c r="D2035" s="1" t="str">
        <f>IFERROR(__xludf.DUMMYFUNCTION("""COMPUTED_VALUE"""),"Lentes de STOCK")</f>
        <v>Lentes de STOCK</v>
      </c>
      <c r="E2035" s="1" t="str">
        <f>IFERROR(__xludf.DUMMYFUNCTION("""COMPUTED_VALUE"""),"RIVADAVIA Santiago N")</f>
        <v>RIVADAVIA Santiago N</v>
      </c>
      <c r="F2035" s="1" t="str">
        <f t="shared" si="1"/>
        <v>RIVADAVIA </v>
      </c>
      <c r="G2035" s="1" t="str">
        <f t="shared" si="2"/>
        <v>Santiago N</v>
      </c>
      <c r="H2035" s="1" t="str">
        <f>IFERROR(__xludf.DUMMYFUNCTION("""COMPUTED_VALUE"""),"17/2/2023, 17:00:00")</f>
        <v>17/2/2023, 17:00:00</v>
      </c>
      <c r="I2035" s="1" t="str">
        <f>IFERROR(__xludf.DUMMYFUNCTION("""COMPUTED_VALUE"""),"RETIRADO OK POR CLIENTE")</f>
        <v>RETIRADO OK POR CLIENTE</v>
      </c>
      <c r="J2035" s="1">
        <f t="shared" si="3"/>
        <v>6</v>
      </c>
      <c r="K2035" s="1" t="str">
        <f t="shared" si="4"/>
        <v>Entregamos tus lentes, que los disfrutes!</v>
      </c>
    </row>
    <row r="2036">
      <c r="A2036" s="1">
        <f>IFERROR(__xludf.DUMMYFUNCTION("""COMPUTED_VALUE"""),86584.0)</f>
        <v>86584</v>
      </c>
      <c r="B2036" s="5">
        <f>IFERROR(__xludf.DUMMYFUNCTION("""COMPUTED_VALUE"""),44971.86071105324)</f>
        <v>44971.86071</v>
      </c>
      <c r="C2036" s="1" t="str">
        <f>IFERROR(__xludf.DUMMYFUNCTION("""COMPUTED_VALUE"""),"ALFONSO ASTORGA")</f>
        <v>ALFONSO ASTORGA</v>
      </c>
      <c r="D2036" s="1" t="str">
        <f>IFERROR(__xludf.DUMMYFUNCTION("""COMPUTED_VALUE"""),"Reparaciones/Otros")</f>
        <v>Reparaciones/Otros</v>
      </c>
      <c r="E2036" s="1" t="str">
        <f>IFERROR(__xludf.DUMMYFUNCTION("""COMPUTED_VALUE"""),"RIVADAVIA Javier")</f>
        <v>RIVADAVIA Javier</v>
      </c>
      <c r="F2036" s="1" t="str">
        <f t="shared" si="1"/>
        <v>RIVADAVIA </v>
      </c>
      <c r="G2036" s="1" t="str">
        <f t="shared" si="2"/>
        <v>Javier</v>
      </c>
      <c r="H2036" s="1" t="str">
        <f>IFERROR(__xludf.DUMMYFUNCTION("""COMPUTED_VALUE"""),"16/2/2023, 17:00:00")</f>
        <v>16/2/2023, 17:00:00</v>
      </c>
      <c r="I2036" s="1" t="str">
        <f>IFERROR(__xludf.DUMMYFUNCTION("""COMPUTED_VALUE"""),"Completado en SUCURSAL")</f>
        <v>Completado en SUCURSAL</v>
      </c>
      <c r="J2036" s="1">
        <f t="shared" si="3"/>
        <v>5</v>
      </c>
      <c r="K2036" s="1" t="str">
        <f t="shared" si="4"/>
        <v>Tus Lentes estan LISTAS PARA ENTREGAR, te esperamos.</v>
      </c>
    </row>
    <row r="2037" hidden="1">
      <c r="A2037" s="1">
        <f>IFERROR(__xludf.DUMMYFUNCTION("""COMPUTED_VALUE"""),86585.0)</f>
        <v>86585</v>
      </c>
      <c r="B2037" s="5">
        <f>IFERROR(__xludf.DUMMYFUNCTION("""COMPUTED_VALUE"""),44971.86458072916)</f>
        <v>44971.86458</v>
      </c>
      <c r="C2037" s="1" t="str">
        <f>IFERROR(__xludf.DUMMYFUNCTION("""COMPUTED_VALUE"""),"casas nilda")</f>
        <v>casas nilda</v>
      </c>
      <c r="D2037" s="1" t="str">
        <f>IFERROR(__xludf.DUMMYFUNCTION("""COMPUTED_VALUE"""),"Lentes de STOCK")</f>
        <v>Lentes de STOCK</v>
      </c>
      <c r="E2037" s="1" t="str">
        <f>IFERROR(__xludf.DUMMYFUNCTION("""COMPUTED_VALUE"""),"RIVADAVIA Santiago N")</f>
        <v>RIVADAVIA Santiago N</v>
      </c>
      <c r="F2037" s="1" t="str">
        <f t="shared" si="1"/>
        <v>RIVADAVIA </v>
      </c>
      <c r="G2037" s="1" t="str">
        <f t="shared" si="2"/>
        <v>Santiago N</v>
      </c>
      <c r="H2037" s="1" t="str">
        <f>IFERROR(__xludf.DUMMYFUNCTION("""COMPUTED_VALUE"""),"17/2/2023, 17:00:00")</f>
        <v>17/2/2023, 17:00:00</v>
      </c>
      <c r="I2037" s="1" t="str">
        <f>IFERROR(__xludf.DUMMYFUNCTION("""COMPUTED_VALUE"""),"DEMORADO")</f>
        <v>DEMORADO</v>
      </c>
      <c r="J2037" s="1" t="str">
        <f t="shared" si="3"/>
        <v/>
      </c>
      <c r="K2037" s="1" t="str">
        <f t="shared" si="4"/>
        <v>Tuvimos una demora con tus lentes y no podremos entregarlo en las fecha acordada, estamos trabajando para terminarlos cuanto antes, te mantendremos al tanto, si es necesario contactanos via whatsapp.</v>
      </c>
    </row>
    <row r="2038">
      <c r="A2038" s="1">
        <f>IFERROR(__xludf.DUMMYFUNCTION("""COMPUTED_VALUE"""),86586.0)</f>
        <v>86586</v>
      </c>
      <c r="B2038" s="5">
        <f>IFERROR(__xludf.DUMMYFUNCTION("""COMPUTED_VALUE"""),44972.38211824074)</f>
        <v>44972.38212</v>
      </c>
      <c r="C2038" s="1" t="str">
        <f>IFERROR(__xludf.DUMMYFUNCTION("""COMPUTED_VALUE"""),"SARMIENTO FEDERICO CARMEN")</f>
        <v>SARMIENTO FEDERICO CARMEN</v>
      </c>
      <c r="D2038" s="1" t="str">
        <f>IFERROR(__xludf.DUMMYFUNCTION("""COMPUTED_VALUE"""),"Lentes BIFOCALES")</f>
        <v>Lentes BIFOCALES</v>
      </c>
      <c r="E2038" s="1" t="str">
        <f>IFERROR(__xludf.DUMMYFUNCTION("""COMPUTED_VALUE"""),"ARTIGAS Roció")</f>
        <v>ARTIGAS Roció</v>
      </c>
      <c r="F2038" s="1" t="str">
        <f t="shared" si="1"/>
        <v>ARTIGAS </v>
      </c>
      <c r="G2038" s="1" t="str">
        <f t="shared" si="2"/>
        <v>Roció</v>
      </c>
      <c r="H2038" s="1" t="str">
        <f>IFERROR(__xludf.DUMMYFUNCTION("""COMPUTED_VALUE"""),"24/2/2023, 17:00:00")</f>
        <v>24/2/2023, 17:00:00</v>
      </c>
      <c r="I2038" s="1" t="str">
        <f>IFERROR(__xludf.DUMMYFUNCTION("""COMPUTED_VALUE"""),"Completado en SUCURSAL")</f>
        <v>Completado en SUCURSAL</v>
      </c>
      <c r="J2038" s="1">
        <f t="shared" si="3"/>
        <v>5</v>
      </c>
      <c r="K2038" s="1" t="str">
        <f t="shared" si="4"/>
        <v>Tus Lentes estan LISTAS PARA ENTREGAR, te esperamos.</v>
      </c>
    </row>
    <row r="2039">
      <c r="A2039" s="1">
        <f>IFERROR(__xludf.DUMMYFUNCTION("""COMPUTED_VALUE"""),86587.0)</f>
        <v>86587</v>
      </c>
      <c r="B2039" s="5">
        <f>IFERROR(__xludf.DUMMYFUNCTION("""COMPUTED_VALUE"""),44972.389264618054)</f>
        <v>44972.38926</v>
      </c>
      <c r="C2039" s="1" t="str">
        <f>IFERROR(__xludf.DUMMYFUNCTION("""COMPUTED_VALUE"""),"musumecce virginia")</f>
        <v>musumecce virginia</v>
      </c>
      <c r="D2039" s="1" t="str">
        <f>IFERROR(__xludf.DUMMYFUNCTION("""COMPUTED_VALUE"""),"Lentes de STOCK")</f>
        <v>Lentes de STOCK</v>
      </c>
      <c r="E2039" s="1" t="str">
        <f>IFERROR(__xludf.DUMMYFUNCTION("""COMPUTED_VALUE"""),"RIVADAVIA Santiago N")</f>
        <v>RIVADAVIA Santiago N</v>
      </c>
      <c r="F2039" s="1" t="str">
        <f t="shared" si="1"/>
        <v>RIVADAVIA </v>
      </c>
      <c r="G2039" s="1" t="str">
        <f t="shared" si="2"/>
        <v>Santiago N</v>
      </c>
      <c r="H2039" s="1" t="str">
        <f>IFERROR(__xludf.DUMMYFUNCTION("""COMPUTED_VALUE"""),"17/2/2023, 17:00:00")</f>
        <v>17/2/2023, 17:00:00</v>
      </c>
      <c r="I2039" s="1" t="str">
        <f>IFERROR(__xludf.DUMMYFUNCTION("""COMPUTED_VALUE"""),"RETIRADO OK POR CLIENTE")</f>
        <v>RETIRADO OK POR CLIENTE</v>
      </c>
      <c r="J2039" s="1">
        <f t="shared" si="3"/>
        <v>6</v>
      </c>
      <c r="K2039" s="1" t="str">
        <f t="shared" si="4"/>
        <v>Entregamos tus lentes, que los disfrutes!</v>
      </c>
    </row>
    <row r="2040">
      <c r="A2040" s="1">
        <f>IFERROR(__xludf.DUMMYFUNCTION("""COMPUTED_VALUE"""),86588.0)</f>
        <v>86588</v>
      </c>
      <c r="B2040" s="5">
        <f>IFERROR(__xludf.DUMMYFUNCTION("""COMPUTED_VALUE"""),44972.39001148148)</f>
        <v>44972.39001</v>
      </c>
      <c r="C2040" s="1" t="str">
        <f>IFERROR(__xludf.DUMMYFUNCTION("""COMPUTED_VALUE"""),"ZABALA RAMONA DEL CARMEN")</f>
        <v>ZABALA RAMONA DEL CARMEN</v>
      </c>
      <c r="D2040" s="1" t="str">
        <f>IFERROR(__xludf.DUMMYFUNCTION("""COMPUTED_VALUE"""),"Lentes BIFOCALES")</f>
        <v>Lentes BIFOCALES</v>
      </c>
      <c r="E2040" s="1" t="str">
        <f>IFERROR(__xludf.DUMMYFUNCTION("""COMPUTED_VALUE"""),"ARTIGAS Roció")</f>
        <v>ARTIGAS Roció</v>
      </c>
      <c r="F2040" s="1" t="str">
        <f t="shared" si="1"/>
        <v>ARTIGAS </v>
      </c>
      <c r="G2040" s="1" t="str">
        <f t="shared" si="2"/>
        <v>Roció</v>
      </c>
      <c r="H2040" s="1" t="str">
        <f>IFERROR(__xludf.DUMMYFUNCTION("""COMPUTED_VALUE"""),"24/2/2023, 17:00:00")</f>
        <v>24/2/2023, 17:00:00</v>
      </c>
      <c r="I2040" s="1" t="str">
        <f>IFERROR(__xludf.DUMMYFUNCTION("""COMPUTED_VALUE"""),"Completado en SUCURSAL")</f>
        <v>Completado en SUCURSAL</v>
      </c>
      <c r="J2040" s="1">
        <f t="shared" si="3"/>
        <v>5</v>
      </c>
      <c r="K2040" s="1" t="str">
        <f t="shared" si="4"/>
        <v>Tus Lentes estan LISTAS PARA ENTREGAR, te esperamos.</v>
      </c>
    </row>
    <row r="2041">
      <c r="A2041" s="1">
        <f>IFERROR(__xludf.DUMMYFUNCTION("""COMPUTED_VALUE"""),86589.0)</f>
        <v>86589</v>
      </c>
      <c r="B2041" s="5">
        <f>IFERROR(__xludf.DUMMYFUNCTION("""COMPUTED_VALUE"""),44972.39338164352)</f>
        <v>44972.39338</v>
      </c>
      <c r="C2041" s="1" t="str">
        <f>IFERROR(__xludf.DUMMYFUNCTION("""COMPUTED_VALUE"""),"BAIGORRIA SILVIA")</f>
        <v>BAIGORRIA SILVIA</v>
      </c>
      <c r="D2041" s="1" t="str">
        <f>IFERROR(__xludf.DUMMYFUNCTION("""COMPUTED_VALUE"""),"Lentes de STOCK")</f>
        <v>Lentes de STOCK</v>
      </c>
      <c r="E2041" s="1" t="str">
        <f>IFERROR(__xludf.DUMMYFUNCTION("""COMPUTED_VALUE"""),"RIVADAVIA Javier")</f>
        <v>RIVADAVIA Javier</v>
      </c>
      <c r="F2041" s="1" t="str">
        <f t="shared" si="1"/>
        <v>RIVADAVIA </v>
      </c>
      <c r="G2041" s="1" t="str">
        <f t="shared" si="2"/>
        <v>Javier</v>
      </c>
      <c r="H2041" s="1" t="str">
        <f>IFERROR(__xludf.DUMMYFUNCTION("""COMPUTED_VALUE"""),"22/2/2023, 17:00:00")</f>
        <v>22/2/2023, 17:00:00</v>
      </c>
      <c r="I2041" s="1" t="str">
        <f>IFERROR(__xludf.DUMMYFUNCTION("""COMPUTED_VALUE"""),"RETIRADO OK POR CLIENTE")</f>
        <v>RETIRADO OK POR CLIENTE</v>
      </c>
      <c r="J2041" s="1">
        <f t="shared" si="3"/>
        <v>6</v>
      </c>
      <c r="K2041" s="1" t="str">
        <f t="shared" si="4"/>
        <v>Entregamos tus lentes, que los disfrutes!</v>
      </c>
    </row>
    <row r="2042">
      <c r="A2042" s="1">
        <f>IFERROR(__xludf.DUMMYFUNCTION("""COMPUTED_VALUE"""),86590.0)</f>
        <v>86590</v>
      </c>
      <c r="B2042" s="5">
        <f>IFERROR(__xludf.DUMMYFUNCTION("""COMPUTED_VALUE"""),44972.39591373842)</f>
        <v>44972.39591</v>
      </c>
      <c r="C2042" s="1" t="str">
        <f>IFERROR(__xludf.DUMMYFUNCTION("""COMPUTED_VALUE"""),"benavidez clara haydee")</f>
        <v>benavidez clara haydee</v>
      </c>
      <c r="D2042" s="1" t="str">
        <f>IFERROR(__xludf.DUMMYFUNCTION("""COMPUTED_VALUE"""),"Lentes de STOCK")</f>
        <v>Lentes de STOCK</v>
      </c>
      <c r="E2042" s="1" t="str">
        <f>IFERROR(__xludf.DUMMYFUNCTION("""COMPUTED_VALUE"""),"RIVADAVIA Santiago N")</f>
        <v>RIVADAVIA Santiago N</v>
      </c>
      <c r="F2042" s="1" t="str">
        <f t="shared" si="1"/>
        <v>RIVADAVIA </v>
      </c>
      <c r="G2042" s="1" t="str">
        <f t="shared" si="2"/>
        <v>Santiago N</v>
      </c>
      <c r="H2042" s="1" t="str">
        <f>IFERROR(__xludf.DUMMYFUNCTION("""COMPUTED_VALUE"""),"18/2/2023, 17:00:00")</f>
        <v>18/2/2023, 17:00:00</v>
      </c>
      <c r="I2042" s="1" t="str">
        <f>IFERROR(__xludf.DUMMYFUNCTION("""COMPUTED_VALUE"""),"Completado en SUCURSAL")</f>
        <v>Completado en SUCURSAL</v>
      </c>
      <c r="J2042" s="1">
        <f t="shared" si="3"/>
        <v>5</v>
      </c>
      <c r="K2042" s="1" t="str">
        <f t="shared" si="4"/>
        <v>Tus Lentes estan LISTAS PARA ENTREGAR, te esperamos.</v>
      </c>
    </row>
    <row r="2043">
      <c r="A2043" s="1">
        <f>IFERROR(__xludf.DUMMYFUNCTION("""COMPUTED_VALUE"""),86591.0)</f>
        <v>86591</v>
      </c>
      <c r="B2043" s="5">
        <f>IFERROR(__xludf.DUMMYFUNCTION("""COMPUTED_VALUE"""),44972.39658170139)</f>
        <v>44972.39658</v>
      </c>
      <c r="C2043" s="1" t="str">
        <f>IFERROR(__xludf.DUMMYFUNCTION("""COMPUTED_VALUE"""),"BARRIONUEVO ROSA")</f>
        <v>BARRIONUEVO ROSA</v>
      </c>
      <c r="D2043" s="1" t="str">
        <f>IFERROR(__xludf.DUMMYFUNCTION("""COMPUTED_VALUE"""),"Lentes de STOCK")</f>
        <v>Lentes de STOCK</v>
      </c>
      <c r="E2043" s="1" t="str">
        <f>IFERROR(__xludf.DUMMYFUNCTION("""COMPUTED_VALUE"""),"ARTIGAS Ivana P.")</f>
        <v>ARTIGAS Ivana P.</v>
      </c>
      <c r="F2043" s="1" t="str">
        <f t="shared" si="1"/>
        <v>ARTIGAS </v>
      </c>
      <c r="G2043" s="1" t="str">
        <f t="shared" si="2"/>
        <v>Ivana P.</v>
      </c>
      <c r="H2043" s="1" t="str">
        <f>IFERROR(__xludf.DUMMYFUNCTION("""COMPUTED_VALUE"""),"22/2/2023, 17:00:00")</f>
        <v>22/2/2023, 17:00:00</v>
      </c>
      <c r="I2043" s="1" t="str">
        <f>IFERROR(__xludf.DUMMYFUNCTION("""COMPUTED_VALUE"""),"RETIRADO OK POR CLIENTE")</f>
        <v>RETIRADO OK POR CLIENTE</v>
      </c>
      <c r="J2043" s="1">
        <f t="shared" si="3"/>
        <v>6</v>
      </c>
      <c r="K2043" s="1" t="str">
        <f t="shared" si="4"/>
        <v>Entregamos tus lentes, que los disfrutes!</v>
      </c>
    </row>
    <row r="2044">
      <c r="A2044" s="1">
        <f>IFERROR(__xludf.DUMMYFUNCTION("""COMPUTED_VALUE"""),86592.0)</f>
        <v>86592</v>
      </c>
      <c r="B2044" s="5">
        <f>IFERROR(__xludf.DUMMYFUNCTION("""COMPUTED_VALUE"""),44972.40897837963)</f>
        <v>44972.40898</v>
      </c>
      <c r="C2044" s="1" t="str">
        <f>IFERROR(__xludf.DUMMYFUNCTION("""COMPUTED_VALUE"""),"godoy carlos horacio")</f>
        <v>godoy carlos horacio</v>
      </c>
      <c r="D2044" s="1" t="str">
        <f>IFERROR(__xludf.DUMMYFUNCTION("""COMPUTED_VALUE"""),"Reparaciones/Otros")</f>
        <v>Reparaciones/Otros</v>
      </c>
      <c r="E2044" s="1" t="str">
        <f>IFERROR(__xludf.DUMMYFUNCTION("""COMPUTED_VALUE"""),"RIVADAVIA Daniel CM")</f>
        <v>RIVADAVIA Daniel CM</v>
      </c>
      <c r="F2044" s="1" t="str">
        <f t="shared" si="1"/>
        <v>RIVADAVIA </v>
      </c>
      <c r="G2044" s="1" t="str">
        <f t="shared" si="2"/>
        <v>Daniel CM</v>
      </c>
      <c r="H2044" s="1" t="str">
        <f>IFERROR(__xludf.DUMMYFUNCTION("""COMPUTED_VALUE"""),"16/2/2023, 17:00:00")</f>
        <v>16/2/2023, 17:00:00</v>
      </c>
      <c r="I2044" s="1" t="str">
        <f>IFERROR(__xludf.DUMMYFUNCTION("""COMPUTED_VALUE"""),"Completado en SUCURSAL")</f>
        <v>Completado en SUCURSAL</v>
      </c>
      <c r="J2044" s="1">
        <f t="shared" si="3"/>
        <v>5</v>
      </c>
      <c r="K2044" s="1" t="str">
        <f t="shared" si="4"/>
        <v>Tus Lentes estan LISTAS PARA ENTREGAR, te esperamos.</v>
      </c>
    </row>
    <row r="2045">
      <c r="A2045" s="1">
        <f>IFERROR(__xludf.DUMMYFUNCTION("""COMPUTED_VALUE"""),86593.0)</f>
        <v>86593</v>
      </c>
      <c r="B2045" s="5">
        <f>IFERROR(__xludf.DUMMYFUNCTION("""COMPUTED_VALUE"""),44972.41436841435)</f>
        <v>44972.41437</v>
      </c>
      <c r="C2045" s="1" t="str">
        <f>IFERROR(__xludf.DUMMYFUNCTION("""COMPUTED_VALUE"""),"SUAREZ MIGUEL TRINIDAD")</f>
        <v>SUAREZ MIGUEL TRINIDAD</v>
      </c>
      <c r="D2045" s="1" t="str">
        <f>IFERROR(__xludf.DUMMYFUNCTION("""COMPUTED_VALUE"""),"Lentes de STOCK")</f>
        <v>Lentes de STOCK</v>
      </c>
      <c r="E2045" s="1" t="str">
        <f>IFERROR(__xludf.DUMMYFUNCTION("""COMPUTED_VALUE"""),"RIVADAVIA Javier")</f>
        <v>RIVADAVIA Javier</v>
      </c>
      <c r="F2045" s="1" t="str">
        <f t="shared" si="1"/>
        <v>RIVADAVIA </v>
      </c>
      <c r="G2045" s="1" t="str">
        <f t="shared" si="2"/>
        <v>Javier</v>
      </c>
      <c r="H2045" s="1" t="str">
        <f>IFERROR(__xludf.DUMMYFUNCTION("""COMPUTED_VALUE"""),"23/2/2023, 17:00:00")</f>
        <v>23/2/2023, 17:00:00</v>
      </c>
      <c r="I2045" s="1" t="str">
        <f>IFERROR(__xludf.DUMMYFUNCTION("""COMPUTED_VALUE"""),"RETIRADO OK POR CLIENTE")</f>
        <v>RETIRADO OK POR CLIENTE</v>
      </c>
      <c r="J2045" s="1">
        <f t="shared" si="3"/>
        <v>6</v>
      </c>
      <c r="K2045" s="1" t="str">
        <f t="shared" si="4"/>
        <v>Entregamos tus lentes, que los disfrutes!</v>
      </c>
    </row>
    <row r="2046">
      <c r="A2046" s="1">
        <f>IFERROR(__xludf.DUMMYFUNCTION("""COMPUTED_VALUE"""),86594.0)</f>
        <v>86594</v>
      </c>
      <c r="B2046" s="5">
        <f>IFERROR(__xludf.DUMMYFUNCTION("""COMPUTED_VALUE"""),44972.414879710646)</f>
        <v>44972.41488</v>
      </c>
      <c r="C2046" s="1" t="str">
        <f>IFERROR(__xludf.DUMMYFUNCTION("""COMPUTED_VALUE"""),"OROZCO WALTER")</f>
        <v>OROZCO WALTER</v>
      </c>
      <c r="D2046" s="1" t="str">
        <f>IFERROR(__xludf.DUMMYFUNCTION("""COMPUTED_VALUE"""),"Lentes de STOCK")</f>
        <v>Lentes de STOCK</v>
      </c>
      <c r="E2046" s="1" t="str">
        <f>IFERROR(__xludf.DUMMYFUNCTION("""COMPUTED_VALUE"""),"RIVADAVIA Daniel CM")</f>
        <v>RIVADAVIA Daniel CM</v>
      </c>
      <c r="F2046" s="1" t="str">
        <f t="shared" si="1"/>
        <v>RIVADAVIA </v>
      </c>
      <c r="G2046" s="1" t="str">
        <f t="shared" si="2"/>
        <v>Daniel CM</v>
      </c>
      <c r="H2046" s="1" t="str">
        <f>IFERROR(__xludf.DUMMYFUNCTION("""COMPUTED_VALUE"""),"22/2/2023, 17:00:00")</f>
        <v>22/2/2023, 17:00:00</v>
      </c>
      <c r="I2046" s="1" t="str">
        <f>IFERROR(__xludf.DUMMYFUNCTION("""COMPUTED_VALUE"""),"RETIRADO OK POR CLIENTE")</f>
        <v>RETIRADO OK POR CLIENTE</v>
      </c>
      <c r="J2046" s="1">
        <f t="shared" si="3"/>
        <v>6</v>
      </c>
      <c r="K2046" s="1" t="str">
        <f t="shared" si="4"/>
        <v>Entregamos tus lentes, que los disfrutes!</v>
      </c>
    </row>
    <row r="2047">
      <c r="A2047" s="1">
        <f>IFERROR(__xludf.DUMMYFUNCTION("""COMPUTED_VALUE"""),86595.0)</f>
        <v>86595</v>
      </c>
      <c r="B2047" s="5">
        <f>IFERROR(__xludf.DUMMYFUNCTION("""COMPUTED_VALUE"""),44972.434184756945)</f>
        <v>44972.43418</v>
      </c>
      <c r="C2047" s="1" t="str">
        <f>IFERROR(__xludf.DUMMYFUNCTION("""COMPUTED_VALUE"""),"BARRIONUEVO OSCAR CESAR ")</f>
        <v>BARRIONUEVO OSCAR CESAR </v>
      </c>
      <c r="D2047" s="1" t="str">
        <f>IFERROR(__xludf.DUMMYFUNCTION("""COMPUTED_VALUE"""),"Lentes de STOCK")</f>
        <v>Lentes de STOCK</v>
      </c>
      <c r="E2047" s="1" t="str">
        <f>IFERROR(__xludf.DUMMYFUNCTION("""COMPUTED_VALUE"""),"RIVADAVIA Luciana")</f>
        <v>RIVADAVIA Luciana</v>
      </c>
      <c r="F2047" s="1" t="str">
        <f t="shared" si="1"/>
        <v>RIVADAVIA </v>
      </c>
      <c r="G2047" s="1" t="str">
        <f t="shared" si="2"/>
        <v>Luciana</v>
      </c>
      <c r="H2047" s="1" t="str">
        <f>IFERROR(__xludf.DUMMYFUNCTION("""COMPUTED_VALUE"""),"22/2/2023, 17:00:00")</f>
        <v>22/2/2023, 17:00:00</v>
      </c>
      <c r="I2047" s="1" t="str">
        <f>IFERROR(__xludf.DUMMYFUNCTION("""COMPUTED_VALUE"""),"RETIRADO OK POR CLIENTE")</f>
        <v>RETIRADO OK POR CLIENTE</v>
      </c>
      <c r="J2047" s="1">
        <f t="shared" si="3"/>
        <v>6</v>
      </c>
      <c r="K2047" s="1" t="str">
        <f t="shared" si="4"/>
        <v>Entregamos tus lentes, que los disfrutes!</v>
      </c>
    </row>
    <row r="2048">
      <c r="A2048" s="1">
        <f>IFERROR(__xludf.DUMMYFUNCTION("""COMPUTED_VALUE"""),86596.0)</f>
        <v>86596</v>
      </c>
      <c r="B2048" s="5">
        <f>IFERROR(__xludf.DUMMYFUNCTION("""COMPUTED_VALUE"""),44972.43420579861)</f>
        <v>44972.43421</v>
      </c>
      <c r="C2048" s="1" t="str">
        <f>IFERROR(__xludf.DUMMYFUNCTION("""COMPUTED_VALUE"""),"Fernandez Ramon Bonifacio")</f>
        <v>Fernandez Ramon Bonifacio</v>
      </c>
      <c r="D2048" s="1" t="str">
        <f>IFERROR(__xludf.DUMMYFUNCTION("""COMPUTED_VALUE"""),"Lentes de STOCK")</f>
        <v>Lentes de STOCK</v>
      </c>
      <c r="E2048" s="1" t="str">
        <f>IFERROR(__xludf.DUMMYFUNCTION("""COMPUTED_VALUE"""),"ARTIGAS Roció")</f>
        <v>ARTIGAS Roció</v>
      </c>
      <c r="F2048" s="1" t="str">
        <f t="shared" si="1"/>
        <v>ARTIGAS </v>
      </c>
      <c r="G2048" s="1" t="str">
        <f t="shared" si="2"/>
        <v>Roció</v>
      </c>
      <c r="H2048" s="1" t="str">
        <f>IFERROR(__xludf.DUMMYFUNCTION("""COMPUTED_VALUE"""),"24/2/2023, 17:00:00")</f>
        <v>24/2/2023, 17:00:00</v>
      </c>
      <c r="I2048" s="1" t="str">
        <f>IFERROR(__xludf.DUMMYFUNCTION("""COMPUTED_VALUE"""),"RETIRADO OK POR CLIENTE")</f>
        <v>RETIRADO OK POR CLIENTE</v>
      </c>
      <c r="J2048" s="1">
        <f t="shared" si="3"/>
        <v>6</v>
      </c>
      <c r="K2048" s="1" t="str">
        <f t="shared" si="4"/>
        <v>Entregamos tus lentes, que los disfrutes!</v>
      </c>
    </row>
    <row r="2049">
      <c r="A2049" s="1">
        <f>IFERROR(__xludf.DUMMYFUNCTION("""COMPUTED_VALUE"""),86597.0)</f>
        <v>86597</v>
      </c>
      <c r="B2049" s="5">
        <f>IFERROR(__xludf.DUMMYFUNCTION("""COMPUTED_VALUE"""),44972.43462622685)</f>
        <v>44972.43463</v>
      </c>
      <c r="C2049" s="1" t="str">
        <f>IFERROR(__xludf.DUMMYFUNCTION("""COMPUTED_VALUE"""),"MARTINEZ JULIO ROBERTO")</f>
        <v>MARTINEZ JULIO ROBERTO</v>
      </c>
      <c r="D2049" s="1" t="str">
        <f>IFERROR(__xludf.DUMMYFUNCTION("""COMPUTED_VALUE"""),"Lentes de STOCK")</f>
        <v>Lentes de STOCK</v>
      </c>
      <c r="E2049" s="1" t="str">
        <f>IFERROR(__xludf.DUMMYFUNCTION("""COMPUTED_VALUE"""),"RIVADAVIA Javier")</f>
        <v>RIVADAVIA Javier</v>
      </c>
      <c r="F2049" s="1" t="str">
        <f t="shared" si="1"/>
        <v>RIVADAVIA </v>
      </c>
      <c r="G2049" s="1" t="str">
        <f t="shared" si="2"/>
        <v>Javier</v>
      </c>
      <c r="H2049" s="1" t="str">
        <f>IFERROR(__xludf.DUMMYFUNCTION("""COMPUTED_VALUE"""),"17/2/2023, 17:00:00")</f>
        <v>17/2/2023, 17:00:00</v>
      </c>
      <c r="I2049" s="1" t="str">
        <f>IFERROR(__xludf.DUMMYFUNCTION("""COMPUTED_VALUE"""),"RETIRADO OK POR CLIENTE")</f>
        <v>RETIRADO OK POR CLIENTE</v>
      </c>
      <c r="J2049" s="1">
        <f t="shared" si="3"/>
        <v>6</v>
      </c>
      <c r="K2049" s="1" t="str">
        <f t="shared" si="4"/>
        <v>Entregamos tus lentes, que los disfrutes!</v>
      </c>
    </row>
    <row r="2050">
      <c r="A2050" s="1">
        <f>IFERROR(__xludf.DUMMYFUNCTION("""COMPUTED_VALUE"""),86598.0)</f>
        <v>86598</v>
      </c>
      <c r="B2050" s="5">
        <f>IFERROR(__xludf.DUMMYFUNCTION("""COMPUTED_VALUE"""),44972.435491944445)</f>
        <v>44972.43549</v>
      </c>
      <c r="C2050" s="1" t="str">
        <f>IFERROR(__xludf.DUMMYFUNCTION("""COMPUTED_VALUE"""),"scarpati schmid salvador")</f>
        <v>scarpati schmid salvador</v>
      </c>
      <c r="D2050" s="1" t="str">
        <f>IFERROR(__xludf.DUMMYFUNCTION("""COMPUTED_VALUE"""),"Lentes de STOCK")</f>
        <v>Lentes de STOCK</v>
      </c>
      <c r="E2050" s="1" t="str">
        <f>IFERROR(__xludf.DUMMYFUNCTION("""COMPUTED_VALUE"""),"RIVADAVIA Santiago N")</f>
        <v>RIVADAVIA Santiago N</v>
      </c>
      <c r="F2050" s="1" t="str">
        <f t="shared" si="1"/>
        <v>RIVADAVIA </v>
      </c>
      <c r="G2050" s="1" t="str">
        <f t="shared" si="2"/>
        <v>Santiago N</v>
      </c>
      <c r="H2050" s="1" t="str">
        <f>IFERROR(__xludf.DUMMYFUNCTION("""COMPUTED_VALUE"""),"22/2/2023, 17:00:00")</f>
        <v>22/2/2023, 17:00:00</v>
      </c>
      <c r="I2050" s="1" t="str">
        <f>IFERROR(__xludf.DUMMYFUNCTION("""COMPUTED_VALUE"""),"RETIRADO OK POR CLIENTE")</f>
        <v>RETIRADO OK POR CLIENTE</v>
      </c>
      <c r="J2050" s="1">
        <f t="shared" si="3"/>
        <v>6</v>
      </c>
      <c r="K2050" s="1" t="str">
        <f t="shared" si="4"/>
        <v>Entregamos tus lentes, que los disfrutes!</v>
      </c>
    </row>
    <row r="2051">
      <c r="A2051" s="1">
        <f>IFERROR(__xludf.DUMMYFUNCTION("""COMPUTED_VALUE"""),86599.0)</f>
        <v>86599</v>
      </c>
      <c r="B2051" s="5">
        <f>IFERROR(__xludf.DUMMYFUNCTION("""COMPUTED_VALUE"""),44972.43812158565)</f>
        <v>44972.43812</v>
      </c>
      <c r="C2051" s="1" t="str">
        <f>IFERROR(__xludf.DUMMYFUNCTION("""COMPUTED_VALUE"""),"CANOVAS NORA BEATRIZ")</f>
        <v>CANOVAS NORA BEATRIZ</v>
      </c>
      <c r="D2051" s="1" t="str">
        <f>IFERROR(__xludf.DUMMYFUNCTION("""COMPUTED_VALUE"""),"Lentes de STOCK")</f>
        <v>Lentes de STOCK</v>
      </c>
      <c r="E2051" s="1" t="str">
        <f>IFERROR(__xludf.DUMMYFUNCTION("""COMPUTED_VALUE"""),"ARTIGAS Roció")</f>
        <v>ARTIGAS Roció</v>
      </c>
      <c r="F2051" s="1" t="str">
        <f t="shared" si="1"/>
        <v>ARTIGAS </v>
      </c>
      <c r="G2051" s="1" t="str">
        <f t="shared" si="2"/>
        <v>Roció</v>
      </c>
      <c r="H2051" s="1" t="str">
        <f>IFERROR(__xludf.DUMMYFUNCTION("""COMPUTED_VALUE"""),"28/2/2023, 17:00:00")</f>
        <v>28/2/2023, 17:00:00</v>
      </c>
      <c r="I2051" s="1" t="str">
        <f>IFERROR(__xludf.DUMMYFUNCTION("""COMPUTED_VALUE"""),"RETIRADO OK POR CLIENTE")</f>
        <v>RETIRADO OK POR CLIENTE</v>
      </c>
      <c r="J2051" s="1">
        <f t="shared" si="3"/>
        <v>6</v>
      </c>
      <c r="K2051" s="1" t="str">
        <f t="shared" si="4"/>
        <v>Entregamos tus lentes, que los disfrutes!</v>
      </c>
    </row>
    <row r="2052">
      <c r="A2052" s="1">
        <f>IFERROR(__xludf.DUMMYFUNCTION("""COMPUTED_VALUE"""),86600.0)</f>
        <v>86600</v>
      </c>
      <c r="B2052" s="5">
        <f>IFERROR(__xludf.DUMMYFUNCTION("""COMPUTED_VALUE"""),44972.43968210648)</f>
        <v>44972.43968</v>
      </c>
      <c r="C2052" s="1" t="str">
        <f>IFERROR(__xludf.DUMMYFUNCTION("""COMPUTED_VALUE"""),"FERNANDEZ FRANCISCA")</f>
        <v>FERNANDEZ FRANCISCA</v>
      </c>
      <c r="D2052" s="1" t="str">
        <f>IFERROR(__xludf.DUMMYFUNCTION("""COMPUTED_VALUE"""),"Lentes de STOCK")</f>
        <v>Lentes de STOCK</v>
      </c>
      <c r="E2052" s="1" t="str">
        <f>IFERROR(__xludf.DUMMYFUNCTION("""COMPUTED_VALUE"""),"ARTIGAS Roció")</f>
        <v>ARTIGAS Roció</v>
      </c>
      <c r="F2052" s="1" t="str">
        <f t="shared" si="1"/>
        <v>ARTIGAS </v>
      </c>
      <c r="G2052" s="1" t="str">
        <f t="shared" si="2"/>
        <v>Roció</v>
      </c>
      <c r="H2052" s="1" t="str">
        <f>IFERROR(__xludf.DUMMYFUNCTION("""COMPUTED_VALUE"""),"27/2/2023, 17:00:00")</f>
        <v>27/2/2023, 17:00:00</v>
      </c>
      <c r="I2052" s="1" t="str">
        <f>IFERROR(__xludf.DUMMYFUNCTION("""COMPUTED_VALUE"""),"Completado en SUCURSAL")</f>
        <v>Completado en SUCURSAL</v>
      </c>
      <c r="J2052" s="1">
        <f t="shared" si="3"/>
        <v>5</v>
      </c>
      <c r="K2052" s="1" t="str">
        <f t="shared" si="4"/>
        <v>Tus Lentes estan LISTAS PARA ENTREGAR, te esperamos.</v>
      </c>
    </row>
    <row r="2053">
      <c r="A2053" s="1">
        <f>IFERROR(__xludf.DUMMYFUNCTION("""COMPUTED_VALUE"""),86601.0)</f>
        <v>86601</v>
      </c>
      <c r="B2053" s="5">
        <f>IFERROR(__xludf.DUMMYFUNCTION("""COMPUTED_VALUE"""),44972.442128738425)</f>
        <v>44972.44213</v>
      </c>
      <c r="C2053" s="1" t="str">
        <f>IFERROR(__xludf.DUMMYFUNCTION("""COMPUTED_VALUE"""),"funez viviana")</f>
        <v>funez viviana</v>
      </c>
      <c r="D2053" s="1" t="str">
        <f>IFERROR(__xludf.DUMMYFUNCTION("""COMPUTED_VALUE"""),"Lentes de STOCK")</f>
        <v>Lentes de STOCK</v>
      </c>
      <c r="E2053" s="1" t="str">
        <f>IFERROR(__xludf.DUMMYFUNCTION("""COMPUTED_VALUE"""),"RIVADAVIA Santiago N")</f>
        <v>RIVADAVIA Santiago N</v>
      </c>
      <c r="F2053" s="1" t="str">
        <f t="shared" si="1"/>
        <v>RIVADAVIA </v>
      </c>
      <c r="G2053" s="1" t="str">
        <f t="shared" si="2"/>
        <v>Santiago N</v>
      </c>
      <c r="H2053" s="1" t="str">
        <f>IFERROR(__xludf.DUMMYFUNCTION("""COMPUTED_VALUE"""),"22/2/2023, 17:00:00")</f>
        <v>22/2/2023, 17:00:00</v>
      </c>
      <c r="I2053" s="1" t="str">
        <f>IFERROR(__xludf.DUMMYFUNCTION("""COMPUTED_VALUE"""),"Completado en SUCURSAL")</f>
        <v>Completado en SUCURSAL</v>
      </c>
      <c r="J2053" s="1">
        <f t="shared" si="3"/>
        <v>5</v>
      </c>
      <c r="K2053" s="1" t="str">
        <f t="shared" si="4"/>
        <v>Tus Lentes estan LISTAS PARA ENTREGAR, te esperamos.</v>
      </c>
    </row>
    <row r="2054">
      <c r="A2054" s="1">
        <f>IFERROR(__xludf.DUMMYFUNCTION("""COMPUTED_VALUE"""),86602.0)</f>
        <v>86602</v>
      </c>
      <c r="B2054" s="5">
        <f>IFERROR(__xludf.DUMMYFUNCTION("""COMPUTED_VALUE"""),44972.44982263889)</f>
        <v>44972.44982</v>
      </c>
      <c r="C2054" s="1" t="str">
        <f>IFERROR(__xludf.DUMMYFUNCTION("""COMPUTED_VALUE"""),"LUCIANO MAYER")</f>
        <v>LUCIANO MAYER</v>
      </c>
      <c r="D2054" s="1" t="str">
        <f>IFERROR(__xludf.DUMMYFUNCTION("""COMPUTED_VALUE"""),"Lentes de STOCK")</f>
        <v>Lentes de STOCK</v>
      </c>
      <c r="E2054" s="1" t="str">
        <f>IFERROR(__xludf.DUMMYFUNCTION("""COMPUTED_VALUE"""),"Online ADMIN.")</f>
        <v>Online ADMIN.</v>
      </c>
      <c r="F2054" s="1" t="str">
        <f t="shared" si="1"/>
        <v>Online </v>
      </c>
      <c r="G2054" s="1" t="str">
        <f t="shared" si="2"/>
        <v>ADMIN.</v>
      </c>
      <c r="H2054" s="1" t="str">
        <f>IFERROR(__xludf.DUMMYFUNCTION("""COMPUTED_VALUE"""),"18/2/2023, 17:00:00")</f>
        <v>18/2/2023, 17:00:00</v>
      </c>
      <c r="I2054" s="1" t="str">
        <f>IFERROR(__xludf.DUMMYFUNCTION("""COMPUTED_VALUE"""),"Completado en SUCURSAL")</f>
        <v>Completado en SUCURSAL</v>
      </c>
      <c r="J2054" s="1">
        <f t="shared" si="3"/>
        <v>5</v>
      </c>
      <c r="K2054" s="1" t="str">
        <f t="shared" si="4"/>
        <v>Tus Lentes estan LISTAS PARA ENTREGAR, te esperamos.</v>
      </c>
    </row>
    <row r="2055">
      <c r="A2055" s="1">
        <f>IFERROR(__xludf.DUMMYFUNCTION("""COMPUTED_VALUE"""),86603.0)</f>
        <v>86603</v>
      </c>
      <c r="B2055" s="5">
        <f>IFERROR(__xludf.DUMMYFUNCTION("""COMPUTED_VALUE"""),44972.45869234954)</f>
        <v>44972.45869</v>
      </c>
      <c r="C2055" s="1" t="str">
        <f>IFERROR(__xludf.DUMMYFUNCTION("""COMPUTED_VALUE"""),"SOSA JOSUE")</f>
        <v>SOSA JOSUE</v>
      </c>
      <c r="D2055" s="1" t="str">
        <f>IFERROR(__xludf.DUMMYFUNCTION("""COMPUTED_VALUE"""),"Lentes de STOCK")</f>
        <v>Lentes de STOCK</v>
      </c>
      <c r="E2055" s="1" t="str">
        <f>IFERROR(__xludf.DUMMYFUNCTION("""COMPUTED_VALUE"""),"RIVADAVIA Luciana")</f>
        <v>RIVADAVIA Luciana</v>
      </c>
      <c r="F2055" s="1" t="str">
        <f t="shared" si="1"/>
        <v>RIVADAVIA </v>
      </c>
      <c r="G2055" s="1" t="str">
        <f t="shared" si="2"/>
        <v>Luciana</v>
      </c>
      <c r="H2055" s="1" t="str">
        <f>IFERROR(__xludf.DUMMYFUNCTION("""COMPUTED_VALUE"""),"23/2/2023, 17:00:00")</f>
        <v>23/2/2023, 17:00:00</v>
      </c>
      <c r="I2055" s="1" t="str">
        <f>IFERROR(__xludf.DUMMYFUNCTION("""COMPUTED_VALUE"""),"RETIRADO OK POR CLIENTE")</f>
        <v>RETIRADO OK POR CLIENTE</v>
      </c>
      <c r="J2055" s="1">
        <f t="shared" si="3"/>
        <v>6</v>
      </c>
      <c r="K2055" s="1" t="str">
        <f t="shared" si="4"/>
        <v>Entregamos tus lentes, que los disfrutes!</v>
      </c>
    </row>
    <row r="2056">
      <c r="A2056" s="1">
        <f>IFERROR(__xludf.DUMMYFUNCTION("""COMPUTED_VALUE"""),86604.0)</f>
        <v>86604</v>
      </c>
      <c r="B2056" s="5">
        <f>IFERROR(__xludf.DUMMYFUNCTION("""COMPUTED_VALUE"""),44972.46089244213)</f>
        <v>44972.46089</v>
      </c>
      <c r="C2056" s="1" t="str">
        <f>IFERROR(__xludf.DUMMYFUNCTION("""COMPUTED_VALUE"""),"GIMENEZ MARGARITA")</f>
        <v>GIMENEZ MARGARITA</v>
      </c>
      <c r="D2056" s="1" t="str">
        <f>IFERROR(__xludf.DUMMYFUNCTION("""COMPUTED_VALUE"""),"Lentes de STOCK")</f>
        <v>Lentes de STOCK</v>
      </c>
      <c r="E2056" s="1" t="str">
        <f>IFERROR(__xludf.DUMMYFUNCTION("""COMPUTED_VALUE"""),"ARTIGAS Roció")</f>
        <v>ARTIGAS Roció</v>
      </c>
      <c r="F2056" s="1" t="str">
        <f t="shared" si="1"/>
        <v>ARTIGAS </v>
      </c>
      <c r="G2056" s="1" t="str">
        <f t="shared" si="2"/>
        <v>Roció</v>
      </c>
      <c r="H2056" s="1" t="str">
        <f>IFERROR(__xludf.DUMMYFUNCTION("""COMPUTED_VALUE"""),"24/2/2023, 17:00:00")</f>
        <v>24/2/2023, 17:00:00</v>
      </c>
      <c r="I2056" s="1" t="str">
        <f>IFERROR(__xludf.DUMMYFUNCTION("""COMPUTED_VALUE"""),"RETIRADO OK POR CLIENTE")</f>
        <v>RETIRADO OK POR CLIENTE</v>
      </c>
      <c r="J2056" s="1">
        <f t="shared" si="3"/>
        <v>6</v>
      </c>
      <c r="K2056" s="1" t="str">
        <f t="shared" si="4"/>
        <v>Entregamos tus lentes, que los disfrutes!</v>
      </c>
    </row>
    <row r="2057">
      <c r="A2057" s="1">
        <f>IFERROR(__xludf.DUMMYFUNCTION("""COMPUTED_VALUE"""),86605.0)</f>
        <v>86605</v>
      </c>
      <c r="B2057" s="5">
        <f>IFERROR(__xludf.DUMMYFUNCTION("""COMPUTED_VALUE"""),44972.47264146991)</f>
        <v>44972.47264</v>
      </c>
      <c r="C2057" s="1" t="str">
        <f>IFERROR(__xludf.DUMMYFUNCTION("""COMPUTED_VALUE"""),"MANUCHA JOAQUIN")</f>
        <v>MANUCHA JOAQUIN</v>
      </c>
      <c r="D2057" s="1" t="str">
        <f>IFERROR(__xludf.DUMMYFUNCTION("""COMPUTED_VALUE"""),"Lentes de STOCK")</f>
        <v>Lentes de STOCK</v>
      </c>
      <c r="E2057" s="1" t="str">
        <f>IFERROR(__xludf.DUMMYFUNCTION("""COMPUTED_VALUE"""),"ARTIGAS Roció")</f>
        <v>ARTIGAS Roció</v>
      </c>
      <c r="F2057" s="1" t="str">
        <f t="shared" si="1"/>
        <v>ARTIGAS </v>
      </c>
      <c r="G2057" s="1" t="str">
        <f t="shared" si="2"/>
        <v>Roció</v>
      </c>
      <c r="H2057" s="1" t="str">
        <f>IFERROR(__xludf.DUMMYFUNCTION("""COMPUTED_VALUE"""),"24/2/2023, 17:00:00")</f>
        <v>24/2/2023, 17:00:00</v>
      </c>
      <c r="I2057" s="1" t="str">
        <f>IFERROR(__xludf.DUMMYFUNCTION("""COMPUTED_VALUE"""),"Completado en SUCURSAL")</f>
        <v>Completado en SUCURSAL</v>
      </c>
      <c r="J2057" s="1">
        <f t="shared" si="3"/>
        <v>5</v>
      </c>
      <c r="K2057" s="1" t="str">
        <f t="shared" si="4"/>
        <v>Tus Lentes estan LISTAS PARA ENTREGAR, te esperamos.</v>
      </c>
    </row>
    <row r="2058">
      <c r="A2058" s="1">
        <f>IFERROR(__xludf.DUMMYFUNCTION("""COMPUTED_VALUE"""),86606.0)</f>
        <v>86606</v>
      </c>
      <c r="B2058" s="5">
        <f>IFERROR(__xludf.DUMMYFUNCTION("""COMPUTED_VALUE"""),44972.477430520834)</f>
        <v>44972.47743</v>
      </c>
      <c r="C2058" s="1" t="str">
        <f>IFERROR(__xludf.DUMMYFUNCTION("""COMPUTED_VALUE"""),"ROSALES ROBERTO")</f>
        <v>ROSALES ROBERTO</v>
      </c>
      <c r="D2058" s="1" t="str">
        <f>IFERROR(__xludf.DUMMYFUNCTION("""COMPUTED_VALUE"""),"Reparaciones/Otros")</f>
        <v>Reparaciones/Otros</v>
      </c>
      <c r="E2058" s="1" t="str">
        <f>IFERROR(__xludf.DUMMYFUNCTION("""COMPUTED_VALUE"""),"ARTIGAS Roció")</f>
        <v>ARTIGAS Roció</v>
      </c>
      <c r="F2058" s="1" t="str">
        <f t="shared" si="1"/>
        <v>ARTIGAS </v>
      </c>
      <c r="G2058" s="1" t="str">
        <f t="shared" si="2"/>
        <v>Roció</v>
      </c>
      <c r="H2058" s="1" t="str">
        <f>IFERROR(__xludf.DUMMYFUNCTION("""COMPUTED_VALUE"""),"16/2/2023, 17:00:00")</f>
        <v>16/2/2023, 17:00:00</v>
      </c>
      <c r="I2058" s="1" t="str">
        <f>IFERROR(__xludf.DUMMYFUNCTION("""COMPUTED_VALUE"""),"Completado en SUCURSAL")</f>
        <v>Completado en SUCURSAL</v>
      </c>
      <c r="J2058" s="1">
        <f t="shared" si="3"/>
        <v>5</v>
      </c>
      <c r="K2058" s="1" t="str">
        <f t="shared" si="4"/>
        <v>Tus Lentes estan LISTAS PARA ENTREGAR, te esperamos.</v>
      </c>
    </row>
    <row r="2059">
      <c r="A2059" s="1">
        <f>IFERROR(__xludf.DUMMYFUNCTION("""COMPUTED_VALUE"""),86607.0)</f>
        <v>86607</v>
      </c>
      <c r="B2059" s="5">
        <f>IFERROR(__xludf.DUMMYFUNCTION("""COMPUTED_VALUE"""),44972.478101597226)</f>
        <v>44972.4781</v>
      </c>
      <c r="C2059" s="1" t="str">
        <f>IFERROR(__xludf.DUMMYFUNCTION("""COMPUTED_VALUE"""),"FERNANDEZ JORGE")</f>
        <v>FERNANDEZ JORGE</v>
      </c>
      <c r="D2059" s="1" t="str">
        <f>IFERROR(__xludf.DUMMYFUNCTION("""COMPUTED_VALUE"""),"Lentes de LABORATORIO")</f>
        <v>Lentes de LABORATORIO</v>
      </c>
      <c r="E2059" s="1" t="str">
        <f>IFERROR(__xludf.DUMMYFUNCTION("""COMPUTED_VALUE"""),"ARTIGAS Ivana P.")</f>
        <v>ARTIGAS Ivana P.</v>
      </c>
      <c r="F2059" s="1" t="str">
        <f t="shared" si="1"/>
        <v>ARTIGAS </v>
      </c>
      <c r="G2059" s="1" t="str">
        <f t="shared" si="2"/>
        <v>Ivana P.</v>
      </c>
      <c r="H2059" s="1" t="str">
        <f>IFERROR(__xludf.DUMMYFUNCTION("""COMPUTED_VALUE"""),"25/2/2023, 17:00:00")</f>
        <v>25/2/2023, 17:00:00</v>
      </c>
      <c r="I2059" s="1" t="str">
        <f>IFERROR(__xludf.DUMMYFUNCTION("""COMPUTED_VALUE"""),"Completado en SUCURSAL")</f>
        <v>Completado en SUCURSAL</v>
      </c>
      <c r="J2059" s="1">
        <f t="shared" si="3"/>
        <v>5</v>
      </c>
      <c r="K2059" s="1" t="str">
        <f t="shared" si="4"/>
        <v>Tus Lentes estan LISTAS PARA ENTREGAR, te esperamos.</v>
      </c>
    </row>
    <row r="2060">
      <c r="A2060" s="1">
        <f>IFERROR(__xludf.DUMMYFUNCTION("""COMPUTED_VALUE"""),86608.0)</f>
        <v>86608</v>
      </c>
      <c r="B2060" s="5">
        <f>IFERROR(__xludf.DUMMYFUNCTION("""COMPUTED_VALUE"""),44972.48600607639)</f>
        <v>44972.48601</v>
      </c>
      <c r="C2060" s="1" t="str">
        <f>IFERROR(__xludf.DUMMYFUNCTION("""COMPUTED_VALUE"""),"LAMBRESE NANCY")</f>
        <v>LAMBRESE NANCY</v>
      </c>
      <c r="D2060" s="1" t="str">
        <f>IFERROR(__xludf.DUMMYFUNCTION("""COMPUTED_VALUE"""),"Lentes de STOCK")</f>
        <v>Lentes de STOCK</v>
      </c>
      <c r="E2060" s="1" t="str">
        <f>IFERROR(__xludf.DUMMYFUNCTION("""COMPUTED_VALUE"""),"RIVADAVIA Luciana")</f>
        <v>RIVADAVIA Luciana</v>
      </c>
      <c r="F2060" s="1" t="str">
        <f t="shared" si="1"/>
        <v>RIVADAVIA </v>
      </c>
      <c r="G2060" s="1" t="str">
        <f t="shared" si="2"/>
        <v>Luciana</v>
      </c>
      <c r="H2060" s="1" t="str">
        <f>IFERROR(__xludf.DUMMYFUNCTION("""COMPUTED_VALUE"""),"24/2/2023, 17:00:00")</f>
        <v>24/2/2023, 17:00:00</v>
      </c>
      <c r="I2060" s="1"/>
      <c r="J2060" s="1">
        <f t="shared" si="3"/>
        <v>0</v>
      </c>
      <c r="K2060" s="1" t="str">
        <f t="shared" si="4"/>
        <v/>
      </c>
    </row>
    <row r="2061">
      <c r="A2061" s="1">
        <f>IFERROR(__xludf.DUMMYFUNCTION("""COMPUTED_VALUE"""),86609.0)</f>
        <v>86609</v>
      </c>
      <c r="B2061" s="5">
        <f>IFERROR(__xludf.DUMMYFUNCTION("""COMPUTED_VALUE"""),44972.48828815972)</f>
        <v>44972.48829</v>
      </c>
      <c r="C2061" s="1" t="str">
        <f>IFERROR(__xludf.DUMMYFUNCTION("""COMPUTED_VALUE"""),"LAMBRESE NANCY")</f>
        <v>LAMBRESE NANCY</v>
      </c>
      <c r="D2061" s="1" t="str">
        <f>IFERROR(__xludf.DUMMYFUNCTION("""COMPUTED_VALUE"""),"Lentes de STOCK")</f>
        <v>Lentes de STOCK</v>
      </c>
      <c r="E2061" s="1" t="str">
        <f>IFERROR(__xludf.DUMMYFUNCTION("""COMPUTED_VALUE"""),"RIVADAVIA Luciana")</f>
        <v>RIVADAVIA Luciana</v>
      </c>
      <c r="F2061" s="1" t="str">
        <f t="shared" si="1"/>
        <v>RIVADAVIA </v>
      </c>
      <c r="G2061" s="1" t="str">
        <f t="shared" si="2"/>
        <v>Luciana</v>
      </c>
      <c r="H2061" s="1" t="str">
        <f>IFERROR(__xludf.DUMMYFUNCTION("""COMPUTED_VALUE"""),"24/2/2023, 17:00:00")</f>
        <v>24/2/2023, 17:00:00</v>
      </c>
      <c r="I2061" s="1"/>
      <c r="J2061" s="1">
        <f t="shared" si="3"/>
        <v>0</v>
      </c>
      <c r="K2061" s="1" t="str">
        <f t="shared" si="4"/>
        <v/>
      </c>
    </row>
    <row r="2062">
      <c r="A2062" s="1">
        <f>IFERROR(__xludf.DUMMYFUNCTION("""COMPUTED_VALUE"""),86610.0)</f>
        <v>86610</v>
      </c>
      <c r="B2062" s="5">
        <f>IFERROR(__xludf.DUMMYFUNCTION("""COMPUTED_VALUE"""),44972.489913391204)</f>
        <v>44972.48991</v>
      </c>
      <c r="C2062" s="1" t="str">
        <f>IFERROR(__xludf.DUMMYFUNCTION("""COMPUTED_VALUE"""),"davila maria belen")</f>
        <v>davila maria belen</v>
      </c>
      <c r="D2062" s="1" t="str">
        <f>IFERROR(__xludf.DUMMYFUNCTION("""COMPUTED_VALUE"""),"Lentes de LABORATORIO")</f>
        <v>Lentes de LABORATORIO</v>
      </c>
      <c r="E2062" s="1" t="str">
        <f>IFERROR(__xludf.DUMMYFUNCTION("""COMPUTED_VALUE"""),"RIVADAVIA Santiago N")</f>
        <v>RIVADAVIA Santiago N</v>
      </c>
      <c r="F2062" s="1" t="str">
        <f t="shared" si="1"/>
        <v>RIVADAVIA </v>
      </c>
      <c r="G2062" s="1" t="str">
        <f t="shared" si="2"/>
        <v>Santiago N</v>
      </c>
      <c r="H2062" s="1" t="str">
        <f>IFERROR(__xludf.DUMMYFUNCTION("""COMPUTED_VALUE"""),"23/2/2023, 17:00:00")</f>
        <v>23/2/2023, 17:00:00</v>
      </c>
      <c r="I2062" s="1" t="str">
        <f>IFERROR(__xludf.DUMMYFUNCTION("""COMPUTED_VALUE"""),"RETIRADO OK POR CLIENTE")</f>
        <v>RETIRADO OK POR CLIENTE</v>
      </c>
      <c r="J2062" s="1">
        <f t="shared" si="3"/>
        <v>6</v>
      </c>
      <c r="K2062" s="1" t="str">
        <f t="shared" si="4"/>
        <v>Entregamos tus lentes, que los disfrutes!</v>
      </c>
    </row>
    <row r="2063">
      <c r="A2063" s="1">
        <f>IFERROR(__xludf.DUMMYFUNCTION("""COMPUTED_VALUE"""),86611.0)</f>
        <v>86611</v>
      </c>
      <c r="B2063" s="5">
        <f>IFERROR(__xludf.DUMMYFUNCTION("""COMPUTED_VALUE"""),44972.502113553244)</f>
        <v>44972.50211</v>
      </c>
      <c r="C2063" s="1" t="str">
        <f>IFERROR(__xludf.DUMMYFUNCTION("""COMPUTED_VALUE"""),"AGUERO JUDITH ")</f>
        <v>AGUERO JUDITH </v>
      </c>
      <c r="D2063" s="1" t="str">
        <f>IFERROR(__xludf.DUMMYFUNCTION("""COMPUTED_VALUE"""),"Lentes de STOCK")</f>
        <v>Lentes de STOCK</v>
      </c>
      <c r="E2063" s="1" t="str">
        <f>IFERROR(__xludf.DUMMYFUNCTION("""COMPUTED_VALUE"""),"RIVADAVIA Luciana")</f>
        <v>RIVADAVIA Luciana</v>
      </c>
      <c r="F2063" s="1" t="str">
        <f t="shared" si="1"/>
        <v>RIVADAVIA </v>
      </c>
      <c r="G2063" s="1" t="str">
        <f t="shared" si="2"/>
        <v>Luciana</v>
      </c>
      <c r="H2063" s="1" t="str">
        <f>IFERROR(__xludf.DUMMYFUNCTION("""COMPUTED_VALUE"""),"23/2/2023, 17:00:00")</f>
        <v>23/2/2023, 17:00:00</v>
      </c>
      <c r="I2063" s="1" t="str">
        <f>IFERROR(__xludf.DUMMYFUNCTION("""COMPUTED_VALUE"""),"Completado en SUCURSAL")</f>
        <v>Completado en SUCURSAL</v>
      </c>
      <c r="J2063" s="1">
        <f t="shared" si="3"/>
        <v>5</v>
      </c>
      <c r="K2063" s="1" t="str">
        <f t="shared" si="4"/>
        <v>Tus Lentes estan LISTAS PARA ENTREGAR, te esperamos.</v>
      </c>
    </row>
    <row r="2064">
      <c r="A2064" s="1">
        <f>IFERROR(__xludf.DUMMYFUNCTION("""COMPUTED_VALUE"""),86612.0)</f>
        <v>86612</v>
      </c>
      <c r="B2064" s="5">
        <f>IFERROR(__xludf.DUMMYFUNCTION("""COMPUTED_VALUE"""),44972.50948952546)</f>
        <v>44972.50949</v>
      </c>
      <c r="C2064" s="1" t="str">
        <f>IFERROR(__xludf.DUMMYFUNCTION("""COMPUTED_VALUE"""),"GARAY JEREMIAS")</f>
        <v>GARAY JEREMIAS</v>
      </c>
      <c r="D2064" s="1" t="str">
        <f>IFERROR(__xludf.DUMMYFUNCTION("""COMPUTED_VALUE"""),"Lentes de STOCK")</f>
        <v>Lentes de STOCK</v>
      </c>
      <c r="E2064" s="1" t="str">
        <f>IFERROR(__xludf.DUMMYFUNCTION("""COMPUTED_VALUE"""),"ARTIGAS Ivana P.")</f>
        <v>ARTIGAS Ivana P.</v>
      </c>
      <c r="F2064" s="1" t="str">
        <f t="shared" si="1"/>
        <v>ARTIGAS </v>
      </c>
      <c r="G2064" s="1" t="str">
        <f t="shared" si="2"/>
        <v>Ivana P.</v>
      </c>
      <c r="H2064" s="1" t="str">
        <f>IFERROR(__xludf.DUMMYFUNCTION("""COMPUTED_VALUE"""),"23/2/2023, 17:00:00")</f>
        <v>23/2/2023, 17:00:00</v>
      </c>
      <c r="I2064" s="1" t="str">
        <f>IFERROR(__xludf.DUMMYFUNCTION("""COMPUTED_VALUE"""),"Completado en SUCURSAL")</f>
        <v>Completado en SUCURSAL</v>
      </c>
      <c r="J2064" s="1">
        <f t="shared" si="3"/>
        <v>5</v>
      </c>
      <c r="K2064" s="1" t="str">
        <f t="shared" si="4"/>
        <v>Tus Lentes estan LISTAS PARA ENTREGAR, te esperamos.</v>
      </c>
    </row>
    <row r="2065">
      <c r="A2065" s="1">
        <f>IFERROR(__xludf.DUMMYFUNCTION("""COMPUTED_VALUE"""),86613.0)</f>
        <v>86613</v>
      </c>
      <c r="B2065" s="5">
        <f>IFERROR(__xludf.DUMMYFUNCTION("""COMPUTED_VALUE"""),44972.51597143519)</f>
        <v>44972.51597</v>
      </c>
      <c r="C2065" s="1" t="str">
        <f>IFERROR(__xludf.DUMMYFUNCTION("""COMPUTED_VALUE"""),"GARAY MELANY")</f>
        <v>GARAY MELANY</v>
      </c>
      <c r="D2065" s="1" t="str">
        <f>IFERROR(__xludf.DUMMYFUNCTION("""COMPUTED_VALUE"""),"Lentes de LABORATORIO")</f>
        <v>Lentes de LABORATORIO</v>
      </c>
      <c r="E2065" s="1" t="str">
        <f>IFERROR(__xludf.DUMMYFUNCTION("""COMPUTED_VALUE"""),"ARTIGAS Ivana P.")</f>
        <v>ARTIGAS Ivana P.</v>
      </c>
      <c r="F2065" s="1" t="str">
        <f t="shared" si="1"/>
        <v>ARTIGAS </v>
      </c>
      <c r="G2065" s="1" t="str">
        <f t="shared" si="2"/>
        <v>Ivana P.</v>
      </c>
      <c r="H2065" s="1" t="str">
        <f>IFERROR(__xludf.DUMMYFUNCTION("""COMPUTED_VALUE"""),"27/2/2023, 17:00:00")</f>
        <v>27/2/2023, 17:00:00</v>
      </c>
      <c r="I2065" s="1" t="str">
        <f>IFERROR(__xludf.DUMMYFUNCTION("""COMPUTED_VALUE"""),"Recibido en Laboratorio")</f>
        <v>Recibido en Laboratorio</v>
      </c>
      <c r="J2065" s="1">
        <f t="shared" si="3"/>
        <v>2</v>
      </c>
      <c r="K2065" s="1" t="str">
        <f t="shared" si="4"/>
        <v>Nuestro Laboratorio esta trabajando en tus lentes, los entregaremos en la fecha acordada.</v>
      </c>
    </row>
    <row r="2066">
      <c r="A2066" s="1">
        <f>IFERROR(__xludf.DUMMYFUNCTION("""COMPUTED_VALUE"""),86614.0)</f>
        <v>86614</v>
      </c>
      <c r="B2066" s="5">
        <f>IFERROR(__xludf.DUMMYFUNCTION("""COMPUTED_VALUE"""),44972.51856038194)</f>
        <v>44972.51856</v>
      </c>
      <c r="C2066" s="1" t="str">
        <f>IFERROR(__xludf.DUMMYFUNCTION("""COMPUTED_VALUE"""),"SURRACO ANTONELLA VALERIA")</f>
        <v>SURRACO ANTONELLA VALERIA</v>
      </c>
      <c r="D2066" s="1" t="str">
        <f>IFERROR(__xludf.DUMMYFUNCTION("""COMPUTED_VALUE"""),"Lentes de STOCK")</f>
        <v>Lentes de STOCK</v>
      </c>
      <c r="E2066" s="1" t="str">
        <f>IFERROR(__xludf.DUMMYFUNCTION("""COMPUTED_VALUE"""),"RIVADAVIA Javier")</f>
        <v>RIVADAVIA Javier</v>
      </c>
      <c r="F2066" s="1" t="str">
        <f t="shared" si="1"/>
        <v>RIVADAVIA </v>
      </c>
      <c r="G2066" s="1" t="str">
        <f t="shared" si="2"/>
        <v>Javier</v>
      </c>
      <c r="H2066" s="1" t="str">
        <f>IFERROR(__xludf.DUMMYFUNCTION("""COMPUTED_VALUE"""),"18/2/2023, 17:00:00")</f>
        <v>18/2/2023, 17:00:00</v>
      </c>
      <c r="I2066" s="1" t="str">
        <f>IFERROR(__xludf.DUMMYFUNCTION("""COMPUTED_VALUE"""),"RETIRADO OK POR CLIENTE")</f>
        <v>RETIRADO OK POR CLIENTE</v>
      </c>
      <c r="J2066" s="1">
        <f t="shared" si="3"/>
        <v>6</v>
      </c>
      <c r="K2066" s="1" t="str">
        <f t="shared" si="4"/>
        <v>Entregamos tus lentes, que los disfrutes!</v>
      </c>
    </row>
    <row r="2067">
      <c r="A2067" s="1">
        <f>IFERROR(__xludf.DUMMYFUNCTION("""COMPUTED_VALUE"""),86615.0)</f>
        <v>86615</v>
      </c>
      <c r="B2067" s="5">
        <f>IFERROR(__xludf.DUMMYFUNCTION("""COMPUTED_VALUE"""),44972.52207740741)</f>
        <v>44972.52208</v>
      </c>
      <c r="C2067" s="1" t="str">
        <f>IFERROR(__xludf.DUMMYFUNCTION("""COMPUTED_VALUE"""),"ESPINOZA CARLOS")</f>
        <v>ESPINOZA CARLOS</v>
      </c>
      <c r="D2067" s="1" t="str">
        <f>IFERROR(__xludf.DUMMYFUNCTION("""COMPUTED_VALUE"""),"Lentes MULTIFOCALES")</f>
        <v>Lentes MULTIFOCALES</v>
      </c>
      <c r="E2067" s="1" t="str">
        <f>IFERROR(__xludf.DUMMYFUNCTION("""COMPUTED_VALUE"""),"RIVADAVIA Luciana")</f>
        <v>RIVADAVIA Luciana</v>
      </c>
      <c r="F2067" s="1" t="str">
        <f t="shared" si="1"/>
        <v>RIVADAVIA </v>
      </c>
      <c r="G2067" s="1" t="str">
        <f t="shared" si="2"/>
        <v>Luciana</v>
      </c>
      <c r="H2067" s="1" t="str">
        <f>IFERROR(__xludf.DUMMYFUNCTION("""COMPUTED_VALUE"""),"10/3/2023, 17:00:00")</f>
        <v>10/3/2023, 17:00:00</v>
      </c>
      <c r="I2067" s="1" t="str">
        <f>IFERROR(__xludf.DUMMYFUNCTION("""COMPUTED_VALUE"""),"Recibido en Laboratorio")</f>
        <v>Recibido en Laboratorio</v>
      </c>
      <c r="J2067" s="1">
        <f t="shared" si="3"/>
        <v>2</v>
      </c>
      <c r="K2067" s="1" t="str">
        <f t="shared" si="4"/>
        <v>Nuestro Laboratorio esta trabajando en tus lentes, los entregaremos en la fecha acordada.</v>
      </c>
    </row>
    <row r="2068">
      <c r="A2068" s="1">
        <f>IFERROR(__xludf.DUMMYFUNCTION("""COMPUTED_VALUE"""),86616.0)</f>
        <v>86616</v>
      </c>
      <c r="B2068" s="5">
        <f>IFERROR(__xludf.DUMMYFUNCTION("""COMPUTED_VALUE"""),44972.52767373843)</f>
        <v>44972.52767</v>
      </c>
      <c r="C2068" s="1" t="str">
        <f>IFERROR(__xludf.DUMMYFUNCTION("""COMPUTED_VALUE"""),"ESQUIVEL DORA DEL CARMEN")</f>
        <v>ESQUIVEL DORA DEL CARMEN</v>
      </c>
      <c r="D2068" s="1" t="str">
        <f>IFERROR(__xludf.DUMMYFUNCTION("""COMPUTED_VALUE"""),"Lentes de STOCK")</f>
        <v>Lentes de STOCK</v>
      </c>
      <c r="E2068" s="1" t="str">
        <f>IFERROR(__xludf.DUMMYFUNCTION("""COMPUTED_VALUE"""),"ARTIGAS Roció")</f>
        <v>ARTIGAS Roció</v>
      </c>
      <c r="F2068" s="1" t="str">
        <f t="shared" si="1"/>
        <v>ARTIGAS </v>
      </c>
      <c r="G2068" s="1" t="str">
        <f t="shared" si="2"/>
        <v>Roció</v>
      </c>
      <c r="H2068" s="1" t="str">
        <f>IFERROR(__xludf.DUMMYFUNCTION("""COMPUTED_VALUE"""),"27/2/2023, 17:00:00")</f>
        <v>27/2/2023, 17:00:00</v>
      </c>
      <c r="I2068" s="1" t="str">
        <f>IFERROR(__xludf.DUMMYFUNCTION("""COMPUTED_VALUE"""),"RETIRADO OK POR CLIENTE")</f>
        <v>RETIRADO OK POR CLIENTE</v>
      </c>
      <c r="J2068" s="1">
        <f t="shared" si="3"/>
        <v>6</v>
      </c>
      <c r="K2068" s="1" t="str">
        <f t="shared" si="4"/>
        <v>Entregamos tus lentes, que los disfrutes!</v>
      </c>
    </row>
    <row r="2069">
      <c r="A2069" s="1">
        <f>IFERROR(__xludf.DUMMYFUNCTION("""COMPUTED_VALUE"""),86617.0)</f>
        <v>86617</v>
      </c>
      <c r="B2069" s="5">
        <f>IFERROR(__xludf.DUMMYFUNCTION("""COMPUTED_VALUE"""),44972.53127744213)</f>
        <v>44972.53128</v>
      </c>
      <c r="C2069" s="1" t="str">
        <f>IFERROR(__xludf.DUMMYFUNCTION("""COMPUTED_VALUE"""),"Gaspar Nora")</f>
        <v>Gaspar Nora</v>
      </c>
      <c r="D2069" s="1" t="str">
        <f>IFERROR(__xludf.DUMMYFUNCTION("""COMPUTED_VALUE"""),"Reparaciones/Otros")</f>
        <v>Reparaciones/Otros</v>
      </c>
      <c r="E2069" s="1" t="str">
        <f>IFERROR(__xludf.DUMMYFUNCTION("""COMPUTED_VALUE"""),"ARTIGAS Sandra G")</f>
        <v>ARTIGAS Sandra G</v>
      </c>
      <c r="F2069" s="1" t="str">
        <f t="shared" si="1"/>
        <v>ARTIGAS </v>
      </c>
      <c r="G2069" s="1" t="str">
        <f t="shared" si="2"/>
        <v>Sandra G</v>
      </c>
      <c r="H2069" s="1" t="str">
        <f>IFERROR(__xludf.DUMMYFUNCTION("""COMPUTED_VALUE"""),"22/2/2023, 17:00:00")</f>
        <v>22/2/2023, 17:00:00</v>
      </c>
      <c r="I2069" s="1" t="str">
        <f>IFERROR(__xludf.DUMMYFUNCTION("""COMPUTED_VALUE"""),"Completado en SUCURSAL")</f>
        <v>Completado en SUCURSAL</v>
      </c>
      <c r="J2069" s="1">
        <f t="shared" si="3"/>
        <v>5</v>
      </c>
      <c r="K2069" s="1" t="str">
        <f t="shared" si="4"/>
        <v>Tus Lentes estan LISTAS PARA ENTREGAR, te esperamos.</v>
      </c>
    </row>
    <row r="2070">
      <c r="A2070" s="1">
        <f>IFERROR(__xludf.DUMMYFUNCTION("""COMPUTED_VALUE"""),86618.0)</f>
        <v>86618</v>
      </c>
      <c r="B2070" s="5">
        <f>IFERROR(__xludf.DUMMYFUNCTION("""COMPUTED_VALUE"""),44972.53599021991)</f>
        <v>44972.53599</v>
      </c>
      <c r="C2070" s="1" t="str">
        <f>IFERROR(__xludf.DUMMYFUNCTION("""COMPUTED_VALUE"""),"AGUERO JUAN ")</f>
        <v>AGUERO JUAN </v>
      </c>
      <c r="D2070" s="1" t="str">
        <f>IFERROR(__xludf.DUMMYFUNCTION("""COMPUTED_VALUE"""),"Lentes de STOCK")</f>
        <v>Lentes de STOCK</v>
      </c>
      <c r="E2070" s="1" t="str">
        <f>IFERROR(__xludf.DUMMYFUNCTION("""COMPUTED_VALUE"""),"RIVADAVIA Luciana")</f>
        <v>RIVADAVIA Luciana</v>
      </c>
      <c r="F2070" s="1" t="str">
        <f t="shared" si="1"/>
        <v>RIVADAVIA </v>
      </c>
      <c r="G2070" s="1" t="str">
        <f t="shared" si="2"/>
        <v>Luciana</v>
      </c>
      <c r="H2070" s="1" t="str">
        <f>IFERROR(__xludf.DUMMYFUNCTION("""COMPUTED_VALUE"""),"27/2/2023, 17:00:00")</f>
        <v>27/2/2023, 17:00:00</v>
      </c>
      <c r="I2070" s="1" t="str">
        <f>IFERROR(__xludf.DUMMYFUNCTION("""COMPUTED_VALUE"""),"Completado en SUCURSAL")</f>
        <v>Completado en SUCURSAL</v>
      </c>
      <c r="J2070" s="1">
        <f t="shared" si="3"/>
        <v>5</v>
      </c>
      <c r="K2070" s="1" t="str">
        <f t="shared" si="4"/>
        <v>Tus Lentes estan LISTAS PARA ENTREGAR, te esperamos.</v>
      </c>
    </row>
    <row r="2071">
      <c r="A2071" s="1">
        <f>IFERROR(__xludf.DUMMYFUNCTION("""COMPUTED_VALUE"""),86619.0)</f>
        <v>86619</v>
      </c>
      <c r="B2071" s="5">
        <f>IFERROR(__xludf.DUMMYFUNCTION("""COMPUTED_VALUE"""),44972.53771883102)</f>
        <v>44972.53772</v>
      </c>
      <c r="C2071" s="1" t="str">
        <f>IFERROR(__xludf.DUMMYFUNCTION("""COMPUTED_VALUE"""),"FERNANDEZ MIGUEL ANGEL")</f>
        <v>FERNANDEZ MIGUEL ANGEL</v>
      </c>
      <c r="D2071" s="1" t="str">
        <f>IFERROR(__xludf.DUMMYFUNCTION("""COMPUTED_VALUE"""),"Reparaciones/Otros")</f>
        <v>Reparaciones/Otros</v>
      </c>
      <c r="E2071" s="1" t="str">
        <f>IFERROR(__xludf.DUMMYFUNCTION("""COMPUTED_VALUE"""),"ARTIGAS Roció")</f>
        <v>ARTIGAS Roció</v>
      </c>
      <c r="F2071" s="1" t="str">
        <f t="shared" si="1"/>
        <v>ARTIGAS </v>
      </c>
      <c r="G2071" s="1" t="str">
        <f t="shared" si="2"/>
        <v>Roció</v>
      </c>
      <c r="H2071" s="1" t="str">
        <f>IFERROR(__xludf.DUMMYFUNCTION("""COMPUTED_VALUE"""),"16/2/2023, 17:00:00")</f>
        <v>16/2/2023, 17:00:00</v>
      </c>
      <c r="I2071" s="1"/>
      <c r="J2071" s="1">
        <f t="shared" si="3"/>
        <v>0</v>
      </c>
      <c r="K2071" s="1" t="str">
        <f t="shared" si="4"/>
        <v/>
      </c>
    </row>
    <row r="2072">
      <c r="A2072" s="1">
        <f>IFERROR(__xludf.DUMMYFUNCTION("""COMPUTED_VALUE"""),86620.0)</f>
        <v>86620</v>
      </c>
      <c r="B2072" s="5">
        <f>IFERROR(__xludf.DUMMYFUNCTION("""COMPUTED_VALUE"""),44972.53787115741)</f>
        <v>44972.53787</v>
      </c>
      <c r="C2072" s="1" t="str">
        <f>IFERROR(__xludf.DUMMYFUNCTION("""COMPUTED_VALUE"""),"gutierrez romina")</f>
        <v>gutierrez romina</v>
      </c>
      <c r="D2072" s="1" t="str">
        <f>IFERROR(__xludf.DUMMYFUNCTION("""COMPUTED_VALUE"""),"Reparaciones/Otros")</f>
        <v>Reparaciones/Otros</v>
      </c>
      <c r="E2072" s="1" t="str">
        <f>IFERROR(__xludf.DUMMYFUNCTION("""COMPUTED_VALUE"""),"RIVADAVIA Daniel CM")</f>
        <v>RIVADAVIA Daniel CM</v>
      </c>
      <c r="F2072" s="1" t="str">
        <f t="shared" si="1"/>
        <v>RIVADAVIA </v>
      </c>
      <c r="G2072" s="1" t="str">
        <f t="shared" si="2"/>
        <v>Daniel CM</v>
      </c>
      <c r="H2072" s="1" t="str">
        <f>IFERROR(__xludf.DUMMYFUNCTION("""COMPUTED_VALUE"""),"17/2/2023, 17:00:00")</f>
        <v>17/2/2023, 17:00:00</v>
      </c>
      <c r="I2072" s="1" t="str">
        <f>IFERROR(__xludf.DUMMYFUNCTION("""COMPUTED_VALUE"""),"Completado en SUCURSAL")</f>
        <v>Completado en SUCURSAL</v>
      </c>
      <c r="J2072" s="1">
        <f t="shared" si="3"/>
        <v>5</v>
      </c>
      <c r="K2072" s="1" t="str">
        <f t="shared" si="4"/>
        <v>Tus Lentes estan LISTAS PARA ENTREGAR, te esperamos.</v>
      </c>
    </row>
    <row r="2073">
      <c r="A2073" s="1">
        <f>IFERROR(__xludf.DUMMYFUNCTION("""COMPUTED_VALUE"""),86621.0)</f>
        <v>86621</v>
      </c>
      <c r="B2073" s="5">
        <f>IFERROR(__xludf.DUMMYFUNCTION("""COMPUTED_VALUE"""),44972.544179282406)</f>
        <v>44972.54418</v>
      </c>
      <c r="C2073" s="1" t="str">
        <f>IFERROR(__xludf.DUMMYFUNCTION("""COMPUTED_VALUE"""),"GARCIA JULIO")</f>
        <v>GARCIA JULIO</v>
      </c>
      <c r="D2073" s="1" t="str">
        <f>IFERROR(__xludf.DUMMYFUNCTION("""COMPUTED_VALUE"""),"Lentes de STOCK")</f>
        <v>Lentes de STOCK</v>
      </c>
      <c r="E2073" s="1" t="str">
        <f>IFERROR(__xludf.DUMMYFUNCTION("""COMPUTED_VALUE"""),"ARTIGAS Ivana P.")</f>
        <v>ARTIGAS Ivana P.</v>
      </c>
      <c r="F2073" s="1" t="str">
        <f t="shared" si="1"/>
        <v>ARTIGAS </v>
      </c>
      <c r="G2073" s="1" t="str">
        <f t="shared" si="2"/>
        <v>Ivana P.</v>
      </c>
      <c r="H2073" s="1" t="str">
        <f>IFERROR(__xludf.DUMMYFUNCTION("""COMPUTED_VALUE"""),"18/2/2023, 17:00:00")</f>
        <v>18/2/2023, 17:00:00</v>
      </c>
      <c r="I2073" s="1"/>
      <c r="J2073" s="1">
        <f t="shared" si="3"/>
        <v>0</v>
      </c>
      <c r="K2073" s="1" t="str">
        <f t="shared" si="4"/>
        <v/>
      </c>
    </row>
    <row r="2074">
      <c r="A2074" s="1">
        <f>IFERROR(__xludf.DUMMYFUNCTION("""COMPUTED_VALUE"""),86622.0)</f>
        <v>86622</v>
      </c>
      <c r="B2074" s="5">
        <f>IFERROR(__xludf.DUMMYFUNCTION("""COMPUTED_VALUE"""),44972.547869270835)</f>
        <v>44972.54787</v>
      </c>
      <c r="C2074" s="1" t="str">
        <f>IFERROR(__xludf.DUMMYFUNCTION("""COMPUTED_VALUE"""),"BUGALLO MARIANO DARIO")</f>
        <v>BUGALLO MARIANO DARIO</v>
      </c>
      <c r="D2074" s="1" t="str">
        <f>IFERROR(__xludf.DUMMYFUNCTION("""COMPUTED_VALUE"""),"Lentes de STOCK")</f>
        <v>Lentes de STOCK</v>
      </c>
      <c r="E2074" s="1" t="str">
        <f>IFERROR(__xludf.DUMMYFUNCTION("""COMPUTED_VALUE"""),"RIVADAVIA Javier")</f>
        <v>RIVADAVIA Javier</v>
      </c>
      <c r="F2074" s="1" t="str">
        <f t="shared" si="1"/>
        <v>RIVADAVIA </v>
      </c>
      <c r="G2074" s="1" t="str">
        <f t="shared" si="2"/>
        <v>Javier</v>
      </c>
      <c r="H2074" s="1" t="str">
        <f>IFERROR(__xludf.DUMMYFUNCTION("""COMPUTED_VALUE"""),"22/2/2023, 17:00:00")</f>
        <v>22/2/2023, 17:00:00</v>
      </c>
      <c r="I2074" s="1" t="str">
        <f>IFERROR(__xludf.DUMMYFUNCTION("""COMPUTED_VALUE"""),"Completado en SUCURSAL")</f>
        <v>Completado en SUCURSAL</v>
      </c>
      <c r="J2074" s="1">
        <f t="shared" si="3"/>
        <v>5</v>
      </c>
      <c r="K2074" s="1" t="str">
        <f t="shared" si="4"/>
        <v>Tus Lentes estan LISTAS PARA ENTREGAR, te esperamos.</v>
      </c>
    </row>
    <row r="2075">
      <c r="A2075" s="1">
        <f>IFERROR(__xludf.DUMMYFUNCTION("""COMPUTED_VALUE"""),86623.0)</f>
        <v>86623</v>
      </c>
      <c r="B2075" s="5">
        <f>IFERROR(__xludf.DUMMYFUNCTION("""COMPUTED_VALUE"""),44972.551918784724)</f>
        <v>44972.55192</v>
      </c>
      <c r="C2075" s="1" t="str">
        <f>IFERROR(__xludf.DUMMYFUNCTION("""COMPUTED_VALUE"""),"CORREA CLAUDIA")</f>
        <v>CORREA CLAUDIA</v>
      </c>
      <c r="D2075" s="1" t="str">
        <f>IFERROR(__xludf.DUMMYFUNCTION("""COMPUTED_VALUE"""),"Reparaciones/Otros")</f>
        <v>Reparaciones/Otros</v>
      </c>
      <c r="E2075" s="1" t="str">
        <f>IFERROR(__xludf.DUMMYFUNCTION("""COMPUTED_VALUE"""),"ARTIGAS Roció")</f>
        <v>ARTIGAS Roció</v>
      </c>
      <c r="F2075" s="1" t="str">
        <f t="shared" si="1"/>
        <v>ARTIGAS </v>
      </c>
      <c r="G2075" s="1" t="str">
        <f t="shared" si="2"/>
        <v>Roció</v>
      </c>
      <c r="H2075" s="1" t="str">
        <f>IFERROR(__xludf.DUMMYFUNCTION("""COMPUTED_VALUE"""),"16/2/2023, 17:00:00")</f>
        <v>16/2/2023, 17:00:00</v>
      </c>
      <c r="I2075" s="1" t="str">
        <f>IFERROR(__xludf.DUMMYFUNCTION("""COMPUTED_VALUE"""),"Completado en SUCURSAL")</f>
        <v>Completado en SUCURSAL</v>
      </c>
      <c r="J2075" s="1">
        <f t="shared" si="3"/>
        <v>5</v>
      </c>
      <c r="K2075" s="1" t="str">
        <f t="shared" si="4"/>
        <v>Tus Lentes estan LISTAS PARA ENTREGAR, te esperamos.</v>
      </c>
    </row>
    <row r="2076">
      <c r="A2076" s="1">
        <f>IFERROR(__xludf.DUMMYFUNCTION("""COMPUTED_VALUE"""),86624.0)</f>
        <v>86624</v>
      </c>
      <c r="B2076" s="5">
        <f>IFERROR(__xludf.DUMMYFUNCTION("""COMPUTED_VALUE"""),44972.55275177083)</f>
        <v>44972.55275</v>
      </c>
      <c r="C2076" s="1" t="str">
        <f>IFERROR(__xludf.DUMMYFUNCTION("""COMPUTED_VALUE"""),"JOFRE BELLO DIMAS")</f>
        <v>JOFRE BELLO DIMAS</v>
      </c>
      <c r="D2076" s="1" t="str">
        <f>IFERROR(__xludf.DUMMYFUNCTION("""COMPUTED_VALUE"""),"Reparaciones/Otros")</f>
        <v>Reparaciones/Otros</v>
      </c>
      <c r="E2076" s="1" t="str">
        <f>IFERROR(__xludf.DUMMYFUNCTION("""COMPUTED_VALUE"""),"RIVADAVIA Javier")</f>
        <v>RIVADAVIA Javier</v>
      </c>
      <c r="F2076" s="1" t="str">
        <f t="shared" si="1"/>
        <v>RIVADAVIA </v>
      </c>
      <c r="G2076" s="1" t="str">
        <f t="shared" si="2"/>
        <v>Javier</v>
      </c>
      <c r="H2076" s="1" t="str">
        <f>IFERROR(__xludf.DUMMYFUNCTION("""COMPUTED_VALUE"""),"17/2/2023, 17:00:00")</f>
        <v>17/2/2023, 17:00:00</v>
      </c>
      <c r="I2076" s="1" t="str">
        <f>IFERROR(__xludf.DUMMYFUNCTION("""COMPUTED_VALUE"""),"Completado en SUCURSAL")</f>
        <v>Completado en SUCURSAL</v>
      </c>
      <c r="J2076" s="1">
        <f t="shared" si="3"/>
        <v>5</v>
      </c>
      <c r="K2076" s="1" t="str">
        <f t="shared" si="4"/>
        <v>Tus Lentes estan LISTAS PARA ENTREGAR, te esperamos.</v>
      </c>
    </row>
    <row r="2077">
      <c r="A2077" s="1">
        <f>IFERROR(__xludf.DUMMYFUNCTION("""COMPUTED_VALUE"""),86625.0)</f>
        <v>86625</v>
      </c>
      <c r="B2077" s="5">
        <f>IFERROR(__xludf.DUMMYFUNCTION("""COMPUTED_VALUE"""),44972.55593299768)</f>
        <v>44972.55593</v>
      </c>
      <c r="C2077" s="1" t="str">
        <f>IFERROR(__xludf.DUMMYFUNCTION("""COMPUTED_VALUE"""),"CANGIANO NICOLAS")</f>
        <v>CANGIANO NICOLAS</v>
      </c>
      <c r="D2077" s="1" t="str">
        <f>IFERROR(__xludf.DUMMYFUNCTION("""COMPUTED_VALUE"""),"Lentes de STOCK")</f>
        <v>Lentes de STOCK</v>
      </c>
      <c r="E2077" s="1" t="str">
        <f>IFERROR(__xludf.DUMMYFUNCTION("""COMPUTED_VALUE"""),"ARTIGAS Roció")</f>
        <v>ARTIGAS Roció</v>
      </c>
      <c r="F2077" s="1" t="str">
        <f t="shared" si="1"/>
        <v>ARTIGAS </v>
      </c>
      <c r="G2077" s="1" t="str">
        <f t="shared" si="2"/>
        <v>Roció</v>
      </c>
      <c r="H2077" s="1" t="str">
        <f>IFERROR(__xludf.DUMMYFUNCTION("""COMPUTED_VALUE"""),"24/2/2023, 17:00:00")</f>
        <v>24/2/2023, 17:00:00</v>
      </c>
      <c r="I2077" s="1" t="str">
        <f>IFERROR(__xludf.DUMMYFUNCTION("""COMPUTED_VALUE"""),"Completado en SUCURSAL")</f>
        <v>Completado en SUCURSAL</v>
      </c>
      <c r="J2077" s="1">
        <f t="shared" si="3"/>
        <v>5</v>
      </c>
      <c r="K2077" s="1" t="str">
        <f t="shared" si="4"/>
        <v>Tus Lentes estan LISTAS PARA ENTREGAR, te esperamos.</v>
      </c>
    </row>
    <row r="2078">
      <c r="A2078" s="1">
        <f>IFERROR(__xludf.DUMMYFUNCTION("""COMPUTED_VALUE"""),86626.0)</f>
        <v>86626</v>
      </c>
      <c r="B2078" s="5">
        <f>IFERROR(__xludf.DUMMYFUNCTION("""COMPUTED_VALUE"""),44972.708304583335)</f>
        <v>44972.7083</v>
      </c>
      <c r="C2078" s="1" t="str">
        <f>IFERROR(__xludf.DUMMYFUNCTION("""COMPUTED_VALUE"""),"QUIROGA NORMA")</f>
        <v>QUIROGA NORMA</v>
      </c>
      <c r="D2078" s="1" t="str">
        <f>IFERROR(__xludf.DUMMYFUNCTION("""COMPUTED_VALUE"""),"Lentes de STOCK")</f>
        <v>Lentes de STOCK</v>
      </c>
      <c r="E2078" s="1" t="str">
        <f>IFERROR(__xludf.DUMMYFUNCTION("""COMPUTED_VALUE"""),"ARTIGAS Ivana P.")</f>
        <v>ARTIGAS Ivana P.</v>
      </c>
      <c r="F2078" s="1" t="str">
        <f t="shared" si="1"/>
        <v>ARTIGAS </v>
      </c>
      <c r="G2078" s="1" t="str">
        <f t="shared" si="2"/>
        <v>Ivana P.</v>
      </c>
      <c r="H2078" s="1" t="str">
        <f>IFERROR(__xludf.DUMMYFUNCTION("""COMPUTED_VALUE"""),"22/2/2023, 17:00:00")</f>
        <v>22/2/2023, 17:00:00</v>
      </c>
      <c r="I2078" s="1" t="str">
        <f>IFERROR(__xludf.DUMMYFUNCTION("""COMPUTED_VALUE"""),"RETIRADO OK POR CLIENTE")</f>
        <v>RETIRADO OK POR CLIENTE</v>
      </c>
      <c r="J2078" s="1">
        <f t="shared" si="3"/>
        <v>6</v>
      </c>
      <c r="K2078" s="1" t="str">
        <f t="shared" si="4"/>
        <v>Entregamos tus lentes, que los disfrutes!</v>
      </c>
    </row>
    <row r="2079">
      <c r="A2079" s="1">
        <f>IFERROR(__xludf.DUMMYFUNCTION("""COMPUTED_VALUE"""),86627.0)</f>
        <v>86627</v>
      </c>
      <c r="B2079" s="5">
        <f>IFERROR(__xludf.DUMMYFUNCTION("""COMPUTED_VALUE"""),44972.77574668982)</f>
        <v>44972.77575</v>
      </c>
      <c r="C2079" s="1" t="str">
        <f>IFERROR(__xludf.DUMMYFUNCTION("""COMPUTED_VALUE"""),"ZELIKSON ANDREA SUSANA")</f>
        <v>ZELIKSON ANDREA SUSANA</v>
      </c>
      <c r="D2079" s="1" t="str">
        <f>IFERROR(__xludf.DUMMYFUNCTION("""COMPUTED_VALUE"""),"Reparaciones/Otros")</f>
        <v>Reparaciones/Otros</v>
      </c>
      <c r="E2079" s="1" t="str">
        <f>IFERROR(__xludf.DUMMYFUNCTION("""COMPUTED_VALUE"""),"RIVADAVIA Daniel CM")</f>
        <v>RIVADAVIA Daniel CM</v>
      </c>
      <c r="F2079" s="1" t="str">
        <f t="shared" si="1"/>
        <v>RIVADAVIA </v>
      </c>
      <c r="G2079" s="1" t="str">
        <f t="shared" si="2"/>
        <v>Daniel CM</v>
      </c>
      <c r="H2079" s="1" t="str">
        <f>IFERROR(__xludf.DUMMYFUNCTION("""COMPUTED_VALUE"""),"16/2/2023, 17:00:00")</f>
        <v>16/2/2023, 17:00:00</v>
      </c>
      <c r="I2079" s="1" t="str">
        <f>IFERROR(__xludf.DUMMYFUNCTION("""COMPUTED_VALUE"""),"Completado en SUCURSAL")</f>
        <v>Completado en SUCURSAL</v>
      </c>
      <c r="J2079" s="1">
        <f t="shared" si="3"/>
        <v>5</v>
      </c>
      <c r="K2079" s="1" t="str">
        <f t="shared" si="4"/>
        <v>Tus Lentes estan LISTAS PARA ENTREGAR, te esperamos.</v>
      </c>
    </row>
    <row r="2080">
      <c r="A2080" s="1">
        <f>IFERROR(__xludf.DUMMYFUNCTION("""COMPUTED_VALUE"""),86628.0)</f>
        <v>86628</v>
      </c>
      <c r="B2080" s="5">
        <f>IFERROR(__xludf.DUMMYFUNCTION("""COMPUTED_VALUE"""),44972.77978809028)</f>
        <v>44972.77979</v>
      </c>
      <c r="C2080" s="1" t="str">
        <f>IFERROR(__xludf.DUMMYFUNCTION("""COMPUTED_VALUE"""),"viapiana barbara soledad")</f>
        <v>viapiana barbara soledad</v>
      </c>
      <c r="D2080" s="1" t="str">
        <f>IFERROR(__xludf.DUMMYFUNCTION("""COMPUTED_VALUE"""),"Lentes de STOCK")</f>
        <v>Lentes de STOCK</v>
      </c>
      <c r="E2080" s="1" t="str">
        <f>IFERROR(__xludf.DUMMYFUNCTION("""COMPUTED_VALUE"""),"RIVADAVIA Santiago N")</f>
        <v>RIVADAVIA Santiago N</v>
      </c>
      <c r="F2080" s="1" t="str">
        <f t="shared" si="1"/>
        <v>RIVADAVIA </v>
      </c>
      <c r="G2080" s="1" t="str">
        <f t="shared" si="2"/>
        <v>Santiago N</v>
      </c>
      <c r="H2080" s="1" t="str">
        <f>IFERROR(__xludf.DUMMYFUNCTION("""COMPUTED_VALUE"""),"18/2/2023, 17:00:00")</f>
        <v>18/2/2023, 17:00:00</v>
      </c>
      <c r="I2080" s="1" t="str">
        <f>IFERROR(__xludf.DUMMYFUNCTION("""COMPUTED_VALUE"""),"RETIRADO OK POR CLIENTE")</f>
        <v>RETIRADO OK POR CLIENTE</v>
      </c>
      <c r="J2080" s="1">
        <f t="shared" si="3"/>
        <v>6</v>
      </c>
      <c r="K2080" s="1" t="str">
        <f t="shared" si="4"/>
        <v>Entregamos tus lentes, que los disfrutes!</v>
      </c>
    </row>
    <row r="2081">
      <c r="A2081" s="1">
        <f>IFERROR(__xludf.DUMMYFUNCTION("""COMPUTED_VALUE"""),86629.0)</f>
        <v>86629</v>
      </c>
      <c r="B2081" s="5">
        <f>IFERROR(__xludf.DUMMYFUNCTION("""COMPUTED_VALUE"""),44972.788508067126)</f>
        <v>44972.78851</v>
      </c>
      <c r="C2081" s="1" t="str">
        <f>IFERROR(__xludf.DUMMYFUNCTION("""COMPUTED_VALUE"""),"CASCIO EMILIA ROSA")</f>
        <v>CASCIO EMILIA ROSA</v>
      </c>
      <c r="D2081" s="1" t="str">
        <f>IFERROR(__xludf.DUMMYFUNCTION("""COMPUTED_VALUE"""),"Lentes de STOCK")</f>
        <v>Lentes de STOCK</v>
      </c>
      <c r="E2081" s="1" t="str">
        <f>IFERROR(__xludf.DUMMYFUNCTION("""COMPUTED_VALUE"""),"RIVADAVIA Javier")</f>
        <v>RIVADAVIA Javier</v>
      </c>
      <c r="F2081" s="1" t="str">
        <f t="shared" si="1"/>
        <v>RIVADAVIA </v>
      </c>
      <c r="G2081" s="1" t="str">
        <f t="shared" si="2"/>
        <v>Javier</v>
      </c>
      <c r="H2081" s="1" t="str">
        <f>IFERROR(__xludf.DUMMYFUNCTION("""COMPUTED_VALUE"""),"23/2/2023, 17:00:00")</f>
        <v>23/2/2023, 17:00:00</v>
      </c>
      <c r="I2081" s="1" t="str">
        <f>IFERROR(__xludf.DUMMYFUNCTION("""COMPUTED_VALUE"""),"RETIRADO OK POR CLIENTE")</f>
        <v>RETIRADO OK POR CLIENTE</v>
      </c>
      <c r="J2081" s="1">
        <f t="shared" si="3"/>
        <v>6</v>
      </c>
      <c r="K2081" s="1" t="str">
        <f t="shared" si="4"/>
        <v>Entregamos tus lentes, que los disfrutes!</v>
      </c>
    </row>
    <row r="2082" hidden="1">
      <c r="A2082" s="1">
        <f>IFERROR(__xludf.DUMMYFUNCTION("""COMPUTED_VALUE"""),86630.0)</f>
        <v>86630</v>
      </c>
      <c r="B2082" s="5">
        <f>IFERROR(__xludf.DUMMYFUNCTION("""COMPUTED_VALUE"""),44972.79438173611)</f>
        <v>44972.79438</v>
      </c>
      <c r="C2082" s="1" t="str">
        <f>IFERROR(__xludf.DUMMYFUNCTION("""COMPUTED_VALUE"""),"CONEJERO RUBEN / CARBO SAN LUIS")</f>
        <v>CONEJERO RUBEN / CARBO SAN LUIS</v>
      </c>
      <c r="D2082" s="1" t="str">
        <f>IFERROR(__xludf.DUMMYFUNCTION("""COMPUTED_VALUE"""),"Lentes MULTIFOCALES")</f>
        <v>Lentes MULTIFOCALES</v>
      </c>
      <c r="E2082" s="1" t="str">
        <f>IFERROR(__xludf.DUMMYFUNCTION("""COMPUTED_VALUE"""),"ARTIGAS Ivana P.")</f>
        <v>ARTIGAS Ivana P.</v>
      </c>
      <c r="F2082" s="1" t="str">
        <f t="shared" si="1"/>
        <v>ARTIGAS </v>
      </c>
      <c r="G2082" s="1" t="str">
        <f t="shared" si="2"/>
        <v>Ivana P.</v>
      </c>
      <c r="H2082" s="1" t="str">
        <f>IFERROR(__xludf.DUMMYFUNCTION("""COMPUTED_VALUE"""),"28/2/2023, 17:00:00")</f>
        <v>28/2/2023, 17:00:00</v>
      </c>
      <c r="I2082" s="1" t="str">
        <f>IFERROR(__xludf.DUMMYFUNCTION("""COMPUTED_VALUE"""),"DEMORADO")</f>
        <v>DEMORADO</v>
      </c>
      <c r="J2082" s="1" t="str">
        <f t="shared" si="3"/>
        <v/>
      </c>
      <c r="K2082" s="1" t="str">
        <f t="shared" si="4"/>
        <v>Tuvimos una demora con tus lentes y no podremos entregarlo en las fecha acordada, estamos trabajando para terminarlos cuanto antes, te mantendremos al tanto, si es necesario contactanos via whatsapp.</v>
      </c>
    </row>
    <row r="2083">
      <c r="A2083" s="1">
        <f>IFERROR(__xludf.DUMMYFUNCTION("""COMPUTED_VALUE"""),86631.0)</f>
        <v>86631</v>
      </c>
      <c r="B2083" s="5">
        <f>IFERROR(__xludf.DUMMYFUNCTION("""COMPUTED_VALUE"""),44972.804606875)</f>
        <v>44972.80461</v>
      </c>
      <c r="C2083" s="1" t="str">
        <f>IFERROR(__xludf.DUMMYFUNCTION("""COMPUTED_VALUE"""),"JOFRE BELLO DIMAS ")</f>
        <v>JOFRE BELLO DIMAS </v>
      </c>
      <c r="D2083" s="1" t="str">
        <f>IFERROR(__xludf.DUMMYFUNCTION("""COMPUTED_VALUE"""),"Lentes de STOCK")</f>
        <v>Lentes de STOCK</v>
      </c>
      <c r="E2083" s="1" t="str">
        <f>IFERROR(__xludf.DUMMYFUNCTION("""COMPUTED_VALUE"""),"RIVADAVIA Javier")</f>
        <v>RIVADAVIA Javier</v>
      </c>
      <c r="F2083" s="1" t="str">
        <f t="shared" si="1"/>
        <v>RIVADAVIA </v>
      </c>
      <c r="G2083" s="1" t="str">
        <f t="shared" si="2"/>
        <v>Javier</v>
      </c>
      <c r="H2083" s="1" t="str">
        <f>IFERROR(__xludf.DUMMYFUNCTION("""COMPUTED_VALUE"""),"17/2/2023, 17:00:00")</f>
        <v>17/2/2023, 17:00:00</v>
      </c>
      <c r="I2083" s="1" t="str">
        <f>IFERROR(__xludf.DUMMYFUNCTION("""COMPUTED_VALUE"""),"Completado en SUCURSAL")</f>
        <v>Completado en SUCURSAL</v>
      </c>
      <c r="J2083" s="1">
        <f t="shared" si="3"/>
        <v>5</v>
      </c>
      <c r="K2083" s="1" t="str">
        <f t="shared" si="4"/>
        <v>Tus Lentes estan LISTAS PARA ENTREGAR, te esperamos.</v>
      </c>
    </row>
    <row r="2084">
      <c r="A2084" s="1">
        <f>IFERROR(__xludf.DUMMYFUNCTION("""COMPUTED_VALUE"""),86632.0)</f>
        <v>86632</v>
      </c>
      <c r="B2084" s="5">
        <f>IFERROR(__xludf.DUMMYFUNCTION("""COMPUTED_VALUE"""),44972.8151216088)</f>
        <v>44972.81512</v>
      </c>
      <c r="C2084" s="1" t="str">
        <f>IFERROR(__xludf.DUMMYFUNCTION("""COMPUTED_VALUE"""),"BINDER ESTEBAN")</f>
        <v>BINDER ESTEBAN</v>
      </c>
      <c r="D2084" s="1" t="str">
        <f>IFERROR(__xludf.DUMMYFUNCTION("""COMPUTED_VALUE"""),"Lentes de STOCK")</f>
        <v>Lentes de STOCK</v>
      </c>
      <c r="E2084" s="1" t="str">
        <f>IFERROR(__xludf.DUMMYFUNCTION("""COMPUTED_VALUE"""),"ARTIGAS Ivana P.")</f>
        <v>ARTIGAS Ivana P.</v>
      </c>
      <c r="F2084" s="1" t="str">
        <f t="shared" si="1"/>
        <v>ARTIGAS </v>
      </c>
      <c r="G2084" s="1" t="str">
        <f t="shared" si="2"/>
        <v>Ivana P.</v>
      </c>
      <c r="H2084" s="1" t="str">
        <f>IFERROR(__xludf.DUMMYFUNCTION("""COMPUTED_VALUE"""),"22/2/2023, 17:00:00")</f>
        <v>22/2/2023, 17:00:00</v>
      </c>
      <c r="I2084" s="1" t="str">
        <f>IFERROR(__xludf.DUMMYFUNCTION("""COMPUTED_VALUE"""),"Recibido en Laboratorio")</f>
        <v>Recibido en Laboratorio</v>
      </c>
      <c r="J2084" s="1">
        <f t="shared" si="3"/>
        <v>2</v>
      </c>
      <c r="K2084" s="1" t="str">
        <f t="shared" si="4"/>
        <v>Nuestro Laboratorio esta trabajando en tus lentes, los entregaremos en la fecha acordada.</v>
      </c>
    </row>
    <row r="2085">
      <c r="A2085" s="1">
        <f>IFERROR(__xludf.DUMMYFUNCTION("""COMPUTED_VALUE"""),86633.0)</f>
        <v>86633</v>
      </c>
      <c r="B2085" s="5">
        <f>IFERROR(__xludf.DUMMYFUNCTION("""COMPUTED_VALUE"""),44972.817373819445)</f>
        <v>44972.81737</v>
      </c>
      <c r="C2085" s="1" t="str">
        <f>IFERROR(__xludf.DUMMYFUNCTION("""COMPUTED_VALUE"""),"SOSA ADRIANA")</f>
        <v>SOSA ADRIANA</v>
      </c>
      <c r="D2085" s="1" t="str">
        <f>IFERROR(__xludf.DUMMYFUNCTION("""COMPUTED_VALUE"""),"Reparaciones/Otros")</f>
        <v>Reparaciones/Otros</v>
      </c>
      <c r="E2085" s="1" t="str">
        <f>IFERROR(__xludf.DUMMYFUNCTION("""COMPUTED_VALUE"""),"RIVADAVIA Luciana")</f>
        <v>RIVADAVIA Luciana</v>
      </c>
      <c r="F2085" s="1" t="str">
        <f t="shared" si="1"/>
        <v>RIVADAVIA </v>
      </c>
      <c r="G2085" s="1" t="str">
        <f t="shared" si="2"/>
        <v>Luciana</v>
      </c>
      <c r="H2085" s="1" t="str">
        <f>IFERROR(__xludf.DUMMYFUNCTION("""COMPUTED_VALUE"""),"17/2/2023, 17:00:00")</f>
        <v>17/2/2023, 17:00:00</v>
      </c>
      <c r="I2085" s="1" t="str">
        <f>IFERROR(__xludf.DUMMYFUNCTION("""COMPUTED_VALUE"""),"Completado en SUCURSAL")</f>
        <v>Completado en SUCURSAL</v>
      </c>
      <c r="J2085" s="1">
        <f t="shared" si="3"/>
        <v>5</v>
      </c>
      <c r="K2085" s="1" t="str">
        <f t="shared" si="4"/>
        <v>Tus Lentes estan LISTAS PARA ENTREGAR, te esperamos.</v>
      </c>
    </row>
    <row r="2086">
      <c r="A2086" s="1">
        <f>IFERROR(__xludf.DUMMYFUNCTION("""COMPUTED_VALUE"""),86634.0)</f>
        <v>86634</v>
      </c>
      <c r="B2086" s="5">
        <f>IFERROR(__xludf.DUMMYFUNCTION("""COMPUTED_VALUE"""),44972.82602449074)</f>
        <v>44972.82602</v>
      </c>
      <c r="C2086" s="1" t="str">
        <f>IFERROR(__xludf.DUMMYFUNCTION("""COMPUTED_VALUE"""),"FARIAS JUAN")</f>
        <v>FARIAS JUAN</v>
      </c>
      <c r="D2086" s="1" t="str">
        <f>IFERROR(__xludf.DUMMYFUNCTION("""COMPUTED_VALUE"""),"Lentes de STOCK")</f>
        <v>Lentes de STOCK</v>
      </c>
      <c r="E2086" s="1" t="str">
        <f>IFERROR(__xludf.DUMMYFUNCTION("""COMPUTED_VALUE"""),"RIVADAVIA Luciana")</f>
        <v>RIVADAVIA Luciana</v>
      </c>
      <c r="F2086" s="1" t="str">
        <f t="shared" si="1"/>
        <v>RIVADAVIA </v>
      </c>
      <c r="G2086" s="1" t="str">
        <f t="shared" si="2"/>
        <v>Luciana</v>
      </c>
      <c r="H2086" s="1" t="str">
        <f>IFERROR(__xludf.DUMMYFUNCTION("""COMPUTED_VALUE"""),"23/2/2023, 17:00:00")</f>
        <v>23/2/2023, 17:00:00</v>
      </c>
      <c r="I2086" s="1" t="str">
        <f>IFERROR(__xludf.DUMMYFUNCTION("""COMPUTED_VALUE"""),"RETIRADO OK POR CLIENTE")</f>
        <v>RETIRADO OK POR CLIENTE</v>
      </c>
      <c r="J2086" s="1">
        <f t="shared" si="3"/>
        <v>6</v>
      </c>
      <c r="K2086" s="1" t="str">
        <f t="shared" si="4"/>
        <v>Entregamos tus lentes, que los disfrutes!</v>
      </c>
    </row>
    <row r="2087">
      <c r="A2087" s="1">
        <f>IFERROR(__xludf.DUMMYFUNCTION("""COMPUTED_VALUE"""),86635.0)</f>
        <v>86635</v>
      </c>
      <c r="B2087" s="5">
        <f>IFERROR(__xludf.DUMMYFUNCTION("""COMPUTED_VALUE"""),44972.83396725694)</f>
        <v>44972.83397</v>
      </c>
      <c r="C2087" s="1" t="str">
        <f>IFERROR(__xludf.DUMMYFUNCTION("""COMPUTED_VALUE"""),"FALCON CLAUDIA")</f>
        <v>FALCON CLAUDIA</v>
      </c>
      <c r="D2087" s="1" t="str">
        <f>IFERROR(__xludf.DUMMYFUNCTION("""COMPUTED_VALUE"""),"Lentes de STOCK")</f>
        <v>Lentes de STOCK</v>
      </c>
      <c r="E2087" s="1" t="str">
        <f>IFERROR(__xludf.DUMMYFUNCTION("""COMPUTED_VALUE"""),"RIVADAVIA Daniel CM")</f>
        <v>RIVADAVIA Daniel CM</v>
      </c>
      <c r="F2087" s="1" t="str">
        <f t="shared" si="1"/>
        <v>RIVADAVIA </v>
      </c>
      <c r="G2087" s="1" t="str">
        <f t="shared" si="2"/>
        <v>Daniel CM</v>
      </c>
      <c r="H2087" s="1" t="str">
        <f>IFERROR(__xludf.DUMMYFUNCTION("""COMPUTED_VALUE"""),"22/2/2023, 17:00:00")</f>
        <v>22/2/2023, 17:00:00</v>
      </c>
      <c r="I2087" s="1" t="str">
        <f>IFERROR(__xludf.DUMMYFUNCTION("""COMPUTED_VALUE"""),"Completado en SUCURSAL")</f>
        <v>Completado en SUCURSAL</v>
      </c>
      <c r="J2087" s="1">
        <f t="shared" si="3"/>
        <v>5</v>
      </c>
      <c r="K2087" s="1" t="str">
        <f t="shared" si="4"/>
        <v>Tus Lentes estan LISTAS PARA ENTREGAR, te esperamos.</v>
      </c>
    </row>
    <row r="2088">
      <c r="A2088" s="1">
        <f>IFERROR(__xludf.DUMMYFUNCTION("""COMPUTED_VALUE"""),86636.0)</f>
        <v>86636</v>
      </c>
      <c r="B2088" s="5">
        <f>IFERROR(__xludf.DUMMYFUNCTION("""COMPUTED_VALUE"""),44973.369307245375)</f>
        <v>44973.36931</v>
      </c>
      <c r="C2088" s="1" t="str">
        <f>IFERROR(__xludf.DUMMYFUNCTION("""COMPUTED_VALUE"""),"orozco yanina")</f>
        <v>orozco yanina</v>
      </c>
      <c r="D2088" s="1" t="str">
        <f>IFERROR(__xludf.DUMMYFUNCTION("""COMPUTED_VALUE"""),"Lentes de STOCK")</f>
        <v>Lentes de STOCK</v>
      </c>
      <c r="E2088" s="1" t="str">
        <f>IFERROR(__xludf.DUMMYFUNCTION("""COMPUTED_VALUE"""),"RIVADAVIA Daniel CM")</f>
        <v>RIVADAVIA Daniel CM</v>
      </c>
      <c r="F2088" s="1" t="str">
        <f t="shared" si="1"/>
        <v>RIVADAVIA </v>
      </c>
      <c r="G2088" s="1" t="str">
        <f t="shared" si="2"/>
        <v>Daniel CM</v>
      </c>
      <c r="H2088" s="1" t="str">
        <f>IFERROR(__xludf.DUMMYFUNCTION("""COMPUTED_VALUE"""),"22/2/2023, 17:00:00")</f>
        <v>22/2/2023, 17:00:00</v>
      </c>
      <c r="I2088" s="1" t="str">
        <f>IFERROR(__xludf.DUMMYFUNCTION("""COMPUTED_VALUE"""),"Completado en SUCURSAL")</f>
        <v>Completado en SUCURSAL</v>
      </c>
      <c r="J2088" s="1">
        <f t="shared" si="3"/>
        <v>5</v>
      </c>
      <c r="K2088" s="1" t="str">
        <f t="shared" si="4"/>
        <v>Tus Lentes estan LISTAS PARA ENTREGAR, te esperamos.</v>
      </c>
    </row>
    <row r="2089">
      <c r="A2089" s="1">
        <f>IFERROR(__xludf.DUMMYFUNCTION("""COMPUTED_VALUE"""),86637.0)</f>
        <v>86637</v>
      </c>
      <c r="B2089" s="5">
        <f>IFERROR(__xludf.DUMMYFUNCTION("""COMPUTED_VALUE"""),44973.388081006946)</f>
        <v>44973.38808</v>
      </c>
      <c r="C2089" s="1" t="str">
        <f>IFERROR(__xludf.DUMMYFUNCTION("""COMPUTED_VALUE"""),"fusco ana maria")</f>
        <v>fusco ana maria</v>
      </c>
      <c r="D2089" s="1" t="str">
        <f>IFERROR(__xludf.DUMMYFUNCTION("""COMPUTED_VALUE"""),"Lentes de STOCK")</f>
        <v>Lentes de STOCK</v>
      </c>
      <c r="E2089" s="1" t="str">
        <f>IFERROR(__xludf.DUMMYFUNCTION("""COMPUTED_VALUE"""),"RIVADAVIA Santiago N")</f>
        <v>RIVADAVIA Santiago N</v>
      </c>
      <c r="F2089" s="1" t="str">
        <f t="shared" si="1"/>
        <v>RIVADAVIA </v>
      </c>
      <c r="G2089" s="1" t="str">
        <f t="shared" si="2"/>
        <v>Santiago N</v>
      </c>
      <c r="H2089" s="1" t="str">
        <f>IFERROR(__xludf.DUMMYFUNCTION("""COMPUTED_VALUE"""),"22/2/2023, 17:00:00")</f>
        <v>22/2/2023, 17:00:00</v>
      </c>
      <c r="I2089" s="1" t="str">
        <f>IFERROR(__xludf.DUMMYFUNCTION("""COMPUTED_VALUE"""),"Completado en SUCURSAL")</f>
        <v>Completado en SUCURSAL</v>
      </c>
      <c r="J2089" s="1">
        <f t="shared" si="3"/>
        <v>5</v>
      </c>
      <c r="K2089" s="1" t="str">
        <f t="shared" si="4"/>
        <v>Tus Lentes estan LISTAS PARA ENTREGAR, te esperamos.</v>
      </c>
    </row>
    <row r="2090">
      <c r="A2090" s="1">
        <f>IFERROR(__xludf.DUMMYFUNCTION("""COMPUTED_VALUE"""),86638.0)</f>
        <v>86638</v>
      </c>
      <c r="B2090" s="5">
        <f>IFERROR(__xludf.DUMMYFUNCTION("""COMPUTED_VALUE"""),44973.388499293986)</f>
        <v>44973.3885</v>
      </c>
      <c r="C2090" s="1" t="str">
        <f>IFERROR(__xludf.DUMMYFUNCTION("""COMPUTED_VALUE"""),"VIDAL CARLOS FERNANDO")</f>
        <v>VIDAL CARLOS FERNANDO</v>
      </c>
      <c r="D2090" s="1" t="str">
        <f>IFERROR(__xludf.DUMMYFUNCTION("""COMPUTED_VALUE"""),"Lentes de STOCK")</f>
        <v>Lentes de STOCK</v>
      </c>
      <c r="E2090" s="1" t="str">
        <f>IFERROR(__xludf.DUMMYFUNCTION("""COMPUTED_VALUE"""),"RIVADAVIA Javier")</f>
        <v>RIVADAVIA Javier</v>
      </c>
      <c r="F2090" s="1" t="str">
        <f t="shared" si="1"/>
        <v>RIVADAVIA </v>
      </c>
      <c r="G2090" s="1" t="str">
        <f t="shared" si="2"/>
        <v>Javier</v>
      </c>
      <c r="H2090" s="1" t="str">
        <f>IFERROR(__xludf.DUMMYFUNCTION("""COMPUTED_VALUE"""),"27/2/2023, 17:00:00")</f>
        <v>27/2/2023, 17:00:00</v>
      </c>
      <c r="I2090" s="1" t="str">
        <f>IFERROR(__xludf.DUMMYFUNCTION("""COMPUTED_VALUE"""),"RETIRADO OK POR CLIENTE")</f>
        <v>RETIRADO OK POR CLIENTE</v>
      </c>
      <c r="J2090" s="1">
        <f t="shared" si="3"/>
        <v>6</v>
      </c>
      <c r="K2090" s="1" t="str">
        <f t="shared" si="4"/>
        <v>Entregamos tus lentes, que los disfrutes!</v>
      </c>
    </row>
    <row r="2091">
      <c r="A2091" s="1">
        <f>IFERROR(__xludf.DUMMYFUNCTION("""COMPUTED_VALUE"""),86639.0)</f>
        <v>86639</v>
      </c>
      <c r="B2091" s="5">
        <f>IFERROR(__xludf.DUMMYFUNCTION("""COMPUTED_VALUE"""),44973.394599340274)</f>
        <v>44973.3946</v>
      </c>
      <c r="C2091" s="1" t="str">
        <f>IFERROR(__xludf.DUMMYFUNCTION("""COMPUTED_VALUE"""),"GABRIEL ACOSTA")</f>
        <v>GABRIEL ACOSTA</v>
      </c>
      <c r="D2091" s="1" t="str">
        <f>IFERROR(__xludf.DUMMYFUNCTION("""COMPUTED_VALUE"""),"Lentes BIFOCALES")</f>
        <v>Lentes BIFOCALES</v>
      </c>
      <c r="E2091" s="1" t="str">
        <f>IFERROR(__xludf.DUMMYFUNCTION("""COMPUTED_VALUE"""),"ARTIGAS Ivana P.")</f>
        <v>ARTIGAS Ivana P.</v>
      </c>
      <c r="F2091" s="1" t="str">
        <f t="shared" si="1"/>
        <v>ARTIGAS </v>
      </c>
      <c r="G2091" s="1" t="str">
        <f t="shared" si="2"/>
        <v>Ivana P.</v>
      </c>
      <c r="H2091" s="1" t="str">
        <f>IFERROR(__xludf.DUMMYFUNCTION("""COMPUTED_VALUE"""),"22/2/2023, 17:00:00")</f>
        <v>22/2/2023, 17:00:00</v>
      </c>
      <c r="I2091" s="1" t="str">
        <f>IFERROR(__xludf.DUMMYFUNCTION("""COMPUTED_VALUE"""),"Recibido en Laboratorio")</f>
        <v>Recibido en Laboratorio</v>
      </c>
      <c r="J2091" s="1">
        <f t="shared" si="3"/>
        <v>2</v>
      </c>
      <c r="K2091" s="1" t="str">
        <f t="shared" si="4"/>
        <v>Nuestro Laboratorio esta trabajando en tus lentes, los entregaremos en la fecha acordada.</v>
      </c>
    </row>
    <row r="2092">
      <c r="A2092" s="1">
        <f>IFERROR(__xludf.DUMMYFUNCTION("""COMPUTED_VALUE"""),86640.0)</f>
        <v>86640</v>
      </c>
      <c r="B2092" s="5">
        <f>IFERROR(__xludf.DUMMYFUNCTION("""COMPUTED_VALUE"""),44973.39787677083)</f>
        <v>44973.39788</v>
      </c>
      <c r="C2092" s="1" t="str">
        <f>IFERROR(__xludf.DUMMYFUNCTION("""COMPUTED_VALUE"""),"LUCERO KARINA")</f>
        <v>LUCERO KARINA</v>
      </c>
      <c r="D2092" s="1" t="str">
        <f>IFERROR(__xludf.DUMMYFUNCTION("""COMPUTED_VALUE"""),"Reparaciones/Otros")</f>
        <v>Reparaciones/Otros</v>
      </c>
      <c r="E2092" s="1" t="str">
        <f>IFERROR(__xludf.DUMMYFUNCTION("""COMPUTED_VALUE"""),"RIVADAVIA Javier")</f>
        <v>RIVADAVIA Javier</v>
      </c>
      <c r="F2092" s="1" t="str">
        <f t="shared" si="1"/>
        <v>RIVADAVIA </v>
      </c>
      <c r="G2092" s="1" t="str">
        <f t="shared" si="2"/>
        <v>Javier</v>
      </c>
      <c r="H2092" s="1" t="str">
        <f>IFERROR(__xludf.DUMMYFUNCTION("""COMPUTED_VALUE"""),"17/2/2023, 17:00:00")</f>
        <v>17/2/2023, 17:00:00</v>
      </c>
      <c r="I2092" s="1" t="str">
        <f>IFERROR(__xludf.DUMMYFUNCTION("""COMPUTED_VALUE"""),"Completado en SUCURSAL")</f>
        <v>Completado en SUCURSAL</v>
      </c>
      <c r="J2092" s="1">
        <f t="shared" si="3"/>
        <v>5</v>
      </c>
      <c r="K2092" s="1" t="str">
        <f t="shared" si="4"/>
        <v>Tus Lentes estan LISTAS PARA ENTREGAR, te esperamos.</v>
      </c>
    </row>
    <row r="2093">
      <c r="A2093" s="1">
        <f>IFERROR(__xludf.DUMMYFUNCTION("""COMPUTED_VALUE"""),86641.0)</f>
        <v>86641</v>
      </c>
      <c r="B2093" s="5">
        <f>IFERROR(__xludf.DUMMYFUNCTION("""COMPUTED_VALUE"""),44973.400846261575)</f>
        <v>44973.40085</v>
      </c>
      <c r="C2093" s="1" t="str">
        <f>IFERROR(__xludf.DUMMYFUNCTION("""COMPUTED_VALUE"""),"romero joaquin")</f>
        <v>romero joaquin</v>
      </c>
      <c r="D2093" s="1" t="str">
        <f>IFERROR(__xludf.DUMMYFUNCTION("""COMPUTED_VALUE"""),"Lentes de STOCK")</f>
        <v>Lentes de STOCK</v>
      </c>
      <c r="E2093" s="1" t="str">
        <f>IFERROR(__xludf.DUMMYFUNCTION("""COMPUTED_VALUE"""),"RIVADAVIA Santiago N")</f>
        <v>RIVADAVIA Santiago N</v>
      </c>
      <c r="F2093" s="1" t="str">
        <f t="shared" si="1"/>
        <v>RIVADAVIA </v>
      </c>
      <c r="G2093" s="1" t="str">
        <f t="shared" si="2"/>
        <v>Santiago N</v>
      </c>
      <c r="H2093" s="1" t="str">
        <f>IFERROR(__xludf.DUMMYFUNCTION("""COMPUTED_VALUE"""),"22/2/2023, 17:00:00")</f>
        <v>22/2/2023, 17:00:00</v>
      </c>
      <c r="I2093" s="1" t="str">
        <f>IFERROR(__xludf.DUMMYFUNCTION("""COMPUTED_VALUE"""),"RETIRADO OK POR CLIENTE")</f>
        <v>RETIRADO OK POR CLIENTE</v>
      </c>
      <c r="J2093" s="1">
        <f t="shared" si="3"/>
        <v>6</v>
      </c>
      <c r="K2093" s="1" t="str">
        <f t="shared" si="4"/>
        <v>Entregamos tus lentes, que los disfrutes!</v>
      </c>
    </row>
    <row r="2094">
      <c r="A2094" s="1">
        <f>IFERROR(__xludf.DUMMYFUNCTION("""COMPUTED_VALUE"""),86642.0)</f>
        <v>86642</v>
      </c>
      <c r="B2094" s="5">
        <f>IFERROR(__xludf.DUMMYFUNCTION("""COMPUTED_VALUE"""),44973.40442064815)</f>
        <v>44973.40442</v>
      </c>
      <c r="C2094" s="1" t="str">
        <f>IFERROR(__xludf.DUMMYFUNCTION("""COMPUTED_VALUE"""),"baron gloria")</f>
        <v>baron gloria</v>
      </c>
      <c r="D2094" s="1" t="str">
        <f>IFERROR(__xludf.DUMMYFUNCTION("""COMPUTED_VALUE"""),"Lentes de STOCK")</f>
        <v>Lentes de STOCK</v>
      </c>
      <c r="E2094" s="1" t="str">
        <f>IFERROR(__xludf.DUMMYFUNCTION("""COMPUTED_VALUE"""),"RIVADAVIA Daniel CM")</f>
        <v>RIVADAVIA Daniel CM</v>
      </c>
      <c r="F2094" s="1" t="str">
        <f t="shared" si="1"/>
        <v>RIVADAVIA </v>
      </c>
      <c r="G2094" s="1" t="str">
        <f t="shared" si="2"/>
        <v>Daniel CM</v>
      </c>
      <c r="H2094" s="1" t="str">
        <f>IFERROR(__xludf.DUMMYFUNCTION("""COMPUTED_VALUE"""),"22/2/2023, 17:00:00")</f>
        <v>22/2/2023, 17:00:00</v>
      </c>
      <c r="I2094" s="1" t="str">
        <f>IFERROR(__xludf.DUMMYFUNCTION("""COMPUTED_VALUE"""),"RETIRADO OK POR CLIENTE")</f>
        <v>RETIRADO OK POR CLIENTE</v>
      </c>
      <c r="J2094" s="1">
        <f t="shared" si="3"/>
        <v>6</v>
      </c>
      <c r="K2094" s="1" t="str">
        <f t="shared" si="4"/>
        <v>Entregamos tus lentes, que los disfrutes!</v>
      </c>
    </row>
    <row r="2095">
      <c r="A2095" s="1">
        <f>IFERROR(__xludf.DUMMYFUNCTION("""COMPUTED_VALUE"""),86643.0)</f>
        <v>86643</v>
      </c>
      <c r="B2095" s="5">
        <f>IFERROR(__xludf.DUMMYFUNCTION("""COMPUTED_VALUE"""),44973.40510920139)</f>
        <v>44973.40511</v>
      </c>
      <c r="C2095" s="1" t="str">
        <f>IFERROR(__xludf.DUMMYFUNCTION("""COMPUTED_VALUE"""),"SILVA RAMONA FABIANA ")</f>
        <v>SILVA RAMONA FABIANA </v>
      </c>
      <c r="D2095" s="1" t="str">
        <f>IFERROR(__xludf.DUMMYFUNCTION("""COMPUTED_VALUE"""),"Lentes de STOCK")</f>
        <v>Lentes de STOCK</v>
      </c>
      <c r="E2095" s="1" t="str">
        <f>IFERROR(__xludf.DUMMYFUNCTION("""COMPUTED_VALUE"""),"RIVADAVIA Javier")</f>
        <v>RIVADAVIA Javier</v>
      </c>
      <c r="F2095" s="1" t="str">
        <f t="shared" si="1"/>
        <v>RIVADAVIA </v>
      </c>
      <c r="G2095" s="1" t="str">
        <f t="shared" si="2"/>
        <v>Javier</v>
      </c>
      <c r="H2095" s="1" t="str">
        <f>IFERROR(__xludf.DUMMYFUNCTION("""COMPUTED_VALUE"""),"27/2/2023, 17:00:00")</f>
        <v>27/2/2023, 17:00:00</v>
      </c>
      <c r="I2095" s="1" t="str">
        <f>IFERROR(__xludf.DUMMYFUNCTION("""COMPUTED_VALUE"""),"Completado en SUCURSAL")</f>
        <v>Completado en SUCURSAL</v>
      </c>
      <c r="J2095" s="1">
        <f t="shared" si="3"/>
        <v>5</v>
      </c>
      <c r="K2095" s="1" t="str">
        <f t="shared" si="4"/>
        <v>Tus Lentes estan LISTAS PARA ENTREGAR, te esperamos.</v>
      </c>
    </row>
    <row r="2096">
      <c r="A2096" s="1">
        <f>IFERROR(__xludf.DUMMYFUNCTION("""COMPUTED_VALUE"""),86644.0)</f>
        <v>86644</v>
      </c>
      <c r="B2096" s="5">
        <f>IFERROR(__xludf.DUMMYFUNCTION("""COMPUTED_VALUE"""),44973.407988356485)</f>
        <v>44973.40799</v>
      </c>
      <c r="C2096" s="1" t="str">
        <f>IFERROR(__xludf.DUMMYFUNCTION("""COMPUTED_VALUE"""),"Antonio Alfonso")</f>
        <v>Antonio Alfonso</v>
      </c>
      <c r="D2096" s="1" t="str">
        <f>IFERROR(__xludf.DUMMYFUNCTION("""COMPUTED_VALUE"""),"Lentes de LABORATORIO")</f>
        <v>Lentes de LABORATORIO</v>
      </c>
      <c r="E2096" s="1" t="str">
        <f>IFERROR(__xludf.DUMMYFUNCTION("""COMPUTED_VALUE"""),"ARTIGAS Roció")</f>
        <v>ARTIGAS Roció</v>
      </c>
      <c r="F2096" s="1" t="str">
        <f t="shared" si="1"/>
        <v>ARTIGAS </v>
      </c>
      <c r="G2096" s="1" t="str">
        <f t="shared" si="2"/>
        <v>Roció</v>
      </c>
      <c r="H2096" s="1" t="str">
        <f>IFERROR(__xludf.DUMMYFUNCTION("""COMPUTED_VALUE"""),"1/3/2023, 17:00:00")</f>
        <v>1/3/2023, 17:00:00</v>
      </c>
      <c r="I2096" s="1" t="str">
        <f>IFERROR(__xludf.DUMMYFUNCTION("""COMPUTED_VALUE"""),"Recibido en Laboratorio")</f>
        <v>Recibido en Laboratorio</v>
      </c>
      <c r="J2096" s="1">
        <f t="shared" si="3"/>
        <v>2</v>
      </c>
      <c r="K2096" s="1" t="str">
        <f t="shared" si="4"/>
        <v>Nuestro Laboratorio esta trabajando en tus lentes, los entregaremos en la fecha acordada.</v>
      </c>
    </row>
    <row r="2097">
      <c r="A2097" s="1">
        <f>IFERROR(__xludf.DUMMYFUNCTION("""COMPUTED_VALUE"""),86645.0)</f>
        <v>86645</v>
      </c>
      <c r="B2097" s="5">
        <f>IFERROR(__xludf.DUMMYFUNCTION("""COMPUTED_VALUE"""),44973.41559027778)</f>
        <v>44973.41559</v>
      </c>
      <c r="C2097" s="1" t="str">
        <f>IFERROR(__xludf.DUMMYFUNCTION("""COMPUTED_VALUE"""),"QUINO MAMANI RITA")</f>
        <v>QUINO MAMANI RITA</v>
      </c>
      <c r="D2097" s="1" t="str">
        <f>IFERROR(__xludf.DUMMYFUNCTION("""COMPUTED_VALUE"""),"Lentes de STOCK")</f>
        <v>Lentes de STOCK</v>
      </c>
      <c r="E2097" s="1" t="str">
        <f>IFERROR(__xludf.DUMMYFUNCTION("""COMPUTED_VALUE"""),"RIVADAVIA Luciana")</f>
        <v>RIVADAVIA Luciana</v>
      </c>
      <c r="F2097" s="1" t="str">
        <f t="shared" si="1"/>
        <v>RIVADAVIA </v>
      </c>
      <c r="G2097" s="1" t="str">
        <f t="shared" si="2"/>
        <v>Luciana</v>
      </c>
      <c r="H2097" s="1" t="str">
        <f>IFERROR(__xludf.DUMMYFUNCTION("""COMPUTED_VALUE"""),"24/2/2023, 17:00:00")</f>
        <v>24/2/2023, 17:00:00</v>
      </c>
      <c r="I2097" s="1"/>
      <c r="J2097" s="1">
        <f t="shared" si="3"/>
        <v>0</v>
      </c>
      <c r="K2097" s="1" t="str">
        <f t="shared" si="4"/>
        <v/>
      </c>
    </row>
    <row r="2098">
      <c r="A2098" s="1">
        <f>IFERROR(__xludf.DUMMYFUNCTION("""COMPUTED_VALUE"""),86646.0)</f>
        <v>86646</v>
      </c>
      <c r="B2098" s="5">
        <f>IFERROR(__xludf.DUMMYFUNCTION("""COMPUTED_VALUE"""),44973.41647157408)</f>
        <v>44973.41647</v>
      </c>
      <c r="C2098" s="1" t="str">
        <f>IFERROR(__xludf.DUMMYFUNCTION("""COMPUTED_VALUE"""),"Godoy Fernanda")</f>
        <v>Godoy Fernanda</v>
      </c>
      <c r="D2098" s="1" t="str">
        <f>IFERROR(__xludf.DUMMYFUNCTION("""COMPUTED_VALUE"""),"Lentes de LABORATORIO")</f>
        <v>Lentes de LABORATORIO</v>
      </c>
      <c r="E2098" s="1" t="str">
        <f>IFERROR(__xludf.DUMMYFUNCTION("""COMPUTED_VALUE"""),"ARTIGAS Roció")</f>
        <v>ARTIGAS Roció</v>
      </c>
      <c r="F2098" s="1" t="str">
        <f t="shared" si="1"/>
        <v>ARTIGAS </v>
      </c>
      <c r="G2098" s="1" t="str">
        <f t="shared" si="2"/>
        <v>Roció</v>
      </c>
      <c r="H2098" s="1" t="str">
        <f>IFERROR(__xludf.DUMMYFUNCTION("""COMPUTED_VALUE"""),"3/3/2023, 17:00:00")</f>
        <v>3/3/2023, 17:00:00</v>
      </c>
      <c r="I2098" s="1" t="str">
        <f>IFERROR(__xludf.DUMMYFUNCTION("""COMPUTED_VALUE"""),"Recibido en Laboratorio")</f>
        <v>Recibido en Laboratorio</v>
      </c>
      <c r="J2098" s="1">
        <f t="shared" si="3"/>
        <v>2</v>
      </c>
      <c r="K2098" s="1" t="str">
        <f t="shared" si="4"/>
        <v>Nuestro Laboratorio esta trabajando en tus lentes, los entregaremos en la fecha acordada.</v>
      </c>
    </row>
    <row r="2099">
      <c r="A2099" s="1">
        <f>IFERROR(__xludf.DUMMYFUNCTION("""COMPUTED_VALUE"""),86647.0)</f>
        <v>86647</v>
      </c>
      <c r="B2099" s="5">
        <f>IFERROR(__xludf.DUMMYFUNCTION("""COMPUTED_VALUE"""),44973.41859447917)</f>
        <v>44973.41859</v>
      </c>
      <c r="C2099" s="1" t="str">
        <f>IFERROR(__xludf.DUMMYFUNCTION("""COMPUTED_VALUE"""),"salinas maria rosa")</f>
        <v>salinas maria rosa</v>
      </c>
      <c r="D2099" s="1" t="str">
        <f>IFERROR(__xludf.DUMMYFUNCTION("""COMPUTED_VALUE"""),"Lentes de STOCK")</f>
        <v>Lentes de STOCK</v>
      </c>
      <c r="E2099" s="1" t="str">
        <f>IFERROR(__xludf.DUMMYFUNCTION("""COMPUTED_VALUE"""),"RIVADAVIA Santiago N")</f>
        <v>RIVADAVIA Santiago N</v>
      </c>
      <c r="F2099" s="1" t="str">
        <f t="shared" si="1"/>
        <v>RIVADAVIA </v>
      </c>
      <c r="G2099" s="1" t="str">
        <f t="shared" si="2"/>
        <v>Santiago N</v>
      </c>
      <c r="H2099" s="1" t="str">
        <f>IFERROR(__xludf.DUMMYFUNCTION("""COMPUTED_VALUE"""),"22/2/2023, 17:00:00")</f>
        <v>22/2/2023, 17:00:00</v>
      </c>
      <c r="I2099" s="1" t="str">
        <f>IFERROR(__xludf.DUMMYFUNCTION("""COMPUTED_VALUE"""),"RETIRADO OK POR CLIENTE")</f>
        <v>RETIRADO OK POR CLIENTE</v>
      </c>
      <c r="J2099" s="1">
        <f t="shared" si="3"/>
        <v>6</v>
      </c>
      <c r="K2099" s="1" t="str">
        <f t="shared" si="4"/>
        <v>Entregamos tus lentes, que los disfrutes!</v>
      </c>
    </row>
    <row r="2100">
      <c r="A2100" s="1">
        <f>IFERROR(__xludf.DUMMYFUNCTION("""COMPUTED_VALUE"""),86648.0)</f>
        <v>86648</v>
      </c>
      <c r="B2100" s="5">
        <f>IFERROR(__xludf.DUMMYFUNCTION("""COMPUTED_VALUE"""),44973.423457337965)</f>
        <v>44973.42346</v>
      </c>
      <c r="C2100" s="1" t="str">
        <f>IFERROR(__xludf.DUMMYFUNCTION("""COMPUTED_VALUE"""),"davila belzunce maria belen")</f>
        <v>davila belzunce maria belen</v>
      </c>
      <c r="D2100" s="1" t="str">
        <f>IFERROR(__xludf.DUMMYFUNCTION("""COMPUTED_VALUE"""),"Reparaciones/Otros")</f>
        <v>Reparaciones/Otros</v>
      </c>
      <c r="E2100" s="1" t="str">
        <f>IFERROR(__xludf.DUMMYFUNCTION("""COMPUTED_VALUE"""),"RIVADAVIA Santiago N")</f>
        <v>RIVADAVIA Santiago N</v>
      </c>
      <c r="F2100" s="1" t="str">
        <f t="shared" si="1"/>
        <v>RIVADAVIA </v>
      </c>
      <c r="G2100" s="1" t="str">
        <f t="shared" si="2"/>
        <v>Santiago N</v>
      </c>
      <c r="H2100" s="1" t="str">
        <f>IFERROR(__xludf.DUMMYFUNCTION("""COMPUTED_VALUE"""),"17/2/2023, 17:00:00")</f>
        <v>17/2/2023, 17:00:00</v>
      </c>
      <c r="I2100" s="1" t="str">
        <f>IFERROR(__xludf.DUMMYFUNCTION("""COMPUTED_VALUE"""),"Completado en SUCURSAL")</f>
        <v>Completado en SUCURSAL</v>
      </c>
      <c r="J2100" s="1">
        <f t="shared" si="3"/>
        <v>5</v>
      </c>
      <c r="K2100" s="1" t="str">
        <f t="shared" si="4"/>
        <v>Tus Lentes estan LISTAS PARA ENTREGAR, te esperamos.</v>
      </c>
    </row>
    <row r="2101">
      <c r="A2101" s="1">
        <f>IFERROR(__xludf.DUMMYFUNCTION("""COMPUTED_VALUE"""),86649.0)</f>
        <v>86649</v>
      </c>
      <c r="B2101" s="5">
        <f>IFERROR(__xludf.DUMMYFUNCTION("""COMPUTED_VALUE"""),44973.42585090278)</f>
        <v>44973.42585</v>
      </c>
      <c r="C2101" s="1" t="str">
        <f>IFERROR(__xludf.DUMMYFUNCTION("""COMPUTED_VALUE"""),"Orellano Rosa")</f>
        <v>Orellano Rosa</v>
      </c>
      <c r="D2101" s="1" t="str">
        <f>IFERROR(__xludf.DUMMYFUNCTION("""COMPUTED_VALUE"""),"Reparaciones/Otros")</f>
        <v>Reparaciones/Otros</v>
      </c>
      <c r="E2101" s="1" t="str">
        <f>IFERROR(__xludf.DUMMYFUNCTION("""COMPUTED_VALUE"""),"ARTIGAS Sandra G")</f>
        <v>ARTIGAS Sandra G</v>
      </c>
      <c r="F2101" s="1" t="str">
        <f t="shared" si="1"/>
        <v>ARTIGAS </v>
      </c>
      <c r="G2101" s="1" t="str">
        <f t="shared" si="2"/>
        <v>Sandra G</v>
      </c>
      <c r="H2101" s="1" t="str">
        <f>IFERROR(__xludf.DUMMYFUNCTION("""COMPUTED_VALUE"""),"18/2/2023, 17:00:00")</f>
        <v>18/2/2023, 17:00:00</v>
      </c>
      <c r="I2101" s="1" t="str">
        <f>IFERROR(__xludf.DUMMYFUNCTION("""COMPUTED_VALUE"""),"Completado en SUCURSAL")</f>
        <v>Completado en SUCURSAL</v>
      </c>
      <c r="J2101" s="1">
        <f t="shared" si="3"/>
        <v>5</v>
      </c>
      <c r="K2101" s="1" t="str">
        <f t="shared" si="4"/>
        <v>Tus Lentes estan LISTAS PARA ENTREGAR, te esperamos.</v>
      </c>
    </row>
    <row r="2102">
      <c r="A2102" s="1">
        <f>IFERROR(__xludf.DUMMYFUNCTION("""COMPUTED_VALUE"""),86650.0)</f>
        <v>86650</v>
      </c>
      <c r="B2102" s="5">
        <f>IFERROR(__xludf.DUMMYFUNCTION("""COMPUTED_VALUE"""),44973.42918755787)</f>
        <v>44973.42919</v>
      </c>
      <c r="C2102" s="1" t="str">
        <f>IFERROR(__xludf.DUMMYFUNCTION("""COMPUTED_VALUE"""),"NIETO VALENTIN")</f>
        <v>NIETO VALENTIN</v>
      </c>
      <c r="D2102" s="1" t="str">
        <f>IFERROR(__xludf.DUMMYFUNCTION("""COMPUTED_VALUE"""),"Lentes de STOCK")</f>
        <v>Lentes de STOCK</v>
      </c>
      <c r="E2102" s="1" t="str">
        <f>IFERROR(__xludf.DUMMYFUNCTION("""COMPUTED_VALUE"""),"RIVADAVIA Luciana")</f>
        <v>RIVADAVIA Luciana</v>
      </c>
      <c r="F2102" s="1" t="str">
        <f t="shared" si="1"/>
        <v>RIVADAVIA </v>
      </c>
      <c r="G2102" s="1" t="str">
        <f t="shared" si="2"/>
        <v>Luciana</v>
      </c>
      <c r="H2102" s="1" t="str">
        <f>IFERROR(__xludf.DUMMYFUNCTION("""COMPUTED_VALUE"""),"24/2/2023, 17:00:00")</f>
        <v>24/2/2023, 17:00:00</v>
      </c>
      <c r="I2102" s="1" t="str">
        <f>IFERROR(__xludf.DUMMYFUNCTION("""COMPUTED_VALUE"""),"RETIRADO OK POR CLIENTE")</f>
        <v>RETIRADO OK POR CLIENTE</v>
      </c>
      <c r="J2102" s="1">
        <f t="shared" si="3"/>
        <v>6</v>
      </c>
      <c r="K2102" s="1" t="str">
        <f t="shared" si="4"/>
        <v>Entregamos tus lentes, que los disfrutes!</v>
      </c>
    </row>
    <row r="2103">
      <c r="A2103" s="1">
        <f>IFERROR(__xludf.DUMMYFUNCTION("""COMPUTED_VALUE"""),86651.0)</f>
        <v>86651</v>
      </c>
      <c r="B2103" s="5">
        <f>IFERROR(__xludf.DUMMYFUNCTION("""COMPUTED_VALUE"""),44973.45194561343)</f>
        <v>44973.45195</v>
      </c>
      <c r="C2103" s="1" t="str">
        <f>IFERROR(__xludf.DUMMYFUNCTION("""COMPUTED_VALUE"""),"VELAZQUEZ JESICA")</f>
        <v>VELAZQUEZ JESICA</v>
      </c>
      <c r="D2103" s="1" t="str">
        <f>IFERROR(__xludf.DUMMYFUNCTION("""COMPUTED_VALUE"""),"Lentes de STOCK")</f>
        <v>Lentes de STOCK</v>
      </c>
      <c r="E2103" s="1" t="str">
        <f>IFERROR(__xludf.DUMMYFUNCTION("""COMPUTED_VALUE"""),"ARTIGAS Ivana P.")</f>
        <v>ARTIGAS Ivana P.</v>
      </c>
      <c r="F2103" s="1" t="str">
        <f t="shared" si="1"/>
        <v>ARTIGAS </v>
      </c>
      <c r="G2103" s="1" t="str">
        <f t="shared" si="2"/>
        <v>Ivana P.</v>
      </c>
      <c r="H2103" s="1" t="str">
        <f>IFERROR(__xludf.DUMMYFUNCTION("""COMPUTED_VALUE"""),"22/2/2023, 17:00:00")</f>
        <v>22/2/2023, 17:00:00</v>
      </c>
      <c r="I2103" s="1" t="str">
        <f>IFERROR(__xludf.DUMMYFUNCTION("""COMPUTED_VALUE"""),"RETIRADO OK POR CLIENTE")</f>
        <v>RETIRADO OK POR CLIENTE</v>
      </c>
      <c r="J2103" s="1">
        <f t="shared" si="3"/>
        <v>6</v>
      </c>
      <c r="K2103" s="1" t="str">
        <f t="shared" si="4"/>
        <v>Entregamos tus lentes, que los disfrutes!</v>
      </c>
    </row>
    <row r="2104">
      <c r="A2104" s="1">
        <f>IFERROR(__xludf.DUMMYFUNCTION("""COMPUTED_VALUE"""),86652.0)</f>
        <v>86652</v>
      </c>
      <c r="B2104" s="5">
        <f>IFERROR(__xludf.DUMMYFUNCTION("""COMPUTED_VALUE"""),44973.452485601854)</f>
        <v>44973.45249</v>
      </c>
      <c r="C2104" s="1" t="str">
        <f>IFERROR(__xludf.DUMMYFUNCTION("""COMPUTED_VALUE"""),"MARIA GOMEZ")</f>
        <v>MARIA GOMEZ</v>
      </c>
      <c r="D2104" s="1" t="str">
        <f>IFERROR(__xludf.DUMMYFUNCTION("""COMPUTED_VALUE"""),"Lentes de STOCK")</f>
        <v>Lentes de STOCK</v>
      </c>
      <c r="E2104" s="1" t="str">
        <f>IFERROR(__xludf.DUMMYFUNCTION("""COMPUTED_VALUE"""),"RIVADAVIA Javier")</f>
        <v>RIVADAVIA Javier</v>
      </c>
      <c r="F2104" s="1" t="str">
        <f t="shared" si="1"/>
        <v>RIVADAVIA </v>
      </c>
      <c r="G2104" s="1" t="str">
        <f t="shared" si="2"/>
        <v>Javier</v>
      </c>
      <c r="H2104" s="1" t="str">
        <f>IFERROR(__xludf.DUMMYFUNCTION("""COMPUTED_VALUE"""),"23/2/2023, 17:00:00")</f>
        <v>23/2/2023, 17:00:00</v>
      </c>
      <c r="I2104" s="1" t="str">
        <f>IFERROR(__xludf.DUMMYFUNCTION("""COMPUTED_VALUE"""),"RETIRADO OK POR CLIENTE")</f>
        <v>RETIRADO OK POR CLIENTE</v>
      </c>
      <c r="J2104" s="1">
        <f t="shared" si="3"/>
        <v>6</v>
      </c>
      <c r="K2104" s="1" t="str">
        <f t="shared" si="4"/>
        <v>Entregamos tus lentes, que los disfrutes!</v>
      </c>
    </row>
    <row r="2105">
      <c r="A2105" s="1">
        <f>IFERROR(__xludf.DUMMYFUNCTION("""COMPUTED_VALUE"""),86653.0)</f>
        <v>86653</v>
      </c>
      <c r="B2105" s="5">
        <f>IFERROR(__xludf.DUMMYFUNCTION("""COMPUTED_VALUE"""),44973.45717983796)</f>
        <v>44973.45718</v>
      </c>
      <c r="C2105" s="1" t="str">
        <f>IFERROR(__xludf.DUMMYFUNCTION("""COMPUTED_VALUE"""),"Reta Carla")</f>
        <v>Reta Carla</v>
      </c>
      <c r="D2105" s="1" t="str">
        <f>IFERROR(__xludf.DUMMYFUNCTION("""COMPUTED_VALUE"""),"Reparaciones/Otros")</f>
        <v>Reparaciones/Otros</v>
      </c>
      <c r="E2105" s="1" t="str">
        <f>IFERROR(__xludf.DUMMYFUNCTION("""COMPUTED_VALUE"""),"ARTIGAS Sandra G")</f>
        <v>ARTIGAS Sandra G</v>
      </c>
      <c r="F2105" s="1" t="str">
        <f t="shared" si="1"/>
        <v>ARTIGAS </v>
      </c>
      <c r="G2105" s="1" t="str">
        <f t="shared" si="2"/>
        <v>Sandra G</v>
      </c>
      <c r="H2105" s="1" t="str">
        <f>IFERROR(__xludf.DUMMYFUNCTION("""COMPUTED_VALUE"""),"22/2/2023, 17:00:00")</f>
        <v>22/2/2023, 17:00:00</v>
      </c>
      <c r="I2105" s="1" t="str">
        <f>IFERROR(__xludf.DUMMYFUNCTION("""COMPUTED_VALUE"""),"Completado en SUCURSAL")</f>
        <v>Completado en SUCURSAL</v>
      </c>
      <c r="J2105" s="1">
        <f t="shared" si="3"/>
        <v>5</v>
      </c>
      <c r="K2105" s="1" t="str">
        <f t="shared" si="4"/>
        <v>Tus Lentes estan LISTAS PARA ENTREGAR, te esperamos.</v>
      </c>
    </row>
    <row r="2106">
      <c r="A2106" s="1">
        <f>IFERROR(__xludf.DUMMYFUNCTION("""COMPUTED_VALUE"""),86654.0)</f>
        <v>86654</v>
      </c>
      <c r="B2106" s="5">
        <f>IFERROR(__xludf.DUMMYFUNCTION("""COMPUTED_VALUE"""),44973.45792548612)</f>
        <v>44973.45793</v>
      </c>
      <c r="C2106" s="1" t="str">
        <f>IFERROR(__xludf.DUMMYFUNCTION("""COMPUTED_VALUE"""),"Escudero Buenaventura")</f>
        <v>Escudero Buenaventura</v>
      </c>
      <c r="D2106" s="1" t="str">
        <f>IFERROR(__xludf.DUMMYFUNCTION("""COMPUTED_VALUE"""),"Lentes de STOCK")</f>
        <v>Lentes de STOCK</v>
      </c>
      <c r="E2106" s="1" t="str">
        <f>IFERROR(__xludf.DUMMYFUNCTION("""COMPUTED_VALUE"""),"ARTIGAS Roció")</f>
        <v>ARTIGAS Roció</v>
      </c>
      <c r="F2106" s="1" t="str">
        <f t="shared" si="1"/>
        <v>ARTIGAS </v>
      </c>
      <c r="G2106" s="1" t="str">
        <f t="shared" si="2"/>
        <v>Roció</v>
      </c>
      <c r="H2106" s="1" t="str">
        <f>IFERROR(__xludf.DUMMYFUNCTION("""COMPUTED_VALUE"""),"27/2/2023, 17:00:00")</f>
        <v>27/2/2023, 17:00:00</v>
      </c>
      <c r="I2106" s="1" t="str">
        <f>IFERROR(__xludf.DUMMYFUNCTION("""COMPUTED_VALUE"""),"Completado en SUCURSAL")</f>
        <v>Completado en SUCURSAL</v>
      </c>
      <c r="J2106" s="1">
        <f t="shared" si="3"/>
        <v>5</v>
      </c>
      <c r="K2106" s="1" t="str">
        <f t="shared" si="4"/>
        <v>Tus Lentes estan LISTAS PARA ENTREGAR, te esperamos.</v>
      </c>
    </row>
    <row r="2107">
      <c r="A2107" s="1">
        <f>IFERROR(__xludf.DUMMYFUNCTION("""COMPUTED_VALUE"""),86655.0)</f>
        <v>86655</v>
      </c>
      <c r="B2107" s="5">
        <f>IFERROR(__xludf.DUMMYFUNCTION("""COMPUTED_VALUE"""),44973.46010357639)</f>
        <v>44973.4601</v>
      </c>
      <c r="C2107" s="1" t="str">
        <f>IFERROR(__xludf.DUMMYFUNCTION("""COMPUTED_VALUE"""),"Gimenez Jorge")</f>
        <v>Gimenez Jorge</v>
      </c>
      <c r="D2107" s="1" t="str">
        <f>IFERROR(__xludf.DUMMYFUNCTION("""COMPUTED_VALUE"""),"Reparaciones/Otros")</f>
        <v>Reparaciones/Otros</v>
      </c>
      <c r="E2107" s="1" t="str">
        <f>IFERROR(__xludf.DUMMYFUNCTION("""COMPUTED_VALUE"""),"ARTIGAS Sandra G")</f>
        <v>ARTIGAS Sandra G</v>
      </c>
      <c r="F2107" s="1" t="str">
        <f t="shared" si="1"/>
        <v>ARTIGAS </v>
      </c>
      <c r="G2107" s="1" t="str">
        <f t="shared" si="2"/>
        <v>Sandra G</v>
      </c>
      <c r="H2107" s="1" t="str">
        <f>IFERROR(__xludf.DUMMYFUNCTION("""COMPUTED_VALUE"""),"22/2/2023, 17:00:00")</f>
        <v>22/2/2023, 17:00:00</v>
      </c>
      <c r="I2107" s="1" t="str">
        <f>IFERROR(__xludf.DUMMYFUNCTION("""COMPUTED_VALUE"""),"Completado en SUCURSAL")</f>
        <v>Completado en SUCURSAL</v>
      </c>
      <c r="J2107" s="1">
        <f t="shared" si="3"/>
        <v>5</v>
      </c>
      <c r="K2107" s="1" t="str">
        <f t="shared" si="4"/>
        <v>Tus Lentes estan LISTAS PARA ENTREGAR, te esperamos.</v>
      </c>
    </row>
    <row r="2108">
      <c r="A2108" s="1">
        <f>IFERROR(__xludf.DUMMYFUNCTION("""COMPUTED_VALUE"""),86656.0)</f>
        <v>86656</v>
      </c>
      <c r="B2108" s="5">
        <f>IFERROR(__xludf.DUMMYFUNCTION("""COMPUTED_VALUE"""),44973.46368273148)</f>
        <v>44973.46368</v>
      </c>
      <c r="C2108" s="1" t="str">
        <f>IFERROR(__xludf.DUMMYFUNCTION("""COMPUTED_VALUE"""),"BRAYAN BELTRAN")</f>
        <v>BRAYAN BELTRAN</v>
      </c>
      <c r="D2108" s="1" t="str">
        <f>IFERROR(__xludf.DUMMYFUNCTION("""COMPUTED_VALUE"""),"Reparaciones/Otros")</f>
        <v>Reparaciones/Otros</v>
      </c>
      <c r="E2108" s="1" t="str">
        <f>IFERROR(__xludf.DUMMYFUNCTION("""COMPUTED_VALUE"""),"RIVADAVIA Daniel CM")</f>
        <v>RIVADAVIA Daniel CM</v>
      </c>
      <c r="F2108" s="1" t="str">
        <f t="shared" si="1"/>
        <v>RIVADAVIA </v>
      </c>
      <c r="G2108" s="1" t="str">
        <f t="shared" si="2"/>
        <v>Daniel CM</v>
      </c>
      <c r="H2108" s="1" t="str">
        <f>IFERROR(__xludf.DUMMYFUNCTION("""COMPUTED_VALUE"""),"17/2/2023, 17:00:00")</f>
        <v>17/2/2023, 17:00:00</v>
      </c>
      <c r="I2108" s="1" t="str">
        <f>IFERROR(__xludf.DUMMYFUNCTION("""COMPUTED_VALUE"""),"Completado en SUCURSAL")</f>
        <v>Completado en SUCURSAL</v>
      </c>
      <c r="J2108" s="1">
        <f t="shared" si="3"/>
        <v>5</v>
      </c>
      <c r="K2108" s="1" t="str">
        <f t="shared" si="4"/>
        <v>Tus Lentes estan LISTAS PARA ENTREGAR, te esperamos.</v>
      </c>
    </row>
    <row r="2109">
      <c r="A2109" s="1">
        <f>IFERROR(__xludf.DUMMYFUNCTION("""COMPUTED_VALUE"""),86657.0)</f>
        <v>86657</v>
      </c>
      <c r="B2109" s="5">
        <f>IFERROR(__xludf.DUMMYFUNCTION("""COMPUTED_VALUE"""),44973.46935555556)</f>
        <v>44973.46936</v>
      </c>
      <c r="C2109" s="1" t="str">
        <f>IFERROR(__xludf.DUMMYFUNCTION("""COMPUTED_VALUE"""),"Marturano Yael")</f>
        <v>Marturano Yael</v>
      </c>
      <c r="D2109" s="1" t="str">
        <f>IFERROR(__xludf.DUMMYFUNCTION("""COMPUTED_VALUE"""),"Reparaciones/Otros")</f>
        <v>Reparaciones/Otros</v>
      </c>
      <c r="E2109" s="1" t="str">
        <f>IFERROR(__xludf.DUMMYFUNCTION("""COMPUTED_VALUE"""),"ARTIGAS Sandra G")</f>
        <v>ARTIGAS Sandra G</v>
      </c>
      <c r="F2109" s="1" t="str">
        <f t="shared" si="1"/>
        <v>ARTIGAS </v>
      </c>
      <c r="G2109" s="1" t="str">
        <f t="shared" si="2"/>
        <v>Sandra G</v>
      </c>
      <c r="H2109" s="1" t="str">
        <f>IFERROR(__xludf.DUMMYFUNCTION("""COMPUTED_VALUE"""),"22/2/2023, 17:00:00")</f>
        <v>22/2/2023, 17:00:00</v>
      </c>
      <c r="I2109" s="1" t="str">
        <f>IFERROR(__xludf.DUMMYFUNCTION("""COMPUTED_VALUE"""),"Completado en SUCURSAL")</f>
        <v>Completado en SUCURSAL</v>
      </c>
      <c r="J2109" s="1">
        <f t="shared" si="3"/>
        <v>5</v>
      </c>
      <c r="K2109" s="1" t="str">
        <f t="shared" si="4"/>
        <v>Tus Lentes estan LISTAS PARA ENTREGAR, te esperamos.</v>
      </c>
    </row>
    <row r="2110">
      <c r="A2110" s="1">
        <f>IFERROR(__xludf.DUMMYFUNCTION("""COMPUTED_VALUE"""),86658.0)</f>
        <v>86658</v>
      </c>
      <c r="B2110" s="5">
        <f>IFERROR(__xludf.DUMMYFUNCTION("""COMPUTED_VALUE"""),44973.47090721065)</f>
        <v>44973.47091</v>
      </c>
      <c r="C2110" s="1" t="str">
        <f>IFERROR(__xludf.DUMMYFUNCTION("""COMPUTED_VALUE"""),"JOSE SCHVAGER")</f>
        <v>JOSE SCHVAGER</v>
      </c>
      <c r="D2110" s="1" t="str">
        <f>IFERROR(__xludf.DUMMYFUNCTION("""COMPUTED_VALUE"""),"Reparaciones/Otros")</f>
        <v>Reparaciones/Otros</v>
      </c>
      <c r="E2110" s="1" t="str">
        <f>IFERROR(__xludf.DUMMYFUNCTION("""COMPUTED_VALUE"""),"RIVADAVIA Javier")</f>
        <v>RIVADAVIA Javier</v>
      </c>
      <c r="F2110" s="1" t="str">
        <f t="shared" si="1"/>
        <v>RIVADAVIA </v>
      </c>
      <c r="G2110" s="1" t="str">
        <f t="shared" si="2"/>
        <v>Javier</v>
      </c>
      <c r="H2110" s="1" t="str">
        <f>IFERROR(__xludf.DUMMYFUNCTION("""COMPUTED_VALUE"""),"17/2/2023, 17:00:00")</f>
        <v>17/2/2023, 17:00:00</v>
      </c>
      <c r="I2110" s="1" t="str">
        <f>IFERROR(__xludf.DUMMYFUNCTION("""COMPUTED_VALUE"""),"Recibido en Laboratorio")</f>
        <v>Recibido en Laboratorio</v>
      </c>
      <c r="J2110" s="1">
        <f t="shared" si="3"/>
        <v>2</v>
      </c>
      <c r="K2110" s="1" t="str">
        <f t="shared" si="4"/>
        <v>Nuestro Laboratorio esta trabajando en tus lentes, los entregaremos en la fecha acordada.</v>
      </c>
    </row>
    <row r="2111">
      <c r="A2111" s="1">
        <f>IFERROR(__xludf.DUMMYFUNCTION("""COMPUTED_VALUE"""),86659.0)</f>
        <v>86659</v>
      </c>
      <c r="B2111" s="5">
        <f>IFERROR(__xludf.DUMMYFUNCTION("""COMPUTED_VALUE"""),44973.476302546296)</f>
        <v>44973.4763</v>
      </c>
      <c r="C2111" s="1" t="str">
        <f>IFERROR(__xludf.DUMMYFUNCTION("""COMPUTED_VALUE"""),"Dominguez Livia")</f>
        <v>Dominguez Livia</v>
      </c>
      <c r="D2111" s="1" t="str">
        <f>IFERROR(__xludf.DUMMYFUNCTION("""COMPUTED_VALUE"""),"Lentes MULTIFOCALES")</f>
        <v>Lentes MULTIFOCALES</v>
      </c>
      <c r="E2111" s="1" t="str">
        <f>IFERROR(__xludf.DUMMYFUNCTION("""COMPUTED_VALUE"""),"ARTIGAS Roció")</f>
        <v>ARTIGAS Roció</v>
      </c>
      <c r="F2111" s="1" t="str">
        <f t="shared" si="1"/>
        <v>ARTIGAS </v>
      </c>
      <c r="G2111" s="1" t="str">
        <f t="shared" si="2"/>
        <v>Roció</v>
      </c>
      <c r="H2111" s="1" t="str">
        <f>IFERROR(__xludf.DUMMYFUNCTION("""COMPUTED_VALUE"""),"1/3/2023, 17:00:00")</f>
        <v>1/3/2023, 17:00:00</v>
      </c>
      <c r="I2111" s="1"/>
      <c r="J2111" s="1">
        <f t="shared" si="3"/>
        <v>0</v>
      </c>
      <c r="K2111" s="1" t="str">
        <f t="shared" si="4"/>
        <v/>
      </c>
    </row>
    <row r="2112">
      <c r="A2112" s="1">
        <f>IFERROR(__xludf.DUMMYFUNCTION("""COMPUTED_VALUE"""),86660.0)</f>
        <v>86660</v>
      </c>
      <c r="B2112" s="5">
        <f>IFERROR(__xludf.DUMMYFUNCTION("""COMPUTED_VALUE"""),44973.479416898146)</f>
        <v>44973.47942</v>
      </c>
      <c r="C2112" s="1" t="str">
        <f>IFERROR(__xludf.DUMMYFUNCTION("""COMPUTED_VALUE"""),"PIZARRO CRUZ")</f>
        <v>PIZARRO CRUZ</v>
      </c>
      <c r="D2112" s="1" t="str">
        <f>IFERROR(__xludf.DUMMYFUNCTION("""COMPUTED_VALUE"""),"Lentes de STOCK")</f>
        <v>Lentes de STOCK</v>
      </c>
      <c r="E2112" s="1" t="str">
        <f>IFERROR(__xludf.DUMMYFUNCTION("""COMPUTED_VALUE"""),"RIVADAVIA Javier")</f>
        <v>RIVADAVIA Javier</v>
      </c>
      <c r="F2112" s="1" t="str">
        <f t="shared" si="1"/>
        <v>RIVADAVIA </v>
      </c>
      <c r="G2112" s="1" t="str">
        <f t="shared" si="2"/>
        <v>Javier</v>
      </c>
      <c r="H2112" s="1" t="str">
        <f>IFERROR(__xludf.DUMMYFUNCTION("""COMPUTED_VALUE"""),"28/2/2023, 17:00:00")</f>
        <v>28/2/2023, 17:00:00</v>
      </c>
      <c r="I2112" s="1" t="str">
        <f>IFERROR(__xludf.DUMMYFUNCTION("""COMPUTED_VALUE"""),"Completado en SUCURSAL")</f>
        <v>Completado en SUCURSAL</v>
      </c>
      <c r="J2112" s="1">
        <f t="shared" si="3"/>
        <v>5</v>
      </c>
      <c r="K2112" s="1" t="str">
        <f t="shared" si="4"/>
        <v>Tus Lentes estan LISTAS PARA ENTREGAR, te esperamos.</v>
      </c>
    </row>
    <row r="2113">
      <c r="A2113" s="1">
        <f>IFERROR(__xludf.DUMMYFUNCTION("""COMPUTED_VALUE"""),86661.0)</f>
        <v>86661</v>
      </c>
      <c r="B2113" s="5">
        <f>IFERROR(__xludf.DUMMYFUNCTION("""COMPUTED_VALUE"""),44973.48108498842)</f>
        <v>44973.48108</v>
      </c>
      <c r="C2113" s="1" t="str">
        <f>IFERROR(__xludf.DUMMYFUNCTION("""COMPUTED_VALUE"""),"Cabrera Eva")</f>
        <v>Cabrera Eva</v>
      </c>
      <c r="D2113" s="1" t="str">
        <f>IFERROR(__xludf.DUMMYFUNCTION("""COMPUTED_VALUE"""),"Reparaciones/Otros")</f>
        <v>Reparaciones/Otros</v>
      </c>
      <c r="E2113" s="1" t="str">
        <f>IFERROR(__xludf.DUMMYFUNCTION("""COMPUTED_VALUE"""),"ARTIGAS Sandra G")</f>
        <v>ARTIGAS Sandra G</v>
      </c>
      <c r="F2113" s="1" t="str">
        <f t="shared" si="1"/>
        <v>ARTIGAS </v>
      </c>
      <c r="G2113" s="1" t="str">
        <f t="shared" si="2"/>
        <v>Sandra G</v>
      </c>
      <c r="H2113" s="1" t="str">
        <f>IFERROR(__xludf.DUMMYFUNCTION("""COMPUTED_VALUE"""),"22/2/2023, 17:00:00")</f>
        <v>22/2/2023, 17:00:00</v>
      </c>
      <c r="I2113" s="1" t="str">
        <f>IFERROR(__xludf.DUMMYFUNCTION("""COMPUTED_VALUE"""),"Completado en SUCURSAL")</f>
        <v>Completado en SUCURSAL</v>
      </c>
      <c r="J2113" s="1">
        <f t="shared" si="3"/>
        <v>5</v>
      </c>
      <c r="K2113" s="1" t="str">
        <f t="shared" si="4"/>
        <v>Tus Lentes estan LISTAS PARA ENTREGAR, te esperamos.</v>
      </c>
    </row>
    <row r="2114">
      <c r="A2114" s="1">
        <f>IFERROR(__xludf.DUMMYFUNCTION("""COMPUTED_VALUE"""),86662.0)</f>
        <v>86662</v>
      </c>
      <c r="B2114" s="5">
        <f>IFERROR(__xludf.DUMMYFUNCTION("""COMPUTED_VALUE"""),44973.48692229167)</f>
        <v>44973.48692</v>
      </c>
      <c r="C2114" s="1" t="str">
        <f>IFERROR(__xludf.DUMMYFUNCTION("""COMPUTED_VALUE"""),"GHIBAUDO GUSTAVO JOSE")</f>
        <v>GHIBAUDO GUSTAVO JOSE</v>
      </c>
      <c r="D2114" s="1" t="str">
        <f>IFERROR(__xludf.DUMMYFUNCTION("""COMPUTED_VALUE"""),"Lentes MULTIFOCALES")</f>
        <v>Lentes MULTIFOCALES</v>
      </c>
      <c r="E2114" s="1" t="str">
        <f>IFERROR(__xludf.DUMMYFUNCTION("""COMPUTED_VALUE"""),"RIVADAVIA Santiago N")</f>
        <v>RIVADAVIA Santiago N</v>
      </c>
      <c r="F2114" s="1" t="str">
        <f t="shared" si="1"/>
        <v>RIVADAVIA </v>
      </c>
      <c r="G2114" s="1" t="str">
        <f t="shared" si="2"/>
        <v>Santiago N</v>
      </c>
      <c r="H2114" s="1" t="str">
        <f>IFERROR(__xludf.DUMMYFUNCTION("""COMPUTED_VALUE"""),"22/2/2023, 17:00:00")</f>
        <v>22/2/2023, 17:00:00</v>
      </c>
      <c r="I2114" s="1" t="str">
        <f>IFERROR(__xludf.DUMMYFUNCTION("""COMPUTED_VALUE"""),"Completado en SUCURSAL")</f>
        <v>Completado en SUCURSAL</v>
      </c>
      <c r="J2114" s="1">
        <f t="shared" si="3"/>
        <v>5</v>
      </c>
      <c r="K2114" s="1" t="str">
        <f t="shared" si="4"/>
        <v>Tus Lentes estan LISTAS PARA ENTREGAR, te esperamos.</v>
      </c>
    </row>
    <row r="2115">
      <c r="A2115" s="1">
        <f>IFERROR(__xludf.DUMMYFUNCTION("""COMPUTED_VALUE"""),86663.0)</f>
        <v>86663</v>
      </c>
      <c r="B2115" s="5">
        <f>IFERROR(__xludf.DUMMYFUNCTION("""COMPUTED_VALUE"""),44973.48863475694)</f>
        <v>44973.48863</v>
      </c>
      <c r="C2115" s="1" t="str">
        <f>IFERROR(__xludf.DUMMYFUNCTION("""COMPUTED_VALUE"""),"SOSA NESTOR")</f>
        <v>SOSA NESTOR</v>
      </c>
      <c r="D2115" s="1" t="str">
        <f>IFERROR(__xludf.DUMMYFUNCTION("""COMPUTED_VALUE"""),"Lentes de STOCK")</f>
        <v>Lentes de STOCK</v>
      </c>
      <c r="E2115" s="1" t="str">
        <f>IFERROR(__xludf.DUMMYFUNCTION("""COMPUTED_VALUE"""),"RIVADAVIA Luciana")</f>
        <v>RIVADAVIA Luciana</v>
      </c>
      <c r="F2115" s="1" t="str">
        <f t="shared" si="1"/>
        <v>RIVADAVIA </v>
      </c>
      <c r="G2115" s="1" t="str">
        <f t="shared" si="2"/>
        <v>Luciana</v>
      </c>
      <c r="H2115" s="1" t="str">
        <f>IFERROR(__xludf.DUMMYFUNCTION("""COMPUTED_VALUE"""),"24/2/2023, 17:00:00")</f>
        <v>24/2/2023, 17:00:00</v>
      </c>
      <c r="I2115" s="1" t="str">
        <f>IFERROR(__xludf.DUMMYFUNCTION("""COMPUTED_VALUE"""),"Recibido en Laboratorio")</f>
        <v>Recibido en Laboratorio</v>
      </c>
      <c r="J2115" s="1">
        <f t="shared" si="3"/>
        <v>2</v>
      </c>
      <c r="K2115" s="1" t="str">
        <f t="shared" si="4"/>
        <v>Nuestro Laboratorio esta trabajando en tus lentes, los entregaremos en la fecha acordada.</v>
      </c>
    </row>
    <row r="2116">
      <c r="A2116" s="1">
        <f>IFERROR(__xludf.DUMMYFUNCTION("""COMPUTED_VALUE"""),86664.0)</f>
        <v>86664</v>
      </c>
      <c r="B2116" s="5">
        <f>IFERROR(__xludf.DUMMYFUNCTION("""COMPUTED_VALUE"""),44973.492221493056)</f>
        <v>44973.49222</v>
      </c>
      <c r="C2116" s="1" t="str">
        <f>IFERROR(__xludf.DUMMYFUNCTION("""COMPUTED_VALUE"""),"GARRO EDGAR")</f>
        <v>GARRO EDGAR</v>
      </c>
      <c r="D2116" s="1" t="str">
        <f>IFERROR(__xludf.DUMMYFUNCTION("""COMPUTED_VALUE"""),"Lentes de STOCK")</f>
        <v>Lentes de STOCK</v>
      </c>
      <c r="E2116" s="1" t="str">
        <f>IFERROR(__xludf.DUMMYFUNCTION("""COMPUTED_VALUE"""),"RIVADAVIA Luciana")</f>
        <v>RIVADAVIA Luciana</v>
      </c>
      <c r="F2116" s="1" t="str">
        <f t="shared" si="1"/>
        <v>RIVADAVIA </v>
      </c>
      <c r="G2116" s="1" t="str">
        <f t="shared" si="2"/>
        <v>Luciana</v>
      </c>
      <c r="H2116" s="1" t="str">
        <f>IFERROR(__xludf.DUMMYFUNCTION("""COMPUTED_VALUE"""),"24/2/2023, 17:00:00")</f>
        <v>24/2/2023, 17:00:00</v>
      </c>
      <c r="I2116" s="1" t="str">
        <f>IFERROR(__xludf.DUMMYFUNCTION("""COMPUTED_VALUE"""),"Recibido en Laboratorio")</f>
        <v>Recibido en Laboratorio</v>
      </c>
      <c r="J2116" s="1">
        <f t="shared" si="3"/>
        <v>2</v>
      </c>
      <c r="K2116" s="1" t="str">
        <f t="shared" si="4"/>
        <v>Nuestro Laboratorio esta trabajando en tus lentes, los entregaremos en la fecha acordada.</v>
      </c>
    </row>
    <row r="2117">
      <c r="A2117" s="1">
        <f>IFERROR(__xludf.DUMMYFUNCTION("""COMPUTED_VALUE"""),86665.0)</f>
        <v>86665</v>
      </c>
      <c r="B2117" s="5">
        <f>IFERROR(__xludf.DUMMYFUNCTION("""COMPUTED_VALUE"""),44973.497443125)</f>
        <v>44973.49744</v>
      </c>
      <c r="C2117" s="1" t="str">
        <f>IFERROR(__xludf.DUMMYFUNCTION("""COMPUTED_VALUE"""),"Villegas Adriana Noemi")</f>
        <v>Villegas Adriana Noemi</v>
      </c>
      <c r="D2117" s="1" t="str">
        <f>IFERROR(__xludf.DUMMYFUNCTION("""COMPUTED_VALUE"""),"Lentes de STOCK")</f>
        <v>Lentes de STOCK</v>
      </c>
      <c r="E2117" s="1" t="str">
        <f>IFERROR(__xludf.DUMMYFUNCTION("""COMPUTED_VALUE"""),"ARTIGAS Roció")</f>
        <v>ARTIGAS Roció</v>
      </c>
      <c r="F2117" s="1" t="str">
        <f t="shared" si="1"/>
        <v>ARTIGAS </v>
      </c>
      <c r="G2117" s="1" t="str">
        <f t="shared" si="2"/>
        <v>Roció</v>
      </c>
      <c r="H2117" s="1" t="str">
        <f>IFERROR(__xludf.DUMMYFUNCTION("""COMPUTED_VALUE"""),"24/2/2023, 17:00:00")</f>
        <v>24/2/2023, 17:00:00</v>
      </c>
      <c r="I2117" s="1" t="str">
        <f>IFERROR(__xludf.DUMMYFUNCTION("""COMPUTED_VALUE"""),"Completado en SUCURSAL")</f>
        <v>Completado en SUCURSAL</v>
      </c>
      <c r="J2117" s="1">
        <f t="shared" si="3"/>
        <v>5</v>
      </c>
      <c r="K2117" s="1" t="str">
        <f t="shared" si="4"/>
        <v>Tus Lentes estan LISTAS PARA ENTREGAR, te esperamos.</v>
      </c>
    </row>
    <row r="2118">
      <c r="A2118" s="1">
        <f>IFERROR(__xludf.DUMMYFUNCTION("""COMPUTED_VALUE"""),86666.0)</f>
        <v>86666</v>
      </c>
      <c r="B2118" s="5">
        <f>IFERROR(__xludf.DUMMYFUNCTION("""COMPUTED_VALUE"""),44973.49749818287)</f>
        <v>44973.4975</v>
      </c>
      <c r="C2118" s="1" t="str">
        <f>IFERROR(__xludf.DUMMYFUNCTION("""COMPUTED_VALUE"""),"PALACIOS VIRGINIA")</f>
        <v>PALACIOS VIRGINIA</v>
      </c>
      <c r="D2118" s="1" t="str">
        <f>IFERROR(__xludf.DUMMYFUNCTION("""COMPUTED_VALUE"""),"Lentes de STOCK")</f>
        <v>Lentes de STOCK</v>
      </c>
      <c r="E2118" s="1" t="str">
        <f>IFERROR(__xludf.DUMMYFUNCTION("""COMPUTED_VALUE"""),"RIVADAVIA Santiago N")</f>
        <v>RIVADAVIA Santiago N</v>
      </c>
      <c r="F2118" s="1" t="str">
        <f t="shared" si="1"/>
        <v>RIVADAVIA </v>
      </c>
      <c r="G2118" s="1" t="str">
        <f t="shared" si="2"/>
        <v>Santiago N</v>
      </c>
      <c r="H2118" s="1" t="str">
        <f>IFERROR(__xludf.DUMMYFUNCTION("""COMPUTED_VALUE"""),"22/2/2023, 17:00:00")</f>
        <v>22/2/2023, 17:00:00</v>
      </c>
      <c r="I2118" s="1" t="str">
        <f>IFERROR(__xludf.DUMMYFUNCTION("""COMPUTED_VALUE"""),"Completado en SUCURSAL")</f>
        <v>Completado en SUCURSAL</v>
      </c>
      <c r="J2118" s="1">
        <f t="shared" si="3"/>
        <v>5</v>
      </c>
      <c r="K2118" s="1" t="str">
        <f t="shared" si="4"/>
        <v>Tus Lentes estan LISTAS PARA ENTREGAR, te esperamos.</v>
      </c>
    </row>
    <row r="2119">
      <c r="A2119" s="1">
        <f>IFERROR(__xludf.DUMMYFUNCTION("""COMPUTED_VALUE"""),86667.0)</f>
        <v>86667</v>
      </c>
      <c r="B2119" s="5">
        <f>IFERROR(__xludf.DUMMYFUNCTION("""COMPUTED_VALUE"""),44973.501946261575)</f>
        <v>44973.50195</v>
      </c>
      <c r="C2119" s="1" t="str">
        <f>IFERROR(__xludf.DUMMYFUNCTION("""COMPUTED_VALUE"""),"MIRANDA RITA")</f>
        <v>MIRANDA RITA</v>
      </c>
      <c r="D2119" s="1" t="str">
        <f>IFERROR(__xludf.DUMMYFUNCTION("""COMPUTED_VALUE"""),"Lentes de LABORATORIO")</f>
        <v>Lentes de LABORATORIO</v>
      </c>
      <c r="E2119" s="1" t="str">
        <f>IFERROR(__xludf.DUMMYFUNCTION("""COMPUTED_VALUE"""),"ARTIGAS Ivana P.")</f>
        <v>ARTIGAS Ivana P.</v>
      </c>
      <c r="F2119" s="1" t="str">
        <f t="shared" si="1"/>
        <v>ARTIGAS </v>
      </c>
      <c r="G2119" s="1" t="str">
        <f t="shared" si="2"/>
        <v>Ivana P.</v>
      </c>
      <c r="H2119" s="1" t="str">
        <f>IFERROR(__xludf.DUMMYFUNCTION("""COMPUTED_VALUE"""),"23/2/2023, 17:00:00")</f>
        <v>23/2/2023, 17:00:00</v>
      </c>
      <c r="I2119" s="1" t="str">
        <f>IFERROR(__xludf.DUMMYFUNCTION("""COMPUTED_VALUE"""),"RETIRADO OK POR CLIENTE")</f>
        <v>RETIRADO OK POR CLIENTE</v>
      </c>
      <c r="J2119" s="1">
        <f t="shared" si="3"/>
        <v>6</v>
      </c>
      <c r="K2119" s="1" t="str">
        <f t="shared" si="4"/>
        <v>Entregamos tus lentes, que los disfrutes!</v>
      </c>
    </row>
    <row r="2120">
      <c r="A2120" s="1">
        <f>IFERROR(__xludf.DUMMYFUNCTION("""COMPUTED_VALUE"""),86668.0)</f>
        <v>86668</v>
      </c>
      <c r="B2120" s="5">
        <f>IFERROR(__xludf.DUMMYFUNCTION("""COMPUTED_VALUE"""),44973.50226474537)</f>
        <v>44973.50226</v>
      </c>
      <c r="C2120" s="1" t="str">
        <f>IFERROR(__xludf.DUMMYFUNCTION("""COMPUTED_VALUE"""),"ricarte yanina")</f>
        <v>ricarte yanina</v>
      </c>
      <c r="D2120" s="1" t="str">
        <f>IFERROR(__xludf.DUMMYFUNCTION("""COMPUTED_VALUE"""),"Reparaciones/Otros")</f>
        <v>Reparaciones/Otros</v>
      </c>
      <c r="E2120" s="1" t="str">
        <f>IFERROR(__xludf.DUMMYFUNCTION("""COMPUTED_VALUE"""),"RIVADAVIA Santiago N")</f>
        <v>RIVADAVIA Santiago N</v>
      </c>
      <c r="F2120" s="1" t="str">
        <f t="shared" si="1"/>
        <v>RIVADAVIA </v>
      </c>
      <c r="G2120" s="1" t="str">
        <f t="shared" si="2"/>
        <v>Santiago N</v>
      </c>
      <c r="H2120" s="1" t="str">
        <f>IFERROR(__xludf.DUMMYFUNCTION("""COMPUTED_VALUE"""),"17/2/2023, 17:00:00")</f>
        <v>17/2/2023, 17:00:00</v>
      </c>
      <c r="I2120" s="1" t="str">
        <f>IFERROR(__xludf.DUMMYFUNCTION("""COMPUTED_VALUE"""),"Completado en SUCURSAL")</f>
        <v>Completado en SUCURSAL</v>
      </c>
      <c r="J2120" s="1">
        <f t="shared" si="3"/>
        <v>5</v>
      </c>
      <c r="K2120" s="1" t="str">
        <f t="shared" si="4"/>
        <v>Tus Lentes estan LISTAS PARA ENTREGAR, te esperamos.</v>
      </c>
    </row>
    <row r="2121">
      <c r="A2121" s="1">
        <f>IFERROR(__xludf.DUMMYFUNCTION("""COMPUTED_VALUE"""),86669.0)</f>
        <v>86669</v>
      </c>
      <c r="B2121" s="5">
        <f>IFERROR(__xludf.DUMMYFUNCTION("""COMPUTED_VALUE"""),44973.508656736114)</f>
        <v>44973.50866</v>
      </c>
      <c r="C2121" s="1" t="str">
        <f>IFERROR(__xludf.DUMMYFUNCTION("""COMPUTED_VALUE"""),"Becerra Stella")</f>
        <v>Becerra Stella</v>
      </c>
      <c r="D2121" s="1" t="str">
        <f>IFERROR(__xludf.DUMMYFUNCTION("""COMPUTED_VALUE"""),"Lentes de STOCK")</f>
        <v>Lentes de STOCK</v>
      </c>
      <c r="E2121" s="1" t="str">
        <f>IFERROR(__xludf.DUMMYFUNCTION("""COMPUTED_VALUE"""),"RIVADAVIA Santiago N")</f>
        <v>RIVADAVIA Santiago N</v>
      </c>
      <c r="F2121" s="1" t="str">
        <f t="shared" si="1"/>
        <v>RIVADAVIA </v>
      </c>
      <c r="G2121" s="1" t="str">
        <f t="shared" si="2"/>
        <v>Santiago N</v>
      </c>
      <c r="H2121" s="1" t="str">
        <f>IFERROR(__xludf.DUMMYFUNCTION("""COMPUTED_VALUE"""),"18/2/2023, 17:00:00")</f>
        <v>18/2/2023, 17:00:00</v>
      </c>
      <c r="I2121" s="1" t="str">
        <f>IFERROR(__xludf.DUMMYFUNCTION("""COMPUTED_VALUE"""),"RETIRADO OK POR CLIENTE")</f>
        <v>RETIRADO OK POR CLIENTE</v>
      </c>
      <c r="J2121" s="1">
        <f t="shared" si="3"/>
        <v>6</v>
      </c>
      <c r="K2121" s="1" t="str">
        <f t="shared" si="4"/>
        <v>Entregamos tus lentes, que los disfrutes!</v>
      </c>
    </row>
    <row r="2122">
      <c r="A2122" s="1">
        <f>IFERROR(__xludf.DUMMYFUNCTION("""COMPUTED_VALUE"""),86670.0)</f>
        <v>86670</v>
      </c>
      <c r="B2122" s="5">
        <f>IFERROR(__xludf.DUMMYFUNCTION("""COMPUTED_VALUE"""),44973.51735100694)</f>
        <v>44973.51735</v>
      </c>
      <c r="C2122" s="1" t="str">
        <f>IFERROR(__xludf.DUMMYFUNCTION("""COMPUTED_VALUE"""),"LUCERO SANTINO")</f>
        <v>LUCERO SANTINO</v>
      </c>
      <c r="D2122" s="1" t="str">
        <f>IFERROR(__xludf.DUMMYFUNCTION("""COMPUTED_VALUE"""),"Lentes de LABORATORIO")</f>
        <v>Lentes de LABORATORIO</v>
      </c>
      <c r="E2122" s="1" t="str">
        <f>IFERROR(__xludf.DUMMYFUNCTION("""COMPUTED_VALUE"""),"ARTIGAS Roció")</f>
        <v>ARTIGAS Roció</v>
      </c>
      <c r="F2122" s="1" t="str">
        <f t="shared" si="1"/>
        <v>ARTIGAS </v>
      </c>
      <c r="G2122" s="1" t="str">
        <f t="shared" si="2"/>
        <v>Roció</v>
      </c>
      <c r="H2122" s="1" t="str">
        <f>IFERROR(__xludf.DUMMYFUNCTION("""COMPUTED_VALUE"""),"3/3/2023, 17:00:00")</f>
        <v>3/3/2023, 17:00:00</v>
      </c>
      <c r="I2122" s="1" t="str">
        <f>IFERROR(__xludf.DUMMYFUNCTION("""COMPUTED_VALUE"""),"Recibido en Laboratorio")</f>
        <v>Recibido en Laboratorio</v>
      </c>
      <c r="J2122" s="1">
        <f t="shared" si="3"/>
        <v>2</v>
      </c>
      <c r="K2122" s="1" t="str">
        <f t="shared" si="4"/>
        <v>Nuestro Laboratorio esta trabajando en tus lentes, los entregaremos en la fecha acordada.</v>
      </c>
    </row>
    <row r="2123">
      <c r="A2123" s="1">
        <f>IFERROR(__xludf.DUMMYFUNCTION("""COMPUTED_VALUE"""),86671.0)</f>
        <v>86671</v>
      </c>
      <c r="B2123" s="5">
        <f>IFERROR(__xludf.DUMMYFUNCTION("""COMPUTED_VALUE"""),44973.522713321756)</f>
        <v>44973.52271</v>
      </c>
      <c r="C2123" s="1" t="str">
        <f>IFERROR(__xludf.DUMMYFUNCTION("""COMPUTED_VALUE"""),"MARIN ANIVAL")</f>
        <v>MARIN ANIVAL</v>
      </c>
      <c r="D2123" s="1" t="str">
        <f>IFERROR(__xludf.DUMMYFUNCTION("""COMPUTED_VALUE"""),"Lentes BIFOCALES")</f>
        <v>Lentes BIFOCALES</v>
      </c>
      <c r="E2123" s="1" t="str">
        <f>IFERROR(__xludf.DUMMYFUNCTION("""COMPUTED_VALUE"""),"RIVADAVIA Daniel CM")</f>
        <v>RIVADAVIA Daniel CM</v>
      </c>
      <c r="F2123" s="1" t="str">
        <f t="shared" si="1"/>
        <v>RIVADAVIA </v>
      </c>
      <c r="G2123" s="1" t="str">
        <f t="shared" si="2"/>
        <v>Daniel CM</v>
      </c>
      <c r="H2123" s="1" t="str">
        <f>IFERROR(__xludf.DUMMYFUNCTION("""COMPUTED_VALUE"""),"24/2/2023, 17:00:00")</f>
        <v>24/2/2023, 17:00:00</v>
      </c>
      <c r="I2123" s="1" t="str">
        <f>IFERROR(__xludf.DUMMYFUNCTION("""COMPUTED_VALUE"""),"Recibido en Laboratorio")</f>
        <v>Recibido en Laboratorio</v>
      </c>
      <c r="J2123" s="1">
        <f t="shared" si="3"/>
        <v>2</v>
      </c>
      <c r="K2123" s="1" t="str">
        <f t="shared" si="4"/>
        <v>Nuestro Laboratorio esta trabajando en tus lentes, los entregaremos en la fecha acordada.</v>
      </c>
    </row>
    <row r="2124">
      <c r="A2124" s="1">
        <f>IFERROR(__xludf.DUMMYFUNCTION("""COMPUTED_VALUE"""),86672.0)</f>
        <v>86672</v>
      </c>
      <c r="B2124" s="5">
        <f>IFERROR(__xludf.DUMMYFUNCTION("""COMPUTED_VALUE"""),44973.52856898148)</f>
        <v>44973.52857</v>
      </c>
      <c r="C2124" s="1" t="str">
        <f>IFERROR(__xludf.DUMMYFUNCTION("""COMPUTED_VALUE"""),"gutierrez lorena andrea")</f>
        <v>gutierrez lorena andrea</v>
      </c>
      <c r="D2124" s="1" t="str">
        <f>IFERROR(__xludf.DUMMYFUNCTION("""COMPUTED_VALUE"""),"Reparaciones/Otros")</f>
        <v>Reparaciones/Otros</v>
      </c>
      <c r="E2124" s="1" t="str">
        <f>IFERROR(__xludf.DUMMYFUNCTION("""COMPUTED_VALUE"""),"RIVADAVIA Daniel CM")</f>
        <v>RIVADAVIA Daniel CM</v>
      </c>
      <c r="F2124" s="1" t="str">
        <f t="shared" si="1"/>
        <v>RIVADAVIA </v>
      </c>
      <c r="G2124" s="1" t="str">
        <f t="shared" si="2"/>
        <v>Daniel CM</v>
      </c>
      <c r="H2124" s="1" t="str">
        <f>IFERROR(__xludf.DUMMYFUNCTION("""COMPUTED_VALUE"""),"17/2/2023, 17:00:00")</f>
        <v>17/2/2023, 17:00:00</v>
      </c>
      <c r="I2124" s="1" t="str">
        <f>IFERROR(__xludf.DUMMYFUNCTION("""COMPUTED_VALUE"""),"Completado en SUCURSAL")</f>
        <v>Completado en SUCURSAL</v>
      </c>
      <c r="J2124" s="1">
        <f t="shared" si="3"/>
        <v>5</v>
      </c>
      <c r="K2124" s="1" t="str">
        <f t="shared" si="4"/>
        <v>Tus Lentes estan LISTAS PARA ENTREGAR, te esperamos.</v>
      </c>
    </row>
    <row r="2125">
      <c r="A2125" s="1">
        <f>IFERROR(__xludf.DUMMYFUNCTION("""COMPUTED_VALUE"""),86673.0)</f>
        <v>86673</v>
      </c>
      <c r="B2125" s="5">
        <f>IFERROR(__xludf.DUMMYFUNCTION("""COMPUTED_VALUE"""),44973.529076886574)</f>
        <v>44973.52908</v>
      </c>
      <c r="C2125" s="1" t="str">
        <f>IFERROR(__xludf.DUMMYFUNCTION("""COMPUTED_VALUE"""),"ISMAEL LUIS ROBERTO")</f>
        <v>ISMAEL LUIS ROBERTO</v>
      </c>
      <c r="D2125" s="1" t="str">
        <f>IFERROR(__xludf.DUMMYFUNCTION("""COMPUTED_VALUE"""),"Lentes BIFOCALES")</f>
        <v>Lentes BIFOCALES</v>
      </c>
      <c r="E2125" s="1" t="str">
        <f>IFERROR(__xludf.DUMMYFUNCTION("""COMPUTED_VALUE"""),"RIVADAVIA Javier")</f>
        <v>RIVADAVIA Javier</v>
      </c>
      <c r="F2125" s="1" t="str">
        <f t="shared" si="1"/>
        <v>RIVADAVIA </v>
      </c>
      <c r="G2125" s="1" t="str">
        <f t="shared" si="2"/>
        <v>Javier</v>
      </c>
      <c r="H2125" s="1" t="str">
        <f>IFERROR(__xludf.DUMMYFUNCTION("""COMPUTED_VALUE"""),"28/2/2023, 17:00:00")</f>
        <v>28/2/2023, 17:00:00</v>
      </c>
      <c r="I2125" s="1" t="str">
        <f>IFERROR(__xludf.DUMMYFUNCTION("""COMPUTED_VALUE"""),"Recibido en Laboratorio")</f>
        <v>Recibido en Laboratorio</v>
      </c>
      <c r="J2125" s="1">
        <f t="shared" si="3"/>
        <v>2</v>
      </c>
      <c r="K2125" s="1" t="str">
        <f t="shared" si="4"/>
        <v>Nuestro Laboratorio esta trabajando en tus lentes, los entregaremos en la fecha acordada.</v>
      </c>
    </row>
    <row r="2126">
      <c r="A2126" s="1">
        <f>IFERROR(__xludf.DUMMYFUNCTION("""COMPUTED_VALUE"""),86674.0)</f>
        <v>86674</v>
      </c>
      <c r="B2126" s="5">
        <f>IFERROR(__xludf.DUMMYFUNCTION("""COMPUTED_VALUE"""),44973.5331181713)</f>
        <v>44973.53312</v>
      </c>
      <c r="C2126" s="1" t="str">
        <f>IFERROR(__xludf.DUMMYFUNCTION("""COMPUTED_VALUE"""),"alen brian perez")</f>
        <v>alen brian perez</v>
      </c>
      <c r="D2126" s="1" t="str">
        <f>IFERROR(__xludf.DUMMYFUNCTION("""COMPUTED_VALUE"""),"Reparaciones/Otros")</f>
        <v>Reparaciones/Otros</v>
      </c>
      <c r="E2126" s="1" t="str">
        <f>IFERROR(__xludf.DUMMYFUNCTION("""COMPUTED_VALUE"""),"RIVADAVIA Daniel CM")</f>
        <v>RIVADAVIA Daniel CM</v>
      </c>
      <c r="F2126" s="1" t="str">
        <f t="shared" si="1"/>
        <v>RIVADAVIA </v>
      </c>
      <c r="G2126" s="1" t="str">
        <f t="shared" si="2"/>
        <v>Daniel CM</v>
      </c>
      <c r="H2126" s="1" t="str">
        <f>IFERROR(__xludf.DUMMYFUNCTION("""COMPUTED_VALUE"""),"17/2/2023, 17:00:00")</f>
        <v>17/2/2023, 17:00:00</v>
      </c>
      <c r="I2126" s="1" t="str">
        <f>IFERROR(__xludf.DUMMYFUNCTION("""COMPUTED_VALUE"""),"Completado en SUCURSAL")</f>
        <v>Completado en SUCURSAL</v>
      </c>
      <c r="J2126" s="1">
        <f t="shared" si="3"/>
        <v>5</v>
      </c>
      <c r="K2126" s="1" t="str">
        <f t="shared" si="4"/>
        <v>Tus Lentes estan LISTAS PARA ENTREGAR, te esperamos.</v>
      </c>
    </row>
    <row r="2127">
      <c r="A2127" s="1">
        <f>IFERROR(__xludf.DUMMYFUNCTION("""COMPUTED_VALUE"""),86675.0)</f>
        <v>86675</v>
      </c>
      <c r="B2127" s="5">
        <f>IFERROR(__xludf.DUMMYFUNCTION("""COMPUTED_VALUE"""),44973.5370415162)</f>
        <v>44973.53704</v>
      </c>
      <c r="C2127" s="1" t="str">
        <f>IFERROR(__xludf.DUMMYFUNCTION("""COMPUTED_VALUE"""),"LUCERO VEGA JUAN AGUSTIN")</f>
        <v>LUCERO VEGA JUAN AGUSTIN</v>
      </c>
      <c r="D2127" s="1" t="str">
        <f>IFERROR(__xludf.DUMMYFUNCTION("""COMPUTED_VALUE"""),"Lentes de STOCK")</f>
        <v>Lentes de STOCK</v>
      </c>
      <c r="E2127" s="1" t="str">
        <f>IFERROR(__xludf.DUMMYFUNCTION("""COMPUTED_VALUE"""),"RIVADAVIA Daniel CM")</f>
        <v>RIVADAVIA Daniel CM</v>
      </c>
      <c r="F2127" s="1" t="str">
        <f t="shared" si="1"/>
        <v>RIVADAVIA </v>
      </c>
      <c r="G2127" s="1" t="str">
        <f t="shared" si="2"/>
        <v>Daniel CM</v>
      </c>
      <c r="H2127" s="1" t="str">
        <f>IFERROR(__xludf.DUMMYFUNCTION("""COMPUTED_VALUE"""),"23/2/2023, 17:00:00")</f>
        <v>23/2/2023, 17:00:00</v>
      </c>
      <c r="I2127" s="1" t="str">
        <f>IFERROR(__xludf.DUMMYFUNCTION("""COMPUTED_VALUE"""),"Completado en SUCURSAL")</f>
        <v>Completado en SUCURSAL</v>
      </c>
      <c r="J2127" s="1">
        <f t="shared" si="3"/>
        <v>5</v>
      </c>
      <c r="K2127" s="1" t="str">
        <f t="shared" si="4"/>
        <v>Tus Lentes estan LISTAS PARA ENTREGAR, te esperamos.</v>
      </c>
    </row>
    <row r="2128">
      <c r="A2128" s="1">
        <f>IFERROR(__xludf.DUMMYFUNCTION("""COMPUTED_VALUE"""),86676.0)</f>
        <v>86676</v>
      </c>
      <c r="B2128" s="5">
        <f>IFERROR(__xludf.DUMMYFUNCTION("""COMPUTED_VALUE"""),44973.543635925926)</f>
        <v>44973.54364</v>
      </c>
      <c r="C2128" s="1" t="str">
        <f>IFERROR(__xludf.DUMMYFUNCTION("""COMPUTED_VALUE"""),"sosa evangelina")</f>
        <v>sosa evangelina</v>
      </c>
      <c r="D2128" s="1" t="str">
        <f>IFERROR(__xludf.DUMMYFUNCTION("""COMPUTED_VALUE"""),"Lentes de STOCK")</f>
        <v>Lentes de STOCK</v>
      </c>
      <c r="E2128" s="1" t="str">
        <f>IFERROR(__xludf.DUMMYFUNCTION("""COMPUTED_VALUE"""),"RIVADAVIA Santiago N")</f>
        <v>RIVADAVIA Santiago N</v>
      </c>
      <c r="F2128" s="1" t="str">
        <f t="shared" si="1"/>
        <v>RIVADAVIA </v>
      </c>
      <c r="G2128" s="1" t="str">
        <f t="shared" si="2"/>
        <v>Santiago N</v>
      </c>
      <c r="H2128" s="1" t="str">
        <f>IFERROR(__xludf.DUMMYFUNCTION("""COMPUTED_VALUE"""),"22/2/2023, 17:00:00")</f>
        <v>22/2/2023, 17:00:00</v>
      </c>
      <c r="I2128" s="1" t="str">
        <f>IFERROR(__xludf.DUMMYFUNCTION("""COMPUTED_VALUE"""),"Completado en SUCURSAL")</f>
        <v>Completado en SUCURSAL</v>
      </c>
      <c r="J2128" s="1">
        <f t="shared" si="3"/>
        <v>5</v>
      </c>
      <c r="K2128" s="1" t="str">
        <f t="shared" si="4"/>
        <v>Tus Lentes estan LISTAS PARA ENTREGAR, te esperamos.</v>
      </c>
    </row>
    <row r="2129">
      <c r="A2129" s="1">
        <f>IFERROR(__xludf.DUMMYFUNCTION("""COMPUTED_VALUE"""),86677.0)</f>
        <v>86677</v>
      </c>
      <c r="B2129" s="5">
        <f>IFERROR(__xludf.DUMMYFUNCTION("""COMPUTED_VALUE"""),44973.54454256945)</f>
        <v>44973.54454</v>
      </c>
      <c r="C2129" s="1" t="str">
        <f>IFERROR(__xludf.DUMMYFUNCTION("""COMPUTED_VALUE"""),"Gladys Rodriguez")</f>
        <v>Gladys Rodriguez</v>
      </c>
      <c r="D2129" s="1" t="str">
        <f>IFERROR(__xludf.DUMMYFUNCTION("""COMPUTED_VALUE"""),"Reparaciones/Otros")</f>
        <v>Reparaciones/Otros</v>
      </c>
      <c r="E2129" s="1" t="str">
        <f>IFERROR(__xludf.DUMMYFUNCTION("""COMPUTED_VALUE"""),"RIVADAVIA Javier")</f>
        <v>RIVADAVIA Javier</v>
      </c>
      <c r="F2129" s="1" t="str">
        <f t="shared" si="1"/>
        <v>RIVADAVIA </v>
      </c>
      <c r="G2129" s="1" t="str">
        <f t="shared" si="2"/>
        <v>Javier</v>
      </c>
      <c r="H2129" s="1" t="str">
        <f>IFERROR(__xludf.DUMMYFUNCTION("""COMPUTED_VALUE"""),"17/2/2023, 17:00:00")</f>
        <v>17/2/2023, 17:00:00</v>
      </c>
      <c r="I2129" s="1" t="str">
        <f>IFERROR(__xludf.DUMMYFUNCTION("""COMPUTED_VALUE"""),"Completado en SUCURSAL")</f>
        <v>Completado en SUCURSAL</v>
      </c>
      <c r="J2129" s="1">
        <f t="shared" si="3"/>
        <v>5</v>
      </c>
      <c r="K2129" s="1" t="str">
        <f t="shared" si="4"/>
        <v>Tus Lentes estan LISTAS PARA ENTREGAR, te esperamos.</v>
      </c>
    </row>
    <row r="2130">
      <c r="A2130" s="1">
        <f>IFERROR(__xludf.DUMMYFUNCTION("""COMPUTED_VALUE"""),86678.0)</f>
        <v>86678</v>
      </c>
      <c r="B2130" s="5">
        <f>IFERROR(__xludf.DUMMYFUNCTION("""COMPUTED_VALUE"""),44973.54556009259)</f>
        <v>44973.54556</v>
      </c>
      <c r="C2130" s="1" t="str">
        <f>IFERROR(__xludf.DUMMYFUNCTION("""COMPUTED_VALUE"""),"MORCON LIDIA")</f>
        <v>MORCON LIDIA</v>
      </c>
      <c r="D2130" s="1" t="str">
        <f>IFERROR(__xludf.DUMMYFUNCTION("""COMPUTED_VALUE"""),"Lentes de STOCK")</f>
        <v>Lentes de STOCK</v>
      </c>
      <c r="E2130" s="1" t="str">
        <f>IFERROR(__xludf.DUMMYFUNCTION("""COMPUTED_VALUE"""),"ARTIGAS Ivana P.")</f>
        <v>ARTIGAS Ivana P.</v>
      </c>
      <c r="F2130" s="1" t="str">
        <f t="shared" si="1"/>
        <v>ARTIGAS </v>
      </c>
      <c r="G2130" s="1" t="str">
        <f t="shared" si="2"/>
        <v>Ivana P.</v>
      </c>
      <c r="H2130" s="1" t="str">
        <f>IFERROR(__xludf.DUMMYFUNCTION("""COMPUTED_VALUE"""),"24/2/2023, 17:00:00")</f>
        <v>24/2/2023, 17:00:00</v>
      </c>
      <c r="I2130" s="1" t="str">
        <f>IFERROR(__xludf.DUMMYFUNCTION("""COMPUTED_VALUE"""),"RETIRADO OK POR CLIENTE")</f>
        <v>RETIRADO OK POR CLIENTE</v>
      </c>
      <c r="J2130" s="1">
        <f t="shared" si="3"/>
        <v>6</v>
      </c>
      <c r="K2130" s="1" t="str">
        <f t="shared" si="4"/>
        <v>Entregamos tus lentes, que los disfrutes!</v>
      </c>
    </row>
    <row r="2131">
      <c r="A2131" s="1">
        <f>IFERROR(__xludf.DUMMYFUNCTION("""COMPUTED_VALUE"""),86679.0)</f>
        <v>86679</v>
      </c>
      <c r="B2131" s="5">
        <f>IFERROR(__xludf.DUMMYFUNCTION("""COMPUTED_VALUE"""),44973.553475023145)</f>
        <v>44973.55348</v>
      </c>
      <c r="C2131" s="1" t="str">
        <f>IFERROR(__xludf.DUMMYFUNCTION("""COMPUTED_VALUE"""),"PEREZ JUAN")</f>
        <v>PEREZ JUAN</v>
      </c>
      <c r="D2131" s="1" t="str">
        <f>IFERROR(__xludf.DUMMYFUNCTION("""COMPUTED_VALUE"""),"Lentes de STOCK")</f>
        <v>Lentes de STOCK</v>
      </c>
      <c r="E2131" s="1" t="str">
        <f>IFERROR(__xludf.DUMMYFUNCTION("""COMPUTED_VALUE"""),"RIVADAVIA Daniel CM")</f>
        <v>RIVADAVIA Daniel CM</v>
      </c>
      <c r="F2131" s="1" t="str">
        <f t="shared" si="1"/>
        <v>RIVADAVIA </v>
      </c>
      <c r="G2131" s="1" t="str">
        <f t="shared" si="2"/>
        <v>Daniel CM</v>
      </c>
      <c r="H2131" s="1" t="str">
        <f>IFERROR(__xludf.DUMMYFUNCTION("""COMPUTED_VALUE"""),"23/2/2023, 17:00:00")</f>
        <v>23/2/2023, 17:00:00</v>
      </c>
      <c r="I2131" s="1" t="str">
        <f>IFERROR(__xludf.DUMMYFUNCTION("""COMPUTED_VALUE"""),"Completado en SUCURSAL")</f>
        <v>Completado en SUCURSAL</v>
      </c>
      <c r="J2131" s="1">
        <f t="shared" si="3"/>
        <v>5</v>
      </c>
      <c r="K2131" s="1" t="str">
        <f t="shared" si="4"/>
        <v>Tus Lentes estan LISTAS PARA ENTREGAR, te esperamos.</v>
      </c>
    </row>
    <row r="2132">
      <c r="A2132" s="1">
        <f>IFERROR(__xludf.DUMMYFUNCTION("""COMPUTED_VALUE"""),86680.0)</f>
        <v>86680</v>
      </c>
      <c r="B2132" s="5">
        <f>IFERROR(__xludf.DUMMYFUNCTION("""COMPUTED_VALUE"""),44973.55639699074)</f>
        <v>44973.5564</v>
      </c>
      <c r="C2132" s="1" t="str">
        <f>IFERROR(__xludf.DUMMYFUNCTION("""COMPUTED_VALUE"""),"NORMA R AGUIRRE")</f>
        <v>NORMA R AGUIRRE</v>
      </c>
      <c r="D2132" s="1" t="str">
        <f>IFERROR(__xludf.DUMMYFUNCTION("""COMPUTED_VALUE"""),"Lentes de STOCK")</f>
        <v>Lentes de STOCK</v>
      </c>
      <c r="E2132" s="1" t="str">
        <f>IFERROR(__xludf.DUMMYFUNCTION("""COMPUTED_VALUE"""),"RIVADAVIA Javier")</f>
        <v>RIVADAVIA Javier</v>
      </c>
      <c r="F2132" s="1" t="str">
        <f t="shared" si="1"/>
        <v>RIVADAVIA </v>
      </c>
      <c r="G2132" s="1" t="str">
        <f t="shared" si="2"/>
        <v>Javier</v>
      </c>
      <c r="H2132" s="1" t="str">
        <f>IFERROR(__xludf.DUMMYFUNCTION("""COMPUTED_VALUE"""),"27/2/2023, 17:00:00")</f>
        <v>27/2/2023, 17:00:00</v>
      </c>
      <c r="I2132" s="1" t="str">
        <f>IFERROR(__xludf.DUMMYFUNCTION("""COMPUTED_VALUE"""),"Completado en SUCURSAL")</f>
        <v>Completado en SUCURSAL</v>
      </c>
      <c r="J2132" s="1">
        <f t="shared" si="3"/>
        <v>5</v>
      </c>
      <c r="K2132" s="1" t="str">
        <f t="shared" si="4"/>
        <v>Tus Lentes estan LISTAS PARA ENTREGAR, te esperamos.</v>
      </c>
    </row>
    <row r="2133">
      <c r="A2133" s="1">
        <f>IFERROR(__xludf.DUMMYFUNCTION("""COMPUTED_VALUE"""),86681.0)</f>
        <v>86681</v>
      </c>
      <c r="B2133" s="5">
        <f>IFERROR(__xludf.DUMMYFUNCTION("""COMPUTED_VALUE"""),44973.557508495374)</f>
        <v>44973.55751</v>
      </c>
      <c r="C2133" s="1" t="str">
        <f>IFERROR(__xludf.DUMMYFUNCTION("""COMPUTED_VALUE"""),"PEREZ ROMINA")</f>
        <v>PEREZ ROMINA</v>
      </c>
      <c r="D2133" s="1" t="str">
        <f>IFERROR(__xludf.DUMMYFUNCTION("""COMPUTED_VALUE"""),"Lentes de STOCK")</f>
        <v>Lentes de STOCK</v>
      </c>
      <c r="E2133" s="1" t="str">
        <f>IFERROR(__xludf.DUMMYFUNCTION("""COMPUTED_VALUE"""),"RIVADAVIA Daniel CM")</f>
        <v>RIVADAVIA Daniel CM</v>
      </c>
      <c r="F2133" s="1" t="str">
        <f t="shared" si="1"/>
        <v>RIVADAVIA </v>
      </c>
      <c r="G2133" s="1" t="str">
        <f t="shared" si="2"/>
        <v>Daniel CM</v>
      </c>
      <c r="H2133" s="1" t="str">
        <f>IFERROR(__xludf.DUMMYFUNCTION("""COMPUTED_VALUE"""),"23/2/2023, 17:00:00")</f>
        <v>23/2/2023, 17:00:00</v>
      </c>
      <c r="I2133" s="1" t="str">
        <f>IFERROR(__xludf.DUMMYFUNCTION("""COMPUTED_VALUE"""),"Completado en SUCURSAL")</f>
        <v>Completado en SUCURSAL</v>
      </c>
      <c r="J2133" s="1">
        <f t="shared" si="3"/>
        <v>5</v>
      </c>
      <c r="K2133" s="1" t="str">
        <f t="shared" si="4"/>
        <v>Tus Lentes estan LISTAS PARA ENTREGAR, te esperamos.</v>
      </c>
    </row>
    <row r="2134">
      <c r="A2134" s="1">
        <f>IFERROR(__xludf.DUMMYFUNCTION("""COMPUTED_VALUE"""),86682.0)</f>
        <v>86682</v>
      </c>
      <c r="B2134" s="5">
        <f>IFERROR(__xludf.DUMMYFUNCTION("""COMPUTED_VALUE"""),44973.55843179398)</f>
        <v>44973.55843</v>
      </c>
      <c r="C2134" s="1" t="str">
        <f>IFERROR(__xludf.DUMMYFUNCTION("""COMPUTED_VALUE"""),"BERARDI MARIA ALEJANDRA")</f>
        <v>BERARDI MARIA ALEJANDRA</v>
      </c>
      <c r="D2134" s="1" t="str">
        <f>IFERROR(__xludf.DUMMYFUNCTION("""COMPUTED_VALUE"""),"Lentes de STOCK")</f>
        <v>Lentes de STOCK</v>
      </c>
      <c r="E2134" s="1" t="str">
        <f>IFERROR(__xludf.DUMMYFUNCTION("""COMPUTED_VALUE"""),"ARTIGAS Ivana P.")</f>
        <v>ARTIGAS Ivana P.</v>
      </c>
      <c r="F2134" s="1" t="str">
        <f t="shared" si="1"/>
        <v>ARTIGAS </v>
      </c>
      <c r="G2134" s="1" t="str">
        <f t="shared" si="2"/>
        <v>Ivana P.</v>
      </c>
      <c r="H2134" s="1" t="str">
        <f>IFERROR(__xludf.DUMMYFUNCTION("""COMPUTED_VALUE"""),"23/2/2023, 17:00:00")</f>
        <v>23/2/2023, 17:00:00</v>
      </c>
      <c r="I2134" s="1" t="str">
        <f>IFERROR(__xludf.DUMMYFUNCTION("""COMPUTED_VALUE"""),"RETIRADO OK POR CLIENTE")</f>
        <v>RETIRADO OK POR CLIENTE</v>
      </c>
      <c r="J2134" s="1">
        <f t="shared" si="3"/>
        <v>6</v>
      </c>
      <c r="K2134" s="1" t="str">
        <f t="shared" si="4"/>
        <v>Entregamos tus lentes, que los disfrutes!</v>
      </c>
    </row>
    <row r="2135">
      <c r="A2135" s="1">
        <f>IFERROR(__xludf.DUMMYFUNCTION("""COMPUTED_VALUE"""),86683.0)</f>
        <v>86683</v>
      </c>
      <c r="B2135" s="5">
        <f>IFERROR(__xludf.DUMMYFUNCTION("""COMPUTED_VALUE"""),44973.72162861111)</f>
        <v>44973.72163</v>
      </c>
      <c r="C2135" s="1" t="str">
        <f>IFERROR(__xludf.DUMMYFUNCTION("""COMPUTED_VALUE"""),"moreno valentino gabriel")</f>
        <v>moreno valentino gabriel</v>
      </c>
      <c r="D2135" s="1" t="str">
        <f>IFERROR(__xludf.DUMMYFUNCTION("""COMPUTED_VALUE"""),"Lentes de STOCK")</f>
        <v>Lentes de STOCK</v>
      </c>
      <c r="E2135" s="1" t="str">
        <f>IFERROR(__xludf.DUMMYFUNCTION("""COMPUTED_VALUE"""),"RIVADAVIA Santiago N")</f>
        <v>RIVADAVIA Santiago N</v>
      </c>
      <c r="F2135" s="1" t="str">
        <f t="shared" si="1"/>
        <v>RIVADAVIA </v>
      </c>
      <c r="G2135" s="1" t="str">
        <f t="shared" si="2"/>
        <v>Santiago N</v>
      </c>
      <c r="H2135" s="1" t="str">
        <f>IFERROR(__xludf.DUMMYFUNCTION("""COMPUTED_VALUE"""),"22/2/2023, 17:00:00")</f>
        <v>22/2/2023, 17:00:00</v>
      </c>
      <c r="I2135" s="1" t="str">
        <f>IFERROR(__xludf.DUMMYFUNCTION("""COMPUTED_VALUE"""),"RETIRADO OK POR CLIENTE")</f>
        <v>RETIRADO OK POR CLIENTE</v>
      </c>
      <c r="J2135" s="1">
        <f t="shared" si="3"/>
        <v>6</v>
      </c>
      <c r="K2135" s="1" t="str">
        <f t="shared" si="4"/>
        <v>Entregamos tus lentes, que los disfrutes!</v>
      </c>
    </row>
    <row r="2136">
      <c r="A2136" s="1">
        <f>IFERROR(__xludf.DUMMYFUNCTION("""COMPUTED_VALUE"""),86684.0)</f>
        <v>86684</v>
      </c>
      <c r="B2136" s="5">
        <f>IFERROR(__xludf.DUMMYFUNCTION("""COMPUTED_VALUE"""),44973.72226188658)</f>
        <v>44973.72226</v>
      </c>
      <c r="C2136" s="1" t="str">
        <f>IFERROR(__xludf.DUMMYFUNCTION("""COMPUTED_VALUE"""),"torres valeria")</f>
        <v>torres valeria</v>
      </c>
      <c r="D2136" s="1" t="str">
        <f>IFERROR(__xludf.DUMMYFUNCTION("""COMPUTED_VALUE"""),"Reparaciones/Otros")</f>
        <v>Reparaciones/Otros</v>
      </c>
      <c r="E2136" s="1" t="str">
        <f>IFERROR(__xludf.DUMMYFUNCTION("""COMPUTED_VALUE"""),"RIVADAVIA Daniel CM")</f>
        <v>RIVADAVIA Daniel CM</v>
      </c>
      <c r="F2136" s="1" t="str">
        <f t="shared" si="1"/>
        <v>RIVADAVIA </v>
      </c>
      <c r="G2136" s="1" t="str">
        <f t="shared" si="2"/>
        <v>Daniel CM</v>
      </c>
      <c r="H2136" s="1" t="str">
        <f>IFERROR(__xludf.DUMMYFUNCTION("""COMPUTED_VALUE"""),"17/2/2023, 17:00:00")</f>
        <v>17/2/2023, 17:00:00</v>
      </c>
      <c r="I2136" s="1" t="str">
        <f>IFERROR(__xludf.DUMMYFUNCTION("""COMPUTED_VALUE"""),"Completado en SUCURSAL")</f>
        <v>Completado en SUCURSAL</v>
      </c>
      <c r="J2136" s="1">
        <f t="shared" si="3"/>
        <v>5</v>
      </c>
      <c r="K2136" s="1" t="str">
        <f t="shared" si="4"/>
        <v>Tus Lentes estan LISTAS PARA ENTREGAR, te esperamos.</v>
      </c>
    </row>
    <row r="2137">
      <c r="A2137" s="1">
        <f>IFERROR(__xludf.DUMMYFUNCTION("""COMPUTED_VALUE"""),86685.0)</f>
        <v>86685</v>
      </c>
      <c r="B2137" s="5">
        <f>IFERROR(__xludf.DUMMYFUNCTION("""COMPUTED_VALUE"""),44973.73096829861)</f>
        <v>44973.73097</v>
      </c>
      <c r="C2137" s="1" t="str">
        <f>IFERROR(__xludf.DUMMYFUNCTION("""COMPUTED_VALUE"""),"CALDERON LUCIA")</f>
        <v>CALDERON LUCIA</v>
      </c>
      <c r="D2137" s="1" t="str">
        <f>IFERROR(__xludf.DUMMYFUNCTION("""COMPUTED_VALUE"""),"Lentes de STOCK")</f>
        <v>Lentes de STOCK</v>
      </c>
      <c r="E2137" s="1" t="str">
        <f>IFERROR(__xludf.DUMMYFUNCTION("""COMPUTED_VALUE"""),"RIVADAVIA Santiago N")</f>
        <v>RIVADAVIA Santiago N</v>
      </c>
      <c r="F2137" s="1" t="str">
        <f t="shared" si="1"/>
        <v>RIVADAVIA </v>
      </c>
      <c r="G2137" s="1" t="str">
        <f t="shared" si="2"/>
        <v>Santiago N</v>
      </c>
      <c r="H2137" s="1" t="str">
        <f>IFERROR(__xludf.DUMMYFUNCTION("""COMPUTED_VALUE"""),"18/2/2023, 17:00:00")</f>
        <v>18/2/2023, 17:00:00</v>
      </c>
      <c r="I2137" s="1" t="str">
        <f>IFERROR(__xludf.DUMMYFUNCTION("""COMPUTED_VALUE"""),"Completado en SUCURSAL")</f>
        <v>Completado en SUCURSAL</v>
      </c>
      <c r="J2137" s="1">
        <f t="shared" si="3"/>
        <v>5</v>
      </c>
      <c r="K2137" s="1" t="str">
        <f t="shared" si="4"/>
        <v>Tus Lentes estan LISTAS PARA ENTREGAR, te esperamos.</v>
      </c>
    </row>
    <row r="2138">
      <c r="A2138" s="1">
        <f>IFERROR(__xludf.DUMMYFUNCTION("""COMPUTED_VALUE"""),86686.0)</f>
        <v>86686</v>
      </c>
      <c r="B2138" s="5">
        <f>IFERROR(__xludf.DUMMYFUNCTION("""COMPUTED_VALUE"""),44973.77373541667)</f>
        <v>44973.77374</v>
      </c>
      <c r="C2138" s="1" t="str">
        <f>IFERROR(__xludf.DUMMYFUNCTION("""COMPUTED_VALUE"""),"RUIZ MARIA FERNANDA")</f>
        <v>RUIZ MARIA FERNANDA</v>
      </c>
      <c r="D2138" s="1" t="str">
        <f>IFERROR(__xludf.DUMMYFUNCTION("""COMPUTED_VALUE"""),"Lentes de STOCK")</f>
        <v>Lentes de STOCK</v>
      </c>
      <c r="E2138" s="1" t="str">
        <f>IFERROR(__xludf.DUMMYFUNCTION("""COMPUTED_VALUE"""),"ARTIGAS Ivana P.")</f>
        <v>ARTIGAS Ivana P.</v>
      </c>
      <c r="F2138" s="1" t="str">
        <f t="shared" si="1"/>
        <v>ARTIGAS </v>
      </c>
      <c r="G2138" s="1" t="str">
        <f t="shared" si="2"/>
        <v>Ivana P.</v>
      </c>
      <c r="H2138" s="1" t="str">
        <f>IFERROR(__xludf.DUMMYFUNCTION("""COMPUTED_VALUE"""),"27/2/2023, 17:00:00")</f>
        <v>27/2/2023, 17:00:00</v>
      </c>
      <c r="I2138" s="1" t="str">
        <f>IFERROR(__xludf.DUMMYFUNCTION("""COMPUTED_VALUE"""),"RETIRADO OK POR CLIENTE")</f>
        <v>RETIRADO OK POR CLIENTE</v>
      </c>
      <c r="J2138" s="1">
        <f t="shared" si="3"/>
        <v>6</v>
      </c>
      <c r="K2138" s="1" t="str">
        <f t="shared" si="4"/>
        <v>Entregamos tus lentes, que los disfrutes!</v>
      </c>
    </row>
    <row r="2139">
      <c r="A2139" s="1">
        <f>IFERROR(__xludf.DUMMYFUNCTION("""COMPUTED_VALUE"""),86687.0)</f>
        <v>86687</v>
      </c>
      <c r="B2139" s="5">
        <f>IFERROR(__xludf.DUMMYFUNCTION("""COMPUTED_VALUE"""),44973.800712627315)</f>
        <v>44973.80071</v>
      </c>
      <c r="C2139" s="1" t="str">
        <f>IFERROR(__xludf.DUMMYFUNCTION("""COMPUTED_VALUE"""),"navea aguero anna")</f>
        <v>navea aguero anna</v>
      </c>
      <c r="D2139" s="1" t="str">
        <f>IFERROR(__xludf.DUMMYFUNCTION("""COMPUTED_VALUE"""),"Lentes de LABORATORIO")</f>
        <v>Lentes de LABORATORIO</v>
      </c>
      <c r="E2139" s="1" t="str">
        <f>IFERROR(__xludf.DUMMYFUNCTION("""COMPUTED_VALUE"""),"RIVADAVIA Santiago N")</f>
        <v>RIVADAVIA Santiago N</v>
      </c>
      <c r="F2139" s="1" t="str">
        <f t="shared" si="1"/>
        <v>RIVADAVIA </v>
      </c>
      <c r="G2139" s="1" t="str">
        <f t="shared" si="2"/>
        <v>Santiago N</v>
      </c>
      <c r="H2139" s="1" t="str">
        <f>IFERROR(__xludf.DUMMYFUNCTION("""COMPUTED_VALUE"""),"23/2/2023, 17:00:00")</f>
        <v>23/2/2023, 17:00:00</v>
      </c>
      <c r="I2139" s="1" t="str">
        <f>IFERROR(__xludf.DUMMYFUNCTION("""COMPUTED_VALUE"""),"RETIRADO OK POR CLIENTE")</f>
        <v>RETIRADO OK POR CLIENTE</v>
      </c>
      <c r="J2139" s="1">
        <f t="shared" si="3"/>
        <v>6</v>
      </c>
      <c r="K2139" s="1" t="str">
        <f t="shared" si="4"/>
        <v>Entregamos tus lentes, que los disfrutes!</v>
      </c>
    </row>
    <row r="2140">
      <c r="A2140" s="1">
        <f>IFERROR(__xludf.DUMMYFUNCTION("""COMPUTED_VALUE"""),86688.0)</f>
        <v>86688</v>
      </c>
      <c r="B2140" s="5">
        <f>IFERROR(__xludf.DUMMYFUNCTION("""COMPUTED_VALUE"""),44973.807378136575)</f>
        <v>44973.80738</v>
      </c>
      <c r="C2140" s="1" t="str">
        <f>IFERROR(__xludf.DUMMYFUNCTION("""COMPUTED_VALUE"""),"GIÑAZU LUCIANO")</f>
        <v>GIÑAZU LUCIANO</v>
      </c>
      <c r="D2140" s="1" t="str">
        <f>IFERROR(__xludf.DUMMYFUNCTION("""COMPUTED_VALUE"""),"Lentes de LABORATORIO")</f>
        <v>Lentes de LABORATORIO</v>
      </c>
      <c r="E2140" s="1" t="str">
        <f>IFERROR(__xludf.DUMMYFUNCTION("""COMPUTED_VALUE"""),"ARTIGAS Ivana P.")</f>
        <v>ARTIGAS Ivana P.</v>
      </c>
      <c r="F2140" s="1" t="str">
        <f t="shared" si="1"/>
        <v>ARTIGAS </v>
      </c>
      <c r="G2140" s="1" t="str">
        <f t="shared" si="2"/>
        <v>Ivana P.</v>
      </c>
      <c r="H2140" s="1" t="str">
        <f>IFERROR(__xludf.DUMMYFUNCTION("""COMPUTED_VALUE"""),"27/2/2023, 17:00:00")</f>
        <v>27/2/2023, 17:00:00</v>
      </c>
      <c r="I2140" s="1" t="str">
        <f>IFERROR(__xludf.DUMMYFUNCTION("""COMPUTED_VALUE"""),"Completado en SUCURSAL")</f>
        <v>Completado en SUCURSAL</v>
      </c>
      <c r="J2140" s="1">
        <f t="shared" si="3"/>
        <v>5</v>
      </c>
      <c r="K2140" s="1" t="str">
        <f t="shared" si="4"/>
        <v>Tus Lentes estan LISTAS PARA ENTREGAR, te esperamos.</v>
      </c>
    </row>
    <row r="2141">
      <c r="A2141" s="1">
        <f>IFERROR(__xludf.DUMMYFUNCTION("""COMPUTED_VALUE"""),86689.0)</f>
        <v>86689</v>
      </c>
      <c r="B2141" s="5">
        <f>IFERROR(__xludf.DUMMYFUNCTION("""COMPUTED_VALUE"""),44973.808107812496)</f>
        <v>44973.80811</v>
      </c>
      <c r="C2141" s="1" t="str">
        <f>IFERROR(__xludf.DUMMYFUNCTION("""COMPUTED_VALUE"""),"Palma Tiago Martin")</f>
        <v>Palma Tiago Martin</v>
      </c>
      <c r="D2141" s="1" t="str">
        <f>IFERROR(__xludf.DUMMYFUNCTION("""COMPUTED_VALUE"""),"Lentes de STOCK")</f>
        <v>Lentes de STOCK</v>
      </c>
      <c r="E2141" s="1" t="str">
        <f>IFERROR(__xludf.DUMMYFUNCTION("""COMPUTED_VALUE"""),"ARTIGAS Roció")</f>
        <v>ARTIGAS Roció</v>
      </c>
      <c r="F2141" s="1" t="str">
        <f t="shared" si="1"/>
        <v>ARTIGAS </v>
      </c>
      <c r="G2141" s="1" t="str">
        <f t="shared" si="2"/>
        <v>Roció</v>
      </c>
      <c r="H2141" s="1" t="str">
        <f>IFERROR(__xludf.DUMMYFUNCTION("""COMPUTED_VALUE"""),"27/2/2023, 17:00:00")</f>
        <v>27/2/2023, 17:00:00</v>
      </c>
      <c r="I2141" s="1" t="str">
        <f>IFERROR(__xludf.DUMMYFUNCTION("""COMPUTED_VALUE"""),"RETIRADO OK POR CLIENTE")</f>
        <v>RETIRADO OK POR CLIENTE</v>
      </c>
      <c r="J2141" s="1">
        <f t="shared" si="3"/>
        <v>6</v>
      </c>
      <c r="K2141" s="1" t="str">
        <f t="shared" si="4"/>
        <v>Entregamos tus lentes, que los disfrutes!</v>
      </c>
    </row>
    <row r="2142">
      <c r="A2142" s="1">
        <f>IFERROR(__xludf.DUMMYFUNCTION("""COMPUTED_VALUE"""),86690.0)</f>
        <v>86690</v>
      </c>
      <c r="B2142" s="5">
        <f>IFERROR(__xludf.DUMMYFUNCTION("""COMPUTED_VALUE"""),44973.81532738426)</f>
        <v>44973.81533</v>
      </c>
      <c r="C2142" s="1" t="str">
        <f>IFERROR(__xludf.DUMMYFUNCTION("""COMPUTED_VALUE"""),"BARRERA MARTINA")</f>
        <v>BARRERA MARTINA</v>
      </c>
      <c r="D2142" s="1" t="str">
        <f>IFERROR(__xludf.DUMMYFUNCTION("""COMPUTED_VALUE"""),"Lentes de STOCK")</f>
        <v>Lentes de STOCK</v>
      </c>
      <c r="E2142" s="1" t="str">
        <f>IFERROR(__xludf.DUMMYFUNCTION("""COMPUTED_VALUE"""),"RIVADAVIA Luciana")</f>
        <v>RIVADAVIA Luciana</v>
      </c>
      <c r="F2142" s="1" t="str">
        <f t="shared" si="1"/>
        <v>RIVADAVIA </v>
      </c>
      <c r="G2142" s="1" t="str">
        <f t="shared" si="2"/>
        <v>Luciana</v>
      </c>
      <c r="H2142" s="1" t="str">
        <f>IFERROR(__xludf.DUMMYFUNCTION("""COMPUTED_VALUE"""),"24/2/2023, 17:00:00")</f>
        <v>24/2/2023, 17:00:00</v>
      </c>
      <c r="I2142" s="1" t="str">
        <f>IFERROR(__xludf.DUMMYFUNCTION("""COMPUTED_VALUE"""),"RETIRADO OK POR CLIENTE")</f>
        <v>RETIRADO OK POR CLIENTE</v>
      </c>
      <c r="J2142" s="1">
        <f t="shared" si="3"/>
        <v>6</v>
      </c>
      <c r="K2142" s="1" t="str">
        <f t="shared" si="4"/>
        <v>Entregamos tus lentes, que los disfrutes!</v>
      </c>
    </row>
    <row r="2143" hidden="1">
      <c r="A2143" s="1">
        <f>IFERROR(__xludf.DUMMYFUNCTION("""COMPUTED_VALUE"""),86691.0)</f>
        <v>86691</v>
      </c>
      <c r="B2143" s="5">
        <f>IFERROR(__xludf.DUMMYFUNCTION("""COMPUTED_VALUE"""),44973.82567388889)</f>
        <v>44973.82567</v>
      </c>
      <c r="C2143" s="1" t="str">
        <f>IFERROR(__xludf.DUMMYFUNCTION("""COMPUTED_VALUE"""),"Galvan Ruben")</f>
        <v>Galvan Ruben</v>
      </c>
      <c r="D2143" s="1" t="str">
        <f>IFERROR(__xludf.DUMMYFUNCTION("""COMPUTED_VALUE"""),"Lentes de STOCK")</f>
        <v>Lentes de STOCK</v>
      </c>
      <c r="E2143" s="1" t="str">
        <f>IFERROR(__xludf.DUMMYFUNCTION("""COMPUTED_VALUE"""),"ARTIGAS Roció")</f>
        <v>ARTIGAS Roció</v>
      </c>
      <c r="F2143" s="1" t="str">
        <f t="shared" si="1"/>
        <v>ARTIGAS </v>
      </c>
      <c r="G2143" s="1" t="str">
        <f t="shared" si="2"/>
        <v>Roció</v>
      </c>
      <c r="H2143" s="1" t="str">
        <f>IFERROR(__xludf.DUMMYFUNCTION("""COMPUTED_VALUE"""),"27/2/2023, 17:00:00")</f>
        <v>27/2/2023, 17:00:00</v>
      </c>
      <c r="I2143" s="1" t="str">
        <f>IFERROR(__xludf.DUMMYFUNCTION("""COMPUTED_VALUE"""),"DEMORADO")</f>
        <v>DEMORADO</v>
      </c>
      <c r="J2143" s="1" t="str">
        <f t="shared" si="3"/>
        <v/>
      </c>
      <c r="K2143" s="1" t="str">
        <f t="shared" si="4"/>
        <v>Tuvimos una demora con tus lentes y no podremos entregarlo en las fecha acordada, estamos trabajando para terminarlos cuanto antes, te mantendremos al tanto, si es necesario contactanos via whatsapp.</v>
      </c>
    </row>
    <row r="2144">
      <c r="A2144" s="1">
        <f>IFERROR(__xludf.DUMMYFUNCTION("""COMPUTED_VALUE"""),86692.0)</f>
        <v>86692</v>
      </c>
      <c r="B2144" s="5">
        <f>IFERROR(__xludf.DUMMYFUNCTION("""COMPUTED_VALUE"""),44973.827879143515)</f>
        <v>44973.82788</v>
      </c>
      <c r="C2144" s="1" t="str">
        <f>IFERROR(__xludf.DUMMYFUNCTION("""COMPUTED_VALUE"""),"torres belkys")</f>
        <v>torres belkys</v>
      </c>
      <c r="D2144" s="1" t="str">
        <f>IFERROR(__xludf.DUMMYFUNCTION("""COMPUTED_VALUE"""),"Lentes de STOCK")</f>
        <v>Lentes de STOCK</v>
      </c>
      <c r="E2144" s="1" t="str">
        <f>IFERROR(__xludf.DUMMYFUNCTION("""COMPUTED_VALUE"""),"RIVADAVIA Santiago N")</f>
        <v>RIVADAVIA Santiago N</v>
      </c>
      <c r="F2144" s="1" t="str">
        <f t="shared" si="1"/>
        <v>RIVADAVIA </v>
      </c>
      <c r="G2144" s="1" t="str">
        <f t="shared" si="2"/>
        <v>Santiago N</v>
      </c>
      <c r="H2144" s="1" t="str">
        <f>IFERROR(__xludf.DUMMYFUNCTION("""COMPUTED_VALUE"""),"18/2/2023, 17:00:00")</f>
        <v>18/2/2023, 17:00:00</v>
      </c>
      <c r="I2144" s="1" t="str">
        <f>IFERROR(__xludf.DUMMYFUNCTION("""COMPUTED_VALUE"""),"RETIRADO OK POR CLIENTE")</f>
        <v>RETIRADO OK POR CLIENTE</v>
      </c>
      <c r="J2144" s="1">
        <f t="shared" si="3"/>
        <v>6</v>
      </c>
      <c r="K2144" s="1" t="str">
        <f t="shared" si="4"/>
        <v>Entregamos tus lentes, que los disfrutes!</v>
      </c>
    </row>
    <row r="2145">
      <c r="A2145" s="1">
        <f>IFERROR(__xludf.DUMMYFUNCTION("""COMPUTED_VALUE"""),86693.0)</f>
        <v>86693</v>
      </c>
      <c r="B2145" s="5">
        <f>IFERROR(__xludf.DUMMYFUNCTION("""COMPUTED_VALUE"""),44973.83381261574)</f>
        <v>44973.83381</v>
      </c>
      <c r="C2145" s="1" t="str">
        <f>IFERROR(__xludf.DUMMYFUNCTION("""COMPUTED_VALUE"""),"sosa mariana")</f>
        <v>sosa mariana</v>
      </c>
      <c r="D2145" s="1" t="str">
        <f>IFERROR(__xludf.DUMMYFUNCTION("""COMPUTED_VALUE"""),"Reparaciones/Otros")</f>
        <v>Reparaciones/Otros</v>
      </c>
      <c r="E2145" s="1" t="str">
        <f>IFERROR(__xludf.DUMMYFUNCTION("""COMPUTED_VALUE"""),"ARTIGAS Roció")</f>
        <v>ARTIGAS Roció</v>
      </c>
      <c r="F2145" s="1" t="str">
        <f t="shared" si="1"/>
        <v>ARTIGAS </v>
      </c>
      <c r="G2145" s="1" t="str">
        <f t="shared" si="2"/>
        <v>Roció</v>
      </c>
      <c r="H2145" s="1" t="str">
        <f>IFERROR(__xludf.DUMMYFUNCTION("""COMPUTED_VALUE"""),"17/2/2023, 17:00:00")</f>
        <v>17/2/2023, 17:00:00</v>
      </c>
      <c r="I2145" s="1"/>
      <c r="J2145" s="1">
        <f t="shared" si="3"/>
        <v>0</v>
      </c>
      <c r="K2145" s="1" t="str">
        <f t="shared" si="4"/>
        <v/>
      </c>
    </row>
    <row r="2146">
      <c r="A2146" s="1">
        <f>IFERROR(__xludf.DUMMYFUNCTION("""COMPUTED_VALUE"""),86694.0)</f>
        <v>86694</v>
      </c>
      <c r="B2146" s="5">
        <f>IFERROR(__xludf.DUMMYFUNCTION("""COMPUTED_VALUE"""),44973.844160347224)</f>
        <v>44973.84416</v>
      </c>
      <c r="C2146" s="1" t="str">
        <f>IFERROR(__xludf.DUMMYFUNCTION("""COMPUTED_VALUE"""),"MALDONADO NANCY")</f>
        <v>MALDONADO NANCY</v>
      </c>
      <c r="D2146" s="1" t="str">
        <f>IFERROR(__xludf.DUMMYFUNCTION("""COMPUTED_VALUE"""),"Reparaciones/Otros")</f>
        <v>Reparaciones/Otros</v>
      </c>
      <c r="E2146" s="1" t="str">
        <f>IFERROR(__xludf.DUMMYFUNCTION("""COMPUTED_VALUE"""),"RIVADAVIA Luciana")</f>
        <v>RIVADAVIA Luciana</v>
      </c>
      <c r="F2146" s="1" t="str">
        <f t="shared" si="1"/>
        <v>RIVADAVIA </v>
      </c>
      <c r="G2146" s="1" t="str">
        <f t="shared" si="2"/>
        <v>Luciana</v>
      </c>
      <c r="H2146" s="1" t="str">
        <f>IFERROR(__xludf.DUMMYFUNCTION("""COMPUTED_VALUE"""),"18/2/2023, 12:00:00")</f>
        <v>18/2/2023, 12:00:00</v>
      </c>
      <c r="I2146" s="1" t="str">
        <f>IFERROR(__xludf.DUMMYFUNCTION("""COMPUTED_VALUE"""),"Recibido en Laboratorio")</f>
        <v>Recibido en Laboratorio</v>
      </c>
      <c r="J2146" s="1">
        <f t="shared" si="3"/>
        <v>2</v>
      </c>
      <c r="K2146" s="1" t="str">
        <f t="shared" si="4"/>
        <v>Nuestro Laboratorio esta trabajando en tus lentes, los entregaremos en la fecha acordada.</v>
      </c>
    </row>
    <row r="2147">
      <c r="A2147" s="1">
        <f>IFERROR(__xludf.DUMMYFUNCTION("""COMPUTED_VALUE"""),86695.0)</f>
        <v>86695</v>
      </c>
      <c r="B2147" s="5">
        <f>IFERROR(__xludf.DUMMYFUNCTION("""COMPUTED_VALUE"""),44974.378197060185)</f>
        <v>44974.3782</v>
      </c>
      <c r="C2147" s="1" t="str">
        <f>IFERROR(__xludf.DUMMYFUNCTION("""COMPUTED_VALUE"""),"Leyes Carlos Daniel")</f>
        <v>Leyes Carlos Daniel</v>
      </c>
      <c r="D2147" s="1" t="str">
        <f>IFERROR(__xludf.DUMMYFUNCTION("""COMPUTED_VALUE"""),"Reparaciones/Otros")</f>
        <v>Reparaciones/Otros</v>
      </c>
      <c r="E2147" s="1" t="str">
        <f>IFERROR(__xludf.DUMMYFUNCTION("""COMPUTED_VALUE"""),"ARTIGAS Roció")</f>
        <v>ARTIGAS Roció</v>
      </c>
      <c r="F2147" s="1" t="str">
        <f t="shared" si="1"/>
        <v>ARTIGAS </v>
      </c>
      <c r="G2147" s="1" t="str">
        <f t="shared" si="2"/>
        <v>Roció</v>
      </c>
      <c r="H2147" s="1" t="str">
        <f>IFERROR(__xludf.DUMMYFUNCTION("""COMPUTED_VALUE"""),"18/2/2023, 17:00:00")</f>
        <v>18/2/2023, 17:00:00</v>
      </c>
      <c r="I2147" s="1" t="str">
        <f>IFERROR(__xludf.DUMMYFUNCTION("""COMPUTED_VALUE"""),"Completado en SUCURSAL")</f>
        <v>Completado en SUCURSAL</v>
      </c>
      <c r="J2147" s="1">
        <f t="shared" si="3"/>
        <v>5</v>
      </c>
      <c r="K2147" s="1" t="str">
        <f t="shared" si="4"/>
        <v>Tus Lentes estan LISTAS PARA ENTREGAR, te esperamos.</v>
      </c>
    </row>
    <row r="2148">
      <c r="A2148" s="1">
        <f>IFERROR(__xludf.DUMMYFUNCTION("""COMPUTED_VALUE"""),86696.0)</f>
        <v>86696</v>
      </c>
      <c r="B2148" s="5">
        <f>IFERROR(__xludf.DUMMYFUNCTION("""COMPUTED_VALUE"""),44974.39539542824)</f>
        <v>44974.3954</v>
      </c>
      <c r="C2148" s="1" t="str">
        <f>IFERROR(__xludf.DUMMYFUNCTION("""COMPUTED_VALUE"""),"Lagos Hector")</f>
        <v>Lagos Hector</v>
      </c>
      <c r="D2148" s="1" t="str">
        <f>IFERROR(__xludf.DUMMYFUNCTION("""COMPUTED_VALUE"""),"Reparaciones/Otros")</f>
        <v>Reparaciones/Otros</v>
      </c>
      <c r="E2148" s="1" t="str">
        <f>IFERROR(__xludf.DUMMYFUNCTION("""COMPUTED_VALUE"""),"ARTIGAS Sandra G")</f>
        <v>ARTIGAS Sandra G</v>
      </c>
      <c r="F2148" s="1" t="str">
        <f t="shared" si="1"/>
        <v>ARTIGAS </v>
      </c>
      <c r="G2148" s="1" t="str">
        <f t="shared" si="2"/>
        <v>Sandra G</v>
      </c>
      <c r="H2148" s="1" t="str">
        <f>IFERROR(__xludf.DUMMYFUNCTION("""COMPUTED_VALUE"""),"18/2/2023, 17:00:00")</f>
        <v>18/2/2023, 17:00:00</v>
      </c>
      <c r="I2148" s="1"/>
      <c r="J2148" s="1">
        <f t="shared" si="3"/>
        <v>0</v>
      </c>
      <c r="K2148" s="1" t="str">
        <f t="shared" si="4"/>
        <v/>
      </c>
    </row>
    <row r="2149">
      <c r="A2149" s="1">
        <f>IFERROR(__xludf.DUMMYFUNCTION("""COMPUTED_VALUE"""),86697.0)</f>
        <v>86697</v>
      </c>
      <c r="B2149" s="5">
        <f>IFERROR(__xludf.DUMMYFUNCTION("""COMPUTED_VALUE"""),44974.403576979166)</f>
        <v>44974.40358</v>
      </c>
      <c r="C2149" s="1" t="str">
        <f>IFERROR(__xludf.DUMMYFUNCTION("""COMPUTED_VALUE"""),"oropel regina")</f>
        <v>oropel regina</v>
      </c>
      <c r="D2149" s="1" t="str">
        <f>IFERROR(__xludf.DUMMYFUNCTION("""COMPUTED_VALUE"""),"Lentes de STOCK")</f>
        <v>Lentes de STOCK</v>
      </c>
      <c r="E2149" s="1" t="str">
        <f>IFERROR(__xludf.DUMMYFUNCTION("""COMPUTED_VALUE"""),"RIVADAVIA Santiago N")</f>
        <v>RIVADAVIA Santiago N</v>
      </c>
      <c r="F2149" s="1" t="str">
        <f t="shared" si="1"/>
        <v>RIVADAVIA </v>
      </c>
      <c r="G2149" s="1" t="str">
        <f t="shared" si="2"/>
        <v>Santiago N</v>
      </c>
      <c r="H2149" s="1" t="str">
        <f>IFERROR(__xludf.DUMMYFUNCTION("""COMPUTED_VALUE"""),"22/2/2023, 17:00:00")</f>
        <v>22/2/2023, 17:00:00</v>
      </c>
      <c r="I2149" s="1" t="str">
        <f>IFERROR(__xludf.DUMMYFUNCTION("""COMPUTED_VALUE"""),"RETIRADO OK POR CLIENTE")</f>
        <v>RETIRADO OK POR CLIENTE</v>
      </c>
      <c r="J2149" s="1">
        <f t="shared" si="3"/>
        <v>6</v>
      </c>
      <c r="K2149" s="1" t="str">
        <f t="shared" si="4"/>
        <v>Entregamos tus lentes, que los disfrutes!</v>
      </c>
    </row>
    <row r="2150">
      <c r="A2150" s="1">
        <f>IFERROR(__xludf.DUMMYFUNCTION("""COMPUTED_VALUE"""),86698.0)</f>
        <v>86698</v>
      </c>
      <c r="B2150" s="5">
        <f>IFERROR(__xludf.DUMMYFUNCTION("""COMPUTED_VALUE"""),44974.40723902777)</f>
        <v>44974.40724</v>
      </c>
      <c r="C2150" s="1" t="str">
        <f>IFERROR(__xludf.DUMMYFUNCTION("""COMPUTED_VALUE"""),"RODRIGUEZ ANA PAZ ")</f>
        <v>RODRIGUEZ ANA PAZ </v>
      </c>
      <c r="D2150" s="1" t="str">
        <f>IFERROR(__xludf.DUMMYFUNCTION("""COMPUTED_VALUE"""),"Lentes de STOCK")</f>
        <v>Lentes de STOCK</v>
      </c>
      <c r="E2150" s="1" t="str">
        <f>IFERROR(__xludf.DUMMYFUNCTION("""COMPUTED_VALUE"""),"RIVADAVIA Luciana")</f>
        <v>RIVADAVIA Luciana</v>
      </c>
      <c r="F2150" s="1" t="str">
        <f t="shared" si="1"/>
        <v>RIVADAVIA </v>
      </c>
      <c r="G2150" s="1" t="str">
        <f t="shared" si="2"/>
        <v>Luciana</v>
      </c>
      <c r="H2150" s="1" t="str">
        <f>IFERROR(__xludf.DUMMYFUNCTION("""COMPUTED_VALUE"""),"24/2/2023, 18:00:00")</f>
        <v>24/2/2023, 18:00:00</v>
      </c>
      <c r="I2150" s="1" t="str">
        <f>IFERROR(__xludf.DUMMYFUNCTION("""COMPUTED_VALUE"""),"RETIRADO OK POR CLIENTE")</f>
        <v>RETIRADO OK POR CLIENTE</v>
      </c>
      <c r="J2150" s="1">
        <f t="shared" si="3"/>
        <v>6</v>
      </c>
      <c r="K2150" s="1" t="str">
        <f t="shared" si="4"/>
        <v>Entregamos tus lentes, que los disfrutes!</v>
      </c>
    </row>
    <row r="2151">
      <c r="A2151" s="1">
        <f>IFERROR(__xludf.DUMMYFUNCTION("""COMPUTED_VALUE"""),86699.0)</f>
        <v>86699</v>
      </c>
      <c r="B2151" s="5">
        <f>IFERROR(__xludf.DUMMYFUNCTION("""COMPUTED_VALUE"""),44974.40801283564)</f>
        <v>44974.40801</v>
      </c>
      <c r="C2151" s="1" t="str">
        <f>IFERROR(__xludf.DUMMYFUNCTION("""COMPUTED_VALUE"""),"SEPULVEDA LUISA")</f>
        <v>SEPULVEDA LUISA</v>
      </c>
      <c r="D2151" s="1" t="str">
        <f>IFERROR(__xludf.DUMMYFUNCTION("""COMPUTED_VALUE"""),"Lentes de STOCK")</f>
        <v>Lentes de STOCK</v>
      </c>
      <c r="E2151" s="1" t="str">
        <f>IFERROR(__xludf.DUMMYFUNCTION("""COMPUTED_VALUE"""),"ARTIGAS Ivana P.")</f>
        <v>ARTIGAS Ivana P.</v>
      </c>
      <c r="F2151" s="1" t="str">
        <f t="shared" si="1"/>
        <v>ARTIGAS </v>
      </c>
      <c r="G2151" s="1" t="str">
        <f t="shared" si="2"/>
        <v>Ivana P.</v>
      </c>
      <c r="H2151" s="1" t="str">
        <f>IFERROR(__xludf.DUMMYFUNCTION("""COMPUTED_VALUE"""),"24/2/2023, 17:00:00")</f>
        <v>24/2/2023, 17:00:00</v>
      </c>
      <c r="I2151" s="1" t="str">
        <f>IFERROR(__xludf.DUMMYFUNCTION("""COMPUTED_VALUE"""),"Completado en SUCURSAL")</f>
        <v>Completado en SUCURSAL</v>
      </c>
      <c r="J2151" s="1">
        <f t="shared" si="3"/>
        <v>5</v>
      </c>
      <c r="K2151" s="1" t="str">
        <f t="shared" si="4"/>
        <v>Tus Lentes estan LISTAS PARA ENTREGAR, te esperamos.</v>
      </c>
    </row>
    <row r="2152">
      <c r="A2152" s="1">
        <f>IFERROR(__xludf.DUMMYFUNCTION("""COMPUTED_VALUE"""),86700.0)</f>
        <v>86700</v>
      </c>
      <c r="B2152" s="5">
        <f>IFERROR(__xludf.DUMMYFUNCTION("""COMPUTED_VALUE"""),44974.414214027776)</f>
        <v>44974.41421</v>
      </c>
      <c r="C2152" s="1" t="str">
        <f>IFERROR(__xludf.DUMMYFUNCTION("""COMPUTED_VALUE"""),"DOMINGUEZ  FELIZA")</f>
        <v>DOMINGUEZ  FELIZA</v>
      </c>
      <c r="D2152" s="1" t="str">
        <f>IFERROR(__xludf.DUMMYFUNCTION("""COMPUTED_VALUE"""),"Lentes de STOCK")</f>
        <v>Lentes de STOCK</v>
      </c>
      <c r="E2152" s="1" t="str">
        <f>IFERROR(__xludf.DUMMYFUNCTION("""COMPUTED_VALUE"""),"ARTIGAS Roció")</f>
        <v>ARTIGAS Roció</v>
      </c>
      <c r="F2152" s="1" t="str">
        <f t="shared" si="1"/>
        <v>ARTIGAS </v>
      </c>
      <c r="G2152" s="1" t="str">
        <f t="shared" si="2"/>
        <v>Roció</v>
      </c>
      <c r="H2152" s="1" t="str">
        <f>IFERROR(__xludf.DUMMYFUNCTION("""COMPUTED_VALUE"""),"27/2/2023, 17:00:00")</f>
        <v>27/2/2023, 17:00:00</v>
      </c>
      <c r="I2152" s="1" t="str">
        <f>IFERROR(__xludf.DUMMYFUNCTION("""COMPUTED_VALUE"""),"Completado en SUCURSAL")</f>
        <v>Completado en SUCURSAL</v>
      </c>
      <c r="J2152" s="1">
        <f t="shared" si="3"/>
        <v>5</v>
      </c>
      <c r="K2152" s="1" t="str">
        <f t="shared" si="4"/>
        <v>Tus Lentes estan LISTAS PARA ENTREGAR, te esperamos.</v>
      </c>
    </row>
    <row r="2153">
      <c r="A2153" s="1">
        <f>IFERROR(__xludf.DUMMYFUNCTION("""COMPUTED_VALUE"""),86701.0)</f>
        <v>86701</v>
      </c>
      <c r="B2153" s="5">
        <f>IFERROR(__xludf.DUMMYFUNCTION("""COMPUTED_VALUE"""),44974.425996562495)</f>
        <v>44974.426</v>
      </c>
      <c r="C2153" s="1" t="str">
        <f>IFERROR(__xludf.DUMMYFUNCTION("""COMPUTED_VALUE"""),"LEZCANO ROSA")</f>
        <v>LEZCANO ROSA</v>
      </c>
      <c r="D2153" s="1" t="str">
        <f>IFERROR(__xludf.DUMMYFUNCTION("""COMPUTED_VALUE"""),"Lentes BIFOCALES")</f>
        <v>Lentes BIFOCALES</v>
      </c>
      <c r="E2153" s="1" t="str">
        <f>IFERROR(__xludf.DUMMYFUNCTION("""COMPUTED_VALUE"""),"ARTIGAS Ivana P.")</f>
        <v>ARTIGAS Ivana P.</v>
      </c>
      <c r="F2153" s="1" t="str">
        <f t="shared" si="1"/>
        <v>ARTIGAS </v>
      </c>
      <c r="G2153" s="1" t="str">
        <f t="shared" si="2"/>
        <v>Ivana P.</v>
      </c>
      <c r="H2153" s="1" t="str">
        <f>IFERROR(__xludf.DUMMYFUNCTION("""COMPUTED_VALUE"""),"27/2/2023, 17:00:00")</f>
        <v>27/2/2023, 17:00:00</v>
      </c>
      <c r="I2153" s="1" t="str">
        <f>IFERROR(__xludf.DUMMYFUNCTION("""COMPUTED_VALUE"""),"Completado en SUCURSAL")</f>
        <v>Completado en SUCURSAL</v>
      </c>
      <c r="J2153" s="1">
        <f t="shared" si="3"/>
        <v>5</v>
      </c>
      <c r="K2153" s="1" t="str">
        <f t="shared" si="4"/>
        <v>Tus Lentes estan LISTAS PARA ENTREGAR, te esperamos.</v>
      </c>
    </row>
    <row r="2154">
      <c r="A2154" s="1">
        <f>IFERROR(__xludf.DUMMYFUNCTION("""COMPUTED_VALUE"""),86702.0)</f>
        <v>86702</v>
      </c>
      <c r="B2154" s="5">
        <f>IFERROR(__xludf.DUMMYFUNCTION("""COMPUTED_VALUE"""),44974.43640302084)</f>
        <v>44974.4364</v>
      </c>
      <c r="C2154" s="1" t="str">
        <f>IFERROR(__xludf.DUMMYFUNCTION("""COMPUTED_VALUE"""),"ROMERO HECTOR")</f>
        <v>ROMERO HECTOR</v>
      </c>
      <c r="D2154" s="1" t="str">
        <f>IFERROR(__xludf.DUMMYFUNCTION("""COMPUTED_VALUE"""),"Lentes de STOCK")</f>
        <v>Lentes de STOCK</v>
      </c>
      <c r="E2154" s="1" t="str">
        <f>IFERROR(__xludf.DUMMYFUNCTION("""COMPUTED_VALUE"""),"ARTIGAS Ivana P.")</f>
        <v>ARTIGAS Ivana P.</v>
      </c>
      <c r="F2154" s="1" t="str">
        <f t="shared" si="1"/>
        <v>ARTIGAS </v>
      </c>
      <c r="G2154" s="1" t="str">
        <f t="shared" si="2"/>
        <v>Ivana P.</v>
      </c>
      <c r="H2154" s="1" t="str">
        <f>IFERROR(__xludf.DUMMYFUNCTION("""COMPUTED_VALUE"""),"27/2/2023, 17:00:00")</f>
        <v>27/2/2023, 17:00:00</v>
      </c>
      <c r="I2154" s="1" t="str">
        <f>IFERROR(__xludf.DUMMYFUNCTION("""COMPUTED_VALUE"""),"Completado en SUCURSAL")</f>
        <v>Completado en SUCURSAL</v>
      </c>
      <c r="J2154" s="1">
        <f t="shared" si="3"/>
        <v>5</v>
      </c>
      <c r="K2154" s="1" t="str">
        <f t="shared" si="4"/>
        <v>Tus Lentes estan LISTAS PARA ENTREGAR, te esperamos.</v>
      </c>
    </row>
    <row r="2155">
      <c r="A2155" s="1">
        <f>IFERROR(__xludf.DUMMYFUNCTION("""COMPUTED_VALUE"""),86703.0)</f>
        <v>86703</v>
      </c>
      <c r="B2155" s="5">
        <f>IFERROR(__xludf.DUMMYFUNCTION("""COMPUTED_VALUE"""),44974.444285289355)</f>
        <v>44974.44429</v>
      </c>
      <c r="C2155" s="1" t="str">
        <f>IFERROR(__xludf.DUMMYFUNCTION("""COMPUTED_VALUE"""),"ASTORGA VERDUN RAMONA")</f>
        <v>ASTORGA VERDUN RAMONA</v>
      </c>
      <c r="D2155" s="1" t="str">
        <f>IFERROR(__xludf.DUMMYFUNCTION("""COMPUTED_VALUE"""),"Lentes de STOCK")</f>
        <v>Lentes de STOCK</v>
      </c>
      <c r="E2155" s="1" t="str">
        <f>IFERROR(__xludf.DUMMYFUNCTION("""COMPUTED_VALUE"""),"RIVADAVIA Javier")</f>
        <v>RIVADAVIA Javier</v>
      </c>
      <c r="F2155" s="1" t="str">
        <f t="shared" si="1"/>
        <v>RIVADAVIA </v>
      </c>
      <c r="G2155" s="1" t="str">
        <f t="shared" si="2"/>
        <v>Javier</v>
      </c>
      <c r="H2155" s="1" t="str">
        <f>IFERROR(__xludf.DUMMYFUNCTION("""COMPUTED_VALUE"""),"28/2/2023, 17:00:00")</f>
        <v>28/2/2023, 17:00:00</v>
      </c>
      <c r="I2155" s="1" t="str">
        <f>IFERROR(__xludf.DUMMYFUNCTION("""COMPUTED_VALUE"""),"Completado en SUCURSAL")</f>
        <v>Completado en SUCURSAL</v>
      </c>
      <c r="J2155" s="1">
        <f t="shared" si="3"/>
        <v>5</v>
      </c>
      <c r="K2155" s="1" t="str">
        <f t="shared" si="4"/>
        <v>Tus Lentes estan LISTAS PARA ENTREGAR, te esperamos.</v>
      </c>
    </row>
    <row r="2156">
      <c r="A2156" s="1">
        <f>IFERROR(__xludf.DUMMYFUNCTION("""COMPUTED_VALUE"""),86704.0)</f>
        <v>86704</v>
      </c>
      <c r="B2156" s="5">
        <f>IFERROR(__xludf.DUMMYFUNCTION("""COMPUTED_VALUE"""),44974.44712493056)</f>
        <v>44974.44712</v>
      </c>
      <c r="C2156" s="1" t="str">
        <f>IFERROR(__xludf.DUMMYFUNCTION("""COMPUTED_VALUE"""),"MOLINA GLADYS")</f>
        <v>MOLINA GLADYS</v>
      </c>
      <c r="D2156" s="1" t="str">
        <f>IFERROR(__xludf.DUMMYFUNCTION("""COMPUTED_VALUE"""),"Lentes MULTIFOCALES")</f>
        <v>Lentes MULTIFOCALES</v>
      </c>
      <c r="E2156" s="1" t="str">
        <f>IFERROR(__xludf.DUMMYFUNCTION("""COMPUTED_VALUE"""),"ARTIGAS Ivana P.")</f>
        <v>ARTIGAS Ivana P.</v>
      </c>
      <c r="F2156" s="1" t="str">
        <f t="shared" si="1"/>
        <v>ARTIGAS </v>
      </c>
      <c r="G2156" s="1" t="str">
        <f t="shared" si="2"/>
        <v>Ivana P.</v>
      </c>
      <c r="H2156" s="1" t="str">
        <f>IFERROR(__xludf.DUMMYFUNCTION("""COMPUTED_VALUE"""),"13/3/2023, 17:00:00")</f>
        <v>13/3/2023, 17:00:00</v>
      </c>
      <c r="I2156" s="1" t="str">
        <f>IFERROR(__xludf.DUMMYFUNCTION("""COMPUTED_VALUE"""),"Completado en SUCURSAL")</f>
        <v>Completado en SUCURSAL</v>
      </c>
      <c r="J2156" s="1">
        <f t="shared" si="3"/>
        <v>5</v>
      </c>
      <c r="K2156" s="1" t="str">
        <f t="shared" si="4"/>
        <v>Tus Lentes estan LISTAS PARA ENTREGAR, te esperamos.</v>
      </c>
    </row>
    <row r="2157">
      <c r="A2157" s="1">
        <f>IFERROR(__xludf.DUMMYFUNCTION("""COMPUTED_VALUE"""),86705.0)</f>
        <v>86705</v>
      </c>
      <c r="B2157" s="5">
        <f>IFERROR(__xludf.DUMMYFUNCTION("""COMPUTED_VALUE"""),44974.44817710648)</f>
        <v>44974.44818</v>
      </c>
      <c r="C2157" s="1" t="str">
        <f>IFERROR(__xludf.DUMMYFUNCTION("""COMPUTED_VALUE"""),"MIRANDA LORENA")</f>
        <v>MIRANDA LORENA</v>
      </c>
      <c r="D2157" s="1" t="str">
        <f>IFERROR(__xludf.DUMMYFUNCTION("""COMPUTED_VALUE"""),"Lentes de STOCK")</f>
        <v>Lentes de STOCK</v>
      </c>
      <c r="E2157" s="1" t="str">
        <f>IFERROR(__xludf.DUMMYFUNCTION("""COMPUTED_VALUE"""),"RIVADAVIA Luciana")</f>
        <v>RIVADAVIA Luciana</v>
      </c>
      <c r="F2157" s="1" t="str">
        <f t="shared" si="1"/>
        <v>RIVADAVIA </v>
      </c>
      <c r="G2157" s="1" t="str">
        <f t="shared" si="2"/>
        <v>Luciana</v>
      </c>
      <c r="H2157" s="1" t="str">
        <f>IFERROR(__xludf.DUMMYFUNCTION("""COMPUTED_VALUE"""),"27/2/2023, 17:00:00")</f>
        <v>27/2/2023, 17:00:00</v>
      </c>
      <c r="I2157" s="1" t="str">
        <f>IFERROR(__xludf.DUMMYFUNCTION("""COMPUTED_VALUE"""),"Completado en SUCURSAL")</f>
        <v>Completado en SUCURSAL</v>
      </c>
      <c r="J2157" s="1">
        <f t="shared" si="3"/>
        <v>5</v>
      </c>
      <c r="K2157" s="1" t="str">
        <f t="shared" si="4"/>
        <v>Tus Lentes estan LISTAS PARA ENTREGAR, te esperamos.</v>
      </c>
    </row>
    <row r="2158">
      <c r="A2158" s="1">
        <f>IFERROR(__xludf.DUMMYFUNCTION("""COMPUTED_VALUE"""),86706.0)</f>
        <v>86706</v>
      </c>
      <c r="B2158" s="5">
        <f>IFERROR(__xludf.DUMMYFUNCTION("""COMPUTED_VALUE"""),44974.45080951389)</f>
        <v>44974.45081</v>
      </c>
      <c r="C2158" s="1" t="str">
        <f>IFERROR(__xludf.DUMMYFUNCTION("""COMPUTED_VALUE"""),"PARRA CLAUDIO ALBERTO")</f>
        <v>PARRA CLAUDIO ALBERTO</v>
      </c>
      <c r="D2158" s="1" t="str">
        <f>IFERROR(__xludf.DUMMYFUNCTION("""COMPUTED_VALUE"""),"Lentes de STOCK")</f>
        <v>Lentes de STOCK</v>
      </c>
      <c r="E2158" s="1" t="str">
        <f>IFERROR(__xludf.DUMMYFUNCTION("""COMPUTED_VALUE"""),"ARTIGAS Roció")</f>
        <v>ARTIGAS Roció</v>
      </c>
      <c r="F2158" s="1" t="str">
        <f t="shared" si="1"/>
        <v>ARTIGAS </v>
      </c>
      <c r="G2158" s="1" t="str">
        <f t="shared" si="2"/>
        <v>Roció</v>
      </c>
      <c r="H2158" s="1" t="str">
        <f>IFERROR(__xludf.DUMMYFUNCTION("""COMPUTED_VALUE"""),"27/2/2023, 17:00:00")</f>
        <v>27/2/2023, 17:00:00</v>
      </c>
      <c r="I2158" s="1" t="str">
        <f>IFERROR(__xludf.DUMMYFUNCTION("""COMPUTED_VALUE"""),"Completado en SUCURSAL")</f>
        <v>Completado en SUCURSAL</v>
      </c>
      <c r="J2158" s="1">
        <f t="shared" si="3"/>
        <v>5</v>
      </c>
      <c r="K2158" s="1" t="str">
        <f t="shared" si="4"/>
        <v>Tus Lentes estan LISTAS PARA ENTREGAR, te esperamos.</v>
      </c>
    </row>
    <row r="2159">
      <c r="A2159" s="1">
        <f>IFERROR(__xludf.DUMMYFUNCTION("""COMPUTED_VALUE"""),86707.0)</f>
        <v>86707</v>
      </c>
      <c r="B2159" s="5">
        <f>IFERROR(__xludf.DUMMYFUNCTION("""COMPUTED_VALUE"""),44974.46214146991)</f>
        <v>44974.46214</v>
      </c>
      <c r="C2159" s="1" t="str">
        <f>IFERROR(__xludf.DUMMYFUNCTION("""COMPUTED_VALUE"""),"BUNINO ERICK ")</f>
        <v>BUNINO ERICK </v>
      </c>
      <c r="D2159" s="1" t="str">
        <f>IFERROR(__xludf.DUMMYFUNCTION("""COMPUTED_VALUE"""),"Lentes de STOCK")</f>
        <v>Lentes de STOCK</v>
      </c>
      <c r="E2159" s="1" t="str">
        <f>IFERROR(__xludf.DUMMYFUNCTION("""COMPUTED_VALUE"""),"RIVADAVIA Luciana")</f>
        <v>RIVADAVIA Luciana</v>
      </c>
      <c r="F2159" s="1" t="str">
        <f t="shared" si="1"/>
        <v>RIVADAVIA </v>
      </c>
      <c r="G2159" s="1" t="str">
        <f t="shared" si="2"/>
        <v>Luciana</v>
      </c>
      <c r="H2159" s="1" t="str">
        <f>IFERROR(__xludf.DUMMYFUNCTION("""COMPUTED_VALUE"""),"27/2/2023, 17:00:00")</f>
        <v>27/2/2023, 17:00:00</v>
      </c>
      <c r="I2159" s="1" t="str">
        <f>IFERROR(__xludf.DUMMYFUNCTION("""COMPUTED_VALUE"""),"RETIRADO OK POR CLIENTE")</f>
        <v>RETIRADO OK POR CLIENTE</v>
      </c>
      <c r="J2159" s="1">
        <f t="shared" si="3"/>
        <v>6</v>
      </c>
      <c r="K2159" s="1" t="str">
        <f t="shared" si="4"/>
        <v>Entregamos tus lentes, que los disfrutes!</v>
      </c>
    </row>
    <row r="2160">
      <c r="A2160" s="1">
        <f>IFERROR(__xludf.DUMMYFUNCTION("""COMPUTED_VALUE"""),86708.0)</f>
        <v>86708</v>
      </c>
      <c r="B2160" s="5">
        <f>IFERROR(__xludf.DUMMYFUNCTION("""COMPUTED_VALUE"""),44974.462860949076)</f>
        <v>44974.46286</v>
      </c>
      <c r="C2160" s="1" t="str">
        <f>IFERROR(__xludf.DUMMYFUNCTION("""COMPUTED_VALUE"""),"LIGUORI FELISA LILIANA")</f>
        <v>LIGUORI FELISA LILIANA</v>
      </c>
      <c r="D2160" s="1" t="str">
        <f>IFERROR(__xludf.DUMMYFUNCTION("""COMPUTED_VALUE"""),"Lentes de STOCK")</f>
        <v>Lentes de STOCK</v>
      </c>
      <c r="E2160" s="1" t="str">
        <f>IFERROR(__xludf.DUMMYFUNCTION("""COMPUTED_VALUE"""),"ARTIGAS Roció")</f>
        <v>ARTIGAS Roció</v>
      </c>
      <c r="F2160" s="1" t="str">
        <f t="shared" si="1"/>
        <v>ARTIGAS </v>
      </c>
      <c r="G2160" s="1" t="str">
        <f t="shared" si="2"/>
        <v>Roció</v>
      </c>
      <c r="H2160" s="1" t="str">
        <f>IFERROR(__xludf.DUMMYFUNCTION("""COMPUTED_VALUE"""),"27/2/2023, 17:00:00")</f>
        <v>27/2/2023, 17:00:00</v>
      </c>
      <c r="I2160" s="1" t="str">
        <f>IFERROR(__xludf.DUMMYFUNCTION("""COMPUTED_VALUE"""),"RETIRADO OK POR CLIENTE")</f>
        <v>RETIRADO OK POR CLIENTE</v>
      </c>
      <c r="J2160" s="1">
        <f t="shared" si="3"/>
        <v>6</v>
      </c>
      <c r="K2160" s="1" t="str">
        <f t="shared" si="4"/>
        <v>Entregamos tus lentes, que los disfrutes!</v>
      </c>
    </row>
    <row r="2161">
      <c r="A2161" s="1">
        <f>IFERROR(__xludf.DUMMYFUNCTION("""COMPUTED_VALUE"""),86709.0)</f>
        <v>86709</v>
      </c>
      <c r="B2161" s="5">
        <f>IFERROR(__xludf.DUMMYFUNCTION("""COMPUTED_VALUE"""),44974.468549259254)</f>
        <v>44974.46855</v>
      </c>
      <c r="C2161" s="1" t="str">
        <f>IFERROR(__xludf.DUMMYFUNCTION("""COMPUTED_VALUE"""),"PONCE JUANA ")</f>
        <v>PONCE JUANA </v>
      </c>
      <c r="D2161" s="1" t="str">
        <f>IFERROR(__xludf.DUMMYFUNCTION("""COMPUTED_VALUE"""),"Lentes de STOCK")</f>
        <v>Lentes de STOCK</v>
      </c>
      <c r="E2161" s="1" t="str">
        <f>IFERROR(__xludf.DUMMYFUNCTION("""COMPUTED_VALUE"""),"RIVADAVIA Javier")</f>
        <v>RIVADAVIA Javier</v>
      </c>
      <c r="F2161" s="1" t="str">
        <f t="shared" si="1"/>
        <v>RIVADAVIA </v>
      </c>
      <c r="G2161" s="1" t="str">
        <f t="shared" si="2"/>
        <v>Javier</v>
      </c>
      <c r="H2161" s="1" t="str">
        <f>IFERROR(__xludf.DUMMYFUNCTION("""COMPUTED_VALUE"""),"28/2/2023, 17:00:00")</f>
        <v>28/2/2023, 17:00:00</v>
      </c>
      <c r="I2161" s="1" t="str">
        <f>IFERROR(__xludf.DUMMYFUNCTION("""COMPUTED_VALUE"""),"Completado en SUCURSAL")</f>
        <v>Completado en SUCURSAL</v>
      </c>
      <c r="J2161" s="1">
        <f t="shared" si="3"/>
        <v>5</v>
      </c>
      <c r="K2161" s="1" t="str">
        <f t="shared" si="4"/>
        <v>Tus Lentes estan LISTAS PARA ENTREGAR, te esperamos.</v>
      </c>
    </row>
    <row r="2162">
      <c r="A2162" s="1">
        <f>IFERROR(__xludf.DUMMYFUNCTION("""COMPUTED_VALUE"""),86710.0)</f>
        <v>86710</v>
      </c>
      <c r="B2162" s="5">
        <f>IFERROR(__xludf.DUMMYFUNCTION("""COMPUTED_VALUE"""),44974.470236574074)</f>
        <v>44974.47024</v>
      </c>
      <c r="C2162" s="1" t="str">
        <f>IFERROR(__xludf.DUMMYFUNCTION("""COMPUTED_VALUE"""),"PEÑALOZA ROSA ALBA")</f>
        <v>PEÑALOZA ROSA ALBA</v>
      </c>
      <c r="D2162" s="1" t="str">
        <f>IFERROR(__xludf.DUMMYFUNCTION("""COMPUTED_VALUE"""),"Lentes de STOCK")</f>
        <v>Lentes de STOCK</v>
      </c>
      <c r="E2162" s="1" t="str">
        <f>IFERROR(__xludf.DUMMYFUNCTION("""COMPUTED_VALUE"""),"ARTIGAS Roció")</f>
        <v>ARTIGAS Roció</v>
      </c>
      <c r="F2162" s="1" t="str">
        <f t="shared" si="1"/>
        <v>ARTIGAS </v>
      </c>
      <c r="G2162" s="1" t="str">
        <f t="shared" si="2"/>
        <v>Roció</v>
      </c>
      <c r="H2162" s="1" t="str">
        <f>IFERROR(__xludf.DUMMYFUNCTION("""COMPUTED_VALUE"""),"27/2/2023, 17:00:00")</f>
        <v>27/2/2023, 17:00:00</v>
      </c>
      <c r="I2162" s="1" t="str">
        <f>IFERROR(__xludf.DUMMYFUNCTION("""COMPUTED_VALUE"""),"RETIRADO OK POR CLIENTE")</f>
        <v>RETIRADO OK POR CLIENTE</v>
      </c>
      <c r="J2162" s="1">
        <f t="shared" si="3"/>
        <v>6</v>
      </c>
      <c r="K2162" s="1" t="str">
        <f t="shared" si="4"/>
        <v>Entregamos tus lentes, que los disfrutes!</v>
      </c>
    </row>
    <row r="2163">
      <c r="A2163" s="1">
        <f>IFERROR(__xludf.DUMMYFUNCTION("""COMPUTED_VALUE"""),86711.0)</f>
        <v>86711</v>
      </c>
      <c r="B2163" s="5">
        <f>IFERROR(__xludf.DUMMYFUNCTION("""COMPUTED_VALUE"""),44974.48933719908)</f>
        <v>44974.48934</v>
      </c>
      <c r="C2163" s="1" t="str">
        <f>IFERROR(__xludf.DUMMYFUNCTION("""COMPUTED_VALUE"""),"riquelme romina")</f>
        <v>riquelme romina</v>
      </c>
      <c r="D2163" s="1" t="str">
        <f>IFERROR(__xludf.DUMMYFUNCTION("""COMPUTED_VALUE"""),"Lentes de STOCK")</f>
        <v>Lentes de STOCK</v>
      </c>
      <c r="E2163" s="1" t="str">
        <f>IFERROR(__xludf.DUMMYFUNCTION("""COMPUTED_VALUE"""),"RIVADAVIA Santiago N")</f>
        <v>RIVADAVIA Santiago N</v>
      </c>
      <c r="F2163" s="1" t="str">
        <f t="shared" si="1"/>
        <v>RIVADAVIA </v>
      </c>
      <c r="G2163" s="1" t="str">
        <f t="shared" si="2"/>
        <v>Santiago N</v>
      </c>
      <c r="H2163" s="1" t="str">
        <f>IFERROR(__xludf.DUMMYFUNCTION("""COMPUTED_VALUE"""),"22/2/2023, 17:00:00")</f>
        <v>22/2/2023, 17:00:00</v>
      </c>
      <c r="I2163" s="1" t="str">
        <f>IFERROR(__xludf.DUMMYFUNCTION("""COMPUTED_VALUE"""),"RETIRADO OK POR CLIENTE")</f>
        <v>RETIRADO OK POR CLIENTE</v>
      </c>
      <c r="J2163" s="1">
        <f t="shared" si="3"/>
        <v>6</v>
      </c>
      <c r="K2163" s="1" t="str">
        <f t="shared" si="4"/>
        <v>Entregamos tus lentes, que los disfrutes!</v>
      </c>
    </row>
    <row r="2164">
      <c r="A2164" s="1">
        <f>IFERROR(__xludf.DUMMYFUNCTION("""COMPUTED_VALUE"""),86712.0)</f>
        <v>86712</v>
      </c>
      <c r="B2164" s="5">
        <f>IFERROR(__xludf.DUMMYFUNCTION("""COMPUTED_VALUE"""),44974.503338703704)</f>
        <v>44974.50334</v>
      </c>
      <c r="C2164" s="1" t="str">
        <f>IFERROR(__xludf.DUMMYFUNCTION("""COMPUTED_VALUE"""),"CEBALLOS GLADYS ENCARNACION")</f>
        <v>CEBALLOS GLADYS ENCARNACION</v>
      </c>
      <c r="D2164" s="1" t="str">
        <f>IFERROR(__xludf.DUMMYFUNCTION("""COMPUTED_VALUE"""),"Lentes BIFOCALES")</f>
        <v>Lentes BIFOCALES</v>
      </c>
      <c r="E2164" s="1" t="str">
        <f>IFERROR(__xludf.DUMMYFUNCTION("""COMPUTED_VALUE"""),"ARTIGAS Roció")</f>
        <v>ARTIGAS Roció</v>
      </c>
      <c r="F2164" s="1" t="str">
        <f t="shared" si="1"/>
        <v>ARTIGAS </v>
      </c>
      <c r="G2164" s="1" t="str">
        <f t="shared" si="2"/>
        <v>Roció</v>
      </c>
      <c r="H2164" s="1" t="str">
        <f>IFERROR(__xludf.DUMMYFUNCTION("""COMPUTED_VALUE"""),"27/2/2023, 17:00:00")</f>
        <v>27/2/2023, 17:00:00</v>
      </c>
      <c r="I2164" s="1" t="str">
        <f>IFERROR(__xludf.DUMMYFUNCTION("""COMPUTED_VALUE"""),"RETIRADO OK POR CLIENTE")</f>
        <v>RETIRADO OK POR CLIENTE</v>
      </c>
      <c r="J2164" s="1">
        <f t="shared" si="3"/>
        <v>6</v>
      </c>
      <c r="K2164" s="1" t="str">
        <f t="shared" si="4"/>
        <v>Entregamos tus lentes, que los disfrutes!</v>
      </c>
    </row>
    <row r="2165">
      <c r="A2165" s="1">
        <f>IFERROR(__xludf.DUMMYFUNCTION("""COMPUTED_VALUE"""),86713.0)</f>
        <v>86713</v>
      </c>
      <c r="B2165" s="5">
        <f>IFERROR(__xludf.DUMMYFUNCTION("""COMPUTED_VALUE"""),44974.51340510417)</f>
        <v>44974.51341</v>
      </c>
      <c r="C2165" s="1" t="str">
        <f>IFERROR(__xludf.DUMMYFUNCTION("""COMPUTED_VALUE"""),"BUSTO MERCEDES")</f>
        <v>BUSTO MERCEDES</v>
      </c>
      <c r="D2165" s="1" t="str">
        <f>IFERROR(__xludf.DUMMYFUNCTION("""COMPUTED_VALUE"""),"Lentes BIFOCALES")</f>
        <v>Lentes BIFOCALES</v>
      </c>
      <c r="E2165" s="1" t="str">
        <f>IFERROR(__xludf.DUMMYFUNCTION("""COMPUTED_VALUE"""),"ARTIGAS Ivana P.")</f>
        <v>ARTIGAS Ivana P.</v>
      </c>
      <c r="F2165" s="1" t="str">
        <f t="shared" si="1"/>
        <v>ARTIGAS </v>
      </c>
      <c r="G2165" s="1" t="str">
        <f t="shared" si="2"/>
        <v>Ivana P.</v>
      </c>
      <c r="H2165" s="1" t="str">
        <f>IFERROR(__xludf.DUMMYFUNCTION("""COMPUTED_VALUE"""),"27/2/2023, 17:00:00")</f>
        <v>27/2/2023, 17:00:00</v>
      </c>
      <c r="I2165" s="1" t="str">
        <f>IFERROR(__xludf.DUMMYFUNCTION("""COMPUTED_VALUE"""),"Completado en SUCURSAL")</f>
        <v>Completado en SUCURSAL</v>
      </c>
      <c r="J2165" s="1">
        <f t="shared" si="3"/>
        <v>5</v>
      </c>
      <c r="K2165" s="1" t="str">
        <f t="shared" si="4"/>
        <v>Tus Lentes estan LISTAS PARA ENTREGAR, te esperamos.</v>
      </c>
    </row>
    <row r="2166">
      <c r="A2166" s="1">
        <f>IFERROR(__xludf.DUMMYFUNCTION("""COMPUTED_VALUE"""),86714.0)</f>
        <v>86714</v>
      </c>
      <c r="B2166" s="5">
        <f>IFERROR(__xludf.DUMMYFUNCTION("""COMPUTED_VALUE"""),44974.51750460648)</f>
        <v>44974.5175</v>
      </c>
      <c r="C2166" s="1" t="str">
        <f>IFERROR(__xludf.DUMMYFUNCTION("""COMPUTED_VALUE"""),"RIVERA ALFREDO JOSE ")</f>
        <v>RIVERA ALFREDO JOSE </v>
      </c>
      <c r="D2166" s="1" t="str">
        <f>IFERROR(__xludf.DUMMYFUNCTION("""COMPUTED_VALUE"""),"Lentes de STOCK")</f>
        <v>Lentes de STOCK</v>
      </c>
      <c r="E2166" s="1" t="str">
        <f>IFERROR(__xludf.DUMMYFUNCTION("""COMPUTED_VALUE"""),"RIVADAVIA Javier")</f>
        <v>RIVADAVIA Javier</v>
      </c>
      <c r="F2166" s="1" t="str">
        <f t="shared" si="1"/>
        <v>RIVADAVIA </v>
      </c>
      <c r="G2166" s="1" t="str">
        <f t="shared" si="2"/>
        <v>Javier</v>
      </c>
      <c r="H2166" s="1" t="str">
        <f>IFERROR(__xludf.DUMMYFUNCTION("""COMPUTED_VALUE"""),"27/2/2023, 17:00:00")</f>
        <v>27/2/2023, 17:00:00</v>
      </c>
      <c r="I2166" s="1" t="str">
        <f>IFERROR(__xludf.DUMMYFUNCTION("""COMPUTED_VALUE"""),"Completado en SUCURSAL")</f>
        <v>Completado en SUCURSAL</v>
      </c>
      <c r="J2166" s="1">
        <f t="shared" si="3"/>
        <v>5</v>
      </c>
      <c r="K2166" s="1" t="str">
        <f t="shared" si="4"/>
        <v>Tus Lentes estan LISTAS PARA ENTREGAR, te esperamos.</v>
      </c>
    </row>
    <row r="2167">
      <c r="A2167" s="1">
        <f>IFERROR(__xludf.DUMMYFUNCTION("""COMPUTED_VALUE"""),86715.0)</f>
        <v>86715</v>
      </c>
      <c r="B2167" s="5">
        <f>IFERROR(__xludf.DUMMYFUNCTION("""COMPUTED_VALUE"""),44974.52228888889)</f>
        <v>44974.52229</v>
      </c>
      <c r="C2167" s="1" t="str">
        <f>IFERROR(__xludf.DUMMYFUNCTION("""COMPUTED_VALUE"""),"diaz gimenez alma")</f>
        <v>diaz gimenez alma</v>
      </c>
      <c r="D2167" s="1" t="str">
        <f>IFERROR(__xludf.DUMMYFUNCTION("""COMPUTED_VALUE"""),"Lentes de STOCK")</f>
        <v>Lentes de STOCK</v>
      </c>
      <c r="E2167" s="1" t="str">
        <f>IFERROR(__xludf.DUMMYFUNCTION("""COMPUTED_VALUE"""),"RIVADAVIA Santiago N")</f>
        <v>RIVADAVIA Santiago N</v>
      </c>
      <c r="F2167" s="1" t="str">
        <f t="shared" si="1"/>
        <v>RIVADAVIA </v>
      </c>
      <c r="G2167" s="1" t="str">
        <f t="shared" si="2"/>
        <v>Santiago N</v>
      </c>
      <c r="H2167" s="1" t="str">
        <f>IFERROR(__xludf.DUMMYFUNCTION("""COMPUTED_VALUE"""),"22/2/2023, 17:00:00")</f>
        <v>22/2/2023, 17:00:00</v>
      </c>
      <c r="I2167" s="1" t="str">
        <f>IFERROR(__xludf.DUMMYFUNCTION("""COMPUTED_VALUE"""),"RETIRADO OK POR CLIENTE")</f>
        <v>RETIRADO OK POR CLIENTE</v>
      </c>
      <c r="J2167" s="1">
        <f t="shared" si="3"/>
        <v>6</v>
      </c>
      <c r="K2167" s="1" t="str">
        <f t="shared" si="4"/>
        <v>Entregamos tus lentes, que los disfrutes!</v>
      </c>
    </row>
    <row r="2168">
      <c r="A2168" s="1">
        <f>IFERROR(__xludf.DUMMYFUNCTION("""COMPUTED_VALUE"""),86716.0)</f>
        <v>86716</v>
      </c>
      <c r="B2168" s="5">
        <f>IFERROR(__xludf.DUMMYFUNCTION("""COMPUTED_VALUE"""),44974.52246438657)</f>
        <v>44974.52246</v>
      </c>
      <c r="C2168" s="1" t="str">
        <f>IFERROR(__xludf.DUMMYFUNCTION("""COMPUTED_VALUE"""),"MEDERO LIDIA")</f>
        <v>MEDERO LIDIA</v>
      </c>
      <c r="D2168" s="1" t="str">
        <f>IFERROR(__xludf.DUMMYFUNCTION("""COMPUTED_VALUE"""),"Lentes MULTIFOCALES")</f>
        <v>Lentes MULTIFOCALES</v>
      </c>
      <c r="E2168" s="1" t="str">
        <f>IFERROR(__xludf.DUMMYFUNCTION("""COMPUTED_VALUE"""),"RIVADAVIA Luciana")</f>
        <v>RIVADAVIA Luciana</v>
      </c>
      <c r="F2168" s="1" t="str">
        <f t="shared" si="1"/>
        <v>RIVADAVIA </v>
      </c>
      <c r="G2168" s="1" t="str">
        <f t="shared" si="2"/>
        <v>Luciana</v>
      </c>
      <c r="H2168" s="1" t="str">
        <f>IFERROR(__xludf.DUMMYFUNCTION("""COMPUTED_VALUE"""),"2/3/2023, 17:00:00")</f>
        <v>2/3/2023, 17:00:00</v>
      </c>
      <c r="I2168" s="1"/>
      <c r="J2168" s="1">
        <f t="shared" si="3"/>
        <v>0</v>
      </c>
      <c r="K2168" s="1" t="str">
        <f t="shared" si="4"/>
        <v/>
      </c>
    </row>
    <row r="2169">
      <c r="A2169" s="1">
        <f>IFERROR(__xludf.DUMMYFUNCTION("""COMPUTED_VALUE"""),86717.0)</f>
        <v>86717</v>
      </c>
      <c r="B2169" s="5">
        <f>IFERROR(__xludf.DUMMYFUNCTION("""COMPUTED_VALUE"""),44974.52571136574)</f>
        <v>44974.52571</v>
      </c>
      <c r="C2169" s="1" t="str">
        <f>IFERROR(__xludf.DUMMYFUNCTION("""COMPUTED_VALUE"""),"MEDERO LIDIA")</f>
        <v>MEDERO LIDIA</v>
      </c>
      <c r="D2169" s="1" t="str">
        <f>IFERROR(__xludf.DUMMYFUNCTION("""COMPUTED_VALUE"""),"Lentes MULTIFOCALES")</f>
        <v>Lentes MULTIFOCALES</v>
      </c>
      <c r="E2169" s="1" t="str">
        <f>IFERROR(__xludf.DUMMYFUNCTION("""COMPUTED_VALUE"""),"RIVADAVIA Luciana")</f>
        <v>RIVADAVIA Luciana</v>
      </c>
      <c r="F2169" s="1" t="str">
        <f t="shared" si="1"/>
        <v>RIVADAVIA </v>
      </c>
      <c r="G2169" s="1" t="str">
        <f t="shared" si="2"/>
        <v>Luciana</v>
      </c>
      <c r="H2169" s="1" t="str">
        <f>IFERROR(__xludf.DUMMYFUNCTION("""COMPUTED_VALUE"""),"2/3/2023, 17:00:00")</f>
        <v>2/3/2023, 17:00:00</v>
      </c>
      <c r="I2169" s="1" t="str">
        <f>IFERROR(__xludf.DUMMYFUNCTION("""COMPUTED_VALUE"""),"Completado en SUCURSAL")</f>
        <v>Completado en SUCURSAL</v>
      </c>
      <c r="J2169" s="1">
        <f t="shared" si="3"/>
        <v>5</v>
      </c>
      <c r="K2169" s="1" t="str">
        <f t="shared" si="4"/>
        <v>Tus Lentes estan LISTAS PARA ENTREGAR, te esperamos.</v>
      </c>
    </row>
    <row r="2170">
      <c r="A2170" s="1">
        <f>IFERROR(__xludf.DUMMYFUNCTION("""COMPUTED_VALUE"""),86718.0)</f>
        <v>86718</v>
      </c>
      <c r="B2170" s="5">
        <f>IFERROR(__xludf.DUMMYFUNCTION("""COMPUTED_VALUE"""),44974.52591439815)</f>
        <v>44974.52591</v>
      </c>
      <c r="C2170" s="1" t="str">
        <f>IFERROR(__xludf.DUMMYFUNCTION("""COMPUTED_VALUE"""),"ABRAMO FELIPE")</f>
        <v>ABRAMO FELIPE</v>
      </c>
      <c r="D2170" s="1" t="str">
        <f>IFERROR(__xludf.DUMMYFUNCTION("""COMPUTED_VALUE"""),"Lentes de STOCK")</f>
        <v>Lentes de STOCK</v>
      </c>
      <c r="E2170" s="1" t="str">
        <f>IFERROR(__xludf.DUMMYFUNCTION("""COMPUTED_VALUE"""),"ARTIGAS Ivana P.")</f>
        <v>ARTIGAS Ivana P.</v>
      </c>
      <c r="F2170" s="1" t="str">
        <f t="shared" si="1"/>
        <v>ARTIGAS </v>
      </c>
      <c r="G2170" s="1" t="str">
        <f t="shared" si="2"/>
        <v>Ivana P.</v>
      </c>
      <c r="H2170" s="1" t="str">
        <f>IFERROR(__xludf.DUMMYFUNCTION("""COMPUTED_VALUE"""),"27/2/2023, 17:00:00")</f>
        <v>27/2/2023, 17:00:00</v>
      </c>
      <c r="I2170" s="1" t="str">
        <f>IFERROR(__xludf.DUMMYFUNCTION("""COMPUTED_VALUE"""),"Completado en SUCURSAL")</f>
        <v>Completado en SUCURSAL</v>
      </c>
      <c r="J2170" s="1">
        <f t="shared" si="3"/>
        <v>5</v>
      </c>
      <c r="K2170" s="1" t="str">
        <f t="shared" si="4"/>
        <v>Tus Lentes estan LISTAS PARA ENTREGAR, te esperamos.</v>
      </c>
    </row>
    <row r="2171">
      <c r="A2171" s="1">
        <f>IFERROR(__xludf.DUMMYFUNCTION("""COMPUTED_VALUE"""),86719.0)</f>
        <v>86719</v>
      </c>
      <c r="B2171" s="5">
        <f>IFERROR(__xludf.DUMMYFUNCTION("""COMPUTED_VALUE"""),44974.52657495371)</f>
        <v>44974.52657</v>
      </c>
      <c r="C2171" s="1" t="str">
        <f>IFERROR(__xludf.DUMMYFUNCTION("""COMPUTED_VALUE"""),"tapia camila")</f>
        <v>tapia camila</v>
      </c>
      <c r="D2171" s="1" t="str">
        <f>IFERROR(__xludf.DUMMYFUNCTION("""COMPUTED_VALUE"""),"Lentes de STOCK")</f>
        <v>Lentes de STOCK</v>
      </c>
      <c r="E2171" s="1" t="str">
        <f>IFERROR(__xludf.DUMMYFUNCTION("""COMPUTED_VALUE"""),"RIVADAVIA Santiago N")</f>
        <v>RIVADAVIA Santiago N</v>
      </c>
      <c r="F2171" s="1" t="str">
        <f t="shared" si="1"/>
        <v>RIVADAVIA </v>
      </c>
      <c r="G2171" s="1" t="str">
        <f t="shared" si="2"/>
        <v>Santiago N</v>
      </c>
      <c r="H2171" s="1" t="str">
        <f>IFERROR(__xludf.DUMMYFUNCTION("""COMPUTED_VALUE"""),"22/2/2023, 17:00:00")</f>
        <v>22/2/2023, 17:00:00</v>
      </c>
      <c r="I2171" s="1" t="str">
        <f>IFERROR(__xludf.DUMMYFUNCTION("""COMPUTED_VALUE"""),"RETIRADO OK POR CLIENTE")</f>
        <v>RETIRADO OK POR CLIENTE</v>
      </c>
      <c r="J2171" s="1">
        <f t="shared" si="3"/>
        <v>6</v>
      </c>
      <c r="K2171" s="1" t="str">
        <f t="shared" si="4"/>
        <v>Entregamos tus lentes, que los disfrutes!</v>
      </c>
    </row>
    <row r="2172">
      <c r="A2172" s="1">
        <f>IFERROR(__xludf.DUMMYFUNCTION("""COMPUTED_VALUE"""),86720.0)</f>
        <v>86720</v>
      </c>
      <c r="B2172" s="5">
        <f>IFERROR(__xludf.DUMMYFUNCTION("""COMPUTED_VALUE"""),44974.52844672454)</f>
        <v>44974.52845</v>
      </c>
      <c r="C2172" s="1" t="str">
        <f>IFERROR(__xludf.DUMMYFUNCTION("""COMPUTED_VALUE"""),"COITO CATALINA ")</f>
        <v>COITO CATALINA </v>
      </c>
      <c r="D2172" s="1" t="str">
        <f>IFERROR(__xludf.DUMMYFUNCTION("""COMPUTED_VALUE"""),"Lentes de STOCK")</f>
        <v>Lentes de STOCK</v>
      </c>
      <c r="E2172" s="1" t="str">
        <f>IFERROR(__xludf.DUMMYFUNCTION("""COMPUTED_VALUE"""),"RIVADAVIA Javier")</f>
        <v>RIVADAVIA Javier</v>
      </c>
      <c r="F2172" s="1" t="str">
        <f t="shared" si="1"/>
        <v>RIVADAVIA </v>
      </c>
      <c r="G2172" s="1" t="str">
        <f t="shared" si="2"/>
        <v>Javier</v>
      </c>
      <c r="H2172" s="1" t="str">
        <f>IFERROR(__xludf.DUMMYFUNCTION("""COMPUTED_VALUE"""),"28/2/2023, 17:00:00")</f>
        <v>28/2/2023, 17:00:00</v>
      </c>
      <c r="I2172" s="1" t="str">
        <f>IFERROR(__xludf.DUMMYFUNCTION("""COMPUTED_VALUE"""),"RETIRADO OK POR CLIENTE")</f>
        <v>RETIRADO OK POR CLIENTE</v>
      </c>
      <c r="J2172" s="1">
        <f t="shared" si="3"/>
        <v>6</v>
      </c>
      <c r="K2172" s="1" t="str">
        <f t="shared" si="4"/>
        <v>Entregamos tus lentes, que los disfrutes!</v>
      </c>
    </row>
    <row r="2173">
      <c r="A2173" s="1">
        <f>IFERROR(__xludf.DUMMYFUNCTION("""COMPUTED_VALUE"""),86721.0)</f>
        <v>86721</v>
      </c>
      <c r="B2173" s="5">
        <f>IFERROR(__xludf.DUMMYFUNCTION("""COMPUTED_VALUE"""),44974.52892907408)</f>
        <v>44974.52893</v>
      </c>
      <c r="C2173" s="1" t="str">
        <f>IFERROR(__xludf.DUMMYFUNCTION("""COMPUTED_VALUE"""),"BENGOLEA VALENTIN")</f>
        <v>BENGOLEA VALENTIN</v>
      </c>
      <c r="D2173" s="1" t="str">
        <f>IFERROR(__xludf.DUMMYFUNCTION("""COMPUTED_VALUE"""),"Reparaciones/Otros")</f>
        <v>Reparaciones/Otros</v>
      </c>
      <c r="E2173" s="1" t="str">
        <f>IFERROR(__xludf.DUMMYFUNCTION("""COMPUTED_VALUE"""),"ARTIGAS Roció")</f>
        <v>ARTIGAS Roció</v>
      </c>
      <c r="F2173" s="1" t="str">
        <f t="shared" si="1"/>
        <v>ARTIGAS </v>
      </c>
      <c r="G2173" s="1" t="str">
        <f t="shared" si="2"/>
        <v>Roció</v>
      </c>
      <c r="H2173" s="1" t="str">
        <f>IFERROR(__xludf.DUMMYFUNCTION("""COMPUTED_VALUE"""),"18/2/2023, 17:00:00")</f>
        <v>18/2/2023, 17:00:00</v>
      </c>
      <c r="I2173" s="1" t="str">
        <f>IFERROR(__xludf.DUMMYFUNCTION("""COMPUTED_VALUE"""),"Completado en SUCURSAL")</f>
        <v>Completado en SUCURSAL</v>
      </c>
      <c r="J2173" s="1">
        <f t="shared" si="3"/>
        <v>5</v>
      </c>
      <c r="K2173" s="1" t="str">
        <f t="shared" si="4"/>
        <v>Tus Lentes estan LISTAS PARA ENTREGAR, te esperamos.</v>
      </c>
    </row>
    <row r="2174">
      <c r="A2174" s="1">
        <f>IFERROR(__xludf.DUMMYFUNCTION("""COMPUTED_VALUE"""),86722.0)</f>
        <v>86722</v>
      </c>
      <c r="B2174" s="5">
        <f>IFERROR(__xludf.DUMMYFUNCTION("""COMPUTED_VALUE"""),44974.531601180555)</f>
        <v>44974.5316</v>
      </c>
      <c r="C2174" s="1" t="str">
        <f>IFERROR(__xludf.DUMMYFUNCTION("""COMPUTED_VALUE"""),"oviedo lidia isabel")</f>
        <v>oviedo lidia isabel</v>
      </c>
      <c r="D2174" s="1" t="str">
        <f>IFERROR(__xludf.DUMMYFUNCTION("""COMPUTED_VALUE"""),"Lentes de STOCK")</f>
        <v>Lentes de STOCK</v>
      </c>
      <c r="E2174" s="1" t="str">
        <f>IFERROR(__xludf.DUMMYFUNCTION("""COMPUTED_VALUE"""),"RIVADAVIA Daniel CM")</f>
        <v>RIVADAVIA Daniel CM</v>
      </c>
      <c r="F2174" s="1" t="str">
        <f t="shared" si="1"/>
        <v>RIVADAVIA </v>
      </c>
      <c r="G2174" s="1" t="str">
        <f t="shared" si="2"/>
        <v>Daniel CM</v>
      </c>
      <c r="H2174" s="1" t="str">
        <f>IFERROR(__xludf.DUMMYFUNCTION("""COMPUTED_VALUE"""),"23/2/2023, 17:00:00")</f>
        <v>23/2/2023, 17:00:00</v>
      </c>
      <c r="I2174" s="1" t="str">
        <f>IFERROR(__xludf.DUMMYFUNCTION("""COMPUTED_VALUE"""),"RETIRADO OK POR CLIENTE")</f>
        <v>RETIRADO OK POR CLIENTE</v>
      </c>
      <c r="J2174" s="1">
        <f t="shared" si="3"/>
        <v>6</v>
      </c>
      <c r="K2174" s="1" t="str">
        <f t="shared" si="4"/>
        <v>Entregamos tus lentes, que los disfrutes!</v>
      </c>
    </row>
    <row r="2175">
      <c r="A2175" s="1">
        <f>IFERROR(__xludf.DUMMYFUNCTION("""COMPUTED_VALUE"""),86723.0)</f>
        <v>86723</v>
      </c>
      <c r="B2175" s="5">
        <f>IFERROR(__xludf.DUMMYFUNCTION("""COMPUTED_VALUE"""),44974.53441599537)</f>
        <v>44974.53442</v>
      </c>
      <c r="C2175" s="1" t="str">
        <f>IFERROR(__xludf.DUMMYFUNCTION("""COMPUTED_VALUE"""),"POSETTO ELISEO")</f>
        <v>POSETTO ELISEO</v>
      </c>
      <c r="D2175" s="1" t="str">
        <f>IFERROR(__xludf.DUMMYFUNCTION("""COMPUTED_VALUE"""),"Lentes de STOCK")</f>
        <v>Lentes de STOCK</v>
      </c>
      <c r="E2175" s="1" t="str">
        <f>IFERROR(__xludf.DUMMYFUNCTION("""COMPUTED_VALUE"""),"RIVADAVIA Santiago N")</f>
        <v>RIVADAVIA Santiago N</v>
      </c>
      <c r="F2175" s="1" t="str">
        <f t="shared" si="1"/>
        <v>RIVADAVIA </v>
      </c>
      <c r="G2175" s="1" t="str">
        <f t="shared" si="2"/>
        <v>Santiago N</v>
      </c>
      <c r="H2175" s="1" t="str">
        <f>IFERROR(__xludf.DUMMYFUNCTION("""COMPUTED_VALUE"""),"22/2/2023, 17:00:00")</f>
        <v>22/2/2023, 17:00:00</v>
      </c>
      <c r="I2175" s="1" t="str">
        <f>IFERROR(__xludf.DUMMYFUNCTION("""COMPUTED_VALUE"""),"RETIRADO OK POR CLIENTE")</f>
        <v>RETIRADO OK POR CLIENTE</v>
      </c>
      <c r="J2175" s="1">
        <f t="shared" si="3"/>
        <v>6</v>
      </c>
      <c r="K2175" s="1" t="str">
        <f t="shared" si="4"/>
        <v>Entregamos tus lentes, que los disfrutes!</v>
      </c>
    </row>
    <row r="2176">
      <c r="A2176" s="1">
        <f>IFERROR(__xludf.DUMMYFUNCTION("""COMPUTED_VALUE"""),86724.0)</f>
        <v>86724</v>
      </c>
      <c r="B2176" s="5">
        <f>IFERROR(__xludf.DUMMYFUNCTION("""COMPUTED_VALUE"""),44974.53887027778)</f>
        <v>44974.53887</v>
      </c>
      <c r="C2176" s="1" t="str">
        <f>IFERROR(__xludf.DUMMYFUNCTION("""COMPUTED_VALUE"""),"PERALTA JUAN JESUS")</f>
        <v>PERALTA JUAN JESUS</v>
      </c>
      <c r="D2176" s="1" t="str">
        <f>IFERROR(__xludf.DUMMYFUNCTION("""COMPUTED_VALUE"""),"Lentes de STOCK")</f>
        <v>Lentes de STOCK</v>
      </c>
      <c r="E2176" s="1" t="str">
        <f>IFERROR(__xludf.DUMMYFUNCTION("""COMPUTED_VALUE"""),"RIVADAVIA Javier")</f>
        <v>RIVADAVIA Javier</v>
      </c>
      <c r="F2176" s="1" t="str">
        <f t="shared" si="1"/>
        <v>RIVADAVIA </v>
      </c>
      <c r="G2176" s="1" t="str">
        <f t="shared" si="2"/>
        <v>Javier</v>
      </c>
      <c r="H2176" s="1" t="str">
        <f>IFERROR(__xludf.DUMMYFUNCTION("""COMPUTED_VALUE"""),"27/2/2023, 17:00:00")</f>
        <v>27/2/2023, 17:00:00</v>
      </c>
      <c r="I2176" s="1" t="str">
        <f>IFERROR(__xludf.DUMMYFUNCTION("""COMPUTED_VALUE"""),"Recibido en Laboratorio")</f>
        <v>Recibido en Laboratorio</v>
      </c>
      <c r="J2176" s="1">
        <f t="shared" si="3"/>
        <v>2</v>
      </c>
      <c r="K2176" s="1" t="str">
        <f t="shared" si="4"/>
        <v>Nuestro Laboratorio esta trabajando en tus lentes, los entregaremos en la fecha acordada.</v>
      </c>
    </row>
    <row r="2177">
      <c r="A2177" s="1">
        <f>IFERROR(__xludf.DUMMYFUNCTION("""COMPUTED_VALUE"""),86725.0)</f>
        <v>86725</v>
      </c>
      <c r="B2177" s="5">
        <f>IFERROR(__xludf.DUMMYFUNCTION("""COMPUTED_VALUE"""),44974.53920590278)</f>
        <v>44974.53921</v>
      </c>
      <c r="C2177" s="1" t="str">
        <f>IFERROR(__xludf.DUMMYFUNCTION("""COMPUTED_VALUE"""),"di tomas mabel")</f>
        <v>di tomas mabel</v>
      </c>
      <c r="D2177" s="1" t="str">
        <f>IFERROR(__xludf.DUMMYFUNCTION("""COMPUTED_VALUE"""),"Reparaciones/Otros")</f>
        <v>Reparaciones/Otros</v>
      </c>
      <c r="E2177" s="1" t="str">
        <f>IFERROR(__xludf.DUMMYFUNCTION("""COMPUTED_VALUE"""),"RIVADAVIA Daniel CM")</f>
        <v>RIVADAVIA Daniel CM</v>
      </c>
      <c r="F2177" s="1" t="str">
        <f t="shared" si="1"/>
        <v>RIVADAVIA </v>
      </c>
      <c r="G2177" s="1" t="str">
        <f t="shared" si="2"/>
        <v>Daniel CM</v>
      </c>
      <c r="H2177" s="1" t="str">
        <f>IFERROR(__xludf.DUMMYFUNCTION("""COMPUTED_VALUE"""),"18/2/2023, 17:00:00")</f>
        <v>18/2/2023, 17:00:00</v>
      </c>
      <c r="I2177" s="1" t="str">
        <f>IFERROR(__xludf.DUMMYFUNCTION("""COMPUTED_VALUE"""),"Recibido en Laboratorio")</f>
        <v>Recibido en Laboratorio</v>
      </c>
      <c r="J2177" s="1">
        <f t="shared" si="3"/>
        <v>2</v>
      </c>
      <c r="K2177" s="1" t="str">
        <f t="shared" si="4"/>
        <v>Nuestro Laboratorio esta trabajando en tus lentes, los entregaremos en la fecha acordada.</v>
      </c>
    </row>
    <row r="2178">
      <c r="A2178" s="1">
        <f>IFERROR(__xludf.DUMMYFUNCTION("""COMPUTED_VALUE"""),86726.0)</f>
        <v>86726</v>
      </c>
      <c r="B2178" s="5">
        <f>IFERROR(__xludf.DUMMYFUNCTION("""COMPUTED_VALUE"""),44974.54144302083)</f>
        <v>44974.54144</v>
      </c>
      <c r="C2178" s="1" t="str">
        <f>IFERROR(__xludf.DUMMYFUNCTION("""COMPUTED_VALUE"""),"peralta torres rosana")</f>
        <v>peralta torres rosana</v>
      </c>
      <c r="D2178" s="1" t="str">
        <f>IFERROR(__xludf.DUMMYFUNCTION("""COMPUTED_VALUE"""),"Lentes MULTIFOCALES")</f>
        <v>Lentes MULTIFOCALES</v>
      </c>
      <c r="E2178" s="1" t="str">
        <f>IFERROR(__xludf.DUMMYFUNCTION("""COMPUTED_VALUE"""),"RIVADAVIA Santiago N")</f>
        <v>RIVADAVIA Santiago N</v>
      </c>
      <c r="F2178" s="1" t="str">
        <f t="shared" si="1"/>
        <v>RIVADAVIA </v>
      </c>
      <c r="G2178" s="1" t="str">
        <f t="shared" si="2"/>
        <v>Santiago N</v>
      </c>
      <c r="H2178" s="1" t="str">
        <f>IFERROR(__xludf.DUMMYFUNCTION("""COMPUTED_VALUE"""),"2/3/2023, 17:00:00")</f>
        <v>2/3/2023, 17:00:00</v>
      </c>
      <c r="I2178" s="1" t="str">
        <f>IFERROR(__xludf.DUMMYFUNCTION("""COMPUTED_VALUE"""),"Completado en SUCURSAL")</f>
        <v>Completado en SUCURSAL</v>
      </c>
      <c r="J2178" s="1">
        <f t="shared" si="3"/>
        <v>5</v>
      </c>
      <c r="K2178" s="1" t="str">
        <f t="shared" si="4"/>
        <v>Tus Lentes estan LISTAS PARA ENTREGAR, te esperamos.</v>
      </c>
    </row>
    <row r="2179">
      <c r="A2179" s="1">
        <f>IFERROR(__xludf.DUMMYFUNCTION("""COMPUTED_VALUE"""),86727.0)</f>
        <v>86727</v>
      </c>
      <c r="B2179" s="5">
        <f>IFERROR(__xludf.DUMMYFUNCTION("""COMPUTED_VALUE"""),44974.542123113424)</f>
        <v>44974.54212</v>
      </c>
      <c r="C2179" s="1" t="str">
        <f>IFERROR(__xludf.DUMMYFUNCTION("""COMPUTED_VALUE"""),"FLORES CLAUDIA")</f>
        <v>FLORES CLAUDIA</v>
      </c>
      <c r="D2179" s="1" t="str">
        <f>IFERROR(__xludf.DUMMYFUNCTION("""COMPUTED_VALUE"""),"Lentes de STOCK")</f>
        <v>Lentes de STOCK</v>
      </c>
      <c r="E2179" s="1" t="str">
        <f>IFERROR(__xludf.DUMMYFUNCTION("""COMPUTED_VALUE"""),"ARTIGAS Roció")</f>
        <v>ARTIGAS Roció</v>
      </c>
      <c r="F2179" s="1" t="str">
        <f t="shared" si="1"/>
        <v>ARTIGAS </v>
      </c>
      <c r="G2179" s="1" t="str">
        <f t="shared" si="2"/>
        <v>Roció</v>
      </c>
      <c r="H2179" s="1" t="str">
        <f>IFERROR(__xludf.DUMMYFUNCTION("""COMPUTED_VALUE"""),"27/2/2023, 17:00:00")</f>
        <v>27/2/2023, 17:00:00</v>
      </c>
      <c r="I2179" s="1" t="str">
        <f>IFERROR(__xludf.DUMMYFUNCTION("""COMPUTED_VALUE"""),"Completado en SUCURSAL")</f>
        <v>Completado en SUCURSAL</v>
      </c>
      <c r="J2179" s="1">
        <f t="shared" si="3"/>
        <v>5</v>
      </c>
      <c r="K2179" s="1" t="str">
        <f t="shared" si="4"/>
        <v>Tus Lentes estan LISTAS PARA ENTREGAR, te esperamos.</v>
      </c>
    </row>
    <row r="2180">
      <c r="A2180" s="1">
        <f>IFERROR(__xludf.DUMMYFUNCTION("""COMPUTED_VALUE"""),86728.0)</f>
        <v>86728</v>
      </c>
      <c r="B2180" s="5">
        <f>IFERROR(__xludf.DUMMYFUNCTION("""COMPUTED_VALUE"""),44974.54856726852)</f>
        <v>44974.54857</v>
      </c>
      <c r="C2180" s="1" t="str">
        <f>IFERROR(__xludf.DUMMYFUNCTION("""COMPUTED_VALUE"""),"heredia luis")</f>
        <v>heredia luis</v>
      </c>
      <c r="D2180" s="1" t="str">
        <f>IFERROR(__xludf.DUMMYFUNCTION("""COMPUTED_VALUE"""),"Lentes de STOCK")</f>
        <v>Lentes de STOCK</v>
      </c>
      <c r="E2180" s="1" t="str">
        <f>IFERROR(__xludf.DUMMYFUNCTION("""COMPUTED_VALUE"""),"RIVADAVIA Santiago N")</f>
        <v>RIVADAVIA Santiago N</v>
      </c>
      <c r="F2180" s="1" t="str">
        <f t="shared" si="1"/>
        <v>RIVADAVIA </v>
      </c>
      <c r="G2180" s="1" t="str">
        <f t="shared" si="2"/>
        <v>Santiago N</v>
      </c>
      <c r="H2180" s="1" t="str">
        <f>IFERROR(__xludf.DUMMYFUNCTION("""COMPUTED_VALUE"""),"22/2/2023, 17:00:00")</f>
        <v>22/2/2023, 17:00:00</v>
      </c>
      <c r="I2180" s="1" t="str">
        <f>IFERROR(__xludf.DUMMYFUNCTION("""COMPUTED_VALUE"""),"RETIRADO OK POR CLIENTE")</f>
        <v>RETIRADO OK POR CLIENTE</v>
      </c>
      <c r="J2180" s="1">
        <f t="shared" si="3"/>
        <v>6</v>
      </c>
      <c r="K2180" s="1" t="str">
        <f t="shared" si="4"/>
        <v>Entregamos tus lentes, que los disfrutes!</v>
      </c>
    </row>
    <row r="2181">
      <c r="A2181" s="1">
        <f>IFERROR(__xludf.DUMMYFUNCTION("""COMPUTED_VALUE"""),86729.0)</f>
        <v>86729</v>
      </c>
      <c r="B2181" s="5">
        <f>IFERROR(__xludf.DUMMYFUNCTION("""COMPUTED_VALUE"""),44974.54925445602)</f>
        <v>44974.54925</v>
      </c>
      <c r="C2181" s="1" t="str">
        <f>IFERROR(__xludf.DUMMYFUNCTION("""COMPUTED_VALUE"""),"JOFRE ROSA")</f>
        <v>JOFRE ROSA</v>
      </c>
      <c r="D2181" s="1" t="str">
        <f>IFERROR(__xludf.DUMMYFUNCTION("""COMPUTED_VALUE"""),"Lentes de STOCK")</f>
        <v>Lentes de STOCK</v>
      </c>
      <c r="E2181" s="1" t="str">
        <f>IFERROR(__xludf.DUMMYFUNCTION("""COMPUTED_VALUE"""),"RIVADAVIA Luciana")</f>
        <v>RIVADAVIA Luciana</v>
      </c>
      <c r="F2181" s="1" t="str">
        <f t="shared" si="1"/>
        <v>RIVADAVIA </v>
      </c>
      <c r="G2181" s="1" t="str">
        <f t="shared" si="2"/>
        <v>Luciana</v>
      </c>
      <c r="H2181" s="1" t="str">
        <f>IFERROR(__xludf.DUMMYFUNCTION("""COMPUTED_VALUE"""),"27/2/2023, 17:00:00")</f>
        <v>27/2/2023, 17:00:00</v>
      </c>
      <c r="I2181" s="1" t="str">
        <f>IFERROR(__xludf.DUMMYFUNCTION("""COMPUTED_VALUE"""),"Completado en SUCURSAL")</f>
        <v>Completado en SUCURSAL</v>
      </c>
      <c r="J2181" s="1">
        <f t="shared" si="3"/>
        <v>5</v>
      </c>
      <c r="K2181" s="1" t="str">
        <f t="shared" si="4"/>
        <v>Tus Lentes estan LISTAS PARA ENTREGAR, te esperamos.</v>
      </c>
    </row>
    <row r="2182">
      <c r="A2182" s="1">
        <f>IFERROR(__xludf.DUMMYFUNCTION("""COMPUTED_VALUE"""),86730.0)</f>
        <v>86730</v>
      </c>
      <c r="B2182" s="5">
        <f>IFERROR(__xludf.DUMMYFUNCTION("""COMPUTED_VALUE"""),44974.564731527775)</f>
        <v>44974.56473</v>
      </c>
      <c r="C2182" s="1" t="str">
        <f>IFERROR(__xludf.DUMMYFUNCTION("""COMPUTED_VALUE"""),"GODOY BAUTISTA ")</f>
        <v>GODOY BAUTISTA </v>
      </c>
      <c r="D2182" s="1" t="str">
        <f>IFERROR(__xludf.DUMMYFUNCTION("""COMPUTED_VALUE"""),"Lentes de STOCK")</f>
        <v>Lentes de STOCK</v>
      </c>
      <c r="E2182" s="1" t="str">
        <f>IFERROR(__xludf.DUMMYFUNCTION("""COMPUTED_VALUE"""),"RIVADAVIA Luciana")</f>
        <v>RIVADAVIA Luciana</v>
      </c>
      <c r="F2182" s="1" t="str">
        <f t="shared" si="1"/>
        <v>RIVADAVIA </v>
      </c>
      <c r="G2182" s="1" t="str">
        <f t="shared" si="2"/>
        <v>Luciana</v>
      </c>
      <c r="H2182" s="1" t="str">
        <f>IFERROR(__xludf.DUMMYFUNCTION("""COMPUTED_VALUE"""),"28/2/2023, 17:00:00")</f>
        <v>28/2/2023, 17:00:00</v>
      </c>
      <c r="I2182" s="1" t="str">
        <f>IFERROR(__xludf.DUMMYFUNCTION("""COMPUTED_VALUE"""),"Completado en SUCURSAL")</f>
        <v>Completado en SUCURSAL</v>
      </c>
      <c r="J2182" s="1">
        <f t="shared" si="3"/>
        <v>5</v>
      </c>
      <c r="K2182" s="1" t="str">
        <f t="shared" si="4"/>
        <v>Tus Lentes estan LISTAS PARA ENTREGAR, te esperamos.</v>
      </c>
    </row>
    <row r="2183">
      <c r="A2183" s="1">
        <f>IFERROR(__xludf.DUMMYFUNCTION("""COMPUTED_VALUE"""),86731.0)</f>
        <v>86731</v>
      </c>
      <c r="B2183" s="5">
        <f>IFERROR(__xludf.DUMMYFUNCTION("""COMPUTED_VALUE"""),44974.62535194444)</f>
        <v>44974.62535</v>
      </c>
      <c r="C2183" s="1" t="str">
        <f>IFERROR(__xludf.DUMMYFUNCTION("""COMPUTED_VALUE"""),"Robles Patricia")</f>
        <v>Robles Patricia</v>
      </c>
      <c r="D2183" s="1" t="str">
        <f>IFERROR(__xludf.DUMMYFUNCTION("""COMPUTED_VALUE"""),"Lentes de STOCK")</f>
        <v>Lentes de STOCK</v>
      </c>
      <c r="E2183" s="1" t="str">
        <f>IFERROR(__xludf.DUMMYFUNCTION("""COMPUTED_VALUE"""),"ARTIGAS Roció")</f>
        <v>ARTIGAS Roció</v>
      </c>
      <c r="F2183" s="1" t="str">
        <f t="shared" si="1"/>
        <v>ARTIGAS </v>
      </c>
      <c r="G2183" s="1" t="str">
        <f t="shared" si="2"/>
        <v>Roció</v>
      </c>
      <c r="H2183" s="1" t="str">
        <f>IFERROR(__xludf.DUMMYFUNCTION("""COMPUTED_VALUE"""),"22/2/2023, 17:00:00")</f>
        <v>22/2/2023, 17:00:00</v>
      </c>
      <c r="I2183" s="1"/>
      <c r="J2183" s="1">
        <f t="shared" si="3"/>
        <v>0</v>
      </c>
      <c r="K2183" s="1" t="str">
        <f t="shared" si="4"/>
        <v/>
      </c>
    </row>
    <row r="2184">
      <c r="A2184" s="1">
        <f>IFERROR(__xludf.DUMMYFUNCTION("""COMPUTED_VALUE"""),86732.0)</f>
        <v>86732</v>
      </c>
      <c r="B2184" s="5">
        <f>IFERROR(__xludf.DUMMYFUNCTION("""COMPUTED_VALUE"""),44974.6763481713)</f>
        <v>44974.67635</v>
      </c>
      <c r="C2184" s="1" t="str">
        <f>IFERROR(__xludf.DUMMYFUNCTION("""COMPUTED_VALUE"""),"AÑES XIOMARA")</f>
        <v>AÑES XIOMARA</v>
      </c>
      <c r="D2184" s="1" t="str">
        <f>IFERROR(__xludf.DUMMYFUNCTION("""COMPUTED_VALUE"""),"Lentes de STOCK")</f>
        <v>Lentes de STOCK</v>
      </c>
      <c r="E2184" s="1" t="str">
        <f>IFERROR(__xludf.DUMMYFUNCTION("""COMPUTED_VALUE"""),"ARTIGAS Roció")</f>
        <v>ARTIGAS Roció</v>
      </c>
      <c r="F2184" s="1" t="str">
        <f t="shared" si="1"/>
        <v>ARTIGAS </v>
      </c>
      <c r="G2184" s="1" t="str">
        <f t="shared" si="2"/>
        <v>Roció</v>
      </c>
      <c r="H2184" s="1" t="str">
        <f>IFERROR(__xludf.DUMMYFUNCTION("""COMPUTED_VALUE"""),"22/2/2023, 17:00:00")</f>
        <v>22/2/2023, 17:00:00</v>
      </c>
      <c r="I2184" s="1" t="str">
        <f>IFERROR(__xludf.DUMMYFUNCTION("""COMPUTED_VALUE"""),"RETIRADO OK POR CLIENTE")</f>
        <v>RETIRADO OK POR CLIENTE</v>
      </c>
      <c r="J2184" s="1">
        <f t="shared" si="3"/>
        <v>6</v>
      </c>
      <c r="K2184" s="1" t="str">
        <f t="shared" si="4"/>
        <v>Entregamos tus lentes, que los disfrutes!</v>
      </c>
    </row>
    <row r="2185">
      <c r="A2185" s="1">
        <f>IFERROR(__xludf.DUMMYFUNCTION("""COMPUTED_VALUE"""),86733.0)</f>
        <v>86733</v>
      </c>
      <c r="B2185" s="5">
        <f>IFERROR(__xludf.DUMMYFUNCTION("""COMPUTED_VALUE"""),44974.719245706015)</f>
        <v>44974.71925</v>
      </c>
      <c r="C2185" s="1" t="str">
        <f>IFERROR(__xludf.DUMMYFUNCTION("""COMPUTED_VALUE"""),"GARRAZA LUCIANA")</f>
        <v>GARRAZA LUCIANA</v>
      </c>
      <c r="D2185" s="1" t="str">
        <f>IFERROR(__xludf.DUMMYFUNCTION("""COMPUTED_VALUE"""),"Lentes de STOCK")</f>
        <v>Lentes de STOCK</v>
      </c>
      <c r="E2185" s="1" t="str">
        <f>IFERROR(__xludf.DUMMYFUNCTION("""COMPUTED_VALUE"""),"RIVADAVIA Santiago N")</f>
        <v>RIVADAVIA Santiago N</v>
      </c>
      <c r="F2185" s="1" t="str">
        <f t="shared" si="1"/>
        <v>RIVADAVIA </v>
      </c>
      <c r="G2185" s="1" t="str">
        <f t="shared" si="2"/>
        <v>Santiago N</v>
      </c>
      <c r="H2185" s="1" t="str">
        <f>IFERROR(__xludf.DUMMYFUNCTION("""COMPUTED_VALUE"""),"22/2/2023, 17:00:00")</f>
        <v>22/2/2023, 17:00:00</v>
      </c>
      <c r="I2185" s="1" t="str">
        <f>IFERROR(__xludf.DUMMYFUNCTION("""COMPUTED_VALUE"""),"Completado en SUCURSAL")</f>
        <v>Completado en SUCURSAL</v>
      </c>
      <c r="J2185" s="1">
        <f t="shared" si="3"/>
        <v>5</v>
      </c>
      <c r="K2185" s="1" t="str">
        <f t="shared" si="4"/>
        <v>Tus Lentes estan LISTAS PARA ENTREGAR, te esperamos.</v>
      </c>
    </row>
    <row r="2186">
      <c r="A2186" s="1">
        <f>IFERROR(__xludf.DUMMYFUNCTION("""COMPUTED_VALUE"""),86734.0)</f>
        <v>86734</v>
      </c>
      <c r="B2186" s="5">
        <f>IFERROR(__xludf.DUMMYFUNCTION("""COMPUTED_VALUE"""),44974.73055127315)</f>
        <v>44974.73055</v>
      </c>
      <c r="C2186" s="1" t="str">
        <f>IFERROR(__xludf.DUMMYFUNCTION("""COMPUTED_VALUE"""),"CARBONARO MARIA")</f>
        <v>CARBONARO MARIA</v>
      </c>
      <c r="D2186" s="1" t="str">
        <f>IFERROR(__xludf.DUMMYFUNCTION("""COMPUTED_VALUE"""),"Lentes de STOCK")</f>
        <v>Lentes de STOCK</v>
      </c>
      <c r="E2186" s="1" t="str">
        <f>IFERROR(__xludf.DUMMYFUNCTION("""COMPUTED_VALUE"""),"ARTIGAS Roció")</f>
        <v>ARTIGAS Roció</v>
      </c>
      <c r="F2186" s="1" t="str">
        <f t="shared" si="1"/>
        <v>ARTIGAS </v>
      </c>
      <c r="G2186" s="1" t="str">
        <f t="shared" si="2"/>
        <v>Roció</v>
      </c>
      <c r="H2186" s="1" t="str">
        <f>IFERROR(__xludf.DUMMYFUNCTION("""COMPUTED_VALUE"""),"22/2/2023, 17:00:00")</f>
        <v>22/2/2023, 17:00:00</v>
      </c>
      <c r="I2186" s="1" t="str">
        <f>IFERROR(__xludf.DUMMYFUNCTION("""COMPUTED_VALUE"""),"Completado en SUCURSAL")</f>
        <v>Completado en SUCURSAL</v>
      </c>
      <c r="J2186" s="1">
        <f t="shared" si="3"/>
        <v>5</v>
      </c>
      <c r="K2186" s="1" t="str">
        <f t="shared" si="4"/>
        <v>Tus Lentes estan LISTAS PARA ENTREGAR, te esperamos.</v>
      </c>
    </row>
    <row r="2187">
      <c r="A2187" s="1">
        <f>IFERROR(__xludf.DUMMYFUNCTION("""COMPUTED_VALUE"""),86735.0)</f>
        <v>86735</v>
      </c>
      <c r="B2187" s="5">
        <f>IFERROR(__xludf.DUMMYFUNCTION("""COMPUTED_VALUE"""),44974.73769040509)</f>
        <v>44974.73769</v>
      </c>
      <c r="C2187" s="1" t="str">
        <f>IFERROR(__xludf.DUMMYFUNCTION("""COMPUTED_VALUE"""),"PEREZ FELIPA MABEL")</f>
        <v>PEREZ FELIPA MABEL</v>
      </c>
      <c r="D2187" s="1" t="str">
        <f>IFERROR(__xludf.DUMMYFUNCTION("""COMPUTED_VALUE"""),"Lentes de STOCK")</f>
        <v>Lentes de STOCK</v>
      </c>
      <c r="E2187" s="1" t="str">
        <f>IFERROR(__xludf.DUMMYFUNCTION("""COMPUTED_VALUE"""),"RIVADAVIA Santiago N")</f>
        <v>RIVADAVIA Santiago N</v>
      </c>
      <c r="F2187" s="1" t="str">
        <f t="shared" si="1"/>
        <v>RIVADAVIA </v>
      </c>
      <c r="G2187" s="1" t="str">
        <f t="shared" si="2"/>
        <v>Santiago N</v>
      </c>
      <c r="H2187" s="1" t="str">
        <f>IFERROR(__xludf.DUMMYFUNCTION("""COMPUTED_VALUE"""),"22/2/2023, 17:00:00")</f>
        <v>22/2/2023, 17:00:00</v>
      </c>
      <c r="I2187" s="1" t="str">
        <f>IFERROR(__xludf.DUMMYFUNCTION("""COMPUTED_VALUE"""),"RETIRADO OK POR CLIENTE")</f>
        <v>RETIRADO OK POR CLIENTE</v>
      </c>
      <c r="J2187" s="1">
        <f t="shared" si="3"/>
        <v>6</v>
      </c>
      <c r="K2187" s="1" t="str">
        <f t="shared" si="4"/>
        <v>Entregamos tus lentes, que los disfrutes!</v>
      </c>
    </row>
    <row r="2188">
      <c r="A2188" s="1">
        <f>IFERROR(__xludf.DUMMYFUNCTION("""COMPUTED_VALUE"""),86736.0)</f>
        <v>86736</v>
      </c>
      <c r="B2188" s="5">
        <f>IFERROR(__xludf.DUMMYFUNCTION("""COMPUTED_VALUE"""),44974.741882766204)</f>
        <v>44974.74188</v>
      </c>
      <c r="C2188" s="1" t="str">
        <f>IFERROR(__xludf.DUMMYFUNCTION("""COMPUTED_VALUE"""),"BUSTAMANTE PRISCILA ")</f>
        <v>BUSTAMANTE PRISCILA </v>
      </c>
      <c r="D2188" s="1" t="str">
        <f>IFERROR(__xludf.DUMMYFUNCTION("""COMPUTED_VALUE"""),"Lentes de STOCK")</f>
        <v>Lentes de STOCK</v>
      </c>
      <c r="E2188" s="1" t="str">
        <f>IFERROR(__xludf.DUMMYFUNCTION("""COMPUTED_VALUE"""),"RIVADAVIA Luciana")</f>
        <v>RIVADAVIA Luciana</v>
      </c>
      <c r="F2188" s="1" t="str">
        <f t="shared" si="1"/>
        <v>RIVADAVIA </v>
      </c>
      <c r="G2188" s="1" t="str">
        <f t="shared" si="2"/>
        <v>Luciana</v>
      </c>
      <c r="H2188" s="1" t="str">
        <f>IFERROR(__xludf.DUMMYFUNCTION("""COMPUTED_VALUE"""),"27/2/2023, 17:00:00")</f>
        <v>27/2/2023, 17:00:00</v>
      </c>
      <c r="I2188" s="1" t="str">
        <f>IFERROR(__xludf.DUMMYFUNCTION("""COMPUTED_VALUE"""),"Completado en SUCURSAL")</f>
        <v>Completado en SUCURSAL</v>
      </c>
      <c r="J2188" s="1">
        <f t="shared" si="3"/>
        <v>5</v>
      </c>
      <c r="K2188" s="1" t="str">
        <f t="shared" si="4"/>
        <v>Tus Lentes estan LISTAS PARA ENTREGAR, te esperamos.</v>
      </c>
    </row>
    <row r="2189">
      <c r="A2189" s="1">
        <f>IFERROR(__xludf.DUMMYFUNCTION("""COMPUTED_VALUE"""),86737.0)</f>
        <v>86737</v>
      </c>
      <c r="B2189" s="5">
        <f>IFERROR(__xludf.DUMMYFUNCTION("""COMPUTED_VALUE"""),44974.7447344213)</f>
        <v>44974.74473</v>
      </c>
      <c r="C2189" s="1" t="str">
        <f>IFERROR(__xludf.DUMMYFUNCTION("""COMPUTED_VALUE"""),"sancho tomas ")</f>
        <v>sancho tomas </v>
      </c>
      <c r="D2189" s="1" t="str">
        <f>IFERROR(__xludf.DUMMYFUNCTION("""COMPUTED_VALUE"""),"Lentes de STOCK")</f>
        <v>Lentes de STOCK</v>
      </c>
      <c r="E2189" s="1" t="str">
        <f>IFERROR(__xludf.DUMMYFUNCTION("""COMPUTED_VALUE"""),"RIVADAVIA Santiago N")</f>
        <v>RIVADAVIA Santiago N</v>
      </c>
      <c r="F2189" s="1" t="str">
        <f t="shared" si="1"/>
        <v>RIVADAVIA </v>
      </c>
      <c r="G2189" s="1" t="str">
        <f t="shared" si="2"/>
        <v>Santiago N</v>
      </c>
      <c r="H2189" s="1" t="str">
        <f>IFERROR(__xludf.DUMMYFUNCTION("""COMPUTED_VALUE"""),"22/2/2023, 17:00:00")</f>
        <v>22/2/2023, 17:00:00</v>
      </c>
      <c r="I2189" s="1" t="str">
        <f>IFERROR(__xludf.DUMMYFUNCTION("""COMPUTED_VALUE"""),"Completado en SUCURSAL")</f>
        <v>Completado en SUCURSAL</v>
      </c>
      <c r="J2189" s="1">
        <f t="shared" si="3"/>
        <v>5</v>
      </c>
      <c r="K2189" s="1" t="str">
        <f t="shared" si="4"/>
        <v>Tus Lentes estan LISTAS PARA ENTREGAR, te esperamos.</v>
      </c>
    </row>
    <row r="2190">
      <c r="A2190" s="1">
        <f>IFERROR(__xludf.DUMMYFUNCTION("""COMPUTED_VALUE"""),86738.0)</f>
        <v>86738</v>
      </c>
      <c r="B2190" s="5">
        <f>IFERROR(__xludf.DUMMYFUNCTION("""COMPUTED_VALUE"""),44974.74959337963)</f>
        <v>44974.74959</v>
      </c>
      <c r="C2190" s="1" t="str">
        <f>IFERROR(__xludf.DUMMYFUNCTION("""COMPUTED_VALUE"""),"davila mara")</f>
        <v>davila mara</v>
      </c>
      <c r="D2190" s="1" t="str">
        <f>IFERROR(__xludf.DUMMYFUNCTION("""COMPUTED_VALUE"""),"Lentes de STOCK")</f>
        <v>Lentes de STOCK</v>
      </c>
      <c r="E2190" s="1" t="str">
        <f>IFERROR(__xludf.DUMMYFUNCTION("""COMPUTED_VALUE"""),"RIVADAVIA Santiago N")</f>
        <v>RIVADAVIA Santiago N</v>
      </c>
      <c r="F2190" s="1" t="str">
        <f t="shared" si="1"/>
        <v>RIVADAVIA </v>
      </c>
      <c r="G2190" s="1" t="str">
        <f t="shared" si="2"/>
        <v>Santiago N</v>
      </c>
      <c r="H2190" s="1" t="str">
        <f>IFERROR(__xludf.DUMMYFUNCTION("""COMPUTED_VALUE"""),"22/2/2023, 17:00:00")</f>
        <v>22/2/2023, 17:00:00</v>
      </c>
      <c r="I2190" s="1" t="str">
        <f>IFERROR(__xludf.DUMMYFUNCTION("""COMPUTED_VALUE"""),"Completado en SUCURSAL")</f>
        <v>Completado en SUCURSAL</v>
      </c>
      <c r="J2190" s="1">
        <f t="shared" si="3"/>
        <v>5</v>
      </c>
      <c r="K2190" s="1" t="str">
        <f t="shared" si="4"/>
        <v>Tus Lentes estan LISTAS PARA ENTREGAR, te esperamos.</v>
      </c>
    </row>
    <row r="2191">
      <c r="A2191" s="1">
        <f>IFERROR(__xludf.DUMMYFUNCTION("""COMPUTED_VALUE"""),86739.0)</f>
        <v>86739</v>
      </c>
      <c r="B2191" s="5">
        <f>IFERROR(__xludf.DUMMYFUNCTION("""COMPUTED_VALUE"""),44974.7535324537)</f>
        <v>44974.75353</v>
      </c>
      <c r="C2191" s="1" t="str">
        <f>IFERROR(__xludf.DUMMYFUNCTION("""COMPUTED_VALUE"""),"VILLEGAS MATIAS / CANNON")</f>
        <v>VILLEGAS MATIAS / CANNON</v>
      </c>
      <c r="D2191" s="1" t="str">
        <f>IFERROR(__xludf.DUMMYFUNCTION("""COMPUTED_VALUE"""),"Lentes de STOCK")</f>
        <v>Lentes de STOCK</v>
      </c>
      <c r="E2191" s="1" t="str">
        <f>IFERROR(__xludf.DUMMYFUNCTION("""COMPUTED_VALUE"""),"ARTIGAS Ivana P.")</f>
        <v>ARTIGAS Ivana P.</v>
      </c>
      <c r="F2191" s="1" t="str">
        <f t="shared" si="1"/>
        <v>ARTIGAS </v>
      </c>
      <c r="G2191" s="1" t="str">
        <f t="shared" si="2"/>
        <v>Ivana P.</v>
      </c>
      <c r="H2191" s="1" t="str">
        <f>IFERROR(__xludf.DUMMYFUNCTION("""COMPUTED_VALUE"""),"24/2/2023, 17:00:00")</f>
        <v>24/2/2023, 17:00:00</v>
      </c>
      <c r="I2191" s="1" t="str">
        <f>IFERROR(__xludf.DUMMYFUNCTION("""COMPUTED_VALUE"""),"Completado en SUCURSAL")</f>
        <v>Completado en SUCURSAL</v>
      </c>
      <c r="J2191" s="1">
        <f t="shared" si="3"/>
        <v>5</v>
      </c>
      <c r="K2191" s="1" t="str">
        <f t="shared" si="4"/>
        <v>Tus Lentes estan LISTAS PARA ENTREGAR, te esperamos.</v>
      </c>
    </row>
    <row r="2192">
      <c r="A2192" s="1">
        <f>IFERROR(__xludf.DUMMYFUNCTION("""COMPUTED_VALUE"""),86740.0)</f>
        <v>86740</v>
      </c>
      <c r="B2192" s="5">
        <f>IFERROR(__xludf.DUMMYFUNCTION("""COMPUTED_VALUE"""),44974.75391328704)</f>
        <v>44974.75391</v>
      </c>
      <c r="C2192" s="1" t="str">
        <f>IFERROR(__xludf.DUMMYFUNCTION("""COMPUTED_VALUE"""),"ALTAMIRANO MIGUEL ")</f>
        <v>ALTAMIRANO MIGUEL </v>
      </c>
      <c r="D2192" s="1" t="str">
        <f>IFERROR(__xludf.DUMMYFUNCTION("""COMPUTED_VALUE"""),"Lentes de STOCK")</f>
        <v>Lentes de STOCK</v>
      </c>
      <c r="E2192" s="1" t="str">
        <f>IFERROR(__xludf.DUMMYFUNCTION("""COMPUTED_VALUE"""),"RIVADAVIA Javier")</f>
        <v>RIVADAVIA Javier</v>
      </c>
      <c r="F2192" s="1" t="str">
        <f t="shared" si="1"/>
        <v>RIVADAVIA </v>
      </c>
      <c r="G2192" s="1" t="str">
        <f t="shared" si="2"/>
        <v>Javier</v>
      </c>
      <c r="H2192" s="1" t="str">
        <f>IFERROR(__xludf.DUMMYFUNCTION("""COMPUTED_VALUE"""),"28/2/2023, 17:00:00")</f>
        <v>28/2/2023, 17:00:00</v>
      </c>
      <c r="I2192" s="1" t="str">
        <f>IFERROR(__xludf.DUMMYFUNCTION("""COMPUTED_VALUE"""),"Completado en SUCURSAL")</f>
        <v>Completado en SUCURSAL</v>
      </c>
      <c r="J2192" s="1">
        <f t="shared" si="3"/>
        <v>5</v>
      </c>
      <c r="K2192" s="1" t="str">
        <f t="shared" si="4"/>
        <v>Tus Lentes estan LISTAS PARA ENTREGAR, te esperamos.</v>
      </c>
    </row>
    <row r="2193">
      <c r="A2193" s="1">
        <f>IFERROR(__xludf.DUMMYFUNCTION("""COMPUTED_VALUE"""),86741.0)</f>
        <v>86741</v>
      </c>
      <c r="B2193" s="5">
        <f>IFERROR(__xludf.DUMMYFUNCTION("""COMPUTED_VALUE"""),44974.7556266551)</f>
        <v>44974.75563</v>
      </c>
      <c r="C2193" s="1" t="str">
        <f>IFERROR(__xludf.DUMMYFUNCTION("""COMPUTED_VALUE"""),"PUEBLA VERONICA ")</f>
        <v>PUEBLA VERONICA </v>
      </c>
      <c r="D2193" s="1" t="str">
        <f>IFERROR(__xludf.DUMMYFUNCTION("""COMPUTED_VALUE"""),"Lentes de STOCK")</f>
        <v>Lentes de STOCK</v>
      </c>
      <c r="E2193" s="1" t="str">
        <f>IFERROR(__xludf.DUMMYFUNCTION("""COMPUTED_VALUE"""),"ARTIGAS Ivana P.")</f>
        <v>ARTIGAS Ivana P.</v>
      </c>
      <c r="F2193" s="1" t="str">
        <f t="shared" si="1"/>
        <v>ARTIGAS </v>
      </c>
      <c r="G2193" s="1" t="str">
        <f t="shared" si="2"/>
        <v>Ivana P.</v>
      </c>
      <c r="H2193" s="1" t="str">
        <f>IFERROR(__xludf.DUMMYFUNCTION("""COMPUTED_VALUE"""),"23/2/2023, 17:00:00")</f>
        <v>23/2/2023, 17:00:00</v>
      </c>
      <c r="I2193" s="1" t="str">
        <f>IFERROR(__xludf.DUMMYFUNCTION("""COMPUTED_VALUE"""),"RETIRADO OK POR CLIENTE")</f>
        <v>RETIRADO OK POR CLIENTE</v>
      </c>
      <c r="J2193" s="1">
        <f t="shared" si="3"/>
        <v>6</v>
      </c>
      <c r="K2193" s="1" t="str">
        <f t="shared" si="4"/>
        <v>Entregamos tus lentes, que los disfrutes!</v>
      </c>
    </row>
    <row r="2194">
      <c r="A2194" s="1">
        <f>IFERROR(__xludf.DUMMYFUNCTION("""COMPUTED_VALUE"""),86742.0)</f>
        <v>86742</v>
      </c>
      <c r="B2194" s="5">
        <f>IFERROR(__xludf.DUMMYFUNCTION("""COMPUTED_VALUE"""),44974.75810237268)</f>
        <v>44974.7581</v>
      </c>
      <c r="C2194" s="1" t="str">
        <f>IFERROR(__xludf.DUMMYFUNCTION("""COMPUTED_VALUE"""),"MUÑOZ RICARDO")</f>
        <v>MUÑOZ RICARDO</v>
      </c>
      <c r="D2194" s="1" t="str">
        <f>IFERROR(__xludf.DUMMYFUNCTION("""COMPUTED_VALUE"""),"Lentes de STOCK")</f>
        <v>Lentes de STOCK</v>
      </c>
      <c r="E2194" s="1" t="str">
        <f>IFERROR(__xludf.DUMMYFUNCTION("""COMPUTED_VALUE"""),"RIVADAVIA Javier")</f>
        <v>RIVADAVIA Javier</v>
      </c>
      <c r="F2194" s="1" t="str">
        <f t="shared" si="1"/>
        <v>RIVADAVIA </v>
      </c>
      <c r="G2194" s="1" t="str">
        <f t="shared" si="2"/>
        <v>Javier</v>
      </c>
      <c r="H2194" s="1" t="str">
        <f>IFERROR(__xludf.DUMMYFUNCTION("""COMPUTED_VALUE"""),"28/2/2023, 17:00:00")</f>
        <v>28/2/2023, 17:00:00</v>
      </c>
      <c r="I2194" s="1" t="str">
        <f>IFERROR(__xludf.DUMMYFUNCTION("""COMPUTED_VALUE"""),"Completado en SUCURSAL")</f>
        <v>Completado en SUCURSAL</v>
      </c>
      <c r="J2194" s="1">
        <f t="shared" si="3"/>
        <v>5</v>
      </c>
      <c r="K2194" s="1" t="str">
        <f t="shared" si="4"/>
        <v>Tus Lentes estan LISTAS PARA ENTREGAR, te esperamos.</v>
      </c>
    </row>
    <row r="2195">
      <c r="A2195" s="1">
        <f>IFERROR(__xludf.DUMMYFUNCTION("""COMPUTED_VALUE"""),86743.0)</f>
        <v>86743</v>
      </c>
      <c r="B2195" s="5">
        <f>IFERROR(__xludf.DUMMYFUNCTION("""COMPUTED_VALUE"""),44974.76726944445)</f>
        <v>44974.76727</v>
      </c>
      <c r="C2195" s="1" t="str">
        <f>IFERROR(__xludf.DUMMYFUNCTION("""COMPUTED_VALUE"""),"ALCARAZ EBER ")</f>
        <v>ALCARAZ EBER </v>
      </c>
      <c r="D2195" s="1" t="str">
        <f>IFERROR(__xludf.DUMMYFUNCTION("""COMPUTED_VALUE"""),"Lentes de STOCK")</f>
        <v>Lentes de STOCK</v>
      </c>
      <c r="E2195" s="1" t="str">
        <f>IFERROR(__xludf.DUMMYFUNCTION("""COMPUTED_VALUE"""),"ARTIGAS Roció")</f>
        <v>ARTIGAS Roció</v>
      </c>
      <c r="F2195" s="1" t="str">
        <f t="shared" si="1"/>
        <v>ARTIGAS </v>
      </c>
      <c r="G2195" s="1" t="str">
        <f t="shared" si="2"/>
        <v>Roció</v>
      </c>
      <c r="H2195" s="1" t="str">
        <f>IFERROR(__xludf.DUMMYFUNCTION("""COMPUTED_VALUE"""),"24/2/2023, 17:00:00")</f>
        <v>24/2/2023, 17:00:00</v>
      </c>
      <c r="I2195" s="1" t="str">
        <f>IFERROR(__xludf.DUMMYFUNCTION("""COMPUTED_VALUE"""),"RETIRADO OK POR CLIENTE")</f>
        <v>RETIRADO OK POR CLIENTE</v>
      </c>
      <c r="J2195" s="1">
        <f t="shared" si="3"/>
        <v>6</v>
      </c>
      <c r="K2195" s="1" t="str">
        <f t="shared" si="4"/>
        <v>Entregamos tus lentes, que los disfrutes!</v>
      </c>
    </row>
    <row r="2196">
      <c r="A2196" s="1">
        <f>IFERROR(__xludf.DUMMYFUNCTION("""COMPUTED_VALUE"""),86744.0)</f>
        <v>86744</v>
      </c>
      <c r="B2196" s="5">
        <f>IFERROR(__xludf.DUMMYFUNCTION("""COMPUTED_VALUE"""),44974.7713325463)</f>
        <v>44974.77133</v>
      </c>
      <c r="C2196" s="1" t="str">
        <f>IFERROR(__xludf.DUMMYFUNCTION("""COMPUTED_VALUE"""),"ORO ARCE CARLA")</f>
        <v>ORO ARCE CARLA</v>
      </c>
      <c r="D2196" s="1" t="str">
        <f>IFERROR(__xludf.DUMMYFUNCTION("""COMPUTED_VALUE"""),"Lentes de STOCK")</f>
        <v>Lentes de STOCK</v>
      </c>
      <c r="E2196" s="1" t="str">
        <f>IFERROR(__xludf.DUMMYFUNCTION("""COMPUTED_VALUE"""),"ARTIGAS Ivana P.")</f>
        <v>ARTIGAS Ivana P.</v>
      </c>
      <c r="F2196" s="1" t="str">
        <f t="shared" si="1"/>
        <v>ARTIGAS </v>
      </c>
      <c r="G2196" s="1" t="str">
        <f t="shared" si="2"/>
        <v>Ivana P.</v>
      </c>
      <c r="H2196" s="1" t="str">
        <f>IFERROR(__xludf.DUMMYFUNCTION("""COMPUTED_VALUE"""),"27/2/2023, 17:00:00")</f>
        <v>27/2/2023, 17:00:00</v>
      </c>
      <c r="I2196" s="1" t="str">
        <f>IFERROR(__xludf.DUMMYFUNCTION("""COMPUTED_VALUE"""),"Completado en SUCURSAL")</f>
        <v>Completado en SUCURSAL</v>
      </c>
      <c r="J2196" s="1">
        <f t="shared" si="3"/>
        <v>5</v>
      </c>
      <c r="K2196" s="1" t="str">
        <f t="shared" si="4"/>
        <v>Tus Lentes estan LISTAS PARA ENTREGAR, te esperamos.</v>
      </c>
    </row>
    <row r="2197">
      <c r="A2197" s="1">
        <f>IFERROR(__xludf.DUMMYFUNCTION("""COMPUTED_VALUE"""),86745.0)</f>
        <v>86745</v>
      </c>
      <c r="B2197" s="5">
        <f>IFERROR(__xludf.DUMMYFUNCTION("""COMPUTED_VALUE"""),44974.773359872685)</f>
        <v>44974.77336</v>
      </c>
      <c r="C2197" s="1" t="str">
        <f>IFERROR(__xludf.DUMMYFUNCTION("""COMPUTED_VALUE"""),"MIRANDA MARIA EUGENIA")</f>
        <v>MIRANDA MARIA EUGENIA</v>
      </c>
      <c r="D2197" s="1" t="str">
        <f>IFERROR(__xludf.DUMMYFUNCTION("""COMPUTED_VALUE"""),"Lentes de STOCK")</f>
        <v>Lentes de STOCK</v>
      </c>
      <c r="E2197" s="1" t="str">
        <f>IFERROR(__xludf.DUMMYFUNCTION("""COMPUTED_VALUE"""),"RIVADAVIA Javier")</f>
        <v>RIVADAVIA Javier</v>
      </c>
      <c r="F2197" s="1" t="str">
        <f t="shared" si="1"/>
        <v>RIVADAVIA </v>
      </c>
      <c r="G2197" s="1" t="str">
        <f t="shared" si="2"/>
        <v>Javier</v>
      </c>
      <c r="H2197" s="1" t="str">
        <f>IFERROR(__xludf.DUMMYFUNCTION("""COMPUTED_VALUE"""),"27/2/2023, 17:00:00")</f>
        <v>27/2/2023, 17:00:00</v>
      </c>
      <c r="I2197" s="1" t="str">
        <f>IFERROR(__xludf.DUMMYFUNCTION("""COMPUTED_VALUE"""),"Completado en SUCURSAL")</f>
        <v>Completado en SUCURSAL</v>
      </c>
      <c r="J2197" s="1">
        <f t="shared" si="3"/>
        <v>5</v>
      </c>
      <c r="K2197" s="1" t="str">
        <f t="shared" si="4"/>
        <v>Tus Lentes estan LISTAS PARA ENTREGAR, te esperamos.</v>
      </c>
    </row>
    <row r="2198">
      <c r="A2198" s="1">
        <f>IFERROR(__xludf.DUMMYFUNCTION("""COMPUTED_VALUE"""),86746.0)</f>
        <v>86746</v>
      </c>
      <c r="B2198" s="5">
        <f>IFERROR(__xludf.DUMMYFUNCTION("""COMPUTED_VALUE"""),44974.78583583333)</f>
        <v>44974.78584</v>
      </c>
      <c r="C2198" s="1" t="str">
        <f>IFERROR(__xludf.DUMMYFUNCTION("""COMPUTED_VALUE"""),"moreno mia")</f>
        <v>moreno mia</v>
      </c>
      <c r="D2198" s="1" t="str">
        <f>IFERROR(__xludf.DUMMYFUNCTION("""COMPUTED_VALUE"""),"Lentes de STOCK")</f>
        <v>Lentes de STOCK</v>
      </c>
      <c r="E2198" s="1"/>
      <c r="F2198" s="1" t="str">
        <f t="shared" si="1"/>
        <v>#VALUE!</v>
      </c>
      <c r="G2198" s="1" t="str">
        <f t="shared" si="2"/>
        <v>#VALUE!</v>
      </c>
      <c r="H2198" s="1" t="str">
        <f>IFERROR(__xludf.DUMMYFUNCTION("""COMPUTED_VALUE"""),"22/2/2023, 17:00:00")</f>
        <v>22/2/2023, 17:00:00</v>
      </c>
      <c r="I2198" s="1" t="str">
        <f>IFERROR(__xludf.DUMMYFUNCTION("""COMPUTED_VALUE"""),"RETIRADO OK POR CLIENTE")</f>
        <v>RETIRADO OK POR CLIENTE</v>
      </c>
      <c r="J2198" s="1">
        <f t="shared" si="3"/>
        <v>6</v>
      </c>
      <c r="K2198" s="1" t="str">
        <f t="shared" si="4"/>
        <v>Entregamos tus lentes, que los disfrutes!</v>
      </c>
    </row>
    <row r="2199">
      <c r="A2199" s="1">
        <f>IFERROR(__xludf.DUMMYFUNCTION("""COMPUTED_VALUE"""),86747.0)</f>
        <v>86747</v>
      </c>
      <c r="B2199" s="5">
        <f>IFERROR(__xludf.DUMMYFUNCTION("""COMPUTED_VALUE"""),44974.79591115741)</f>
        <v>44974.79591</v>
      </c>
      <c r="C2199" s="1" t="str">
        <f>IFERROR(__xludf.DUMMYFUNCTION("""COMPUTED_VALUE"""),"MOYANO ZOE")</f>
        <v>MOYANO ZOE</v>
      </c>
      <c r="D2199" s="1" t="str">
        <f>IFERROR(__xludf.DUMMYFUNCTION("""COMPUTED_VALUE"""),"Lentes de STOCK")</f>
        <v>Lentes de STOCK</v>
      </c>
      <c r="E2199" s="1" t="str">
        <f>IFERROR(__xludf.DUMMYFUNCTION("""COMPUTED_VALUE"""),"ARTIGAS Ivana P.")</f>
        <v>ARTIGAS Ivana P.</v>
      </c>
      <c r="F2199" s="1" t="str">
        <f t="shared" si="1"/>
        <v>ARTIGAS </v>
      </c>
      <c r="G2199" s="1" t="str">
        <f t="shared" si="2"/>
        <v>Ivana P.</v>
      </c>
      <c r="H2199" s="1" t="str">
        <f>IFERROR(__xludf.DUMMYFUNCTION("""COMPUTED_VALUE"""),"22/2/2023, 17:00:00")</f>
        <v>22/2/2023, 17:00:00</v>
      </c>
      <c r="I2199" s="1" t="str">
        <f>IFERROR(__xludf.DUMMYFUNCTION("""COMPUTED_VALUE"""),"RETIRADO OK POR CLIENTE")</f>
        <v>RETIRADO OK POR CLIENTE</v>
      </c>
      <c r="J2199" s="1">
        <f t="shared" si="3"/>
        <v>6</v>
      </c>
      <c r="K2199" s="1" t="str">
        <f t="shared" si="4"/>
        <v>Entregamos tus lentes, que los disfrutes!</v>
      </c>
    </row>
    <row r="2200">
      <c r="A2200" s="1">
        <f>IFERROR(__xludf.DUMMYFUNCTION("""COMPUTED_VALUE"""),86748.0)</f>
        <v>86748</v>
      </c>
      <c r="B2200" s="5">
        <f>IFERROR(__xludf.DUMMYFUNCTION("""COMPUTED_VALUE"""),44974.79891174768)</f>
        <v>44974.79891</v>
      </c>
      <c r="C2200" s="1" t="str">
        <f>IFERROR(__xludf.DUMMYFUNCTION("""COMPUTED_VALUE"""),"ESCOBARES MARIA")</f>
        <v>ESCOBARES MARIA</v>
      </c>
      <c r="D2200" s="1" t="str">
        <f>IFERROR(__xludf.DUMMYFUNCTION("""COMPUTED_VALUE"""),"Lentes de STOCK")</f>
        <v>Lentes de STOCK</v>
      </c>
      <c r="E2200" s="1" t="str">
        <f>IFERROR(__xludf.DUMMYFUNCTION("""COMPUTED_VALUE"""),"ARTIGAS Ivana P.")</f>
        <v>ARTIGAS Ivana P.</v>
      </c>
      <c r="F2200" s="1" t="str">
        <f t="shared" si="1"/>
        <v>ARTIGAS </v>
      </c>
      <c r="G2200" s="1" t="str">
        <f t="shared" si="2"/>
        <v>Ivana P.</v>
      </c>
      <c r="H2200" s="1" t="str">
        <f>IFERROR(__xludf.DUMMYFUNCTION("""COMPUTED_VALUE"""),"27/2/2023, 17:00:00")</f>
        <v>27/2/2023, 17:00:00</v>
      </c>
      <c r="I2200" s="1" t="str">
        <f>IFERROR(__xludf.DUMMYFUNCTION("""COMPUTED_VALUE"""),"Completado en SUCURSAL")</f>
        <v>Completado en SUCURSAL</v>
      </c>
      <c r="J2200" s="1">
        <f t="shared" si="3"/>
        <v>5</v>
      </c>
      <c r="K2200" s="1" t="str">
        <f t="shared" si="4"/>
        <v>Tus Lentes estan LISTAS PARA ENTREGAR, te esperamos.</v>
      </c>
    </row>
    <row r="2201">
      <c r="A2201" s="1">
        <f>IFERROR(__xludf.DUMMYFUNCTION("""COMPUTED_VALUE"""),86749.0)</f>
        <v>86749</v>
      </c>
      <c r="B2201" s="5">
        <f>IFERROR(__xludf.DUMMYFUNCTION("""COMPUTED_VALUE"""),44974.80821027778)</f>
        <v>44974.80821</v>
      </c>
      <c r="C2201" s="1" t="str">
        <f>IFERROR(__xludf.DUMMYFUNCTION("""COMPUTED_VALUE"""),"BOLINAGA CARLOS GUSTAVO")</f>
        <v>BOLINAGA CARLOS GUSTAVO</v>
      </c>
      <c r="D2201" s="1" t="str">
        <f>IFERROR(__xludf.DUMMYFUNCTION("""COMPUTED_VALUE"""),"Reparaciones/Otros")</f>
        <v>Reparaciones/Otros</v>
      </c>
      <c r="E2201" s="1" t="str">
        <f>IFERROR(__xludf.DUMMYFUNCTION("""COMPUTED_VALUE"""),"RIVADAVIA Daniel CM")</f>
        <v>RIVADAVIA Daniel CM</v>
      </c>
      <c r="F2201" s="1" t="str">
        <f t="shared" si="1"/>
        <v>RIVADAVIA </v>
      </c>
      <c r="G2201" s="1" t="str">
        <f t="shared" si="2"/>
        <v>Daniel CM</v>
      </c>
      <c r="H2201" s="1" t="str">
        <f>IFERROR(__xludf.DUMMYFUNCTION("""COMPUTED_VALUE"""),"18/2/2023, 17:00:00")</f>
        <v>18/2/2023, 17:00:00</v>
      </c>
      <c r="I2201" s="1" t="str">
        <f>IFERROR(__xludf.DUMMYFUNCTION("""COMPUTED_VALUE"""),"Recibido en Laboratorio")</f>
        <v>Recibido en Laboratorio</v>
      </c>
      <c r="J2201" s="1">
        <f t="shared" si="3"/>
        <v>2</v>
      </c>
      <c r="K2201" s="1" t="str">
        <f t="shared" si="4"/>
        <v>Nuestro Laboratorio esta trabajando en tus lentes, los entregaremos en la fecha acordada.</v>
      </c>
    </row>
    <row r="2202">
      <c r="A2202" s="1">
        <f>IFERROR(__xludf.DUMMYFUNCTION("""COMPUTED_VALUE"""),86750.0)</f>
        <v>86750</v>
      </c>
      <c r="B2202" s="5">
        <f>IFERROR(__xludf.DUMMYFUNCTION("""COMPUTED_VALUE"""),44974.817737708334)</f>
        <v>44974.81774</v>
      </c>
      <c r="C2202" s="1" t="str">
        <f>IFERROR(__xludf.DUMMYFUNCTION("""COMPUTED_VALUE"""),"TERESITA BARZOLA")</f>
        <v>TERESITA BARZOLA</v>
      </c>
      <c r="D2202" s="1" t="str">
        <f>IFERROR(__xludf.DUMMYFUNCTION("""COMPUTED_VALUE"""),"Reparaciones/Otros")</f>
        <v>Reparaciones/Otros</v>
      </c>
      <c r="E2202" s="1" t="str">
        <f>IFERROR(__xludf.DUMMYFUNCTION("""COMPUTED_VALUE"""),"RIVADAVIA Javier")</f>
        <v>RIVADAVIA Javier</v>
      </c>
      <c r="F2202" s="1" t="str">
        <f t="shared" si="1"/>
        <v>RIVADAVIA </v>
      </c>
      <c r="G2202" s="1" t="str">
        <f t="shared" si="2"/>
        <v>Javier</v>
      </c>
      <c r="H2202" s="1" t="str">
        <f>IFERROR(__xludf.DUMMYFUNCTION("""COMPUTED_VALUE"""),"18/2/2023, 17:00:00")</f>
        <v>18/2/2023, 17:00:00</v>
      </c>
      <c r="I2202" s="1" t="str">
        <f>IFERROR(__xludf.DUMMYFUNCTION("""COMPUTED_VALUE"""),"Recibido en Laboratorio")</f>
        <v>Recibido en Laboratorio</v>
      </c>
      <c r="J2202" s="1">
        <f t="shared" si="3"/>
        <v>2</v>
      </c>
      <c r="K2202" s="1" t="str">
        <f t="shared" si="4"/>
        <v>Nuestro Laboratorio esta trabajando en tus lentes, los entregaremos en la fecha acordada.</v>
      </c>
    </row>
    <row r="2203">
      <c r="A2203" s="1">
        <f>IFERROR(__xludf.DUMMYFUNCTION("""COMPUTED_VALUE"""),86751.0)</f>
        <v>86751</v>
      </c>
      <c r="B2203" s="5">
        <f>IFERROR(__xludf.DUMMYFUNCTION("""COMPUTED_VALUE"""),44974.83893716436)</f>
        <v>44974.83894</v>
      </c>
      <c r="C2203" s="1" t="str">
        <f>IFERROR(__xludf.DUMMYFUNCTION("""COMPUTED_VALUE"""),"FALCON HUMBERTO ")</f>
        <v>FALCON HUMBERTO </v>
      </c>
      <c r="D2203" s="1" t="str">
        <f>IFERROR(__xludf.DUMMYFUNCTION("""COMPUTED_VALUE"""),"Lentes de STOCK")</f>
        <v>Lentes de STOCK</v>
      </c>
      <c r="E2203" s="1" t="str">
        <f>IFERROR(__xludf.DUMMYFUNCTION("""COMPUTED_VALUE"""),"RIVADAVIA Javier")</f>
        <v>RIVADAVIA Javier</v>
      </c>
      <c r="F2203" s="1" t="str">
        <f t="shared" si="1"/>
        <v>RIVADAVIA </v>
      </c>
      <c r="G2203" s="1" t="str">
        <f t="shared" si="2"/>
        <v>Javier</v>
      </c>
      <c r="H2203" s="1" t="str">
        <f>IFERROR(__xludf.DUMMYFUNCTION("""COMPUTED_VALUE"""),"24/2/2023, 17:00:00")</f>
        <v>24/2/2023, 17:00:00</v>
      </c>
      <c r="I2203" s="1" t="str">
        <f>IFERROR(__xludf.DUMMYFUNCTION("""COMPUTED_VALUE"""),"Recibido en Laboratorio")</f>
        <v>Recibido en Laboratorio</v>
      </c>
      <c r="J2203" s="1">
        <f t="shared" si="3"/>
        <v>2</v>
      </c>
      <c r="K2203" s="1" t="str">
        <f t="shared" si="4"/>
        <v>Nuestro Laboratorio esta trabajando en tus lentes, los entregaremos en la fecha acordada.</v>
      </c>
    </row>
    <row r="2204">
      <c r="A2204" s="1">
        <f>IFERROR(__xludf.DUMMYFUNCTION("""COMPUTED_VALUE"""),86752.0)</f>
        <v>86752</v>
      </c>
      <c r="B2204" s="5">
        <f>IFERROR(__xludf.DUMMYFUNCTION("""COMPUTED_VALUE"""),44974.84184414352)</f>
        <v>44974.84184</v>
      </c>
      <c r="C2204" s="1" t="str">
        <f>IFERROR(__xludf.DUMMYFUNCTION("""COMPUTED_VALUE"""),"PEREYRA ALFREDO")</f>
        <v>PEREYRA ALFREDO</v>
      </c>
      <c r="D2204" s="1" t="str">
        <f>IFERROR(__xludf.DUMMYFUNCTION("""COMPUTED_VALUE"""),"Lentes MULTIFOCALES")</f>
        <v>Lentes MULTIFOCALES</v>
      </c>
      <c r="E2204" s="1" t="str">
        <f>IFERROR(__xludf.DUMMYFUNCTION("""COMPUTED_VALUE"""),"ARTIGAS Ivana P.")</f>
        <v>ARTIGAS Ivana P.</v>
      </c>
      <c r="F2204" s="1" t="str">
        <f t="shared" si="1"/>
        <v>ARTIGAS </v>
      </c>
      <c r="G2204" s="1" t="str">
        <f t="shared" si="2"/>
        <v>Ivana P.</v>
      </c>
      <c r="H2204" s="1" t="str">
        <f>IFERROR(__xludf.DUMMYFUNCTION("""COMPUTED_VALUE"""),"7/3/2023, 17:00:00")</f>
        <v>7/3/2023, 17:00:00</v>
      </c>
      <c r="I2204" s="1" t="str">
        <f>IFERROR(__xludf.DUMMYFUNCTION("""COMPUTED_VALUE"""),"Recibido en Laboratorio")</f>
        <v>Recibido en Laboratorio</v>
      </c>
      <c r="J2204" s="1">
        <f t="shared" si="3"/>
        <v>2</v>
      </c>
      <c r="K2204" s="1" t="str">
        <f t="shared" si="4"/>
        <v>Nuestro Laboratorio esta trabajando en tus lentes, los entregaremos en la fecha acordada.</v>
      </c>
    </row>
    <row r="2205">
      <c r="A2205" s="1">
        <f>IFERROR(__xludf.DUMMYFUNCTION("""COMPUTED_VALUE"""),86753.0)</f>
        <v>86753</v>
      </c>
      <c r="B2205" s="5">
        <f>IFERROR(__xludf.DUMMYFUNCTION("""COMPUTED_VALUE"""),44974.85175612268)</f>
        <v>44974.85176</v>
      </c>
      <c r="C2205" s="1" t="str">
        <f>IFERROR(__xludf.DUMMYFUNCTION("""COMPUTED_VALUE"""),"LAHITON BETZABE")</f>
        <v>LAHITON BETZABE</v>
      </c>
      <c r="D2205" s="1" t="str">
        <f>IFERROR(__xludf.DUMMYFUNCTION("""COMPUTED_VALUE"""),"Lentes de STOCK")</f>
        <v>Lentes de STOCK</v>
      </c>
      <c r="E2205" s="1" t="str">
        <f>IFERROR(__xludf.DUMMYFUNCTION("""COMPUTED_VALUE"""),"RIVADAVIA Javier")</f>
        <v>RIVADAVIA Javier</v>
      </c>
      <c r="F2205" s="1" t="str">
        <f t="shared" si="1"/>
        <v>RIVADAVIA </v>
      </c>
      <c r="G2205" s="1" t="str">
        <f t="shared" si="2"/>
        <v>Javier</v>
      </c>
      <c r="H2205" s="1" t="str">
        <f>IFERROR(__xludf.DUMMYFUNCTION("""COMPUTED_VALUE"""),"28/2/2023, 17:00:00")</f>
        <v>28/2/2023, 17:00:00</v>
      </c>
      <c r="I2205" s="1" t="str">
        <f>IFERROR(__xludf.DUMMYFUNCTION("""COMPUTED_VALUE"""),"Recibido en Laboratorio")</f>
        <v>Recibido en Laboratorio</v>
      </c>
      <c r="J2205" s="1">
        <f t="shared" si="3"/>
        <v>2</v>
      </c>
      <c r="K2205" s="1" t="str">
        <f t="shared" si="4"/>
        <v>Nuestro Laboratorio esta trabajando en tus lentes, los entregaremos en la fecha acordada.</v>
      </c>
    </row>
    <row r="2206">
      <c r="A2206" s="1">
        <f>IFERROR(__xludf.DUMMYFUNCTION("""COMPUTED_VALUE"""),86754.0)</f>
        <v>86754</v>
      </c>
      <c r="B2206" s="5">
        <f>IFERROR(__xludf.DUMMYFUNCTION("""COMPUTED_VALUE"""),44975.390575219906)</f>
        <v>44975.39058</v>
      </c>
      <c r="C2206" s="1" t="str">
        <f>IFERROR(__xludf.DUMMYFUNCTION("""COMPUTED_VALUE"""),"carrizo maria beatriz")</f>
        <v>carrizo maria beatriz</v>
      </c>
      <c r="D2206" s="1" t="str">
        <f>IFERROR(__xludf.DUMMYFUNCTION("""COMPUTED_VALUE"""),"Lentes de STOCK")</f>
        <v>Lentes de STOCK</v>
      </c>
      <c r="E2206" s="1" t="str">
        <f>IFERROR(__xludf.DUMMYFUNCTION("""COMPUTED_VALUE"""),"RIVADAVIA Santiago N")</f>
        <v>RIVADAVIA Santiago N</v>
      </c>
      <c r="F2206" s="1" t="str">
        <f t="shared" si="1"/>
        <v>RIVADAVIA </v>
      </c>
      <c r="G2206" s="1" t="str">
        <f t="shared" si="2"/>
        <v>Santiago N</v>
      </c>
      <c r="H2206" s="1" t="str">
        <f>IFERROR(__xludf.DUMMYFUNCTION("""COMPUTED_VALUE"""),"22/2/2023, 17:00:00")</f>
        <v>22/2/2023, 17:00:00</v>
      </c>
      <c r="I2206" s="1" t="str">
        <f>IFERROR(__xludf.DUMMYFUNCTION("""COMPUTED_VALUE"""),"RETIRADO OK POR CLIENTE")</f>
        <v>RETIRADO OK POR CLIENTE</v>
      </c>
      <c r="J2206" s="1">
        <f t="shared" si="3"/>
        <v>6</v>
      </c>
      <c r="K2206" s="1" t="str">
        <f t="shared" si="4"/>
        <v>Entregamos tus lentes, que los disfrutes!</v>
      </c>
    </row>
    <row r="2207">
      <c r="A2207" s="1">
        <f>IFERROR(__xludf.DUMMYFUNCTION("""COMPUTED_VALUE"""),86755.0)</f>
        <v>86755</v>
      </c>
      <c r="B2207" s="5">
        <f>IFERROR(__xludf.DUMMYFUNCTION("""COMPUTED_VALUE"""),44975.415750949076)</f>
        <v>44975.41575</v>
      </c>
      <c r="C2207" s="1" t="str">
        <f>IFERROR(__xludf.DUMMYFUNCTION("""COMPUTED_VALUE"""),"ratto maria cristina")</f>
        <v>ratto maria cristina</v>
      </c>
      <c r="D2207" s="1" t="str">
        <f>IFERROR(__xludf.DUMMYFUNCTION("""COMPUTED_VALUE"""),"RIVADAVIA Santiago N")</f>
        <v>RIVADAVIA Santiago N</v>
      </c>
      <c r="E2207" s="1" t="str">
        <f>IFERROR(__xludf.DUMMYFUNCTION("""COMPUTED_VALUE"""),"RIVADAVIA Santiago N")</f>
        <v>RIVADAVIA Santiago N</v>
      </c>
      <c r="F2207" s="1" t="str">
        <f t="shared" si="1"/>
        <v>RIVADAVIA </v>
      </c>
      <c r="G2207" s="1" t="str">
        <f t="shared" si="2"/>
        <v>Santiago N</v>
      </c>
      <c r="H2207" s="1" t="str">
        <f>IFERROR(__xludf.DUMMYFUNCTION("""COMPUTED_VALUE"""),"13/3/2023, 17:00:00")</f>
        <v>13/3/2023, 17:00:00</v>
      </c>
      <c r="I2207" s="1" t="str">
        <f>IFERROR(__xludf.DUMMYFUNCTION("""COMPUTED_VALUE"""),"RETIRADO OK POR CLIENTE")</f>
        <v>RETIRADO OK POR CLIENTE</v>
      </c>
      <c r="J2207" s="1">
        <f t="shared" si="3"/>
        <v>6</v>
      </c>
      <c r="K2207" s="1" t="str">
        <f t="shared" si="4"/>
        <v>Entregamos tus lentes, que los disfrutes!</v>
      </c>
    </row>
    <row r="2208">
      <c r="A2208" s="1">
        <f>IFERROR(__xludf.DUMMYFUNCTION("""COMPUTED_VALUE"""),86756.0)</f>
        <v>86756</v>
      </c>
      <c r="B2208" s="5">
        <f>IFERROR(__xludf.DUMMYFUNCTION("""COMPUTED_VALUE"""),44975.426161435185)</f>
        <v>44975.42616</v>
      </c>
      <c r="C2208" s="1" t="str">
        <f>IFERROR(__xludf.DUMMYFUNCTION("""COMPUTED_VALUE"""),"velazquez ylda")</f>
        <v>velazquez ylda</v>
      </c>
      <c r="D2208" s="1" t="str">
        <f>IFERROR(__xludf.DUMMYFUNCTION("""COMPUTED_VALUE"""),"Lentes de STOCK")</f>
        <v>Lentes de STOCK</v>
      </c>
      <c r="E2208" s="1" t="str">
        <f>IFERROR(__xludf.DUMMYFUNCTION("""COMPUTED_VALUE"""),"RIVADAVIA Santiago N")</f>
        <v>RIVADAVIA Santiago N</v>
      </c>
      <c r="F2208" s="1" t="str">
        <f t="shared" si="1"/>
        <v>RIVADAVIA </v>
      </c>
      <c r="G2208" s="1" t="str">
        <f t="shared" si="2"/>
        <v>Santiago N</v>
      </c>
      <c r="H2208" s="1" t="str">
        <f>IFERROR(__xludf.DUMMYFUNCTION("""COMPUTED_VALUE"""),"24/2/2023, 17:00:00")</f>
        <v>24/2/2023, 17:00:00</v>
      </c>
      <c r="I2208" s="1" t="str">
        <f>IFERROR(__xludf.DUMMYFUNCTION("""COMPUTED_VALUE"""),"RETIRADO OK POR CLIENTE")</f>
        <v>RETIRADO OK POR CLIENTE</v>
      </c>
      <c r="J2208" s="1">
        <f t="shared" si="3"/>
        <v>6</v>
      </c>
      <c r="K2208" s="1" t="str">
        <f t="shared" si="4"/>
        <v>Entregamos tus lentes, que los disfrutes!</v>
      </c>
    </row>
    <row r="2209">
      <c r="A2209" s="1">
        <f>IFERROR(__xludf.DUMMYFUNCTION("""COMPUTED_VALUE"""),86757.0)</f>
        <v>86757</v>
      </c>
      <c r="B2209" s="5">
        <f>IFERROR(__xludf.DUMMYFUNCTION("""COMPUTED_VALUE"""),44975.42689715278)</f>
        <v>44975.4269</v>
      </c>
      <c r="C2209" s="1" t="str">
        <f>IFERROR(__xludf.DUMMYFUNCTION("""COMPUTED_VALUE"""),"PALERMO CARMELO")</f>
        <v>PALERMO CARMELO</v>
      </c>
      <c r="D2209" s="1" t="str">
        <f>IFERROR(__xludf.DUMMYFUNCTION("""COMPUTED_VALUE"""),"Lentes MULTIFOCALES")</f>
        <v>Lentes MULTIFOCALES</v>
      </c>
      <c r="E2209" s="1" t="str">
        <f>IFERROR(__xludf.DUMMYFUNCTION("""COMPUTED_VALUE"""),"RIVADAVIA Javier")</f>
        <v>RIVADAVIA Javier</v>
      </c>
      <c r="F2209" s="1" t="str">
        <f t="shared" si="1"/>
        <v>RIVADAVIA </v>
      </c>
      <c r="G2209" s="1" t="str">
        <f t="shared" si="2"/>
        <v>Javier</v>
      </c>
      <c r="H2209" s="1" t="str">
        <f>IFERROR(__xludf.DUMMYFUNCTION("""COMPUTED_VALUE"""),"3/3/2023, 17:00:00")</f>
        <v>3/3/2023, 17:00:00</v>
      </c>
      <c r="I2209" s="1" t="str">
        <f>IFERROR(__xludf.DUMMYFUNCTION("""COMPUTED_VALUE"""),"Completado en SUCURSAL")</f>
        <v>Completado en SUCURSAL</v>
      </c>
      <c r="J2209" s="1">
        <f t="shared" si="3"/>
        <v>5</v>
      </c>
      <c r="K2209" s="1" t="str">
        <f t="shared" si="4"/>
        <v>Tus Lentes estan LISTAS PARA ENTREGAR, te esperamos.</v>
      </c>
    </row>
    <row r="2210">
      <c r="A2210" s="1">
        <f>IFERROR(__xludf.DUMMYFUNCTION("""COMPUTED_VALUE"""),86758.0)</f>
        <v>86758</v>
      </c>
      <c r="B2210" s="5">
        <f>IFERROR(__xludf.DUMMYFUNCTION("""COMPUTED_VALUE"""),44975.43765872685)</f>
        <v>44975.43766</v>
      </c>
      <c r="C2210" s="1" t="str">
        <f>IFERROR(__xludf.DUMMYFUNCTION("""COMPUTED_VALUE"""),"causay")</f>
        <v>causay</v>
      </c>
      <c r="D2210" s="1" t="str">
        <f>IFERROR(__xludf.DUMMYFUNCTION("""COMPUTED_VALUE"""),"Reparaciones/Otros")</f>
        <v>Reparaciones/Otros</v>
      </c>
      <c r="E2210" s="1" t="str">
        <f>IFERROR(__xludf.DUMMYFUNCTION("""COMPUTED_VALUE"""),"RIVADAVIA Santiago N")</f>
        <v>RIVADAVIA Santiago N</v>
      </c>
      <c r="F2210" s="1" t="str">
        <f t="shared" si="1"/>
        <v>RIVADAVIA </v>
      </c>
      <c r="G2210" s="1" t="str">
        <f t="shared" si="2"/>
        <v>Santiago N</v>
      </c>
      <c r="H2210" s="1" t="str">
        <f>IFERROR(__xludf.DUMMYFUNCTION("""COMPUTED_VALUE"""),"22/2/2023, 17:00:00")</f>
        <v>22/2/2023, 17:00:00</v>
      </c>
      <c r="I2210" s="1" t="str">
        <f>IFERROR(__xludf.DUMMYFUNCTION("""COMPUTED_VALUE"""),"Completado en SUCURSAL")</f>
        <v>Completado en SUCURSAL</v>
      </c>
      <c r="J2210" s="1">
        <f t="shared" si="3"/>
        <v>5</v>
      </c>
      <c r="K2210" s="1" t="str">
        <f t="shared" si="4"/>
        <v>Tus Lentes estan LISTAS PARA ENTREGAR, te esperamos.</v>
      </c>
    </row>
    <row r="2211">
      <c r="A2211" s="1">
        <f>IFERROR(__xludf.DUMMYFUNCTION("""COMPUTED_VALUE"""),86759.0)</f>
        <v>86759</v>
      </c>
      <c r="B2211" s="5">
        <f>IFERROR(__xludf.DUMMYFUNCTION("""COMPUTED_VALUE"""),44975.44353685185)</f>
        <v>44975.44354</v>
      </c>
      <c r="C2211" s="1" t="str">
        <f>IFERROR(__xludf.DUMMYFUNCTION("""COMPUTED_VALUE"""),"ALVA NELIDA DEOLINDA")</f>
        <v>ALVA NELIDA DEOLINDA</v>
      </c>
      <c r="D2211" s="1" t="str">
        <f>IFERROR(__xludf.DUMMYFUNCTION("""COMPUTED_VALUE"""),"Lentes BIFOCALES")</f>
        <v>Lentes BIFOCALES</v>
      </c>
      <c r="E2211" s="1" t="str">
        <f>IFERROR(__xludf.DUMMYFUNCTION("""COMPUTED_VALUE"""),"ARTIGAS Roció")</f>
        <v>ARTIGAS Roció</v>
      </c>
      <c r="F2211" s="1" t="str">
        <f t="shared" si="1"/>
        <v>ARTIGAS </v>
      </c>
      <c r="G2211" s="1" t="str">
        <f t="shared" si="2"/>
        <v>Roció</v>
      </c>
      <c r="H2211" s="1" t="str">
        <f>IFERROR(__xludf.DUMMYFUNCTION("""COMPUTED_VALUE"""),"22/2/2023, 17:00:00")</f>
        <v>22/2/2023, 17:00:00</v>
      </c>
      <c r="I2211" s="1" t="str">
        <f>IFERROR(__xludf.DUMMYFUNCTION("""COMPUTED_VALUE"""),"Completado en SUCURSAL")</f>
        <v>Completado en SUCURSAL</v>
      </c>
      <c r="J2211" s="1">
        <f t="shared" si="3"/>
        <v>5</v>
      </c>
      <c r="K2211" s="1" t="str">
        <f t="shared" si="4"/>
        <v>Tus Lentes estan LISTAS PARA ENTREGAR, te esperamos.</v>
      </c>
    </row>
    <row r="2212">
      <c r="A2212" s="1">
        <f>IFERROR(__xludf.DUMMYFUNCTION("""COMPUTED_VALUE"""),86760.0)</f>
        <v>86760</v>
      </c>
      <c r="B2212" s="5">
        <f>IFERROR(__xludf.DUMMYFUNCTION("""COMPUTED_VALUE"""),44975.44513842593)</f>
        <v>44975.44514</v>
      </c>
      <c r="C2212" s="1" t="str">
        <f>IFERROR(__xludf.DUMMYFUNCTION("""COMPUTED_VALUE"""),"LUCERO, SUSANA BEATRIZ")</f>
        <v>LUCERO, SUSANA BEATRIZ</v>
      </c>
      <c r="D2212" s="1" t="str">
        <f>IFERROR(__xludf.DUMMYFUNCTION("""COMPUTED_VALUE"""),"Lentes de STOCK")</f>
        <v>Lentes de STOCK</v>
      </c>
      <c r="E2212" s="1" t="str">
        <f>IFERROR(__xludf.DUMMYFUNCTION("""COMPUTED_VALUE"""),"RIVADAVIA Luciana")</f>
        <v>RIVADAVIA Luciana</v>
      </c>
      <c r="F2212" s="1" t="str">
        <f t="shared" si="1"/>
        <v>RIVADAVIA </v>
      </c>
      <c r="G2212" s="1" t="str">
        <f t="shared" si="2"/>
        <v>Luciana</v>
      </c>
      <c r="H2212" s="1" t="str">
        <f>IFERROR(__xludf.DUMMYFUNCTION("""COMPUTED_VALUE"""),"27/2/2023, 17:00:00")</f>
        <v>27/2/2023, 17:00:00</v>
      </c>
      <c r="I2212" s="1" t="str">
        <f>IFERROR(__xludf.DUMMYFUNCTION("""COMPUTED_VALUE"""),"Recibido en Laboratorio")</f>
        <v>Recibido en Laboratorio</v>
      </c>
      <c r="J2212" s="1">
        <f t="shared" si="3"/>
        <v>2</v>
      </c>
      <c r="K2212" s="1" t="str">
        <f t="shared" si="4"/>
        <v>Nuestro Laboratorio esta trabajando en tus lentes, los entregaremos en la fecha acordada.</v>
      </c>
    </row>
    <row r="2213">
      <c r="A2213" s="1">
        <f>IFERROR(__xludf.DUMMYFUNCTION("""COMPUTED_VALUE"""),86761.0)</f>
        <v>86761</v>
      </c>
      <c r="B2213" s="5">
        <f>IFERROR(__xludf.DUMMYFUNCTION("""COMPUTED_VALUE"""),44975.44929599537)</f>
        <v>44975.4493</v>
      </c>
      <c r="C2213" s="1" t="str">
        <f>IFERROR(__xludf.DUMMYFUNCTION("""COMPUTED_VALUE"""),"mas ramon santiago")</f>
        <v>mas ramon santiago</v>
      </c>
      <c r="D2213" s="1" t="str">
        <f>IFERROR(__xludf.DUMMYFUNCTION("""COMPUTED_VALUE"""),"Lentes de LABORATORIO")</f>
        <v>Lentes de LABORATORIO</v>
      </c>
      <c r="E2213" s="1" t="str">
        <f>IFERROR(__xludf.DUMMYFUNCTION("""COMPUTED_VALUE"""),"RIVADAVIA Santiago N")</f>
        <v>RIVADAVIA Santiago N</v>
      </c>
      <c r="F2213" s="1" t="str">
        <f t="shared" si="1"/>
        <v>RIVADAVIA </v>
      </c>
      <c r="G2213" s="1" t="str">
        <f t="shared" si="2"/>
        <v>Santiago N</v>
      </c>
      <c r="H2213" s="1" t="str">
        <f>IFERROR(__xludf.DUMMYFUNCTION("""COMPUTED_VALUE"""),"28/2/2023, 17:00:00")</f>
        <v>28/2/2023, 17:00:00</v>
      </c>
      <c r="I2213" s="1" t="str">
        <f>IFERROR(__xludf.DUMMYFUNCTION("""COMPUTED_VALUE"""),"Recibido en Laboratorio")</f>
        <v>Recibido en Laboratorio</v>
      </c>
      <c r="J2213" s="1">
        <f t="shared" si="3"/>
        <v>2</v>
      </c>
      <c r="K2213" s="1" t="str">
        <f t="shared" si="4"/>
        <v>Nuestro Laboratorio esta trabajando en tus lentes, los entregaremos en la fecha acordada.</v>
      </c>
    </row>
    <row r="2214">
      <c r="A2214" s="1">
        <f>IFERROR(__xludf.DUMMYFUNCTION("""COMPUTED_VALUE"""),86762.0)</f>
        <v>86762</v>
      </c>
      <c r="B2214" s="5">
        <f>IFERROR(__xludf.DUMMYFUNCTION("""COMPUTED_VALUE"""),44975.45014675926)</f>
        <v>44975.45015</v>
      </c>
      <c r="C2214" s="1" t="str">
        <f>IFERROR(__xludf.DUMMYFUNCTION("""COMPUTED_VALUE"""),"SALOMON MIRTA CLARA")</f>
        <v>SALOMON MIRTA CLARA</v>
      </c>
      <c r="D2214" s="1" t="str">
        <f>IFERROR(__xludf.DUMMYFUNCTION("""COMPUTED_VALUE"""),"Lentes de STOCK")</f>
        <v>Lentes de STOCK</v>
      </c>
      <c r="E2214" s="1" t="str">
        <f>IFERROR(__xludf.DUMMYFUNCTION("""COMPUTED_VALUE"""),"ARTIGAS Roció")</f>
        <v>ARTIGAS Roció</v>
      </c>
      <c r="F2214" s="1" t="str">
        <f t="shared" si="1"/>
        <v>ARTIGAS </v>
      </c>
      <c r="G2214" s="1" t="str">
        <f t="shared" si="2"/>
        <v>Roció</v>
      </c>
      <c r="H2214" s="1" t="str">
        <f>IFERROR(__xludf.DUMMYFUNCTION("""COMPUTED_VALUE"""),"2/3/2023, 17:00:00")</f>
        <v>2/3/2023, 17:00:00</v>
      </c>
      <c r="I2214" s="1" t="str">
        <f>IFERROR(__xludf.DUMMYFUNCTION("""COMPUTED_VALUE"""),"Recibido en Laboratorio")</f>
        <v>Recibido en Laboratorio</v>
      </c>
      <c r="J2214" s="1">
        <f t="shared" si="3"/>
        <v>2</v>
      </c>
      <c r="K2214" s="1" t="str">
        <f t="shared" si="4"/>
        <v>Nuestro Laboratorio esta trabajando en tus lentes, los entregaremos en la fecha acordada.</v>
      </c>
    </row>
    <row r="2215">
      <c r="A2215" s="1">
        <f>IFERROR(__xludf.DUMMYFUNCTION("""COMPUTED_VALUE"""),86763.0)</f>
        <v>86763</v>
      </c>
      <c r="B2215" s="5">
        <f>IFERROR(__xludf.DUMMYFUNCTION("""COMPUTED_VALUE"""),44975.45775706018)</f>
        <v>44975.45776</v>
      </c>
      <c r="C2215" s="1" t="str">
        <f>IFERROR(__xludf.DUMMYFUNCTION("""COMPUTED_VALUE"""),"VALDEZ FACUNDO EMANUEL")</f>
        <v>VALDEZ FACUNDO EMANUEL</v>
      </c>
      <c r="D2215" s="1" t="str">
        <f>IFERROR(__xludf.DUMMYFUNCTION("""COMPUTED_VALUE"""),"Reparaciones/Otros")</f>
        <v>Reparaciones/Otros</v>
      </c>
      <c r="E2215" s="1" t="str">
        <f>IFERROR(__xludf.DUMMYFUNCTION("""COMPUTED_VALUE"""),"ARTIGAS Roció")</f>
        <v>ARTIGAS Roció</v>
      </c>
      <c r="F2215" s="1" t="str">
        <f t="shared" si="1"/>
        <v>ARTIGAS </v>
      </c>
      <c r="G2215" s="1" t="str">
        <f t="shared" si="2"/>
        <v>Roció</v>
      </c>
      <c r="H2215" s="1" t="str">
        <f>IFERROR(__xludf.DUMMYFUNCTION("""COMPUTED_VALUE"""),"22/2/2023, 17:00:00")</f>
        <v>22/2/2023, 17:00:00</v>
      </c>
      <c r="I2215" s="1" t="str">
        <f>IFERROR(__xludf.DUMMYFUNCTION("""COMPUTED_VALUE"""),"Completado en SUCURSAL")</f>
        <v>Completado en SUCURSAL</v>
      </c>
      <c r="J2215" s="1">
        <f t="shared" si="3"/>
        <v>5</v>
      </c>
      <c r="K2215" s="1" t="str">
        <f t="shared" si="4"/>
        <v>Tus Lentes estan LISTAS PARA ENTREGAR, te esperamos.</v>
      </c>
    </row>
    <row r="2216">
      <c r="A2216" s="1">
        <f>IFERROR(__xludf.DUMMYFUNCTION("""COMPUTED_VALUE"""),86764.0)</f>
        <v>86764</v>
      </c>
      <c r="B2216" s="5">
        <f>IFERROR(__xludf.DUMMYFUNCTION("""COMPUTED_VALUE"""),44975.47856195601)</f>
        <v>44975.47856</v>
      </c>
      <c r="C2216" s="1" t="str">
        <f>IFERROR(__xludf.DUMMYFUNCTION("""COMPUTED_VALUE"""),"BALDEZ MARIA ALEJANDRA")</f>
        <v>BALDEZ MARIA ALEJANDRA</v>
      </c>
      <c r="D2216" s="1" t="str">
        <f>IFERROR(__xludf.DUMMYFUNCTION("""COMPUTED_VALUE"""),"Lentes de STOCK")</f>
        <v>Lentes de STOCK</v>
      </c>
      <c r="E2216" s="1" t="str">
        <f>IFERROR(__xludf.DUMMYFUNCTION("""COMPUTED_VALUE"""),"RIVADAVIA Luciana")</f>
        <v>RIVADAVIA Luciana</v>
      </c>
      <c r="F2216" s="1" t="str">
        <f t="shared" si="1"/>
        <v>RIVADAVIA </v>
      </c>
      <c r="G2216" s="1" t="str">
        <f t="shared" si="2"/>
        <v>Luciana</v>
      </c>
      <c r="H2216" s="1" t="str">
        <f>IFERROR(__xludf.DUMMYFUNCTION("""COMPUTED_VALUE"""),"28/2/2023, 17:00:00")</f>
        <v>28/2/2023, 17:00:00</v>
      </c>
      <c r="I2216" s="1" t="str">
        <f>IFERROR(__xludf.DUMMYFUNCTION("""COMPUTED_VALUE"""),"Completado en SUCURSAL")</f>
        <v>Completado en SUCURSAL</v>
      </c>
      <c r="J2216" s="1">
        <f t="shared" si="3"/>
        <v>5</v>
      </c>
      <c r="K2216" s="1" t="str">
        <f t="shared" si="4"/>
        <v>Tus Lentes estan LISTAS PARA ENTREGAR, te esperamos.</v>
      </c>
    </row>
    <row r="2217">
      <c r="A2217" s="1">
        <f>IFERROR(__xludf.DUMMYFUNCTION("""COMPUTED_VALUE"""),86765.0)</f>
        <v>86765</v>
      </c>
      <c r="B2217" s="5">
        <f>IFERROR(__xludf.DUMMYFUNCTION("""COMPUTED_VALUE"""),44975.495194456016)</f>
        <v>44975.49519</v>
      </c>
      <c r="C2217" s="1" t="str">
        <f>IFERROR(__xludf.DUMMYFUNCTION("""COMPUTED_VALUE"""),"MILICI LEONARDO ")</f>
        <v>MILICI LEONARDO </v>
      </c>
      <c r="D2217" s="1" t="str">
        <f>IFERROR(__xludf.DUMMYFUNCTION("""COMPUTED_VALUE"""),"Lentes BIFOCALES")</f>
        <v>Lentes BIFOCALES</v>
      </c>
      <c r="E2217" s="1" t="str">
        <f>IFERROR(__xludf.DUMMYFUNCTION("""COMPUTED_VALUE"""),"RIVADAVIA Javier")</f>
        <v>RIVADAVIA Javier</v>
      </c>
      <c r="F2217" s="1" t="str">
        <f t="shared" si="1"/>
        <v>RIVADAVIA </v>
      </c>
      <c r="G2217" s="1" t="str">
        <f t="shared" si="2"/>
        <v>Javier</v>
      </c>
      <c r="H2217" s="1" t="str">
        <f>IFERROR(__xludf.DUMMYFUNCTION("""COMPUTED_VALUE"""),"28/2/2023, 17:00:00")</f>
        <v>28/2/2023, 17:00:00</v>
      </c>
      <c r="I2217" s="1" t="str">
        <f>IFERROR(__xludf.DUMMYFUNCTION("""COMPUTED_VALUE"""),"Completado en SUCURSAL")</f>
        <v>Completado en SUCURSAL</v>
      </c>
      <c r="J2217" s="1">
        <f t="shared" si="3"/>
        <v>5</v>
      </c>
      <c r="K2217" s="1" t="str">
        <f t="shared" si="4"/>
        <v>Tus Lentes estan LISTAS PARA ENTREGAR, te esperamos.</v>
      </c>
    </row>
    <row r="2218">
      <c r="A2218" s="1">
        <f>IFERROR(__xludf.DUMMYFUNCTION("""COMPUTED_VALUE"""),86766.0)</f>
        <v>86766</v>
      </c>
      <c r="B2218" s="5">
        <f>IFERROR(__xludf.DUMMYFUNCTION("""COMPUTED_VALUE"""),44975.498075972224)</f>
        <v>44975.49808</v>
      </c>
      <c r="C2218" s="1" t="str">
        <f>IFERROR(__xludf.DUMMYFUNCTION("""COMPUTED_VALUE"""),"IBARRA NORMA")</f>
        <v>IBARRA NORMA</v>
      </c>
      <c r="D2218" s="1" t="str">
        <f>IFERROR(__xludf.DUMMYFUNCTION("""COMPUTED_VALUE"""),"Reparaciones/Otros")</f>
        <v>Reparaciones/Otros</v>
      </c>
      <c r="E2218" s="1" t="str">
        <f>IFERROR(__xludf.DUMMYFUNCTION("""COMPUTED_VALUE"""),"ARTIGAS Ivana P.")</f>
        <v>ARTIGAS Ivana P.</v>
      </c>
      <c r="F2218" s="1" t="str">
        <f t="shared" si="1"/>
        <v>ARTIGAS </v>
      </c>
      <c r="G2218" s="1" t="str">
        <f t="shared" si="2"/>
        <v>Ivana P.</v>
      </c>
      <c r="H2218" s="1" t="str">
        <f>IFERROR(__xludf.DUMMYFUNCTION("""COMPUTED_VALUE"""),"22/2/2023, 17:00:00")</f>
        <v>22/2/2023, 17:00:00</v>
      </c>
      <c r="I2218" s="1" t="str">
        <f>IFERROR(__xludf.DUMMYFUNCTION("""COMPUTED_VALUE"""),"Completado en SUCURSAL")</f>
        <v>Completado en SUCURSAL</v>
      </c>
      <c r="J2218" s="1">
        <f t="shared" si="3"/>
        <v>5</v>
      </c>
      <c r="K2218" s="1" t="str">
        <f t="shared" si="4"/>
        <v>Tus Lentes estan LISTAS PARA ENTREGAR, te esperamos.</v>
      </c>
    </row>
    <row r="2219">
      <c r="A2219" s="1">
        <f>IFERROR(__xludf.DUMMYFUNCTION("""COMPUTED_VALUE"""),86767.0)</f>
        <v>86767</v>
      </c>
      <c r="B2219" s="5">
        <f>IFERROR(__xludf.DUMMYFUNCTION("""COMPUTED_VALUE"""),44975.50218976852)</f>
        <v>44975.50219</v>
      </c>
      <c r="C2219" s="1" t="str">
        <f>IFERROR(__xludf.DUMMYFUNCTION("""COMPUTED_VALUE"""),"SUAREZ SILVIA")</f>
        <v>SUAREZ SILVIA</v>
      </c>
      <c r="D2219" s="1" t="str">
        <f>IFERROR(__xludf.DUMMYFUNCTION("""COMPUTED_VALUE"""),"Lentes de STOCK")</f>
        <v>Lentes de STOCK</v>
      </c>
      <c r="E2219" s="1" t="str">
        <f>IFERROR(__xludf.DUMMYFUNCTION("""COMPUTED_VALUE"""),"RIVADAVIA Javier")</f>
        <v>RIVADAVIA Javier</v>
      </c>
      <c r="F2219" s="1" t="str">
        <f t="shared" si="1"/>
        <v>RIVADAVIA </v>
      </c>
      <c r="G2219" s="1" t="str">
        <f t="shared" si="2"/>
        <v>Javier</v>
      </c>
      <c r="H2219" s="1" t="str">
        <f>IFERROR(__xludf.DUMMYFUNCTION("""COMPUTED_VALUE"""),"1/3/2023, 17:00:00")</f>
        <v>1/3/2023, 17:00:00</v>
      </c>
      <c r="I2219" s="1" t="str">
        <f>IFERROR(__xludf.DUMMYFUNCTION("""COMPUTED_VALUE"""),"Completado en SUCURSAL")</f>
        <v>Completado en SUCURSAL</v>
      </c>
      <c r="J2219" s="1">
        <f t="shared" si="3"/>
        <v>5</v>
      </c>
      <c r="K2219" s="1" t="str">
        <f t="shared" si="4"/>
        <v>Tus Lentes estan LISTAS PARA ENTREGAR, te esperamos.</v>
      </c>
    </row>
    <row r="2220">
      <c r="A2220" s="1">
        <f>IFERROR(__xludf.DUMMYFUNCTION("""COMPUTED_VALUE"""),86768.0)</f>
        <v>86768</v>
      </c>
      <c r="B2220" s="5">
        <f>IFERROR(__xludf.DUMMYFUNCTION("""COMPUTED_VALUE"""),44975.51268501158)</f>
        <v>44975.51269</v>
      </c>
      <c r="C2220" s="1" t="str">
        <f>IFERROR(__xludf.DUMMYFUNCTION("""COMPUTED_VALUE"""),"garraza braulio")</f>
        <v>garraza braulio</v>
      </c>
      <c r="D2220" s="1" t="str">
        <f>IFERROR(__xludf.DUMMYFUNCTION("""COMPUTED_VALUE"""),"Lentes MULTIFOCALES")</f>
        <v>Lentes MULTIFOCALES</v>
      </c>
      <c r="E2220" s="1" t="str">
        <f>IFERROR(__xludf.DUMMYFUNCTION("""COMPUTED_VALUE"""),"RIVADAVIA Santiago N")</f>
        <v>RIVADAVIA Santiago N</v>
      </c>
      <c r="F2220" s="1" t="str">
        <f t="shared" si="1"/>
        <v>RIVADAVIA </v>
      </c>
      <c r="G2220" s="1" t="str">
        <f t="shared" si="2"/>
        <v>Santiago N</v>
      </c>
      <c r="H2220" s="1" t="str">
        <f>IFERROR(__xludf.DUMMYFUNCTION("""COMPUTED_VALUE"""),"3/3/2023, 17:00:00")</f>
        <v>3/3/2023, 17:00:00</v>
      </c>
      <c r="I2220" s="1" t="str">
        <f>IFERROR(__xludf.DUMMYFUNCTION("""COMPUTED_VALUE"""),"Completado en SUCURSAL")</f>
        <v>Completado en SUCURSAL</v>
      </c>
      <c r="J2220" s="1">
        <f t="shared" si="3"/>
        <v>5</v>
      </c>
      <c r="K2220" s="1" t="str">
        <f t="shared" si="4"/>
        <v>Tus Lentes estan LISTAS PARA ENTREGAR, te esperamos.</v>
      </c>
    </row>
    <row r="2221">
      <c r="A2221" s="1">
        <f>IFERROR(__xludf.DUMMYFUNCTION("""COMPUTED_VALUE"""),86769.0)</f>
        <v>86769</v>
      </c>
      <c r="B2221" s="5">
        <f>IFERROR(__xludf.DUMMYFUNCTION("""COMPUTED_VALUE"""),44975.5157753588)</f>
        <v>44975.51578</v>
      </c>
      <c r="C2221" s="1" t="str">
        <f>IFERROR(__xludf.DUMMYFUNCTION("""COMPUTED_VALUE"""),"FARIAS PAULA ")</f>
        <v>FARIAS PAULA </v>
      </c>
      <c r="D2221" s="1" t="str">
        <f>IFERROR(__xludf.DUMMYFUNCTION("""COMPUTED_VALUE"""),"Lentes de STOCK")</f>
        <v>Lentes de STOCK</v>
      </c>
      <c r="E2221" s="1" t="str">
        <f>IFERROR(__xludf.DUMMYFUNCTION("""COMPUTED_VALUE"""),"ARTIGAS Roció")</f>
        <v>ARTIGAS Roció</v>
      </c>
      <c r="F2221" s="1" t="str">
        <f t="shared" si="1"/>
        <v>ARTIGAS </v>
      </c>
      <c r="G2221" s="1" t="str">
        <f t="shared" si="2"/>
        <v>Roció</v>
      </c>
      <c r="H2221" s="1" t="str">
        <f>IFERROR(__xludf.DUMMYFUNCTION("""COMPUTED_VALUE"""),"27/2/2023, 17:00:00")</f>
        <v>27/2/2023, 17:00:00</v>
      </c>
      <c r="I2221" s="1" t="str">
        <f>IFERROR(__xludf.DUMMYFUNCTION("""COMPUTED_VALUE"""),"RETIRADO OK POR CLIENTE")</f>
        <v>RETIRADO OK POR CLIENTE</v>
      </c>
      <c r="J2221" s="1">
        <f t="shared" si="3"/>
        <v>6</v>
      </c>
      <c r="K2221" s="1" t="str">
        <f t="shared" si="4"/>
        <v>Entregamos tus lentes, que los disfrutes!</v>
      </c>
    </row>
    <row r="2222">
      <c r="A2222" s="1">
        <f>IFERROR(__xludf.DUMMYFUNCTION("""COMPUTED_VALUE"""),86770.0)</f>
        <v>86770</v>
      </c>
      <c r="B2222" s="5">
        <f>IFERROR(__xludf.DUMMYFUNCTION("""COMPUTED_VALUE"""),44975.51639528935)</f>
        <v>44975.5164</v>
      </c>
      <c r="C2222" s="1" t="str">
        <f>IFERROR(__xludf.DUMMYFUNCTION("""COMPUTED_VALUE"""),"CRISTOFOLINI THELMA")</f>
        <v>CRISTOFOLINI THELMA</v>
      </c>
      <c r="D2222" s="1" t="str">
        <f>IFERROR(__xludf.DUMMYFUNCTION("""COMPUTED_VALUE"""),"Lentes de STOCK")</f>
        <v>Lentes de STOCK</v>
      </c>
      <c r="E2222" s="1" t="str">
        <f>IFERROR(__xludf.DUMMYFUNCTION("""COMPUTED_VALUE"""),"ARTIGAS Ivana P.")</f>
        <v>ARTIGAS Ivana P.</v>
      </c>
      <c r="F2222" s="1" t="str">
        <f t="shared" si="1"/>
        <v>ARTIGAS </v>
      </c>
      <c r="G2222" s="1" t="str">
        <f t="shared" si="2"/>
        <v>Ivana P.</v>
      </c>
      <c r="H2222" s="1" t="str">
        <f>IFERROR(__xludf.DUMMYFUNCTION("""COMPUTED_VALUE"""),"23/2/2023, 17:00:00")</f>
        <v>23/2/2023, 17:00:00</v>
      </c>
      <c r="I2222" s="1" t="str">
        <f>IFERROR(__xludf.DUMMYFUNCTION("""COMPUTED_VALUE"""),"RETIRADO OK POR CLIENTE")</f>
        <v>RETIRADO OK POR CLIENTE</v>
      </c>
      <c r="J2222" s="1">
        <f t="shared" si="3"/>
        <v>6</v>
      </c>
      <c r="K2222" s="1" t="str">
        <f t="shared" si="4"/>
        <v>Entregamos tus lentes, que los disfrutes!</v>
      </c>
    </row>
    <row r="2223">
      <c r="A2223" s="1">
        <f>IFERROR(__xludf.DUMMYFUNCTION("""COMPUTED_VALUE"""),86771.0)</f>
        <v>86771</v>
      </c>
      <c r="B2223" s="5">
        <f>IFERROR(__xludf.DUMMYFUNCTION("""COMPUTED_VALUE"""),44975.52083854166)</f>
        <v>44975.52084</v>
      </c>
      <c r="C2223" s="1" t="str">
        <f>IFERROR(__xludf.DUMMYFUNCTION("""COMPUTED_VALUE"""),"GARCIA YULIANA")</f>
        <v>GARCIA YULIANA</v>
      </c>
      <c r="D2223" s="1" t="str">
        <f>IFERROR(__xludf.DUMMYFUNCTION("""COMPUTED_VALUE"""),"Lentes de STOCK")</f>
        <v>Lentes de STOCK</v>
      </c>
      <c r="E2223" s="1" t="str">
        <f>IFERROR(__xludf.DUMMYFUNCTION("""COMPUTED_VALUE"""),"RIVADAVIA Luciana")</f>
        <v>RIVADAVIA Luciana</v>
      </c>
      <c r="F2223" s="1" t="str">
        <f t="shared" si="1"/>
        <v>RIVADAVIA </v>
      </c>
      <c r="G2223" s="1" t="str">
        <f t="shared" si="2"/>
        <v>Luciana</v>
      </c>
      <c r="H2223" s="1" t="str">
        <f>IFERROR(__xludf.DUMMYFUNCTION("""COMPUTED_VALUE"""),"1/3/2023, 17:00:00")</f>
        <v>1/3/2023, 17:00:00</v>
      </c>
      <c r="I2223" s="1" t="str">
        <f>IFERROR(__xludf.DUMMYFUNCTION("""COMPUTED_VALUE"""),"Completado en SUCURSAL")</f>
        <v>Completado en SUCURSAL</v>
      </c>
      <c r="J2223" s="1">
        <f t="shared" si="3"/>
        <v>5</v>
      </c>
      <c r="K2223" s="1" t="str">
        <f t="shared" si="4"/>
        <v>Tus Lentes estan LISTAS PARA ENTREGAR, te esperamos.</v>
      </c>
    </row>
    <row r="2224">
      <c r="A2224" s="1">
        <f>IFERROR(__xludf.DUMMYFUNCTION("""COMPUTED_VALUE"""),86772.0)</f>
        <v>86772</v>
      </c>
      <c r="B2224" s="5">
        <f>IFERROR(__xludf.DUMMYFUNCTION("""COMPUTED_VALUE"""),44975.53301219907)</f>
        <v>44975.53301</v>
      </c>
      <c r="C2224" s="1" t="str">
        <f>IFERROR(__xludf.DUMMYFUNCTION("""COMPUTED_VALUE"""),"JURI CINTIA ")</f>
        <v>JURI CINTIA </v>
      </c>
      <c r="D2224" s="1" t="str">
        <f>IFERROR(__xludf.DUMMYFUNCTION("""COMPUTED_VALUE"""),"Reparaciones/Otros")</f>
        <v>Reparaciones/Otros</v>
      </c>
      <c r="E2224" s="1" t="str">
        <f>IFERROR(__xludf.DUMMYFUNCTION("""COMPUTED_VALUE"""),"RIVADAVIA Javier")</f>
        <v>RIVADAVIA Javier</v>
      </c>
      <c r="F2224" s="1" t="str">
        <f t="shared" si="1"/>
        <v>RIVADAVIA </v>
      </c>
      <c r="G2224" s="1" t="str">
        <f t="shared" si="2"/>
        <v>Javier</v>
      </c>
      <c r="H2224" s="1" t="str">
        <f>IFERROR(__xludf.DUMMYFUNCTION("""COMPUTED_VALUE"""),"22/2/2023, 17:00:00")</f>
        <v>22/2/2023, 17:00:00</v>
      </c>
      <c r="I2224" s="1" t="str">
        <f>IFERROR(__xludf.DUMMYFUNCTION("""COMPUTED_VALUE"""),"Completado en SUCURSAL")</f>
        <v>Completado en SUCURSAL</v>
      </c>
      <c r="J2224" s="1">
        <f t="shared" si="3"/>
        <v>5</v>
      </c>
      <c r="K2224" s="1" t="str">
        <f t="shared" si="4"/>
        <v>Tus Lentes estan LISTAS PARA ENTREGAR, te esperamos.</v>
      </c>
    </row>
    <row r="2225">
      <c r="A2225" s="1">
        <f>IFERROR(__xludf.DUMMYFUNCTION("""COMPUTED_VALUE"""),86773.0)</f>
        <v>86773</v>
      </c>
      <c r="B2225" s="5">
        <f>IFERROR(__xludf.DUMMYFUNCTION("""COMPUTED_VALUE"""),44979.377847615746)</f>
        <v>44979.37785</v>
      </c>
      <c r="C2225" s="1" t="str">
        <f>IFERROR(__xludf.DUMMYFUNCTION("""COMPUTED_VALUE"""),"ochoa isabelina")</f>
        <v>ochoa isabelina</v>
      </c>
      <c r="D2225" s="1" t="str">
        <f>IFERROR(__xludf.DUMMYFUNCTION("""COMPUTED_VALUE"""),"Reparaciones/Otros")</f>
        <v>Reparaciones/Otros</v>
      </c>
      <c r="E2225" s="1" t="str">
        <f>IFERROR(__xludf.DUMMYFUNCTION("""COMPUTED_VALUE"""),"ARTIGAS Ivana P.")</f>
        <v>ARTIGAS Ivana P.</v>
      </c>
      <c r="F2225" s="1" t="str">
        <f t="shared" si="1"/>
        <v>ARTIGAS </v>
      </c>
      <c r="G2225" s="1" t="str">
        <f t="shared" si="2"/>
        <v>Ivana P.</v>
      </c>
      <c r="H2225" s="1" t="str">
        <f>IFERROR(__xludf.DUMMYFUNCTION("""COMPUTED_VALUE"""),"23/2/2023, 17:00:00")</f>
        <v>23/2/2023, 17:00:00</v>
      </c>
      <c r="I2225" s="1" t="str">
        <f>IFERROR(__xludf.DUMMYFUNCTION("""COMPUTED_VALUE"""),"Recibido en Laboratorio")</f>
        <v>Recibido en Laboratorio</v>
      </c>
      <c r="J2225" s="1">
        <f t="shared" si="3"/>
        <v>2</v>
      </c>
      <c r="K2225" s="1" t="str">
        <f t="shared" si="4"/>
        <v>Nuestro Laboratorio esta trabajando en tus lentes, los entregaremos en la fecha acordada.</v>
      </c>
    </row>
    <row r="2226">
      <c r="A2226" s="1">
        <f>IFERROR(__xludf.DUMMYFUNCTION("""COMPUTED_VALUE"""),86774.0)</f>
        <v>86774</v>
      </c>
      <c r="B2226" s="5">
        <f>IFERROR(__xludf.DUMMYFUNCTION("""COMPUTED_VALUE"""),44979.379600706015)</f>
        <v>44979.3796</v>
      </c>
      <c r="C2226" s="1" t="str">
        <f>IFERROR(__xludf.DUMMYFUNCTION("""COMPUTED_VALUE"""),"Bello Rosa")</f>
        <v>Bello Rosa</v>
      </c>
      <c r="D2226" s="1" t="str">
        <f>IFERROR(__xludf.DUMMYFUNCTION("""COMPUTED_VALUE"""),"Reparaciones/Otros")</f>
        <v>Reparaciones/Otros</v>
      </c>
      <c r="E2226" s="1" t="str">
        <f>IFERROR(__xludf.DUMMYFUNCTION("""COMPUTED_VALUE"""),"ARTIGAS Sandra G")</f>
        <v>ARTIGAS Sandra G</v>
      </c>
      <c r="F2226" s="1" t="str">
        <f t="shared" si="1"/>
        <v>ARTIGAS </v>
      </c>
      <c r="G2226" s="1" t="str">
        <f t="shared" si="2"/>
        <v>Sandra G</v>
      </c>
      <c r="H2226" s="1" t="str">
        <f>IFERROR(__xludf.DUMMYFUNCTION("""COMPUTED_VALUE"""),"23/2/2023, 17:00:00")</f>
        <v>23/2/2023, 17:00:00</v>
      </c>
      <c r="I2226" s="1" t="str">
        <f>IFERROR(__xludf.DUMMYFUNCTION("""COMPUTED_VALUE"""),"Completado en SUCURSAL")</f>
        <v>Completado en SUCURSAL</v>
      </c>
      <c r="J2226" s="1">
        <f t="shared" si="3"/>
        <v>5</v>
      </c>
      <c r="K2226" s="1" t="str">
        <f t="shared" si="4"/>
        <v>Tus Lentes estan LISTAS PARA ENTREGAR, te esperamos.</v>
      </c>
    </row>
    <row r="2227">
      <c r="A2227" s="1">
        <f>IFERROR(__xludf.DUMMYFUNCTION("""COMPUTED_VALUE"""),86775.0)</f>
        <v>86775</v>
      </c>
      <c r="B2227" s="5">
        <f>IFERROR(__xludf.DUMMYFUNCTION("""COMPUTED_VALUE"""),44979.38373961806)</f>
        <v>44979.38374</v>
      </c>
      <c r="C2227" s="1" t="str">
        <f>IFERROR(__xludf.DUMMYFUNCTION("""COMPUTED_VALUE"""),"FERNANDEZ JORGE")</f>
        <v>FERNANDEZ JORGE</v>
      </c>
      <c r="D2227" s="1" t="str">
        <f>IFERROR(__xludf.DUMMYFUNCTION("""COMPUTED_VALUE"""),"Lentes de STOCK")</f>
        <v>Lentes de STOCK</v>
      </c>
      <c r="E2227" s="1" t="str">
        <f>IFERROR(__xludf.DUMMYFUNCTION("""COMPUTED_VALUE"""),"ARTIGAS Ivana P.")</f>
        <v>ARTIGAS Ivana P.</v>
      </c>
      <c r="F2227" s="1" t="str">
        <f t="shared" si="1"/>
        <v>ARTIGAS </v>
      </c>
      <c r="G2227" s="1" t="str">
        <f t="shared" si="2"/>
        <v>Ivana P.</v>
      </c>
      <c r="H2227" s="1" t="str">
        <f>IFERROR(__xludf.DUMMYFUNCTION("""COMPUTED_VALUE"""),"28/2/2023, 17:00:00")</f>
        <v>28/2/2023, 17:00:00</v>
      </c>
      <c r="I2227" s="1" t="str">
        <f>IFERROR(__xludf.DUMMYFUNCTION("""COMPUTED_VALUE"""),"Recibido en Laboratorio")</f>
        <v>Recibido en Laboratorio</v>
      </c>
      <c r="J2227" s="1">
        <f t="shared" si="3"/>
        <v>2</v>
      </c>
      <c r="K2227" s="1" t="str">
        <f t="shared" si="4"/>
        <v>Nuestro Laboratorio esta trabajando en tus lentes, los entregaremos en la fecha acordada.</v>
      </c>
    </row>
    <row r="2228">
      <c r="A2228" s="1">
        <f>IFERROR(__xludf.DUMMYFUNCTION("""COMPUTED_VALUE"""),86776.0)</f>
        <v>86776</v>
      </c>
      <c r="B2228" s="5">
        <f>IFERROR(__xludf.DUMMYFUNCTION("""COMPUTED_VALUE"""),44979.38375814815)</f>
        <v>44979.38376</v>
      </c>
      <c r="C2228" s="1" t="str">
        <f>IFERROR(__xludf.DUMMYFUNCTION("""COMPUTED_VALUE"""),"cecilia zabala")</f>
        <v>cecilia zabala</v>
      </c>
      <c r="D2228" s="1" t="str">
        <f>IFERROR(__xludf.DUMMYFUNCTION("""COMPUTED_VALUE"""),"Reparaciones/Otros")</f>
        <v>Reparaciones/Otros</v>
      </c>
      <c r="E2228" s="1" t="str">
        <f>IFERROR(__xludf.DUMMYFUNCTION("""COMPUTED_VALUE"""),"RIVADAVIA Daniel CM")</f>
        <v>RIVADAVIA Daniel CM</v>
      </c>
      <c r="F2228" s="1" t="str">
        <f t="shared" si="1"/>
        <v>RIVADAVIA </v>
      </c>
      <c r="G2228" s="1" t="str">
        <f t="shared" si="2"/>
        <v>Daniel CM</v>
      </c>
      <c r="H2228" s="1" t="str">
        <f>IFERROR(__xludf.DUMMYFUNCTION("""COMPUTED_VALUE"""),"23/2/2023, 17:00:00")</f>
        <v>23/2/2023, 17:00:00</v>
      </c>
      <c r="I2228" s="1" t="str">
        <f>IFERROR(__xludf.DUMMYFUNCTION("""COMPUTED_VALUE"""),"Recibido en Laboratorio")</f>
        <v>Recibido en Laboratorio</v>
      </c>
      <c r="J2228" s="1">
        <f t="shared" si="3"/>
        <v>2</v>
      </c>
      <c r="K2228" s="1" t="str">
        <f t="shared" si="4"/>
        <v>Nuestro Laboratorio esta trabajando en tus lentes, los entregaremos en la fecha acordada.</v>
      </c>
    </row>
    <row r="2229">
      <c r="A2229" s="1">
        <f>IFERROR(__xludf.DUMMYFUNCTION("""COMPUTED_VALUE"""),86777.0)</f>
        <v>86777</v>
      </c>
      <c r="B2229" s="5">
        <f>IFERROR(__xludf.DUMMYFUNCTION("""COMPUTED_VALUE"""),44979.386681689815)</f>
        <v>44979.38668</v>
      </c>
      <c r="C2229" s="1" t="str">
        <f>IFERROR(__xludf.DUMMYFUNCTION("""COMPUTED_VALUE"""),"GARGIULO MARGARITA")</f>
        <v>GARGIULO MARGARITA</v>
      </c>
      <c r="D2229" s="1" t="str">
        <f>IFERROR(__xludf.DUMMYFUNCTION("""COMPUTED_VALUE"""),"Reparaciones/Otros")</f>
        <v>Reparaciones/Otros</v>
      </c>
      <c r="E2229" s="1" t="str">
        <f>IFERROR(__xludf.DUMMYFUNCTION("""COMPUTED_VALUE"""),"RIVADAVIA Santiago LOPEZ")</f>
        <v>RIVADAVIA Santiago LOPEZ</v>
      </c>
      <c r="F2229" s="1" t="str">
        <f t="shared" si="1"/>
        <v>RIVADAVIA </v>
      </c>
      <c r="G2229" s="1" t="str">
        <f t="shared" si="2"/>
        <v>Santiago LOPEZ</v>
      </c>
      <c r="H2229" s="1" t="str">
        <f>IFERROR(__xludf.DUMMYFUNCTION("""COMPUTED_VALUE"""),"23/2/2023, 17:00:00")</f>
        <v>23/2/2023, 17:00:00</v>
      </c>
      <c r="I2229" s="1" t="str">
        <f>IFERROR(__xludf.DUMMYFUNCTION("""COMPUTED_VALUE"""),"Recibido en Laboratorio")</f>
        <v>Recibido en Laboratorio</v>
      </c>
      <c r="J2229" s="1">
        <f t="shared" si="3"/>
        <v>2</v>
      </c>
      <c r="K2229" s="1" t="str">
        <f t="shared" si="4"/>
        <v>Nuestro Laboratorio esta trabajando en tus lentes, los entregaremos en la fecha acordada.</v>
      </c>
    </row>
    <row r="2230">
      <c r="A2230" s="1">
        <f>IFERROR(__xludf.DUMMYFUNCTION("""COMPUTED_VALUE"""),86778.0)</f>
        <v>86778</v>
      </c>
      <c r="B2230" s="5">
        <f>IFERROR(__xludf.DUMMYFUNCTION("""COMPUTED_VALUE"""),44979.388247939816)</f>
        <v>44979.38825</v>
      </c>
      <c r="C2230" s="1" t="str">
        <f>IFERROR(__xludf.DUMMYFUNCTION("""COMPUTED_VALUE"""),"ANELLO ALEJANDRO ")</f>
        <v>ANELLO ALEJANDRO </v>
      </c>
      <c r="D2230" s="1" t="str">
        <f>IFERROR(__xludf.DUMMYFUNCTION("""COMPUTED_VALUE"""),"Lentes de STOCK")</f>
        <v>Lentes de STOCK</v>
      </c>
      <c r="E2230" s="1" t="str">
        <f>IFERROR(__xludf.DUMMYFUNCTION("""COMPUTED_VALUE"""),"RIVADAVIA Luciana")</f>
        <v>RIVADAVIA Luciana</v>
      </c>
      <c r="F2230" s="1" t="str">
        <f t="shared" si="1"/>
        <v>RIVADAVIA </v>
      </c>
      <c r="G2230" s="1" t="str">
        <f t="shared" si="2"/>
        <v>Luciana</v>
      </c>
      <c r="H2230" s="1" t="str">
        <f>IFERROR(__xludf.DUMMYFUNCTION("""COMPUTED_VALUE"""),"2/3/2023, 17:00:00")</f>
        <v>2/3/2023, 17:00:00</v>
      </c>
      <c r="I2230" s="1" t="str">
        <f>IFERROR(__xludf.DUMMYFUNCTION("""COMPUTED_VALUE"""),"Recibido en Laboratorio")</f>
        <v>Recibido en Laboratorio</v>
      </c>
      <c r="J2230" s="1">
        <f t="shared" si="3"/>
        <v>2</v>
      </c>
      <c r="K2230" s="1" t="str">
        <f t="shared" si="4"/>
        <v>Nuestro Laboratorio esta trabajando en tus lentes, los entregaremos en la fecha acordada.</v>
      </c>
    </row>
    <row r="2231">
      <c r="A2231" s="1">
        <f>IFERROR(__xludf.DUMMYFUNCTION("""COMPUTED_VALUE"""),86779.0)</f>
        <v>86779</v>
      </c>
      <c r="B2231" s="5">
        <f>IFERROR(__xludf.DUMMYFUNCTION("""COMPUTED_VALUE"""),44979.390282569446)</f>
        <v>44979.39028</v>
      </c>
      <c r="C2231" s="1" t="str">
        <f>IFERROR(__xludf.DUMMYFUNCTION("""COMPUTED_VALUE"""),"VEGA VICTOR HUGO")</f>
        <v>VEGA VICTOR HUGO</v>
      </c>
      <c r="D2231" s="1" t="str">
        <f>IFERROR(__xludf.DUMMYFUNCTION("""COMPUTED_VALUE"""),"Reparaciones/Otros")</f>
        <v>Reparaciones/Otros</v>
      </c>
      <c r="E2231" s="1" t="str">
        <f>IFERROR(__xludf.DUMMYFUNCTION("""COMPUTED_VALUE"""),"ARTIGAS Roció")</f>
        <v>ARTIGAS Roció</v>
      </c>
      <c r="F2231" s="1" t="str">
        <f t="shared" si="1"/>
        <v>ARTIGAS </v>
      </c>
      <c r="G2231" s="1" t="str">
        <f t="shared" si="2"/>
        <v>Roció</v>
      </c>
      <c r="H2231" s="1" t="str">
        <f>IFERROR(__xludf.DUMMYFUNCTION("""COMPUTED_VALUE"""),"23/2/2023, 17:00:00")</f>
        <v>23/2/2023, 17:00:00</v>
      </c>
      <c r="I2231" s="1" t="str">
        <f>IFERROR(__xludf.DUMMYFUNCTION("""COMPUTED_VALUE"""),"Completado en SUCURSAL")</f>
        <v>Completado en SUCURSAL</v>
      </c>
      <c r="J2231" s="1">
        <f t="shared" si="3"/>
        <v>5</v>
      </c>
      <c r="K2231" s="1" t="str">
        <f t="shared" si="4"/>
        <v>Tus Lentes estan LISTAS PARA ENTREGAR, te esperamos.</v>
      </c>
    </row>
    <row r="2232">
      <c r="A2232" s="1">
        <f>IFERROR(__xludf.DUMMYFUNCTION("""COMPUTED_VALUE"""),86780.0)</f>
        <v>86780</v>
      </c>
      <c r="B2232" s="5">
        <f>IFERROR(__xludf.DUMMYFUNCTION("""COMPUTED_VALUE"""),44979.402590428246)</f>
        <v>44979.40259</v>
      </c>
      <c r="C2232" s="1" t="str">
        <f>IFERROR(__xludf.DUMMYFUNCTION("""COMPUTED_VALUE"""),"RODRIGUEZ HORACIO RAMON")</f>
        <v>RODRIGUEZ HORACIO RAMON</v>
      </c>
      <c r="D2232" s="1" t="str">
        <f>IFERROR(__xludf.DUMMYFUNCTION("""COMPUTED_VALUE"""),"Lentes de STOCK")</f>
        <v>Lentes de STOCK</v>
      </c>
      <c r="E2232" s="1" t="str">
        <f>IFERROR(__xludf.DUMMYFUNCTION("""COMPUTED_VALUE"""),"ARTIGAS Roció")</f>
        <v>ARTIGAS Roció</v>
      </c>
      <c r="F2232" s="1" t="str">
        <f t="shared" si="1"/>
        <v>ARTIGAS </v>
      </c>
      <c r="G2232" s="1" t="str">
        <f t="shared" si="2"/>
        <v>Roció</v>
      </c>
      <c r="H2232" s="1" t="str">
        <f>IFERROR(__xludf.DUMMYFUNCTION("""COMPUTED_VALUE"""),"2/3/2023, 17:00:00")</f>
        <v>2/3/2023, 17:00:00</v>
      </c>
      <c r="I2232" s="1" t="str">
        <f>IFERROR(__xludf.DUMMYFUNCTION("""COMPUTED_VALUE"""),"Recibido en Laboratorio")</f>
        <v>Recibido en Laboratorio</v>
      </c>
      <c r="J2232" s="1">
        <f t="shared" si="3"/>
        <v>2</v>
      </c>
      <c r="K2232" s="1" t="str">
        <f t="shared" si="4"/>
        <v>Nuestro Laboratorio esta trabajando en tus lentes, los entregaremos en la fecha acordada.</v>
      </c>
    </row>
    <row r="2233">
      <c r="A2233" s="1">
        <f>IFERROR(__xludf.DUMMYFUNCTION("""COMPUTED_VALUE"""),86781.0)</f>
        <v>86781</v>
      </c>
      <c r="B2233" s="5">
        <f>IFERROR(__xludf.DUMMYFUNCTION("""COMPUTED_VALUE"""),44979.4029144213)</f>
        <v>44979.40291</v>
      </c>
      <c r="C2233" s="1" t="str">
        <f>IFERROR(__xludf.DUMMYFUNCTION("""COMPUTED_VALUE"""),"MOYANO ELIDA ")</f>
        <v>MOYANO ELIDA </v>
      </c>
      <c r="D2233" s="1" t="str">
        <f>IFERROR(__xludf.DUMMYFUNCTION("""COMPUTED_VALUE"""),"Lentes de STOCK")</f>
        <v>Lentes de STOCK</v>
      </c>
      <c r="E2233" s="1" t="str">
        <f>IFERROR(__xludf.DUMMYFUNCTION("""COMPUTED_VALUE"""),"RIVADAVIA Santiago N")</f>
        <v>RIVADAVIA Santiago N</v>
      </c>
      <c r="F2233" s="1" t="str">
        <f t="shared" si="1"/>
        <v>RIVADAVIA </v>
      </c>
      <c r="G2233" s="1" t="str">
        <f t="shared" si="2"/>
        <v>Santiago N</v>
      </c>
      <c r="H2233" s="1" t="str">
        <f>IFERROR(__xludf.DUMMYFUNCTION("""COMPUTED_VALUE"""),"25/2/2023, 17:00:00")</f>
        <v>25/2/2023, 17:00:00</v>
      </c>
      <c r="I2233" s="1" t="str">
        <f>IFERROR(__xludf.DUMMYFUNCTION("""COMPUTED_VALUE"""),"RETIRADO OK POR CLIENTE")</f>
        <v>RETIRADO OK POR CLIENTE</v>
      </c>
      <c r="J2233" s="1">
        <f t="shared" si="3"/>
        <v>6</v>
      </c>
      <c r="K2233" s="1" t="str">
        <f t="shared" si="4"/>
        <v>Entregamos tus lentes, que los disfrutes!</v>
      </c>
    </row>
    <row r="2234">
      <c r="A2234" s="1">
        <f>IFERROR(__xludf.DUMMYFUNCTION("""COMPUTED_VALUE"""),86782.0)</f>
        <v>86782</v>
      </c>
      <c r="B2234" s="5">
        <f>IFERROR(__xludf.DUMMYFUNCTION("""COMPUTED_VALUE"""),44979.405173402774)</f>
        <v>44979.40517</v>
      </c>
      <c r="C2234" s="1" t="str">
        <f>IFERROR(__xludf.DUMMYFUNCTION("""COMPUTED_VALUE"""),"latini maria marcela")</f>
        <v>latini maria marcela</v>
      </c>
      <c r="D2234" s="1" t="str">
        <f>IFERROR(__xludf.DUMMYFUNCTION("""COMPUTED_VALUE"""),"Reparaciones/Otros")</f>
        <v>Reparaciones/Otros</v>
      </c>
      <c r="E2234" s="1" t="str">
        <f>IFERROR(__xludf.DUMMYFUNCTION("""COMPUTED_VALUE"""),"ARTIGAS Sandra G")</f>
        <v>ARTIGAS Sandra G</v>
      </c>
      <c r="F2234" s="1" t="str">
        <f t="shared" si="1"/>
        <v>ARTIGAS </v>
      </c>
      <c r="G2234" s="1" t="str">
        <f t="shared" si="2"/>
        <v>Sandra G</v>
      </c>
      <c r="H2234" s="1" t="str">
        <f>IFERROR(__xludf.DUMMYFUNCTION("""COMPUTED_VALUE"""),"23/2/2023, 17:00:00")</f>
        <v>23/2/2023, 17:00:00</v>
      </c>
      <c r="I2234" s="1" t="str">
        <f>IFERROR(__xludf.DUMMYFUNCTION("""COMPUTED_VALUE"""),"Completado en SUCURSAL")</f>
        <v>Completado en SUCURSAL</v>
      </c>
      <c r="J2234" s="1">
        <f t="shared" si="3"/>
        <v>5</v>
      </c>
      <c r="K2234" s="1" t="str">
        <f t="shared" si="4"/>
        <v>Tus Lentes estan LISTAS PARA ENTREGAR, te esperamos.</v>
      </c>
    </row>
    <row r="2235">
      <c r="A2235" s="1">
        <f>IFERROR(__xludf.DUMMYFUNCTION("""COMPUTED_VALUE"""),86783.0)</f>
        <v>86783</v>
      </c>
      <c r="B2235" s="5">
        <f>IFERROR(__xludf.DUMMYFUNCTION("""COMPUTED_VALUE"""),44979.41248770834)</f>
        <v>44979.41249</v>
      </c>
      <c r="C2235" s="1" t="str">
        <f>IFERROR(__xludf.DUMMYFUNCTION("""COMPUTED_VALUE"""),"LOYOLA IRMA GLADYS")</f>
        <v>LOYOLA IRMA GLADYS</v>
      </c>
      <c r="D2235" s="1" t="str">
        <f>IFERROR(__xludf.DUMMYFUNCTION("""COMPUTED_VALUE"""),"Lentes de STOCK")</f>
        <v>Lentes de STOCK</v>
      </c>
      <c r="E2235" s="1" t="str">
        <f>IFERROR(__xludf.DUMMYFUNCTION("""COMPUTED_VALUE"""),"ARTIGAS Roció")</f>
        <v>ARTIGAS Roció</v>
      </c>
      <c r="F2235" s="1" t="str">
        <f t="shared" si="1"/>
        <v>ARTIGAS </v>
      </c>
      <c r="G2235" s="1" t="str">
        <f t="shared" si="2"/>
        <v>Roció</v>
      </c>
      <c r="H2235" s="1" t="str">
        <f>IFERROR(__xludf.DUMMYFUNCTION("""COMPUTED_VALUE"""),"2/3/2023, 17:00:00")</f>
        <v>2/3/2023, 17:00:00</v>
      </c>
      <c r="I2235" s="1"/>
      <c r="J2235" s="1">
        <f t="shared" si="3"/>
        <v>0</v>
      </c>
      <c r="K2235" s="1" t="str">
        <f t="shared" si="4"/>
        <v/>
      </c>
    </row>
    <row r="2236">
      <c r="A2236" s="1">
        <f>IFERROR(__xludf.DUMMYFUNCTION("""COMPUTED_VALUE"""),86784.0)</f>
        <v>86784</v>
      </c>
      <c r="B2236" s="5">
        <f>IFERROR(__xludf.DUMMYFUNCTION("""COMPUTED_VALUE"""),44979.416729965276)</f>
        <v>44979.41673</v>
      </c>
      <c r="C2236" s="1" t="str">
        <f>IFERROR(__xludf.DUMMYFUNCTION("""COMPUTED_VALUE"""),"SOSA DELFINA")</f>
        <v>SOSA DELFINA</v>
      </c>
      <c r="D2236" s="1" t="str">
        <f>IFERROR(__xludf.DUMMYFUNCTION("""COMPUTED_VALUE"""),"Lentes de STOCK")</f>
        <v>Lentes de STOCK</v>
      </c>
      <c r="E2236" s="1" t="str">
        <f>IFERROR(__xludf.DUMMYFUNCTION("""COMPUTED_VALUE"""),"ARTIGAS Ivana P.")</f>
        <v>ARTIGAS Ivana P.</v>
      </c>
      <c r="F2236" s="1" t="str">
        <f t="shared" si="1"/>
        <v>ARTIGAS </v>
      </c>
      <c r="G2236" s="1" t="str">
        <f t="shared" si="2"/>
        <v>Ivana P.</v>
      </c>
      <c r="H2236" s="1" t="str">
        <f>IFERROR(__xludf.DUMMYFUNCTION("""COMPUTED_VALUE"""),"25/2/2023, 17:00:00")</f>
        <v>25/2/2023, 17:00:00</v>
      </c>
      <c r="I2236" s="1" t="str">
        <f>IFERROR(__xludf.DUMMYFUNCTION("""COMPUTED_VALUE"""),"Completado en SUCURSAL")</f>
        <v>Completado en SUCURSAL</v>
      </c>
      <c r="J2236" s="1">
        <f t="shared" si="3"/>
        <v>5</v>
      </c>
      <c r="K2236" s="1" t="str">
        <f t="shared" si="4"/>
        <v>Tus Lentes estan LISTAS PARA ENTREGAR, te esperamos.</v>
      </c>
    </row>
    <row r="2237">
      <c r="A2237" s="1">
        <f>IFERROR(__xludf.DUMMYFUNCTION("""COMPUTED_VALUE"""),86785.0)</f>
        <v>86785</v>
      </c>
      <c r="B2237" s="5">
        <f>IFERROR(__xludf.DUMMYFUNCTION("""COMPUTED_VALUE"""),44979.424724212964)</f>
        <v>44979.42472</v>
      </c>
      <c r="C2237" s="1" t="str">
        <f>IFERROR(__xludf.DUMMYFUNCTION("""COMPUTED_VALUE"""),"OROZCO MARIA")</f>
        <v>OROZCO MARIA</v>
      </c>
      <c r="D2237" s="1" t="str">
        <f>IFERROR(__xludf.DUMMYFUNCTION("""COMPUTED_VALUE"""),"Lentes de STOCK")</f>
        <v>Lentes de STOCK</v>
      </c>
      <c r="E2237" s="1" t="str">
        <f>IFERROR(__xludf.DUMMYFUNCTION("""COMPUTED_VALUE"""),"ARTIGAS Ivana P.")</f>
        <v>ARTIGAS Ivana P.</v>
      </c>
      <c r="F2237" s="1" t="str">
        <f t="shared" si="1"/>
        <v>ARTIGAS </v>
      </c>
      <c r="G2237" s="1" t="str">
        <f t="shared" si="2"/>
        <v>Ivana P.</v>
      </c>
      <c r="H2237" s="1" t="str">
        <f>IFERROR(__xludf.DUMMYFUNCTION("""COMPUTED_VALUE"""),"24/2/2023, 17:00:00")</f>
        <v>24/2/2023, 17:00:00</v>
      </c>
      <c r="I2237" s="1"/>
      <c r="J2237" s="1">
        <f t="shared" si="3"/>
        <v>0</v>
      </c>
      <c r="K2237" s="1" t="str">
        <f t="shared" si="4"/>
        <v/>
      </c>
    </row>
    <row r="2238">
      <c r="A2238" s="1">
        <f>IFERROR(__xludf.DUMMYFUNCTION("""COMPUTED_VALUE"""),86786.0)</f>
        <v>86786</v>
      </c>
      <c r="B2238" s="5">
        <f>IFERROR(__xludf.DUMMYFUNCTION("""COMPUTED_VALUE"""),44979.42641803241)</f>
        <v>44979.42642</v>
      </c>
      <c r="C2238" s="1" t="str">
        <f>IFERROR(__xludf.DUMMYFUNCTION("""COMPUTED_VALUE"""),"CORIA JUANA ELENA")</f>
        <v>CORIA JUANA ELENA</v>
      </c>
      <c r="D2238" s="1" t="str">
        <f>IFERROR(__xludf.DUMMYFUNCTION("""COMPUTED_VALUE"""),"Lentes BIFOCALES")</f>
        <v>Lentes BIFOCALES</v>
      </c>
      <c r="E2238" s="1" t="str">
        <f>IFERROR(__xludf.DUMMYFUNCTION("""COMPUTED_VALUE"""),"ARTIGAS Roció")</f>
        <v>ARTIGAS Roció</v>
      </c>
      <c r="F2238" s="1" t="str">
        <f t="shared" si="1"/>
        <v>ARTIGAS </v>
      </c>
      <c r="G2238" s="1" t="str">
        <f t="shared" si="2"/>
        <v>Roció</v>
      </c>
      <c r="H2238" s="1" t="str">
        <f>IFERROR(__xludf.DUMMYFUNCTION("""COMPUTED_VALUE"""),"3/3/2023, 17:00:00")</f>
        <v>3/3/2023, 17:00:00</v>
      </c>
      <c r="I2238" s="1"/>
      <c r="J2238" s="1">
        <f t="shared" si="3"/>
        <v>0</v>
      </c>
      <c r="K2238" s="1" t="str">
        <f t="shared" si="4"/>
        <v/>
      </c>
    </row>
    <row r="2239" hidden="1">
      <c r="A2239" s="1">
        <f>IFERROR(__xludf.DUMMYFUNCTION("""COMPUTED_VALUE"""),86787.0)</f>
        <v>86787</v>
      </c>
      <c r="B2239" s="5">
        <f>IFERROR(__xludf.DUMMYFUNCTION("""COMPUTED_VALUE"""),44979.42855484954)</f>
        <v>44979.42855</v>
      </c>
      <c r="C2239" s="1" t="str">
        <f>IFERROR(__xludf.DUMMYFUNCTION("""COMPUTED_VALUE"""),"demo victoria")</f>
        <v>demo victoria</v>
      </c>
      <c r="D2239" s="1" t="str">
        <f>IFERROR(__xludf.DUMMYFUNCTION("""COMPUTED_VALUE"""),"Lentes de STOCK")</f>
        <v>Lentes de STOCK</v>
      </c>
      <c r="E2239" s="1" t="str">
        <f>IFERROR(__xludf.DUMMYFUNCTION("""COMPUTED_VALUE"""),"RIVADAVIA Santiago N")</f>
        <v>RIVADAVIA Santiago N</v>
      </c>
      <c r="F2239" s="1" t="str">
        <f t="shared" si="1"/>
        <v>RIVADAVIA </v>
      </c>
      <c r="G2239" s="1" t="str">
        <f t="shared" si="2"/>
        <v>Santiago N</v>
      </c>
      <c r="H2239" s="1" t="str">
        <f>IFERROR(__xludf.DUMMYFUNCTION("""COMPUTED_VALUE"""),"25/2/2023, 17:00:00")</f>
        <v>25/2/2023, 17:00:00</v>
      </c>
      <c r="I2239" s="1" t="str">
        <f>IFERROR(__xludf.DUMMYFUNCTION("""COMPUTED_VALUE"""),"DEMORADO")</f>
        <v>DEMORADO</v>
      </c>
      <c r="J2239" s="1" t="str">
        <f t="shared" si="3"/>
        <v/>
      </c>
      <c r="K2239" s="1" t="str">
        <f t="shared" si="4"/>
        <v>Tuvimos una demora con tus lentes y no podremos entregarlo en las fecha acordada, estamos trabajando para terminarlos cuanto antes, te mantendremos al tanto, si es necesario contactanos via whatsapp.</v>
      </c>
    </row>
    <row r="2240" hidden="1">
      <c r="A2240" s="1">
        <f>IFERROR(__xludf.DUMMYFUNCTION("""COMPUTED_VALUE"""),86788.0)</f>
        <v>86788</v>
      </c>
      <c r="B2240" s="5">
        <f>IFERROR(__xludf.DUMMYFUNCTION("""COMPUTED_VALUE"""),44979.43907226852)</f>
        <v>44979.43907</v>
      </c>
      <c r="C2240" s="1" t="str">
        <f>IFERROR(__xludf.DUMMYFUNCTION("""COMPUTED_VALUE"""),"griotti miguel maria catalina")</f>
        <v>griotti miguel maria catalina</v>
      </c>
      <c r="D2240" s="1" t="str">
        <f>IFERROR(__xludf.DUMMYFUNCTION("""COMPUTED_VALUE"""),"Lentes de LABORATORIO")</f>
        <v>Lentes de LABORATORIO</v>
      </c>
      <c r="E2240" s="1" t="str">
        <f>IFERROR(__xludf.DUMMYFUNCTION("""COMPUTED_VALUE"""),"RIVADAVIA Santiago N")</f>
        <v>RIVADAVIA Santiago N</v>
      </c>
      <c r="F2240" s="1" t="str">
        <f t="shared" si="1"/>
        <v>RIVADAVIA </v>
      </c>
      <c r="G2240" s="1" t="str">
        <f t="shared" si="2"/>
        <v>Santiago N</v>
      </c>
      <c r="H2240" s="1" t="str">
        <f>IFERROR(__xludf.DUMMYFUNCTION("""COMPUTED_VALUE"""),"1/3/2023, 17:00:00")</f>
        <v>1/3/2023, 17:00:00</v>
      </c>
      <c r="I2240" s="1" t="str">
        <f>IFERROR(__xludf.DUMMYFUNCTION("""COMPUTED_VALUE"""),"DEMORADO")</f>
        <v>DEMORADO</v>
      </c>
      <c r="J2240" s="1" t="str">
        <f t="shared" si="3"/>
        <v/>
      </c>
      <c r="K2240" s="1" t="str">
        <f t="shared" si="4"/>
        <v>Tuvimos una demora con tus lentes y no podremos entregarlo en las fecha acordada, estamos trabajando para terminarlos cuanto antes, te mantendremos al tanto, si es necesario contactanos via whatsapp.</v>
      </c>
    </row>
    <row r="2241">
      <c r="A2241" s="1">
        <f>IFERROR(__xludf.DUMMYFUNCTION("""COMPUTED_VALUE"""),86789.0)</f>
        <v>86789</v>
      </c>
      <c r="B2241" s="5">
        <f>IFERROR(__xludf.DUMMYFUNCTION("""COMPUTED_VALUE"""),44979.43992097222)</f>
        <v>44979.43992</v>
      </c>
      <c r="C2241" s="1" t="str">
        <f>IFERROR(__xludf.DUMMYFUNCTION("""COMPUTED_VALUE"""),"MUÑOZ NELIDA ISABEL")</f>
        <v>MUÑOZ NELIDA ISABEL</v>
      </c>
      <c r="D2241" s="1" t="str">
        <f>IFERROR(__xludf.DUMMYFUNCTION("""COMPUTED_VALUE"""),"Lentes de STOCK")</f>
        <v>Lentes de STOCK</v>
      </c>
      <c r="E2241" s="1" t="str">
        <f>IFERROR(__xludf.DUMMYFUNCTION("""COMPUTED_VALUE"""),"ARTIGAS Roció")</f>
        <v>ARTIGAS Roció</v>
      </c>
      <c r="F2241" s="1" t="str">
        <f t="shared" si="1"/>
        <v>ARTIGAS </v>
      </c>
      <c r="G2241" s="1" t="str">
        <f t="shared" si="2"/>
        <v>Roció</v>
      </c>
      <c r="H2241" s="1" t="str">
        <f>IFERROR(__xludf.DUMMYFUNCTION("""COMPUTED_VALUE"""),"3/3/2023, 17:00:00")</f>
        <v>3/3/2023, 17:00:00</v>
      </c>
      <c r="I2241" s="1" t="str">
        <f>IFERROR(__xludf.DUMMYFUNCTION("""COMPUTED_VALUE"""),"Completado en SUCURSAL")</f>
        <v>Completado en SUCURSAL</v>
      </c>
      <c r="J2241" s="1">
        <f t="shared" si="3"/>
        <v>5</v>
      </c>
      <c r="K2241" s="1" t="str">
        <f t="shared" si="4"/>
        <v>Tus Lentes estan LISTAS PARA ENTREGAR, te esperamos.</v>
      </c>
    </row>
    <row r="2242">
      <c r="A2242" s="1">
        <f>IFERROR(__xludf.DUMMYFUNCTION("""COMPUTED_VALUE"""),86790.0)</f>
        <v>86790</v>
      </c>
      <c r="B2242" s="5">
        <f>IFERROR(__xludf.DUMMYFUNCTION("""COMPUTED_VALUE"""),44979.44097243056)</f>
        <v>44979.44097</v>
      </c>
      <c r="C2242" s="1" t="str">
        <f>IFERROR(__xludf.DUMMYFUNCTION("""COMPUTED_VALUE"""),"AYLLON MARIO")</f>
        <v>AYLLON MARIO</v>
      </c>
      <c r="D2242" s="1" t="str">
        <f>IFERROR(__xludf.DUMMYFUNCTION("""COMPUTED_VALUE"""),"Lentes BIFOCALES")</f>
        <v>Lentes BIFOCALES</v>
      </c>
      <c r="E2242" s="1" t="str">
        <f>IFERROR(__xludf.DUMMYFUNCTION("""COMPUTED_VALUE"""),"RIVADAVIA Luciana")</f>
        <v>RIVADAVIA Luciana</v>
      </c>
      <c r="F2242" s="1" t="str">
        <f t="shared" si="1"/>
        <v>RIVADAVIA </v>
      </c>
      <c r="G2242" s="1" t="str">
        <f t="shared" si="2"/>
        <v>Luciana</v>
      </c>
      <c r="H2242" s="1" t="str">
        <f>IFERROR(__xludf.DUMMYFUNCTION("""COMPUTED_VALUE"""),"10/3/2023, 17:00:00")</f>
        <v>10/3/2023, 17:00:00</v>
      </c>
      <c r="I2242" s="1" t="str">
        <f>IFERROR(__xludf.DUMMYFUNCTION("""COMPUTED_VALUE"""),"Recibido en Laboratorio")</f>
        <v>Recibido en Laboratorio</v>
      </c>
      <c r="J2242" s="1">
        <f t="shared" si="3"/>
        <v>2</v>
      </c>
      <c r="K2242" s="1" t="str">
        <f t="shared" si="4"/>
        <v>Nuestro Laboratorio esta trabajando en tus lentes, los entregaremos en la fecha acordada.</v>
      </c>
    </row>
    <row r="2243">
      <c r="A2243" s="1">
        <f>IFERROR(__xludf.DUMMYFUNCTION("""COMPUTED_VALUE"""),86791.0)</f>
        <v>86791</v>
      </c>
      <c r="B2243" s="5">
        <f>IFERROR(__xludf.DUMMYFUNCTION("""COMPUTED_VALUE"""),44979.44113237268)</f>
        <v>44979.44113</v>
      </c>
      <c r="C2243" s="1" t="str">
        <f>IFERROR(__xludf.DUMMYFUNCTION("""COMPUTED_VALUE"""),"Camargo Ramon")</f>
        <v>Camargo Ramon</v>
      </c>
      <c r="D2243" s="1" t="str">
        <f>IFERROR(__xludf.DUMMYFUNCTION("""COMPUTED_VALUE"""),"Reparaciones/Otros")</f>
        <v>Reparaciones/Otros</v>
      </c>
      <c r="E2243" s="1" t="str">
        <f>IFERROR(__xludf.DUMMYFUNCTION("""COMPUTED_VALUE"""),"ARTIGAS Sandra G")</f>
        <v>ARTIGAS Sandra G</v>
      </c>
      <c r="F2243" s="1" t="str">
        <f t="shared" si="1"/>
        <v>ARTIGAS </v>
      </c>
      <c r="G2243" s="1" t="str">
        <f t="shared" si="2"/>
        <v>Sandra G</v>
      </c>
      <c r="H2243" s="1" t="str">
        <f>IFERROR(__xludf.DUMMYFUNCTION("""COMPUTED_VALUE"""),"27/2/2023, 17:00:00")</f>
        <v>27/2/2023, 17:00:00</v>
      </c>
      <c r="I2243" s="1" t="str">
        <f>IFERROR(__xludf.DUMMYFUNCTION("""COMPUTED_VALUE"""),"Completado en SUCURSAL")</f>
        <v>Completado en SUCURSAL</v>
      </c>
      <c r="J2243" s="1">
        <f t="shared" si="3"/>
        <v>5</v>
      </c>
      <c r="K2243" s="1" t="str">
        <f t="shared" si="4"/>
        <v>Tus Lentes estan LISTAS PARA ENTREGAR, te esperamos.</v>
      </c>
    </row>
    <row r="2244">
      <c r="A2244" s="1">
        <f>IFERROR(__xludf.DUMMYFUNCTION("""COMPUTED_VALUE"""),86792.0)</f>
        <v>86792</v>
      </c>
      <c r="B2244" s="5">
        <f>IFERROR(__xludf.DUMMYFUNCTION("""COMPUTED_VALUE"""),44979.44171484954)</f>
        <v>44979.44171</v>
      </c>
      <c r="C2244" s="1" t="str">
        <f>IFERROR(__xludf.DUMMYFUNCTION("""COMPUTED_VALUE"""),"ORELLANA CASTRO CARLOS")</f>
        <v>ORELLANA CASTRO CARLOS</v>
      </c>
      <c r="D2244" s="1" t="str">
        <f>IFERROR(__xludf.DUMMYFUNCTION("""COMPUTED_VALUE"""),"Lentes de STOCK")</f>
        <v>Lentes de STOCK</v>
      </c>
      <c r="E2244" s="1" t="str">
        <f>IFERROR(__xludf.DUMMYFUNCTION("""COMPUTED_VALUE"""),"ARTIGAS Ivana P.")</f>
        <v>ARTIGAS Ivana P.</v>
      </c>
      <c r="F2244" s="1" t="str">
        <f t="shared" si="1"/>
        <v>ARTIGAS </v>
      </c>
      <c r="G2244" s="1" t="str">
        <f t="shared" si="2"/>
        <v>Ivana P.</v>
      </c>
      <c r="H2244" s="1" t="str">
        <f>IFERROR(__xludf.DUMMYFUNCTION("""COMPUTED_VALUE"""),"28/2/2023, 17:00:00")</f>
        <v>28/2/2023, 17:00:00</v>
      </c>
      <c r="I2244" s="1" t="str">
        <f>IFERROR(__xludf.DUMMYFUNCTION("""COMPUTED_VALUE"""),"Recibido en Laboratorio")</f>
        <v>Recibido en Laboratorio</v>
      </c>
      <c r="J2244" s="1">
        <f t="shared" si="3"/>
        <v>2</v>
      </c>
      <c r="K2244" s="1" t="str">
        <f t="shared" si="4"/>
        <v>Nuestro Laboratorio esta trabajando en tus lentes, los entregaremos en la fecha acordada.</v>
      </c>
    </row>
    <row r="2245">
      <c r="A2245" s="1">
        <f>IFERROR(__xludf.DUMMYFUNCTION("""COMPUTED_VALUE"""),86793.0)</f>
        <v>86793</v>
      </c>
      <c r="B2245" s="5">
        <f>IFERROR(__xludf.DUMMYFUNCTION("""COMPUTED_VALUE"""),44979.4451652662)</f>
        <v>44979.44517</v>
      </c>
      <c r="C2245" s="1" t="str">
        <f>IFERROR(__xludf.DUMMYFUNCTION("""COMPUTED_VALUE"""),"MONCALERO ARIEL JUAN")</f>
        <v>MONCALERO ARIEL JUAN</v>
      </c>
      <c r="D2245" s="1" t="str">
        <f>IFERROR(__xludf.DUMMYFUNCTION("""COMPUTED_VALUE"""),"Lentes de STOCK")</f>
        <v>Lentes de STOCK</v>
      </c>
      <c r="E2245" s="1" t="str">
        <f>IFERROR(__xludf.DUMMYFUNCTION("""COMPUTED_VALUE"""),"ARTIGAS Roció")</f>
        <v>ARTIGAS Roció</v>
      </c>
      <c r="F2245" s="1" t="str">
        <f t="shared" si="1"/>
        <v>ARTIGAS </v>
      </c>
      <c r="G2245" s="1" t="str">
        <f t="shared" si="2"/>
        <v>Roció</v>
      </c>
      <c r="H2245" s="1" t="str">
        <f>IFERROR(__xludf.DUMMYFUNCTION("""COMPUTED_VALUE"""),"3/3/2023, 17:00:00")</f>
        <v>3/3/2023, 17:00:00</v>
      </c>
      <c r="I2245" s="1"/>
      <c r="J2245" s="1">
        <f t="shared" si="3"/>
        <v>0</v>
      </c>
      <c r="K2245" s="1" t="str">
        <f t="shared" si="4"/>
        <v/>
      </c>
    </row>
    <row r="2246">
      <c r="A2246" s="1">
        <f>IFERROR(__xludf.DUMMYFUNCTION("""COMPUTED_VALUE"""),86794.0)</f>
        <v>86794</v>
      </c>
      <c r="B2246" s="5">
        <f>IFERROR(__xludf.DUMMYFUNCTION("""COMPUTED_VALUE"""),44979.44815462963)</f>
        <v>44979.44815</v>
      </c>
      <c r="C2246" s="1" t="str">
        <f>IFERROR(__xludf.DUMMYFUNCTION("""COMPUTED_VALUE"""),"muñoz hector")</f>
        <v>muñoz hector</v>
      </c>
      <c r="D2246" s="1" t="str">
        <f>IFERROR(__xludf.DUMMYFUNCTION("""COMPUTED_VALUE"""),"Lentes de STOCK")</f>
        <v>Lentes de STOCK</v>
      </c>
      <c r="E2246" s="1" t="str">
        <f>IFERROR(__xludf.DUMMYFUNCTION("""COMPUTED_VALUE"""),"RIVADAVIA Santiago N")</f>
        <v>RIVADAVIA Santiago N</v>
      </c>
      <c r="F2246" s="1" t="str">
        <f t="shared" si="1"/>
        <v>RIVADAVIA </v>
      </c>
      <c r="G2246" s="1" t="str">
        <f t="shared" si="2"/>
        <v>Santiago N</v>
      </c>
      <c r="H2246" s="1" t="str">
        <f>IFERROR(__xludf.DUMMYFUNCTION("""COMPUTED_VALUE"""),"24/2/2023, 17:00:00")</f>
        <v>24/2/2023, 17:00:00</v>
      </c>
      <c r="I2246" s="1" t="str">
        <f>IFERROR(__xludf.DUMMYFUNCTION("""COMPUTED_VALUE"""),"Completado en SUCURSAL")</f>
        <v>Completado en SUCURSAL</v>
      </c>
      <c r="J2246" s="1">
        <f t="shared" si="3"/>
        <v>5</v>
      </c>
      <c r="K2246" s="1" t="str">
        <f t="shared" si="4"/>
        <v>Tus Lentes estan LISTAS PARA ENTREGAR, te esperamos.</v>
      </c>
    </row>
    <row r="2247">
      <c r="A2247" s="1">
        <f>IFERROR(__xludf.DUMMYFUNCTION("""COMPUTED_VALUE"""),86795.0)</f>
        <v>86795</v>
      </c>
      <c r="B2247" s="5">
        <f>IFERROR(__xludf.DUMMYFUNCTION("""COMPUTED_VALUE"""),44979.44877508102)</f>
        <v>44979.44878</v>
      </c>
      <c r="C2247" s="1" t="str">
        <f>IFERROR(__xludf.DUMMYFUNCTION("""COMPUTED_VALUE"""),"CORREA JESUS")</f>
        <v>CORREA JESUS</v>
      </c>
      <c r="D2247" s="1" t="str">
        <f>IFERROR(__xludf.DUMMYFUNCTION("""COMPUTED_VALUE"""),"Lentes de STOCK")</f>
        <v>Lentes de STOCK</v>
      </c>
      <c r="E2247" s="1" t="str">
        <f>IFERROR(__xludf.DUMMYFUNCTION("""COMPUTED_VALUE"""),"RIVADAVIA Daniel CM")</f>
        <v>RIVADAVIA Daniel CM</v>
      </c>
      <c r="F2247" s="1" t="str">
        <f t="shared" si="1"/>
        <v>RIVADAVIA </v>
      </c>
      <c r="G2247" s="1" t="str">
        <f t="shared" si="2"/>
        <v>Daniel CM</v>
      </c>
      <c r="H2247" s="1" t="str">
        <f>IFERROR(__xludf.DUMMYFUNCTION("""COMPUTED_VALUE"""),"27/2/2023, 17:00:00")</f>
        <v>27/2/2023, 17:00:00</v>
      </c>
      <c r="I2247" s="1" t="str">
        <f>IFERROR(__xludf.DUMMYFUNCTION("""COMPUTED_VALUE"""),"Completado en SUCURSAL")</f>
        <v>Completado en SUCURSAL</v>
      </c>
      <c r="J2247" s="1">
        <f t="shared" si="3"/>
        <v>5</v>
      </c>
      <c r="K2247" s="1" t="str">
        <f t="shared" si="4"/>
        <v>Tus Lentes estan LISTAS PARA ENTREGAR, te esperamos.</v>
      </c>
    </row>
    <row r="2248">
      <c r="A2248" s="1">
        <f>IFERROR(__xludf.DUMMYFUNCTION("""COMPUTED_VALUE"""),86796.0)</f>
        <v>86796</v>
      </c>
      <c r="B2248" s="5">
        <f>IFERROR(__xludf.DUMMYFUNCTION("""COMPUTED_VALUE"""),44979.450209201386)</f>
        <v>44979.45021</v>
      </c>
      <c r="C2248" s="1" t="str">
        <f>IFERROR(__xludf.DUMMYFUNCTION("""COMPUTED_VALUE"""),"sala valllun oscar")</f>
        <v>sala valllun oscar</v>
      </c>
      <c r="D2248" s="1" t="str">
        <f>IFERROR(__xludf.DUMMYFUNCTION("""COMPUTED_VALUE"""),"Reparaciones/Otros")</f>
        <v>Reparaciones/Otros</v>
      </c>
      <c r="E2248" s="1" t="str">
        <f>IFERROR(__xludf.DUMMYFUNCTION("""COMPUTED_VALUE"""),"RIVADAVIA Santiago LOPEZ")</f>
        <v>RIVADAVIA Santiago LOPEZ</v>
      </c>
      <c r="F2248" s="1" t="str">
        <f t="shared" si="1"/>
        <v>RIVADAVIA </v>
      </c>
      <c r="G2248" s="1" t="str">
        <f t="shared" si="2"/>
        <v>Santiago LOPEZ</v>
      </c>
      <c r="H2248" s="1" t="str">
        <f>IFERROR(__xludf.DUMMYFUNCTION("""COMPUTED_VALUE"""),"23/2/2023, 17:00:00")</f>
        <v>23/2/2023, 17:00:00</v>
      </c>
      <c r="I2248" s="1" t="str">
        <f>IFERROR(__xludf.DUMMYFUNCTION("""COMPUTED_VALUE"""),"Completado en SUCURSAL")</f>
        <v>Completado en SUCURSAL</v>
      </c>
      <c r="J2248" s="1">
        <f t="shared" si="3"/>
        <v>5</v>
      </c>
      <c r="K2248" s="1" t="str">
        <f t="shared" si="4"/>
        <v>Tus Lentes estan LISTAS PARA ENTREGAR, te esperamos.</v>
      </c>
    </row>
    <row r="2249">
      <c r="A2249" s="1">
        <f>IFERROR(__xludf.DUMMYFUNCTION("""COMPUTED_VALUE"""),86797.0)</f>
        <v>86797</v>
      </c>
      <c r="B2249" s="5">
        <f>IFERROR(__xludf.DUMMYFUNCTION("""COMPUTED_VALUE"""),44979.450702372684)</f>
        <v>44979.4507</v>
      </c>
      <c r="C2249" s="1" t="str">
        <f>IFERROR(__xludf.DUMMYFUNCTION("""COMPUTED_VALUE"""),"cabanilla silvia")</f>
        <v>cabanilla silvia</v>
      </c>
      <c r="D2249" s="1" t="str">
        <f>IFERROR(__xludf.DUMMYFUNCTION("""COMPUTED_VALUE"""),"Lentes de STOCK")</f>
        <v>Lentes de STOCK</v>
      </c>
      <c r="E2249" s="1" t="str">
        <f>IFERROR(__xludf.DUMMYFUNCTION("""COMPUTED_VALUE"""),"RIVADAVIA Santiago N")</f>
        <v>RIVADAVIA Santiago N</v>
      </c>
      <c r="F2249" s="1" t="str">
        <f t="shared" si="1"/>
        <v>RIVADAVIA </v>
      </c>
      <c r="G2249" s="1" t="str">
        <f t="shared" si="2"/>
        <v>Santiago N</v>
      </c>
      <c r="H2249" s="1" t="str">
        <f>IFERROR(__xludf.DUMMYFUNCTION("""COMPUTED_VALUE"""),"25/2/2023, 17:00:00")</f>
        <v>25/2/2023, 17:00:00</v>
      </c>
      <c r="I2249" s="1" t="str">
        <f>IFERROR(__xludf.DUMMYFUNCTION("""COMPUTED_VALUE"""),"RETIRADO OK POR CLIENTE")</f>
        <v>RETIRADO OK POR CLIENTE</v>
      </c>
      <c r="J2249" s="1">
        <f t="shared" si="3"/>
        <v>6</v>
      </c>
      <c r="K2249" s="1" t="str">
        <f t="shared" si="4"/>
        <v>Entregamos tus lentes, que los disfrutes!</v>
      </c>
    </row>
    <row r="2250">
      <c r="A2250" s="1">
        <f>IFERROR(__xludf.DUMMYFUNCTION("""COMPUTED_VALUE"""),86798.0)</f>
        <v>86798</v>
      </c>
      <c r="B2250" s="5">
        <f>IFERROR(__xludf.DUMMYFUNCTION("""COMPUTED_VALUE"""),44979.454023935185)</f>
        <v>44979.45402</v>
      </c>
      <c r="C2250" s="1" t="str">
        <f>IFERROR(__xludf.DUMMYFUNCTION("""COMPUTED_VALUE"""),"Suarez Eva")</f>
        <v>Suarez Eva</v>
      </c>
      <c r="D2250" s="1" t="str">
        <f>IFERROR(__xludf.DUMMYFUNCTION("""COMPUTED_VALUE"""),"Reparaciones/Otros")</f>
        <v>Reparaciones/Otros</v>
      </c>
      <c r="E2250" s="1" t="str">
        <f>IFERROR(__xludf.DUMMYFUNCTION("""COMPUTED_VALUE"""),"ARTIGAS Sandra G")</f>
        <v>ARTIGAS Sandra G</v>
      </c>
      <c r="F2250" s="1" t="str">
        <f t="shared" si="1"/>
        <v>ARTIGAS </v>
      </c>
      <c r="G2250" s="1" t="str">
        <f t="shared" si="2"/>
        <v>Sandra G</v>
      </c>
      <c r="H2250" s="1" t="str">
        <f>IFERROR(__xludf.DUMMYFUNCTION("""COMPUTED_VALUE"""),"23/2/2023, 17:00:00")</f>
        <v>23/2/2023, 17:00:00</v>
      </c>
      <c r="I2250" s="1" t="str">
        <f>IFERROR(__xludf.DUMMYFUNCTION("""COMPUTED_VALUE"""),"Completado en SUCURSAL")</f>
        <v>Completado en SUCURSAL</v>
      </c>
      <c r="J2250" s="1">
        <f t="shared" si="3"/>
        <v>5</v>
      </c>
      <c r="K2250" s="1" t="str">
        <f t="shared" si="4"/>
        <v>Tus Lentes estan LISTAS PARA ENTREGAR, te esperamos.</v>
      </c>
    </row>
    <row r="2251">
      <c r="A2251" s="1">
        <f>IFERROR(__xludf.DUMMYFUNCTION("""COMPUTED_VALUE"""),86799.0)</f>
        <v>86799</v>
      </c>
      <c r="B2251" s="5">
        <f>IFERROR(__xludf.DUMMYFUNCTION("""COMPUTED_VALUE"""),44979.45530630787)</f>
        <v>44979.45531</v>
      </c>
      <c r="C2251" s="1" t="str">
        <f>IFERROR(__xludf.DUMMYFUNCTION("""COMPUTED_VALUE"""),"SUAREZ ANA")</f>
        <v>SUAREZ ANA</v>
      </c>
      <c r="D2251" s="1" t="str">
        <f>IFERROR(__xludf.DUMMYFUNCTION("""COMPUTED_VALUE"""),"Lentes de STOCK")</f>
        <v>Lentes de STOCK</v>
      </c>
      <c r="E2251" s="1" t="str">
        <f>IFERROR(__xludf.DUMMYFUNCTION("""COMPUTED_VALUE"""),"RIVADAVIA Santiago LOPEZ")</f>
        <v>RIVADAVIA Santiago LOPEZ</v>
      </c>
      <c r="F2251" s="1" t="str">
        <f t="shared" si="1"/>
        <v>RIVADAVIA </v>
      </c>
      <c r="G2251" s="1" t="str">
        <f t="shared" si="2"/>
        <v>Santiago LOPEZ</v>
      </c>
      <c r="H2251" s="1" t="str">
        <f>IFERROR(__xludf.DUMMYFUNCTION("""COMPUTED_VALUE"""),"25/2/2023, 17:00:00")</f>
        <v>25/2/2023, 17:00:00</v>
      </c>
      <c r="I2251" s="1" t="str">
        <f>IFERROR(__xludf.DUMMYFUNCTION("""COMPUTED_VALUE"""),"Completado en SUCURSAL")</f>
        <v>Completado en SUCURSAL</v>
      </c>
      <c r="J2251" s="1">
        <f t="shared" si="3"/>
        <v>5</v>
      </c>
      <c r="K2251" s="1" t="str">
        <f t="shared" si="4"/>
        <v>Tus Lentes estan LISTAS PARA ENTREGAR, te esperamos.</v>
      </c>
    </row>
    <row r="2252">
      <c r="A2252" s="1">
        <f>IFERROR(__xludf.DUMMYFUNCTION("""COMPUTED_VALUE"""),86800.0)</f>
        <v>86800</v>
      </c>
      <c r="B2252" s="5">
        <f>IFERROR(__xludf.DUMMYFUNCTION("""COMPUTED_VALUE"""),44979.45937027778)</f>
        <v>44979.45937</v>
      </c>
      <c r="C2252" s="1" t="str">
        <f>IFERROR(__xludf.DUMMYFUNCTION("""COMPUTED_VALUE"""),"VISIONI JUAN")</f>
        <v>VISIONI JUAN</v>
      </c>
      <c r="D2252" s="1" t="str">
        <f>IFERROR(__xludf.DUMMYFUNCTION("""COMPUTED_VALUE"""),"Reparaciones/Otros")</f>
        <v>Reparaciones/Otros</v>
      </c>
      <c r="E2252" s="1" t="str">
        <f>IFERROR(__xludf.DUMMYFUNCTION("""COMPUTED_VALUE"""),"ARTIGAS Roció")</f>
        <v>ARTIGAS Roció</v>
      </c>
      <c r="F2252" s="1" t="str">
        <f t="shared" si="1"/>
        <v>ARTIGAS </v>
      </c>
      <c r="G2252" s="1" t="str">
        <f t="shared" si="2"/>
        <v>Roció</v>
      </c>
      <c r="H2252" s="1" t="str">
        <f>IFERROR(__xludf.DUMMYFUNCTION("""COMPUTED_VALUE"""),"23/2/2023, 17:00:00")</f>
        <v>23/2/2023, 17:00:00</v>
      </c>
      <c r="I2252" s="1" t="str">
        <f>IFERROR(__xludf.DUMMYFUNCTION("""COMPUTED_VALUE"""),"Completado en SUCURSAL")</f>
        <v>Completado en SUCURSAL</v>
      </c>
      <c r="J2252" s="1">
        <f t="shared" si="3"/>
        <v>5</v>
      </c>
      <c r="K2252" s="1" t="str">
        <f t="shared" si="4"/>
        <v>Tus Lentes estan LISTAS PARA ENTREGAR, te esperamos.</v>
      </c>
    </row>
    <row r="2253">
      <c r="A2253" s="1">
        <f>IFERROR(__xludf.DUMMYFUNCTION("""COMPUTED_VALUE"""),86801.0)</f>
        <v>86801</v>
      </c>
      <c r="B2253" s="5">
        <f>IFERROR(__xludf.DUMMYFUNCTION("""COMPUTED_VALUE"""),44979.46994530092)</f>
        <v>44979.46995</v>
      </c>
      <c r="C2253" s="1" t="str">
        <f>IFERROR(__xludf.DUMMYFUNCTION("""COMPUTED_VALUE"""),"GOMEZ SONIA ROSA")</f>
        <v>GOMEZ SONIA ROSA</v>
      </c>
      <c r="D2253" s="1" t="str">
        <f>IFERROR(__xludf.DUMMYFUNCTION("""COMPUTED_VALUE"""),"Reparaciones/Otros")</f>
        <v>Reparaciones/Otros</v>
      </c>
      <c r="E2253" s="1" t="str">
        <f>IFERROR(__xludf.DUMMYFUNCTION("""COMPUTED_VALUE"""),"RIVADAVIA Santiago N")</f>
        <v>RIVADAVIA Santiago N</v>
      </c>
      <c r="F2253" s="1" t="str">
        <f t="shared" si="1"/>
        <v>RIVADAVIA </v>
      </c>
      <c r="G2253" s="1" t="str">
        <f t="shared" si="2"/>
        <v>Santiago N</v>
      </c>
      <c r="H2253" s="1" t="str">
        <f>IFERROR(__xludf.DUMMYFUNCTION("""COMPUTED_VALUE"""),"23/2/2023, 17:00:00")</f>
        <v>23/2/2023, 17:00:00</v>
      </c>
      <c r="I2253" s="1"/>
      <c r="J2253" s="1">
        <f t="shared" si="3"/>
        <v>0</v>
      </c>
      <c r="K2253" s="1" t="str">
        <f t="shared" si="4"/>
        <v/>
      </c>
    </row>
    <row r="2254">
      <c r="A2254" s="1">
        <f>IFERROR(__xludf.DUMMYFUNCTION("""COMPUTED_VALUE"""),86802.0)</f>
        <v>86802</v>
      </c>
      <c r="B2254" s="5">
        <f>IFERROR(__xludf.DUMMYFUNCTION("""COMPUTED_VALUE"""),44979.47034319444)</f>
        <v>44979.47034</v>
      </c>
      <c r="C2254" s="1" t="str">
        <f>IFERROR(__xludf.DUMMYFUNCTION("""COMPUTED_VALUE"""),"GARRO SIMON")</f>
        <v>GARRO SIMON</v>
      </c>
      <c r="D2254" s="1" t="str">
        <f>IFERROR(__xludf.DUMMYFUNCTION("""COMPUTED_VALUE"""),"Lentes de STOCK")</f>
        <v>Lentes de STOCK</v>
      </c>
      <c r="E2254" s="1" t="str">
        <f>IFERROR(__xludf.DUMMYFUNCTION("""COMPUTED_VALUE"""),"RIVADAVIA Luciana")</f>
        <v>RIVADAVIA Luciana</v>
      </c>
      <c r="F2254" s="1" t="str">
        <f t="shared" si="1"/>
        <v>RIVADAVIA </v>
      </c>
      <c r="G2254" s="1" t="str">
        <f t="shared" si="2"/>
        <v>Luciana</v>
      </c>
      <c r="H2254" s="1" t="str">
        <f>IFERROR(__xludf.DUMMYFUNCTION("""COMPUTED_VALUE"""),"2/3/2023, 17:00:00")</f>
        <v>2/3/2023, 17:00:00</v>
      </c>
      <c r="I2254" s="1" t="str">
        <f>IFERROR(__xludf.DUMMYFUNCTION("""COMPUTED_VALUE"""),"Recibido en Laboratorio")</f>
        <v>Recibido en Laboratorio</v>
      </c>
      <c r="J2254" s="1">
        <f t="shared" si="3"/>
        <v>2</v>
      </c>
      <c r="K2254" s="1" t="str">
        <f t="shared" si="4"/>
        <v>Nuestro Laboratorio esta trabajando en tus lentes, los entregaremos en la fecha acordada.</v>
      </c>
    </row>
    <row r="2255">
      <c r="A2255" s="1">
        <f>IFERROR(__xludf.DUMMYFUNCTION("""COMPUTED_VALUE"""),86803.0)</f>
        <v>86803</v>
      </c>
      <c r="B2255" s="5">
        <f>IFERROR(__xludf.DUMMYFUNCTION("""COMPUTED_VALUE"""),44979.47404084491)</f>
        <v>44979.47404</v>
      </c>
      <c r="C2255" s="1" t="str">
        <f>IFERROR(__xludf.DUMMYFUNCTION("""COMPUTED_VALUE"""),"sosa antonia del carmen")</f>
        <v>sosa antonia del carmen</v>
      </c>
      <c r="D2255" s="1" t="str">
        <f>IFERROR(__xludf.DUMMYFUNCTION("""COMPUTED_VALUE"""),"Reparaciones/Otros")</f>
        <v>Reparaciones/Otros</v>
      </c>
      <c r="E2255" s="1" t="str">
        <f>IFERROR(__xludf.DUMMYFUNCTION("""COMPUTED_VALUE"""),"RIVADAVIA Daniel CM")</f>
        <v>RIVADAVIA Daniel CM</v>
      </c>
      <c r="F2255" s="1" t="str">
        <f t="shared" si="1"/>
        <v>RIVADAVIA </v>
      </c>
      <c r="G2255" s="1" t="str">
        <f t="shared" si="2"/>
        <v>Daniel CM</v>
      </c>
      <c r="H2255" s="1" t="str">
        <f>IFERROR(__xludf.DUMMYFUNCTION("""COMPUTED_VALUE"""),"23/2/2023, 17:00:00")</f>
        <v>23/2/2023, 17:00:00</v>
      </c>
      <c r="I2255" s="1" t="str">
        <f>IFERROR(__xludf.DUMMYFUNCTION("""COMPUTED_VALUE"""),"Completado en SUCURSAL")</f>
        <v>Completado en SUCURSAL</v>
      </c>
      <c r="J2255" s="1">
        <f t="shared" si="3"/>
        <v>5</v>
      </c>
      <c r="K2255" s="1" t="str">
        <f t="shared" si="4"/>
        <v>Tus Lentes estan LISTAS PARA ENTREGAR, te esperamos.</v>
      </c>
    </row>
    <row r="2256">
      <c r="A2256" s="1">
        <f>IFERROR(__xludf.DUMMYFUNCTION("""COMPUTED_VALUE"""),86804.0)</f>
        <v>86804</v>
      </c>
      <c r="B2256" s="5">
        <f>IFERROR(__xludf.DUMMYFUNCTION("""COMPUTED_VALUE"""),44979.474361388886)</f>
        <v>44979.47436</v>
      </c>
      <c r="C2256" s="1" t="str">
        <f>IFERROR(__xludf.DUMMYFUNCTION("""COMPUTED_VALUE"""),"ALLENDES ALEJANDRO")</f>
        <v>ALLENDES ALEJANDRO</v>
      </c>
      <c r="D2256" s="1" t="str">
        <f>IFERROR(__xludf.DUMMYFUNCTION("""COMPUTED_VALUE"""),"Reparaciones/Otros")</f>
        <v>Reparaciones/Otros</v>
      </c>
      <c r="E2256" s="1" t="str">
        <f>IFERROR(__xludf.DUMMYFUNCTION("""COMPUTED_VALUE"""),"RIVADAVIA Santiago LOPEZ")</f>
        <v>RIVADAVIA Santiago LOPEZ</v>
      </c>
      <c r="F2256" s="1" t="str">
        <f t="shared" si="1"/>
        <v>RIVADAVIA </v>
      </c>
      <c r="G2256" s="1" t="str">
        <f t="shared" si="2"/>
        <v>Santiago LOPEZ</v>
      </c>
      <c r="H2256" s="1" t="str">
        <f>IFERROR(__xludf.DUMMYFUNCTION("""COMPUTED_VALUE"""),"23/2/2023, 17:00:00")</f>
        <v>23/2/2023, 17:00:00</v>
      </c>
      <c r="I2256" s="1" t="str">
        <f>IFERROR(__xludf.DUMMYFUNCTION("""COMPUTED_VALUE"""),"Completado en SUCURSAL")</f>
        <v>Completado en SUCURSAL</v>
      </c>
      <c r="J2256" s="1">
        <f t="shared" si="3"/>
        <v>5</v>
      </c>
      <c r="K2256" s="1" t="str">
        <f t="shared" si="4"/>
        <v>Tus Lentes estan LISTAS PARA ENTREGAR, te esperamos.</v>
      </c>
    </row>
    <row r="2257">
      <c r="A2257" s="1">
        <f>IFERROR(__xludf.DUMMYFUNCTION("""COMPUTED_VALUE"""),86805.0)</f>
        <v>86805</v>
      </c>
      <c r="B2257" s="5">
        <f>IFERROR(__xludf.DUMMYFUNCTION("""COMPUTED_VALUE"""),44979.487214050925)</f>
        <v>44979.48721</v>
      </c>
      <c r="C2257" s="1" t="str">
        <f>IFERROR(__xludf.DUMMYFUNCTION("""COMPUTED_VALUE"""),"Gonzalez Gabriela")</f>
        <v>Gonzalez Gabriela</v>
      </c>
      <c r="D2257" s="1" t="str">
        <f>IFERROR(__xludf.DUMMYFUNCTION("""COMPUTED_VALUE"""),"Lentes de STOCK")</f>
        <v>Lentes de STOCK</v>
      </c>
      <c r="E2257" s="1" t="str">
        <f>IFERROR(__xludf.DUMMYFUNCTION("""COMPUTED_VALUE"""),"ARTIGAS Sandra G")</f>
        <v>ARTIGAS Sandra G</v>
      </c>
      <c r="F2257" s="1" t="str">
        <f t="shared" si="1"/>
        <v>ARTIGAS </v>
      </c>
      <c r="G2257" s="1" t="str">
        <f t="shared" si="2"/>
        <v>Sandra G</v>
      </c>
      <c r="H2257" s="1" t="str">
        <f>IFERROR(__xludf.DUMMYFUNCTION("""COMPUTED_VALUE"""),"25/2/2023, 17:00:00")</f>
        <v>25/2/2023, 17:00:00</v>
      </c>
      <c r="I2257" s="1" t="str">
        <f>IFERROR(__xludf.DUMMYFUNCTION("""COMPUTED_VALUE"""),"Completado en SUCURSAL")</f>
        <v>Completado en SUCURSAL</v>
      </c>
      <c r="J2257" s="1">
        <f t="shared" si="3"/>
        <v>5</v>
      </c>
      <c r="K2257" s="1" t="str">
        <f t="shared" si="4"/>
        <v>Tus Lentes estan LISTAS PARA ENTREGAR, te esperamos.</v>
      </c>
    </row>
    <row r="2258">
      <c r="A2258" s="1">
        <f>IFERROR(__xludf.DUMMYFUNCTION("""COMPUTED_VALUE"""),86806.0)</f>
        <v>86806</v>
      </c>
      <c r="B2258" s="5">
        <f>IFERROR(__xludf.DUMMYFUNCTION("""COMPUTED_VALUE"""),44979.4889975)</f>
        <v>44979.489</v>
      </c>
      <c r="C2258" s="1" t="str">
        <f>IFERROR(__xludf.DUMMYFUNCTION("""COMPUTED_VALUE"""),"CORTEZ DANIEL ANDRES")</f>
        <v>CORTEZ DANIEL ANDRES</v>
      </c>
      <c r="D2258" s="1" t="str">
        <f>IFERROR(__xludf.DUMMYFUNCTION("""COMPUTED_VALUE"""),"Lentes de STOCK")</f>
        <v>Lentes de STOCK</v>
      </c>
      <c r="E2258" s="1" t="str">
        <f>IFERROR(__xludf.DUMMYFUNCTION("""COMPUTED_VALUE"""),"RIVADAVIA Daniel CM")</f>
        <v>RIVADAVIA Daniel CM</v>
      </c>
      <c r="F2258" s="1" t="str">
        <f t="shared" si="1"/>
        <v>RIVADAVIA </v>
      </c>
      <c r="G2258" s="1" t="str">
        <f t="shared" si="2"/>
        <v>Daniel CM</v>
      </c>
      <c r="H2258" s="1" t="str">
        <f>IFERROR(__xludf.DUMMYFUNCTION("""COMPUTED_VALUE"""),"27/2/2023, 17:00:00")</f>
        <v>27/2/2023, 17:00:00</v>
      </c>
      <c r="I2258" s="1" t="str">
        <f>IFERROR(__xludf.DUMMYFUNCTION("""COMPUTED_VALUE"""),"Completado en SUCURSAL")</f>
        <v>Completado en SUCURSAL</v>
      </c>
      <c r="J2258" s="1">
        <f t="shared" si="3"/>
        <v>5</v>
      </c>
      <c r="K2258" s="1" t="str">
        <f t="shared" si="4"/>
        <v>Tus Lentes estan LISTAS PARA ENTREGAR, te esperamos.</v>
      </c>
    </row>
    <row r="2259">
      <c r="A2259" s="1">
        <f>IFERROR(__xludf.DUMMYFUNCTION("""COMPUTED_VALUE"""),86807.0)</f>
        <v>86807</v>
      </c>
      <c r="B2259" s="5">
        <f>IFERROR(__xludf.DUMMYFUNCTION("""COMPUTED_VALUE"""),44979.489852997685)</f>
        <v>44979.48985</v>
      </c>
      <c r="C2259" s="1" t="str">
        <f>IFERROR(__xludf.DUMMYFUNCTION("""COMPUTED_VALUE"""),"MIRANDA VALENTINO")</f>
        <v>MIRANDA VALENTINO</v>
      </c>
      <c r="D2259" s="1" t="str">
        <f>IFERROR(__xludf.DUMMYFUNCTION("""COMPUTED_VALUE"""),"Lentes de STOCK")</f>
        <v>Lentes de STOCK</v>
      </c>
      <c r="E2259" s="1" t="str">
        <f>IFERROR(__xludf.DUMMYFUNCTION("""COMPUTED_VALUE"""),"ARTIGAS Roció")</f>
        <v>ARTIGAS Roció</v>
      </c>
      <c r="F2259" s="1" t="str">
        <f t="shared" si="1"/>
        <v>ARTIGAS </v>
      </c>
      <c r="G2259" s="1" t="str">
        <f t="shared" si="2"/>
        <v>Roció</v>
      </c>
      <c r="H2259" s="1" t="str">
        <f>IFERROR(__xludf.DUMMYFUNCTION("""COMPUTED_VALUE"""),"2/3/2023, 17:00:00")</f>
        <v>2/3/2023, 17:00:00</v>
      </c>
      <c r="I2259" s="1"/>
      <c r="J2259" s="1">
        <f t="shared" si="3"/>
        <v>0</v>
      </c>
      <c r="K2259" s="1" t="str">
        <f t="shared" si="4"/>
        <v/>
      </c>
    </row>
    <row r="2260">
      <c r="A2260" s="1">
        <f>IFERROR(__xludf.DUMMYFUNCTION("""COMPUTED_VALUE"""),86808.0)</f>
        <v>86808</v>
      </c>
      <c r="B2260" s="5">
        <f>IFERROR(__xludf.DUMMYFUNCTION("""COMPUTED_VALUE"""),44979.49000179398)</f>
        <v>44979.49</v>
      </c>
      <c r="C2260" s="1" t="str">
        <f>IFERROR(__xludf.DUMMYFUNCTION("""COMPUTED_VALUE"""),"SIMON MONICA ")</f>
        <v>SIMON MONICA </v>
      </c>
      <c r="D2260" s="1" t="str">
        <f>IFERROR(__xludf.DUMMYFUNCTION("""COMPUTED_VALUE"""),"Lentes de STOCK")</f>
        <v>Lentes de STOCK</v>
      </c>
      <c r="E2260" s="1" t="str">
        <f>IFERROR(__xludf.DUMMYFUNCTION("""COMPUTED_VALUE"""),"ARTIGAS Ivana P.")</f>
        <v>ARTIGAS Ivana P.</v>
      </c>
      <c r="F2260" s="1" t="str">
        <f t="shared" si="1"/>
        <v>ARTIGAS </v>
      </c>
      <c r="G2260" s="1" t="str">
        <f t="shared" si="2"/>
        <v>Ivana P.</v>
      </c>
      <c r="H2260" s="1" t="str">
        <f>IFERROR(__xludf.DUMMYFUNCTION("""COMPUTED_VALUE"""),"27/2/2023, 17:00:00")</f>
        <v>27/2/2023, 17:00:00</v>
      </c>
      <c r="I2260" s="1" t="str">
        <f>IFERROR(__xludf.DUMMYFUNCTION("""COMPUTED_VALUE"""),"RETIRADO OK POR CLIENTE")</f>
        <v>RETIRADO OK POR CLIENTE</v>
      </c>
      <c r="J2260" s="1">
        <f t="shared" si="3"/>
        <v>6</v>
      </c>
      <c r="K2260" s="1" t="str">
        <f t="shared" si="4"/>
        <v>Entregamos tus lentes, que los disfrutes!</v>
      </c>
    </row>
    <row r="2261">
      <c r="A2261" s="1">
        <f>IFERROR(__xludf.DUMMYFUNCTION("""COMPUTED_VALUE"""),86809.0)</f>
        <v>86809</v>
      </c>
      <c r="B2261" s="5">
        <f>IFERROR(__xludf.DUMMYFUNCTION("""COMPUTED_VALUE"""),44979.49070966435)</f>
        <v>44979.49071</v>
      </c>
      <c r="C2261" s="1" t="str">
        <f>IFERROR(__xludf.DUMMYFUNCTION("""COMPUTED_VALUE"""),"CORTEZ CRISTIAN")</f>
        <v>CORTEZ CRISTIAN</v>
      </c>
      <c r="D2261" s="1" t="str">
        <f>IFERROR(__xludf.DUMMYFUNCTION("""COMPUTED_VALUE"""),"Lentes de STOCK")</f>
        <v>Lentes de STOCK</v>
      </c>
      <c r="E2261" s="1" t="str">
        <f>IFERROR(__xludf.DUMMYFUNCTION("""COMPUTED_VALUE"""),"RIVADAVIA Daniel CM")</f>
        <v>RIVADAVIA Daniel CM</v>
      </c>
      <c r="F2261" s="1" t="str">
        <f t="shared" si="1"/>
        <v>RIVADAVIA </v>
      </c>
      <c r="G2261" s="1" t="str">
        <f t="shared" si="2"/>
        <v>Daniel CM</v>
      </c>
      <c r="H2261" s="1" t="str">
        <f>IFERROR(__xludf.DUMMYFUNCTION("""COMPUTED_VALUE"""),"27/2/2023, 17:00:00")</f>
        <v>27/2/2023, 17:00:00</v>
      </c>
      <c r="I2261" s="1" t="str">
        <f>IFERROR(__xludf.DUMMYFUNCTION("""COMPUTED_VALUE"""),"Completado en SUCURSAL")</f>
        <v>Completado en SUCURSAL</v>
      </c>
      <c r="J2261" s="1">
        <f t="shared" si="3"/>
        <v>5</v>
      </c>
      <c r="K2261" s="1" t="str">
        <f t="shared" si="4"/>
        <v>Tus Lentes estan LISTAS PARA ENTREGAR, te esperamos.</v>
      </c>
    </row>
    <row r="2262">
      <c r="A2262" s="1">
        <f>IFERROR(__xludf.DUMMYFUNCTION("""COMPUTED_VALUE"""),86810.0)</f>
        <v>86810</v>
      </c>
      <c r="B2262" s="5">
        <f>IFERROR(__xludf.DUMMYFUNCTION("""COMPUTED_VALUE"""),44979.4960625463)</f>
        <v>44979.49606</v>
      </c>
      <c r="C2262" s="1" t="str">
        <f>IFERROR(__xludf.DUMMYFUNCTION("""COMPUTED_VALUE"""),"TORANZO REINA")</f>
        <v>TORANZO REINA</v>
      </c>
      <c r="D2262" s="1" t="str">
        <f>IFERROR(__xludf.DUMMYFUNCTION("""COMPUTED_VALUE"""),"Lentes de STOCK")</f>
        <v>Lentes de STOCK</v>
      </c>
      <c r="E2262" s="1" t="str">
        <f>IFERROR(__xludf.DUMMYFUNCTION("""COMPUTED_VALUE"""),"ARTIGAS Ivana P.")</f>
        <v>ARTIGAS Ivana P.</v>
      </c>
      <c r="F2262" s="1" t="str">
        <f t="shared" si="1"/>
        <v>ARTIGAS </v>
      </c>
      <c r="G2262" s="1" t="str">
        <f t="shared" si="2"/>
        <v>Ivana P.</v>
      </c>
      <c r="H2262" s="1" t="str">
        <f>IFERROR(__xludf.DUMMYFUNCTION("""COMPUTED_VALUE"""),"28/2/2023, 17:00:00")</f>
        <v>28/2/2023, 17:00:00</v>
      </c>
      <c r="I2262" s="1" t="str">
        <f>IFERROR(__xludf.DUMMYFUNCTION("""COMPUTED_VALUE"""),"Completado en SUCURSAL")</f>
        <v>Completado en SUCURSAL</v>
      </c>
      <c r="J2262" s="1">
        <f t="shared" si="3"/>
        <v>5</v>
      </c>
      <c r="K2262" s="1" t="str">
        <f t="shared" si="4"/>
        <v>Tus Lentes estan LISTAS PARA ENTREGAR, te esperamos.</v>
      </c>
    </row>
    <row r="2263">
      <c r="A2263" s="1">
        <f>IFERROR(__xludf.DUMMYFUNCTION("""COMPUTED_VALUE"""),86811.0)</f>
        <v>86811</v>
      </c>
      <c r="B2263" s="5">
        <f>IFERROR(__xludf.DUMMYFUNCTION("""COMPUTED_VALUE"""),44979.49671375)</f>
        <v>44979.49671</v>
      </c>
      <c r="C2263" s="1" t="str">
        <f>IFERROR(__xludf.DUMMYFUNCTION("""COMPUTED_VALUE"""),"MAIDANA MARINA MIRTA")</f>
        <v>MAIDANA MARINA MIRTA</v>
      </c>
      <c r="D2263" s="1" t="str">
        <f>IFERROR(__xludf.DUMMYFUNCTION("""COMPUTED_VALUE"""),"Lentes de STOCK")</f>
        <v>Lentes de STOCK</v>
      </c>
      <c r="E2263" s="1" t="str">
        <f>IFERROR(__xludf.DUMMYFUNCTION("""COMPUTED_VALUE"""),"ARTIGAS Roció")</f>
        <v>ARTIGAS Roció</v>
      </c>
      <c r="F2263" s="1" t="str">
        <f t="shared" si="1"/>
        <v>ARTIGAS </v>
      </c>
      <c r="G2263" s="1" t="str">
        <f t="shared" si="2"/>
        <v>Roció</v>
      </c>
      <c r="H2263" s="1" t="str">
        <f>IFERROR(__xludf.DUMMYFUNCTION("""COMPUTED_VALUE"""),"3/3/2023, 17:00:00")</f>
        <v>3/3/2023, 17:00:00</v>
      </c>
      <c r="I2263" s="1"/>
      <c r="J2263" s="1">
        <f t="shared" si="3"/>
        <v>0</v>
      </c>
      <c r="K2263" s="1" t="str">
        <f t="shared" si="4"/>
        <v/>
      </c>
    </row>
    <row r="2264">
      <c r="A2264" s="1">
        <f>IFERROR(__xludf.DUMMYFUNCTION("""COMPUTED_VALUE"""),86812.0)</f>
        <v>86812</v>
      </c>
      <c r="B2264" s="5">
        <f>IFERROR(__xludf.DUMMYFUNCTION("""COMPUTED_VALUE"""),44979.499601076386)</f>
        <v>44979.4996</v>
      </c>
      <c r="C2264" s="1" t="str">
        <f>IFERROR(__xludf.DUMMYFUNCTION("""COMPUTED_VALUE"""),"COITO CATALINA ")</f>
        <v>COITO CATALINA </v>
      </c>
      <c r="D2264" s="1" t="str">
        <f>IFERROR(__xludf.DUMMYFUNCTION("""COMPUTED_VALUE"""),"Lentes de STOCK")</f>
        <v>Lentes de STOCK</v>
      </c>
      <c r="E2264" s="1" t="str">
        <f>IFERROR(__xludf.DUMMYFUNCTION("""COMPUTED_VALUE"""),"RIVADAVIA Javier")</f>
        <v>RIVADAVIA Javier</v>
      </c>
      <c r="F2264" s="1" t="str">
        <f t="shared" si="1"/>
        <v>RIVADAVIA </v>
      </c>
      <c r="G2264" s="1" t="str">
        <f t="shared" si="2"/>
        <v>Javier</v>
      </c>
      <c r="H2264" s="1" t="str">
        <f>IFERROR(__xludf.DUMMYFUNCTION("""COMPUTED_VALUE"""),"2/3/2023, 17:00:00")</f>
        <v>2/3/2023, 17:00:00</v>
      </c>
      <c r="I2264" s="1" t="str">
        <f>IFERROR(__xludf.DUMMYFUNCTION("""COMPUTED_VALUE"""),"Completado en SUCURSAL")</f>
        <v>Completado en SUCURSAL</v>
      </c>
      <c r="J2264" s="1">
        <f t="shared" si="3"/>
        <v>5</v>
      </c>
      <c r="K2264" s="1" t="str">
        <f t="shared" si="4"/>
        <v>Tus Lentes estan LISTAS PARA ENTREGAR, te esperamos.</v>
      </c>
    </row>
    <row r="2265">
      <c r="A2265" s="1">
        <f>IFERROR(__xludf.DUMMYFUNCTION("""COMPUTED_VALUE"""),86813.0)</f>
        <v>86813</v>
      </c>
      <c r="B2265" s="5">
        <f>IFERROR(__xludf.DUMMYFUNCTION("""COMPUTED_VALUE"""),44979.50002236111)</f>
        <v>44979.50002</v>
      </c>
      <c r="C2265" s="1" t="str">
        <f>IFERROR(__xludf.DUMMYFUNCTION("""COMPUTED_VALUE"""),"angeloni natalia")</f>
        <v>angeloni natalia</v>
      </c>
      <c r="D2265" s="1" t="str">
        <f>IFERROR(__xludf.DUMMYFUNCTION("""COMPUTED_VALUE"""),"Lentes de STOCK")</f>
        <v>Lentes de STOCK</v>
      </c>
      <c r="E2265" s="1" t="str">
        <f>IFERROR(__xludf.DUMMYFUNCTION("""COMPUTED_VALUE"""),"RIVADAVIA Santiago N")</f>
        <v>RIVADAVIA Santiago N</v>
      </c>
      <c r="F2265" s="1" t="str">
        <f t="shared" si="1"/>
        <v>RIVADAVIA </v>
      </c>
      <c r="G2265" s="1" t="str">
        <f t="shared" si="2"/>
        <v>Santiago N</v>
      </c>
      <c r="H2265" s="1" t="str">
        <f>IFERROR(__xludf.DUMMYFUNCTION("""COMPUTED_VALUE"""),"25/2/2023, 17:00:00")</f>
        <v>25/2/2023, 17:00:00</v>
      </c>
      <c r="I2265" s="1" t="str">
        <f>IFERROR(__xludf.DUMMYFUNCTION("""COMPUTED_VALUE"""),"RETIRADO OK POR CLIENTE")</f>
        <v>RETIRADO OK POR CLIENTE</v>
      </c>
      <c r="J2265" s="1">
        <f t="shared" si="3"/>
        <v>6</v>
      </c>
      <c r="K2265" s="1" t="str">
        <f t="shared" si="4"/>
        <v>Entregamos tus lentes, que los disfrutes!</v>
      </c>
    </row>
    <row r="2266">
      <c r="A2266" s="1">
        <f>IFERROR(__xludf.DUMMYFUNCTION("""COMPUTED_VALUE"""),86814.0)</f>
        <v>86814</v>
      </c>
      <c r="B2266" s="5">
        <f>IFERROR(__xludf.DUMMYFUNCTION("""COMPUTED_VALUE"""),44979.51320436342)</f>
        <v>44979.5132</v>
      </c>
      <c r="C2266" s="1" t="str">
        <f>IFERROR(__xludf.DUMMYFUNCTION("""COMPUTED_VALUE"""),"SILVINA BENEGAS")</f>
        <v>SILVINA BENEGAS</v>
      </c>
      <c r="D2266" s="1" t="str">
        <f>IFERROR(__xludf.DUMMYFUNCTION("""COMPUTED_VALUE"""),"Reparaciones/Otros")</f>
        <v>Reparaciones/Otros</v>
      </c>
      <c r="E2266" s="1" t="str">
        <f>IFERROR(__xludf.DUMMYFUNCTION("""COMPUTED_VALUE"""),"RIVADAVIA Daniel CM")</f>
        <v>RIVADAVIA Daniel CM</v>
      </c>
      <c r="F2266" s="1" t="str">
        <f t="shared" si="1"/>
        <v>RIVADAVIA </v>
      </c>
      <c r="G2266" s="1" t="str">
        <f t="shared" si="2"/>
        <v>Daniel CM</v>
      </c>
      <c r="H2266" s="1" t="str">
        <f>IFERROR(__xludf.DUMMYFUNCTION("""COMPUTED_VALUE"""),"23/2/2023, 17:00:00")</f>
        <v>23/2/2023, 17:00:00</v>
      </c>
      <c r="I2266" s="1" t="str">
        <f>IFERROR(__xludf.DUMMYFUNCTION("""COMPUTED_VALUE"""),"Completado en SUCURSAL")</f>
        <v>Completado en SUCURSAL</v>
      </c>
      <c r="J2266" s="1">
        <f t="shared" si="3"/>
        <v>5</v>
      </c>
      <c r="K2266" s="1" t="str">
        <f t="shared" si="4"/>
        <v>Tus Lentes estan LISTAS PARA ENTREGAR, te esperamos.</v>
      </c>
    </row>
    <row r="2267">
      <c r="A2267" s="1">
        <f>IFERROR(__xludf.DUMMYFUNCTION("""COMPUTED_VALUE"""),86815.0)</f>
        <v>86815</v>
      </c>
      <c r="B2267" s="5">
        <f>IFERROR(__xludf.DUMMYFUNCTION("""COMPUTED_VALUE"""),44979.53234103009)</f>
        <v>44979.53234</v>
      </c>
      <c r="C2267" s="1" t="str">
        <f>IFERROR(__xludf.DUMMYFUNCTION("""COMPUTED_VALUE"""),"JURI GABRIEL EMANUEL")</f>
        <v>JURI GABRIEL EMANUEL</v>
      </c>
      <c r="D2267" s="1" t="str">
        <f>IFERROR(__xludf.DUMMYFUNCTION("""COMPUTED_VALUE"""),"Lentes de LABORATORIO")</f>
        <v>Lentes de LABORATORIO</v>
      </c>
      <c r="E2267" s="1" t="str">
        <f>IFERROR(__xludf.DUMMYFUNCTION("""COMPUTED_VALUE"""),"RIVADAVIA Daniel CM")</f>
        <v>RIVADAVIA Daniel CM</v>
      </c>
      <c r="F2267" s="1" t="str">
        <f t="shared" si="1"/>
        <v>RIVADAVIA </v>
      </c>
      <c r="G2267" s="1" t="str">
        <f t="shared" si="2"/>
        <v>Daniel CM</v>
      </c>
      <c r="H2267" s="1" t="str">
        <f>IFERROR(__xludf.DUMMYFUNCTION("""COMPUTED_VALUE"""),"4/3/2023, 17:00:00")</f>
        <v>4/3/2023, 17:00:00</v>
      </c>
      <c r="I2267" s="1" t="str">
        <f>IFERROR(__xludf.DUMMYFUNCTION("""COMPUTED_VALUE"""),"Recibido en Laboratorio")</f>
        <v>Recibido en Laboratorio</v>
      </c>
      <c r="J2267" s="1">
        <f t="shared" si="3"/>
        <v>2</v>
      </c>
      <c r="K2267" s="1" t="str">
        <f t="shared" si="4"/>
        <v>Nuestro Laboratorio esta trabajando en tus lentes, los entregaremos en la fecha acordada.</v>
      </c>
    </row>
    <row r="2268">
      <c r="A2268" s="1">
        <f>IFERROR(__xludf.DUMMYFUNCTION("""COMPUTED_VALUE"""),86816.0)</f>
        <v>86816</v>
      </c>
      <c r="B2268" s="5">
        <f>IFERROR(__xludf.DUMMYFUNCTION("""COMPUTED_VALUE"""),44979.53468239583)</f>
        <v>44979.53468</v>
      </c>
      <c r="C2268" s="1" t="str">
        <f>IFERROR(__xludf.DUMMYFUNCTION("""COMPUTED_VALUE"""),"CUELLO MILAGROS")</f>
        <v>CUELLO MILAGROS</v>
      </c>
      <c r="D2268" s="1" t="str">
        <f>IFERROR(__xludf.DUMMYFUNCTION("""COMPUTED_VALUE"""),"Lentes de STOCK")</f>
        <v>Lentes de STOCK</v>
      </c>
      <c r="E2268" s="1" t="str">
        <f>IFERROR(__xludf.DUMMYFUNCTION("""COMPUTED_VALUE"""),"RIVADAVIA Santiago LOPEZ")</f>
        <v>RIVADAVIA Santiago LOPEZ</v>
      </c>
      <c r="F2268" s="1" t="str">
        <f t="shared" si="1"/>
        <v>RIVADAVIA </v>
      </c>
      <c r="G2268" s="1" t="str">
        <f t="shared" si="2"/>
        <v>Santiago LOPEZ</v>
      </c>
      <c r="H2268" s="1" t="str">
        <f>IFERROR(__xludf.DUMMYFUNCTION("""COMPUTED_VALUE"""),"25/2/2023, 17:00:00")</f>
        <v>25/2/2023, 17:00:00</v>
      </c>
      <c r="I2268" s="1" t="str">
        <f>IFERROR(__xludf.DUMMYFUNCTION("""COMPUTED_VALUE"""),"Completado en SUCURSAL")</f>
        <v>Completado en SUCURSAL</v>
      </c>
      <c r="J2268" s="1">
        <f t="shared" si="3"/>
        <v>5</v>
      </c>
      <c r="K2268" s="1" t="str">
        <f t="shared" si="4"/>
        <v>Tus Lentes estan LISTAS PARA ENTREGAR, te esperamos.</v>
      </c>
    </row>
    <row r="2269" hidden="1">
      <c r="A2269" s="1">
        <f>IFERROR(__xludf.DUMMYFUNCTION("""COMPUTED_VALUE"""),86817.0)</f>
        <v>86817</v>
      </c>
      <c r="B2269" s="5">
        <f>IFERROR(__xludf.DUMMYFUNCTION("""COMPUTED_VALUE"""),44979.54613353009)</f>
        <v>44979.54613</v>
      </c>
      <c r="C2269" s="1" t="str">
        <f>IFERROR(__xludf.DUMMYFUNCTION("""COMPUTED_VALUE"""),"miranda mirian")</f>
        <v>miranda mirian</v>
      </c>
      <c r="D2269" s="1" t="str">
        <f>IFERROR(__xludf.DUMMYFUNCTION("""COMPUTED_VALUE"""),"Lentes de STOCK")</f>
        <v>Lentes de STOCK</v>
      </c>
      <c r="E2269" s="1" t="str">
        <f>IFERROR(__xludf.DUMMYFUNCTION("""COMPUTED_VALUE"""),"RIVADAVIA Santiago N")</f>
        <v>RIVADAVIA Santiago N</v>
      </c>
      <c r="F2269" s="1" t="str">
        <f t="shared" si="1"/>
        <v>RIVADAVIA </v>
      </c>
      <c r="G2269" s="1" t="str">
        <f t="shared" si="2"/>
        <v>Santiago N</v>
      </c>
      <c r="H2269" s="1" t="str">
        <f>IFERROR(__xludf.DUMMYFUNCTION("""COMPUTED_VALUE"""),"25/2/2023, 17:00:00")</f>
        <v>25/2/2023, 17:00:00</v>
      </c>
      <c r="I2269" s="1" t="str">
        <f>IFERROR(__xludf.DUMMYFUNCTION("""COMPUTED_VALUE"""),"DEMORADO")</f>
        <v>DEMORADO</v>
      </c>
      <c r="J2269" s="1" t="str">
        <f t="shared" si="3"/>
        <v/>
      </c>
      <c r="K2269" s="1" t="str">
        <f t="shared" si="4"/>
        <v>Tuvimos una demora con tus lentes y no podremos entregarlo en las fecha acordada, estamos trabajando para terminarlos cuanto antes, te mantendremos al tanto, si es necesario contactanos via whatsapp.</v>
      </c>
    </row>
    <row r="2270">
      <c r="A2270" s="1">
        <f>IFERROR(__xludf.DUMMYFUNCTION("""COMPUTED_VALUE"""),86818.0)</f>
        <v>86818</v>
      </c>
      <c r="B2270" s="5">
        <f>IFERROR(__xludf.DUMMYFUNCTION("""COMPUTED_VALUE"""),44979.55214384259)</f>
        <v>44979.55214</v>
      </c>
      <c r="C2270" s="1" t="str">
        <f>IFERROR(__xludf.DUMMYFUNCTION("""COMPUTED_VALUE"""),"SORIA ENZO")</f>
        <v>SORIA ENZO</v>
      </c>
      <c r="D2270" s="1" t="str">
        <f>IFERROR(__xludf.DUMMYFUNCTION("""COMPUTED_VALUE"""),"Reparaciones/Otros")</f>
        <v>Reparaciones/Otros</v>
      </c>
      <c r="E2270" s="1" t="str">
        <f>IFERROR(__xludf.DUMMYFUNCTION("""COMPUTED_VALUE"""),"ARTIGAS Ivana P.")</f>
        <v>ARTIGAS Ivana P.</v>
      </c>
      <c r="F2270" s="1" t="str">
        <f t="shared" si="1"/>
        <v>ARTIGAS </v>
      </c>
      <c r="G2270" s="1" t="str">
        <f t="shared" si="2"/>
        <v>Ivana P.</v>
      </c>
      <c r="H2270" s="1" t="str">
        <f>IFERROR(__xludf.DUMMYFUNCTION("""COMPUTED_VALUE"""),"28/2/2023, 17:00:00")</f>
        <v>28/2/2023, 17:00:00</v>
      </c>
      <c r="I2270" s="1" t="str">
        <f>IFERROR(__xludf.DUMMYFUNCTION("""COMPUTED_VALUE"""),"Completado en SUCURSAL")</f>
        <v>Completado en SUCURSAL</v>
      </c>
      <c r="J2270" s="1">
        <f t="shared" si="3"/>
        <v>5</v>
      </c>
      <c r="K2270" s="1" t="str">
        <f t="shared" si="4"/>
        <v>Tus Lentes estan LISTAS PARA ENTREGAR, te esperamos.</v>
      </c>
    </row>
    <row r="2271">
      <c r="A2271" s="1">
        <f>IFERROR(__xludf.DUMMYFUNCTION("""COMPUTED_VALUE"""),86819.0)</f>
        <v>86819</v>
      </c>
      <c r="B2271" s="5">
        <f>IFERROR(__xludf.DUMMYFUNCTION("""COMPUTED_VALUE"""),44979.56217329861)</f>
        <v>44979.56217</v>
      </c>
      <c r="C2271" s="1" t="str">
        <f>IFERROR(__xludf.DUMMYFUNCTION("""COMPUTED_VALUE"""),"paez lorena")</f>
        <v>paez lorena</v>
      </c>
      <c r="D2271" s="1" t="str">
        <f>IFERROR(__xludf.DUMMYFUNCTION("""COMPUTED_VALUE"""),"Lentes de STOCK")</f>
        <v>Lentes de STOCK</v>
      </c>
      <c r="E2271" s="1" t="str">
        <f>IFERROR(__xludf.DUMMYFUNCTION("""COMPUTED_VALUE"""),"RIVADAVIA Santiago LOPEZ")</f>
        <v>RIVADAVIA Santiago LOPEZ</v>
      </c>
      <c r="F2271" s="1" t="str">
        <f t="shared" si="1"/>
        <v>RIVADAVIA </v>
      </c>
      <c r="G2271" s="1" t="str">
        <f t="shared" si="2"/>
        <v>Santiago LOPEZ</v>
      </c>
      <c r="H2271" s="1" t="str">
        <f>IFERROR(__xludf.DUMMYFUNCTION("""COMPUTED_VALUE"""),"27/2/2023, 17:00:00")</f>
        <v>27/2/2023, 17:00:00</v>
      </c>
      <c r="I2271" s="1" t="str">
        <f>IFERROR(__xludf.DUMMYFUNCTION("""COMPUTED_VALUE"""),"Completado en SUCURSAL")</f>
        <v>Completado en SUCURSAL</v>
      </c>
      <c r="J2271" s="1">
        <f t="shared" si="3"/>
        <v>5</v>
      </c>
      <c r="K2271" s="1" t="str">
        <f t="shared" si="4"/>
        <v>Tus Lentes estan LISTAS PARA ENTREGAR, te esperamos.</v>
      </c>
    </row>
    <row r="2272" hidden="1">
      <c r="A2272" s="1">
        <f>IFERROR(__xludf.DUMMYFUNCTION("""COMPUTED_VALUE"""),86820.0)</f>
        <v>86820</v>
      </c>
      <c r="B2272" s="5">
        <f>IFERROR(__xludf.DUMMYFUNCTION("""COMPUTED_VALUE"""),44979.56523543982)</f>
        <v>44979.56524</v>
      </c>
      <c r="C2272" s="1" t="str">
        <f>IFERROR(__xludf.DUMMYFUNCTION("""COMPUTED_VALUE"""),"alaniz rey micaela")</f>
        <v>alaniz rey micaela</v>
      </c>
      <c r="D2272" s="1" t="str">
        <f>IFERROR(__xludf.DUMMYFUNCTION("""COMPUTED_VALUE"""),"Lentes de STOCK")</f>
        <v>Lentes de STOCK</v>
      </c>
      <c r="E2272" s="1" t="str">
        <f>IFERROR(__xludf.DUMMYFUNCTION("""COMPUTED_VALUE"""),"RIVADAVIA Santiago LOPEZ")</f>
        <v>RIVADAVIA Santiago LOPEZ</v>
      </c>
      <c r="F2272" s="1" t="str">
        <f t="shared" si="1"/>
        <v>RIVADAVIA </v>
      </c>
      <c r="G2272" s="1" t="str">
        <f t="shared" si="2"/>
        <v>Santiago LOPEZ</v>
      </c>
      <c r="H2272" s="1" t="str">
        <f>IFERROR(__xludf.DUMMYFUNCTION("""COMPUTED_VALUE"""),"27/2/2023, 17:00:00")</f>
        <v>27/2/2023, 17:00:00</v>
      </c>
      <c r="I2272" s="1" t="str">
        <f>IFERROR(__xludf.DUMMYFUNCTION("""COMPUTED_VALUE"""),"DEMORADO")</f>
        <v>DEMORADO</v>
      </c>
      <c r="J2272" s="1" t="str">
        <f t="shared" si="3"/>
        <v/>
      </c>
      <c r="K2272" s="1" t="str">
        <f t="shared" si="4"/>
        <v>Tuvimos una demora con tus lentes y no podremos entregarlo en las fecha acordada, estamos trabajando para terminarlos cuanto antes, te mantendremos al tanto, si es necesario contactanos via whatsapp.</v>
      </c>
    </row>
    <row r="2273">
      <c r="A2273" s="1">
        <f>IFERROR(__xludf.DUMMYFUNCTION("""COMPUTED_VALUE"""),86821.0)</f>
        <v>86821</v>
      </c>
      <c r="B2273" s="5">
        <f>IFERROR(__xludf.DUMMYFUNCTION("""COMPUTED_VALUE"""),44979.73368722222)</f>
        <v>44979.73369</v>
      </c>
      <c r="C2273" s="1" t="str">
        <f>IFERROR(__xludf.DUMMYFUNCTION("""COMPUTED_VALUE"""),"PILLA VICTORIA")</f>
        <v>PILLA VICTORIA</v>
      </c>
      <c r="D2273" s="1" t="str">
        <f>IFERROR(__xludf.DUMMYFUNCTION("""COMPUTED_VALUE"""),"Lentes de LABORATORIO")</f>
        <v>Lentes de LABORATORIO</v>
      </c>
      <c r="E2273" s="1" t="str">
        <f>IFERROR(__xludf.DUMMYFUNCTION("""COMPUTED_VALUE"""),"RIVADAVIA Santiago N")</f>
        <v>RIVADAVIA Santiago N</v>
      </c>
      <c r="F2273" s="1" t="str">
        <f t="shared" si="1"/>
        <v>RIVADAVIA </v>
      </c>
      <c r="G2273" s="1" t="str">
        <f t="shared" si="2"/>
        <v>Santiago N</v>
      </c>
      <c r="H2273" s="1" t="str">
        <f>IFERROR(__xludf.DUMMYFUNCTION("""COMPUTED_VALUE"""),"9/3/2023, 17:00:00")</f>
        <v>9/3/2023, 17:00:00</v>
      </c>
      <c r="I2273" s="1" t="str">
        <f>IFERROR(__xludf.DUMMYFUNCTION("""COMPUTED_VALUE"""),"Completado en SUCURSAL")</f>
        <v>Completado en SUCURSAL</v>
      </c>
      <c r="J2273" s="1">
        <f t="shared" si="3"/>
        <v>5</v>
      </c>
      <c r="K2273" s="1" t="str">
        <f t="shared" si="4"/>
        <v>Tus Lentes estan LISTAS PARA ENTREGAR, te esperamos.</v>
      </c>
    </row>
    <row r="2274">
      <c r="A2274" s="1">
        <f>IFERROR(__xludf.DUMMYFUNCTION("""COMPUTED_VALUE"""),86822.0)</f>
        <v>86822</v>
      </c>
      <c r="B2274" s="5">
        <f>IFERROR(__xludf.DUMMYFUNCTION("""COMPUTED_VALUE"""),44979.747964016206)</f>
        <v>44979.74796</v>
      </c>
      <c r="C2274" s="1" t="str">
        <f>IFERROR(__xludf.DUMMYFUNCTION("""COMPUTED_VALUE"""),"lucero sosa ludmila")</f>
        <v>lucero sosa ludmila</v>
      </c>
      <c r="D2274" s="1" t="str">
        <f>IFERROR(__xludf.DUMMYFUNCTION("""COMPUTED_VALUE"""),"Lentes de STOCK")</f>
        <v>Lentes de STOCK</v>
      </c>
      <c r="E2274" s="1" t="str">
        <f>IFERROR(__xludf.DUMMYFUNCTION("""COMPUTED_VALUE"""),"RIVADAVIA Santiago N")</f>
        <v>RIVADAVIA Santiago N</v>
      </c>
      <c r="F2274" s="1" t="str">
        <f t="shared" si="1"/>
        <v>RIVADAVIA </v>
      </c>
      <c r="G2274" s="1" t="str">
        <f t="shared" si="2"/>
        <v>Santiago N</v>
      </c>
      <c r="H2274" s="1" t="str">
        <f>IFERROR(__xludf.DUMMYFUNCTION("""COMPUTED_VALUE"""),"27/2/2023, 17:00:00")</f>
        <v>27/2/2023, 17:00:00</v>
      </c>
      <c r="I2274" s="1" t="str">
        <f>IFERROR(__xludf.DUMMYFUNCTION("""COMPUTED_VALUE"""),"Completado en SUCURSAL")</f>
        <v>Completado en SUCURSAL</v>
      </c>
      <c r="J2274" s="1">
        <f t="shared" si="3"/>
        <v>5</v>
      </c>
      <c r="K2274" s="1" t="str">
        <f t="shared" si="4"/>
        <v>Tus Lentes estan LISTAS PARA ENTREGAR, te esperamos.</v>
      </c>
    </row>
    <row r="2275">
      <c r="A2275" s="1">
        <f>IFERROR(__xludf.DUMMYFUNCTION("""COMPUTED_VALUE"""),86823.0)</f>
        <v>86823</v>
      </c>
      <c r="B2275" s="5">
        <f>IFERROR(__xludf.DUMMYFUNCTION("""COMPUTED_VALUE"""),44979.7510391088)</f>
        <v>44979.75104</v>
      </c>
      <c r="C2275" s="1" t="str">
        <f>IFERROR(__xludf.DUMMYFUNCTION("""COMPUTED_VALUE"""),"GIL JORGE ROBERTO")</f>
        <v>GIL JORGE ROBERTO</v>
      </c>
      <c r="D2275" s="1" t="str">
        <f>IFERROR(__xludf.DUMMYFUNCTION("""COMPUTED_VALUE"""),"Lentes de STOCK")</f>
        <v>Lentes de STOCK</v>
      </c>
      <c r="E2275" s="1" t="str">
        <f>IFERROR(__xludf.DUMMYFUNCTION("""COMPUTED_VALUE"""),"RIVADAVIA Santiago LOPEZ")</f>
        <v>RIVADAVIA Santiago LOPEZ</v>
      </c>
      <c r="F2275" s="1" t="str">
        <f t="shared" si="1"/>
        <v>RIVADAVIA </v>
      </c>
      <c r="G2275" s="1" t="str">
        <f t="shared" si="2"/>
        <v>Santiago LOPEZ</v>
      </c>
      <c r="H2275" s="1" t="str">
        <f>IFERROR(__xludf.DUMMYFUNCTION("""COMPUTED_VALUE"""),"27/2/2023, 17:00:00")</f>
        <v>27/2/2023, 17:00:00</v>
      </c>
      <c r="I2275" s="1" t="str">
        <f>IFERROR(__xludf.DUMMYFUNCTION("""COMPUTED_VALUE"""),"RETIRADO OK POR CLIENTE")</f>
        <v>RETIRADO OK POR CLIENTE</v>
      </c>
      <c r="J2275" s="1">
        <f t="shared" si="3"/>
        <v>6</v>
      </c>
      <c r="K2275" s="1" t="str">
        <f t="shared" si="4"/>
        <v>Entregamos tus lentes, que los disfrutes!</v>
      </c>
    </row>
    <row r="2276">
      <c r="A2276" s="1">
        <f>IFERROR(__xludf.DUMMYFUNCTION("""COMPUTED_VALUE"""),86824.0)</f>
        <v>86824</v>
      </c>
      <c r="B2276" s="5">
        <f>IFERROR(__xludf.DUMMYFUNCTION("""COMPUTED_VALUE"""),44979.752714629634)</f>
        <v>44979.75271</v>
      </c>
      <c r="C2276" s="1" t="str">
        <f>IFERROR(__xludf.DUMMYFUNCTION("""COMPUTED_VALUE"""),"coria eva")</f>
        <v>coria eva</v>
      </c>
      <c r="D2276" s="1" t="str">
        <f>IFERROR(__xludf.DUMMYFUNCTION("""COMPUTED_VALUE"""),"Lentes de STOCK")</f>
        <v>Lentes de STOCK</v>
      </c>
      <c r="E2276" s="1" t="str">
        <f>IFERROR(__xludf.DUMMYFUNCTION("""COMPUTED_VALUE"""),"RIVADAVIA Santiago N")</f>
        <v>RIVADAVIA Santiago N</v>
      </c>
      <c r="F2276" s="1" t="str">
        <f t="shared" si="1"/>
        <v>RIVADAVIA </v>
      </c>
      <c r="G2276" s="1" t="str">
        <f t="shared" si="2"/>
        <v>Santiago N</v>
      </c>
      <c r="H2276" s="1" t="str">
        <f>IFERROR(__xludf.DUMMYFUNCTION("""COMPUTED_VALUE"""),"24/2/2023, 17:00:00")</f>
        <v>24/2/2023, 17:00:00</v>
      </c>
      <c r="I2276" s="1" t="str">
        <f>IFERROR(__xludf.DUMMYFUNCTION("""COMPUTED_VALUE"""),"RETIRADO OK POR CLIENTE")</f>
        <v>RETIRADO OK POR CLIENTE</v>
      </c>
      <c r="J2276" s="1">
        <f t="shared" si="3"/>
        <v>6</v>
      </c>
      <c r="K2276" s="1" t="str">
        <f t="shared" si="4"/>
        <v>Entregamos tus lentes, que los disfrutes!</v>
      </c>
    </row>
    <row r="2277">
      <c r="A2277" s="1">
        <f>IFERROR(__xludf.DUMMYFUNCTION("""COMPUTED_VALUE"""),86825.0)</f>
        <v>86825</v>
      </c>
      <c r="B2277" s="5">
        <f>IFERROR(__xludf.DUMMYFUNCTION("""COMPUTED_VALUE"""),44979.75542099537)</f>
        <v>44979.75542</v>
      </c>
      <c r="C2277" s="1" t="str">
        <f>IFERROR(__xludf.DUMMYFUNCTION("""COMPUTED_VALUE"""),"CHAVES ANDRES")</f>
        <v>CHAVES ANDRES</v>
      </c>
      <c r="D2277" s="1" t="str">
        <f>IFERROR(__xludf.DUMMYFUNCTION("""COMPUTED_VALUE"""),"Lentes de STOCK")</f>
        <v>Lentes de STOCK</v>
      </c>
      <c r="E2277" s="1" t="str">
        <f>IFERROR(__xludf.DUMMYFUNCTION("""COMPUTED_VALUE"""),"RIVADAVIA Santiago LOPEZ")</f>
        <v>RIVADAVIA Santiago LOPEZ</v>
      </c>
      <c r="F2277" s="1" t="str">
        <f t="shared" si="1"/>
        <v>RIVADAVIA </v>
      </c>
      <c r="G2277" s="1" t="str">
        <f t="shared" si="2"/>
        <v>Santiago LOPEZ</v>
      </c>
      <c r="H2277" s="1" t="str">
        <f>IFERROR(__xludf.DUMMYFUNCTION("""COMPUTED_VALUE"""),"27/2/2023, 17:00:00")</f>
        <v>27/2/2023, 17:00:00</v>
      </c>
      <c r="I2277" s="1" t="str">
        <f>IFERROR(__xludf.DUMMYFUNCTION("""COMPUTED_VALUE"""),"RETIRADO OK POR CLIENTE")</f>
        <v>RETIRADO OK POR CLIENTE</v>
      </c>
      <c r="J2277" s="1">
        <f t="shared" si="3"/>
        <v>6</v>
      </c>
      <c r="K2277" s="1" t="str">
        <f t="shared" si="4"/>
        <v>Entregamos tus lentes, que los disfrutes!</v>
      </c>
    </row>
    <row r="2278">
      <c r="A2278" s="1">
        <f>IFERROR(__xludf.DUMMYFUNCTION("""COMPUTED_VALUE"""),86826.0)</f>
        <v>86826</v>
      </c>
      <c r="B2278" s="5">
        <f>IFERROR(__xludf.DUMMYFUNCTION("""COMPUTED_VALUE"""),44979.756946064816)</f>
        <v>44979.75695</v>
      </c>
      <c r="C2278" s="1" t="str">
        <f>IFERROR(__xludf.DUMMYFUNCTION("""COMPUTED_VALUE"""),"PEROSSA GRACIELA")</f>
        <v>PEROSSA GRACIELA</v>
      </c>
      <c r="D2278" s="1" t="str">
        <f>IFERROR(__xludf.DUMMYFUNCTION("""COMPUTED_VALUE"""),"Reparaciones/Otros")</f>
        <v>Reparaciones/Otros</v>
      </c>
      <c r="E2278" s="1" t="str">
        <f>IFERROR(__xludf.DUMMYFUNCTION("""COMPUTED_VALUE"""),"RIVADAVIA Santiago N")</f>
        <v>RIVADAVIA Santiago N</v>
      </c>
      <c r="F2278" s="1" t="str">
        <f t="shared" si="1"/>
        <v>RIVADAVIA </v>
      </c>
      <c r="G2278" s="1" t="str">
        <f t="shared" si="2"/>
        <v>Santiago N</v>
      </c>
      <c r="H2278" s="1" t="str">
        <f>IFERROR(__xludf.DUMMYFUNCTION("""COMPUTED_VALUE"""),"23/2/2023, 17:00:00")</f>
        <v>23/2/2023, 17:00:00</v>
      </c>
      <c r="I2278" s="1" t="str">
        <f>IFERROR(__xludf.DUMMYFUNCTION("""COMPUTED_VALUE"""),"Completado en SUCURSAL")</f>
        <v>Completado en SUCURSAL</v>
      </c>
      <c r="J2278" s="1">
        <f t="shared" si="3"/>
        <v>5</v>
      </c>
      <c r="K2278" s="1" t="str">
        <f t="shared" si="4"/>
        <v>Tus Lentes estan LISTAS PARA ENTREGAR, te esperamos.</v>
      </c>
    </row>
    <row r="2279">
      <c r="A2279" s="1">
        <f>IFERROR(__xludf.DUMMYFUNCTION("""COMPUTED_VALUE"""),86827.0)</f>
        <v>86827</v>
      </c>
      <c r="B2279" s="5">
        <f>IFERROR(__xludf.DUMMYFUNCTION("""COMPUTED_VALUE"""),44979.76118043982)</f>
        <v>44979.76118</v>
      </c>
      <c r="C2279" s="1" t="str">
        <f>IFERROR(__xludf.DUMMYFUNCTION("""COMPUTED_VALUE"""),"ALANIZ HADA ")</f>
        <v>ALANIZ HADA </v>
      </c>
      <c r="D2279" s="1" t="str">
        <f>IFERROR(__xludf.DUMMYFUNCTION("""COMPUTED_VALUE"""),"Lentes de STOCK")</f>
        <v>Lentes de STOCK</v>
      </c>
      <c r="E2279" s="1" t="str">
        <f>IFERROR(__xludf.DUMMYFUNCTION("""COMPUTED_VALUE"""),"RIVADAVIA Luciana")</f>
        <v>RIVADAVIA Luciana</v>
      </c>
      <c r="F2279" s="1" t="str">
        <f t="shared" si="1"/>
        <v>RIVADAVIA </v>
      </c>
      <c r="G2279" s="1" t="str">
        <f t="shared" si="2"/>
        <v>Luciana</v>
      </c>
      <c r="H2279" s="1" t="str">
        <f>IFERROR(__xludf.DUMMYFUNCTION("""COMPUTED_VALUE"""),"2/3/2023, 17:00:00")</f>
        <v>2/3/2023, 17:00:00</v>
      </c>
      <c r="I2279" s="1" t="str">
        <f>IFERROR(__xludf.DUMMYFUNCTION("""COMPUTED_VALUE"""),"Recibido en Laboratorio")</f>
        <v>Recibido en Laboratorio</v>
      </c>
      <c r="J2279" s="1">
        <f t="shared" si="3"/>
        <v>2</v>
      </c>
      <c r="K2279" s="1" t="str">
        <f t="shared" si="4"/>
        <v>Nuestro Laboratorio esta trabajando en tus lentes, los entregaremos en la fecha acordada.</v>
      </c>
    </row>
    <row r="2280">
      <c r="A2280" s="1">
        <f>IFERROR(__xludf.DUMMYFUNCTION("""COMPUTED_VALUE"""),86828.0)</f>
        <v>86828</v>
      </c>
      <c r="B2280" s="5">
        <f>IFERROR(__xludf.DUMMYFUNCTION("""COMPUTED_VALUE"""),44979.77739347222)</f>
        <v>44979.77739</v>
      </c>
      <c r="C2280" s="1" t="str">
        <f>IFERROR(__xludf.DUMMYFUNCTION("""COMPUTED_VALUE"""),"FERNANDEZ ANALIA")</f>
        <v>FERNANDEZ ANALIA</v>
      </c>
      <c r="D2280" s="1" t="str">
        <f>IFERROR(__xludf.DUMMYFUNCTION("""COMPUTED_VALUE"""),"Lentes de STOCK")</f>
        <v>Lentes de STOCK</v>
      </c>
      <c r="E2280" s="1" t="str">
        <f>IFERROR(__xludf.DUMMYFUNCTION("""COMPUTED_VALUE"""),"ARTIGAS Ivana P.")</f>
        <v>ARTIGAS Ivana P.</v>
      </c>
      <c r="F2280" s="1" t="str">
        <f t="shared" si="1"/>
        <v>ARTIGAS </v>
      </c>
      <c r="G2280" s="1" t="str">
        <f t="shared" si="2"/>
        <v>Ivana P.</v>
      </c>
      <c r="H2280" s="1" t="str">
        <f>IFERROR(__xludf.DUMMYFUNCTION("""COMPUTED_VALUE"""),"25/2/2023, 17:00:00")</f>
        <v>25/2/2023, 17:00:00</v>
      </c>
      <c r="I2280" s="1" t="str">
        <f>IFERROR(__xludf.DUMMYFUNCTION("""COMPUTED_VALUE"""),"Completado en SUCURSAL")</f>
        <v>Completado en SUCURSAL</v>
      </c>
      <c r="J2280" s="1">
        <f t="shared" si="3"/>
        <v>5</v>
      </c>
      <c r="K2280" s="1" t="str">
        <f t="shared" si="4"/>
        <v>Tus Lentes estan LISTAS PARA ENTREGAR, te esperamos.</v>
      </c>
    </row>
    <row r="2281">
      <c r="A2281" s="1">
        <f>IFERROR(__xludf.DUMMYFUNCTION("""COMPUTED_VALUE"""),86829.0)</f>
        <v>86829</v>
      </c>
      <c r="B2281" s="5">
        <f>IFERROR(__xludf.DUMMYFUNCTION("""COMPUTED_VALUE"""),44979.78211900463)</f>
        <v>44979.78212</v>
      </c>
      <c r="C2281" s="1" t="str">
        <f>IFERROR(__xludf.DUMMYFUNCTION("""COMPUTED_VALUE"""),"FRANCO ARIEL LUCERO FERNANDEZ")</f>
        <v>FRANCO ARIEL LUCERO FERNANDEZ</v>
      </c>
      <c r="D2281" s="1" t="str">
        <f>IFERROR(__xludf.DUMMYFUNCTION("""COMPUTED_VALUE"""),"Lentes de STOCK")</f>
        <v>Lentes de STOCK</v>
      </c>
      <c r="E2281" s="1" t="str">
        <f>IFERROR(__xludf.DUMMYFUNCTION("""COMPUTED_VALUE"""),"ARTIGAS Ivana P.")</f>
        <v>ARTIGAS Ivana P.</v>
      </c>
      <c r="F2281" s="1" t="str">
        <f t="shared" si="1"/>
        <v>ARTIGAS </v>
      </c>
      <c r="G2281" s="1" t="str">
        <f t="shared" si="2"/>
        <v>Ivana P.</v>
      </c>
      <c r="H2281" s="1" t="str">
        <f>IFERROR(__xludf.DUMMYFUNCTION("""COMPUTED_VALUE"""),"25/2/2023, 17:00:00")</f>
        <v>25/2/2023, 17:00:00</v>
      </c>
      <c r="I2281" s="1" t="str">
        <f>IFERROR(__xludf.DUMMYFUNCTION("""COMPUTED_VALUE"""),"Completado en SUCURSAL")</f>
        <v>Completado en SUCURSAL</v>
      </c>
      <c r="J2281" s="1">
        <f t="shared" si="3"/>
        <v>5</v>
      </c>
      <c r="K2281" s="1" t="str">
        <f t="shared" si="4"/>
        <v>Tus Lentes estan LISTAS PARA ENTREGAR, te esperamos.</v>
      </c>
    </row>
    <row r="2282">
      <c r="A2282" s="1">
        <f>IFERROR(__xludf.DUMMYFUNCTION("""COMPUTED_VALUE"""),86830.0)</f>
        <v>86830</v>
      </c>
      <c r="B2282" s="5">
        <f>IFERROR(__xludf.DUMMYFUNCTION("""COMPUTED_VALUE"""),44979.791010243054)</f>
        <v>44979.79101</v>
      </c>
      <c r="C2282" s="1" t="str">
        <f>IFERROR(__xludf.DUMMYFUNCTION("""COMPUTED_VALUE"""),"mamani norma")</f>
        <v>mamani norma</v>
      </c>
      <c r="D2282" s="1" t="str">
        <f>IFERROR(__xludf.DUMMYFUNCTION("""COMPUTED_VALUE"""),"Reparaciones/Otros")</f>
        <v>Reparaciones/Otros</v>
      </c>
      <c r="E2282" s="1" t="str">
        <f>IFERROR(__xludf.DUMMYFUNCTION("""COMPUTED_VALUE"""),"RIVADAVIA Santiago N")</f>
        <v>RIVADAVIA Santiago N</v>
      </c>
      <c r="F2282" s="1" t="str">
        <f t="shared" si="1"/>
        <v>RIVADAVIA </v>
      </c>
      <c r="G2282" s="1" t="str">
        <f t="shared" si="2"/>
        <v>Santiago N</v>
      </c>
      <c r="H2282" s="1" t="str">
        <f>IFERROR(__xludf.DUMMYFUNCTION("""COMPUTED_VALUE"""),"23/2/2023, 17:00:00")</f>
        <v>23/2/2023, 17:00:00</v>
      </c>
      <c r="I2282" s="1" t="str">
        <f>IFERROR(__xludf.DUMMYFUNCTION("""COMPUTED_VALUE"""),"Completado en SUCURSAL")</f>
        <v>Completado en SUCURSAL</v>
      </c>
      <c r="J2282" s="1">
        <f t="shared" si="3"/>
        <v>5</v>
      </c>
      <c r="K2282" s="1" t="str">
        <f t="shared" si="4"/>
        <v>Tus Lentes estan LISTAS PARA ENTREGAR, te esperamos.</v>
      </c>
    </row>
    <row r="2283">
      <c r="A2283" s="1">
        <f>IFERROR(__xludf.DUMMYFUNCTION("""COMPUTED_VALUE"""),86831.0)</f>
        <v>86831</v>
      </c>
      <c r="B2283" s="5">
        <f>IFERROR(__xludf.DUMMYFUNCTION("""COMPUTED_VALUE"""),44979.791230324074)</f>
        <v>44979.79123</v>
      </c>
      <c r="C2283" s="1" t="str">
        <f>IFERROR(__xludf.DUMMYFUNCTION("""COMPUTED_VALUE"""),"MAGALLANES MALVINA SOLEDAD")</f>
        <v>MAGALLANES MALVINA SOLEDAD</v>
      </c>
      <c r="D2283" s="1" t="str">
        <f>IFERROR(__xludf.DUMMYFUNCTION("""COMPUTED_VALUE"""),"Reparaciones/Otros")</f>
        <v>Reparaciones/Otros</v>
      </c>
      <c r="E2283" s="1" t="str">
        <f>IFERROR(__xludf.DUMMYFUNCTION("""COMPUTED_VALUE"""),"ARTIGAS Roció")</f>
        <v>ARTIGAS Roció</v>
      </c>
      <c r="F2283" s="1" t="str">
        <f t="shared" si="1"/>
        <v>ARTIGAS </v>
      </c>
      <c r="G2283" s="1" t="str">
        <f t="shared" si="2"/>
        <v>Roció</v>
      </c>
      <c r="H2283" s="1" t="str">
        <f>IFERROR(__xludf.DUMMYFUNCTION("""COMPUTED_VALUE"""),"23/2/2023, 17:00:00")</f>
        <v>23/2/2023, 17:00:00</v>
      </c>
      <c r="I2283" s="1" t="str">
        <f>IFERROR(__xludf.DUMMYFUNCTION("""COMPUTED_VALUE"""),"Completado en SUCURSAL")</f>
        <v>Completado en SUCURSAL</v>
      </c>
      <c r="J2283" s="1">
        <f t="shared" si="3"/>
        <v>5</v>
      </c>
      <c r="K2283" s="1" t="str">
        <f t="shared" si="4"/>
        <v>Tus Lentes estan LISTAS PARA ENTREGAR, te esperamos.</v>
      </c>
    </row>
    <row r="2284">
      <c r="A2284" s="1">
        <f>IFERROR(__xludf.DUMMYFUNCTION("""COMPUTED_VALUE"""),86832.0)</f>
        <v>86832</v>
      </c>
      <c r="B2284" s="5">
        <f>IFERROR(__xludf.DUMMYFUNCTION("""COMPUTED_VALUE"""),44979.79280229167)</f>
        <v>44979.7928</v>
      </c>
      <c r="C2284" s="1" t="str">
        <f>IFERROR(__xludf.DUMMYFUNCTION("""COMPUTED_VALUE"""),"LEDESMA GRACIELA")</f>
        <v>LEDESMA GRACIELA</v>
      </c>
      <c r="D2284" s="1" t="str">
        <f>IFERROR(__xludf.DUMMYFUNCTION("""COMPUTED_VALUE"""),"Reparaciones/Otros")</f>
        <v>Reparaciones/Otros</v>
      </c>
      <c r="E2284" s="1" t="str">
        <f>IFERROR(__xludf.DUMMYFUNCTION("""COMPUTED_VALUE"""),"ARTIGAS Roció")</f>
        <v>ARTIGAS Roció</v>
      </c>
      <c r="F2284" s="1" t="str">
        <f t="shared" si="1"/>
        <v>ARTIGAS </v>
      </c>
      <c r="G2284" s="1" t="str">
        <f t="shared" si="2"/>
        <v>Roció</v>
      </c>
      <c r="H2284" s="1" t="str">
        <f>IFERROR(__xludf.DUMMYFUNCTION("""COMPUTED_VALUE"""),"24/2/2023, 17:00:00")</f>
        <v>24/2/2023, 17:00:00</v>
      </c>
      <c r="I2284" s="1" t="str">
        <f>IFERROR(__xludf.DUMMYFUNCTION("""COMPUTED_VALUE"""),"Completado en SUCURSAL")</f>
        <v>Completado en SUCURSAL</v>
      </c>
      <c r="J2284" s="1">
        <f t="shared" si="3"/>
        <v>5</v>
      </c>
      <c r="K2284" s="1" t="str">
        <f t="shared" si="4"/>
        <v>Tus Lentes estan LISTAS PARA ENTREGAR, te esperamos.</v>
      </c>
    </row>
    <row r="2285">
      <c r="A2285" s="1">
        <f>IFERROR(__xludf.DUMMYFUNCTION("""COMPUTED_VALUE"""),86833.0)</f>
        <v>86833</v>
      </c>
      <c r="B2285" s="5">
        <f>IFERROR(__xludf.DUMMYFUNCTION("""COMPUTED_VALUE"""),44979.8187865162)</f>
        <v>44979.81879</v>
      </c>
      <c r="C2285" s="1" t="str">
        <f>IFERROR(__xludf.DUMMYFUNCTION("""COMPUTED_VALUE"""),"LUCIANA VILA")</f>
        <v>LUCIANA VILA</v>
      </c>
      <c r="D2285" s="1" t="str">
        <f>IFERROR(__xludf.DUMMYFUNCTION("""COMPUTED_VALUE"""),"Lentes de STOCK")</f>
        <v>Lentes de STOCK</v>
      </c>
      <c r="E2285" s="1" t="str">
        <f>IFERROR(__xludf.DUMMYFUNCTION("""COMPUTED_VALUE"""),"RIVADAVIA Javier")</f>
        <v>RIVADAVIA Javier</v>
      </c>
      <c r="F2285" s="1" t="str">
        <f t="shared" si="1"/>
        <v>RIVADAVIA </v>
      </c>
      <c r="G2285" s="1" t="str">
        <f t="shared" si="2"/>
        <v>Javier</v>
      </c>
      <c r="H2285" s="1" t="str">
        <f>IFERROR(__xludf.DUMMYFUNCTION("""COMPUTED_VALUE"""),"25/2/2023, 17:00:00")</f>
        <v>25/2/2023, 17:00:00</v>
      </c>
      <c r="I2285" s="1" t="str">
        <f>IFERROR(__xludf.DUMMYFUNCTION("""COMPUTED_VALUE"""),"Recibido en Laboratorio")</f>
        <v>Recibido en Laboratorio</v>
      </c>
      <c r="J2285" s="1">
        <f t="shared" si="3"/>
        <v>2</v>
      </c>
      <c r="K2285" s="1" t="str">
        <f t="shared" si="4"/>
        <v>Nuestro Laboratorio esta trabajando en tus lentes, los entregaremos en la fecha acordada.</v>
      </c>
    </row>
    <row r="2286">
      <c r="A2286" s="1">
        <f>IFERROR(__xludf.DUMMYFUNCTION("""COMPUTED_VALUE"""),86834.0)</f>
        <v>86834</v>
      </c>
      <c r="B2286" s="5">
        <f>IFERROR(__xludf.DUMMYFUNCTION("""COMPUTED_VALUE"""),44979.818918958335)</f>
        <v>44979.81892</v>
      </c>
      <c r="C2286" s="1" t="str">
        <f>IFERROR(__xludf.DUMMYFUNCTION("""COMPUTED_VALUE"""),"DURAN DARIO")</f>
        <v>DURAN DARIO</v>
      </c>
      <c r="D2286" s="1" t="str">
        <f>IFERROR(__xludf.DUMMYFUNCTION("""COMPUTED_VALUE"""),"Lentes de STOCK")</f>
        <v>Lentes de STOCK</v>
      </c>
      <c r="E2286" s="1" t="str">
        <f>IFERROR(__xludf.DUMMYFUNCTION("""COMPUTED_VALUE"""),"ARTIGAS Ivana P.")</f>
        <v>ARTIGAS Ivana P.</v>
      </c>
      <c r="F2286" s="1" t="str">
        <f t="shared" si="1"/>
        <v>ARTIGAS </v>
      </c>
      <c r="G2286" s="1" t="str">
        <f t="shared" si="2"/>
        <v>Ivana P.</v>
      </c>
      <c r="H2286" s="1" t="str">
        <f>IFERROR(__xludf.DUMMYFUNCTION("""COMPUTED_VALUE"""),"28/2/2023, 17:00:00")</f>
        <v>28/2/2023, 17:00:00</v>
      </c>
      <c r="I2286" s="1" t="str">
        <f>IFERROR(__xludf.DUMMYFUNCTION("""COMPUTED_VALUE"""),"Completado en SUCURSAL")</f>
        <v>Completado en SUCURSAL</v>
      </c>
      <c r="J2286" s="1">
        <f t="shared" si="3"/>
        <v>5</v>
      </c>
      <c r="K2286" s="1" t="str">
        <f t="shared" si="4"/>
        <v>Tus Lentes estan LISTAS PARA ENTREGAR, te esperamos.</v>
      </c>
    </row>
    <row r="2287">
      <c r="A2287" s="1">
        <f>IFERROR(__xludf.DUMMYFUNCTION("""COMPUTED_VALUE"""),86835.0)</f>
        <v>86835</v>
      </c>
      <c r="B2287" s="5">
        <f>IFERROR(__xludf.DUMMYFUNCTION("""COMPUTED_VALUE"""),44979.82387881944)</f>
        <v>44979.82388</v>
      </c>
      <c r="C2287" s="1" t="str">
        <f>IFERROR(__xludf.DUMMYFUNCTION("""COMPUTED_VALUE"""),"SUAREZ ROSA BEATRIZ")</f>
        <v>SUAREZ ROSA BEATRIZ</v>
      </c>
      <c r="D2287" s="1" t="str">
        <f>IFERROR(__xludf.DUMMYFUNCTION("""COMPUTED_VALUE"""),"Lentes BIFOCALES")</f>
        <v>Lentes BIFOCALES</v>
      </c>
      <c r="E2287" s="1" t="str">
        <f>IFERROR(__xludf.DUMMYFUNCTION("""COMPUTED_VALUE"""),"ARTIGAS Roció")</f>
        <v>ARTIGAS Roció</v>
      </c>
      <c r="F2287" s="1" t="str">
        <f t="shared" si="1"/>
        <v>ARTIGAS </v>
      </c>
      <c r="G2287" s="1" t="str">
        <f t="shared" si="2"/>
        <v>Roció</v>
      </c>
      <c r="H2287" s="1" t="str">
        <f>IFERROR(__xludf.DUMMYFUNCTION("""COMPUTED_VALUE"""),"9/3/2023, 17:00:00")</f>
        <v>9/3/2023, 17:00:00</v>
      </c>
      <c r="I2287" s="1" t="str">
        <f>IFERROR(__xludf.DUMMYFUNCTION("""COMPUTED_VALUE"""),"Completado en SUCURSAL")</f>
        <v>Completado en SUCURSAL</v>
      </c>
      <c r="J2287" s="1">
        <f t="shared" si="3"/>
        <v>5</v>
      </c>
      <c r="K2287" s="1" t="str">
        <f t="shared" si="4"/>
        <v>Tus Lentes estan LISTAS PARA ENTREGAR, te esperamos.</v>
      </c>
    </row>
    <row r="2288">
      <c r="A2288" s="1">
        <f>IFERROR(__xludf.DUMMYFUNCTION("""COMPUTED_VALUE"""),86836.0)</f>
        <v>86836</v>
      </c>
      <c r="B2288" s="5">
        <f>IFERROR(__xludf.DUMMYFUNCTION("""COMPUTED_VALUE"""),44979.82629212963)</f>
        <v>44979.82629</v>
      </c>
      <c r="C2288" s="1" t="str">
        <f>IFERROR(__xludf.DUMMYFUNCTION("""COMPUTED_VALUE"""),"PEREZ RAMONA SELVA")</f>
        <v>PEREZ RAMONA SELVA</v>
      </c>
      <c r="D2288" s="1" t="str">
        <f>IFERROR(__xludf.DUMMYFUNCTION("""COMPUTED_VALUE"""),"Lentes de STOCK")</f>
        <v>Lentes de STOCK</v>
      </c>
      <c r="E2288" s="1" t="str">
        <f>IFERROR(__xludf.DUMMYFUNCTION("""COMPUTED_VALUE"""),"RIVADAVIA Javier")</f>
        <v>RIVADAVIA Javier</v>
      </c>
      <c r="F2288" s="1" t="str">
        <f t="shared" si="1"/>
        <v>RIVADAVIA </v>
      </c>
      <c r="G2288" s="1" t="str">
        <f t="shared" si="2"/>
        <v>Javier</v>
      </c>
      <c r="H2288" s="1" t="str">
        <f>IFERROR(__xludf.DUMMYFUNCTION("""COMPUTED_VALUE"""),"28/2/2023, 17:00:00")</f>
        <v>28/2/2023, 17:00:00</v>
      </c>
      <c r="I2288" s="1" t="str">
        <f>IFERROR(__xludf.DUMMYFUNCTION("""COMPUTED_VALUE"""),"Recibido en Laboratorio")</f>
        <v>Recibido en Laboratorio</v>
      </c>
      <c r="J2288" s="1">
        <f t="shared" si="3"/>
        <v>2</v>
      </c>
      <c r="K2288" s="1" t="str">
        <f t="shared" si="4"/>
        <v>Nuestro Laboratorio esta trabajando en tus lentes, los entregaremos en la fecha acordada.</v>
      </c>
    </row>
    <row r="2289">
      <c r="A2289" s="1">
        <f>IFERROR(__xludf.DUMMYFUNCTION("""COMPUTED_VALUE"""),86837.0)</f>
        <v>86837</v>
      </c>
      <c r="B2289" s="5">
        <f>IFERROR(__xludf.DUMMYFUNCTION("""COMPUTED_VALUE"""),44979.832726504625)</f>
        <v>44979.83273</v>
      </c>
      <c r="C2289" s="1" t="str">
        <f>IFERROR(__xludf.DUMMYFUNCTION("""COMPUTED_VALUE"""),"DEGAM BIANCA ")</f>
        <v>DEGAM BIANCA </v>
      </c>
      <c r="D2289" s="1" t="str">
        <f>IFERROR(__xludf.DUMMYFUNCTION("""COMPUTED_VALUE"""),"Lentes de STOCK")</f>
        <v>Lentes de STOCK</v>
      </c>
      <c r="E2289" s="1" t="str">
        <f>IFERROR(__xludf.DUMMYFUNCTION("""COMPUTED_VALUE"""),"RIVADAVIA Luciana")</f>
        <v>RIVADAVIA Luciana</v>
      </c>
      <c r="F2289" s="1" t="str">
        <f t="shared" si="1"/>
        <v>RIVADAVIA </v>
      </c>
      <c r="G2289" s="1" t="str">
        <f t="shared" si="2"/>
        <v>Luciana</v>
      </c>
      <c r="H2289" s="1" t="str">
        <f>IFERROR(__xludf.DUMMYFUNCTION("""COMPUTED_VALUE"""),"2/3/2023, 17:00:00")</f>
        <v>2/3/2023, 17:00:00</v>
      </c>
      <c r="I2289" s="1" t="str">
        <f>IFERROR(__xludf.DUMMYFUNCTION("""COMPUTED_VALUE"""),"Completado en SUCURSAL")</f>
        <v>Completado en SUCURSAL</v>
      </c>
      <c r="J2289" s="1">
        <f t="shared" si="3"/>
        <v>5</v>
      </c>
      <c r="K2289" s="1" t="str">
        <f t="shared" si="4"/>
        <v>Tus Lentes estan LISTAS PARA ENTREGAR, te esperamos.</v>
      </c>
    </row>
    <row r="2290">
      <c r="A2290" s="1">
        <f>IFERROR(__xludf.DUMMYFUNCTION("""COMPUTED_VALUE"""),86838.0)</f>
        <v>86838</v>
      </c>
      <c r="B2290" s="5">
        <f>IFERROR(__xludf.DUMMYFUNCTION("""COMPUTED_VALUE"""),44979.83798116898)</f>
        <v>44979.83798</v>
      </c>
      <c r="C2290" s="1" t="str">
        <f>IFERROR(__xludf.DUMMYFUNCTION("""COMPUTED_VALUE"""),"Lopez Magda")</f>
        <v>Lopez Magda</v>
      </c>
      <c r="D2290" s="1" t="str">
        <f>IFERROR(__xludf.DUMMYFUNCTION("""COMPUTED_VALUE"""),"Lentes de LABORATORIO")</f>
        <v>Lentes de LABORATORIO</v>
      </c>
      <c r="E2290" s="1" t="str">
        <f>IFERROR(__xludf.DUMMYFUNCTION("""COMPUTED_VALUE"""),"ARTIGAS Roció")</f>
        <v>ARTIGAS Roció</v>
      </c>
      <c r="F2290" s="1" t="str">
        <f t="shared" si="1"/>
        <v>ARTIGAS </v>
      </c>
      <c r="G2290" s="1" t="str">
        <f t="shared" si="2"/>
        <v>Roció</v>
      </c>
      <c r="H2290" s="1" t="str">
        <f>IFERROR(__xludf.DUMMYFUNCTION("""COMPUTED_VALUE"""),"10/3/2023, 17:00:00")</f>
        <v>10/3/2023, 17:00:00</v>
      </c>
      <c r="I2290" s="1" t="str">
        <f>IFERROR(__xludf.DUMMYFUNCTION("""COMPUTED_VALUE"""),"Completado en SUCURSAL")</f>
        <v>Completado en SUCURSAL</v>
      </c>
      <c r="J2290" s="1">
        <f t="shared" si="3"/>
        <v>5</v>
      </c>
      <c r="K2290" s="1" t="str">
        <f t="shared" si="4"/>
        <v>Tus Lentes estan LISTAS PARA ENTREGAR, te esperamos.</v>
      </c>
    </row>
    <row r="2291">
      <c r="A2291" s="1">
        <f>IFERROR(__xludf.DUMMYFUNCTION("""COMPUTED_VALUE"""),86839.0)</f>
        <v>86839</v>
      </c>
      <c r="B2291" s="5">
        <f>IFERROR(__xludf.DUMMYFUNCTION("""COMPUTED_VALUE"""),44980.383863020834)</f>
        <v>44980.38386</v>
      </c>
      <c r="C2291" s="1" t="str">
        <f>IFERROR(__xludf.DUMMYFUNCTION("""COMPUTED_VALUE"""),"VALDEZ MARIA MONTSERRAT")</f>
        <v>VALDEZ MARIA MONTSERRAT</v>
      </c>
      <c r="D2291" s="1" t="str">
        <f>IFERROR(__xludf.DUMMYFUNCTION("""COMPUTED_VALUE"""),"Lentes de STOCK")</f>
        <v>Lentes de STOCK</v>
      </c>
      <c r="E2291" s="1" t="str">
        <f>IFERROR(__xludf.DUMMYFUNCTION("""COMPUTED_VALUE"""),"RIVADAVIA Luciana")</f>
        <v>RIVADAVIA Luciana</v>
      </c>
      <c r="F2291" s="1" t="str">
        <f t="shared" si="1"/>
        <v>RIVADAVIA </v>
      </c>
      <c r="G2291" s="1" t="str">
        <f t="shared" si="2"/>
        <v>Luciana</v>
      </c>
      <c r="H2291" s="1" t="str">
        <f>IFERROR(__xludf.DUMMYFUNCTION("""COMPUTED_VALUE"""),"27/2/2023, 17:00:00")</f>
        <v>27/2/2023, 17:00:00</v>
      </c>
      <c r="I2291" s="1" t="str">
        <f>IFERROR(__xludf.DUMMYFUNCTION("""COMPUTED_VALUE"""),"Completado en SUCURSAL")</f>
        <v>Completado en SUCURSAL</v>
      </c>
      <c r="J2291" s="1">
        <f t="shared" si="3"/>
        <v>5</v>
      </c>
      <c r="K2291" s="1" t="str">
        <f t="shared" si="4"/>
        <v>Tus Lentes estan LISTAS PARA ENTREGAR, te esperamos.</v>
      </c>
    </row>
    <row r="2292">
      <c r="A2292" s="1">
        <f>IFERROR(__xludf.DUMMYFUNCTION("""COMPUTED_VALUE"""),86840.0)</f>
        <v>86840</v>
      </c>
      <c r="B2292" s="5">
        <f>IFERROR(__xludf.DUMMYFUNCTION("""COMPUTED_VALUE"""),44980.385108912036)</f>
        <v>44980.38511</v>
      </c>
      <c r="C2292" s="1" t="str">
        <f>IFERROR(__xludf.DUMMYFUNCTION("""COMPUTED_VALUE"""),"ALCARAZ ESTELA")</f>
        <v>ALCARAZ ESTELA</v>
      </c>
      <c r="D2292" s="1" t="str">
        <f>IFERROR(__xludf.DUMMYFUNCTION("""COMPUTED_VALUE"""),"Lentes de STOCK")</f>
        <v>Lentes de STOCK</v>
      </c>
      <c r="E2292" s="1" t="str">
        <f>IFERROR(__xludf.DUMMYFUNCTION("""COMPUTED_VALUE"""),"ARTIGAS Ivana P.")</f>
        <v>ARTIGAS Ivana P.</v>
      </c>
      <c r="F2292" s="1" t="str">
        <f t="shared" si="1"/>
        <v>ARTIGAS </v>
      </c>
      <c r="G2292" s="1" t="str">
        <f t="shared" si="2"/>
        <v>Ivana P.</v>
      </c>
      <c r="H2292" s="1" t="str">
        <f>IFERROR(__xludf.DUMMYFUNCTION("""COMPUTED_VALUE"""),"28/2/2023, 17:00:00")</f>
        <v>28/2/2023, 17:00:00</v>
      </c>
      <c r="I2292" s="1" t="str">
        <f>IFERROR(__xludf.DUMMYFUNCTION("""COMPUTED_VALUE"""),"Completado en SUCURSAL")</f>
        <v>Completado en SUCURSAL</v>
      </c>
      <c r="J2292" s="1">
        <f t="shared" si="3"/>
        <v>5</v>
      </c>
      <c r="K2292" s="1" t="str">
        <f t="shared" si="4"/>
        <v>Tus Lentes estan LISTAS PARA ENTREGAR, te esperamos.</v>
      </c>
    </row>
    <row r="2293">
      <c r="A2293" s="1">
        <f>IFERROR(__xludf.DUMMYFUNCTION("""COMPUTED_VALUE"""),86841.0)</f>
        <v>86841</v>
      </c>
      <c r="B2293" s="5">
        <f>IFERROR(__xludf.DUMMYFUNCTION("""COMPUTED_VALUE"""),44980.39098413194)</f>
        <v>44980.39098</v>
      </c>
      <c r="C2293" s="1" t="str">
        <f>IFERROR(__xludf.DUMMYFUNCTION("""COMPUTED_VALUE"""),"GODOY NILDA EDITH")</f>
        <v>GODOY NILDA EDITH</v>
      </c>
      <c r="D2293" s="1" t="str">
        <f>IFERROR(__xludf.DUMMYFUNCTION("""COMPUTED_VALUE"""),"Reparaciones/Otros")</f>
        <v>Reparaciones/Otros</v>
      </c>
      <c r="E2293" s="1" t="str">
        <f>IFERROR(__xludf.DUMMYFUNCTION("""COMPUTED_VALUE"""),"ARTIGAS Roció")</f>
        <v>ARTIGAS Roció</v>
      </c>
      <c r="F2293" s="1" t="str">
        <f t="shared" si="1"/>
        <v>ARTIGAS </v>
      </c>
      <c r="G2293" s="1" t="str">
        <f t="shared" si="2"/>
        <v>Roció</v>
      </c>
      <c r="H2293" s="1" t="str">
        <f>IFERROR(__xludf.DUMMYFUNCTION("""COMPUTED_VALUE"""),"24/2/2023, 17:00:00")</f>
        <v>24/2/2023, 17:00:00</v>
      </c>
      <c r="I2293" s="1" t="str">
        <f>IFERROR(__xludf.DUMMYFUNCTION("""COMPUTED_VALUE"""),"Recibido en Laboratorio")</f>
        <v>Recibido en Laboratorio</v>
      </c>
      <c r="J2293" s="1">
        <f t="shared" si="3"/>
        <v>2</v>
      </c>
      <c r="K2293" s="1" t="str">
        <f t="shared" si="4"/>
        <v>Nuestro Laboratorio esta trabajando en tus lentes, los entregaremos en la fecha acordada.</v>
      </c>
    </row>
    <row r="2294">
      <c r="A2294" s="1">
        <f>IFERROR(__xludf.DUMMYFUNCTION("""COMPUTED_VALUE"""),86842.0)</f>
        <v>86842</v>
      </c>
      <c r="B2294" s="5">
        <f>IFERROR(__xludf.DUMMYFUNCTION("""COMPUTED_VALUE"""),44980.395376099535)</f>
        <v>44980.39538</v>
      </c>
      <c r="C2294" s="1" t="str">
        <f>IFERROR(__xludf.DUMMYFUNCTION("""COMPUTED_VALUE"""),"dasso renia")</f>
        <v>dasso renia</v>
      </c>
      <c r="D2294" s="1" t="str">
        <f>IFERROR(__xludf.DUMMYFUNCTION("""COMPUTED_VALUE"""),"Reparaciones/Otros")</f>
        <v>Reparaciones/Otros</v>
      </c>
      <c r="E2294" s="1" t="str">
        <f>IFERROR(__xludf.DUMMYFUNCTION("""COMPUTED_VALUE"""),"RIVADAVIA Santiago N")</f>
        <v>RIVADAVIA Santiago N</v>
      </c>
      <c r="F2294" s="1" t="str">
        <f t="shared" si="1"/>
        <v>RIVADAVIA </v>
      </c>
      <c r="G2294" s="1" t="str">
        <f t="shared" si="2"/>
        <v>Santiago N</v>
      </c>
      <c r="H2294" s="1" t="str">
        <f>IFERROR(__xludf.DUMMYFUNCTION("""COMPUTED_VALUE"""),"24/2/2023, 17:00:00")</f>
        <v>24/2/2023, 17:00:00</v>
      </c>
      <c r="I2294" s="1" t="str">
        <f>IFERROR(__xludf.DUMMYFUNCTION("""COMPUTED_VALUE"""),"Completado en SUCURSAL")</f>
        <v>Completado en SUCURSAL</v>
      </c>
      <c r="J2294" s="1">
        <f t="shared" si="3"/>
        <v>5</v>
      </c>
      <c r="K2294" s="1" t="str">
        <f t="shared" si="4"/>
        <v>Tus Lentes estan LISTAS PARA ENTREGAR, te esperamos.</v>
      </c>
    </row>
    <row r="2295">
      <c r="A2295" s="1">
        <f>IFERROR(__xludf.DUMMYFUNCTION("""COMPUTED_VALUE"""),86843.0)</f>
        <v>86843</v>
      </c>
      <c r="B2295" s="5">
        <f>IFERROR(__xludf.DUMMYFUNCTION("""COMPUTED_VALUE"""),44980.399301990736)</f>
        <v>44980.3993</v>
      </c>
      <c r="C2295" s="1" t="str">
        <f>IFERROR(__xludf.DUMMYFUNCTION("""COMPUTED_VALUE"""),"OJEDA OSCAR FABIAN")</f>
        <v>OJEDA OSCAR FABIAN</v>
      </c>
      <c r="D2295" s="1" t="str">
        <f>IFERROR(__xludf.DUMMYFUNCTION("""COMPUTED_VALUE"""),"Lentes de LABORATORIO")</f>
        <v>Lentes de LABORATORIO</v>
      </c>
      <c r="E2295" s="1" t="str">
        <f>IFERROR(__xludf.DUMMYFUNCTION("""COMPUTED_VALUE"""),"RIVADAVIA Luciana")</f>
        <v>RIVADAVIA Luciana</v>
      </c>
      <c r="F2295" s="1" t="str">
        <f t="shared" si="1"/>
        <v>RIVADAVIA </v>
      </c>
      <c r="G2295" s="1" t="str">
        <f t="shared" si="2"/>
        <v>Luciana</v>
      </c>
      <c r="H2295" s="1" t="str">
        <f>IFERROR(__xludf.DUMMYFUNCTION("""COMPUTED_VALUE"""),"10/3/2023, 17:00:00")</f>
        <v>10/3/2023, 17:00:00</v>
      </c>
      <c r="I2295" s="1" t="str">
        <f>IFERROR(__xludf.DUMMYFUNCTION("""COMPUTED_VALUE"""),"Completado en SUCURSAL")</f>
        <v>Completado en SUCURSAL</v>
      </c>
      <c r="J2295" s="1">
        <f t="shared" si="3"/>
        <v>5</v>
      </c>
      <c r="K2295" s="1" t="str">
        <f t="shared" si="4"/>
        <v>Tus Lentes estan LISTAS PARA ENTREGAR, te esperamos.</v>
      </c>
    </row>
    <row r="2296">
      <c r="A2296" s="1">
        <f>IFERROR(__xludf.DUMMYFUNCTION("""COMPUTED_VALUE"""),86844.0)</f>
        <v>86844</v>
      </c>
      <c r="B2296" s="5">
        <f>IFERROR(__xludf.DUMMYFUNCTION("""COMPUTED_VALUE"""),44980.400269861115)</f>
        <v>44980.40027</v>
      </c>
      <c r="C2296" s="1" t="str">
        <f>IFERROR(__xludf.DUMMYFUNCTION("""COMPUTED_VALUE"""),"matera fernando")</f>
        <v>matera fernando</v>
      </c>
      <c r="D2296" s="1" t="str">
        <f>IFERROR(__xludf.DUMMYFUNCTION("""COMPUTED_VALUE"""),"Reparaciones/Otros")</f>
        <v>Reparaciones/Otros</v>
      </c>
      <c r="E2296" s="1" t="str">
        <f>IFERROR(__xludf.DUMMYFUNCTION("""COMPUTED_VALUE"""),"RIVADAVIA Santiago N")</f>
        <v>RIVADAVIA Santiago N</v>
      </c>
      <c r="F2296" s="1" t="str">
        <f t="shared" si="1"/>
        <v>RIVADAVIA </v>
      </c>
      <c r="G2296" s="1" t="str">
        <f t="shared" si="2"/>
        <v>Santiago N</v>
      </c>
      <c r="H2296" s="1" t="str">
        <f>IFERROR(__xludf.DUMMYFUNCTION("""COMPUTED_VALUE"""),"24/2/2023, 17:00:00")</f>
        <v>24/2/2023, 17:00:00</v>
      </c>
      <c r="I2296" s="1" t="str">
        <f>IFERROR(__xludf.DUMMYFUNCTION("""COMPUTED_VALUE"""),"Completado en SUCURSAL")</f>
        <v>Completado en SUCURSAL</v>
      </c>
      <c r="J2296" s="1">
        <f t="shared" si="3"/>
        <v>5</v>
      </c>
      <c r="K2296" s="1" t="str">
        <f t="shared" si="4"/>
        <v>Tus Lentes estan LISTAS PARA ENTREGAR, te esperamos.</v>
      </c>
    </row>
    <row r="2297">
      <c r="A2297" s="1">
        <f>IFERROR(__xludf.DUMMYFUNCTION("""COMPUTED_VALUE"""),86845.0)</f>
        <v>86845</v>
      </c>
      <c r="B2297" s="5">
        <f>IFERROR(__xludf.DUMMYFUNCTION("""COMPUTED_VALUE"""),44980.402814375004)</f>
        <v>44980.40281</v>
      </c>
      <c r="C2297" s="1" t="str">
        <f>IFERROR(__xludf.DUMMYFUNCTION("""COMPUTED_VALUE"""),"Orozco Ignacio")</f>
        <v>Orozco Ignacio</v>
      </c>
      <c r="D2297" s="1" t="str">
        <f>IFERROR(__xludf.DUMMYFUNCTION("""COMPUTED_VALUE"""),"Reparaciones/Otros")</f>
        <v>Reparaciones/Otros</v>
      </c>
      <c r="E2297" s="1" t="str">
        <f>IFERROR(__xludf.DUMMYFUNCTION("""COMPUTED_VALUE"""),"ARTIGAS Sandra G")</f>
        <v>ARTIGAS Sandra G</v>
      </c>
      <c r="F2297" s="1" t="str">
        <f t="shared" si="1"/>
        <v>ARTIGAS </v>
      </c>
      <c r="G2297" s="1" t="str">
        <f t="shared" si="2"/>
        <v>Sandra G</v>
      </c>
      <c r="H2297" s="1" t="str">
        <f>IFERROR(__xludf.DUMMYFUNCTION("""COMPUTED_VALUE"""),"24/2/2023, 17:00:00")</f>
        <v>24/2/2023, 17:00:00</v>
      </c>
      <c r="I2297" s="1"/>
      <c r="J2297" s="1">
        <f t="shared" si="3"/>
        <v>0</v>
      </c>
      <c r="K2297" s="1" t="str">
        <f t="shared" si="4"/>
        <v/>
      </c>
    </row>
    <row r="2298">
      <c r="A2298" s="1">
        <f>IFERROR(__xludf.DUMMYFUNCTION("""COMPUTED_VALUE"""),86846.0)</f>
        <v>86846</v>
      </c>
      <c r="B2298" s="5">
        <f>IFERROR(__xludf.DUMMYFUNCTION("""COMPUTED_VALUE"""),44980.405308263886)</f>
        <v>44980.40531</v>
      </c>
      <c r="C2298" s="1" t="str">
        <f>IFERROR(__xludf.DUMMYFUNCTION("""COMPUTED_VALUE"""),"muñoz marcos agustin")</f>
        <v>muñoz marcos agustin</v>
      </c>
      <c r="D2298" s="1" t="str">
        <f>IFERROR(__xludf.DUMMYFUNCTION("""COMPUTED_VALUE"""),"Lentes de STOCK")</f>
        <v>Lentes de STOCK</v>
      </c>
      <c r="E2298" s="1" t="str">
        <f>IFERROR(__xludf.DUMMYFUNCTION("""COMPUTED_VALUE"""),"RIVADAVIA Daniel CM")</f>
        <v>RIVADAVIA Daniel CM</v>
      </c>
      <c r="F2298" s="1" t="str">
        <f t="shared" si="1"/>
        <v>RIVADAVIA </v>
      </c>
      <c r="G2298" s="1" t="str">
        <f t="shared" si="2"/>
        <v>Daniel CM</v>
      </c>
      <c r="H2298" s="1" t="str">
        <f>IFERROR(__xludf.DUMMYFUNCTION("""COMPUTED_VALUE"""),"25/2/2023, 17:00:00")</f>
        <v>25/2/2023, 17:00:00</v>
      </c>
      <c r="I2298" s="1" t="str">
        <f>IFERROR(__xludf.DUMMYFUNCTION("""COMPUTED_VALUE"""),"Completado en SUCURSAL")</f>
        <v>Completado en SUCURSAL</v>
      </c>
      <c r="J2298" s="1">
        <f t="shared" si="3"/>
        <v>5</v>
      </c>
      <c r="K2298" s="1" t="str">
        <f t="shared" si="4"/>
        <v>Tus Lentes estan LISTAS PARA ENTREGAR, te esperamos.</v>
      </c>
    </row>
    <row r="2299">
      <c r="A2299" s="1">
        <f>IFERROR(__xludf.DUMMYFUNCTION("""COMPUTED_VALUE"""),86847.0)</f>
        <v>86847</v>
      </c>
      <c r="B2299" s="5">
        <f>IFERROR(__xludf.DUMMYFUNCTION("""COMPUTED_VALUE"""),44980.41050265046)</f>
        <v>44980.4105</v>
      </c>
      <c r="C2299" s="1" t="str">
        <f>IFERROR(__xludf.DUMMYFUNCTION("""COMPUTED_VALUE"""),"DOMINGUEZ LIVIA")</f>
        <v>DOMINGUEZ LIVIA</v>
      </c>
      <c r="D2299" s="1" t="str">
        <f>IFERROR(__xludf.DUMMYFUNCTION("""COMPUTED_VALUE"""),"Lentes MULTIFOCALES")</f>
        <v>Lentes MULTIFOCALES</v>
      </c>
      <c r="E2299" s="1" t="str">
        <f>IFERROR(__xludf.DUMMYFUNCTION("""COMPUTED_VALUE"""),"ARTIGAS Roció")</f>
        <v>ARTIGAS Roció</v>
      </c>
      <c r="F2299" s="1" t="str">
        <f t="shared" si="1"/>
        <v>ARTIGAS </v>
      </c>
      <c r="G2299" s="1" t="str">
        <f t="shared" si="2"/>
        <v>Roció</v>
      </c>
      <c r="H2299" s="1" t="str">
        <f>IFERROR(__xludf.DUMMYFUNCTION("""COMPUTED_VALUE"""),"9/3/2023, 17:00:00")</f>
        <v>9/3/2023, 17:00:00</v>
      </c>
      <c r="I2299" s="1" t="str">
        <f>IFERROR(__xludf.DUMMYFUNCTION("""COMPUTED_VALUE"""),"Completado en SUCURSAL")</f>
        <v>Completado en SUCURSAL</v>
      </c>
      <c r="J2299" s="1">
        <f t="shared" si="3"/>
        <v>5</v>
      </c>
      <c r="K2299" s="1" t="str">
        <f t="shared" si="4"/>
        <v>Tus Lentes estan LISTAS PARA ENTREGAR, te esperamos.</v>
      </c>
    </row>
    <row r="2300">
      <c r="A2300" s="1">
        <f>IFERROR(__xludf.DUMMYFUNCTION("""COMPUTED_VALUE"""),86848.0)</f>
        <v>86848</v>
      </c>
      <c r="B2300" s="5">
        <f>IFERROR(__xludf.DUMMYFUNCTION("""COMPUTED_VALUE"""),44980.41157832176)</f>
        <v>44980.41158</v>
      </c>
      <c r="C2300" s="1" t="str">
        <f>IFERROR(__xludf.DUMMYFUNCTION("""COMPUTED_VALUE"""),"DOMINGUEZ LIVIA")</f>
        <v>DOMINGUEZ LIVIA</v>
      </c>
      <c r="D2300" s="1" t="str">
        <f>IFERROR(__xludf.DUMMYFUNCTION("""COMPUTED_VALUE"""),"Lentes MULTIFOCALES")</f>
        <v>Lentes MULTIFOCALES</v>
      </c>
      <c r="E2300" s="1" t="str">
        <f>IFERROR(__xludf.DUMMYFUNCTION("""COMPUTED_VALUE"""),"ARTIGAS Roció")</f>
        <v>ARTIGAS Roció</v>
      </c>
      <c r="F2300" s="1" t="str">
        <f t="shared" si="1"/>
        <v>ARTIGAS </v>
      </c>
      <c r="G2300" s="1" t="str">
        <f t="shared" si="2"/>
        <v>Roció</v>
      </c>
      <c r="H2300" s="1" t="str">
        <f>IFERROR(__xludf.DUMMYFUNCTION("""COMPUTED_VALUE"""),"8/3/2023, 17:00:00")</f>
        <v>8/3/2023, 17:00:00</v>
      </c>
      <c r="I2300" s="1" t="str">
        <f>IFERROR(__xludf.DUMMYFUNCTION("""COMPUTED_VALUE"""),"Completado en SUCURSAL")</f>
        <v>Completado en SUCURSAL</v>
      </c>
      <c r="J2300" s="1">
        <f t="shared" si="3"/>
        <v>5</v>
      </c>
      <c r="K2300" s="1" t="str">
        <f t="shared" si="4"/>
        <v>Tus Lentes estan LISTAS PARA ENTREGAR, te esperamos.</v>
      </c>
    </row>
    <row r="2301">
      <c r="A2301" s="1">
        <f>IFERROR(__xludf.DUMMYFUNCTION("""COMPUTED_VALUE"""),86849.0)</f>
        <v>86849</v>
      </c>
      <c r="B2301" s="5">
        <f>IFERROR(__xludf.DUMMYFUNCTION("""COMPUTED_VALUE"""),44980.421676157406)</f>
        <v>44980.42168</v>
      </c>
      <c r="C2301" s="1" t="str">
        <f>IFERROR(__xludf.DUMMYFUNCTION("""COMPUTED_VALUE"""),"FLORES MELANY ABIGAIL")</f>
        <v>FLORES MELANY ABIGAIL</v>
      </c>
      <c r="D2301" s="1" t="str">
        <f>IFERROR(__xludf.DUMMYFUNCTION("""COMPUTED_VALUE"""),"Lentes de STOCK")</f>
        <v>Lentes de STOCK</v>
      </c>
      <c r="E2301" s="1" t="str">
        <f>IFERROR(__xludf.DUMMYFUNCTION("""COMPUTED_VALUE"""),"ARTIGAS Roció")</f>
        <v>ARTIGAS Roció</v>
      </c>
      <c r="F2301" s="1" t="str">
        <f t="shared" si="1"/>
        <v>ARTIGAS </v>
      </c>
      <c r="G2301" s="1" t="str">
        <f t="shared" si="2"/>
        <v>Roció</v>
      </c>
      <c r="H2301" s="1" t="str">
        <f>IFERROR(__xludf.DUMMYFUNCTION("""COMPUTED_VALUE"""),"3/3/2023, 17:00:00")</f>
        <v>3/3/2023, 17:00:00</v>
      </c>
      <c r="I2301" s="1" t="str">
        <f>IFERROR(__xludf.DUMMYFUNCTION("""COMPUTED_VALUE"""),"Recibido en Laboratorio")</f>
        <v>Recibido en Laboratorio</v>
      </c>
      <c r="J2301" s="1">
        <f t="shared" si="3"/>
        <v>2</v>
      </c>
      <c r="K2301" s="1" t="str">
        <f t="shared" si="4"/>
        <v>Nuestro Laboratorio esta trabajando en tus lentes, los entregaremos en la fecha acordada.</v>
      </c>
    </row>
    <row r="2302">
      <c r="A2302" s="1">
        <f>IFERROR(__xludf.DUMMYFUNCTION("""COMPUTED_VALUE"""),86850.0)</f>
        <v>86850</v>
      </c>
      <c r="B2302" s="5">
        <f>IFERROR(__xludf.DUMMYFUNCTION("""COMPUTED_VALUE"""),44980.422725324075)</f>
        <v>44980.42273</v>
      </c>
      <c r="C2302" s="1" t="str">
        <f>IFERROR(__xludf.DUMMYFUNCTION("""COMPUTED_VALUE"""),"LARREA JUAN")</f>
        <v>LARREA JUAN</v>
      </c>
      <c r="D2302" s="1" t="str">
        <f>IFERROR(__xludf.DUMMYFUNCTION("""COMPUTED_VALUE"""),"Lentes de STOCK")</f>
        <v>Lentes de STOCK</v>
      </c>
      <c r="E2302" s="1" t="str">
        <f>IFERROR(__xludf.DUMMYFUNCTION("""COMPUTED_VALUE"""),"RIVADAVIA Santiago N")</f>
        <v>RIVADAVIA Santiago N</v>
      </c>
      <c r="F2302" s="1" t="str">
        <f t="shared" si="1"/>
        <v>RIVADAVIA </v>
      </c>
      <c r="G2302" s="1" t="str">
        <f t="shared" si="2"/>
        <v>Santiago N</v>
      </c>
      <c r="H2302" s="1" t="str">
        <f>IFERROR(__xludf.DUMMYFUNCTION("""COMPUTED_VALUE"""),"1/3/2023, 17:00:00")</f>
        <v>1/3/2023, 17:00:00</v>
      </c>
      <c r="I2302" s="1" t="str">
        <f>IFERROR(__xludf.DUMMYFUNCTION("""COMPUTED_VALUE"""),"Completado en SUCURSAL")</f>
        <v>Completado en SUCURSAL</v>
      </c>
      <c r="J2302" s="1">
        <f t="shared" si="3"/>
        <v>5</v>
      </c>
      <c r="K2302" s="1" t="str">
        <f t="shared" si="4"/>
        <v>Tus Lentes estan LISTAS PARA ENTREGAR, te esperamos.</v>
      </c>
    </row>
    <row r="2303">
      <c r="A2303" s="1">
        <f>IFERROR(__xludf.DUMMYFUNCTION("""COMPUTED_VALUE"""),86851.0)</f>
        <v>86851</v>
      </c>
      <c r="B2303" s="5">
        <f>IFERROR(__xludf.DUMMYFUNCTION("""COMPUTED_VALUE"""),44980.43032400463)</f>
        <v>44980.43032</v>
      </c>
      <c r="C2303" s="1" t="str">
        <f>IFERROR(__xludf.DUMMYFUNCTION("""COMPUTED_VALUE"""),"LEDEZMA LUIS")</f>
        <v>LEDEZMA LUIS</v>
      </c>
      <c r="D2303" s="1" t="str">
        <f>IFERROR(__xludf.DUMMYFUNCTION("""COMPUTED_VALUE"""),"Lentes de STOCK")</f>
        <v>Lentes de STOCK</v>
      </c>
      <c r="E2303" s="1" t="str">
        <f>IFERROR(__xludf.DUMMYFUNCTION("""COMPUTED_VALUE"""),"ARTIGAS Ivana P.")</f>
        <v>ARTIGAS Ivana P.</v>
      </c>
      <c r="F2303" s="1" t="str">
        <f t="shared" si="1"/>
        <v>ARTIGAS </v>
      </c>
      <c r="G2303" s="1" t="str">
        <f t="shared" si="2"/>
        <v>Ivana P.</v>
      </c>
      <c r="H2303" s="1" t="str">
        <f>IFERROR(__xludf.DUMMYFUNCTION("""COMPUTED_VALUE"""),"1/3/2023, 17:00:00")</f>
        <v>1/3/2023, 17:00:00</v>
      </c>
      <c r="I2303" s="1" t="str">
        <f>IFERROR(__xludf.DUMMYFUNCTION("""COMPUTED_VALUE"""),"Recibido en Laboratorio")</f>
        <v>Recibido en Laboratorio</v>
      </c>
      <c r="J2303" s="1">
        <f t="shared" si="3"/>
        <v>2</v>
      </c>
      <c r="K2303" s="1" t="str">
        <f t="shared" si="4"/>
        <v>Nuestro Laboratorio esta trabajando en tus lentes, los entregaremos en la fecha acordada.</v>
      </c>
    </row>
    <row r="2304">
      <c r="A2304" s="1">
        <f>IFERROR(__xludf.DUMMYFUNCTION("""COMPUTED_VALUE"""),86852.0)</f>
        <v>86852</v>
      </c>
      <c r="B2304" s="5">
        <f>IFERROR(__xludf.DUMMYFUNCTION("""COMPUTED_VALUE"""),44980.43307121527)</f>
        <v>44980.43307</v>
      </c>
      <c r="C2304" s="1" t="str">
        <f>IFERROR(__xludf.DUMMYFUNCTION("""COMPUTED_VALUE"""),"PAEZ DEOLINDA TERESA")</f>
        <v>PAEZ DEOLINDA TERESA</v>
      </c>
      <c r="D2304" s="1" t="str">
        <f>IFERROR(__xludf.DUMMYFUNCTION("""COMPUTED_VALUE"""),"Lentes de STOCK")</f>
        <v>Lentes de STOCK</v>
      </c>
      <c r="E2304" s="1" t="str">
        <f>IFERROR(__xludf.DUMMYFUNCTION("""COMPUTED_VALUE"""),"RIVADAVIA Luciana")</f>
        <v>RIVADAVIA Luciana</v>
      </c>
      <c r="F2304" s="1" t="str">
        <f t="shared" si="1"/>
        <v>RIVADAVIA </v>
      </c>
      <c r="G2304" s="1" t="str">
        <f t="shared" si="2"/>
        <v>Luciana</v>
      </c>
      <c r="H2304" s="1" t="str">
        <f>IFERROR(__xludf.DUMMYFUNCTION("""COMPUTED_VALUE"""),"1/3/2023, 17:00:00")</f>
        <v>1/3/2023, 17:00:00</v>
      </c>
      <c r="I2304" s="1" t="str">
        <f>IFERROR(__xludf.DUMMYFUNCTION("""COMPUTED_VALUE"""),"Recibido en Laboratorio")</f>
        <v>Recibido en Laboratorio</v>
      </c>
      <c r="J2304" s="1">
        <f t="shared" si="3"/>
        <v>2</v>
      </c>
      <c r="K2304" s="1" t="str">
        <f t="shared" si="4"/>
        <v>Nuestro Laboratorio esta trabajando en tus lentes, los entregaremos en la fecha acordada.</v>
      </c>
    </row>
    <row r="2305">
      <c r="A2305" s="1">
        <f>IFERROR(__xludf.DUMMYFUNCTION("""COMPUTED_VALUE"""),86853.0)</f>
        <v>86853</v>
      </c>
      <c r="B2305" s="5">
        <f>IFERROR(__xludf.DUMMYFUNCTION("""COMPUTED_VALUE"""),44980.43805403935)</f>
        <v>44980.43805</v>
      </c>
      <c r="C2305" s="1" t="str">
        <f>IFERROR(__xludf.DUMMYFUNCTION("""COMPUTED_VALUE"""),"MOREYRA MARTA")</f>
        <v>MOREYRA MARTA</v>
      </c>
      <c r="D2305" s="1" t="str">
        <f>IFERROR(__xludf.DUMMYFUNCTION("""COMPUTED_VALUE"""),"Reparaciones/Otros")</f>
        <v>Reparaciones/Otros</v>
      </c>
      <c r="E2305" s="1" t="str">
        <f>IFERROR(__xludf.DUMMYFUNCTION("""COMPUTED_VALUE"""),"RIVADAVIA Daniel CM")</f>
        <v>RIVADAVIA Daniel CM</v>
      </c>
      <c r="F2305" s="1" t="str">
        <f t="shared" si="1"/>
        <v>RIVADAVIA </v>
      </c>
      <c r="G2305" s="1" t="str">
        <f t="shared" si="2"/>
        <v>Daniel CM</v>
      </c>
      <c r="H2305" s="1" t="str">
        <f>IFERROR(__xludf.DUMMYFUNCTION("""COMPUTED_VALUE"""),"24/2/2023, 17:00:00")</f>
        <v>24/2/2023, 17:00:00</v>
      </c>
      <c r="I2305" s="1"/>
      <c r="J2305" s="1">
        <f t="shared" si="3"/>
        <v>0</v>
      </c>
      <c r="K2305" s="1" t="str">
        <f t="shared" si="4"/>
        <v/>
      </c>
    </row>
    <row r="2306">
      <c r="A2306" s="1">
        <f>IFERROR(__xludf.DUMMYFUNCTION("""COMPUTED_VALUE"""),86854.0)</f>
        <v>86854</v>
      </c>
      <c r="B2306" s="5">
        <f>IFERROR(__xludf.DUMMYFUNCTION("""COMPUTED_VALUE"""),44980.44034318287)</f>
        <v>44980.44034</v>
      </c>
      <c r="C2306" s="1" t="str">
        <f>IFERROR(__xludf.DUMMYFUNCTION("""COMPUTED_VALUE"""),"sosa camila")</f>
        <v>sosa camila</v>
      </c>
      <c r="D2306" s="1" t="str">
        <f>IFERROR(__xludf.DUMMYFUNCTION("""COMPUTED_VALUE"""),"Lentes de STOCK")</f>
        <v>Lentes de STOCK</v>
      </c>
      <c r="E2306" s="1" t="str">
        <f>IFERROR(__xludf.DUMMYFUNCTION("""COMPUTED_VALUE"""),"RIVADAVIA Santiago N")</f>
        <v>RIVADAVIA Santiago N</v>
      </c>
      <c r="F2306" s="1" t="str">
        <f t="shared" si="1"/>
        <v>RIVADAVIA </v>
      </c>
      <c r="G2306" s="1" t="str">
        <f t="shared" si="2"/>
        <v>Santiago N</v>
      </c>
      <c r="H2306" s="1" t="str">
        <f>IFERROR(__xludf.DUMMYFUNCTION("""COMPUTED_VALUE"""),"27/2/2023, 17:00:00")</f>
        <v>27/2/2023, 17:00:00</v>
      </c>
      <c r="I2306" s="1" t="str">
        <f>IFERROR(__xludf.DUMMYFUNCTION("""COMPUTED_VALUE"""),"RETIRADO OK POR CLIENTE")</f>
        <v>RETIRADO OK POR CLIENTE</v>
      </c>
      <c r="J2306" s="1">
        <f t="shared" si="3"/>
        <v>6</v>
      </c>
      <c r="K2306" s="1" t="str">
        <f t="shared" si="4"/>
        <v>Entregamos tus lentes, que los disfrutes!</v>
      </c>
    </row>
    <row r="2307">
      <c r="A2307" s="1">
        <f>IFERROR(__xludf.DUMMYFUNCTION("""COMPUTED_VALUE"""),86855.0)</f>
        <v>86855</v>
      </c>
      <c r="B2307" s="5">
        <f>IFERROR(__xludf.DUMMYFUNCTION("""COMPUTED_VALUE"""),44980.44371238426)</f>
        <v>44980.44371</v>
      </c>
      <c r="C2307" s="1" t="str">
        <f>IFERROR(__xludf.DUMMYFUNCTION("""COMPUTED_VALUE"""),"aguero")</f>
        <v>aguero</v>
      </c>
      <c r="D2307" s="1" t="str">
        <f>IFERROR(__xludf.DUMMYFUNCTION("""COMPUTED_VALUE"""),"Reparaciones/Otros")</f>
        <v>Reparaciones/Otros</v>
      </c>
      <c r="E2307" s="1" t="str">
        <f>IFERROR(__xludf.DUMMYFUNCTION("""COMPUTED_VALUE"""),"ARTIGAS Sandra G")</f>
        <v>ARTIGAS Sandra G</v>
      </c>
      <c r="F2307" s="1" t="str">
        <f t="shared" si="1"/>
        <v>ARTIGAS </v>
      </c>
      <c r="G2307" s="1" t="str">
        <f t="shared" si="2"/>
        <v>Sandra G</v>
      </c>
      <c r="H2307" s="1" t="str">
        <f>IFERROR(__xludf.DUMMYFUNCTION("""COMPUTED_VALUE"""),"24/2/2023, 17:00:00")</f>
        <v>24/2/2023, 17:00:00</v>
      </c>
      <c r="I2307" s="1" t="str">
        <f>IFERROR(__xludf.DUMMYFUNCTION("""COMPUTED_VALUE"""),"Recibido en Laboratorio")</f>
        <v>Recibido en Laboratorio</v>
      </c>
      <c r="J2307" s="1">
        <f t="shared" si="3"/>
        <v>2</v>
      </c>
      <c r="K2307" s="1" t="str">
        <f t="shared" si="4"/>
        <v>Nuestro Laboratorio esta trabajando en tus lentes, los entregaremos en la fecha acordada.</v>
      </c>
    </row>
    <row r="2308">
      <c r="A2308" s="1">
        <f>IFERROR(__xludf.DUMMYFUNCTION("""COMPUTED_VALUE"""),86856.0)</f>
        <v>86856</v>
      </c>
      <c r="B2308" s="5">
        <f>IFERROR(__xludf.DUMMYFUNCTION("""COMPUTED_VALUE"""),44980.4454687963)</f>
        <v>44980.44547</v>
      </c>
      <c r="C2308" s="1" t="str">
        <f>IFERROR(__xludf.DUMMYFUNCTION("""COMPUTED_VALUE"""),"BUSTOS GONZALEZ KARINA")</f>
        <v>BUSTOS GONZALEZ KARINA</v>
      </c>
      <c r="D2308" s="1" t="str">
        <f>IFERROR(__xludf.DUMMYFUNCTION("""COMPUTED_VALUE"""),"Lentes MULTIFOCALES")</f>
        <v>Lentes MULTIFOCALES</v>
      </c>
      <c r="E2308" s="1" t="str">
        <f>IFERROR(__xludf.DUMMYFUNCTION("""COMPUTED_VALUE"""),"RIVADAVIA Santiago LOPEZ")</f>
        <v>RIVADAVIA Santiago LOPEZ</v>
      </c>
      <c r="F2308" s="1" t="str">
        <f t="shared" si="1"/>
        <v>RIVADAVIA </v>
      </c>
      <c r="G2308" s="1" t="str">
        <f t="shared" si="2"/>
        <v>Santiago LOPEZ</v>
      </c>
      <c r="H2308" s="1" t="str">
        <f>IFERROR(__xludf.DUMMYFUNCTION("""COMPUTED_VALUE"""),"15/3/2023, 17:00:00")</f>
        <v>15/3/2023, 17:00:00</v>
      </c>
      <c r="I2308" s="1" t="str">
        <f>IFERROR(__xludf.DUMMYFUNCTION("""COMPUTED_VALUE"""),"Completado en SUCURSAL")</f>
        <v>Completado en SUCURSAL</v>
      </c>
      <c r="J2308" s="1">
        <f t="shared" si="3"/>
        <v>5</v>
      </c>
      <c r="K2308" s="1" t="str">
        <f t="shared" si="4"/>
        <v>Tus Lentes estan LISTAS PARA ENTREGAR, te esperamos.</v>
      </c>
    </row>
    <row r="2309">
      <c r="A2309" s="1">
        <f>IFERROR(__xludf.DUMMYFUNCTION("""COMPUTED_VALUE"""),86857.0)</f>
        <v>86857</v>
      </c>
      <c r="B2309" s="5">
        <f>IFERROR(__xludf.DUMMYFUNCTION("""COMPUTED_VALUE"""),44980.450962511575)</f>
        <v>44980.45096</v>
      </c>
      <c r="C2309" s="1" t="str">
        <f>IFERROR(__xludf.DUMMYFUNCTION("""COMPUTED_VALUE"""),"SUAREZ MARQUEZA ISIDORA")</f>
        <v>SUAREZ MARQUEZA ISIDORA</v>
      </c>
      <c r="D2309" s="1" t="str">
        <f>IFERROR(__xludf.DUMMYFUNCTION("""COMPUTED_VALUE"""),"Lentes BIFOCALES")</f>
        <v>Lentes BIFOCALES</v>
      </c>
      <c r="E2309" s="1" t="str">
        <f>IFERROR(__xludf.DUMMYFUNCTION("""COMPUTED_VALUE"""),"RIVADAVIA Luciana")</f>
        <v>RIVADAVIA Luciana</v>
      </c>
      <c r="F2309" s="1" t="str">
        <f t="shared" si="1"/>
        <v>RIVADAVIA </v>
      </c>
      <c r="G2309" s="1" t="str">
        <f t="shared" si="2"/>
        <v>Luciana</v>
      </c>
      <c r="H2309" s="1" t="str">
        <f>IFERROR(__xludf.DUMMYFUNCTION("""COMPUTED_VALUE"""),"1/3/2023, 17:00:00")</f>
        <v>1/3/2023, 17:00:00</v>
      </c>
      <c r="I2309" s="1" t="str">
        <f>IFERROR(__xludf.DUMMYFUNCTION("""COMPUTED_VALUE"""),"Recibido en Laboratorio")</f>
        <v>Recibido en Laboratorio</v>
      </c>
      <c r="J2309" s="1">
        <f t="shared" si="3"/>
        <v>2</v>
      </c>
      <c r="K2309" s="1" t="str">
        <f t="shared" si="4"/>
        <v>Nuestro Laboratorio esta trabajando en tus lentes, los entregaremos en la fecha acordada.</v>
      </c>
    </row>
    <row r="2310">
      <c r="A2310" s="1">
        <f>IFERROR(__xludf.DUMMYFUNCTION("""COMPUTED_VALUE"""),86858.0)</f>
        <v>86858</v>
      </c>
      <c r="B2310" s="5">
        <f>IFERROR(__xludf.DUMMYFUNCTION("""COMPUTED_VALUE"""),44980.46209503472)</f>
        <v>44980.4621</v>
      </c>
      <c r="C2310" s="1" t="str">
        <f>IFERROR(__xludf.DUMMYFUNCTION("""COMPUTED_VALUE"""),"Barroso Maria N")</f>
        <v>Barroso Maria N</v>
      </c>
      <c r="D2310" s="1" t="str">
        <f>IFERROR(__xludf.DUMMYFUNCTION("""COMPUTED_VALUE"""),"Reparaciones/Otros")</f>
        <v>Reparaciones/Otros</v>
      </c>
      <c r="E2310" s="1" t="str">
        <f>IFERROR(__xludf.DUMMYFUNCTION("""COMPUTED_VALUE"""),"ARTIGAS Sandra G")</f>
        <v>ARTIGAS Sandra G</v>
      </c>
      <c r="F2310" s="1" t="str">
        <f t="shared" si="1"/>
        <v>ARTIGAS </v>
      </c>
      <c r="G2310" s="1" t="str">
        <f t="shared" si="2"/>
        <v>Sandra G</v>
      </c>
      <c r="H2310" s="1" t="str">
        <f>IFERROR(__xludf.DUMMYFUNCTION("""COMPUTED_VALUE"""),"24/2/2023, 17:00:00")</f>
        <v>24/2/2023, 17:00:00</v>
      </c>
      <c r="I2310" s="1" t="str">
        <f>IFERROR(__xludf.DUMMYFUNCTION("""COMPUTED_VALUE"""),"Completado en SUCURSAL")</f>
        <v>Completado en SUCURSAL</v>
      </c>
      <c r="J2310" s="1">
        <f t="shared" si="3"/>
        <v>5</v>
      </c>
      <c r="K2310" s="1" t="str">
        <f t="shared" si="4"/>
        <v>Tus Lentes estan LISTAS PARA ENTREGAR, te esperamos.</v>
      </c>
    </row>
    <row r="2311">
      <c r="A2311" s="1">
        <f>IFERROR(__xludf.DUMMYFUNCTION("""COMPUTED_VALUE"""),86859.0)</f>
        <v>86859</v>
      </c>
      <c r="B2311" s="5">
        <f>IFERROR(__xludf.DUMMYFUNCTION("""COMPUTED_VALUE"""),44980.46295054398)</f>
        <v>44980.46295</v>
      </c>
      <c r="C2311" s="1" t="str">
        <f>IFERROR(__xludf.DUMMYFUNCTION("""COMPUTED_VALUE"""),"ventura fernandez gonzalo")</f>
        <v>ventura fernandez gonzalo</v>
      </c>
      <c r="D2311" s="1" t="str">
        <f>IFERROR(__xludf.DUMMYFUNCTION("""COMPUTED_VALUE"""),"Lentes de STOCK")</f>
        <v>Lentes de STOCK</v>
      </c>
      <c r="E2311" s="1" t="str">
        <f>IFERROR(__xludf.DUMMYFUNCTION("""COMPUTED_VALUE"""),"RIVADAVIA Daniel CM")</f>
        <v>RIVADAVIA Daniel CM</v>
      </c>
      <c r="F2311" s="1" t="str">
        <f t="shared" si="1"/>
        <v>RIVADAVIA </v>
      </c>
      <c r="G2311" s="1" t="str">
        <f t="shared" si="2"/>
        <v>Daniel CM</v>
      </c>
      <c r="H2311" s="1" t="str">
        <f>IFERROR(__xludf.DUMMYFUNCTION("""COMPUTED_VALUE"""),"27/2/2023, 17:00:00")</f>
        <v>27/2/2023, 17:00:00</v>
      </c>
      <c r="I2311" s="1" t="str">
        <f>IFERROR(__xludf.DUMMYFUNCTION("""COMPUTED_VALUE"""),"Completado en SUCURSAL")</f>
        <v>Completado en SUCURSAL</v>
      </c>
      <c r="J2311" s="1">
        <f t="shared" si="3"/>
        <v>5</v>
      </c>
      <c r="K2311" s="1" t="str">
        <f t="shared" si="4"/>
        <v>Tus Lentes estan LISTAS PARA ENTREGAR, te esperamos.</v>
      </c>
    </row>
    <row r="2312">
      <c r="A2312" s="1">
        <f>IFERROR(__xludf.DUMMYFUNCTION("""COMPUTED_VALUE"""),86860.0)</f>
        <v>86860</v>
      </c>
      <c r="B2312" s="5">
        <f>IFERROR(__xludf.DUMMYFUNCTION("""COMPUTED_VALUE"""),44980.46545488426)</f>
        <v>44980.46545</v>
      </c>
      <c r="C2312" s="1" t="str">
        <f>IFERROR(__xludf.DUMMYFUNCTION("""COMPUTED_VALUE"""),"ALCARAZ LIA")</f>
        <v>ALCARAZ LIA</v>
      </c>
      <c r="D2312" s="1" t="str">
        <f>IFERROR(__xludf.DUMMYFUNCTION("""COMPUTED_VALUE"""),"Lentes de STOCK")</f>
        <v>Lentes de STOCK</v>
      </c>
      <c r="E2312" s="1" t="str">
        <f>IFERROR(__xludf.DUMMYFUNCTION("""COMPUTED_VALUE"""),"RIVADAVIA Santiago LOPEZ")</f>
        <v>RIVADAVIA Santiago LOPEZ</v>
      </c>
      <c r="F2312" s="1" t="str">
        <f t="shared" si="1"/>
        <v>RIVADAVIA </v>
      </c>
      <c r="G2312" s="1" t="str">
        <f t="shared" si="2"/>
        <v>Santiago LOPEZ</v>
      </c>
      <c r="H2312" s="1" t="str">
        <f>IFERROR(__xludf.DUMMYFUNCTION("""COMPUTED_VALUE"""),"28/2/2023, 17:00:00")</f>
        <v>28/2/2023, 17:00:00</v>
      </c>
      <c r="I2312" s="1" t="str">
        <f>IFERROR(__xludf.DUMMYFUNCTION("""COMPUTED_VALUE"""),"Completado en SUCURSAL")</f>
        <v>Completado en SUCURSAL</v>
      </c>
      <c r="J2312" s="1">
        <f t="shared" si="3"/>
        <v>5</v>
      </c>
      <c r="K2312" s="1" t="str">
        <f t="shared" si="4"/>
        <v>Tus Lentes estan LISTAS PARA ENTREGAR, te esperamos.</v>
      </c>
    </row>
    <row r="2313">
      <c r="A2313" s="1">
        <f>IFERROR(__xludf.DUMMYFUNCTION("""COMPUTED_VALUE"""),86861.0)</f>
        <v>86861</v>
      </c>
      <c r="B2313" s="5">
        <f>IFERROR(__xludf.DUMMYFUNCTION("""COMPUTED_VALUE"""),44980.466801284725)</f>
        <v>44980.4668</v>
      </c>
      <c r="C2313" s="1" t="str">
        <f>IFERROR(__xludf.DUMMYFUNCTION("""COMPUTED_VALUE"""),"villegas delfin omar")</f>
        <v>villegas delfin omar</v>
      </c>
      <c r="D2313" s="1" t="str">
        <f>IFERROR(__xludf.DUMMYFUNCTION("""COMPUTED_VALUE"""),"Lentes de STOCK")</f>
        <v>Lentes de STOCK</v>
      </c>
      <c r="E2313" s="1" t="str">
        <f>IFERROR(__xludf.DUMMYFUNCTION("""COMPUTED_VALUE"""),"RIVADAVIA Santiago N")</f>
        <v>RIVADAVIA Santiago N</v>
      </c>
      <c r="F2313" s="1" t="str">
        <f t="shared" si="1"/>
        <v>RIVADAVIA </v>
      </c>
      <c r="G2313" s="1" t="str">
        <f t="shared" si="2"/>
        <v>Santiago N</v>
      </c>
      <c r="H2313" s="1" t="str">
        <f>IFERROR(__xludf.DUMMYFUNCTION("""COMPUTED_VALUE"""),"25/2/2023, 17:00:00")</f>
        <v>25/2/2023, 17:00:00</v>
      </c>
      <c r="I2313" s="1" t="str">
        <f>IFERROR(__xludf.DUMMYFUNCTION("""COMPUTED_VALUE"""),"Completado en SUCURSAL")</f>
        <v>Completado en SUCURSAL</v>
      </c>
      <c r="J2313" s="1">
        <f t="shared" si="3"/>
        <v>5</v>
      </c>
      <c r="K2313" s="1" t="str">
        <f t="shared" si="4"/>
        <v>Tus Lentes estan LISTAS PARA ENTREGAR, te esperamos.</v>
      </c>
    </row>
    <row r="2314">
      <c r="A2314" s="1">
        <f>IFERROR(__xludf.DUMMYFUNCTION("""COMPUTED_VALUE"""),86862.0)</f>
        <v>86862</v>
      </c>
      <c r="B2314" s="5">
        <f>IFERROR(__xludf.DUMMYFUNCTION("""COMPUTED_VALUE"""),44980.477515879626)</f>
        <v>44980.47752</v>
      </c>
      <c r="C2314" s="1" t="str">
        <f>IFERROR(__xludf.DUMMYFUNCTION("""COMPUTED_VALUE"""),"Cejas Mirian")</f>
        <v>Cejas Mirian</v>
      </c>
      <c r="D2314" s="1" t="str">
        <f>IFERROR(__xludf.DUMMYFUNCTION("""COMPUTED_VALUE"""),"Reparaciones/Otros")</f>
        <v>Reparaciones/Otros</v>
      </c>
      <c r="E2314" s="1" t="str">
        <f>IFERROR(__xludf.DUMMYFUNCTION("""COMPUTED_VALUE"""),"ARTIGAS Sandra G")</f>
        <v>ARTIGAS Sandra G</v>
      </c>
      <c r="F2314" s="1" t="str">
        <f t="shared" si="1"/>
        <v>ARTIGAS </v>
      </c>
      <c r="G2314" s="1" t="str">
        <f t="shared" si="2"/>
        <v>Sandra G</v>
      </c>
      <c r="H2314" s="1" t="str">
        <f>IFERROR(__xludf.DUMMYFUNCTION("""COMPUTED_VALUE"""),"25/2/2023, 17:00:00")</f>
        <v>25/2/2023, 17:00:00</v>
      </c>
      <c r="I2314" s="1" t="str">
        <f>IFERROR(__xludf.DUMMYFUNCTION("""COMPUTED_VALUE"""),"Recibido en Laboratorio")</f>
        <v>Recibido en Laboratorio</v>
      </c>
      <c r="J2314" s="1">
        <f t="shared" si="3"/>
        <v>2</v>
      </c>
      <c r="K2314" s="1" t="str">
        <f t="shared" si="4"/>
        <v>Nuestro Laboratorio esta trabajando en tus lentes, los entregaremos en la fecha acordada.</v>
      </c>
    </row>
    <row r="2315">
      <c r="A2315" s="1">
        <f>IFERROR(__xludf.DUMMYFUNCTION("""COMPUTED_VALUE"""),86863.0)</f>
        <v>86863</v>
      </c>
      <c r="B2315" s="5">
        <f>IFERROR(__xludf.DUMMYFUNCTION("""COMPUTED_VALUE"""),44980.47922184027)</f>
        <v>44980.47922</v>
      </c>
      <c r="C2315" s="1" t="str">
        <f>IFERROR(__xludf.DUMMYFUNCTION("""COMPUTED_VALUE"""),"NIEVAS MARTIN ")</f>
        <v>NIEVAS MARTIN </v>
      </c>
      <c r="D2315" s="1" t="str">
        <f>IFERROR(__xludf.DUMMYFUNCTION("""COMPUTED_VALUE"""),"Lentes de LABORATORIO")</f>
        <v>Lentes de LABORATORIO</v>
      </c>
      <c r="E2315" s="1" t="str">
        <f>IFERROR(__xludf.DUMMYFUNCTION("""COMPUTED_VALUE"""),"RIVADAVIA Luciana")</f>
        <v>RIVADAVIA Luciana</v>
      </c>
      <c r="F2315" s="1" t="str">
        <f t="shared" si="1"/>
        <v>RIVADAVIA </v>
      </c>
      <c r="G2315" s="1" t="str">
        <f t="shared" si="2"/>
        <v>Luciana</v>
      </c>
      <c r="H2315" s="1" t="str">
        <f>IFERROR(__xludf.DUMMYFUNCTION("""COMPUTED_VALUE"""),"23/3/2023, 17:00:00")</f>
        <v>23/3/2023, 17:00:00</v>
      </c>
      <c r="I2315" s="1" t="str">
        <f>IFERROR(__xludf.DUMMYFUNCTION("""COMPUTED_VALUE"""),"RETIRADO OK POR CLIENTE")</f>
        <v>RETIRADO OK POR CLIENTE</v>
      </c>
      <c r="J2315" s="1">
        <f t="shared" si="3"/>
        <v>6</v>
      </c>
      <c r="K2315" s="1" t="str">
        <f t="shared" si="4"/>
        <v>Entregamos tus lentes, que los disfrutes!</v>
      </c>
    </row>
    <row r="2316">
      <c r="A2316" s="1">
        <f>IFERROR(__xludf.DUMMYFUNCTION("""COMPUTED_VALUE"""),86864.0)</f>
        <v>86864</v>
      </c>
      <c r="B2316" s="5">
        <f>IFERROR(__xludf.DUMMYFUNCTION("""COMPUTED_VALUE"""),44980.4803880324)</f>
        <v>44980.48039</v>
      </c>
      <c r="C2316" s="1" t="str">
        <f>IFERROR(__xludf.DUMMYFUNCTION("""COMPUTED_VALUE"""),"GOMEZ MIRANDA MARTINA ALEJANDRA")</f>
        <v>GOMEZ MIRANDA MARTINA ALEJANDRA</v>
      </c>
      <c r="D2316" s="1" t="str">
        <f>IFERROR(__xludf.DUMMYFUNCTION("""COMPUTED_VALUE"""),"Lentes MULTIFOCALES")</f>
        <v>Lentes MULTIFOCALES</v>
      </c>
      <c r="E2316" s="1" t="str">
        <f>IFERROR(__xludf.DUMMYFUNCTION("""COMPUTED_VALUE"""),"RIVADAVIA Javier")</f>
        <v>RIVADAVIA Javier</v>
      </c>
      <c r="F2316" s="1" t="str">
        <f t="shared" si="1"/>
        <v>RIVADAVIA </v>
      </c>
      <c r="G2316" s="1" t="str">
        <f t="shared" si="2"/>
        <v>Javier</v>
      </c>
      <c r="H2316" s="1" t="str">
        <f>IFERROR(__xludf.DUMMYFUNCTION("""COMPUTED_VALUE"""),"8/3/2023, 17:00:00")</f>
        <v>8/3/2023, 17:00:00</v>
      </c>
      <c r="I2316" s="1" t="str">
        <f>IFERROR(__xludf.DUMMYFUNCTION("""COMPUTED_VALUE"""),"Completado en SUCURSAL")</f>
        <v>Completado en SUCURSAL</v>
      </c>
      <c r="J2316" s="1">
        <f t="shared" si="3"/>
        <v>5</v>
      </c>
      <c r="K2316" s="1" t="str">
        <f t="shared" si="4"/>
        <v>Tus Lentes estan LISTAS PARA ENTREGAR, te esperamos.</v>
      </c>
    </row>
    <row r="2317">
      <c r="A2317" s="1">
        <f>IFERROR(__xludf.DUMMYFUNCTION("""COMPUTED_VALUE"""),86865.0)</f>
        <v>86865</v>
      </c>
      <c r="B2317" s="5">
        <f>IFERROR(__xludf.DUMMYFUNCTION("""COMPUTED_VALUE"""),44980.48052759259)</f>
        <v>44980.48053</v>
      </c>
      <c r="C2317" s="1" t="str">
        <f>IFERROR(__xludf.DUMMYFUNCTION("""COMPUTED_VALUE"""),"libralato ricardo eugenio")</f>
        <v>libralato ricardo eugenio</v>
      </c>
      <c r="D2317" s="1" t="str">
        <f>IFERROR(__xludf.DUMMYFUNCTION("""COMPUTED_VALUE"""),"Lentes de STOCK")</f>
        <v>Lentes de STOCK</v>
      </c>
      <c r="E2317" s="1" t="str">
        <f>IFERROR(__xludf.DUMMYFUNCTION("""COMPUTED_VALUE"""),"RIVADAVIA Santiago N")</f>
        <v>RIVADAVIA Santiago N</v>
      </c>
      <c r="F2317" s="1" t="str">
        <f t="shared" si="1"/>
        <v>RIVADAVIA </v>
      </c>
      <c r="G2317" s="1" t="str">
        <f t="shared" si="2"/>
        <v>Santiago N</v>
      </c>
      <c r="H2317" s="1" t="str">
        <f>IFERROR(__xludf.DUMMYFUNCTION("""COMPUTED_VALUE"""),"25/2/2023, 17:00:00")</f>
        <v>25/2/2023, 17:00:00</v>
      </c>
      <c r="I2317" s="1" t="str">
        <f>IFERROR(__xludf.DUMMYFUNCTION("""COMPUTED_VALUE"""),"RETIRADO OK POR CLIENTE")</f>
        <v>RETIRADO OK POR CLIENTE</v>
      </c>
      <c r="J2317" s="1">
        <f t="shared" si="3"/>
        <v>6</v>
      </c>
      <c r="K2317" s="1" t="str">
        <f t="shared" si="4"/>
        <v>Entregamos tus lentes, que los disfrutes!</v>
      </c>
    </row>
    <row r="2318">
      <c r="A2318" s="1">
        <f>IFERROR(__xludf.DUMMYFUNCTION("""COMPUTED_VALUE"""),86866.0)</f>
        <v>86866</v>
      </c>
      <c r="B2318" s="5">
        <f>IFERROR(__xludf.DUMMYFUNCTION("""COMPUTED_VALUE"""),44980.48328217593)</f>
        <v>44980.48328</v>
      </c>
      <c r="C2318" s="1" t="str">
        <f>IFERROR(__xludf.DUMMYFUNCTION("""COMPUTED_VALUE"""),"libralato mia")</f>
        <v>libralato mia</v>
      </c>
      <c r="D2318" s="1" t="str">
        <f>IFERROR(__xludf.DUMMYFUNCTION("""COMPUTED_VALUE"""),"Lentes de STOCK")</f>
        <v>Lentes de STOCK</v>
      </c>
      <c r="E2318" s="1" t="str">
        <f>IFERROR(__xludf.DUMMYFUNCTION("""COMPUTED_VALUE"""),"RIVADAVIA Santiago N")</f>
        <v>RIVADAVIA Santiago N</v>
      </c>
      <c r="F2318" s="1" t="str">
        <f t="shared" si="1"/>
        <v>RIVADAVIA </v>
      </c>
      <c r="G2318" s="1" t="str">
        <f t="shared" si="2"/>
        <v>Santiago N</v>
      </c>
      <c r="H2318" s="1" t="str">
        <f>IFERROR(__xludf.DUMMYFUNCTION("""COMPUTED_VALUE"""),"25/2/2023, 17:00:00")</f>
        <v>25/2/2023, 17:00:00</v>
      </c>
      <c r="I2318" s="1" t="str">
        <f>IFERROR(__xludf.DUMMYFUNCTION("""COMPUTED_VALUE"""),"RETIRADO OK POR CLIENTE")</f>
        <v>RETIRADO OK POR CLIENTE</v>
      </c>
      <c r="J2318" s="1">
        <f t="shared" si="3"/>
        <v>6</v>
      </c>
      <c r="K2318" s="1" t="str">
        <f t="shared" si="4"/>
        <v>Entregamos tus lentes, que los disfrutes!</v>
      </c>
    </row>
    <row r="2319">
      <c r="A2319" s="1">
        <f>IFERROR(__xludf.DUMMYFUNCTION("""COMPUTED_VALUE"""),86867.0)</f>
        <v>86867</v>
      </c>
      <c r="B2319" s="5">
        <f>IFERROR(__xludf.DUMMYFUNCTION("""COMPUTED_VALUE"""),44980.48444300926)</f>
        <v>44980.48444</v>
      </c>
      <c r="C2319" s="1" t="str">
        <f>IFERROR(__xludf.DUMMYFUNCTION("""COMPUTED_VALUE"""),"PEREYRA MARIA EVA")</f>
        <v>PEREYRA MARIA EVA</v>
      </c>
      <c r="D2319" s="1" t="str">
        <f>IFERROR(__xludf.DUMMYFUNCTION("""COMPUTED_VALUE"""),"Reparaciones/Otros")</f>
        <v>Reparaciones/Otros</v>
      </c>
      <c r="E2319" s="1" t="str">
        <f>IFERROR(__xludf.DUMMYFUNCTION("""COMPUTED_VALUE"""),"ARTIGAS Ivana P.")</f>
        <v>ARTIGAS Ivana P.</v>
      </c>
      <c r="F2319" s="1" t="str">
        <f t="shared" si="1"/>
        <v>ARTIGAS </v>
      </c>
      <c r="G2319" s="1" t="str">
        <f t="shared" si="2"/>
        <v>Ivana P.</v>
      </c>
      <c r="H2319" s="1" t="str">
        <f>IFERROR(__xludf.DUMMYFUNCTION("""COMPUTED_VALUE"""),"2/3/2023, 17:00:00")</f>
        <v>2/3/2023, 17:00:00</v>
      </c>
      <c r="I2319" s="1" t="str">
        <f>IFERROR(__xludf.DUMMYFUNCTION("""COMPUTED_VALUE"""),"Recibido en Laboratorio")</f>
        <v>Recibido en Laboratorio</v>
      </c>
      <c r="J2319" s="1">
        <f t="shared" si="3"/>
        <v>2</v>
      </c>
      <c r="K2319" s="1" t="str">
        <f t="shared" si="4"/>
        <v>Nuestro Laboratorio esta trabajando en tus lentes, los entregaremos en la fecha acordada.</v>
      </c>
    </row>
    <row r="2320">
      <c r="A2320" s="1">
        <f>IFERROR(__xludf.DUMMYFUNCTION("""COMPUTED_VALUE"""),86868.0)</f>
        <v>86868</v>
      </c>
      <c r="B2320" s="5">
        <f>IFERROR(__xludf.DUMMYFUNCTION("""COMPUTED_VALUE"""),44980.48849020833)</f>
        <v>44980.48849</v>
      </c>
      <c r="C2320" s="1" t="str">
        <f>IFERROR(__xludf.DUMMYFUNCTION("""COMPUTED_VALUE"""),"AMIEVA MARIA EMILIA")</f>
        <v>AMIEVA MARIA EMILIA</v>
      </c>
      <c r="D2320" s="1" t="str">
        <f>IFERROR(__xludf.DUMMYFUNCTION("""COMPUTED_VALUE"""),"Lentes de STOCK")</f>
        <v>Lentes de STOCK</v>
      </c>
      <c r="E2320" s="1" t="str">
        <f>IFERROR(__xludf.DUMMYFUNCTION("""COMPUTED_VALUE"""),"RIVADAVIA Santiago LOPEZ")</f>
        <v>RIVADAVIA Santiago LOPEZ</v>
      </c>
      <c r="F2320" s="1" t="str">
        <f t="shared" si="1"/>
        <v>RIVADAVIA </v>
      </c>
      <c r="G2320" s="1" t="str">
        <f t="shared" si="2"/>
        <v>Santiago LOPEZ</v>
      </c>
      <c r="H2320" s="1" t="str">
        <f>IFERROR(__xludf.DUMMYFUNCTION("""COMPUTED_VALUE"""),"28/2/2023, 17:00:00")</f>
        <v>28/2/2023, 17:00:00</v>
      </c>
      <c r="I2320" s="1" t="str">
        <f>IFERROR(__xludf.DUMMYFUNCTION("""COMPUTED_VALUE"""),"Recibido en Laboratorio")</f>
        <v>Recibido en Laboratorio</v>
      </c>
      <c r="J2320" s="1">
        <f t="shared" si="3"/>
        <v>2</v>
      </c>
      <c r="K2320" s="1" t="str">
        <f t="shared" si="4"/>
        <v>Nuestro Laboratorio esta trabajando en tus lentes, los entregaremos en la fecha acordada.</v>
      </c>
    </row>
    <row r="2321">
      <c r="A2321" s="1">
        <f>IFERROR(__xludf.DUMMYFUNCTION("""COMPUTED_VALUE"""),86869.0)</f>
        <v>86869</v>
      </c>
      <c r="B2321" s="5">
        <f>IFERROR(__xludf.DUMMYFUNCTION("""COMPUTED_VALUE"""),44980.49035163195)</f>
        <v>44980.49035</v>
      </c>
      <c r="C2321" s="1" t="str">
        <f>IFERROR(__xludf.DUMMYFUNCTION("""COMPUTED_VALUE"""),"HOYOS LEONARDO")</f>
        <v>HOYOS LEONARDO</v>
      </c>
      <c r="D2321" s="1" t="str">
        <f>IFERROR(__xludf.DUMMYFUNCTION("""COMPUTED_VALUE"""),"Reparaciones/Otros")</f>
        <v>Reparaciones/Otros</v>
      </c>
      <c r="E2321" s="1" t="str">
        <f>IFERROR(__xludf.DUMMYFUNCTION("""COMPUTED_VALUE"""),"RIVADAVIA Daniel CM")</f>
        <v>RIVADAVIA Daniel CM</v>
      </c>
      <c r="F2321" s="1" t="str">
        <f t="shared" si="1"/>
        <v>RIVADAVIA </v>
      </c>
      <c r="G2321" s="1" t="str">
        <f t="shared" si="2"/>
        <v>Daniel CM</v>
      </c>
      <c r="H2321" s="1" t="str">
        <f>IFERROR(__xludf.DUMMYFUNCTION("""COMPUTED_VALUE"""),"24/2/2023, 17:00:00")</f>
        <v>24/2/2023, 17:00:00</v>
      </c>
      <c r="I2321" s="1"/>
      <c r="J2321" s="1">
        <f t="shared" si="3"/>
        <v>0</v>
      </c>
      <c r="K2321" s="1" t="str">
        <f t="shared" si="4"/>
        <v/>
      </c>
    </row>
    <row r="2322">
      <c r="A2322" s="1">
        <f>IFERROR(__xludf.DUMMYFUNCTION("""COMPUTED_VALUE"""),86870.0)</f>
        <v>86870</v>
      </c>
      <c r="B2322" s="5">
        <f>IFERROR(__xludf.DUMMYFUNCTION("""COMPUTED_VALUE"""),44980.49133224537)</f>
        <v>44980.49133</v>
      </c>
      <c r="C2322" s="1" t="str">
        <f>IFERROR(__xludf.DUMMYFUNCTION("""COMPUTED_VALUE"""),"RUBIO LEONOR")</f>
        <v>RUBIO LEONOR</v>
      </c>
      <c r="D2322" s="1" t="str">
        <f>IFERROR(__xludf.DUMMYFUNCTION("""COMPUTED_VALUE"""),"Lentes de STOCK")</f>
        <v>Lentes de STOCK</v>
      </c>
      <c r="E2322" s="1" t="str">
        <f>IFERROR(__xludf.DUMMYFUNCTION("""COMPUTED_VALUE"""),"ARTIGAS Ivana P.")</f>
        <v>ARTIGAS Ivana P.</v>
      </c>
      <c r="F2322" s="1" t="str">
        <f t="shared" si="1"/>
        <v>ARTIGAS </v>
      </c>
      <c r="G2322" s="1" t="str">
        <f t="shared" si="2"/>
        <v>Ivana P.</v>
      </c>
      <c r="H2322" s="1" t="str">
        <f>IFERROR(__xludf.DUMMYFUNCTION("""COMPUTED_VALUE"""),"1/3/2023, 17:00:00")</f>
        <v>1/3/2023, 17:00:00</v>
      </c>
      <c r="I2322" s="1" t="str">
        <f>IFERROR(__xludf.DUMMYFUNCTION("""COMPUTED_VALUE"""),"Recibido en Laboratorio")</f>
        <v>Recibido en Laboratorio</v>
      </c>
      <c r="J2322" s="1">
        <f t="shared" si="3"/>
        <v>2</v>
      </c>
      <c r="K2322" s="1" t="str">
        <f t="shared" si="4"/>
        <v>Nuestro Laboratorio esta trabajando en tus lentes, los entregaremos en la fecha acordada.</v>
      </c>
    </row>
    <row r="2323">
      <c r="A2323" s="1">
        <f>IFERROR(__xludf.DUMMYFUNCTION("""COMPUTED_VALUE"""),86871.0)</f>
        <v>86871</v>
      </c>
      <c r="B2323" s="5">
        <f>IFERROR(__xludf.DUMMYFUNCTION("""COMPUTED_VALUE"""),44980.49776962963)</f>
        <v>44980.49777</v>
      </c>
      <c r="C2323" s="1" t="str">
        <f>IFERROR(__xludf.DUMMYFUNCTION("""COMPUTED_VALUE"""),"SAAD ALI MAROOM")</f>
        <v>SAAD ALI MAROOM</v>
      </c>
      <c r="D2323" s="1" t="str">
        <f>IFERROR(__xludf.DUMMYFUNCTION("""COMPUTED_VALUE"""),"Lentes de STOCK")</f>
        <v>Lentes de STOCK</v>
      </c>
      <c r="E2323" s="1" t="str">
        <f>IFERROR(__xludf.DUMMYFUNCTION("""COMPUTED_VALUE"""),"RIVADAVIA Daniel CM")</f>
        <v>RIVADAVIA Daniel CM</v>
      </c>
      <c r="F2323" s="1" t="str">
        <f t="shared" si="1"/>
        <v>RIVADAVIA </v>
      </c>
      <c r="G2323" s="1" t="str">
        <f t="shared" si="2"/>
        <v>Daniel CM</v>
      </c>
      <c r="H2323" s="1" t="str">
        <f>IFERROR(__xludf.DUMMYFUNCTION("""COMPUTED_VALUE"""),"27/2/2023, 17:00:00")</f>
        <v>27/2/2023, 17:00:00</v>
      </c>
      <c r="I2323" s="1" t="str">
        <f>IFERROR(__xludf.DUMMYFUNCTION("""COMPUTED_VALUE"""),"RETIRADO OK POR CLIENTE")</f>
        <v>RETIRADO OK POR CLIENTE</v>
      </c>
      <c r="J2323" s="1">
        <f t="shared" si="3"/>
        <v>6</v>
      </c>
      <c r="K2323" s="1" t="str">
        <f t="shared" si="4"/>
        <v>Entregamos tus lentes, que los disfrutes!</v>
      </c>
    </row>
    <row r="2324">
      <c r="A2324" s="1">
        <f>IFERROR(__xludf.DUMMYFUNCTION("""COMPUTED_VALUE"""),86872.0)</f>
        <v>86872</v>
      </c>
      <c r="B2324" s="5">
        <f>IFERROR(__xludf.DUMMYFUNCTION("""COMPUTED_VALUE"""),44980.509264444445)</f>
        <v>44980.50926</v>
      </c>
      <c r="C2324" s="1" t="str">
        <f>IFERROR(__xludf.DUMMYFUNCTION("""COMPUTED_VALUE"""),"giordano maria")</f>
        <v>giordano maria</v>
      </c>
      <c r="D2324" s="1" t="str">
        <f>IFERROR(__xludf.DUMMYFUNCTION("""COMPUTED_VALUE"""),"Lentes de STOCK")</f>
        <v>Lentes de STOCK</v>
      </c>
      <c r="E2324" s="1" t="str">
        <f>IFERROR(__xludf.DUMMYFUNCTION("""COMPUTED_VALUE"""),"RIVADAVIA Santiago N")</f>
        <v>RIVADAVIA Santiago N</v>
      </c>
      <c r="F2324" s="1" t="str">
        <f t="shared" si="1"/>
        <v>RIVADAVIA </v>
      </c>
      <c r="G2324" s="1" t="str">
        <f t="shared" si="2"/>
        <v>Santiago N</v>
      </c>
      <c r="H2324" s="1" t="str">
        <f>IFERROR(__xludf.DUMMYFUNCTION("""COMPUTED_VALUE"""),"1/3/2023, 17:00:00")</f>
        <v>1/3/2023, 17:00:00</v>
      </c>
      <c r="I2324" s="1" t="str">
        <f>IFERROR(__xludf.DUMMYFUNCTION("""COMPUTED_VALUE"""),"Recibido en Laboratorio")</f>
        <v>Recibido en Laboratorio</v>
      </c>
      <c r="J2324" s="1">
        <f t="shared" si="3"/>
        <v>2</v>
      </c>
      <c r="K2324" s="1" t="str">
        <f t="shared" si="4"/>
        <v>Nuestro Laboratorio esta trabajando en tus lentes, los entregaremos en la fecha acordada.</v>
      </c>
    </row>
    <row r="2325">
      <c r="A2325" s="1">
        <f>IFERROR(__xludf.DUMMYFUNCTION("""COMPUTED_VALUE"""),86873.0)</f>
        <v>86873</v>
      </c>
      <c r="B2325" s="5">
        <f>IFERROR(__xludf.DUMMYFUNCTION("""COMPUTED_VALUE"""),44980.510648877316)</f>
        <v>44980.51065</v>
      </c>
      <c r="C2325" s="1" t="str">
        <f>IFERROR(__xludf.DUMMYFUNCTION("""COMPUTED_VALUE"""),"OCHOA HAYDEE ESTELA")</f>
        <v>OCHOA HAYDEE ESTELA</v>
      </c>
      <c r="D2325" s="1" t="str">
        <f>IFERROR(__xludf.DUMMYFUNCTION("""COMPUTED_VALUE"""),"Reparaciones/Otros")</f>
        <v>Reparaciones/Otros</v>
      </c>
      <c r="E2325" s="1" t="str">
        <f>IFERROR(__xludf.DUMMYFUNCTION("""COMPUTED_VALUE"""),"RIVADAVIA Daniel CM")</f>
        <v>RIVADAVIA Daniel CM</v>
      </c>
      <c r="F2325" s="1" t="str">
        <f t="shared" si="1"/>
        <v>RIVADAVIA </v>
      </c>
      <c r="G2325" s="1" t="str">
        <f t="shared" si="2"/>
        <v>Daniel CM</v>
      </c>
      <c r="H2325" s="1" t="str">
        <f>IFERROR(__xludf.DUMMYFUNCTION("""COMPUTED_VALUE"""),"24/2/2023, 17:00:00")</f>
        <v>24/2/2023, 17:00:00</v>
      </c>
      <c r="I2325" s="1" t="str">
        <f>IFERROR(__xludf.DUMMYFUNCTION("""COMPUTED_VALUE"""),"Completado en SUCURSAL")</f>
        <v>Completado en SUCURSAL</v>
      </c>
      <c r="J2325" s="1">
        <f t="shared" si="3"/>
        <v>5</v>
      </c>
      <c r="K2325" s="1" t="str">
        <f t="shared" si="4"/>
        <v>Tus Lentes estan LISTAS PARA ENTREGAR, te esperamos.</v>
      </c>
    </row>
    <row r="2326">
      <c r="A2326" s="1">
        <f>IFERROR(__xludf.DUMMYFUNCTION("""COMPUTED_VALUE"""),86874.0)</f>
        <v>86874</v>
      </c>
      <c r="B2326" s="5">
        <f>IFERROR(__xludf.DUMMYFUNCTION("""COMPUTED_VALUE"""),44980.51326994213)</f>
        <v>44980.51327</v>
      </c>
      <c r="C2326" s="1" t="str">
        <f>IFERROR(__xludf.DUMMYFUNCTION("""COMPUTED_VALUE"""),"CUELLO MIRTA")</f>
        <v>CUELLO MIRTA</v>
      </c>
      <c r="D2326" s="1" t="str">
        <f>IFERROR(__xludf.DUMMYFUNCTION("""COMPUTED_VALUE"""),"Reparaciones/Otros")</f>
        <v>Reparaciones/Otros</v>
      </c>
      <c r="E2326" s="1" t="str">
        <f>IFERROR(__xludf.DUMMYFUNCTION("""COMPUTED_VALUE"""),"RIVADAVIA Daniel CM")</f>
        <v>RIVADAVIA Daniel CM</v>
      </c>
      <c r="F2326" s="1" t="str">
        <f t="shared" si="1"/>
        <v>RIVADAVIA </v>
      </c>
      <c r="G2326" s="1" t="str">
        <f t="shared" si="2"/>
        <v>Daniel CM</v>
      </c>
      <c r="H2326" s="1" t="str">
        <f>IFERROR(__xludf.DUMMYFUNCTION("""COMPUTED_VALUE"""),"24/2/2023, 17:00:00")</f>
        <v>24/2/2023, 17:00:00</v>
      </c>
      <c r="I2326" s="1" t="str">
        <f>IFERROR(__xludf.DUMMYFUNCTION("""COMPUTED_VALUE"""),"Completado en SUCURSAL")</f>
        <v>Completado en SUCURSAL</v>
      </c>
      <c r="J2326" s="1">
        <f t="shared" si="3"/>
        <v>5</v>
      </c>
      <c r="K2326" s="1" t="str">
        <f t="shared" si="4"/>
        <v>Tus Lentes estan LISTAS PARA ENTREGAR, te esperamos.</v>
      </c>
    </row>
    <row r="2327">
      <c r="A2327" s="1">
        <f>IFERROR(__xludf.DUMMYFUNCTION("""COMPUTED_VALUE"""),86875.0)</f>
        <v>86875</v>
      </c>
      <c r="B2327" s="5">
        <f>IFERROR(__xludf.DUMMYFUNCTION("""COMPUTED_VALUE"""),44980.5156368287)</f>
        <v>44980.51564</v>
      </c>
      <c r="C2327" s="1" t="str">
        <f>IFERROR(__xludf.DUMMYFUNCTION("""COMPUTED_VALUE"""),"quiroga jose miguel")</f>
        <v>quiroga jose miguel</v>
      </c>
      <c r="D2327" s="1" t="str">
        <f>IFERROR(__xludf.DUMMYFUNCTION("""COMPUTED_VALUE"""),"Lentes de STOCK")</f>
        <v>Lentes de STOCK</v>
      </c>
      <c r="E2327" s="1" t="str">
        <f>IFERROR(__xludf.DUMMYFUNCTION("""COMPUTED_VALUE"""),"RIVADAVIA Santiago N")</f>
        <v>RIVADAVIA Santiago N</v>
      </c>
      <c r="F2327" s="1" t="str">
        <f t="shared" si="1"/>
        <v>RIVADAVIA </v>
      </c>
      <c r="G2327" s="1" t="str">
        <f t="shared" si="2"/>
        <v>Santiago N</v>
      </c>
      <c r="H2327" s="1" t="str">
        <f>IFERROR(__xludf.DUMMYFUNCTION("""COMPUTED_VALUE"""),"27/2/2023, 17:00:00")</f>
        <v>27/2/2023, 17:00:00</v>
      </c>
      <c r="I2327" s="1" t="str">
        <f>IFERROR(__xludf.DUMMYFUNCTION("""COMPUTED_VALUE"""),"RETIRADO OK POR CLIENTE")</f>
        <v>RETIRADO OK POR CLIENTE</v>
      </c>
      <c r="J2327" s="1">
        <f t="shared" si="3"/>
        <v>6</v>
      </c>
      <c r="K2327" s="1" t="str">
        <f t="shared" si="4"/>
        <v>Entregamos tus lentes, que los disfrutes!</v>
      </c>
    </row>
    <row r="2328">
      <c r="A2328" s="1">
        <f>IFERROR(__xludf.DUMMYFUNCTION("""COMPUTED_VALUE"""),86876.0)</f>
        <v>86876</v>
      </c>
      <c r="B2328" s="5">
        <f>IFERROR(__xludf.DUMMYFUNCTION("""COMPUTED_VALUE"""),44980.52267037037)</f>
        <v>44980.52267</v>
      </c>
      <c r="C2328" s="1" t="str">
        <f>IFERROR(__xludf.DUMMYFUNCTION("""COMPUTED_VALUE"""),"LEAPLAZA SARA")</f>
        <v>LEAPLAZA SARA</v>
      </c>
      <c r="D2328" s="1" t="str">
        <f>IFERROR(__xludf.DUMMYFUNCTION("""COMPUTED_VALUE"""),"Reparaciones/Otros")</f>
        <v>Reparaciones/Otros</v>
      </c>
      <c r="E2328" s="1" t="str">
        <f>IFERROR(__xludf.DUMMYFUNCTION("""COMPUTED_VALUE"""),"RIVADAVIA Santiago N")</f>
        <v>RIVADAVIA Santiago N</v>
      </c>
      <c r="F2328" s="1" t="str">
        <f t="shared" si="1"/>
        <v>RIVADAVIA </v>
      </c>
      <c r="G2328" s="1" t="str">
        <f t="shared" si="2"/>
        <v>Santiago N</v>
      </c>
      <c r="H2328" s="1" t="str">
        <f>IFERROR(__xludf.DUMMYFUNCTION("""COMPUTED_VALUE"""),"24/2/2023, 17:00:00")</f>
        <v>24/2/2023, 17:00:00</v>
      </c>
      <c r="I2328" s="1" t="str">
        <f>IFERROR(__xludf.DUMMYFUNCTION("""COMPUTED_VALUE"""),"Completado en SUCURSAL")</f>
        <v>Completado en SUCURSAL</v>
      </c>
      <c r="J2328" s="1">
        <f t="shared" si="3"/>
        <v>5</v>
      </c>
      <c r="K2328" s="1" t="str">
        <f t="shared" si="4"/>
        <v>Tus Lentes estan LISTAS PARA ENTREGAR, te esperamos.</v>
      </c>
    </row>
    <row r="2329">
      <c r="A2329" s="1">
        <f>IFERROR(__xludf.DUMMYFUNCTION("""COMPUTED_VALUE"""),86877.0)</f>
        <v>86877</v>
      </c>
      <c r="B2329" s="5">
        <f>IFERROR(__xludf.DUMMYFUNCTION("""COMPUTED_VALUE"""),44980.52361726852)</f>
        <v>44980.52362</v>
      </c>
      <c r="C2329" s="1" t="str">
        <f>IFERROR(__xludf.DUMMYFUNCTION("""COMPUTED_VALUE"""),"BRAVO FRANCESCA ")</f>
        <v>BRAVO FRANCESCA </v>
      </c>
      <c r="D2329" s="1" t="str">
        <f>IFERROR(__xludf.DUMMYFUNCTION("""COMPUTED_VALUE"""),"Lentes de STOCK")</f>
        <v>Lentes de STOCK</v>
      </c>
      <c r="E2329" s="1" t="str">
        <f>IFERROR(__xludf.DUMMYFUNCTION("""COMPUTED_VALUE"""),"RIVADAVIA Luciana")</f>
        <v>RIVADAVIA Luciana</v>
      </c>
      <c r="F2329" s="1" t="str">
        <f t="shared" si="1"/>
        <v>RIVADAVIA </v>
      </c>
      <c r="G2329" s="1" t="str">
        <f t="shared" si="2"/>
        <v>Luciana</v>
      </c>
      <c r="H2329" s="1" t="str">
        <f>IFERROR(__xludf.DUMMYFUNCTION("""COMPUTED_VALUE"""),"27/2/2023, 17:00:00")</f>
        <v>27/2/2023, 17:00:00</v>
      </c>
      <c r="I2329" s="1" t="str">
        <f>IFERROR(__xludf.DUMMYFUNCTION("""COMPUTED_VALUE"""),"Completado en SUCURSAL")</f>
        <v>Completado en SUCURSAL</v>
      </c>
      <c r="J2329" s="1">
        <f t="shared" si="3"/>
        <v>5</v>
      </c>
      <c r="K2329" s="1" t="str">
        <f t="shared" si="4"/>
        <v>Tus Lentes estan LISTAS PARA ENTREGAR, te esperamos.</v>
      </c>
    </row>
    <row r="2330">
      <c r="A2330" s="1">
        <f>IFERROR(__xludf.DUMMYFUNCTION("""COMPUTED_VALUE"""),86878.0)</f>
        <v>86878</v>
      </c>
      <c r="B2330" s="5">
        <f>IFERROR(__xludf.DUMMYFUNCTION("""COMPUTED_VALUE"""),44980.53602269676)</f>
        <v>44980.53602</v>
      </c>
      <c r="C2330" s="1" t="str">
        <f>IFERROR(__xludf.DUMMYFUNCTION("""COMPUTED_VALUE"""),"ROSALES MARCELO GABRIEL")</f>
        <v>ROSALES MARCELO GABRIEL</v>
      </c>
      <c r="D2330" s="1" t="str">
        <f>IFERROR(__xludf.DUMMYFUNCTION("""COMPUTED_VALUE"""),"Lentes de STOCK")</f>
        <v>Lentes de STOCK</v>
      </c>
      <c r="E2330" s="1" t="str">
        <f>IFERROR(__xludf.DUMMYFUNCTION("""COMPUTED_VALUE"""),"RIVADAVIA Santiago LOPEZ")</f>
        <v>RIVADAVIA Santiago LOPEZ</v>
      </c>
      <c r="F2330" s="1" t="str">
        <f t="shared" si="1"/>
        <v>RIVADAVIA </v>
      </c>
      <c r="G2330" s="1" t="str">
        <f t="shared" si="2"/>
        <v>Santiago LOPEZ</v>
      </c>
      <c r="H2330" s="1" t="str">
        <f>IFERROR(__xludf.DUMMYFUNCTION("""COMPUTED_VALUE"""),"28/2/2023, 17:00:00")</f>
        <v>28/2/2023, 17:00:00</v>
      </c>
      <c r="I2330" s="1" t="str">
        <f>IFERROR(__xludf.DUMMYFUNCTION("""COMPUTED_VALUE"""),"Completado en SUCURSAL")</f>
        <v>Completado en SUCURSAL</v>
      </c>
      <c r="J2330" s="1">
        <f t="shared" si="3"/>
        <v>5</v>
      </c>
      <c r="K2330" s="1" t="str">
        <f t="shared" si="4"/>
        <v>Tus Lentes estan LISTAS PARA ENTREGAR, te esperamos.</v>
      </c>
    </row>
    <row r="2331">
      <c r="A2331" s="1">
        <f>IFERROR(__xludf.DUMMYFUNCTION("""COMPUTED_VALUE"""),86879.0)</f>
        <v>86879</v>
      </c>
      <c r="B2331" s="5">
        <f>IFERROR(__xludf.DUMMYFUNCTION("""COMPUTED_VALUE"""),44980.54254188658)</f>
        <v>44980.54254</v>
      </c>
      <c r="C2331" s="1" t="str">
        <f>IFERROR(__xludf.DUMMYFUNCTION("""COMPUTED_VALUE"""),"CLAVERO CARLOS")</f>
        <v>CLAVERO CARLOS</v>
      </c>
      <c r="D2331" s="1" t="str">
        <f>IFERROR(__xludf.DUMMYFUNCTION("""COMPUTED_VALUE"""),"Lentes BIFOCALES")</f>
        <v>Lentes BIFOCALES</v>
      </c>
      <c r="E2331" s="1" t="str">
        <f>IFERROR(__xludf.DUMMYFUNCTION("""COMPUTED_VALUE"""),"ARTIGAS Ivana P.")</f>
        <v>ARTIGAS Ivana P.</v>
      </c>
      <c r="F2331" s="1" t="str">
        <f t="shared" si="1"/>
        <v>ARTIGAS </v>
      </c>
      <c r="G2331" s="1" t="str">
        <f t="shared" si="2"/>
        <v>Ivana P.</v>
      </c>
      <c r="H2331" s="1" t="str">
        <f>IFERROR(__xludf.DUMMYFUNCTION("""COMPUTED_VALUE"""),"4/3/2023, 17:00:00")</f>
        <v>4/3/2023, 17:00:00</v>
      </c>
      <c r="I2331" s="1" t="str">
        <f>IFERROR(__xludf.DUMMYFUNCTION("""COMPUTED_VALUE"""),"Recibido en Laboratorio")</f>
        <v>Recibido en Laboratorio</v>
      </c>
      <c r="J2331" s="1">
        <f t="shared" si="3"/>
        <v>2</v>
      </c>
      <c r="K2331" s="1" t="str">
        <f t="shared" si="4"/>
        <v>Nuestro Laboratorio esta trabajando en tus lentes, los entregaremos en la fecha acordada.</v>
      </c>
    </row>
    <row r="2332">
      <c r="A2332" s="1">
        <f>IFERROR(__xludf.DUMMYFUNCTION("""COMPUTED_VALUE"""),86880.0)</f>
        <v>86880</v>
      </c>
      <c r="B2332" s="5">
        <f>IFERROR(__xludf.DUMMYFUNCTION("""COMPUTED_VALUE"""),44980.54302298611)</f>
        <v>44980.54302</v>
      </c>
      <c r="C2332" s="1" t="str">
        <f>IFERROR(__xludf.DUMMYFUNCTION("""COMPUTED_VALUE"""),"arias vilma ")</f>
        <v>arias vilma </v>
      </c>
      <c r="D2332" s="1" t="str">
        <f>IFERROR(__xludf.DUMMYFUNCTION("""COMPUTED_VALUE"""),"Lentes de STOCK")</f>
        <v>Lentes de STOCK</v>
      </c>
      <c r="E2332" s="1" t="str">
        <f>IFERROR(__xludf.DUMMYFUNCTION("""COMPUTED_VALUE"""),"RIVADAVIA Santiago N")</f>
        <v>RIVADAVIA Santiago N</v>
      </c>
      <c r="F2332" s="1" t="str">
        <f t="shared" si="1"/>
        <v>RIVADAVIA </v>
      </c>
      <c r="G2332" s="1" t="str">
        <f t="shared" si="2"/>
        <v>Santiago N</v>
      </c>
      <c r="H2332" s="1" t="str">
        <f>IFERROR(__xludf.DUMMYFUNCTION("""COMPUTED_VALUE"""),"1/3/2023, 17:00:00")</f>
        <v>1/3/2023, 17:00:00</v>
      </c>
      <c r="I2332" s="1" t="str">
        <f>IFERROR(__xludf.DUMMYFUNCTION("""COMPUTED_VALUE"""),"Recibido en Laboratorio")</f>
        <v>Recibido en Laboratorio</v>
      </c>
      <c r="J2332" s="1">
        <f t="shared" si="3"/>
        <v>2</v>
      </c>
      <c r="K2332" s="1" t="str">
        <f t="shared" si="4"/>
        <v>Nuestro Laboratorio esta trabajando en tus lentes, los entregaremos en la fecha acordada.</v>
      </c>
    </row>
    <row r="2333">
      <c r="A2333" s="1">
        <f>IFERROR(__xludf.DUMMYFUNCTION("""COMPUTED_VALUE"""),86881.0)</f>
        <v>86881</v>
      </c>
      <c r="B2333" s="5">
        <f>IFERROR(__xludf.DUMMYFUNCTION("""COMPUTED_VALUE"""),44980.71495686343)</f>
        <v>44980.71496</v>
      </c>
      <c r="C2333" s="1" t="str">
        <f>IFERROR(__xludf.DUMMYFUNCTION("""COMPUTED_VALUE"""),"GUAQUINCHAY EMMANUEL")</f>
        <v>GUAQUINCHAY EMMANUEL</v>
      </c>
      <c r="D2333" s="1" t="str">
        <f>IFERROR(__xludf.DUMMYFUNCTION("""COMPUTED_VALUE"""),"Lentes de STOCK")</f>
        <v>Lentes de STOCK</v>
      </c>
      <c r="E2333" s="1" t="str">
        <f>IFERROR(__xludf.DUMMYFUNCTION("""COMPUTED_VALUE"""),"ARTIGAS Ivana P.")</f>
        <v>ARTIGAS Ivana P.</v>
      </c>
      <c r="F2333" s="1" t="str">
        <f t="shared" si="1"/>
        <v>ARTIGAS </v>
      </c>
      <c r="G2333" s="1" t="str">
        <f t="shared" si="2"/>
        <v>Ivana P.</v>
      </c>
      <c r="H2333" s="1" t="str">
        <f>IFERROR(__xludf.DUMMYFUNCTION("""COMPUTED_VALUE"""),"28/2/2023, 17:00:00")</f>
        <v>28/2/2023, 17:00:00</v>
      </c>
      <c r="I2333" s="1" t="str">
        <f>IFERROR(__xludf.DUMMYFUNCTION("""COMPUTED_VALUE"""),"Completado en SUCURSAL")</f>
        <v>Completado en SUCURSAL</v>
      </c>
      <c r="J2333" s="1">
        <f t="shared" si="3"/>
        <v>5</v>
      </c>
      <c r="K2333" s="1" t="str">
        <f t="shared" si="4"/>
        <v>Tus Lentes estan LISTAS PARA ENTREGAR, te esperamos.</v>
      </c>
    </row>
    <row r="2334">
      <c r="A2334" s="1">
        <f>IFERROR(__xludf.DUMMYFUNCTION("""COMPUTED_VALUE"""),86882.0)</f>
        <v>86882</v>
      </c>
      <c r="B2334" s="5">
        <f>IFERROR(__xludf.DUMMYFUNCTION("""COMPUTED_VALUE"""),44980.72385443287)</f>
        <v>44980.72385</v>
      </c>
      <c r="C2334" s="1" t="str">
        <f>IFERROR(__xludf.DUMMYFUNCTION("""COMPUTED_VALUE"""),"ZEBALLOS AURELIA")</f>
        <v>ZEBALLOS AURELIA</v>
      </c>
      <c r="D2334" s="1" t="str">
        <f>IFERROR(__xludf.DUMMYFUNCTION("""COMPUTED_VALUE"""),"Lentes BIFOCALES")</f>
        <v>Lentes BIFOCALES</v>
      </c>
      <c r="E2334" s="1" t="str">
        <f>IFERROR(__xludf.DUMMYFUNCTION("""COMPUTED_VALUE"""),"ARTIGAS Roció")</f>
        <v>ARTIGAS Roció</v>
      </c>
      <c r="F2334" s="1" t="str">
        <f t="shared" si="1"/>
        <v>ARTIGAS </v>
      </c>
      <c r="G2334" s="1" t="str">
        <f t="shared" si="2"/>
        <v>Roció</v>
      </c>
      <c r="H2334" s="1" t="str">
        <f>IFERROR(__xludf.DUMMYFUNCTION("""COMPUTED_VALUE"""),"3/3/2023, 17:00:00")</f>
        <v>3/3/2023, 17:00:00</v>
      </c>
      <c r="I2334" s="1" t="str">
        <f>IFERROR(__xludf.DUMMYFUNCTION("""COMPUTED_VALUE"""),"Recibido en Laboratorio")</f>
        <v>Recibido en Laboratorio</v>
      </c>
      <c r="J2334" s="1">
        <f t="shared" si="3"/>
        <v>2</v>
      </c>
      <c r="K2334" s="1" t="str">
        <f t="shared" si="4"/>
        <v>Nuestro Laboratorio esta trabajando en tus lentes, los entregaremos en la fecha acordada.</v>
      </c>
    </row>
    <row r="2335">
      <c r="A2335" s="1">
        <f>IFERROR(__xludf.DUMMYFUNCTION("""COMPUTED_VALUE"""),86883.0)</f>
        <v>86883</v>
      </c>
      <c r="B2335" s="5">
        <f>IFERROR(__xludf.DUMMYFUNCTION("""COMPUTED_VALUE"""),44980.72523791667)</f>
        <v>44980.72524</v>
      </c>
      <c r="C2335" s="1" t="str">
        <f>IFERROR(__xludf.DUMMYFUNCTION("""COMPUTED_VALUE"""),"ZEBALLOS AURELIA")</f>
        <v>ZEBALLOS AURELIA</v>
      </c>
      <c r="D2335" s="1" t="str">
        <f>IFERROR(__xludf.DUMMYFUNCTION("""COMPUTED_VALUE"""),"Reparaciones/Otros")</f>
        <v>Reparaciones/Otros</v>
      </c>
      <c r="E2335" s="1" t="str">
        <f>IFERROR(__xludf.DUMMYFUNCTION("""COMPUTED_VALUE"""),"ARTIGAS Roció")</f>
        <v>ARTIGAS Roció</v>
      </c>
      <c r="F2335" s="1" t="str">
        <f t="shared" si="1"/>
        <v>ARTIGAS </v>
      </c>
      <c r="G2335" s="1" t="str">
        <f t="shared" si="2"/>
        <v>Roció</v>
      </c>
      <c r="H2335" s="1" t="str">
        <f>IFERROR(__xludf.DUMMYFUNCTION("""COMPUTED_VALUE"""),"24/2/2023, 17:00:00")</f>
        <v>24/2/2023, 17:00:00</v>
      </c>
      <c r="I2335" s="1" t="str">
        <f>IFERROR(__xludf.DUMMYFUNCTION("""COMPUTED_VALUE"""),"Completado en SUCURSAL")</f>
        <v>Completado en SUCURSAL</v>
      </c>
      <c r="J2335" s="1">
        <f t="shared" si="3"/>
        <v>5</v>
      </c>
      <c r="K2335" s="1" t="str">
        <f t="shared" si="4"/>
        <v>Tus Lentes estan LISTAS PARA ENTREGAR, te esperamos.</v>
      </c>
    </row>
    <row r="2336">
      <c r="A2336" s="1">
        <f>IFERROR(__xludf.DUMMYFUNCTION("""COMPUTED_VALUE"""),86884.0)</f>
        <v>86884</v>
      </c>
      <c r="B2336" s="5">
        <f>IFERROR(__xludf.DUMMYFUNCTION("""COMPUTED_VALUE"""),44980.72842054398)</f>
        <v>44980.72842</v>
      </c>
      <c r="C2336" s="1" t="str">
        <f>IFERROR(__xludf.DUMMYFUNCTION("""COMPUTED_VALUE"""),"CASTRO JOHANA")</f>
        <v>CASTRO JOHANA</v>
      </c>
      <c r="D2336" s="1" t="str">
        <f>IFERROR(__xludf.DUMMYFUNCTION("""COMPUTED_VALUE"""),"Reparaciones/Otros")</f>
        <v>Reparaciones/Otros</v>
      </c>
      <c r="E2336" s="1" t="str">
        <f>IFERROR(__xludf.DUMMYFUNCTION("""COMPUTED_VALUE"""),"ARTIGAS Ivana P.")</f>
        <v>ARTIGAS Ivana P.</v>
      </c>
      <c r="F2336" s="1" t="str">
        <f t="shared" si="1"/>
        <v>ARTIGAS </v>
      </c>
      <c r="G2336" s="1" t="str">
        <f t="shared" si="2"/>
        <v>Ivana P.</v>
      </c>
      <c r="H2336" s="1" t="str">
        <f>IFERROR(__xludf.DUMMYFUNCTION("""COMPUTED_VALUE"""),"24/2/2023, 17:00:00")</f>
        <v>24/2/2023, 17:00:00</v>
      </c>
      <c r="I2336" s="1" t="str">
        <f>IFERROR(__xludf.DUMMYFUNCTION("""COMPUTED_VALUE"""),"Completado en SUCURSAL")</f>
        <v>Completado en SUCURSAL</v>
      </c>
      <c r="J2336" s="1">
        <f t="shared" si="3"/>
        <v>5</v>
      </c>
      <c r="K2336" s="1" t="str">
        <f t="shared" si="4"/>
        <v>Tus Lentes estan LISTAS PARA ENTREGAR, te esperamos.</v>
      </c>
    </row>
    <row r="2337">
      <c r="A2337" s="1">
        <f>IFERROR(__xludf.DUMMYFUNCTION("""COMPUTED_VALUE"""),86885.0)</f>
        <v>86885</v>
      </c>
      <c r="B2337" s="5">
        <f>IFERROR(__xludf.DUMMYFUNCTION("""COMPUTED_VALUE"""),44980.729478946756)</f>
        <v>44980.72948</v>
      </c>
      <c r="C2337" s="1" t="str">
        <f>IFERROR(__xludf.DUMMYFUNCTION("""COMPUTED_VALUE"""),"DI GENNARO ROLANDO ")</f>
        <v>DI GENNARO ROLANDO </v>
      </c>
      <c r="D2337" s="1" t="str">
        <f>IFERROR(__xludf.DUMMYFUNCTION("""COMPUTED_VALUE"""),"Lentes de STOCK")</f>
        <v>Lentes de STOCK</v>
      </c>
      <c r="E2337" s="1" t="str">
        <f>IFERROR(__xludf.DUMMYFUNCTION("""COMPUTED_VALUE"""),"RIVADAVIA Javier")</f>
        <v>RIVADAVIA Javier</v>
      </c>
      <c r="F2337" s="1" t="str">
        <f t="shared" si="1"/>
        <v>RIVADAVIA </v>
      </c>
      <c r="G2337" s="1" t="str">
        <f t="shared" si="2"/>
        <v>Javier</v>
      </c>
      <c r="H2337" s="1" t="str">
        <f>IFERROR(__xludf.DUMMYFUNCTION("""COMPUTED_VALUE"""),"28/2/2023, 17:00:00")</f>
        <v>28/2/2023, 17:00:00</v>
      </c>
      <c r="I2337" s="1" t="str">
        <f>IFERROR(__xludf.DUMMYFUNCTION("""COMPUTED_VALUE"""),"Recibido en Laboratorio")</f>
        <v>Recibido en Laboratorio</v>
      </c>
      <c r="J2337" s="1">
        <f t="shared" si="3"/>
        <v>2</v>
      </c>
      <c r="K2337" s="1" t="str">
        <f t="shared" si="4"/>
        <v>Nuestro Laboratorio esta trabajando en tus lentes, los entregaremos en la fecha acordada.</v>
      </c>
    </row>
    <row r="2338">
      <c r="A2338" s="1">
        <f>IFERROR(__xludf.DUMMYFUNCTION("""COMPUTED_VALUE"""),86886.0)</f>
        <v>86886</v>
      </c>
      <c r="B2338" s="5">
        <f>IFERROR(__xludf.DUMMYFUNCTION("""COMPUTED_VALUE"""),44980.7377021875)</f>
        <v>44980.7377</v>
      </c>
      <c r="C2338" s="1" t="str">
        <f>IFERROR(__xludf.DUMMYFUNCTION("""COMPUTED_VALUE"""),"TAMAYO BELEN ")</f>
        <v>TAMAYO BELEN </v>
      </c>
      <c r="D2338" s="1" t="str">
        <f>IFERROR(__xludf.DUMMYFUNCTION("""COMPUTED_VALUE"""),"Lentes de STOCK")</f>
        <v>Lentes de STOCK</v>
      </c>
      <c r="E2338" s="1" t="str">
        <f>IFERROR(__xludf.DUMMYFUNCTION("""COMPUTED_VALUE"""),"RIVADAVIA Luciana")</f>
        <v>RIVADAVIA Luciana</v>
      </c>
      <c r="F2338" s="1" t="str">
        <f t="shared" si="1"/>
        <v>RIVADAVIA </v>
      </c>
      <c r="G2338" s="1" t="str">
        <f t="shared" si="2"/>
        <v>Luciana</v>
      </c>
      <c r="H2338" s="1" t="str">
        <f>IFERROR(__xludf.DUMMYFUNCTION("""COMPUTED_VALUE"""),"1/3/2023, 17:00:00")</f>
        <v>1/3/2023, 17:00:00</v>
      </c>
      <c r="I2338" s="1" t="str">
        <f>IFERROR(__xludf.DUMMYFUNCTION("""COMPUTED_VALUE"""),"Recibido en Laboratorio")</f>
        <v>Recibido en Laboratorio</v>
      </c>
      <c r="J2338" s="1">
        <f t="shared" si="3"/>
        <v>2</v>
      </c>
      <c r="K2338" s="1" t="str">
        <f t="shared" si="4"/>
        <v>Nuestro Laboratorio esta trabajando en tus lentes, los entregaremos en la fecha acordada.</v>
      </c>
    </row>
    <row r="2339">
      <c r="A2339" s="1">
        <f>IFERROR(__xludf.DUMMYFUNCTION("""COMPUTED_VALUE"""),86887.0)</f>
        <v>86887</v>
      </c>
      <c r="B2339" s="5">
        <f>IFERROR(__xludf.DUMMYFUNCTION("""COMPUTED_VALUE"""),44980.75006818287)</f>
        <v>44980.75007</v>
      </c>
      <c r="C2339" s="1" t="str">
        <f>IFERROR(__xludf.DUMMYFUNCTION("""COMPUTED_VALUE"""),"jofre gerardo")</f>
        <v>jofre gerardo</v>
      </c>
      <c r="D2339" s="1" t="str">
        <f>IFERROR(__xludf.DUMMYFUNCTION("""COMPUTED_VALUE"""),"Reparaciones/Otros")</f>
        <v>Reparaciones/Otros</v>
      </c>
      <c r="E2339" s="1" t="str">
        <f>IFERROR(__xludf.DUMMYFUNCTION("""COMPUTED_VALUE"""),"ARTIGAS Roció")</f>
        <v>ARTIGAS Roció</v>
      </c>
      <c r="F2339" s="1" t="str">
        <f t="shared" si="1"/>
        <v>ARTIGAS </v>
      </c>
      <c r="G2339" s="1" t="str">
        <f t="shared" si="2"/>
        <v>Roció</v>
      </c>
      <c r="H2339" s="1" t="str">
        <f>IFERROR(__xludf.DUMMYFUNCTION("""COMPUTED_VALUE"""),"24/2/2023, 17:00:00")</f>
        <v>24/2/2023, 17:00:00</v>
      </c>
      <c r="I2339" s="1" t="str">
        <f>IFERROR(__xludf.DUMMYFUNCTION("""COMPUTED_VALUE"""),"Completado en SUCURSAL")</f>
        <v>Completado en SUCURSAL</v>
      </c>
      <c r="J2339" s="1">
        <f t="shared" si="3"/>
        <v>5</v>
      </c>
      <c r="K2339" s="1" t="str">
        <f t="shared" si="4"/>
        <v>Tus Lentes estan LISTAS PARA ENTREGAR, te esperamos.</v>
      </c>
    </row>
    <row r="2340">
      <c r="A2340" s="1">
        <f>IFERROR(__xludf.DUMMYFUNCTION("""COMPUTED_VALUE"""),86888.0)</f>
        <v>86888</v>
      </c>
      <c r="B2340" s="5">
        <f>IFERROR(__xludf.DUMMYFUNCTION("""COMPUTED_VALUE"""),44980.7515621875)</f>
        <v>44980.75156</v>
      </c>
      <c r="C2340" s="1" t="str">
        <f>IFERROR(__xludf.DUMMYFUNCTION("""COMPUTED_VALUE"""),"JIMENEZ GAEL")</f>
        <v>JIMENEZ GAEL</v>
      </c>
      <c r="D2340" s="1" t="str">
        <f>IFERROR(__xludf.DUMMYFUNCTION("""COMPUTED_VALUE"""),"Lentes de STOCK")</f>
        <v>Lentes de STOCK</v>
      </c>
      <c r="E2340" s="1" t="str">
        <f>IFERROR(__xludf.DUMMYFUNCTION("""COMPUTED_VALUE"""),"RIVADAVIA Javier")</f>
        <v>RIVADAVIA Javier</v>
      </c>
      <c r="F2340" s="1" t="str">
        <f t="shared" si="1"/>
        <v>RIVADAVIA </v>
      </c>
      <c r="G2340" s="1" t="str">
        <f t="shared" si="2"/>
        <v>Javier</v>
      </c>
      <c r="H2340" s="1" t="str">
        <f>IFERROR(__xludf.DUMMYFUNCTION("""COMPUTED_VALUE"""),"27/2/2023, 17:00:00")</f>
        <v>27/2/2023, 17:00:00</v>
      </c>
      <c r="I2340" s="1" t="str">
        <f>IFERROR(__xludf.DUMMYFUNCTION("""COMPUTED_VALUE"""),"Recibido en Laboratorio")</f>
        <v>Recibido en Laboratorio</v>
      </c>
      <c r="J2340" s="1">
        <f t="shared" si="3"/>
        <v>2</v>
      </c>
      <c r="K2340" s="1" t="str">
        <f t="shared" si="4"/>
        <v>Nuestro Laboratorio esta trabajando en tus lentes, los entregaremos en la fecha acordada.</v>
      </c>
    </row>
    <row r="2341">
      <c r="A2341" s="1">
        <f>IFERROR(__xludf.DUMMYFUNCTION("""COMPUTED_VALUE"""),86889.0)</f>
        <v>86889</v>
      </c>
      <c r="B2341" s="5">
        <f>IFERROR(__xludf.DUMMYFUNCTION("""COMPUTED_VALUE"""),44980.75424466435)</f>
        <v>44980.75424</v>
      </c>
      <c r="C2341" s="1" t="str">
        <f>IFERROR(__xludf.DUMMYFUNCTION("""COMPUTED_VALUE"""),"NAHUEL ALBERTO VILLEGAS ")</f>
        <v>NAHUEL ALBERTO VILLEGAS </v>
      </c>
      <c r="D2341" s="1" t="str">
        <f>IFERROR(__xludf.DUMMYFUNCTION("""COMPUTED_VALUE"""),"Lentes de STOCK")</f>
        <v>Lentes de STOCK</v>
      </c>
      <c r="E2341" s="1" t="str">
        <f>IFERROR(__xludf.DUMMYFUNCTION("""COMPUTED_VALUE"""),"RIVADAVIA Javier")</f>
        <v>RIVADAVIA Javier</v>
      </c>
      <c r="F2341" s="1" t="str">
        <f t="shared" si="1"/>
        <v>RIVADAVIA </v>
      </c>
      <c r="G2341" s="1" t="str">
        <f t="shared" si="2"/>
        <v>Javier</v>
      </c>
      <c r="H2341" s="1" t="str">
        <f>IFERROR(__xludf.DUMMYFUNCTION("""COMPUTED_VALUE"""),"27/2/2023, 17:00:00")</f>
        <v>27/2/2023, 17:00:00</v>
      </c>
      <c r="I2341" s="1" t="str">
        <f>IFERROR(__xludf.DUMMYFUNCTION("""COMPUTED_VALUE"""),"Completado en SUCURSAL")</f>
        <v>Completado en SUCURSAL</v>
      </c>
      <c r="J2341" s="1">
        <f t="shared" si="3"/>
        <v>5</v>
      </c>
      <c r="K2341" s="1" t="str">
        <f t="shared" si="4"/>
        <v>Tus Lentes estan LISTAS PARA ENTREGAR, te esperamos.</v>
      </c>
    </row>
    <row r="2342">
      <c r="A2342" s="1">
        <f>IFERROR(__xludf.DUMMYFUNCTION("""COMPUTED_VALUE"""),86890.0)</f>
        <v>86890</v>
      </c>
      <c r="B2342" s="5">
        <f>IFERROR(__xludf.DUMMYFUNCTION("""COMPUTED_VALUE"""),44980.75782408565)</f>
        <v>44980.75782</v>
      </c>
      <c r="C2342" s="1" t="str">
        <f>IFERROR(__xludf.DUMMYFUNCTION("""COMPUTED_VALUE"""),"conela jose")</f>
        <v>conela jose</v>
      </c>
      <c r="D2342" s="1" t="str">
        <f>IFERROR(__xludf.DUMMYFUNCTION("""COMPUTED_VALUE"""),"Reparaciones/Otros")</f>
        <v>Reparaciones/Otros</v>
      </c>
      <c r="E2342" s="1" t="str">
        <f>IFERROR(__xludf.DUMMYFUNCTION("""COMPUTED_VALUE"""),"RIVADAVIA Daniel CM")</f>
        <v>RIVADAVIA Daniel CM</v>
      </c>
      <c r="F2342" s="1" t="str">
        <f t="shared" si="1"/>
        <v>RIVADAVIA </v>
      </c>
      <c r="G2342" s="1" t="str">
        <f t="shared" si="2"/>
        <v>Daniel CM</v>
      </c>
      <c r="H2342" s="1" t="str">
        <f>IFERROR(__xludf.DUMMYFUNCTION("""COMPUTED_VALUE"""),"24/2/2023, 17:00:00")</f>
        <v>24/2/2023, 17:00:00</v>
      </c>
      <c r="I2342" s="1" t="str">
        <f>IFERROR(__xludf.DUMMYFUNCTION("""COMPUTED_VALUE"""),"Completado en SUCURSAL")</f>
        <v>Completado en SUCURSAL</v>
      </c>
      <c r="J2342" s="1">
        <f t="shared" si="3"/>
        <v>5</v>
      </c>
      <c r="K2342" s="1" t="str">
        <f t="shared" si="4"/>
        <v>Tus Lentes estan LISTAS PARA ENTREGAR, te esperamos.</v>
      </c>
    </row>
    <row r="2343">
      <c r="A2343" s="1">
        <f>IFERROR(__xludf.DUMMYFUNCTION("""COMPUTED_VALUE"""),86891.0)</f>
        <v>86891</v>
      </c>
      <c r="B2343" s="5">
        <f>IFERROR(__xludf.DUMMYFUNCTION("""COMPUTED_VALUE"""),44980.76294039351)</f>
        <v>44980.76294</v>
      </c>
      <c r="C2343" s="1" t="str">
        <f>IFERROR(__xludf.DUMMYFUNCTION("""COMPUTED_VALUE"""),"FERNANDEZ MARILEN")</f>
        <v>FERNANDEZ MARILEN</v>
      </c>
      <c r="D2343" s="1" t="str">
        <f>IFERROR(__xludf.DUMMYFUNCTION("""COMPUTED_VALUE"""),"Reparaciones/Otros")</f>
        <v>Reparaciones/Otros</v>
      </c>
      <c r="E2343" s="1" t="str">
        <f>IFERROR(__xludf.DUMMYFUNCTION("""COMPUTED_VALUE"""),"ARTIGAS Ivana P.")</f>
        <v>ARTIGAS Ivana P.</v>
      </c>
      <c r="F2343" s="1" t="str">
        <f t="shared" si="1"/>
        <v>ARTIGAS </v>
      </c>
      <c r="G2343" s="1" t="str">
        <f t="shared" si="2"/>
        <v>Ivana P.</v>
      </c>
      <c r="H2343" s="1" t="str">
        <f>IFERROR(__xludf.DUMMYFUNCTION("""COMPUTED_VALUE"""),"24/2/2023, 17:00:00")</f>
        <v>24/2/2023, 17:00:00</v>
      </c>
      <c r="I2343" s="1" t="str">
        <f>IFERROR(__xludf.DUMMYFUNCTION("""COMPUTED_VALUE"""),"Completado en SUCURSAL")</f>
        <v>Completado en SUCURSAL</v>
      </c>
      <c r="J2343" s="1">
        <f t="shared" si="3"/>
        <v>5</v>
      </c>
      <c r="K2343" s="1" t="str">
        <f t="shared" si="4"/>
        <v>Tus Lentes estan LISTAS PARA ENTREGAR, te esperamos.</v>
      </c>
    </row>
    <row r="2344">
      <c r="A2344" s="1">
        <f>IFERROR(__xludf.DUMMYFUNCTION("""COMPUTED_VALUE"""),86892.0)</f>
        <v>86892</v>
      </c>
      <c r="B2344" s="5">
        <f>IFERROR(__xludf.DUMMYFUNCTION("""COMPUTED_VALUE"""),44980.76859447917)</f>
        <v>44980.76859</v>
      </c>
      <c r="C2344" s="1" t="str">
        <f>IFERROR(__xludf.DUMMYFUNCTION("""COMPUTED_VALUE"""),"pacheco karen")</f>
        <v>pacheco karen</v>
      </c>
      <c r="D2344" s="1" t="str">
        <f>IFERROR(__xludf.DUMMYFUNCTION("""COMPUTED_VALUE"""),"Reparaciones/Otros")</f>
        <v>Reparaciones/Otros</v>
      </c>
      <c r="E2344" s="1" t="str">
        <f>IFERROR(__xludf.DUMMYFUNCTION("""COMPUTED_VALUE"""),"RIVADAVIA Daniel CM")</f>
        <v>RIVADAVIA Daniel CM</v>
      </c>
      <c r="F2344" s="1" t="str">
        <f t="shared" si="1"/>
        <v>RIVADAVIA </v>
      </c>
      <c r="G2344" s="1" t="str">
        <f t="shared" si="2"/>
        <v>Daniel CM</v>
      </c>
      <c r="H2344" s="1" t="str">
        <f>IFERROR(__xludf.DUMMYFUNCTION("""COMPUTED_VALUE"""),"24/2/2023, 17:00:00")</f>
        <v>24/2/2023, 17:00:00</v>
      </c>
      <c r="I2344" s="1" t="str">
        <f>IFERROR(__xludf.DUMMYFUNCTION("""COMPUTED_VALUE"""),"Recibido en Laboratorio")</f>
        <v>Recibido en Laboratorio</v>
      </c>
      <c r="J2344" s="1">
        <f t="shared" si="3"/>
        <v>2</v>
      </c>
      <c r="K2344" s="1" t="str">
        <f t="shared" si="4"/>
        <v>Nuestro Laboratorio esta trabajando en tus lentes, los entregaremos en la fecha acordada.</v>
      </c>
    </row>
    <row r="2345">
      <c r="A2345" s="1">
        <f>IFERROR(__xludf.DUMMYFUNCTION("""COMPUTED_VALUE"""),86893.0)</f>
        <v>86893</v>
      </c>
      <c r="B2345" s="5">
        <f>IFERROR(__xludf.DUMMYFUNCTION("""COMPUTED_VALUE"""),44980.77130354167)</f>
        <v>44980.7713</v>
      </c>
      <c r="C2345" s="1" t="str">
        <f>IFERROR(__xludf.DUMMYFUNCTION("""COMPUTED_VALUE"""),"TREJO VIVIANA ")</f>
        <v>TREJO VIVIANA </v>
      </c>
      <c r="D2345" s="1" t="str">
        <f>IFERROR(__xludf.DUMMYFUNCTION("""COMPUTED_VALUE"""),"Lentes MULTIFOCALES")</f>
        <v>Lentes MULTIFOCALES</v>
      </c>
      <c r="E2345" s="1" t="str">
        <f>IFERROR(__xludf.DUMMYFUNCTION("""COMPUTED_VALUE"""),"RIVADAVIA Javier")</f>
        <v>RIVADAVIA Javier</v>
      </c>
      <c r="F2345" s="1" t="str">
        <f t="shared" si="1"/>
        <v>RIVADAVIA </v>
      </c>
      <c r="G2345" s="1" t="str">
        <f t="shared" si="2"/>
        <v>Javier</v>
      </c>
      <c r="H2345" s="1" t="str">
        <f>IFERROR(__xludf.DUMMYFUNCTION("""COMPUTED_VALUE"""),"8/3/2023, 17:00:00")</f>
        <v>8/3/2023, 17:00:00</v>
      </c>
      <c r="I2345" s="1" t="str">
        <f>IFERROR(__xludf.DUMMYFUNCTION("""COMPUTED_VALUE"""),"Recibido en Laboratorio")</f>
        <v>Recibido en Laboratorio</v>
      </c>
      <c r="J2345" s="1">
        <f t="shared" si="3"/>
        <v>2</v>
      </c>
      <c r="K2345" s="1" t="str">
        <f t="shared" si="4"/>
        <v>Nuestro Laboratorio esta trabajando en tus lentes, los entregaremos en la fecha acordada.</v>
      </c>
    </row>
    <row r="2346">
      <c r="A2346" s="1">
        <f>IFERROR(__xludf.DUMMYFUNCTION("""COMPUTED_VALUE"""),86894.0)</f>
        <v>86894</v>
      </c>
      <c r="B2346" s="5">
        <f>IFERROR(__xludf.DUMMYFUNCTION("""COMPUTED_VALUE"""),44980.78505057871)</f>
        <v>44980.78505</v>
      </c>
      <c r="C2346" s="1" t="str">
        <f>IFERROR(__xludf.DUMMYFUNCTION("""COMPUTED_VALUE"""),"DE PAULA MAITE LIZ")</f>
        <v>DE PAULA MAITE LIZ</v>
      </c>
      <c r="D2346" s="1" t="str">
        <f>IFERROR(__xludf.DUMMYFUNCTION("""COMPUTED_VALUE"""),"Lentes de STOCK")</f>
        <v>Lentes de STOCK</v>
      </c>
      <c r="E2346" s="1" t="str">
        <f>IFERROR(__xludf.DUMMYFUNCTION("""COMPUTED_VALUE"""),"RIVADAVIA Daniel CM")</f>
        <v>RIVADAVIA Daniel CM</v>
      </c>
      <c r="F2346" s="1" t="str">
        <f t="shared" si="1"/>
        <v>RIVADAVIA </v>
      </c>
      <c r="G2346" s="1" t="str">
        <f t="shared" si="2"/>
        <v>Daniel CM</v>
      </c>
      <c r="H2346" s="1" t="str">
        <f>IFERROR(__xludf.DUMMYFUNCTION("""COMPUTED_VALUE"""),"25/2/2023, 17:00:00")</f>
        <v>25/2/2023, 17:00:00</v>
      </c>
      <c r="I2346" s="1" t="str">
        <f>IFERROR(__xludf.DUMMYFUNCTION("""COMPUTED_VALUE"""),"RETIRADO OK POR CLIENTE")</f>
        <v>RETIRADO OK POR CLIENTE</v>
      </c>
      <c r="J2346" s="1">
        <f t="shared" si="3"/>
        <v>6</v>
      </c>
      <c r="K2346" s="1" t="str">
        <f t="shared" si="4"/>
        <v>Entregamos tus lentes, que los disfrutes!</v>
      </c>
    </row>
    <row r="2347">
      <c r="A2347" s="1">
        <f>IFERROR(__xludf.DUMMYFUNCTION("""COMPUTED_VALUE"""),86895.0)</f>
        <v>86895</v>
      </c>
      <c r="B2347" s="5">
        <f>IFERROR(__xludf.DUMMYFUNCTION("""COMPUTED_VALUE"""),44980.79723984953)</f>
        <v>44980.79724</v>
      </c>
      <c r="C2347" s="1" t="str">
        <f>IFERROR(__xludf.DUMMYFUNCTION("""COMPUTED_VALUE"""),"videla natalia")</f>
        <v>videla natalia</v>
      </c>
      <c r="D2347" s="1" t="str">
        <f>IFERROR(__xludf.DUMMYFUNCTION("""COMPUTED_VALUE"""),"Reparaciones/Otros")</f>
        <v>Reparaciones/Otros</v>
      </c>
      <c r="E2347" s="1" t="str">
        <f>IFERROR(__xludf.DUMMYFUNCTION("""COMPUTED_VALUE"""),"RIVADAVIA Daniel CM")</f>
        <v>RIVADAVIA Daniel CM</v>
      </c>
      <c r="F2347" s="1" t="str">
        <f t="shared" si="1"/>
        <v>RIVADAVIA </v>
      </c>
      <c r="G2347" s="1" t="str">
        <f t="shared" si="2"/>
        <v>Daniel CM</v>
      </c>
      <c r="H2347" s="1" t="str">
        <f>IFERROR(__xludf.DUMMYFUNCTION("""COMPUTED_VALUE"""),"24/2/2023, 17:00:00")</f>
        <v>24/2/2023, 17:00:00</v>
      </c>
      <c r="I2347" s="1" t="str">
        <f>IFERROR(__xludf.DUMMYFUNCTION("""COMPUTED_VALUE"""),"Recibido en Laboratorio")</f>
        <v>Recibido en Laboratorio</v>
      </c>
      <c r="J2347" s="1">
        <f t="shared" si="3"/>
        <v>2</v>
      </c>
      <c r="K2347" s="1" t="str">
        <f t="shared" si="4"/>
        <v>Nuestro Laboratorio esta trabajando en tus lentes, los entregaremos en la fecha acordada.</v>
      </c>
    </row>
    <row r="2348">
      <c r="A2348" s="1">
        <f>IFERROR(__xludf.DUMMYFUNCTION("""COMPUTED_VALUE"""),86896.0)</f>
        <v>86896</v>
      </c>
      <c r="B2348" s="5">
        <f>IFERROR(__xludf.DUMMYFUNCTION("""COMPUTED_VALUE"""),44980.79846605324)</f>
        <v>44980.79847</v>
      </c>
      <c r="C2348" s="1" t="str">
        <f>IFERROR(__xludf.DUMMYFUNCTION("""COMPUTED_VALUE"""),"TRUGLIO DANIEL")</f>
        <v>TRUGLIO DANIEL</v>
      </c>
      <c r="D2348" s="1" t="str">
        <f>IFERROR(__xludf.DUMMYFUNCTION("""COMPUTED_VALUE"""),"Lentes de STOCK")</f>
        <v>Lentes de STOCK</v>
      </c>
      <c r="E2348" s="1" t="str">
        <f>IFERROR(__xludf.DUMMYFUNCTION("""COMPUTED_VALUE"""),"RIVADAVIA Javier")</f>
        <v>RIVADAVIA Javier</v>
      </c>
      <c r="F2348" s="1" t="str">
        <f t="shared" si="1"/>
        <v>RIVADAVIA </v>
      </c>
      <c r="G2348" s="1" t="str">
        <f t="shared" si="2"/>
        <v>Javier</v>
      </c>
      <c r="H2348" s="1" t="str">
        <f>IFERROR(__xludf.DUMMYFUNCTION("""COMPUTED_VALUE"""),"1/3/2023, 17:00:00")</f>
        <v>1/3/2023, 17:00:00</v>
      </c>
      <c r="I2348" s="1" t="str">
        <f>IFERROR(__xludf.DUMMYFUNCTION("""COMPUTED_VALUE"""),"Recibido en Laboratorio")</f>
        <v>Recibido en Laboratorio</v>
      </c>
      <c r="J2348" s="1">
        <f t="shared" si="3"/>
        <v>2</v>
      </c>
      <c r="K2348" s="1" t="str">
        <f t="shared" si="4"/>
        <v>Nuestro Laboratorio esta trabajando en tus lentes, los entregaremos en la fecha acordada.</v>
      </c>
    </row>
    <row r="2349">
      <c r="A2349" s="1">
        <f>IFERROR(__xludf.DUMMYFUNCTION("""COMPUTED_VALUE"""),86897.0)</f>
        <v>86897</v>
      </c>
      <c r="B2349" s="5">
        <f>IFERROR(__xludf.DUMMYFUNCTION("""COMPUTED_VALUE"""),44980.79883516204)</f>
        <v>44980.79884</v>
      </c>
      <c r="C2349" s="1" t="str">
        <f>IFERROR(__xludf.DUMMYFUNCTION("""COMPUTED_VALUE"""),"CHACALIAZA VICTORIA -VICKY-")</f>
        <v>CHACALIAZA VICTORIA -VICKY-</v>
      </c>
      <c r="D2349" s="1" t="str">
        <f>IFERROR(__xludf.DUMMYFUNCTION("""COMPUTED_VALUE"""),"Lentes de STOCK")</f>
        <v>Lentes de STOCK</v>
      </c>
      <c r="E2349" s="1" t="str">
        <f>IFERROR(__xludf.DUMMYFUNCTION("""COMPUTED_VALUE"""),"RIVADAVIA Luciana")</f>
        <v>RIVADAVIA Luciana</v>
      </c>
      <c r="F2349" s="1" t="str">
        <f t="shared" si="1"/>
        <v>RIVADAVIA </v>
      </c>
      <c r="G2349" s="1" t="str">
        <f t="shared" si="2"/>
        <v>Luciana</v>
      </c>
      <c r="H2349" s="1" t="str">
        <f>IFERROR(__xludf.DUMMYFUNCTION("""COMPUTED_VALUE"""),"2/3/2023, 17:00:00")</f>
        <v>2/3/2023, 17:00:00</v>
      </c>
      <c r="I2349" s="1" t="str">
        <f>IFERROR(__xludf.DUMMYFUNCTION("""COMPUTED_VALUE"""),"Completado en SUCURSAL")</f>
        <v>Completado en SUCURSAL</v>
      </c>
      <c r="J2349" s="1">
        <f t="shared" si="3"/>
        <v>5</v>
      </c>
      <c r="K2349" s="1" t="str">
        <f t="shared" si="4"/>
        <v>Tus Lentes estan LISTAS PARA ENTREGAR, te esperamos.</v>
      </c>
    </row>
    <row r="2350">
      <c r="A2350" s="1">
        <f>IFERROR(__xludf.DUMMYFUNCTION("""COMPUTED_VALUE"""),86898.0)</f>
        <v>86898</v>
      </c>
      <c r="B2350" s="5">
        <f>IFERROR(__xludf.DUMMYFUNCTION("""COMPUTED_VALUE"""),44980.80283325231)</f>
        <v>44980.80283</v>
      </c>
      <c r="C2350" s="1" t="str">
        <f>IFERROR(__xludf.DUMMYFUNCTION("""COMPUTED_VALUE"""),"ALCARAZ MARIA LUZ")</f>
        <v>ALCARAZ MARIA LUZ</v>
      </c>
      <c r="D2350" s="1" t="str">
        <f>IFERROR(__xludf.DUMMYFUNCTION("""COMPUTED_VALUE"""),"Lentes de STOCK")</f>
        <v>Lentes de STOCK</v>
      </c>
      <c r="E2350" s="1" t="str">
        <f>IFERROR(__xludf.DUMMYFUNCTION("""COMPUTED_VALUE"""),"ARTIGAS Ivana P.")</f>
        <v>ARTIGAS Ivana P.</v>
      </c>
      <c r="F2350" s="1" t="str">
        <f t="shared" si="1"/>
        <v>ARTIGAS </v>
      </c>
      <c r="G2350" s="1" t="str">
        <f t="shared" si="2"/>
        <v>Ivana P.</v>
      </c>
      <c r="H2350" s="1" t="str">
        <f>IFERROR(__xludf.DUMMYFUNCTION("""COMPUTED_VALUE"""),"1/3/2023, 17:00:00")</f>
        <v>1/3/2023, 17:00:00</v>
      </c>
      <c r="I2350" s="1" t="str">
        <f>IFERROR(__xludf.DUMMYFUNCTION("""COMPUTED_VALUE"""),"Recibido en Laboratorio")</f>
        <v>Recibido en Laboratorio</v>
      </c>
      <c r="J2350" s="1">
        <f t="shared" si="3"/>
        <v>2</v>
      </c>
      <c r="K2350" s="1" t="str">
        <f t="shared" si="4"/>
        <v>Nuestro Laboratorio esta trabajando en tus lentes, los entregaremos en la fecha acordada.</v>
      </c>
    </row>
    <row r="2351">
      <c r="A2351" s="1">
        <f>IFERROR(__xludf.DUMMYFUNCTION("""COMPUTED_VALUE"""),86899.0)</f>
        <v>86899</v>
      </c>
      <c r="B2351" s="5">
        <f>IFERROR(__xludf.DUMMYFUNCTION("""COMPUTED_VALUE"""),44980.80411909722)</f>
        <v>44980.80412</v>
      </c>
      <c r="C2351" s="1" t="str">
        <f>IFERROR(__xludf.DUMMYFUNCTION("""COMPUTED_VALUE"""),"abucet lilia")</f>
        <v>abucet lilia</v>
      </c>
      <c r="D2351" s="1" t="str">
        <f>IFERROR(__xludf.DUMMYFUNCTION("""COMPUTED_VALUE"""),"Reparaciones/Otros")</f>
        <v>Reparaciones/Otros</v>
      </c>
      <c r="E2351" s="1" t="str">
        <f>IFERROR(__xludf.DUMMYFUNCTION("""COMPUTED_VALUE"""),"RIVADAVIA Daniel CM")</f>
        <v>RIVADAVIA Daniel CM</v>
      </c>
      <c r="F2351" s="1" t="str">
        <f t="shared" si="1"/>
        <v>RIVADAVIA </v>
      </c>
      <c r="G2351" s="1" t="str">
        <f t="shared" si="2"/>
        <v>Daniel CM</v>
      </c>
      <c r="H2351" s="1" t="str">
        <f>IFERROR(__xludf.DUMMYFUNCTION("""COMPUTED_VALUE"""),"24/2/2023, 17:00:00")</f>
        <v>24/2/2023, 17:00:00</v>
      </c>
      <c r="I2351" s="1" t="str">
        <f>IFERROR(__xludf.DUMMYFUNCTION("""COMPUTED_VALUE"""),"Recibido en Laboratorio")</f>
        <v>Recibido en Laboratorio</v>
      </c>
      <c r="J2351" s="1">
        <f t="shared" si="3"/>
        <v>2</v>
      </c>
      <c r="K2351" s="1" t="str">
        <f t="shared" si="4"/>
        <v>Nuestro Laboratorio esta trabajando en tus lentes, los entregaremos en la fecha acordada.</v>
      </c>
    </row>
    <row r="2352">
      <c r="A2352" s="1">
        <f>IFERROR(__xludf.DUMMYFUNCTION("""COMPUTED_VALUE"""),86900.0)</f>
        <v>86900</v>
      </c>
      <c r="B2352" s="5">
        <f>IFERROR(__xludf.DUMMYFUNCTION("""COMPUTED_VALUE"""),44980.81134570602)</f>
        <v>44980.81135</v>
      </c>
      <c r="C2352" s="1" t="str">
        <f>IFERROR(__xludf.DUMMYFUNCTION("""COMPUTED_VALUE"""),"LUCERO PATRICIA")</f>
        <v>LUCERO PATRICIA</v>
      </c>
      <c r="D2352" s="1" t="str">
        <f>IFERROR(__xludf.DUMMYFUNCTION("""COMPUTED_VALUE"""),"Reparaciones/Otros")</f>
        <v>Reparaciones/Otros</v>
      </c>
      <c r="E2352" s="1" t="str">
        <f>IFERROR(__xludf.DUMMYFUNCTION("""COMPUTED_VALUE"""),"ARTIGAS Roció")</f>
        <v>ARTIGAS Roció</v>
      </c>
      <c r="F2352" s="1" t="str">
        <f t="shared" si="1"/>
        <v>ARTIGAS </v>
      </c>
      <c r="G2352" s="1" t="str">
        <f t="shared" si="2"/>
        <v>Roció</v>
      </c>
      <c r="H2352" s="1" t="str">
        <f>IFERROR(__xludf.DUMMYFUNCTION("""COMPUTED_VALUE"""),"24/2/2023, 17:00:00")</f>
        <v>24/2/2023, 17:00:00</v>
      </c>
      <c r="I2352" s="1"/>
      <c r="J2352" s="1">
        <f t="shared" si="3"/>
        <v>0</v>
      </c>
      <c r="K2352" s="1" t="str">
        <f t="shared" si="4"/>
        <v/>
      </c>
    </row>
    <row r="2353">
      <c r="A2353" s="1">
        <f>IFERROR(__xludf.DUMMYFUNCTION("""COMPUTED_VALUE"""),86901.0)</f>
        <v>86901</v>
      </c>
      <c r="B2353" s="5">
        <f>IFERROR(__xludf.DUMMYFUNCTION("""COMPUTED_VALUE"""),44980.82298907408)</f>
        <v>44980.82299</v>
      </c>
      <c r="C2353" s="1" t="str">
        <f>IFERROR(__xludf.DUMMYFUNCTION("""COMPUTED_VALUE"""),"SOSA YUTHIEL")</f>
        <v>SOSA YUTHIEL</v>
      </c>
      <c r="D2353" s="1" t="str">
        <f>IFERROR(__xludf.DUMMYFUNCTION("""COMPUTED_VALUE"""),"Lentes de STOCK")</f>
        <v>Lentes de STOCK</v>
      </c>
      <c r="E2353" s="1" t="str">
        <f>IFERROR(__xludf.DUMMYFUNCTION("""COMPUTED_VALUE"""),"RIVADAVIA Javier")</f>
        <v>RIVADAVIA Javier</v>
      </c>
      <c r="F2353" s="1" t="str">
        <f t="shared" si="1"/>
        <v>RIVADAVIA </v>
      </c>
      <c r="G2353" s="1" t="str">
        <f t="shared" si="2"/>
        <v>Javier</v>
      </c>
      <c r="H2353" s="1" t="str">
        <f>IFERROR(__xludf.DUMMYFUNCTION("""COMPUTED_VALUE"""),"3/3/2023, 17:00:00")</f>
        <v>3/3/2023, 17:00:00</v>
      </c>
      <c r="I2353" s="1" t="str">
        <f>IFERROR(__xludf.DUMMYFUNCTION("""COMPUTED_VALUE"""),"Completado en SUCURSAL")</f>
        <v>Completado en SUCURSAL</v>
      </c>
      <c r="J2353" s="1">
        <f t="shared" si="3"/>
        <v>5</v>
      </c>
      <c r="K2353" s="1" t="str">
        <f t="shared" si="4"/>
        <v>Tus Lentes estan LISTAS PARA ENTREGAR, te esperamos.</v>
      </c>
    </row>
    <row r="2354">
      <c r="A2354" s="1">
        <f>IFERROR(__xludf.DUMMYFUNCTION("""COMPUTED_VALUE"""),86902.0)</f>
        <v>86902</v>
      </c>
      <c r="B2354" s="5">
        <f>IFERROR(__xludf.DUMMYFUNCTION("""COMPUTED_VALUE"""),44980.82421306713)</f>
        <v>44980.82421</v>
      </c>
      <c r="C2354" s="1" t="str">
        <f>IFERROR(__xludf.DUMMYFUNCTION("""COMPUTED_VALUE"""),"ARISMENDI COILLA LESLIE")</f>
        <v>ARISMENDI COILLA LESLIE</v>
      </c>
      <c r="D2354" s="1" t="str">
        <f>IFERROR(__xludf.DUMMYFUNCTION("""COMPUTED_VALUE"""),"Lentes de LABORATORIO")</f>
        <v>Lentes de LABORATORIO</v>
      </c>
      <c r="E2354" s="1" t="str">
        <f>IFERROR(__xludf.DUMMYFUNCTION("""COMPUTED_VALUE"""),"RIVADAVIA Luciana")</f>
        <v>RIVADAVIA Luciana</v>
      </c>
      <c r="F2354" s="1" t="str">
        <f t="shared" si="1"/>
        <v>RIVADAVIA </v>
      </c>
      <c r="G2354" s="1" t="str">
        <f t="shared" si="2"/>
        <v>Luciana</v>
      </c>
      <c r="H2354" s="1" t="str">
        <f>IFERROR(__xludf.DUMMYFUNCTION("""COMPUTED_VALUE"""),"10/3/2023, 17:00:00")</f>
        <v>10/3/2023, 17:00:00</v>
      </c>
      <c r="I2354" s="1"/>
      <c r="J2354" s="1">
        <f t="shared" si="3"/>
        <v>0</v>
      </c>
      <c r="K2354" s="1" t="str">
        <f t="shared" si="4"/>
        <v/>
      </c>
    </row>
    <row r="2355">
      <c r="A2355" s="1">
        <f>IFERROR(__xludf.DUMMYFUNCTION("""COMPUTED_VALUE"""),86903.0)</f>
        <v>86903</v>
      </c>
      <c r="B2355" s="5">
        <f>IFERROR(__xludf.DUMMYFUNCTION("""COMPUTED_VALUE"""),44980.826535625005)</f>
        <v>44980.82654</v>
      </c>
      <c r="C2355" s="1" t="str">
        <f>IFERROR(__xludf.DUMMYFUNCTION("""COMPUTED_VALUE"""),"KUBITZ SOFIA JIMENA")</f>
        <v>KUBITZ SOFIA JIMENA</v>
      </c>
      <c r="D2355" s="1" t="str">
        <f>IFERROR(__xludf.DUMMYFUNCTION("""COMPUTED_VALUE"""),"Lentes de STOCK")</f>
        <v>Lentes de STOCK</v>
      </c>
      <c r="E2355" s="1" t="str">
        <f>IFERROR(__xludf.DUMMYFUNCTION("""COMPUTED_VALUE"""),"RIVADAVIA Santiago LOPEZ")</f>
        <v>RIVADAVIA Santiago LOPEZ</v>
      </c>
      <c r="F2355" s="1" t="str">
        <f t="shared" si="1"/>
        <v>RIVADAVIA </v>
      </c>
      <c r="G2355" s="1" t="str">
        <f t="shared" si="2"/>
        <v>Santiago LOPEZ</v>
      </c>
      <c r="H2355" s="1" t="str">
        <f>IFERROR(__xludf.DUMMYFUNCTION("""COMPUTED_VALUE"""),"28/2/2023, 17:00:00")</f>
        <v>28/2/2023, 17:00:00</v>
      </c>
      <c r="I2355" s="1" t="str">
        <f>IFERROR(__xludf.DUMMYFUNCTION("""COMPUTED_VALUE"""),"Completado en SUCURSAL")</f>
        <v>Completado en SUCURSAL</v>
      </c>
      <c r="J2355" s="1">
        <f t="shared" si="3"/>
        <v>5</v>
      </c>
      <c r="K2355" s="1" t="str">
        <f t="shared" si="4"/>
        <v>Tus Lentes estan LISTAS PARA ENTREGAR, te esperamos.</v>
      </c>
    </row>
    <row r="2356">
      <c r="A2356" s="1">
        <f>IFERROR(__xludf.DUMMYFUNCTION("""COMPUTED_VALUE"""),86904.0)</f>
        <v>86904</v>
      </c>
      <c r="B2356" s="5">
        <f>IFERROR(__xludf.DUMMYFUNCTION("""COMPUTED_VALUE"""),44980.829962233795)</f>
        <v>44980.82996</v>
      </c>
      <c r="C2356" s="1" t="str">
        <f>IFERROR(__xludf.DUMMYFUNCTION("""COMPUTED_VALUE"""),"ARISMENDI COILLA LESLIE")</f>
        <v>ARISMENDI COILLA LESLIE</v>
      </c>
      <c r="D2356" s="1" t="str">
        <f>IFERROR(__xludf.DUMMYFUNCTION("""COMPUTED_VALUE"""),"Lentes de LABORATORIO")</f>
        <v>Lentes de LABORATORIO</v>
      </c>
      <c r="E2356" s="1" t="str">
        <f>IFERROR(__xludf.DUMMYFUNCTION("""COMPUTED_VALUE"""),"RIVADAVIA Luciana")</f>
        <v>RIVADAVIA Luciana</v>
      </c>
      <c r="F2356" s="1" t="str">
        <f t="shared" si="1"/>
        <v>RIVADAVIA </v>
      </c>
      <c r="G2356" s="1" t="str">
        <f t="shared" si="2"/>
        <v>Luciana</v>
      </c>
      <c r="H2356" s="1" t="str">
        <f>IFERROR(__xludf.DUMMYFUNCTION("""COMPUTED_VALUE"""),"15/3/2023, 17:00:00")</f>
        <v>15/3/2023, 17:00:00</v>
      </c>
      <c r="I2356" s="1" t="str">
        <f>IFERROR(__xludf.DUMMYFUNCTION("""COMPUTED_VALUE"""),"Completado en SUCURSAL")</f>
        <v>Completado en SUCURSAL</v>
      </c>
      <c r="J2356" s="1">
        <f t="shared" si="3"/>
        <v>5</v>
      </c>
      <c r="K2356" s="1" t="str">
        <f t="shared" si="4"/>
        <v>Tus Lentes estan LISTAS PARA ENTREGAR, te esperamos.</v>
      </c>
    </row>
    <row r="2357">
      <c r="A2357" s="1">
        <f>IFERROR(__xludf.DUMMYFUNCTION("""COMPUTED_VALUE"""),86905.0)</f>
        <v>86905</v>
      </c>
      <c r="B2357" s="5">
        <f>IFERROR(__xludf.DUMMYFUNCTION("""COMPUTED_VALUE"""),44980.84213435186)</f>
        <v>44980.84213</v>
      </c>
      <c r="C2357" s="1" t="str">
        <f>IFERROR(__xludf.DUMMYFUNCTION("""COMPUTED_VALUE"""),"LUCERO OFALDO")</f>
        <v>LUCERO OFALDO</v>
      </c>
      <c r="D2357" s="1" t="str">
        <f>IFERROR(__xludf.DUMMYFUNCTION("""COMPUTED_VALUE"""),"Lentes de STOCK")</f>
        <v>Lentes de STOCK</v>
      </c>
      <c r="E2357" s="1" t="str">
        <f>IFERROR(__xludf.DUMMYFUNCTION("""COMPUTED_VALUE"""),"RIVADAVIA Javier")</f>
        <v>RIVADAVIA Javier</v>
      </c>
      <c r="F2357" s="1" t="str">
        <f t="shared" si="1"/>
        <v>RIVADAVIA </v>
      </c>
      <c r="G2357" s="1" t="str">
        <f t="shared" si="2"/>
        <v>Javier</v>
      </c>
      <c r="H2357" s="1" t="str">
        <f>IFERROR(__xludf.DUMMYFUNCTION("""COMPUTED_VALUE"""),"2/3/2023, 17:00:00")</f>
        <v>2/3/2023, 17:00:00</v>
      </c>
      <c r="I2357" s="1" t="str">
        <f>IFERROR(__xludf.DUMMYFUNCTION("""COMPUTED_VALUE"""),"Completado en SUCURSAL")</f>
        <v>Completado en SUCURSAL</v>
      </c>
      <c r="J2357" s="1">
        <f t="shared" si="3"/>
        <v>5</v>
      </c>
      <c r="K2357" s="1" t="str">
        <f t="shared" si="4"/>
        <v>Tus Lentes estan LISTAS PARA ENTREGAR, te esperamos.</v>
      </c>
    </row>
    <row r="2358">
      <c r="A2358" s="1">
        <f>IFERROR(__xludf.DUMMYFUNCTION("""COMPUTED_VALUE"""),86906.0)</f>
        <v>86906</v>
      </c>
      <c r="B2358" s="5">
        <f>IFERROR(__xludf.DUMMYFUNCTION("""COMPUTED_VALUE"""),44980.8440859838)</f>
        <v>44980.84409</v>
      </c>
      <c r="C2358" s="1" t="str">
        <f>IFERROR(__xludf.DUMMYFUNCTION("""COMPUTED_VALUE"""),"jofre mirta")</f>
        <v>jofre mirta</v>
      </c>
      <c r="D2358" s="1" t="str">
        <f>IFERROR(__xludf.DUMMYFUNCTION("""COMPUTED_VALUE"""),"Reparaciones/Otros")</f>
        <v>Reparaciones/Otros</v>
      </c>
      <c r="E2358" s="1" t="str">
        <f>IFERROR(__xludf.DUMMYFUNCTION("""COMPUTED_VALUE"""),"RIVADAVIA Daniel CM")</f>
        <v>RIVADAVIA Daniel CM</v>
      </c>
      <c r="F2358" s="1" t="str">
        <f t="shared" si="1"/>
        <v>RIVADAVIA </v>
      </c>
      <c r="G2358" s="1" t="str">
        <f t="shared" si="2"/>
        <v>Daniel CM</v>
      </c>
      <c r="H2358" s="1" t="str">
        <f>IFERROR(__xludf.DUMMYFUNCTION("""COMPUTED_VALUE"""),"24/2/2023, 17:00:00")</f>
        <v>24/2/2023, 17:00:00</v>
      </c>
      <c r="I2358" s="1" t="str">
        <f>IFERROR(__xludf.DUMMYFUNCTION("""COMPUTED_VALUE"""),"Recibido en Laboratorio")</f>
        <v>Recibido en Laboratorio</v>
      </c>
      <c r="J2358" s="1">
        <f t="shared" si="3"/>
        <v>2</v>
      </c>
      <c r="K2358" s="1" t="str">
        <f t="shared" si="4"/>
        <v>Nuestro Laboratorio esta trabajando en tus lentes, los entregaremos en la fecha acordada.</v>
      </c>
    </row>
    <row r="2359">
      <c r="A2359" s="1">
        <f>IFERROR(__xludf.DUMMYFUNCTION("""COMPUTED_VALUE"""),86907.0)</f>
        <v>86907</v>
      </c>
      <c r="B2359" s="5">
        <f>IFERROR(__xludf.DUMMYFUNCTION("""COMPUTED_VALUE"""),44981.37680896991)</f>
        <v>44981.37681</v>
      </c>
      <c r="C2359" s="1" t="str">
        <f>IFERROR(__xludf.DUMMYFUNCTION("""COMPUTED_VALUE"""),"ROSA GALVAN")</f>
        <v>ROSA GALVAN</v>
      </c>
      <c r="D2359" s="1" t="str">
        <f>IFERROR(__xludf.DUMMYFUNCTION("""COMPUTED_VALUE"""),"Reparaciones/Otros")</f>
        <v>Reparaciones/Otros</v>
      </c>
      <c r="E2359" s="1" t="str">
        <f>IFERROR(__xludf.DUMMYFUNCTION("""COMPUTED_VALUE"""),"RIVADAVIA Daniel CM")</f>
        <v>RIVADAVIA Daniel CM</v>
      </c>
      <c r="F2359" s="1" t="str">
        <f t="shared" si="1"/>
        <v>RIVADAVIA </v>
      </c>
      <c r="G2359" s="1" t="str">
        <f t="shared" si="2"/>
        <v>Daniel CM</v>
      </c>
      <c r="H2359" s="1" t="str">
        <f>IFERROR(__xludf.DUMMYFUNCTION("""COMPUTED_VALUE"""),"25/2/2023, 17:00:00")</f>
        <v>25/2/2023, 17:00:00</v>
      </c>
      <c r="I2359" s="1" t="str">
        <f>IFERROR(__xludf.DUMMYFUNCTION("""COMPUTED_VALUE"""),"Recibido en Laboratorio")</f>
        <v>Recibido en Laboratorio</v>
      </c>
      <c r="J2359" s="1">
        <f t="shared" si="3"/>
        <v>2</v>
      </c>
      <c r="K2359" s="1" t="str">
        <f t="shared" si="4"/>
        <v>Nuestro Laboratorio esta trabajando en tus lentes, los entregaremos en la fecha acordada.</v>
      </c>
    </row>
    <row r="2360" hidden="1">
      <c r="A2360" s="1">
        <f>IFERROR(__xludf.DUMMYFUNCTION("""COMPUTED_VALUE"""),86908.0)</f>
        <v>86908</v>
      </c>
      <c r="B2360" s="5">
        <f>IFERROR(__xludf.DUMMYFUNCTION("""COMPUTED_VALUE"""),44981.37960697917)</f>
        <v>44981.37961</v>
      </c>
      <c r="C2360" s="1" t="str">
        <f>IFERROR(__xludf.DUMMYFUNCTION("""COMPUTED_VALUE"""),"oliva guadalupe")</f>
        <v>oliva guadalupe</v>
      </c>
      <c r="D2360" s="1" t="str">
        <f>IFERROR(__xludf.DUMMYFUNCTION("""COMPUTED_VALUE"""),"Lentes de STOCK")</f>
        <v>Lentes de STOCK</v>
      </c>
      <c r="E2360" s="1" t="str">
        <f>IFERROR(__xludf.DUMMYFUNCTION("""COMPUTED_VALUE"""),"RIVADAVIA Santiago N")</f>
        <v>RIVADAVIA Santiago N</v>
      </c>
      <c r="F2360" s="1" t="str">
        <f t="shared" si="1"/>
        <v>RIVADAVIA </v>
      </c>
      <c r="G2360" s="1" t="str">
        <f t="shared" si="2"/>
        <v>Santiago N</v>
      </c>
      <c r="H2360" s="1" t="str">
        <f>IFERROR(__xludf.DUMMYFUNCTION("""COMPUTED_VALUE"""),"1/3/2023, 17:00:00")</f>
        <v>1/3/2023, 17:00:00</v>
      </c>
      <c r="I2360" s="1" t="str">
        <f>IFERROR(__xludf.DUMMYFUNCTION("""COMPUTED_VALUE"""),"DEMORADO")</f>
        <v>DEMORADO</v>
      </c>
      <c r="J2360" s="1" t="str">
        <f t="shared" si="3"/>
        <v/>
      </c>
      <c r="K2360" s="1" t="str">
        <f t="shared" si="4"/>
        <v>Tuvimos una demora con tus lentes y no podremos entregarlo en las fecha acordada, estamos trabajando para terminarlos cuanto antes, te mantendremos al tanto, si es necesario contactanos via whatsapp.</v>
      </c>
    </row>
    <row r="2361">
      <c r="A2361" s="1">
        <f>IFERROR(__xludf.DUMMYFUNCTION("""COMPUTED_VALUE"""),86909.0)</f>
        <v>86909</v>
      </c>
      <c r="B2361" s="5">
        <f>IFERROR(__xludf.DUMMYFUNCTION("""COMPUTED_VALUE"""),44981.38089123843)</f>
        <v>44981.38089</v>
      </c>
      <c r="C2361" s="1" t="str">
        <f>IFERROR(__xludf.DUMMYFUNCTION("""COMPUTED_VALUE"""),"DELGADO ADRIANA")</f>
        <v>DELGADO ADRIANA</v>
      </c>
      <c r="D2361" s="1" t="str">
        <f>IFERROR(__xludf.DUMMYFUNCTION("""COMPUTED_VALUE"""),"Lentes de STOCK")</f>
        <v>Lentes de STOCK</v>
      </c>
      <c r="E2361" s="1" t="str">
        <f>IFERROR(__xludf.DUMMYFUNCTION("""COMPUTED_VALUE"""),"RIVADAVIA Daniel CM")</f>
        <v>RIVADAVIA Daniel CM</v>
      </c>
      <c r="F2361" s="1" t="str">
        <f t="shared" si="1"/>
        <v>RIVADAVIA </v>
      </c>
      <c r="G2361" s="1" t="str">
        <f t="shared" si="2"/>
        <v>Daniel CM</v>
      </c>
      <c r="H2361" s="1" t="str">
        <f>IFERROR(__xludf.DUMMYFUNCTION("""COMPUTED_VALUE"""),"28/2/2023, 17:00:00")</f>
        <v>28/2/2023, 17:00:00</v>
      </c>
      <c r="I2361" s="1" t="str">
        <f>IFERROR(__xludf.DUMMYFUNCTION("""COMPUTED_VALUE"""),"Completado en SUCURSAL")</f>
        <v>Completado en SUCURSAL</v>
      </c>
      <c r="J2361" s="1">
        <f t="shared" si="3"/>
        <v>5</v>
      </c>
      <c r="K2361" s="1" t="str">
        <f t="shared" si="4"/>
        <v>Tus Lentes estan LISTAS PARA ENTREGAR, te esperamos.</v>
      </c>
    </row>
    <row r="2362">
      <c r="A2362" s="1">
        <f>IFERROR(__xludf.DUMMYFUNCTION("""COMPUTED_VALUE"""),86910.0)</f>
        <v>86910</v>
      </c>
      <c r="B2362" s="5">
        <f>IFERROR(__xludf.DUMMYFUNCTION("""COMPUTED_VALUE"""),44981.387230567125)</f>
        <v>44981.38723</v>
      </c>
      <c r="C2362" s="1" t="str">
        <f>IFERROR(__xludf.DUMMYFUNCTION("""COMPUTED_VALUE"""),"AGUILERA PEDRO")</f>
        <v>AGUILERA PEDRO</v>
      </c>
      <c r="D2362" s="1" t="str">
        <f>IFERROR(__xludf.DUMMYFUNCTION("""COMPUTED_VALUE"""),"Lentes de STOCK")</f>
        <v>Lentes de STOCK</v>
      </c>
      <c r="E2362" s="1" t="str">
        <f>IFERROR(__xludf.DUMMYFUNCTION("""COMPUTED_VALUE"""),"ARTIGAS Ivana P.")</f>
        <v>ARTIGAS Ivana P.</v>
      </c>
      <c r="F2362" s="1" t="str">
        <f t="shared" si="1"/>
        <v>ARTIGAS </v>
      </c>
      <c r="G2362" s="1" t="str">
        <f t="shared" si="2"/>
        <v>Ivana P.</v>
      </c>
      <c r="H2362" s="1" t="str">
        <f>IFERROR(__xludf.DUMMYFUNCTION("""COMPUTED_VALUE"""),"2/3/2023, 17:00:00")</f>
        <v>2/3/2023, 17:00:00</v>
      </c>
      <c r="I2362" s="1" t="str">
        <f>IFERROR(__xludf.DUMMYFUNCTION("""COMPUTED_VALUE"""),"Recibido en Laboratorio")</f>
        <v>Recibido en Laboratorio</v>
      </c>
      <c r="J2362" s="1">
        <f t="shared" si="3"/>
        <v>2</v>
      </c>
      <c r="K2362" s="1" t="str">
        <f t="shared" si="4"/>
        <v>Nuestro Laboratorio esta trabajando en tus lentes, los entregaremos en la fecha acordada.</v>
      </c>
    </row>
    <row r="2363">
      <c r="A2363" s="1">
        <f>IFERROR(__xludf.DUMMYFUNCTION("""COMPUTED_VALUE"""),86911.0)</f>
        <v>86911</v>
      </c>
      <c r="B2363" s="5">
        <f>IFERROR(__xludf.DUMMYFUNCTION("""COMPUTED_VALUE"""),44981.39863429398)</f>
        <v>44981.39863</v>
      </c>
      <c r="C2363" s="1" t="str">
        <f>IFERROR(__xludf.DUMMYFUNCTION("""COMPUTED_VALUE"""),"ALTAMIRANO RODRIGO")</f>
        <v>ALTAMIRANO RODRIGO</v>
      </c>
      <c r="D2363" s="1" t="str">
        <f>IFERROR(__xludf.DUMMYFUNCTION("""COMPUTED_VALUE"""),"Lentes de LABORATORIO")</f>
        <v>Lentes de LABORATORIO</v>
      </c>
      <c r="E2363" s="1" t="str">
        <f>IFERROR(__xludf.DUMMYFUNCTION("""COMPUTED_VALUE"""),"ARTIGAS Ivana P.")</f>
        <v>ARTIGAS Ivana P.</v>
      </c>
      <c r="F2363" s="1" t="str">
        <f t="shared" si="1"/>
        <v>ARTIGAS </v>
      </c>
      <c r="G2363" s="1" t="str">
        <f t="shared" si="2"/>
        <v>Ivana P.</v>
      </c>
      <c r="H2363" s="1" t="str">
        <f>IFERROR(__xludf.DUMMYFUNCTION("""COMPUTED_VALUE"""),"6/3/2023, 17:00:00")</f>
        <v>6/3/2023, 17:00:00</v>
      </c>
      <c r="I2363" s="1"/>
      <c r="J2363" s="1">
        <f t="shared" si="3"/>
        <v>0</v>
      </c>
      <c r="K2363" s="1" t="str">
        <f t="shared" si="4"/>
        <v/>
      </c>
    </row>
    <row r="2364">
      <c r="A2364" s="1">
        <f>IFERROR(__xludf.DUMMYFUNCTION("""COMPUTED_VALUE"""),86912.0)</f>
        <v>86912</v>
      </c>
      <c r="B2364" s="5">
        <f>IFERROR(__xludf.DUMMYFUNCTION("""COMPUTED_VALUE"""),44981.399529525464)</f>
        <v>44981.39953</v>
      </c>
      <c r="C2364" s="1" t="str">
        <f>IFERROR(__xludf.DUMMYFUNCTION("""COMPUTED_VALUE"""),"Daza Graciela Beatriz")</f>
        <v>Daza Graciela Beatriz</v>
      </c>
      <c r="D2364" s="1" t="str">
        <f>IFERROR(__xludf.DUMMYFUNCTION("""COMPUTED_VALUE"""),"Lentes MULTIFOCALES")</f>
        <v>Lentes MULTIFOCALES</v>
      </c>
      <c r="E2364" s="1" t="str">
        <f>IFERROR(__xludf.DUMMYFUNCTION("""COMPUTED_VALUE"""),"RIVADAVIA Santiago N")</f>
        <v>RIVADAVIA Santiago N</v>
      </c>
      <c r="F2364" s="1" t="str">
        <f t="shared" si="1"/>
        <v>RIVADAVIA </v>
      </c>
      <c r="G2364" s="1" t="str">
        <f t="shared" si="2"/>
        <v>Santiago N</v>
      </c>
      <c r="H2364" s="1" t="str">
        <f>IFERROR(__xludf.DUMMYFUNCTION("""COMPUTED_VALUE"""),"9/3/2023, 17:00:00")</f>
        <v>9/3/2023, 17:00:00</v>
      </c>
      <c r="I2364" s="1" t="str">
        <f>IFERROR(__xludf.DUMMYFUNCTION("""COMPUTED_VALUE"""),"Completado en SUCURSAL")</f>
        <v>Completado en SUCURSAL</v>
      </c>
      <c r="J2364" s="1">
        <f t="shared" si="3"/>
        <v>5</v>
      </c>
      <c r="K2364" s="1" t="str">
        <f t="shared" si="4"/>
        <v>Tus Lentes estan LISTAS PARA ENTREGAR, te esperamos.</v>
      </c>
    </row>
    <row r="2365">
      <c r="A2365" s="1">
        <f>IFERROR(__xludf.DUMMYFUNCTION("""COMPUTED_VALUE"""),86913.0)</f>
        <v>86913</v>
      </c>
      <c r="B2365" s="5">
        <f>IFERROR(__xludf.DUMMYFUNCTION("""COMPUTED_VALUE"""),44981.400356620376)</f>
        <v>44981.40036</v>
      </c>
      <c r="C2365" s="1" t="str">
        <f>IFERROR(__xludf.DUMMYFUNCTION("""COMPUTED_VALUE"""),"ALTAMIRANO RODRIGO")</f>
        <v>ALTAMIRANO RODRIGO</v>
      </c>
      <c r="D2365" s="1" t="str">
        <f>IFERROR(__xludf.DUMMYFUNCTION("""COMPUTED_VALUE"""),"Lentes de LABORATORIO")</f>
        <v>Lentes de LABORATORIO</v>
      </c>
      <c r="E2365" s="1" t="str">
        <f>IFERROR(__xludf.DUMMYFUNCTION("""COMPUTED_VALUE"""),"ARTIGAS Ivana P.")</f>
        <v>ARTIGAS Ivana P.</v>
      </c>
      <c r="F2365" s="1" t="str">
        <f t="shared" si="1"/>
        <v>ARTIGAS </v>
      </c>
      <c r="G2365" s="1" t="str">
        <f t="shared" si="2"/>
        <v>Ivana P.</v>
      </c>
      <c r="H2365" s="1" t="str">
        <f>IFERROR(__xludf.DUMMYFUNCTION("""COMPUTED_VALUE"""),"6/3/2023, 17:00:00")</f>
        <v>6/3/2023, 17:00:00</v>
      </c>
      <c r="I2365" s="1" t="str">
        <f>IFERROR(__xludf.DUMMYFUNCTION("""COMPUTED_VALUE"""),"Completado en SUCURSAL")</f>
        <v>Completado en SUCURSAL</v>
      </c>
      <c r="J2365" s="1">
        <f t="shared" si="3"/>
        <v>5</v>
      </c>
      <c r="K2365" s="1" t="str">
        <f t="shared" si="4"/>
        <v>Tus Lentes estan LISTAS PARA ENTREGAR, te esperamos.</v>
      </c>
    </row>
    <row r="2366">
      <c r="A2366" s="1">
        <f>IFERROR(__xludf.DUMMYFUNCTION("""COMPUTED_VALUE"""),86914.0)</f>
        <v>86914</v>
      </c>
      <c r="B2366" s="5">
        <f>IFERROR(__xludf.DUMMYFUNCTION("""COMPUTED_VALUE"""),44981.415782488424)</f>
        <v>44981.41578</v>
      </c>
      <c r="C2366" s="1" t="str">
        <f>IFERROR(__xludf.DUMMYFUNCTION("""COMPUTED_VALUE"""),"RODRIGUEZ MARIA")</f>
        <v>RODRIGUEZ MARIA</v>
      </c>
      <c r="D2366" s="1" t="str">
        <f>IFERROR(__xludf.DUMMYFUNCTION("""COMPUTED_VALUE"""),"Reparaciones/Otros")</f>
        <v>Reparaciones/Otros</v>
      </c>
      <c r="E2366" s="1" t="str">
        <f>IFERROR(__xludf.DUMMYFUNCTION("""COMPUTED_VALUE"""),"ARTIGAS Ivana P.")</f>
        <v>ARTIGAS Ivana P.</v>
      </c>
      <c r="F2366" s="1" t="str">
        <f t="shared" si="1"/>
        <v>ARTIGAS </v>
      </c>
      <c r="G2366" s="1" t="str">
        <f t="shared" si="2"/>
        <v>Ivana P.</v>
      </c>
      <c r="H2366" s="1" t="str">
        <f>IFERROR(__xludf.DUMMYFUNCTION("""COMPUTED_VALUE"""),"25/2/2023, 17:00:00")</f>
        <v>25/2/2023, 17:00:00</v>
      </c>
      <c r="I2366" s="1" t="str">
        <f>IFERROR(__xludf.DUMMYFUNCTION("""COMPUTED_VALUE"""),"Completado en SUCURSAL")</f>
        <v>Completado en SUCURSAL</v>
      </c>
      <c r="J2366" s="1">
        <f t="shared" si="3"/>
        <v>5</v>
      </c>
      <c r="K2366" s="1" t="str">
        <f t="shared" si="4"/>
        <v>Tus Lentes estan LISTAS PARA ENTREGAR, te esperamos.</v>
      </c>
    </row>
    <row r="2367">
      <c r="A2367" s="1">
        <f>IFERROR(__xludf.DUMMYFUNCTION("""COMPUTED_VALUE"""),86915.0)</f>
        <v>86915</v>
      </c>
      <c r="B2367" s="5">
        <f>IFERROR(__xludf.DUMMYFUNCTION("""COMPUTED_VALUE"""),44981.42041464121)</f>
        <v>44981.42041</v>
      </c>
      <c r="C2367" s="1" t="str">
        <f>IFERROR(__xludf.DUMMYFUNCTION("""COMPUTED_VALUE"""),"paez jose")</f>
        <v>paez jose</v>
      </c>
      <c r="D2367" s="1" t="str">
        <f>IFERROR(__xludf.DUMMYFUNCTION("""COMPUTED_VALUE"""),"Lentes de STOCK")</f>
        <v>Lentes de STOCK</v>
      </c>
      <c r="E2367" s="1" t="str">
        <f>IFERROR(__xludf.DUMMYFUNCTION("""COMPUTED_VALUE"""),"RIVADAVIA Santiago N")</f>
        <v>RIVADAVIA Santiago N</v>
      </c>
      <c r="F2367" s="1" t="str">
        <f t="shared" si="1"/>
        <v>RIVADAVIA </v>
      </c>
      <c r="G2367" s="1" t="str">
        <f t="shared" si="2"/>
        <v>Santiago N</v>
      </c>
      <c r="H2367" s="1" t="str">
        <f>IFERROR(__xludf.DUMMYFUNCTION("""COMPUTED_VALUE"""),"27/2/2023, 17:00:00")</f>
        <v>27/2/2023, 17:00:00</v>
      </c>
      <c r="I2367" s="1" t="str">
        <f>IFERROR(__xludf.DUMMYFUNCTION("""COMPUTED_VALUE"""),"Completado en SUCURSAL")</f>
        <v>Completado en SUCURSAL</v>
      </c>
      <c r="J2367" s="1">
        <f t="shared" si="3"/>
        <v>5</v>
      </c>
      <c r="K2367" s="1" t="str">
        <f t="shared" si="4"/>
        <v>Tus Lentes estan LISTAS PARA ENTREGAR, te esperamos.</v>
      </c>
    </row>
    <row r="2368">
      <c r="A2368" s="1">
        <f>IFERROR(__xludf.DUMMYFUNCTION("""COMPUTED_VALUE"""),86916.0)</f>
        <v>86916</v>
      </c>
      <c r="B2368" s="5">
        <f>IFERROR(__xludf.DUMMYFUNCTION("""COMPUTED_VALUE"""),44981.42551903935)</f>
        <v>44981.42552</v>
      </c>
      <c r="C2368" s="1" t="str">
        <f>IFERROR(__xludf.DUMMYFUNCTION("""COMPUTED_VALUE"""),"CHOCONI ALICIA INES")</f>
        <v>CHOCONI ALICIA INES</v>
      </c>
      <c r="D2368" s="1" t="str">
        <f>IFERROR(__xludf.DUMMYFUNCTION("""COMPUTED_VALUE"""),"Lentes de STOCK")</f>
        <v>Lentes de STOCK</v>
      </c>
      <c r="E2368" s="1" t="str">
        <f>IFERROR(__xludf.DUMMYFUNCTION("""COMPUTED_VALUE"""),"RIVADAVIA Luciana")</f>
        <v>RIVADAVIA Luciana</v>
      </c>
      <c r="F2368" s="1" t="str">
        <f t="shared" si="1"/>
        <v>RIVADAVIA </v>
      </c>
      <c r="G2368" s="1" t="str">
        <f t="shared" si="2"/>
        <v>Luciana</v>
      </c>
      <c r="H2368" s="1" t="str">
        <f>IFERROR(__xludf.DUMMYFUNCTION("""COMPUTED_VALUE"""),"1/3/2023, 17:00:00")</f>
        <v>1/3/2023, 17:00:00</v>
      </c>
      <c r="I2368" s="1" t="str">
        <f>IFERROR(__xludf.DUMMYFUNCTION("""COMPUTED_VALUE"""),"Recibido en Laboratorio")</f>
        <v>Recibido en Laboratorio</v>
      </c>
      <c r="J2368" s="1">
        <f t="shared" si="3"/>
        <v>2</v>
      </c>
      <c r="K2368" s="1" t="str">
        <f t="shared" si="4"/>
        <v>Nuestro Laboratorio esta trabajando en tus lentes, los entregaremos en la fecha acordada.</v>
      </c>
    </row>
    <row r="2369">
      <c r="A2369" s="1">
        <f>IFERROR(__xludf.DUMMYFUNCTION("""COMPUTED_VALUE"""),86917.0)</f>
        <v>86917</v>
      </c>
      <c r="B2369" s="5">
        <f>IFERROR(__xludf.DUMMYFUNCTION("""COMPUTED_VALUE"""),44981.42607021991)</f>
        <v>44981.42607</v>
      </c>
      <c r="C2369" s="1" t="str">
        <f>IFERROR(__xludf.DUMMYFUNCTION("""COMPUTED_VALUE"""),"CAROSELLA MIRIAM")</f>
        <v>CAROSELLA MIRIAM</v>
      </c>
      <c r="D2369" s="1" t="str">
        <f>IFERROR(__xludf.DUMMYFUNCTION("""COMPUTED_VALUE"""),"Lentes de STOCK")</f>
        <v>Lentes de STOCK</v>
      </c>
      <c r="E2369" s="1" t="str">
        <f>IFERROR(__xludf.DUMMYFUNCTION("""COMPUTED_VALUE"""),"ARTIGAS Ivana P.")</f>
        <v>ARTIGAS Ivana P.</v>
      </c>
      <c r="F2369" s="1" t="str">
        <f t="shared" si="1"/>
        <v>ARTIGAS </v>
      </c>
      <c r="G2369" s="1" t="str">
        <f t="shared" si="2"/>
        <v>Ivana P.</v>
      </c>
      <c r="H2369" s="1" t="str">
        <f>IFERROR(__xludf.DUMMYFUNCTION("""COMPUTED_VALUE"""),"1/3/2023, 17:00:00")</f>
        <v>1/3/2023, 17:00:00</v>
      </c>
      <c r="I2369" s="1" t="str">
        <f>IFERROR(__xludf.DUMMYFUNCTION("""COMPUTED_VALUE"""),"Recibido en Laboratorio")</f>
        <v>Recibido en Laboratorio</v>
      </c>
      <c r="J2369" s="1">
        <f t="shared" si="3"/>
        <v>2</v>
      </c>
      <c r="K2369" s="1" t="str">
        <f t="shared" si="4"/>
        <v>Nuestro Laboratorio esta trabajando en tus lentes, los entregaremos en la fecha acordada.</v>
      </c>
    </row>
    <row r="2370">
      <c r="A2370" s="1">
        <f>IFERROR(__xludf.DUMMYFUNCTION("""COMPUTED_VALUE"""),86918.0)</f>
        <v>86918</v>
      </c>
      <c r="B2370" s="5">
        <f>IFERROR(__xludf.DUMMYFUNCTION("""COMPUTED_VALUE"""),44981.43021046296)</f>
        <v>44981.43021</v>
      </c>
      <c r="C2370" s="1" t="str">
        <f>IFERROR(__xludf.DUMMYFUNCTION("""COMPUTED_VALUE"""),"VALLEJOS MIRTA")</f>
        <v>VALLEJOS MIRTA</v>
      </c>
      <c r="D2370" s="1" t="str">
        <f>IFERROR(__xludf.DUMMYFUNCTION("""COMPUTED_VALUE"""),"Reparaciones/Otros")</f>
        <v>Reparaciones/Otros</v>
      </c>
      <c r="E2370" s="1" t="str">
        <f>IFERROR(__xludf.DUMMYFUNCTION("""COMPUTED_VALUE"""),"ARTIGAS Ivana P.")</f>
        <v>ARTIGAS Ivana P.</v>
      </c>
      <c r="F2370" s="1" t="str">
        <f t="shared" si="1"/>
        <v>ARTIGAS </v>
      </c>
      <c r="G2370" s="1" t="str">
        <f t="shared" si="2"/>
        <v>Ivana P.</v>
      </c>
      <c r="H2370" s="1" t="str">
        <f>IFERROR(__xludf.DUMMYFUNCTION("""COMPUTED_VALUE"""),"25/2/2023, 17:00:00")</f>
        <v>25/2/2023, 17:00:00</v>
      </c>
      <c r="I2370" s="1" t="str">
        <f>IFERROR(__xludf.DUMMYFUNCTION("""COMPUTED_VALUE"""),"Recibido en Laboratorio")</f>
        <v>Recibido en Laboratorio</v>
      </c>
      <c r="J2370" s="1">
        <f t="shared" si="3"/>
        <v>2</v>
      </c>
      <c r="K2370" s="1" t="str">
        <f t="shared" si="4"/>
        <v>Nuestro Laboratorio esta trabajando en tus lentes, los entregaremos en la fecha acordada.</v>
      </c>
    </row>
    <row r="2371">
      <c r="A2371" s="1">
        <f>IFERROR(__xludf.DUMMYFUNCTION("""COMPUTED_VALUE"""),86919.0)</f>
        <v>86919</v>
      </c>
      <c r="B2371" s="5">
        <f>IFERROR(__xludf.DUMMYFUNCTION("""COMPUTED_VALUE"""),44981.43033603009)</f>
        <v>44981.43034</v>
      </c>
      <c r="C2371" s="1" t="str">
        <f>IFERROR(__xludf.DUMMYFUNCTION("""COMPUTED_VALUE"""),"Epinoza Elia")</f>
        <v>Epinoza Elia</v>
      </c>
      <c r="D2371" s="1" t="str">
        <f>IFERROR(__xludf.DUMMYFUNCTION("""COMPUTED_VALUE"""),"Reparaciones/Otros")</f>
        <v>Reparaciones/Otros</v>
      </c>
      <c r="E2371" s="1" t="str">
        <f>IFERROR(__xludf.DUMMYFUNCTION("""COMPUTED_VALUE"""),"ARTIGAS Sandra G")</f>
        <v>ARTIGAS Sandra G</v>
      </c>
      <c r="F2371" s="1" t="str">
        <f t="shared" si="1"/>
        <v>ARTIGAS </v>
      </c>
      <c r="G2371" s="1" t="str">
        <f t="shared" si="2"/>
        <v>Sandra G</v>
      </c>
      <c r="H2371" s="1" t="str">
        <f>IFERROR(__xludf.DUMMYFUNCTION("""COMPUTED_VALUE"""),"25/2/2023, 17:00:00")</f>
        <v>25/2/2023, 17:00:00</v>
      </c>
      <c r="I2371" s="1" t="str">
        <f>IFERROR(__xludf.DUMMYFUNCTION("""COMPUTED_VALUE"""),"Completado en SUCURSAL")</f>
        <v>Completado en SUCURSAL</v>
      </c>
      <c r="J2371" s="1">
        <f t="shared" si="3"/>
        <v>5</v>
      </c>
      <c r="K2371" s="1" t="str">
        <f t="shared" si="4"/>
        <v>Tus Lentes estan LISTAS PARA ENTREGAR, te esperamos.</v>
      </c>
    </row>
    <row r="2372">
      <c r="A2372" s="1">
        <f>IFERROR(__xludf.DUMMYFUNCTION("""COMPUTED_VALUE"""),86920.0)</f>
        <v>86920</v>
      </c>
      <c r="B2372" s="5">
        <f>IFERROR(__xludf.DUMMYFUNCTION("""COMPUTED_VALUE"""),44981.43362299768)</f>
        <v>44981.43362</v>
      </c>
      <c r="C2372" s="1" t="str">
        <f>IFERROR(__xludf.DUMMYFUNCTION("""COMPUTED_VALUE"""),"ESPINOZA ELIA")</f>
        <v>ESPINOZA ELIA</v>
      </c>
      <c r="D2372" s="1" t="str">
        <f>IFERROR(__xludf.DUMMYFUNCTION("""COMPUTED_VALUE"""),"Lentes de STOCK")</f>
        <v>Lentes de STOCK</v>
      </c>
      <c r="E2372" s="1" t="str">
        <f>IFERROR(__xludf.DUMMYFUNCTION("""COMPUTED_VALUE"""),"ARTIGAS Ivana P.")</f>
        <v>ARTIGAS Ivana P.</v>
      </c>
      <c r="F2372" s="1" t="str">
        <f t="shared" si="1"/>
        <v>ARTIGAS </v>
      </c>
      <c r="G2372" s="1" t="str">
        <f t="shared" si="2"/>
        <v>Ivana P.</v>
      </c>
      <c r="H2372" s="1" t="str">
        <f>IFERROR(__xludf.DUMMYFUNCTION("""COMPUTED_VALUE"""),"1/3/2023, 17:00:00")</f>
        <v>1/3/2023, 17:00:00</v>
      </c>
      <c r="I2372" s="1" t="str">
        <f>IFERROR(__xludf.DUMMYFUNCTION("""COMPUTED_VALUE"""),"RETIRADO OK POR CLIENTE")</f>
        <v>RETIRADO OK POR CLIENTE</v>
      </c>
      <c r="J2372" s="1">
        <f t="shared" si="3"/>
        <v>6</v>
      </c>
      <c r="K2372" s="1" t="str">
        <f t="shared" si="4"/>
        <v>Entregamos tus lentes, que los disfrutes!</v>
      </c>
    </row>
    <row r="2373">
      <c r="A2373" s="1">
        <f>IFERROR(__xludf.DUMMYFUNCTION("""COMPUTED_VALUE"""),86921.0)</f>
        <v>86921</v>
      </c>
      <c r="B2373" s="5">
        <f>IFERROR(__xludf.DUMMYFUNCTION("""COMPUTED_VALUE"""),44981.43923800926)</f>
        <v>44981.43924</v>
      </c>
      <c r="C2373" s="1" t="str">
        <f>IFERROR(__xludf.DUMMYFUNCTION("""COMPUTED_VALUE"""),"solano lautaro ")</f>
        <v>solano lautaro </v>
      </c>
      <c r="D2373" s="1" t="str">
        <f>IFERROR(__xludf.DUMMYFUNCTION("""COMPUTED_VALUE"""),"Lentes de STOCK")</f>
        <v>Lentes de STOCK</v>
      </c>
      <c r="E2373" s="1" t="str">
        <f>IFERROR(__xludf.DUMMYFUNCTION("""COMPUTED_VALUE"""),"RIVADAVIA Santiago N")</f>
        <v>RIVADAVIA Santiago N</v>
      </c>
      <c r="F2373" s="1" t="str">
        <f t="shared" si="1"/>
        <v>RIVADAVIA </v>
      </c>
      <c r="G2373" s="1" t="str">
        <f t="shared" si="2"/>
        <v>Santiago N</v>
      </c>
      <c r="H2373" s="1" t="str">
        <f>IFERROR(__xludf.DUMMYFUNCTION("""COMPUTED_VALUE"""),"27/2/2023, 17:00:00")</f>
        <v>27/2/2023, 17:00:00</v>
      </c>
      <c r="I2373" s="1" t="str">
        <f>IFERROR(__xludf.DUMMYFUNCTION("""COMPUTED_VALUE"""),"Completado en SUCURSAL")</f>
        <v>Completado en SUCURSAL</v>
      </c>
      <c r="J2373" s="1">
        <f t="shared" si="3"/>
        <v>5</v>
      </c>
      <c r="K2373" s="1" t="str">
        <f t="shared" si="4"/>
        <v>Tus Lentes estan LISTAS PARA ENTREGAR, te esperamos.</v>
      </c>
    </row>
    <row r="2374">
      <c r="A2374" s="1">
        <f>IFERROR(__xludf.DUMMYFUNCTION("""COMPUTED_VALUE"""),86922.0)</f>
        <v>86922</v>
      </c>
      <c r="B2374" s="5">
        <f>IFERROR(__xludf.DUMMYFUNCTION("""COMPUTED_VALUE"""),44981.439327569446)</f>
        <v>44981.43933</v>
      </c>
      <c r="C2374" s="1" t="str">
        <f>IFERROR(__xludf.DUMMYFUNCTION("""COMPUTED_VALUE"""),"OLMEDO JUAN DOMINGO")</f>
        <v>OLMEDO JUAN DOMINGO</v>
      </c>
      <c r="D2374" s="1" t="str">
        <f>IFERROR(__xludf.DUMMYFUNCTION("""COMPUTED_VALUE"""),"Lentes de STOCK")</f>
        <v>Lentes de STOCK</v>
      </c>
      <c r="E2374" s="1" t="str">
        <f>IFERROR(__xludf.DUMMYFUNCTION("""COMPUTED_VALUE"""),"ARTIGAS Ivana P.")</f>
        <v>ARTIGAS Ivana P.</v>
      </c>
      <c r="F2374" s="1" t="str">
        <f t="shared" si="1"/>
        <v>ARTIGAS </v>
      </c>
      <c r="G2374" s="1" t="str">
        <f t="shared" si="2"/>
        <v>Ivana P.</v>
      </c>
      <c r="H2374" s="1" t="str">
        <f>IFERROR(__xludf.DUMMYFUNCTION("""COMPUTED_VALUE"""),"27/2/2023, 17:00:00")</f>
        <v>27/2/2023, 17:00:00</v>
      </c>
      <c r="I2374" s="1" t="str">
        <f>IFERROR(__xludf.DUMMYFUNCTION("""COMPUTED_VALUE"""),"Recibido en Laboratorio")</f>
        <v>Recibido en Laboratorio</v>
      </c>
      <c r="J2374" s="1">
        <f t="shared" si="3"/>
        <v>2</v>
      </c>
      <c r="K2374" s="1" t="str">
        <f t="shared" si="4"/>
        <v>Nuestro Laboratorio esta trabajando en tus lentes, los entregaremos en la fecha acordada.</v>
      </c>
    </row>
    <row r="2375">
      <c r="A2375" s="1">
        <f>IFERROR(__xludf.DUMMYFUNCTION("""COMPUTED_VALUE"""),86923.0)</f>
        <v>86923</v>
      </c>
      <c r="B2375" s="5">
        <f>IFERROR(__xludf.DUMMYFUNCTION("""COMPUTED_VALUE"""),44981.44468295139)</f>
        <v>44981.44468</v>
      </c>
      <c r="C2375" s="1" t="str">
        <f>IFERROR(__xludf.DUMMYFUNCTION("""COMPUTED_VALUE"""),"lucero norma edith")</f>
        <v>lucero norma edith</v>
      </c>
      <c r="D2375" s="1" t="str">
        <f>IFERROR(__xludf.DUMMYFUNCTION("""COMPUTED_VALUE"""),"Lentes de STOCK")</f>
        <v>Lentes de STOCK</v>
      </c>
      <c r="E2375" s="1" t="str">
        <f>IFERROR(__xludf.DUMMYFUNCTION("""COMPUTED_VALUE"""),"RIVADAVIA Santiago N")</f>
        <v>RIVADAVIA Santiago N</v>
      </c>
      <c r="F2375" s="1" t="str">
        <f t="shared" si="1"/>
        <v>RIVADAVIA </v>
      </c>
      <c r="G2375" s="1" t="str">
        <f t="shared" si="2"/>
        <v>Santiago N</v>
      </c>
      <c r="H2375" s="1" t="str">
        <f>IFERROR(__xludf.DUMMYFUNCTION("""COMPUTED_VALUE"""),"27/2/2023, 17:00:00")</f>
        <v>27/2/2023, 17:00:00</v>
      </c>
      <c r="I2375" s="1" t="str">
        <f>IFERROR(__xludf.DUMMYFUNCTION("""COMPUTED_VALUE"""),"RETIRADO OK POR CLIENTE")</f>
        <v>RETIRADO OK POR CLIENTE</v>
      </c>
      <c r="J2375" s="1">
        <f t="shared" si="3"/>
        <v>6</v>
      </c>
      <c r="K2375" s="1" t="str">
        <f t="shared" si="4"/>
        <v>Entregamos tus lentes, que los disfrutes!</v>
      </c>
    </row>
    <row r="2376">
      <c r="A2376" s="1">
        <f>IFERROR(__xludf.DUMMYFUNCTION("""COMPUTED_VALUE"""),86924.0)</f>
        <v>86924</v>
      </c>
      <c r="B2376" s="5">
        <f>IFERROR(__xludf.DUMMYFUNCTION("""COMPUTED_VALUE"""),44981.44512613426)</f>
        <v>44981.44513</v>
      </c>
      <c r="C2376" s="1" t="str">
        <f>IFERROR(__xludf.DUMMYFUNCTION("""COMPUTED_VALUE"""),"OVIEDO VANESA")</f>
        <v>OVIEDO VANESA</v>
      </c>
      <c r="D2376" s="1" t="str">
        <f>IFERROR(__xludf.DUMMYFUNCTION("""COMPUTED_VALUE"""),"Lentes de STOCK")</f>
        <v>Lentes de STOCK</v>
      </c>
      <c r="E2376" s="1" t="str">
        <f>IFERROR(__xludf.DUMMYFUNCTION("""COMPUTED_VALUE"""),"RIVADAVIA Luciana")</f>
        <v>RIVADAVIA Luciana</v>
      </c>
      <c r="F2376" s="1" t="str">
        <f t="shared" si="1"/>
        <v>RIVADAVIA </v>
      </c>
      <c r="G2376" s="1" t="str">
        <f t="shared" si="2"/>
        <v>Luciana</v>
      </c>
      <c r="H2376" s="1" t="str">
        <f>IFERROR(__xludf.DUMMYFUNCTION("""COMPUTED_VALUE"""),"2/3/2023, 17:00:00")</f>
        <v>2/3/2023, 17:00:00</v>
      </c>
      <c r="I2376" s="1" t="str">
        <f>IFERROR(__xludf.DUMMYFUNCTION("""COMPUTED_VALUE"""),"Recibido en Laboratorio")</f>
        <v>Recibido en Laboratorio</v>
      </c>
      <c r="J2376" s="1">
        <f t="shared" si="3"/>
        <v>2</v>
      </c>
      <c r="K2376" s="1" t="str">
        <f t="shared" si="4"/>
        <v>Nuestro Laboratorio esta trabajando en tus lentes, los entregaremos en la fecha acordada.</v>
      </c>
    </row>
    <row r="2377">
      <c r="A2377" s="1">
        <f>IFERROR(__xludf.DUMMYFUNCTION("""COMPUTED_VALUE"""),86925.0)</f>
        <v>86925</v>
      </c>
      <c r="B2377" s="5">
        <f>IFERROR(__xludf.DUMMYFUNCTION("""COMPUTED_VALUE"""),44981.451226053236)</f>
        <v>44981.45123</v>
      </c>
      <c r="C2377" s="1" t="str">
        <f>IFERROR(__xludf.DUMMYFUNCTION("""COMPUTED_VALUE"""),"BRAVO ANGELICA")</f>
        <v>BRAVO ANGELICA</v>
      </c>
      <c r="D2377" s="1" t="str">
        <f>IFERROR(__xludf.DUMMYFUNCTION("""COMPUTED_VALUE"""),"Reparaciones/Otros")</f>
        <v>Reparaciones/Otros</v>
      </c>
      <c r="E2377" s="1" t="str">
        <f>IFERROR(__xludf.DUMMYFUNCTION("""COMPUTED_VALUE"""),"RIVADAVIA Daniel CM")</f>
        <v>RIVADAVIA Daniel CM</v>
      </c>
      <c r="F2377" s="1" t="str">
        <f t="shared" si="1"/>
        <v>RIVADAVIA </v>
      </c>
      <c r="G2377" s="1" t="str">
        <f t="shared" si="2"/>
        <v>Daniel CM</v>
      </c>
      <c r="H2377" s="1" t="str">
        <f>IFERROR(__xludf.DUMMYFUNCTION("""COMPUTED_VALUE"""),"25/2/2023, 17:00:00")</f>
        <v>25/2/2023, 17:00:00</v>
      </c>
      <c r="I2377" s="1" t="str">
        <f>IFERROR(__xludf.DUMMYFUNCTION("""COMPUTED_VALUE"""),"Completado en SUCURSAL")</f>
        <v>Completado en SUCURSAL</v>
      </c>
      <c r="J2377" s="1">
        <f t="shared" si="3"/>
        <v>5</v>
      </c>
      <c r="K2377" s="1" t="str">
        <f t="shared" si="4"/>
        <v>Tus Lentes estan LISTAS PARA ENTREGAR, te esperamos.</v>
      </c>
    </row>
    <row r="2378">
      <c r="A2378" s="1">
        <f>IFERROR(__xludf.DUMMYFUNCTION("""COMPUTED_VALUE"""),86926.0)</f>
        <v>86926</v>
      </c>
      <c r="B2378" s="5">
        <f>IFERROR(__xludf.DUMMYFUNCTION("""COMPUTED_VALUE"""),44981.45873155093)</f>
        <v>44981.45873</v>
      </c>
      <c r="C2378" s="1" t="str">
        <f>IFERROR(__xludf.DUMMYFUNCTION("""COMPUTED_VALUE"""),"GUZMAN MARIa")</f>
        <v>GUZMAN MARIa</v>
      </c>
      <c r="D2378" s="1" t="str">
        <f>IFERROR(__xludf.DUMMYFUNCTION("""COMPUTED_VALUE"""),"Lentes de STOCK")</f>
        <v>Lentes de STOCK</v>
      </c>
      <c r="E2378" s="1" t="str">
        <f>IFERROR(__xludf.DUMMYFUNCTION("""COMPUTED_VALUE"""),"ARTIGAS Roció")</f>
        <v>ARTIGAS Roció</v>
      </c>
      <c r="F2378" s="1" t="str">
        <f t="shared" si="1"/>
        <v>ARTIGAS </v>
      </c>
      <c r="G2378" s="1" t="str">
        <f t="shared" si="2"/>
        <v>Roció</v>
      </c>
      <c r="H2378" s="1" t="str">
        <f>IFERROR(__xludf.DUMMYFUNCTION("""COMPUTED_VALUE"""),"27/2/2023, 17:00:00")</f>
        <v>27/2/2023, 17:00:00</v>
      </c>
      <c r="I2378" s="1" t="str">
        <f>IFERROR(__xludf.DUMMYFUNCTION("""COMPUTED_VALUE"""),"Recibido en Laboratorio")</f>
        <v>Recibido en Laboratorio</v>
      </c>
      <c r="J2378" s="1">
        <f t="shared" si="3"/>
        <v>2</v>
      </c>
      <c r="K2378" s="1" t="str">
        <f t="shared" si="4"/>
        <v>Nuestro Laboratorio esta trabajando en tus lentes, los entregaremos en la fecha acordada.</v>
      </c>
    </row>
    <row r="2379">
      <c r="A2379" s="1">
        <f>IFERROR(__xludf.DUMMYFUNCTION("""COMPUTED_VALUE"""),86927.0)</f>
        <v>86927</v>
      </c>
      <c r="B2379" s="5">
        <f>IFERROR(__xludf.DUMMYFUNCTION("""COMPUTED_VALUE"""),44981.460210115736)</f>
        <v>44981.46021</v>
      </c>
      <c r="C2379" s="1" t="str">
        <f>IFERROR(__xludf.DUMMYFUNCTION("""COMPUTED_VALUE"""),"CRESPIA ANGELICA")</f>
        <v>CRESPIA ANGELICA</v>
      </c>
      <c r="D2379" s="1" t="str">
        <f>IFERROR(__xludf.DUMMYFUNCTION("""COMPUTED_VALUE"""),"Lentes de STOCK")</f>
        <v>Lentes de STOCK</v>
      </c>
      <c r="E2379" s="1" t="str">
        <f>IFERROR(__xludf.DUMMYFUNCTION("""COMPUTED_VALUE"""),"ARTIGAS Ivana P.")</f>
        <v>ARTIGAS Ivana P.</v>
      </c>
      <c r="F2379" s="1" t="str">
        <f t="shared" si="1"/>
        <v>ARTIGAS </v>
      </c>
      <c r="G2379" s="1" t="str">
        <f t="shared" si="2"/>
        <v>Ivana P.</v>
      </c>
      <c r="H2379" s="1" t="str">
        <f>IFERROR(__xludf.DUMMYFUNCTION("""COMPUTED_VALUE"""),"2/3/2023, 17:00:00")</f>
        <v>2/3/2023, 17:00:00</v>
      </c>
      <c r="I2379" s="1" t="str">
        <f>IFERROR(__xludf.DUMMYFUNCTION("""COMPUTED_VALUE"""),"Completado en SUCURSAL")</f>
        <v>Completado en SUCURSAL</v>
      </c>
      <c r="J2379" s="1">
        <f t="shared" si="3"/>
        <v>5</v>
      </c>
      <c r="K2379" s="1" t="str">
        <f t="shared" si="4"/>
        <v>Tus Lentes estan LISTAS PARA ENTREGAR, te esperamos.</v>
      </c>
    </row>
    <row r="2380">
      <c r="A2380" s="1">
        <f>IFERROR(__xludf.DUMMYFUNCTION("""COMPUTED_VALUE"""),86928.0)</f>
        <v>86928</v>
      </c>
      <c r="B2380" s="5">
        <f>IFERROR(__xludf.DUMMYFUNCTION("""COMPUTED_VALUE"""),44981.46093159722)</f>
        <v>44981.46093</v>
      </c>
      <c r="C2380" s="1" t="str">
        <f>IFERROR(__xludf.DUMMYFUNCTION("""COMPUTED_VALUE"""),"algañaraz mariana")</f>
        <v>algañaraz mariana</v>
      </c>
      <c r="D2380" s="1" t="str">
        <f>IFERROR(__xludf.DUMMYFUNCTION("""COMPUTED_VALUE"""),"Lentes de STOCK")</f>
        <v>Lentes de STOCK</v>
      </c>
      <c r="E2380" s="1" t="str">
        <f>IFERROR(__xludf.DUMMYFUNCTION("""COMPUTED_VALUE"""),"RIVADAVIA Santiago N")</f>
        <v>RIVADAVIA Santiago N</v>
      </c>
      <c r="F2380" s="1" t="str">
        <f t="shared" si="1"/>
        <v>RIVADAVIA </v>
      </c>
      <c r="G2380" s="1" t="str">
        <f t="shared" si="2"/>
        <v>Santiago N</v>
      </c>
      <c r="H2380" s="1" t="str">
        <f>IFERROR(__xludf.DUMMYFUNCTION("""COMPUTED_VALUE"""),"2/3/2023, 17:00:00")</f>
        <v>2/3/2023, 17:00:00</v>
      </c>
      <c r="I2380" s="1" t="str">
        <f>IFERROR(__xludf.DUMMYFUNCTION("""COMPUTED_VALUE"""),"Completado en SUCURSAL")</f>
        <v>Completado en SUCURSAL</v>
      </c>
      <c r="J2380" s="1">
        <f t="shared" si="3"/>
        <v>5</v>
      </c>
      <c r="K2380" s="1" t="str">
        <f t="shared" si="4"/>
        <v>Tus Lentes estan LISTAS PARA ENTREGAR, te esperamos.</v>
      </c>
    </row>
    <row r="2381">
      <c r="A2381" s="1">
        <f>IFERROR(__xludf.DUMMYFUNCTION("""COMPUTED_VALUE"""),86929.0)</f>
        <v>86929</v>
      </c>
      <c r="B2381" s="5">
        <f>IFERROR(__xludf.DUMMYFUNCTION("""COMPUTED_VALUE"""),44981.46168142361)</f>
        <v>44981.46168</v>
      </c>
      <c r="C2381" s="1" t="str">
        <f>IFERROR(__xludf.DUMMYFUNCTION("""COMPUTED_VALUE"""),"GONZALEZ ROCIO BELEN")</f>
        <v>GONZALEZ ROCIO BELEN</v>
      </c>
      <c r="D2381" s="1" t="str">
        <f>IFERROR(__xludf.DUMMYFUNCTION("""COMPUTED_VALUE"""),"Lentes de STOCK")</f>
        <v>Lentes de STOCK</v>
      </c>
      <c r="E2381" s="1" t="str">
        <f>IFERROR(__xludf.DUMMYFUNCTION("""COMPUTED_VALUE"""),"ARTIGAS Roció")</f>
        <v>ARTIGAS Roció</v>
      </c>
      <c r="F2381" s="1" t="str">
        <f t="shared" si="1"/>
        <v>ARTIGAS </v>
      </c>
      <c r="G2381" s="1" t="str">
        <f t="shared" si="2"/>
        <v>Roció</v>
      </c>
      <c r="H2381" s="1" t="str">
        <f>IFERROR(__xludf.DUMMYFUNCTION("""COMPUTED_VALUE"""),"7/3/2023, 17:00:00")</f>
        <v>7/3/2023, 17:00:00</v>
      </c>
      <c r="I2381" s="1" t="str">
        <f>IFERROR(__xludf.DUMMYFUNCTION("""COMPUTED_VALUE"""),"Completado en SUCURSAL")</f>
        <v>Completado en SUCURSAL</v>
      </c>
      <c r="J2381" s="1">
        <f t="shared" si="3"/>
        <v>5</v>
      </c>
      <c r="K2381" s="1" t="str">
        <f t="shared" si="4"/>
        <v>Tus Lentes estan LISTAS PARA ENTREGAR, te esperamos.</v>
      </c>
    </row>
    <row r="2382">
      <c r="A2382" s="1">
        <f>IFERROR(__xludf.DUMMYFUNCTION("""COMPUTED_VALUE"""),86930.0)</f>
        <v>86930</v>
      </c>
      <c r="B2382" s="5">
        <f>IFERROR(__xludf.DUMMYFUNCTION("""COMPUTED_VALUE"""),44981.46675658565)</f>
        <v>44981.46676</v>
      </c>
      <c r="C2382" s="1" t="str">
        <f>IFERROR(__xludf.DUMMYFUNCTION("""COMPUTED_VALUE"""),"PAGANINI RUT")</f>
        <v>PAGANINI RUT</v>
      </c>
      <c r="D2382" s="1" t="str">
        <f>IFERROR(__xludf.DUMMYFUNCTION("""COMPUTED_VALUE"""),"Reparaciones/Otros")</f>
        <v>Reparaciones/Otros</v>
      </c>
      <c r="E2382" s="1" t="str">
        <f>IFERROR(__xludf.DUMMYFUNCTION("""COMPUTED_VALUE"""),"ARTIGAS Ivana P.")</f>
        <v>ARTIGAS Ivana P.</v>
      </c>
      <c r="F2382" s="1" t="str">
        <f t="shared" si="1"/>
        <v>ARTIGAS </v>
      </c>
      <c r="G2382" s="1" t="str">
        <f t="shared" si="2"/>
        <v>Ivana P.</v>
      </c>
      <c r="H2382" s="1" t="str">
        <f>IFERROR(__xludf.DUMMYFUNCTION("""COMPUTED_VALUE"""),"25/2/2023, 17:00:00")</f>
        <v>25/2/2023, 17:00:00</v>
      </c>
      <c r="I2382" s="1" t="str">
        <f>IFERROR(__xludf.DUMMYFUNCTION("""COMPUTED_VALUE"""),"Completado en SUCURSAL")</f>
        <v>Completado en SUCURSAL</v>
      </c>
      <c r="J2382" s="1">
        <f t="shared" si="3"/>
        <v>5</v>
      </c>
      <c r="K2382" s="1" t="str">
        <f t="shared" si="4"/>
        <v>Tus Lentes estan LISTAS PARA ENTREGAR, te esperamos.</v>
      </c>
    </row>
    <row r="2383">
      <c r="A2383" s="1">
        <f>IFERROR(__xludf.DUMMYFUNCTION("""COMPUTED_VALUE"""),86931.0)</f>
        <v>86931</v>
      </c>
      <c r="B2383" s="5">
        <f>IFERROR(__xludf.DUMMYFUNCTION("""COMPUTED_VALUE"""),44981.47733363426)</f>
        <v>44981.47733</v>
      </c>
      <c r="C2383" s="1" t="str">
        <f>IFERROR(__xludf.DUMMYFUNCTION("""COMPUTED_VALUE"""),"ZAIETTA MARIA")</f>
        <v>ZAIETTA MARIA</v>
      </c>
      <c r="D2383" s="1" t="str">
        <f>IFERROR(__xludf.DUMMYFUNCTION("""COMPUTED_VALUE"""),"Lentes de STOCK")</f>
        <v>Lentes de STOCK</v>
      </c>
      <c r="E2383" s="1" t="str">
        <f>IFERROR(__xludf.DUMMYFUNCTION("""COMPUTED_VALUE"""),"RIVADAVIA Santiago LOPEZ")</f>
        <v>RIVADAVIA Santiago LOPEZ</v>
      </c>
      <c r="F2383" s="1" t="str">
        <f t="shared" si="1"/>
        <v>RIVADAVIA </v>
      </c>
      <c r="G2383" s="1" t="str">
        <f t="shared" si="2"/>
        <v>Santiago LOPEZ</v>
      </c>
      <c r="H2383" s="1" t="str">
        <f>IFERROR(__xludf.DUMMYFUNCTION("""COMPUTED_VALUE"""),"27/2/2023, 17:00:00")</f>
        <v>27/2/2023, 17:00:00</v>
      </c>
      <c r="I2383" s="1" t="str">
        <f>IFERROR(__xludf.DUMMYFUNCTION("""COMPUTED_VALUE"""),"Completado en SUCURSAL")</f>
        <v>Completado en SUCURSAL</v>
      </c>
      <c r="J2383" s="1">
        <f t="shared" si="3"/>
        <v>5</v>
      </c>
      <c r="K2383" s="1" t="str">
        <f t="shared" si="4"/>
        <v>Tus Lentes estan LISTAS PARA ENTREGAR, te esperamos.</v>
      </c>
    </row>
    <row r="2384">
      <c r="A2384" s="1">
        <f>IFERROR(__xludf.DUMMYFUNCTION("""COMPUTED_VALUE"""),86932.0)</f>
        <v>86932</v>
      </c>
      <c r="B2384" s="5">
        <f>IFERROR(__xludf.DUMMYFUNCTION("""COMPUTED_VALUE"""),44981.484894918976)</f>
        <v>44981.48489</v>
      </c>
      <c r="C2384" s="1" t="str">
        <f>IFERROR(__xludf.DUMMYFUNCTION("""COMPUTED_VALUE"""),"ESCUDERO ADRIANA")</f>
        <v>ESCUDERO ADRIANA</v>
      </c>
      <c r="D2384" s="1" t="str">
        <f>IFERROR(__xludf.DUMMYFUNCTION("""COMPUTED_VALUE"""),"Reparaciones/Otros")</f>
        <v>Reparaciones/Otros</v>
      </c>
      <c r="E2384" s="1" t="str">
        <f>IFERROR(__xludf.DUMMYFUNCTION("""COMPUTED_VALUE"""),"ARTIGAS Roció")</f>
        <v>ARTIGAS Roció</v>
      </c>
      <c r="F2384" s="1" t="str">
        <f t="shared" si="1"/>
        <v>ARTIGAS </v>
      </c>
      <c r="G2384" s="1" t="str">
        <f t="shared" si="2"/>
        <v>Roció</v>
      </c>
      <c r="H2384" s="1" t="str">
        <f>IFERROR(__xludf.DUMMYFUNCTION("""COMPUTED_VALUE"""),"25/2/2023, 17:00:00")</f>
        <v>25/2/2023, 17:00:00</v>
      </c>
      <c r="I2384" s="1" t="str">
        <f>IFERROR(__xludf.DUMMYFUNCTION("""COMPUTED_VALUE"""),"Completado en SUCURSAL")</f>
        <v>Completado en SUCURSAL</v>
      </c>
      <c r="J2384" s="1">
        <f t="shared" si="3"/>
        <v>5</v>
      </c>
      <c r="K2384" s="1" t="str">
        <f t="shared" si="4"/>
        <v>Tus Lentes estan LISTAS PARA ENTREGAR, te esperamos.</v>
      </c>
    </row>
    <row r="2385">
      <c r="A2385" s="1">
        <f>IFERROR(__xludf.DUMMYFUNCTION("""COMPUTED_VALUE"""),86933.0)</f>
        <v>86933</v>
      </c>
      <c r="B2385" s="5">
        <f>IFERROR(__xludf.DUMMYFUNCTION("""COMPUTED_VALUE"""),44981.48985020834)</f>
        <v>44981.48985</v>
      </c>
      <c r="C2385" s="1" t="str">
        <f>IFERROR(__xludf.DUMMYFUNCTION("""COMPUTED_VALUE"""),"rossetti juan bautista")</f>
        <v>rossetti juan bautista</v>
      </c>
      <c r="D2385" s="1" t="str">
        <f>IFERROR(__xludf.DUMMYFUNCTION("""COMPUTED_VALUE"""),"Lentes de STOCK")</f>
        <v>Lentes de STOCK</v>
      </c>
      <c r="E2385" s="1" t="str">
        <f>IFERROR(__xludf.DUMMYFUNCTION("""COMPUTED_VALUE"""),"RIVADAVIA Santiago N")</f>
        <v>RIVADAVIA Santiago N</v>
      </c>
      <c r="F2385" s="1" t="str">
        <f t="shared" si="1"/>
        <v>RIVADAVIA </v>
      </c>
      <c r="G2385" s="1" t="str">
        <f t="shared" si="2"/>
        <v>Santiago N</v>
      </c>
      <c r="H2385" s="1" t="str">
        <f>IFERROR(__xludf.DUMMYFUNCTION("""COMPUTED_VALUE"""),"1/3/2023, 17:00:00")</f>
        <v>1/3/2023, 17:00:00</v>
      </c>
      <c r="I2385" s="1" t="str">
        <f>IFERROR(__xludf.DUMMYFUNCTION("""COMPUTED_VALUE"""),"Recibido en Laboratorio")</f>
        <v>Recibido en Laboratorio</v>
      </c>
      <c r="J2385" s="1">
        <f t="shared" si="3"/>
        <v>2</v>
      </c>
      <c r="K2385" s="1" t="str">
        <f t="shared" si="4"/>
        <v>Nuestro Laboratorio esta trabajando en tus lentes, los entregaremos en la fecha acordada.</v>
      </c>
    </row>
    <row r="2386">
      <c r="A2386" s="1">
        <f>IFERROR(__xludf.DUMMYFUNCTION("""COMPUTED_VALUE"""),86934.0)</f>
        <v>86934</v>
      </c>
      <c r="B2386" s="5">
        <f>IFERROR(__xludf.DUMMYFUNCTION("""COMPUTED_VALUE"""),44981.49060508102)</f>
        <v>44981.49061</v>
      </c>
      <c r="C2386" s="1" t="str">
        <f>IFERROR(__xludf.DUMMYFUNCTION("""COMPUTED_VALUE"""),"Suarez Julio")</f>
        <v>Suarez Julio</v>
      </c>
      <c r="D2386" s="1" t="str">
        <f>IFERROR(__xludf.DUMMYFUNCTION("""COMPUTED_VALUE"""),"Reparaciones/Otros")</f>
        <v>Reparaciones/Otros</v>
      </c>
      <c r="E2386" s="1" t="str">
        <f>IFERROR(__xludf.DUMMYFUNCTION("""COMPUTED_VALUE"""),"ARTIGAS Sandra G")</f>
        <v>ARTIGAS Sandra G</v>
      </c>
      <c r="F2386" s="1" t="str">
        <f t="shared" si="1"/>
        <v>ARTIGAS </v>
      </c>
      <c r="G2386" s="1" t="str">
        <f t="shared" si="2"/>
        <v>Sandra G</v>
      </c>
      <c r="H2386" s="1" t="str">
        <f>IFERROR(__xludf.DUMMYFUNCTION("""COMPUTED_VALUE"""),"28/2/2023, 17:00:00")</f>
        <v>28/2/2023, 17:00:00</v>
      </c>
      <c r="I2386" s="1" t="str">
        <f>IFERROR(__xludf.DUMMYFUNCTION("""COMPUTED_VALUE"""),"Completado en SUCURSAL")</f>
        <v>Completado en SUCURSAL</v>
      </c>
      <c r="J2386" s="1">
        <f t="shared" si="3"/>
        <v>5</v>
      </c>
      <c r="K2386" s="1" t="str">
        <f t="shared" si="4"/>
        <v>Tus Lentes estan LISTAS PARA ENTREGAR, te esperamos.</v>
      </c>
    </row>
    <row r="2387">
      <c r="A2387" s="1">
        <f>IFERROR(__xludf.DUMMYFUNCTION("""COMPUTED_VALUE"""),86935.0)</f>
        <v>86935</v>
      </c>
      <c r="B2387" s="5">
        <f>IFERROR(__xludf.DUMMYFUNCTION("""COMPUTED_VALUE"""),44981.490713391206)</f>
        <v>44981.49071</v>
      </c>
      <c r="C2387" s="1" t="str">
        <f>IFERROR(__xludf.DUMMYFUNCTION("""COMPUTED_VALUE"""),"GARCIA SAMUEL ")</f>
        <v>GARCIA SAMUEL </v>
      </c>
      <c r="D2387" s="1" t="str">
        <f>IFERROR(__xludf.DUMMYFUNCTION("""COMPUTED_VALUE"""),"Lentes de STOCK")</f>
        <v>Lentes de STOCK</v>
      </c>
      <c r="E2387" s="1" t="str">
        <f>IFERROR(__xludf.DUMMYFUNCTION("""COMPUTED_VALUE"""),"RIVADAVIA Luciana")</f>
        <v>RIVADAVIA Luciana</v>
      </c>
      <c r="F2387" s="1" t="str">
        <f t="shared" si="1"/>
        <v>RIVADAVIA </v>
      </c>
      <c r="G2387" s="1" t="str">
        <f t="shared" si="2"/>
        <v>Luciana</v>
      </c>
      <c r="H2387" s="1" t="str">
        <f>IFERROR(__xludf.DUMMYFUNCTION("""COMPUTED_VALUE"""),"2/3/2023, 17:00:00")</f>
        <v>2/3/2023, 17:00:00</v>
      </c>
      <c r="I2387" s="1" t="str">
        <f>IFERROR(__xludf.DUMMYFUNCTION("""COMPUTED_VALUE"""),"Recibido en Laboratorio")</f>
        <v>Recibido en Laboratorio</v>
      </c>
      <c r="J2387" s="1">
        <f t="shared" si="3"/>
        <v>2</v>
      </c>
      <c r="K2387" s="1" t="str">
        <f t="shared" si="4"/>
        <v>Nuestro Laboratorio esta trabajando en tus lentes, los entregaremos en la fecha acordada.</v>
      </c>
    </row>
    <row r="2388">
      <c r="A2388" s="1">
        <f>IFERROR(__xludf.DUMMYFUNCTION("""COMPUTED_VALUE"""),86936.0)</f>
        <v>86936</v>
      </c>
      <c r="B2388" s="5">
        <f>IFERROR(__xludf.DUMMYFUNCTION("""COMPUTED_VALUE"""),44981.494258252314)</f>
        <v>44981.49426</v>
      </c>
      <c r="C2388" s="1" t="str">
        <f>IFERROR(__xludf.DUMMYFUNCTION("""COMPUTED_VALUE"""),"Sanchez Mario")</f>
        <v>Sanchez Mario</v>
      </c>
      <c r="D2388" s="1" t="str">
        <f>IFERROR(__xludf.DUMMYFUNCTION("""COMPUTED_VALUE"""),"Reparaciones/Otros")</f>
        <v>Reparaciones/Otros</v>
      </c>
      <c r="E2388" s="1" t="str">
        <f>IFERROR(__xludf.DUMMYFUNCTION("""COMPUTED_VALUE"""),"ARTIGAS Sandra G")</f>
        <v>ARTIGAS Sandra G</v>
      </c>
      <c r="F2388" s="1" t="str">
        <f t="shared" si="1"/>
        <v>ARTIGAS </v>
      </c>
      <c r="G2388" s="1" t="str">
        <f t="shared" si="2"/>
        <v>Sandra G</v>
      </c>
      <c r="H2388" s="1" t="str">
        <f>IFERROR(__xludf.DUMMYFUNCTION("""COMPUTED_VALUE"""),"25/2/2023, 17:00:00")</f>
        <v>25/2/2023, 17:00:00</v>
      </c>
      <c r="I2388" s="1"/>
      <c r="J2388" s="1">
        <f t="shared" si="3"/>
        <v>0</v>
      </c>
      <c r="K2388" s="1" t="str">
        <f t="shared" si="4"/>
        <v/>
      </c>
    </row>
    <row r="2389">
      <c r="A2389" s="1">
        <f>IFERROR(__xludf.DUMMYFUNCTION("""COMPUTED_VALUE"""),86937.0)</f>
        <v>86937</v>
      </c>
      <c r="B2389" s="5">
        <f>IFERROR(__xludf.DUMMYFUNCTION("""COMPUTED_VALUE"""),44981.49601502315)</f>
        <v>44981.49602</v>
      </c>
      <c r="C2389" s="1" t="str">
        <f>IFERROR(__xludf.DUMMYFUNCTION("""COMPUTED_VALUE"""),"Sanchez Mario")</f>
        <v>Sanchez Mario</v>
      </c>
      <c r="D2389" s="1" t="str">
        <f>IFERROR(__xludf.DUMMYFUNCTION("""COMPUTED_VALUE"""),"Reparaciones/Otros")</f>
        <v>Reparaciones/Otros</v>
      </c>
      <c r="E2389" s="1" t="str">
        <f>IFERROR(__xludf.DUMMYFUNCTION("""COMPUTED_VALUE"""),"ARTIGAS Sandra G")</f>
        <v>ARTIGAS Sandra G</v>
      </c>
      <c r="F2389" s="1" t="str">
        <f t="shared" si="1"/>
        <v>ARTIGAS </v>
      </c>
      <c r="G2389" s="1" t="str">
        <f t="shared" si="2"/>
        <v>Sandra G</v>
      </c>
      <c r="H2389" s="1" t="str">
        <f>IFERROR(__xludf.DUMMYFUNCTION("""COMPUTED_VALUE"""),"27/2/2023, 17:00:00")</f>
        <v>27/2/2023, 17:00:00</v>
      </c>
      <c r="I2389" s="1" t="str">
        <f>IFERROR(__xludf.DUMMYFUNCTION("""COMPUTED_VALUE"""),"Completado en SUCURSAL")</f>
        <v>Completado en SUCURSAL</v>
      </c>
      <c r="J2389" s="1">
        <f t="shared" si="3"/>
        <v>5</v>
      </c>
      <c r="K2389" s="1" t="str">
        <f t="shared" si="4"/>
        <v>Tus Lentes estan LISTAS PARA ENTREGAR, te esperamos.</v>
      </c>
    </row>
    <row r="2390">
      <c r="A2390" s="1">
        <f>IFERROR(__xludf.DUMMYFUNCTION("""COMPUTED_VALUE"""),86938.0)</f>
        <v>86938</v>
      </c>
      <c r="B2390" s="5">
        <f>IFERROR(__xludf.DUMMYFUNCTION("""COMPUTED_VALUE"""),44981.50688335648)</f>
        <v>44981.50688</v>
      </c>
      <c r="C2390" s="1" t="str">
        <f>IFERROR(__xludf.DUMMYFUNCTION("""COMPUTED_VALUE"""),"SOSA GLADYS ROSA")</f>
        <v>SOSA GLADYS ROSA</v>
      </c>
      <c r="D2390" s="1" t="str">
        <f>IFERROR(__xludf.DUMMYFUNCTION("""COMPUTED_VALUE"""),"Lentes de STOCK")</f>
        <v>Lentes de STOCK</v>
      </c>
      <c r="E2390" s="1" t="str">
        <f>IFERROR(__xludf.DUMMYFUNCTION("""COMPUTED_VALUE"""),"RIVADAVIA Luciana")</f>
        <v>RIVADAVIA Luciana</v>
      </c>
      <c r="F2390" s="1" t="str">
        <f t="shared" si="1"/>
        <v>RIVADAVIA </v>
      </c>
      <c r="G2390" s="1" t="str">
        <f t="shared" si="2"/>
        <v>Luciana</v>
      </c>
      <c r="H2390" s="1" t="str">
        <f>IFERROR(__xludf.DUMMYFUNCTION("""COMPUTED_VALUE"""),"2/3/2023, 17:00:00")</f>
        <v>2/3/2023, 17:00:00</v>
      </c>
      <c r="I2390" s="1" t="str">
        <f>IFERROR(__xludf.DUMMYFUNCTION("""COMPUTED_VALUE"""),"Recibido en Laboratorio")</f>
        <v>Recibido en Laboratorio</v>
      </c>
      <c r="J2390" s="1">
        <f t="shared" si="3"/>
        <v>2</v>
      </c>
      <c r="K2390" s="1" t="str">
        <f t="shared" si="4"/>
        <v>Nuestro Laboratorio esta trabajando en tus lentes, los entregaremos en la fecha acordada.</v>
      </c>
    </row>
    <row r="2391">
      <c r="A2391" s="1">
        <f>IFERROR(__xludf.DUMMYFUNCTION("""COMPUTED_VALUE"""),86939.0)</f>
        <v>86939</v>
      </c>
      <c r="B2391" s="5">
        <f>IFERROR(__xludf.DUMMYFUNCTION("""COMPUTED_VALUE"""),44981.51382984954)</f>
        <v>44981.51383</v>
      </c>
      <c r="C2391" s="1" t="str">
        <f>IFERROR(__xludf.DUMMYFUNCTION("""COMPUTED_VALUE"""),"FUNES ESTEBAN")</f>
        <v>FUNES ESTEBAN</v>
      </c>
      <c r="D2391" s="1" t="str">
        <f>IFERROR(__xludf.DUMMYFUNCTION("""COMPUTED_VALUE"""),"Lentes MULTIFOCALES")</f>
        <v>Lentes MULTIFOCALES</v>
      </c>
      <c r="E2391" s="1" t="str">
        <f>IFERROR(__xludf.DUMMYFUNCTION("""COMPUTED_VALUE"""),"ARTIGAS Roció")</f>
        <v>ARTIGAS Roció</v>
      </c>
      <c r="F2391" s="1" t="str">
        <f t="shared" si="1"/>
        <v>ARTIGAS </v>
      </c>
      <c r="G2391" s="1" t="str">
        <f t="shared" si="2"/>
        <v>Roció</v>
      </c>
      <c r="H2391" s="1" t="str">
        <f>IFERROR(__xludf.DUMMYFUNCTION("""COMPUTED_VALUE"""),"13/3/2023, 17:00:00")</f>
        <v>13/3/2023, 17:00:00</v>
      </c>
      <c r="I2391" s="1" t="str">
        <f>IFERROR(__xludf.DUMMYFUNCTION("""COMPUTED_VALUE"""),"Completado en SUCURSAL")</f>
        <v>Completado en SUCURSAL</v>
      </c>
      <c r="J2391" s="1">
        <f t="shared" si="3"/>
        <v>5</v>
      </c>
      <c r="K2391" s="1" t="str">
        <f t="shared" si="4"/>
        <v>Tus Lentes estan LISTAS PARA ENTREGAR, te esperamos.</v>
      </c>
    </row>
    <row r="2392">
      <c r="A2392" s="1">
        <f>IFERROR(__xludf.DUMMYFUNCTION("""COMPUTED_VALUE"""),86940.0)</f>
        <v>86940</v>
      </c>
      <c r="B2392" s="5">
        <f>IFERROR(__xludf.DUMMYFUNCTION("""COMPUTED_VALUE"""),44981.5141812037)</f>
        <v>44981.51418</v>
      </c>
      <c r="C2392" s="1" t="str">
        <f>IFERROR(__xludf.DUMMYFUNCTION("""COMPUTED_VALUE"""),"MOLINA EMILIANO")</f>
        <v>MOLINA EMILIANO</v>
      </c>
      <c r="D2392" s="1" t="str">
        <f>IFERROR(__xludf.DUMMYFUNCTION("""COMPUTED_VALUE"""),"Reparaciones/Otros")</f>
        <v>Reparaciones/Otros</v>
      </c>
      <c r="E2392" s="1" t="str">
        <f>IFERROR(__xludf.DUMMYFUNCTION("""COMPUTED_VALUE"""),"RIVADAVIA Daniel CM")</f>
        <v>RIVADAVIA Daniel CM</v>
      </c>
      <c r="F2392" s="1" t="str">
        <f t="shared" si="1"/>
        <v>RIVADAVIA </v>
      </c>
      <c r="G2392" s="1" t="str">
        <f t="shared" si="2"/>
        <v>Daniel CM</v>
      </c>
      <c r="H2392" s="1" t="str">
        <f>IFERROR(__xludf.DUMMYFUNCTION("""COMPUTED_VALUE"""),"25/2/2023, 17:00:00")</f>
        <v>25/2/2023, 17:00:00</v>
      </c>
      <c r="I2392" s="1" t="str">
        <f>IFERROR(__xludf.DUMMYFUNCTION("""COMPUTED_VALUE"""),"Recibido en Laboratorio")</f>
        <v>Recibido en Laboratorio</v>
      </c>
      <c r="J2392" s="1">
        <f t="shared" si="3"/>
        <v>2</v>
      </c>
      <c r="K2392" s="1" t="str">
        <f t="shared" si="4"/>
        <v>Nuestro Laboratorio esta trabajando en tus lentes, los entregaremos en la fecha acordada.</v>
      </c>
    </row>
    <row r="2393">
      <c r="A2393" s="1">
        <f>IFERROR(__xludf.DUMMYFUNCTION("""COMPUTED_VALUE"""),86941.0)</f>
        <v>86941</v>
      </c>
      <c r="B2393" s="5">
        <f>IFERROR(__xludf.DUMMYFUNCTION("""COMPUTED_VALUE"""),44981.51523921297)</f>
        <v>44981.51524</v>
      </c>
      <c r="C2393" s="1" t="str">
        <f>IFERROR(__xludf.DUMMYFUNCTION("""COMPUTED_VALUE"""),"vannucci leticia")</f>
        <v>vannucci leticia</v>
      </c>
      <c r="D2393" s="1" t="str">
        <f>IFERROR(__xludf.DUMMYFUNCTION("""COMPUTED_VALUE"""),"Lentes de STOCK")</f>
        <v>Lentes de STOCK</v>
      </c>
      <c r="E2393" s="1" t="str">
        <f>IFERROR(__xludf.DUMMYFUNCTION("""COMPUTED_VALUE"""),"RIVADAVIA Santiago N")</f>
        <v>RIVADAVIA Santiago N</v>
      </c>
      <c r="F2393" s="1" t="str">
        <f t="shared" si="1"/>
        <v>RIVADAVIA </v>
      </c>
      <c r="G2393" s="1" t="str">
        <f t="shared" si="2"/>
        <v>Santiago N</v>
      </c>
      <c r="H2393" s="1" t="str">
        <f>IFERROR(__xludf.DUMMYFUNCTION("""COMPUTED_VALUE"""),"27/2/2023, 17:00:00")</f>
        <v>27/2/2023, 17:00:00</v>
      </c>
      <c r="I2393" s="1" t="str">
        <f>IFERROR(__xludf.DUMMYFUNCTION("""COMPUTED_VALUE"""),"Completado en SUCURSAL")</f>
        <v>Completado en SUCURSAL</v>
      </c>
      <c r="J2393" s="1">
        <f t="shared" si="3"/>
        <v>5</v>
      </c>
      <c r="K2393" s="1" t="str">
        <f t="shared" si="4"/>
        <v>Tus Lentes estan LISTAS PARA ENTREGAR, te esperamos.</v>
      </c>
    </row>
    <row r="2394">
      <c r="A2394" s="1">
        <f>IFERROR(__xludf.DUMMYFUNCTION("""COMPUTED_VALUE"""),86942.0)</f>
        <v>86942</v>
      </c>
      <c r="B2394" s="5">
        <f>IFERROR(__xludf.DUMMYFUNCTION("""COMPUTED_VALUE"""),44981.51579762732)</f>
        <v>44981.5158</v>
      </c>
      <c r="C2394" s="1" t="str">
        <f>IFERROR(__xludf.DUMMYFUNCTION("""COMPUTED_VALUE"""),"LUCERO JOSEFINA")</f>
        <v>LUCERO JOSEFINA</v>
      </c>
      <c r="D2394" s="1" t="str">
        <f>IFERROR(__xludf.DUMMYFUNCTION("""COMPUTED_VALUE"""),"Lentes de STOCK")</f>
        <v>Lentes de STOCK</v>
      </c>
      <c r="E2394" s="1" t="str">
        <f>IFERROR(__xludf.DUMMYFUNCTION("""COMPUTED_VALUE"""),"ARTIGAS Ivana P.")</f>
        <v>ARTIGAS Ivana P.</v>
      </c>
      <c r="F2394" s="1" t="str">
        <f t="shared" si="1"/>
        <v>ARTIGAS </v>
      </c>
      <c r="G2394" s="1" t="str">
        <f t="shared" si="2"/>
        <v>Ivana P.</v>
      </c>
      <c r="H2394" s="1" t="str">
        <f>IFERROR(__xludf.DUMMYFUNCTION("""COMPUTED_VALUE"""),"2/3/2023, 17:00:00")</f>
        <v>2/3/2023, 17:00:00</v>
      </c>
      <c r="I2394" s="1" t="str">
        <f>IFERROR(__xludf.DUMMYFUNCTION("""COMPUTED_VALUE"""),"Completado en SUCURSAL")</f>
        <v>Completado en SUCURSAL</v>
      </c>
      <c r="J2394" s="1">
        <f t="shared" si="3"/>
        <v>5</v>
      </c>
      <c r="K2394" s="1" t="str">
        <f t="shared" si="4"/>
        <v>Tus Lentes estan LISTAS PARA ENTREGAR, te esperamos.</v>
      </c>
    </row>
    <row r="2395">
      <c r="A2395" s="1">
        <f>IFERROR(__xludf.DUMMYFUNCTION("""COMPUTED_VALUE"""),86942.0)</f>
        <v>86942</v>
      </c>
      <c r="B2395" s="5">
        <f>IFERROR(__xludf.DUMMYFUNCTION("""COMPUTED_VALUE"""),44981.51579653935)</f>
        <v>44981.5158</v>
      </c>
      <c r="C2395" s="1" t="str">
        <f>IFERROR(__xludf.DUMMYFUNCTION("""COMPUTED_VALUE"""),"FUNES ESTEBAN")</f>
        <v>FUNES ESTEBAN</v>
      </c>
      <c r="D2395" s="1" t="str">
        <f>IFERROR(__xludf.DUMMYFUNCTION("""COMPUTED_VALUE"""),"Lentes de STOCK")</f>
        <v>Lentes de STOCK</v>
      </c>
      <c r="E2395" s="1" t="str">
        <f>IFERROR(__xludf.DUMMYFUNCTION("""COMPUTED_VALUE"""),"ARTIGAS Roció")</f>
        <v>ARTIGAS Roció</v>
      </c>
      <c r="F2395" s="1" t="str">
        <f t="shared" si="1"/>
        <v>ARTIGAS </v>
      </c>
      <c r="G2395" s="1" t="str">
        <f t="shared" si="2"/>
        <v>Roció</v>
      </c>
      <c r="H2395" s="1" t="str">
        <f>IFERROR(__xludf.DUMMYFUNCTION("""COMPUTED_VALUE"""),"6/3/2023, 17:00:00")</f>
        <v>6/3/2023, 17:00:00</v>
      </c>
      <c r="I2395" s="1"/>
      <c r="J2395" s="1">
        <f t="shared" si="3"/>
        <v>0</v>
      </c>
      <c r="K2395" s="1" t="str">
        <f t="shared" si="4"/>
        <v/>
      </c>
    </row>
    <row r="2396">
      <c r="A2396" s="1">
        <f>IFERROR(__xludf.DUMMYFUNCTION("""COMPUTED_VALUE"""),86943.0)</f>
        <v>86943</v>
      </c>
      <c r="B2396" s="5">
        <f>IFERROR(__xludf.DUMMYFUNCTION("""COMPUTED_VALUE"""),44981.5188937037)</f>
        <v>44981.51889</v>
      </c>
      <c r="C2396" s="1" t="str">
        <f>IFERROR(__xludf.DUMMYFUNCTION("""COMPUTED_VALUE"""),"TORRES MMARIA JOSE")</f>
        <v>TORRES MMARIA JOSE</v>
      </c>
      <c r="D2396" s="1" t="str">
        <f>IFERROR(__xludf.DUMMYFUNCTION("""COMPUTED_VALUE"""),"Lentes de STOCK")</f>
        <v>Lentes de STOCK</v>
      </c>
      <c r="E2396" s="1" t="str">
        <f>IFERROR(__xludf.DUMMYFUNCTION("""COMPUTED_VALUE"""),"RIVADAVIA Santiago LOPEZ")</f>
        <v>RIVADAVIA Santiago LOPEZ</v>
      </c>
      <c r="F2396" s="1" t="str">
        <f t="shared" si="1"/>
        <v>RIVADAVIA </v>
      </c>
      <c r="G2396" s="1" t="str">
        <f t="shared" si="2"/>
        <v>Santiago LOPEZ</v>
      </c>
      <c r="H2396" s="1" t="str">
        <f>IFERROR(__xludf.DUMMYFUNCTION("""COMPUTED_VALUE"""),"1/3/2023, 17:00:00")</f>
        <v>1/3/2023, 17:00:00</v>
      </c>
      <c r="I2396" s="1" t="str">
        <f>IFERROR(__xludf.DUMMYFUNCTION("""COMPUTED_VALUE"""),"Recibido en Laboratorio")</f>
        <v>Recibido en Laboratorio</v>
      </c>
      <c r="J2396" s="1">
        <f t="shared" si="3"/>
        <v>2</v>
      </c>
      <c r="K2396" s="1" t="str">
        <f t="shared" si="4"/>
        <v>Nuestro Laboratorio esta trabajando en tus lentes, los entregaremos en la fecha acordada.</v>
      </c>
    </row>
    <row r="2397">
      <c r="A2397" s="1">
        <f>IFERROR(__xludf.DUMMYFUNCTION("""COMPUTED_VALUE"""),86944.0)</f>
        <v>86944</v>
      </c>
      <c r="B2397" s="5">
        <f>IFERROR(__xludf.DUMMYFUNCTION("""COMPUTED_VALUE"""),44981.51971862269)</f>
        <v>44981.51972</v>
      </c>
      <c r="C2397" s="1" t="str">
        <f>IFERROR(__xludf.DUMMYFUNCTION("""COMPUTED_VALUE"""),"LUCERO JOSEFINA")</f>
        <v>LUCERO JOSEFINA</v>
      </c>
      <c r="D2397" s="1" t="str">
        <f>IFERROR(__xludf.DUMMYFUNCTION("""COMPUTED_VALUE"""),"Lentes de STOCK")</f>
        <v>Lentes de STOCK</v>
      </c>
      <c r="E2397" s="1" t="str">
        <f>IFERROR(__xludf.DUMMYFUNCTION("""COMPUTED_VALUE"""),"ARTIGAS Ivana P.")</f>
        <v>ARTIGAS Ivana P.</v>
      </c>
      <c r="F2397" s="1" t="str">
        <f t="shared" si="1"/>
        <v>ARTIGAS </v>
      </c>
      <c r="G2397" s="1" t="str">
        <f t="shared" si="2"/>
        <v>Ivana P.</v>
      </c>
      <c r="H2397" s="1" t="str">
        <f>IFERROR(__xludf.DUMMYFUNCTION("""COMPUTED_VALUE"""),"2/3/2023, 17:00:00")</f>
        <v>2/3/2023, 17:00:00</v>
      </c>
      <c r="I2397" s="1" t="str">
        <f>IFERROR(__xludf.DUMMYFUNCTION("""COMPUTED_VALUE"""),"Recibido en Laboratorio")</f>
        <v>Recibido en Laboratorio</v>
      </c>
      <c r="J2397" s="1">
        <f t="shared" si="3"/>
        <v>2</v>
      </c>
      <c r="K2397" s="1" t="str">
        <f t="shared" si="4"/>
        <v>Nuestro Laboratorio esta trabajando en tus lentes, los entregaremos en la fecha acordada.</v>
      </c>
    </row>
    <row r="2398">
      <c r="A2398" s="1">
        <f>IFERROR(__xludf.DUMMYFUNCTION("""COMPUTED_VALUE"""),86945.0)</f>
        <v>86945</v>
      </c>
      <c r="B2398" s="5">
        <f>IFERROR(__xludf.DUMMYFUNCTION("""COMPUTED_VALUE"""),44981.520334456014)</f>
        <v>44981.52033</v>
      </c>
      <c r="C2398" s="1" t="str">
        <f>IFERROR(__xludf.DUMMYFUNCTION("""COMPUTED_VALUE"""),"sosa maria antonieta")</f>
        <v>sosa maria antonieta</v>
      </c>
      <c r="D2398" s="1" t="str">
        <f>IFERROR(__xludf.DUMMYFUNCTION("""COMPUTED_VALUE"""),"Lentes MULTIFOCALES")</f>
        <v>Lentes MULTIFOCALES</v>
      </c>
      <c r="E2398" s="1" t="str">
        <f>IFERROR(__xludf.DUMMYFUNCTION("""COMPUTED_VALUE"""),"RIVADAVIA Santiago N")</f>
        <v>RIVADAVIA Santiago N</v>
      </c>
      <c r="F2398" s="1" t="str">
        <f t="shared" si="1"/>
        <v>RIVADAVIA </v>
      </c>
      <c r="G2398" s="1" t="str">
        <f t="shared" si="2"/>
        <v>Santiago N</v>
      </c>
      <c r="H2398" s="1" t="str">
        <f>IFERROR(__xludf.DUMMYFUNCTION("""COMPUTED_VALUE"""),"9/3/2023, 17:00:00")</f>
        <v>9/3/2023, 17:00:00</v>
      </c>
      <c r="I2398" s="1" t="str">
        <f>IFERROR(__xludf.DUMMYFUNCTION("""COMPUTED_VALUE"""),"Completado en SUCURSAL")</f>
        <v>Completado en SUCURSAL</v>
      </c>
      <c r="J2398" s="1">
        <f t="shared" si="3"/>
        <v>5</v>
      </c>
      <c r="K2398" s="1" t="str">
        <f t="shared" si="4"/>
        <v>Tus Lentes estan LISTAS PARA ENTREGAR, te esperamos.</v>
      </c>
    </row>
    <row r="2399">
      <c r="A2399" s="1">
        <f>IFERROR(__xludf.DUMMYFUNCTION("""COMPUTED_VALUE"""),86946.0)</f>
        <v>86946</v>
      </c>
      <c r="B2399" s="5">
        <f>IFERROR(__xludf.DUMMYFUNCTION("""COMPUTED_VALUE"""),44981.52214371528)</f>
        <v>44981.52214</v>
      </c>
      <c r="C2399" s="1" t="str">
        <f>IFERROR(__xludf.DUMMYFUNCTION("""COMPUTED_VALUE"""),"GRANDON OCTAVIO")</f>
        <v>GRANDON OCTAVIO</v>
      </c>
      <c r="D2399" s="1" t="str">
        <f>IFERROR(__xludf.DUMMYFUNCTION("""COMPUTED_VALUE"""),"Reparaciones/Otros")</f>
        <v>Reparaciones/Otros</v>
      </c>
      <c r="E2399" s="1" t="str">
        <f>IFERROR(__xludf.DUMMYFUNCTION("""COMPUTED_VALUE"""),"RIVADAVIA Santiago LOPEZ")</f>
        <v>RIVADAVIA Santiago LOPEZ</v>
      </c>
      <c r="F2399" s="1" t="str">
        <f t="shared" si="1"/>
        <v>RIVADAVIA </v>
      </c>
      <c r="G2399" s="1" t="str">
        <f t="shared" si="2"/>
        <v>Santiago LOPEZ</v>
      </c>
      <c r="H2399" s="1" t="str">
        <f>IFERROR(__xludf.DUMMYFUNCTION("""COMPUTED_VALUE"""),"25/2/2023, 17:00:00")</f>
        <v>25/2/2023, 17:00:00</v>
      </c>
      <c r="I2399" s="1" t="str">
        <f>IFERROR(__xludf.DUMMYFUNCTION("""COMPUTED_VALUE"""),"Recibido en Laboratorio")</f>
        <v>Recibido en Laboratorio</v>
      </c>
      <c r="J2399" s="1">
        <f t="shared" si="3"/>
        <v>2</v>
      </c>
      <c r="K2399" s="1" t="str">
        <f t="shared" si="4"/>
        <v>Nuestro Laboratorio esta trabajando en tus lentes, los entregaremos en la fecha acordada.</v>
      </c>
    </row>
    <row r="2400">
      <c r="A2400" s="1">
        <f>IFERROR(__xludf.DUMMYFUNCTION("""COMPUTED_VALUE"""),86947.0)</f>
        <v>86947</v>
      </c>
      <c r="B2400" s="5">
        <f>IFERROR(__xludf.DUMMYFUNCTION("""COMPUTED_VALUE"""),44981.52355607639)</f>
        <v>44981.52356</v>
      </c>
      <c r="C2400" s="1" t="str">
        <f>IFERROR(__xludf.DUMMYFUNCTION("""COMPUTED_VALUE"""),"PONCE RAMIRO ")</f>
        <v>PONCE RAMIRO </v>
      </c>
      <c r="D2400" s="1" t="str">
        <f>IFERROR(__xludf.DUMMYFUNCTION("""COMPUTED_VALUE"""),"Lentes de STOCK")</f>
        <v>Lentes de STOCK</v>
      </c>
      <c r="E2400" s="1" t="str">
        <f>IFERROR(__xludf.DUMMYFUNCTION("""COMPUTED_VALUE"""),"RIVADAVIA Luciana")</f>
        <v>RIVADAVIA Luciana</v>
      </c>
      <c r="F2400" s="1" t="str">
        <f t="shared" si="1"/>
        <v>RIVADAVIA </v>
      </c>
      <c r="G2400" s="1" t="str">
        <f t="shared" si="2"/>
        <v>Luciana</v>
      </c>
      <c r="H2400" s="1" t="str">
        <f>IFERROR(__xludf.DUMMYFUNCTION("""COMPUTED_VALUE"""),"7/3/2023, 17:00:00")</f>
        <v>7/3/2023, 17:00:00</v>
      </c>
      <c r="I2400" s="1" t="str">
        <f>IFERROR(__xludf.DUMMYFUNCTION("""COMPUTED_VALUE"""),"Completado en SUCURSAL")</f>
        <v>Completado en SUCURSAL</v>
      </c>
      <c r="J2400" s="1">
        <f t="shared" si="3"/>
        <v>5</v>
      </c>
      <c r="K2400" s="1" t="str">
        <f t="shared" si="4"/>
        <v>Tus Lentes estan LISTAS PARA ENTREGAR, te esperamos.</v>
      </c>
    </row>
    <row r="2401">
      <c r="A2401" s="1">
        <f>IFERROR(__xludf.DUMMYFUNCTION("""COMPUTED_VALUE"""),86948.0)</f>
        <v>86948</v>
      </c>
      <c r="B2401" s="5">
        <f>IFERROR(__xludf.DUMMYFUNCTION("""COMPUTED_VALUE"""),44981.529516863426)</f>
        <v>44981.52952</v>
      </c>
      <c r="C2401" s="1" t="str">
        <f>IFERROR(__xludf.DUMMYFUNCTION("""COMPUTED_VALUE"""),"GORDILLO VICTOR HECTOR")</f>
        <v>GORDILLO VICTOR HECTOR</v>
      </c>
      <c r="D2401" s="1" t="str">
        <f>IFERROR(__xludf.DUMMYFUNCTION("""COMPUTED_VALUE"""),"Lentes de STOCK")</f>
        <v>Lentes de STOCK</v>
      </c>
      <c r="E2401" s="1" t="str">
        <f>IFERROR(__xludf.DUMMYFUNCTION("""COMPUTED_VALUE"""),"ARTIGAS Roció")</f>
        <v>ARTIGAS Roció</v>
      </c>
      <c r="F2401" s="1" t="str">
        <f t="shared" si="1"/>
        <v>ARTIGAS </v>
      </c>
      <c r="G2401" s="1" t="str">
        <f t="shared" si="2"/>
        <v>Roció</v>
      </c>
      <c r="H2401" s="1" t="str">
        <f>IFERROR(__xludf.DUMMYFUNCTION("""COMPUTED_VALUE"""),"3/3/2023, 17:00:00")</f>
        <v>3/3/2023, 17:00:00</v>
      </c>
      <c r="I2401" s="1" t="str">
        <f>IFERROR(__xludf.DUMMYFUNCTION("""COMPUTED_VALUE"""),"Recibido en Laboratorio")</f>
        <v>Recibido en Laboratorio</v>
      </c>
      <c r="J2401" s="1">
        <f t="shared" si="3"/>
        <v>2</v>
      </c>
      <c r="K2401" s="1" t="str">
        <f t="shared" si="4"/>
        <v>Nuestro Laboratorio esta trabajando en tus lentes, los entregaremos en la fecha acordada.</v>
      </c>
    </row>
    <row r="2402">
      <c r="A2402" s="1">
        <f>IFERROR(__xludf.DUMMYFUNCTION("""COMPUTED_VALUE"""),86949.0)</f>
        <v>86949</v>
      </c>
      <c r="B2402" s="5">
        <f>IFERROR(__xludf.DUMMYFUNCTION("""COMPUTED_VALUE"""),44981.537160381944)</f>
        <v>44981.53716</v>
      </c>
      <c r="C2402" s="1" t="str">
        <f>IFERROR(__xludf.DUMMYFUNCTION("""COMPUTED_VALUE"""),"QUIROGA EDUARDO")</f>
        <v>QUIROGA EDUARDO</v>
      </c>
      <c r="D2402" s="1" t="str">
        <f>IFERROR(__xludf.DUMMYFUNCTION("""COMPUTED_VALUE"""),"Reparaciones/Otros")</f>
        <v>Reparaciones/Otros</v>
      </c>
      <c r="E2402" s="1" t="str">
        <f>IFERROR(__xludf.DUMMYFUNCTION("""COMPUTED_VALUE"""),"ARTIGAS Roció")</f>
        <v>ARTIGAS Roció</v>
      </c>
      <c r="F2402" s="1" t="str">
        <f t="shared" si="1"/>
        <v>ARTIGAS </v>
      </c>
      <c r="G2402" s="1" t="str">
        <f t="shared" si="2"/>
        <v>Roció</v>
      </c>
      <c r="H2402" s="1" t="str">
        <f>IFERROR(__xludf.DUMMYFUNCTION("""COMPUTED_VALUE"""),"25/2/2023, 17:00:00")</f>
        <v>25/2/2023, 17:00:00</v>
      </c>
      <c r="I2402" s="1" t="str">
        <f>IFERROR(__xludf.DUMMYFUNCTION("""COMPUTED_VALUE"""),"Completado en SUCURSAL")</f>
        <v>Completado en SUCURSAL</v>
      </c>
      <c r="J2402" s="1">
        <f t="shared" si="3"/>
        <v>5</v>
      </c>
      <c r="K2402" s="1" t="str">
        <f t="shared" si="4"/>
        <v>Tus Lentes estan LISTAS PARA ENTREGAR, te esperamos.</v>
      </c>
    </row>
    <row r="2403">
      <c r="A2403" s="1">
        <f>IFERROR(__xludf.DUMMYFUNCTION("""COMPUTED_VALUE"""),86950.0)</f>
        <v>86950</v>
      </c>
      <c r="B2403" s="5">
        <f>IFERROR(__xludf.DUMMYFUNCTION("""COMPUTED_VALUE"""),44981.54328219907)</f>
        <v>44981.54328</v>
      </c>
      <c r="C2403" s="1" t="str">
        <f>IFERROR(__xludf.DUMMYFUNCTION("""COMPUTED_VALUE"""),"SERRANO JOSE LUIS")</f>
        <v>SERRANO JOSE LUIS</v>
      </c>
      <c r="D2403" s="1" t="str">
        <f>IFERROR(__xludf.DUMMYFUNCTION("""COMPUTED_VALUE"""),"Lentes de STOCK")</f>
        <v>Lentes de STOCK</v>
      </c>
      <c r="E2403" s="1" t="str">
        <f>IFERROR(__xludf.DUMMYFUNCTION("""COMPUTED_VALUE"""),"RIVADAVIA Santiago N")</f>
        <v>RIVADAVIA Santiago N</v>
      </c>
      <c r="F2403" s="1" t="str">
        <f t="shared" si="1"/>
        <v>RIVADAVIA </v>
      </c>
      <c r="G2403" s="1" t="str">
        <f t="shared" si="2"/>
        <v>Santiago N</v>
      </c>
      <c r="H2403" s="1" t="str">
        <f>IFERROR(__xludf.DUMMYFUNCTION("""COMPUTED_VALUE"""),"27/2/2023, 17:00:00")</f>
        <v>27/2/2023, 17:00:00</v>
      </c>
      <c r="I2403" s="1" t="str">
        <f>IFERROR(__xludf.DUMMYFUNCTION("""COMPUTED_VALUE"""),"Completado en SUCURSAL")</f>
        <v>Completado en SUCURSAL</v>
      </c>
      <c r="J2403" s="1">
        <f t="shared" si="3"/>
        <v>5</v>
      </c>
      <c r="K2403" s="1" t="str">
        <f t="shared" si="4"/>
        <v>Tus Lentes estan LISTAS PARA ENTREGAR, te esperamos.</v>
      </c>
    </row>
    <row r="2404">
      <c r="A2404" s="1">
        <f>IFERROR(__xludf.DUMMYFUNCTION("""COMPUTED_VALUE"""),86951.0)</f>
        <v>86951</v>
      </c>
      <c r="B2404" s="5">
        <f>IFERROR(__xludf.DUMMYFUNCTION("""COMPUTED_VALUE"""),44981.54539142361)</f>
        <v>44981.54539</v>
      </c>
      <c r="C2404" s="1" t="str">
        <f>IFERROR(__xludf.DUMMYFUNCTION("""COMPUTED_VALUE"""),"KELLNER ESTEBAN")</f>
        <v>KELLNER ESTEBAN</v>
      </c>
      <c r="D2404" s="1" t="str">
        <f>IFERROR(__xludf.DUMMYFUNCTION("""COMPUTED_VALUE"""),"Lentes de STOCK")</f>
        <v>Lentes de STOCK</v>
      </c>
      <c r="E2404" s="1" t="str">
        <f>IFERROR(__xludf.DUMMYFUNCTION("""COMPUTED_VALUE"""),"RIVADAVIA Luciana")</f>
        <v>RIVADAVIA Luciana</v>
      </c>
      <c r="F2404" s="1" t="str">
        <f t="shared" si="1"/>
        <v>RIVADAVIA </v>
      </c>
      <c r="G2404" s="1" t="str">
        <f t="shared" si="2"/>
        <v>Luciana</v>
      </c>
      <c r="H2404" s="1" t="str">
        <f>IFERROR(__xludf.DUMMYFUNCTION("""COMPUTED_VALUE"""),"1/3/2023, 17:00:00")</f>
        <v>1/3/2023, 17:00:00</v>
      </c>
      <c r="I2404" s="1" t="str">
        <f>IFERROR(__xludf.DUMMYFUNCTION("""COMPUTED_VALUE"""),"Recibido en Laboratorio")</f>
        <v>Recibido en Laboratorio</v>
      </c>
      <c r="J2404" s="1">
        <f t="shared" si="3"/>
        <v>2</v>
      </c>
      <c r="K2404" s="1" t="str">
        <f t="shared" si="4"/>
        <v>Nuestro Laboratorio esta trabajando en tus lentes, los entregaremos en la fecha acordada.</v>
      </c>
    </row>
    <row r="2405">
      <c r="A2405" s="1">
        <f>IFERROR(__xludf.DUMMYFUNCTION("""COMPUTED_VALUE"""),86952.0)</f>
        <v>86952</v>
      </c>
      <c r="B2405" s="5">
        <f>IFERROR(__xludf.DUMMYFUNCTION("""COMPUTED_VALUE"""),44981.715544328705)</f>
        <v>44981.71554</v>
      </c>
      <c r="C2405" s="1" t="str">
        <f>IFERROR(__xludf.DUMMYFUNCTION("""COMPUTED_VALUE"""),"ACUÑA MARIA")</f>
        <v>ACUÑA MARIA</v>
      </c>
      <c r="D2405" s="1" t="str">
        <f>IFERROR(__xludf.DUMMYFUNCTION("""COMPUTED_VALUE"""),"Lentes de STOCK")</f>
        <v>Lentes de STOCK</v>
      </c>
      <c r="E2405" s="1" t="str">
        <f>IFERROR(__xludf.DUMMYFUNCTION("""COMPUTED_VALUE"""),"ARTIGAS Ivana P.")</f>
        <v>ARTIGAS Ivana P.</v>
      </c>
      <c r="F2405" s="1" t="str">
        <f t="shared" si="1"/>
        <v>ARTIGAS </v>
      </c>
      <c r="G2405" s="1" t="str">
        <f t="shared" si="2"/>
        <v>Ivana P.</v>
      </c>
      <c r="H2405" s="1" t="str">
        <f>IFERROR(__xludf.DUMMYFUNCTION("""COMPUTED_VALUE"""),"2/3/2023, 17:00:00")</f>
        <v>2/3/2023, 17:00:00</v>
      </c>
      <c r="I2405" s="1" t="str">
        <f>IFERROR(__xludf.DUMMYFUNCTION("""COMPUTED_VALUE"""),"Recibido en Laboratorio")</f>
        <v>Recibido en Laboratorio</v>
      </c>
      <c r="J2405" s="1">
        <f t="shared" si="3"/>
        <v>2</v>
      </c>
      <c r="K2405" s="1" t="str">
        <f t="shared" si="4"/>
        <v>Nuestro Laboratorio esta trabajando en tus lentes, los entregaremos en la fecha acordada.</v>
      </c>
    </row>
    <row r="2406">
      <c r="A2406" s="1">
        <f>IFERROR(__xludf.DUMMYFUNCTION("""COMPUTED_VALUE"""),86953.0)</f>
        <v>86953</v>
      </c>
      <c r="B2406" s="5">
        <f>IFERROR(__xludf.DUMMYFUNCTION("""COMPUTED_VALUE"""),44981.71888201388)</f>
        <v>44981.71888</v>
      </c>
      <c r="C2406" s="1" t="str">
        <f>IFERROR(__xludf.DUMMYFUNCTION("""COMPUTED_VALUE"""),"nuñez erica")</f>
        <v>nuñez erica</v>
      </c>
      <c r="D2406" s="1" t="str">
        <f>IFERROR(__xludf.DUMMYFUNCTION("""COMPUTED_VALUE"""),"Reparaciones/Otros")</f>
        <v>Reparaciones/Otros</v>
      </c>
      <c r="E2406" s="1" t="str">
        <f>IFERROR(__xludf.DUMMYFUNCTION("""COMPUTED_VALUE"""),"RIVADAVIA Santiago LOPEZ")</f>
        <v>RIVADAVIA Santiago LOPEZ</v>
      </c>
      <c r="F2406" s="1" t="str">
        <f t="shared" si="1"/>
        <v>RIVADAVIA </v>
      </c>
      <c r="G2406" s="1" t="str">
        <f t="shared" si="2"/>
        <v>Santiago LOPEZ</v>
      </c>
      <c r="H2406" s="1" t="str">
        <f>IFERROR(__xludf.DUMMYFUNCTION("""COMPUTED_VALUE"""),"27/2/2023, 17:00:00")</f>
        <v>27/2/2023, 17:00:00</v>
      </c>
      <c r="I2406" s="1"/>
      <c r="J2406" s="1">
        <f t="shared" si="3"/>
        <v>0</v>
      </c>
      <c r="K2406" s="1" t="str">
        <f t="shared" si="4"/>
        <v/>
      </c>
    </row>
    <row r="2407">
      <c r="A2407" s="1">
        <f>IFERROR(__xludf.DUMMYFUNCTION("""COMPUTED_VALUE"""),86954.0)</f>
        <v>86954</v>
      </c>
      <c r="B2407" s="5">
        <f>IFERROR(__xludf.DUMMYFUNCTION("""COMPUTED_VALUE"""),44981.728405671296)</f>
        <v>44981.72841</v>
      </c>
      <c r="C2407" s="1" t="str">
        <f>IFERROR(__xludf.DUMMYFUNCTION("""COMPUTED_VALUE"""),"daza Gaciela beatriz ")</f>
        <v>daza Gaciela beatriz </v>
      </c>
      <c r="D2407" s="1" t="str">
        <f>IFERROR(__xludf.DUMMYFUNCTION("""COMPUTED_VALUE"""),"Lentes de STOCK")</f>
        <v>Lentes de STOCK</v>
      </c>
      <c r="E2407" s="1" t="str">
        <f>IFERROR(__xludf.DUMMYFUNCTION("""COMPUTED_VALUE"""),"RIVADAVIA Santiago N")</f>
        <v>RIVADAVIA Santiago N</v>
      </c>
      <c r="F2407" s="1" t="str">
        <f t="shared" si="1"/>
        <v>RIVADAVIA </v>
      </c>
      <c r="G2407" s="1" t="str">
        <f t="shared" si="2"/>
        <v>Santiago N</v>
      </c>
      <c r="H2407" s="1" t="str">
        <f>IFERROR(__xludf.DUMMYFUNCTION("""COMPUTED_VALUE"""),"27/2/2023, 17:00:00")</f>
        <v>27/2/2023, 17:00:00</v>
      </c>
      <c r="I2407" s="1" t="str">
        <f>IFERROR(__xludf.DUMMYFUNCTION("""COMPUTED_VALUE"""),"Completado en SUCURSAL")</f>
        <v>Completado en SUCURSAL</v>
      </c>
      <c r="J2407" s="1">
        <f t="shared" si="3"/>
        <v>5</v>
      </c>
      <c r="K2407" s="1" t="str">
        <f t="shared" si="4"/>
        <v>Tus Lentes estan LISTAS PARA ENTREGAR, te esperamos.</v>
      </c>
    </row>
    <row r="2408">
      <c r="A2408" s="1">
        <f>IFERROR(__xludf.DUMMYFUNCTION("""COMPUTED_VALUE"""),86955.0)</f>
        <v>86955</v>
      </c>
      <c r="B2408" s="5">
        <f>IFERROR(__xludf.DUMMYFUNCTION("""COMPUTED_VALUE"""),44981.733714155096)</f>
        <v>44981.73371</v>
      </c>
      <c r="C2408" s="1" t="str">
        <f>IFERROR(__xludf.DUMMYFUNCTION("""COMPUTED_VALUE"""),"FUNES GEZ LUCIANA")</f>
        <v>FUNES GEZ LUCIANA</v>
      </c>
      <c r="D2408" s="1" t="str">
        <f>IFERROR(__xludf.DUMMYFUNCTION("""COMPUTED_VALUE"""),"Reparaciones/Otros")</f>
        <v>Reparaciones/Otros</v>
      </c>
      <c r="E2408" s="1" t="str">
        <f>IFERROR(__xludf.DUMMYFUNCTION("""COMPUTED_VALUE"""),"RIVADAVIA Santiago LOPEZ")</f>
        <v>RIVADAVIA Santiago LOPEZ</v>
      </c>
      <c r="F2408" s="1" t="str">
        <f t="shared" si="1"/>
        <v>RIVADAVIA </v>
      </c>
      <c r="G2408" s="1" t="str">
        <f t="shared" si="2"/>
        <v>Santiago LOPEZ</v>
      </c>
      <c r="H2408" s="1" t="str">
        <f>IFERROR(__xludf.DUMMYFUNCTION("""COMPUTED_VALUE"""),"25/2/2023, 17:00:00")</f>
        <v>25/2/2023, 17:00:00</v>
      </c>
      <c r="I2408" s="1" t="str">
        <f>IFERROR(__xludf.DUMMYFUNCTION("""COMPUTED_VALUE"""),"Recibido en Laboratorio")</f>
        <v>Recibido en Laboratorio</v>
      </c>
      <c r="J2408" s="1">
        <f t="shared" si="3"/>
        <v>2</v>
      </c>
      <c r="K2408" s="1" t="str">
        <f t="shared" si="4"/>
        <v>Nuestro Laboratorio esta trabajando en tus lentes, los entregaremos en la fecha acordada.</v>
      </c>
    </row>
    <row r="2409">
      <c r="A2409" s="1">
        <f>IFERROR(__xludf.DUMMYFUNCTION("""COMPUTED_VALUE"""),86956.0)</f>
        <v>86956</v>
      </c>
      <c r="B2409" s="5">
        <f>IFERROR(__xludf.DUMMYFUNCTION("""COMPUTED_VALUE"""),44981.73437960648)</f>
        <v>44981.73438</v>
      </c>
      <c r="C2409" s="1" t="str">
        <f>IFERROR(__xludf.DUMMYFUNCTION("""COMPUTED_VALUE"""),"sosa jose antonio")</f>
        <v>sosa jose antonio</v>
      </c>
      <c r="D2409" s="1" t="str">
        <f>IFERROR(__xludf.DUMMYFUNCTION("""COMPUTED_VALUE"""),"Lentes de STOCK")</f>
        <v>Lentes de STOCK</v>
      </c>
      <c r="E2409" s="1" t="str">
        <f>IFERROR(__xludf.DUMMYFUNCTION("""COMPUTED_VALUE"""),"RIVADAVIA Santiago N")</f>
        <v>RIVADAVIA Santiago N</v>
      </c>
      <c r="F2409" s="1" t="str">
        <f t="shared" si="1"/>
        <v>RIVADAVIA </v>
      </c>
      <c r="G2409" s="1" t="str">
        <f t="shared" si="2"/>
        <v>Santiago N</v>
      </c>
      <c r="H2409" s="1" t="str">
        <f>IFERROR(__xludf.DUMMYFUNCTION("""COMPUTED_VALUE"""),"27/2/2023, 17:00:00")</f>
        <v>27/2/2023, 17:00:00</v>
      </c>
      <c r="I2409" s="1" t="str">
        <f>IFERROR(__xludf.DUMMYFUNCTION("""COMPUTED_VALUE"""),"Recibido en Laboratorio")</f>
        <v>Recibido en Laboratorio</v>
      </c>
      <c r="J2409" s="1">
        <f t="shared" si="3"/>
        <v>2</v>
      </c>
      <c r="K2409" s="1" t="str">
        <f t="shared" si="4"/>
        <v>Nuestro Laboratorio esta trabajando en tus lentes, los entregaremos en la fecha acordada.</v>
      </c>
    </row>
    <row r="2410">
      <c r="A2410" s="1">
        <f>IFERROR(__xludf.DUMMYFUNCTION("""COMPUTED_VALUE"""),86957.0)</f>
        <v>86957</v>
      </c>
      <c r="B2410" s="5">
        <f>IFERROR(__xludf.DUMMYFUNCTION("""COMPUTED_VALUE"""),44981.740481967594)</f>
        <v>44981.74048</v>
      </c>
      <c r="C2410" s="1" t="str">
        <f>IFERROR(__xludf.DUMMYFUNCTION("""COMPUTED_VALUE"""),"Navarro Carlos ")</f>
        <v>Navarro Carlos </v>
      </c>
      <c r="D2410" s="1" t="str">
        <f>IFERROR(__xludf.DUMMYFUNCTION("""COMPUTED_VALUE"""),"Reparaciones/Otros")</f>
        <v>Reparaciones/Otros</v>
      </c>
      <c r="E2410" s="1" t="str">
        <f>IFERROR(__xludf.DUMMYFUNCTION("""COMPUTED_VALUE"""),"ARTIGAS Micaela")</f>
        <v>ARTIGAS Micaela</v>
      </c>
      <c r="F2410" s="1" t="str">
        <f t="shared" si="1"/>
        <v>ARTIGAS </v>
      </c>
      <c r="G2410" s="1" t="str">
        <f t="shared" si="2"/>
        <v>Micaela</v>
      </c>
      <c r="H2410" s="1" t="str">
        <f>IFERROR(__xludf.DUMMYFUNCTION("""COMPUTED_VALUE"""),"27/2/2023, 17:00:00")</f>
        <v>27/2/2023, 17:00:00</v>
      </c>
      <c r="I2410" s="1" t="str">
        <f>IFERROR(__xludf.DUMMYFUNCTION("""COMPUTED_VALUE"""),"Recibido en Laboratorio")</f>
        <v>Recibido en Laboratorio</v>
      </c>
      <c r="J2410" s="1">
        <f t="shared" si="3"/>
        <v>2</v>
      </c>
      <c r="K2410" s="1" t="str">
        <f t="shared" si="4"/>
        <v>Nuestro Laboratorio esta trabajando en tus lentes, los entregaremos en la fecha acordada.</v>
      </c>
    </row>
    <row r="2411">
      <c r="A2411" s="1">
        <f>IFERROR(__xludf.DUMMYFUNCTION("""COMPUTED_VALUE"""),86958.0)</f>
        <v>86958</v>
      </c>
      <c r="B2411" s="5">
        <f>IFERROR(__xludf.DUMMYFUNCTION("""COMPUTED_VALUE"""),44981.741247557875)</f>
        <v>44981.74125</v>
      </c>
      <c r="C2411" s="1" t="str">
        <f>IFERROR(__xludf.DUMMYFUNCTION("""COMPUTED_VALUE"""),"algarbe jose")</f>
        <v>algarbe jose</v>
      </c>
      <c r="D2411" s="1" t="str">
        <f>IFERROR(__xludf.DUMMYFUNCTION("""COMPUTED_VALUE"""),"Reparaciones/Otros")</f>
        <v>Reparaciones/Otros</v>
      </c>
      <c r="E2411" s="1" t="str">
        <f>IFERROR(__xludf.DUMMYFUNCTION("""COMPUTED_VALUE"""),"RIVADAVIA Santiago LOPEZ")</f>
        <v>RIVADAVIA Santiago LOPEZ</v>
      </c>
      <c r="F2411" s="1" t="str">
        <f t="shared" si="1"/>
        <v>RIVADAVIA </v>
      </c>
      <c r="G2411" s="1" t="str">
        <f t="shared" si="2"/>
        <v>Santiago LOPEZ</v>
      </c>
      <c r="H2411" s="1" t="str">
        <f>IFERROR(__xludf.DUMMYFUNCTION("""COMPUTED_VALUE"""),"25/2/2023, 17:00:00")</f>
        <v>25/2/2023, 17:00:00</v>
      </c>
      <c r="I2411" s="1" t="str">
        <f>IFERROR(__xludf.DUMMYFUNCTION("""COMPUTED_VALUE"""),"Completado en SUCURSAL")</f>
        <v>Completado en SUCURSAL</v>
      </c>
      <c r="J2411" s="1">
        <f t="shared" si="3"/>
        <v>5</v>
      </c>
      <c r="K2411" s="1" t="str">
        <f t="shared" si="4"/>
        <v>Tus Lentes estan LISTAS PARA ENTREGAR, te esperamos.</v>
      </c>
    </row>
    <row r="2412">
      <c r="A2412" s="1">
        <f>IFERROR(__xludf.DUMMYFUNCTION("""COMPUTED_VALUE"""),86959.0)</f>
        <v>86959</v>
      </c>
      <c r="B2412" s="5">
        <f>IFERROR(__xludf.DUMMYFUNCTION("""COMPUTED_VALUE"""),44981.74265936343)</f>
        <v>44981.74266</v>
      </c>
      <c r="C2412" s="1" t="str">
        <f>IFERROR(__xludf.DUMMYFUNCTION("""COMPUTED_VALUE"""),"estrada marcelo ")</f>
        <v>estrada marcelo </v>
      </c>
      <c r="D2412" s="1" t="str">
        <f>IFERROR(__xludf.DUMMYFUNCTION("""COMPUTED_VALUE"""),"Lentes MULTIFOCALES")</f>
        <v>Lentes MULTIFOCALES</v>
      </c>
      <c r="E2412" s="1" t="str">
        <f>IFERROR(__xludf.DUMMYFUNCTION("""COMPUTED_VALUE"""),"RIVADAVIA Santiago N")</f>
        <v>RIVADAVIA Santiago N</v>
      </c>
      <c r="F2412" s="1" t="str">
        <f t="shared" si="1"/>
        <v>RIVADAVIA </v>
      </c>
      <c r="G2412" s="1" t="str">
        <f t="shared" si="2"/>
        <v>Santiago N</v>
      </c>
      <c r="H2412" s="1" t="str">
        <f>IFERROR(__xludf.DUMMYFUNCTION("""COMPUTED_VALUE"""),"9/3/2023, 17:00:00")</f>
        <v>9/3/2023, 17:00:00</v>
      </c>
      <c r="I2412" s="1" t="str">
        <f>IFERROR(__xludf.DUMMYFUNCTION("""COMPUTED_VALUE"""),"Completado en SUCURSAL")</f>
        <v>Completado en SUCURSAL</v>
      </c>
      <c r="J2412" s="1">
        <f t="shared" si="3"/>
        <v>5</v>
      </c>
      <c r="K2412" s="1" t="str">
        <f t="shared" si="4"/>
        <v>Tus Lentes estan LISTAS PARA ENTREGAR, te esperamos.</v>
      </c>
    </row>
    <row r="2413">
      <c r="A2413" s="1">
        <f>IFERROR(__xludf.DUMMYFUNCTION("""COMPUTED_VALUE"""),86960.0)</f>
        <v>86960</v>
      </c>
      <c r="B2413" s="5">
        <f>IFERROR(__xludf.DUMMYFUNCTION("""COMPUTED_VALUE"""),44981.76389523148)</f>
        <v>44981.7639</v>
      </c>
      <c r="C2413" s="1" t="str">
        <f>IFERROR(__xludf.DUMMYFUNCTION("""COMPUTED_VALUE"""),"PALUCI CLAUDIA")</f>
        <v>PALUCI CLAUDIA</v>
      </c>
      <c r="D2413" s="1" t="str">
        <f>IFERROR(__xludf.DUMMYFUNCTION("""COMPUTED_VALUE"""),"Lentes de STOCK")</f>
        <v>Lentes de STOCK</v>
      </c>
      <c r="E2413" s="1" t="str">
        <f>IFERROR(__xludf.DUMMYFUNCTION("""COMPUTED_VALUE"""),"RIVADAVIA Javier")</f>
        <v>RIVADAVIA Javier</v>
      </c>
      <c r="F2413" s="1" t="str">
        <f t="shared" si="1"/>
        <v>RIVADAVIA </v>
      </c>
      <c r="G2413" s="1" t="str">
        <f t="shared" si="2"/>
        <v>Javier</v>
      </c>
      <c r="H2413" s="1" t="str">
        <f>IFERROR(__xludf.DUMMYFUNCTION("""COMPUTED_VALUE"""),"27/2/2023, 17:00:00")</f>
        <v>27/2/2023, 17:00:00</v>
      </c>
      <c r="I2413" s="1" t="str">
        <f>IFERROR(__xludf.DUMMYFUNCTION("""COMPUTED_VALUE"""),"Completado en SUCURSAL")</f>
        <v>Completado en SUCURSAL</v>
      </c>
      <c r="J2413" s="1">
        <f t="shared" si="3"/>
        <v>5</v>
      </c>
      <c r="K2413" s="1" t="str">
        <f t="shared" si="4"/>
        <v>Tus Lentes estan LISTAS PARA ENTREGAR, te esperamos.</v>
      </c>
    </row>
    <row r="2414">
      <c r="A2414" s="1">
        <f>IFERROR(__xludf.DUMMYFUNCTION("""COMPUTED_VALUE"""),86961.0)</f>
        <v>86961</v>
      </c>
      <c r="B2414" s="5">
        <f>IFERROR(__xludf.DUMMYFUNCTION("""COMPUTED_VALUE"""),44981.76494986111)</f>
        <v>44981.76495</v>
      </c>
      <c r="C2414" s="1" t="str">
        <f>IFERROR(__xludf.DUMMYFUNCTION("""COMPUTED_VALUE"""),"magallanes sosa esther")</f>
        <v>magallanes sosa esther</v>
      </c>
      <c r="D2414" s="1" t="str">
        <f>IFERROR(__xludf.DUMMYFUNCTION("""COMPUTED_VALUE"""),"Lentes de STOCK")</f>
        <v>Lentes de STOCK</v>
      </c>
      <c r="E2414" s="1" t="str">
        <f>IFERROR(__xludf.DUMMYFUNCTION("""COMPUTED_VALUE"""),"RIVADAVIA Santiago N")</f>
        <v>RIVADAVIA Santiago N</v>
      </c>
      <c r="F2414" s="1" t="str">
        <f t="shared" si="1"/>
        <v>RIVADAVIA </v>
      </c>
      <c r="G2414" s="1" t="str">
        <f t="shared" si="2"/>
        <v>Santiago N</v>
      </c>
      <c r="H2414" s="1" t="str">
        <f>IFERROR(__xludf.DUMMYFUNCTION("""COMPUTED_VALUE"""),"1/3/2023, 17:00:00")</f>
        <v>1/3/2023, 17:00:00</v>
      </c>
      <c r="I2414" s="1" t="str">
        <f>IFERROR(__xludf.DUMMYFUNCTION("""COMPUTED_VALUE"""),"Recibido en Laboratorio")</f>
        <v>Recibido en Laboratorio</v>
      </c>
      <c r="J2414" s="1">
        <f t="shared" si="3"/>
        <v>2</v>
      </c>
      <c r="K2414" s="1" t="str">
        <f t="shared" si="4"/>
        <v>Nuestro Laboratorio esta trabajando en tus lentes, los entregaremos en la fecha acordada.</v>
      </c>
    </row>
    <row r="2415">
      <c r="A2415" s="1">
        <f>IFERROR(__xludf.DUMMYFUNCTION("""COMPUTED_VALUE"""),86962.0)</f>
        <v>86962</v>
      </c>
      <c r="B2415" s="5">
        <f>IFERROR(__xludf.DUMMYFUNCTION("""COMPUTED_VALUE"""),44981.76918141203)</f>
        <v>44981.76918</v>
      </c>
      <c r="C2415" s="1" t="str">
        <f>IFERROR(__xludf.DUMMYFUNCTION("""COMPUTED_VALUE"""),"ALCARAZ SILVA ANDREA")</f>
        <v>ALCARAZ SILVA ANDREA</v>
      </c>
      <c r="D2415" s="1" t="str">
        <f>IFERROR(__xludf.DUMMYFUNCTION("""COMPUTED_VALUE"""),"Reparaciones/Otros")</f>
        <v>Reparaciones/Otros</v>
      </c>
      <c r="E2415" s="1" t="str">
        <f>IFERROR(__xludf.DUMMYFUNCTION("""COMPUTED_VALUE"""),"RIVADAVIA Santiago LOPEZ")</f>
        <v>RIVADAVIA Santiago LOPEZ</v>
      </c>
      <c r="F2415" s="1" t="str">
        <f t="shared" si="1"/>
        <v>RIVADAVIA </v>
      </c>
      <c r="G2415" s="1" t="str">
        <f t="shared" si="2"/>
        <v>Santiago LOPEZ</v>
      </c>
      <c r="H2415" s="1" t="str">
        <f>IFERROR(__xludf.DUMMYFUNCTION("""COMPUTED_VALUE"""),"25/2/2023, 17:00:00")</f>
        <v>25/2/2023, 17:00:00</v>
      </c>
      <c r="I2415" s="1" t="str">
        <f>IFERROR(__xludf.DUMMYFUNCTION("""COMPUTED_VALUE"""),"Completado en SUCURSAL")</f>
        <v>Completado en SUCURSAL</v>
      </c>
      <c r="J2415" s="1">
        <f t="shared" si="3"/>
        <v>5</v>
      </c>
      <c r="K2415" s="1" t="str">
        <f t="shared" si="4"/>
        <v>Tus Lentes estan LISTAS PARA ENTREGAR, te esperamos.</v>
      </c>
    </row>
    <row r="2416">
      <c r="A2416" s="1">
        <f>IFERROR(__xludf.DUMMYFUNCTION("""COMPUTED_VALUE"""),86963.0)</f>
        <v>86963</v>
      </c>
      <c r="B2416" s="5">
        <f>IFERROR(__xludf.DUMMYFUNCTION("""COMPUTED_VALUE"""),44981.7768956713)</f>
        <v>44981.7769</v>
      </c>
      <c r="C2416" s="1" t="str">
        <f>IFERROR(__xludf.DUMMYFUNCTION("""COMPUTED_VALUE"""),"SOFIA GARRIDO ")</f>
        <v>SOFIA GARRIDO </v>
      </c>
      <c r="D2416" s="1" t="str">
        <f>IFERROR(__xludf.DUMMYFUNCTION("""COMPUTED_VALUE"""),"Reparaciones/Otros")</f>
        <v>Reparaciones/Otros</v>
      </c>
      <c r="E2416" s="1" t="str">
        <f>IFERROR(__xludf.DUMMYFUNCTION("""COMPUTED_VALUE"""),"RIVADAVIA Javier")</f>
        <v>RIVADAVIA Javier</v>
      </c>
      <c r="F2416" s="1" t="str">
        <f t="shared" si="1"/>
        <v>RIVADAVIA </v>
      </c>
      <c r="G2416" s="1" t="str">
        <f t="shared" si="2"/>
        <v>Javier</v>
      </c>
      <c r="H2416" s="1" t="str">
        <f>IFERROR(__xludf.DUMMYFUNCTION("""COMPUTED_VALUE"""),"25/2/2023, 17:00:00")</f>
        <v>25/2/2023, 17:00:00</v>
      </c>
      <c r="I2416" s="1" t="str">
        <f>IFERROR(__xludf.DUMMYFUNCTION("""COMPUTED_VALUE"""),"Completado en SUCURSAL")</f>
        <v>Completado en SUCURSAL</v>
      </c>
      <c r="J2416" s="1">
        <f t="shared" si="3"/>
        <v>5</v>
      </c>
      <c r="K2416" s="1" t="str">
        <f t="shared" si="4"/>
        <v>Tus Lentes estan LISTAS PARA ENTREGAR, te esperamos.</v>
      </c>
    </row>
    <row r="2417">
      <c r="A2417" s="1">
        <f>IFERROR(__xludf.DUMMYFUNCTION("""COMPUTED_VALUE"""),86964.0)</f>
        <v>86964</v>
      </c>
      <c r="B2417" s="5">
        <f>IFERROR(__xludf.DUMMYFUNCTION("""COMPUTED_VALUE"""),44981.77867652778)</f>
        <v>44981.77868</v>
      </c>
      <c r="C2417" s="1" t="str">
        <f>IFERROR(__xludf.DUMMYFUNCTION("""COMPUTED_VALUE"""),"GUEVARA ROSANA")</f>
        <v>GUEVARA ROSANA</v>
      </c>
      <c r="D2417" s="1" t="str">
        <f>IFERROR(__xludf.DUMMYFUNCTION("""COMPUTED_VALUE"""),"Lentes de STOCK")</f>
        <v>Lentes de STOCK</v>
      </c>
      <c r="E2417" s="1" t="str">
        <f>IFERROR(__xludf.DUMMYFUNCTION("""COMPUTED_VALUE"""),"RIVADAVIA Luciana")</f>
        <v>RIVADAVIA Luciana</v>
      </c>
      <c r="F2417" s="1" t="str">
        <f t="shared" si="1"/>
        <v>RIVADAVIA </v>
      </c>
      <c r="G2417" s="1" t="str">
        <f t="shared" si="2"/>
        <v>Luciana</v>
      </c>
      <c r="H2417" s="1" t="str">
        <f>IFERROR(__xludf.DUMMYFUNCTION("""COMPUTED_VALUE"""),"2/3/2023, 17:00:00")</f>
        <v>2/3/2023, 17:00:00</v>
      </c>
      <c r="I2417" s="1" t="str">
        <f>IFERROR(__xludf.DUMMYFUNCTION("""COMPUTED_VALUE"""),"Completado en SUCURSAL")</f>
        <v>Completado en SUCURSAL</v>
      </c>
      <c r="J2417" s="1">
        <f t="shared" si="3"/>
        <v>5</v>
      </c>
      <c r="K2417" s="1" t="str">
        <f t="shared" si="4"/>
        <v>Tus Lentes estan LISTAS PARA ENTREGAR, te esperamos.</v>
      </c>
    </row>
    <row r="2418">
      <c r="A2418" s="1">
        <f>IFERROR(__xludf.DUMMYFUNCTION("""COMPUTED_VALUE"""),86965.0)</f>
        <v>86965</v>
      </c>
      <c r="B2418" s="5">
        <f>IFERROR(__xludf.DUMMYFUNCTION("""COMPUTED_VALUE"""),44981.78755212963)</f>
        <v>44981.78755</v>
      </c>
      <c r="C2418" s="1" t="str">
        <f>IFERROR(__xludf.DUMMYFUNCTION("""COMPUTED_VALUE"""),"MASSARES MAXIMILIANO")</f>
        <v>MASSARES MAXIMILIANO</v>
      </c>
      <c r="D2418" s="1" t="str">
        <f>IFERROR(__xludf.DUMMYFUNCTION("""COMPUTED_VALUE"""),"Lentes de STOCK")</f>
        <v>Lentes de STOCK</v>
      </c>
      <c r="E2418" s="1" t="str">
        <f>IFERROR(__xludf.DUMMYFUNCTION("""COMPUTED_VALUE"""),"RIVADAVIA Santiago LOPEZ")</f>
        <v>RIVADAVIA Santiago LOPEZ</v>
      </c>
      <c r="F2418" s="1" t="str">
        <f t="shared" si="1"/>
        <v>RIVADAVIA </v>
      </c>
      <c r="G2418" s="1" t="str">
        <f t="shared" si="2"/>
        <v>Santiago LOPEZ</v>
      </c>
      <c r="H2418" s="1" t="str">
        <f>IFERROR(__xludf.DUMMYFUNCTION("""COMPUTED_VALUE"""),"1/3/2023, 17:00:00")</f>
        <v>1/3/2023, 17:00:00</v>
      </c>
      <c r="I2418" s="1" t="str">
        <f>IFERROR(__xludf.DUMMYFUNCTION("""COMPUTED_VALUE"""),"Completado en SUCURSAL")</f>
        <v>Completado en SUCURSAL</v>
      </c>
      <c r="J2418" s="1">
        <f t="shared" si="3"/>
        <v>5</v>
      </c>
      <c r="K2418" s="1" t="str">
        <f t="shared" si="4"/>
        <v>Tus Lentes estan LISTAS PARA ENTREGAR, te esperamos.</v>
      </c>
    </row>
    <row r="2419">
      <c r="A2419" s="1">
        <f>IFERROR(__xludf.DUMMYFUNCTION("""COMPUTED_VALUE"""),86966.0)</f>
        <v>86966</v>
      </c>
      <c r="B2419" s="5">
        <f>IFERROR(__xludf.DUMMYFUNCTION("""COMPUTED_VALUE"""),44981.788013171295)</f>
        <v>44981.78801</v>
      </c>
      <c r="C2419" s="1" t="str">
        <f>IFERROR(__xludf.DUMMYFUNCTION("""COMPUTED_VALUE"""),"MUÑOZ JORGE")</f>
        <v>MUÑOZ JORGE</v>
      </c>
      <c r="D2419" s="1" t="str">
        <f>IFERROR(__xludf.DUMMYFUNCTION("""COMPUTED_VALUE"""),"Lentes BIFOCALES")</f>
        <v>Lentes BIFOCALES</v>
      </c>
      <c r="E2419" s="1" t="str">
        <f>IFERROR(__xludf.DUMMYFUNCTION("""COMPUTED_VALUE"""),"ARTIGAS Ivana P.")</f>
        <v>ARTIGAS Ivana P.</v>
      </c>
      <c r="F2419" s="1" t="str">
        <f t="shared" si="1"/>
        <v>ARTIGAS </v>
      </c>
      <c r="G2419" s="1" t="str">
        <f t="shared" si="2"/>
        <v>Ivana P.</v>
      </c>
      <c r="H2419" s="1" t="str">
        <f>IFERROR(__xludf.DUMMYFUNCTION("""COMPUTED_VALUE"""),"2/3/2023, 17:00:00")</f>
        <v>2/3/2023, 17:00:00</v>
      </c>
      <c r="I2419" s="1" t="str">
        <f>IFERROR(__xludf.DUMMYFUNCTION("""COMPUTED_VALUE"""),"Recibido en Laboratorio")</f>
        <v>Recibido en Laboratorio</v>
      </c>
      <c r="J2419" s="1">
        <f t="shared" si="3"/>
        <v>2</v>
      </c>
      <c r="K2419" s="1" t="str">
        <f t="shared" si="4"/>
        <v>Nuestro Laboratorio esta trabajando en tus lentes, los entregaremos en la fecha acordada.</v>
      </c>
    </row>
    <row r="2420">
      <c r="A2420" s="1">
        <f>IFERROR(__xludf.DUMMYFUNCTION("""COMPUTED_VALUE"""),86967.0)</f>
        <v>86967</v>
      </c>
      <c r="B2420" s="5">
        <f>IFERROR(__xludf.DUMMYFUNCTION("""COMPUTED_VALUE"""),44981.788316018516)</f>
        <v>44981.78832</v>
      </c>
      <c r="C2420" s="1" t="str">
        <f>IFERROR(__xludf.DUMMYFUNCTION("""COMPUTED_VALUE"""),"diaz luis")</f>
        <v>diaz luis</v>
      </c>
      <c r="D2420" s="1" t="str">
        <f>IFERROR(__xludf.DUMMYFUNCTION("""COMPUTED_VALUE"""),"Lentes de STOCK")</f>
        <v>Lentes de STOCK</v>
      </c>
      <c r="E2420" s="1" t="str">
        <f>IFERROR(__xludf.DUMMYFUNCTION("""COMPUTED_VALUE"""),"RIVADAVIA Santiago N")</f>
        <v>RIVADAVIA Santiago N</v>
      </c>
      <c r="F2420" s="1" t="str">
        <f t="shared" si="1"/>
        <v>RIVADAVIA </v>
      </c>
      <c r="G2420" s="1" t="str">
        <f t="shared" si="2"/>
        <v>Santiago N</v>
      </c>
      <c r="H2420" s="1" t="str">
        <f>IFERROR(__xludf.DUMMYFUNCTION("""COMPUTED_VALUE"""),"27/2/2023, 17:00:00")</f>
        <v>27/2/2023, 17:00:00</v>
      </c>
      <c r="I2420" s="1" t="str">
        <f>IFERROR(__xludf.DUMMYFUNCTION("""COMPUTED_VALUE"""),"Completado en SUCURSAL")</f>
        <v>Completado en SUCURSAL</v>
      </c>
      <c r="J2420" s="1">
        <f t="shared" si="3"/>
        <v>5</v>
      </c>
      <c r="K2420" s="1" t="str">
        <f t="shared" si="4"/>
        <v>Tus Lentes estan LISTAS PARA ENTREGAR, te esperamos.</v>
      </c>
    </row>
    <row r="2421">
      <c r="A2421" s="1">
        <f>IFERROR(__xludf.DUMMYFUNCTION("""COMPUTED_VALUE"""),86968.0)</f>
        <v>86968</v>
      </c>
      <c r="B2421" s="5">
        <f>IFERROR(__xludf.DUMMYFUNCTION("""COMPUTED_VALUE"""),44981.78891778935)</f>
        <v>44981.78892</v>
      </c>
      <c r="C2421" s="1" t="str">
        <f>IFERROR(__xludf.DUMMYFUNCTION("""COMPUTED_VALUE"""),"ROMERO CAMILA")</f>
        <v>ROMERO CAMILA</v>
      </c>
      <c r="D2421" s="1" t="str">
        <f>IFERROR(__xludf.DUMMYFUNCTION("""COMPUTED_VALUE"""),"Lentes de STOCK")</f>
        <v>Lentes de STOCK</v>
      </c>
      <c r="E2421" s="1" t="str">
        <f>IFERROR(__xludf.DUMMYFUNCTION("""COMPUTED_VALUE"""),"RIVADAVIA Javier")</f>
        <v>RIVADAVIA Javier</v>
      </c>
      <c r="F2421" s="1" t="str">
        <f t="shared" si="1"/>
        <v>RIVADAVIA </v>
      </c>
      <c r="G2421" s="1" t="str">
        <f t="shared" si="2"/>
        <v>Javier</v>
      </c>
      <c r="H2421" s="1" t="str">
        <f>IFERROR(__xludf.DUMMYFUNCTION("""COMPUTED_VALUE"""),"2/3/2023, 17:00:00")</f>
        <v>2/3/2023, 17:00:00</v>
      </c>
      <c r="I2421" s="1" t="str">
        <f>IFERROR(__xludf.DUMMYFUNCTION("""COMPUTED_VALUE"""),"Recibido en Laboratorio")</f>
        <v>Recibido en Laboratorio</v>
      </c>
      <c r="J2421" s="1">
        <f t="shared" si="3"/>
        <v>2</v>
      </c>
      <c r="K2421" s="1" t="str">
        <f t="shared" si="4"/>
        <v>Nuestro Laboratorio esta trabajando en tus lentes, los entregaremos en la fecha acordada.</v>
      </c>
    </row>
    <row r="2422">
      <c r="A2422" s="1">
        <f>IFERROR(__xludf.DUMMYFUNCTION("""COMPUTED_VALUE"""),86969.0)</f>
        <v>86969</v>
      </c>
      <c r="B2422" s="5">
        <f>IFERROR(__xludf.DUMMYFUNCTION("""COMPUTED_VALUE"""),44981.79939351852)</f>
        <v>44981.79939</v>
      </c>
      <c r="C2422" s="1" t="str">
        <f>IFERROR(__xludf.DUMMYFUNCTION("""COMPUTED_VALUE"""),"GENNERO PEDRO")</f>
        <v>GENNERO PEDRO</v>
      </c>
      <c r="D2422" s="1" t="str">
        <f>IFERROR(__xludf.DUMMYFUNCTION("""COMPUTED_VALUE"""),"Lentes BIFOCALES")</f>
        <v>Lentes BIFOCALES</v>
      </c>
      <c r="E2422" s="1" t="str">
        <f>IFERROR(__xludf.DUMMYFUNCTION("""COMPUTED_VALUE"""),"RIVADAVIA Daniel CM")</f>
        <v>RIVADAVIA Daniel CM</v>
      </c>
      <c r="F2422" s="1" t="str">
        <f t="shared" si="1"/>
        <v>RIVADAVIA </v>
      </c>
      <c r="G2422" s="1" t="str">
        <f t="shared" si="2"/>
        <v>Daniel CM</v>
      </c>
      <c r="H2422" s="1" t="str">
        <f>IFERROR(__xludf.DUMMYFUNCTION("""COMPUTED_VALUE"""),"27/2/2023, 17:00:00")</f>
        <v>27/2/2023, 17:00:00</v>
      </c>
      <c r="I2422" s="1"/>
      <c r="J2422" s="1">
        <f t="shared" si="3"/>
        <v>0</v>
      </c>
      <c r="K2422" s="1" t="str">
        <f t="shared" si="4"/>
        <v/>
      </c>
    </row>
    <row r="2423">
      <c r="A2423" s="1">
        <f>IFERROR(__xludf.DUMMYFUNCTION("""COMPUTED_VALUE"""),86970.0)</f>
        <v>86970</v>
      </c>
      <c r="B2423" s="5">
        <f>IFERROR(__xludf.DUMMYFUNCTION("""COMPUTED_VALUE"""),44981.802728622686)</f>
        <v>44981.80273</v>
      </c>
      <c r="C2423" s="1" t="str">
        <f>IFERROR(__xludf.DUMMYFUNCTION("""COMPUTED_VALUE"""),"GENNERO CYNTHIA")</f>
        <v>GENNERO CYNTHIA</v>
      </c>
      <c r="D2423" s="1" t="str">
        <f>IFERROR(__xludf.DUMMYFUNCTION("""COMPUTED_VALUE"""),"Lentes de STOCK")</f>
        <v>Lentes de STOCK</v>
      </c>
      <c r="E2423" s="1" t="str">
        <f>IFERROR(__xludf.DUMMYFUNCTION("""COMPUTED_VALUE"""),"RIVADAVIA Javier")</f>
        <v>RIVADAVIA Javier</v>
      </c>
      <c r="F2423" s="1" t="str">
        <f t="shared" si="1"/>
        <v>RIVADAVIA </v>
      </c>
      <c r="G2423" s="1" t="str">
        <f t="shared" si="2"/>
        <v>Javier</v>
      </c>
      <c r="H2423" s="1" t="str">
        <f>IFERROR(__xludf.DUMMYFUNCTION("""COMPUTED_VALUE"""),"1/3/2023, 17:00:00")</f>
        <v>1/3/2023, 17:00:00</v>
      </c>
      <c r="I2423" s="1"/>
      <c r="J2423" s="1">
        <f t="shared" si="3"/>
        <v>0</v>
      </c>
      <c r="K2423" s="1" t="str">
        <f t="shared" si="4"/>
        <v/>
      </c>
    </row>
    <row r="2424">
      <c r="A2424" s="1">
        <f>IFERROR(__xludf.DUMMYFUNCTION("""COMPUTED_VALUE"""),86971.0)</f>
        <v>86971</v>
      </c>
      <c r="B2424" s="5">
        <f>IFERROR(__xludf.DUMMYFUNCTION("""COMPUTED_VALUE"""),44981.80851954861)</f>
        <v>44981.80852</v>
      </c>
      <c r="C2424" s="1" t="str">
        <f>IFERROR(__xludf.DUMMYFUNCTION("""COMPUTED_VALUE"""),"LUCERO OFALDO")</f>
        <v>LUCERO OFALDO</v>
      </c>
      <c r="D2424" s="1" t="str">
        <f>IFERROR(__xludf.DUMMYFUNCTION("""COMPUTED_VALUE"""),"Lentes de STOCK")</f>
        <v>Lentes de STOCK</v>
      </c>
      <c r="E2424" s="1" t="str">
        <f>IFERROR(__xludf.DUMMYFUNCTION("""COMPUTED_VALUE"""),"RIVADAVIA Javier")</f>
        <v>RIVADAVIA Javier</v>
      </c>
      <c r="F2424" s="1" t="str">
        <f t="shared" si="1"/>
        <v>RIVADAVIA </v>
      </c>
      <c r="G2424" s="1" t="str">
        <f t="shared" si="2"/>
        <v>Javier</v>
      </c>
      <c r="H2424" s="1" t="str">
        <f>IFERROR(__xludf.DUMMYFUNCTION("""COMPUTED_VALUE"""),"2/3/2023, 17:00:00")</f>
        <v>2/3/2023, 17:00:00</v>
      </c>
      <c r="I2424" s="1" t="str">
        <f>IFERROR(__xludf.DUMMYFUNCTION("""COMPUTED_VALUE"""),"Recibido en Laboratorio")</f>
        <v>Recibido en Laboratorio</v>
      </c>
      <c r="J2424" s="1">
        <f t="shared" si="3"/>
        <v>2</v>
      </c>
      <c r="K2424" s="1" t="str">
        <f t="shared" si="4"/>
        <v>Nuestro Laboratorio esta trabajando en tus lentes, los entregaremos en la fecha acordada.</v>
      </c>
    </row>
    <row r="2425">
      <c r="A2425" s="1">
        <f>IFERROR(__xludf.DUMMYFUNCTION("""COMPUTED_VALUE"""),86972.0)</f>
        <v>86972</v>
      </c>
      <c r="B2425" s="5">
        <f>IFERROR(__xludf.DUMMYFUNCTION("""COMPUTED_VALUE"""),44981.82047987268)</f>
        <v>44981.82048</v>
      </c>
      <c r="C2425" s="1" t="str">
        <f>IFERROR(__xludf.DUMMYFUNCTION("""COMPUTED_VALUE"""),"olivera rosa ")</f>
        <v>olivera rosa </v>
      </c>
      <c r="D2425" s="1" t="str">
        <f>IFERROR(__xludf.DUMMYFUNCTION("""COMPUTED_VALUE"""),"Lentes MULTIFOCALES")</f>
        <v>Lentes MULTIFOCALES</v>
      </c>
      <c r="E2425" s="1" t="str">
        <f>IFERROR(__xludf.DUMMYFUNCTION("""COMPUTED_VALUE"""),"RIVADAVIA Santiago N")</f>
        <v>RIVADAVIA Santiago N</v>
      </c>
      <c r="F2425" s="1" t="str">
        <f t="shared" si="1"/>
        <v>RIVADAVIA </v>
      </c>
      <c r="G2425" s="1" t="str">
        <f t="shared" si="2"/>
        <v>Santiago N</v>
      </c>
      <c r="H2425" s="1" t="str">
        <f>IFERROR(__xludf.DUMMYFUNCTION("""COMPUTED_VALUE"""),"9/3/2023, 17:00:00")</f>
        <v>9/3/2023, 17:00:00</v>
      </c>
      <c r="I2425" s="1" t="str">
        <f>IFERROR(__xludf.DUMMYFUNCTION("""COMPUTED_VALUE"""),"Completado en SUCURSAL")</f>
        <v>Completado en SUCURSAL</v>
      </c>
      <c r="J2425" s="1">
        <f t="shared" si="3"/>
        <v>5</v>
      </c>
      <c r="K2425" s="1" t="str">
        <f t="shared" si="4"/>
        <v>Tus Lentes estan LISTAS PARA ENTREGAR, te esperamos.</v>
      </c>
    </row>
    <row r="2426">
      <c r="A2426" s="1">
        <f>IFERROR(__xludf.DUMMYFUNCTION("""COMPUTED_VALUE"""),86973.0)</f>
        <v>86973</v>
      </c>
      <c r="B2426" s="5">
        <f>IFERROR(__xludf.DUMMYFUNCTION("""COMPUTED_VALUE"""),44981.82097269676)</f>
        <v>44981.82097</v>
      </c>
      <c r="C2426" s="1" t="str">
        <f>IFERROR(__xludf.DUMMYFUNCTION("""COMPUTED_VALUE"""),"JOFREJESSICA HILDA")</f>
        <v>JOFREJESSICA HILDA</v>
      </c>
      <c r="D2426" s="1" t="str">
        <f>IFERROR(__xludf.DUMMYFUNCTION("""COMPUTED_VALUE"""),"Lentes de STOCK")</f>
        <v>Lentes de STOCK</v>
      </c>
      <c r="E2426" s="1" t="str">
        <f>IFERROR(__xludf.DUMMYFUNCTION("""COMPUTED_VALUE"""),"RIVADAVIA Daniel CM")</f>
        <v>RIVADAVIA Daniel CM</v>
      </c>
      <c r="F2426" s="1" t="str">
        <f t="shared" si="1"/>
        <v>RIVADAVIA </v>
      </c>
      <c r="G2426" s="1" t="str">
        <f t="shared" si="2"/>
        <v>Daniel CM</v>
      </c>
      <c r="H2426" s="1" t="str">
        <f>IFERROR(__xludf.DUMMYFUNCTION("""COMPUTED_VALUE"""),"28/2/2023, 17:00:00")</f>
        <v>28/2/2023, 17:00:00</v>
      </c>
      <c r="I2426" s="1" t="str">
        <f>IFERROR(__xludf.DUMMYFUNCTION("""COMPUTED_VALUE"""),"Completado en SUCURSAL")</f>
        <v>Completado en SUCURSAL</v>
      </c>
      <c r="J2426" s="1">
        <f t="shared" si="3"/>
        <v>5</v>
      </c>
      <c r="K2426" s="1" t="str">
        <f t="shared" si="4"/>
        <v>Tus Lentes estan LISTAS PARA ENTREGAR, te esperamos.</v>
      </c>
    </row>
    <row r="2427">
      <c r="A2427" s="1">
        <f>IFERROR(__xludf.DUMMYFUNCTION("""COMPUTED_VALUE"""),86974.0)</f>
        <v>86974</v>
      </c>
      <c r="B2427" s="5">
        <f>IFERROR(__xludf.DUMMYFUNCTION("""COMPUTED_VALUE"""),44981.823717673615)</f>
        <v>44981.82372</v>
      </c>
      <c r="C2427" s="1" t="str">
        <f>IFERROR(__xludf.DUMMYFUNCTION("""COMPUTED_VALUE"""),"Garro Elvira")</f>
        <v>Garro Elvira</v>
      </c>
      <c r="D2427" s="1" t="str">
        <f>IFERROR(__xludf.DUMMYFUNCTION("""COMPUTED_VALUE"""),"Reparaciones/Otros")</f>
        <v>Reparaciones/Otros</v>
      </c>
      <c r="E2427" s="1" t="str">
        <f>IFERROR(__xludf.DUMMYFUNCTION("""COMPUTED_VALUE"""),"RIVADAVIA Santiago LOPEZ")</f>
        <v>RIVADAVIA Santiago LOPEZ</v>
      </c>
      <c r="F2427" s="1" t="str">
        <f t="shared" si="1"/>
        <v>RIVADAVIA </v>
      </c>
      <c r="G2427" s="1" t="str">
        <f t="shared" si="2"/>
        <v>Santiago LOPEZ</v>
      </c>
      <c r="H2427" s="1" t="str">
        <f>IFERROR(__xludf.DUMMYFUNCTION("""COMPUTED_VALUE"""),"25/2/2023, 17:00:00")</f>
        <v>25/2/2023, 17:00:00</v>
      </c>
      <c r="I2427" s="1" t="str">
        <f>IFERROR(__xludf.DUMMYFUNCTION("""COMPUTED_VALUE"""),"Recibido en Laboratorio")</f>
        <v>Recibido en Laboratorio</v>
      </c>
      <c r="J2427" s="1">
        <f t="shared" si="3"/>
        <v>2</v>
      </c>
      <c r="K2427" s="1" t="str">
        <f t="shared" si="4"/>
        <v>Nuestro Laboratorio esta trabajando en tus lentes, los entregaremos en la fecha acordada.</v>
      </c>
    </row>
    <row r="2428">
      <c r="A2428" s="1">
        <f>IFERROR(__xludf.DUMMYFUNCTION("""COMPUTED_VALUE"""),86975.0)</f>
        <v>86975</v>
      </c>
      <c r="B2428" s="5">
        <f>IFERROR(__xludf.DUMMYFUNCTION("""COMPUTED_VALUE"""),44981.8238371412)</f>
        <v>44981.82384</v>
      </c>
      <c r="C2428" s="1" t="str">
        <f>IFERROR(__xludf.DUMMYFUNCTION("""COMPUTED_VALUE"""),"BAIGORRIA JOSELYN")</f>
        <v>BAIGORRIA JOSELYN</v>
      </c>
      <c r="D2428" s="1" t="str">
        <f>IFERROR(__xludf.DUMMYFUNCTION("""COMPUTED_VALUE"""),"Reparaciones/Otros")</f>
        <v>Reparaciones/Otros</v>
      </c>
      <c r="E2428" s="1" t="str">
        <f>IFERROR(__xludf.DUMMYFUNCTION("""COMPUTED_VALUE"""),"ARTIGAS Ivana P.")</f>
        <v>ARTIGAS Ivana P.</v>
      </c>
      <c r="F2428" s="1" t="str">
        <f t="shared" si="1"/>
        <v>ARTIGAS </v>
      </c>
      <c r="G2428" s="1" t="str">
        <f t="shared" si="2"/>
        <v>Ivana P.</v>
      </c>
      <c r="H2428" s="1" t="str">
        <f>IFERROR(__xludf.DUMMYFUNCTION("""COMPUTED_VALUE"""),"25/2/2023, 17:00:00")</f>
        <v>25/2/2023, 17:00:00</v>
      </c>
      <c r="I2428" s="1"/>
      <c r="J2428" s="1">
        <f t="shared" si="3"/>
        <v>0</v>
      </c>
      <c r="K2428" s="1" t="str">
        <f t="shared" si="4"/>
        <v/>
      </c>
    </row>
    <row r="2429">
      <c r="A2429" s="1">
        <f>IFERROR(__xludf.DUMMYFUNCTION("""COMPUTED_VALUE"""),86976.0)</f>
        <v>86976</v>
      </c>
      <c r="B2429" s="5">
        <f>IFERROR(__xludf.DUMMYFUNCTION("""COMPUTED_VALUE"""),44981.825138043976)</f>
        <v>44981.82514</v>
      </c>
      <c r="C2429" s="1" t="str">
        <f>IFERROR(__xludf.DUMMYFUNCTION("""COMPUTED_VALUE"""),"ARGUELLO AXEL")</f>
        <v>ARGUELLO AXEL</v>
      </c>
      <c r="D2429" s="1" t="str">
        <f>IFERROR(__xludf.DUMMYFUNCTION("""COMPUTED_VALUE"""),"Reparaciones/Otros")</f>
        <v>Reparaciones/Otros</v>
      </c>
      <c r="E2429" s="1" t="str">
        <f>IFERROR(__xludf.DUMMYFUNCTION("""COMPUTED_VALUE"""),"RIVADAVIA Daniel CM")</f>
        <v>RIVADAVIA Daniel CM</v>
      </c>
      <c r="F2429" s="1" t="str">
        <f t="shared" si="1"/>
        <v>RIVADAVIA </v>
      </c>
      <c r="G2429" s="1" t="str">
        <f t="shared" si="2"/>
        <v>Daniel CM</v>
      </c>
      <c r="H2429" s="1" t="str">
        <f>IFERROR(__xludf.DUMMYFUNCTION("""COMPUTED_VALUE"""),"25/2/2023, 17:00:00")</f>
        <v>25/2/2023, 17:00:00</v>
      </c>
      <c r="I2429" s="1" t="str">
        <f>IFERROR(__xludf.DUMMYFUNCTION("""COMPUTED_VALUE"""),"Completado en SUCURSAL")</f>
        <v>Completado en SUCURSAL</v>
      </c>
      <c r="J2429" s="1">
        <f t="shared" si="3"/>
        <v>5</v>
      </c>
      <c r="K2429" s="1" t="str">
        <f t="shared" si="4"/>
        <v>Tus Lentes estan LISTAS PARA ENTREGAR, te esperamos.</v>
      </c>
    </row>
    <row r="2430">
      <c r="A2430" s="1">
        <f>IFERROR(__xludf.DUMMYFUNCTION("""COMPUTED_VALUE"""),86977.0)</f>
        <v>86977</v>
      </c>
      <c r="B2430" s="5">
        <f>IFERROR(__xludf.DUMMYFUNCTION("""COMPUTED_VALUE"""),44981.82692446759)</f>
        <v>44981.82692</v>
      </c>
      <c r="C2430" s="1" t="str">
        <f>IFERROR(__xludf.DUMMYFUNCTION("""COMPUTED_VALUE"""),"CALVO GUTIERREZ MORENA")</f>
        <v>CALVO GUTIERREZ MORENA</v>
      </c>
      <c r="D2430" s="1" t="str">
        <f>IFERROR(__xludf.DUMMYFUNCTION("""COMPUTED_VALUE"""),"Lentes de STOCK")</f>
        <v>Lentes de STOCK</v>
      </c>
      <c r="E2430" s="1" t="str">
        <f>IFERROR(__xludf.DUMMYFUNCTION("""COMPUTED_VALUE"""),"RIVADAVIA Luciana")</f>
        <v>RIVADAVIA Luciana</v>
      </c>
      <c r="F2430" s="1" t="str">
        <f t="shared" si="1"/>
        <v>RIVADAVIA </v>
      </c>
      <c r="G2430" s="1" t="str">
        <f t="shared" si="2"/>
        <v>Luciana</v>
      </c>
      <c r="H2430" s="1" t="str">
        <f>IFERROR(__xludf.DUMMYFUNCTION("""COMPUTED_VALUE"""),"2/3/2023, 17:00:00")</f>
        <v>2/3/2023, 17:00:00</v>
      </c>
      <c r="I2430" s="1" t="str">
        <f>IFERROR(__xludf.DUMMYFUNCTION("""COMPUTED_VALUE"""),"Recibido en Laboratorio")</f>
        <v>Recibido en Laboratorio</v>
      </c>
      <c r="J2430" s="1">
        <f t="shared" si="3"/>
        <v>2</v>
      </c>
      <c r="K2430" s="1" t="str">
        <f t="shared" si="4"/>
        <v>Nuestro Laboratorio esta trabajando en tus lentes, los entregaremos en la fecha acordada.</v>
      </c>
    </row>
    <row r="2431">
      <c r="A2431" s="1">
        <f>IFERROR(__xludf.DUMMYFUNCTION("""COMPUTED_VALUE"""),86978.0)</f>
        <v>86978</v>
      </c>
      <c r="B2431" s="5">
        <f>IFERROR(__xludf.DUMMYFUNCTION("""COMPUTED_VALUE"""),44981.82796042824)</f>
        <v>44981.82796</v>
      </c>
      <c r="C2431" s="1" t="str">
        <f>IFERROR(__xludf.DUMMYFUNCTION("""COMPUTED_VALUE"""),"JOFRE BELLO DIMAS")</f>
        <v>JOFRE BELLO DIMAS</v>
      </c>
      <c r="D2431" s="1" t="str">
        <f>IFERROR(__xludf.DUMMYFUNCTION("""COMPUTED_VALUE"""),"Lentes de STOCK")</f>
        <v>Lentes de STOCK</v>
      </c>
      <c r="E2431" s="1" t="str">
        <f>IFERROR(__xludf.DUMMYFUNCTION("""COMPUTED_VALUE"""),"RIVADAVIA Javier")</f>
        <v>RIVADAVIA Javier</v>
      </c>
      <c r="F2431" s="1" t="str">
        <f t="shared" si="1"/>
        <v>RIVADAVIA </v>
      </c>
      <c r="G2431" s="1" t="str">
        <f t="shared" si="2"/>
        <v>Javier</v>
      </c>
      <c r="H2431" s="1" t="str">
        <f>IFERROR(__xludf.DUMMYFUNCTION("""COMPUTED_VALUE"""),"1/3/2023, 17:00:00")</f>
        <v>1/3/2023, 17:00:00</v>
      </c>
      <c r="I2431" s="1" t="str">
        <f>IFERROR(__xludf.DUMMYFUNCTION("""COMPUTED_VALUE"""),"Recibido en Laboratorio")</f>
        <v>Recibido en Laboratorio</v>
      </c>
      <c r="J2431" s="1">
        <f t="shared" si="3"/>
        <v>2</v>
      </c>
      <c r="K2431" s="1" t="str">
        <f t="shared" si="4"/>
        <v>Nuestro Laboratorio esta trabajando en tus lentes, los entregaremos en la fecha acordada.</v>
      </c>
    </row>
    <row r="2432">
      <c r="A2432" s="1">
        <f>IFERROR(__xludf.DUMMYFUNCTION("""COMPUTED_VALUE"""),86979.0)</f>
        <v>86979</v>
      </c>
      <c r="B2432" s="5">
        <f>IFERROR(__xludf.DUMMYFUNCTION("""COMPUTED_VALUE"""),44981.83263604167)</f>
        <v>44981.83264</v>
      </c>
      <c r="C2432" s="1" t="str">
        <f>IFERROR(__xludf.DUMMYFUNCTION("""COMPUTED_VALUE"""),"GOMEZ RITA MABEL")</f>
        <v>GOMEZ RITA MABEL</v>
      </c>
      <c r="D2432" s="1" t="str">
        <f>IFERROR(__xludf.DUMMYFUNCTION("""COMPUTED_VALUE"""),"Reparaciones/Otros")</f>
        <v>Reparaciones/Otros</v>
      </c>
      <c r="E2432" s="1" t="str">
        <f>IFERROR(__xludf.DUMMYFUNCTION("""COMPUTED_VALUE"""),"ARTIGAS Roció")</f>
        <v>ARTIGAS Roció</v>
      </c>
      <c r="F2432" s="1" t="str">
        <f t="shared" si="1"/>
        <v>ARTIGAS </v>
      </c>
      <c r="G2432" s="1" t="str">
        <f t="shared" si="2"/>
        <v>Roció</v>
      </c>
      <c r="H2432" s="1" t="str">
        <f>IFERROR(__xludf.DUMMYFUNCTION("""COMPUTED_VALUE"""),"25/2/2023, 17:00:00")</f>
        <v>25/2/2023, 17:00:00</v>
      </c>
      <c r="I2432" s="1" t="str">
        <f>IFERROR(__xludf.DUMMYFUNCTION("""COMPUTED_VALUE"""),"Recibido en Laboratorio")</f>
        <v>Recibido en Laboratorio</v>
      </c>
      <c r="J2432" s="1">
        <f t="shared" si="3"/>
        <v>2</v>
      </c>
      <c r="K2432" s="1" t="str">
        <f t="shared" si="4"/>
        <v>Nuestro Laboratorio esta trabajando en tus lentes, los entregaremos en la fecha acordada.</v>
      </c>
    </row>
    <row r="2433">
      <c r="A2433" s="1">
        <f>IFERROR(__xludf.DUMMYFUNCTION("""COMPUTED_VALUE"""),86980.0)</f>
        <v>86980</v>
      </c>
      <c r="B2433" s="5">
        <f>IFERROR(__xludf.DUMMYFUNCTION("""COMPUTED_VALUE"""),44981.84198040509)</f>
        <v>44981.84198</v>
      </c>
      <c r="C2433" s="1" t="str">
        <f>IFERROR(__xludf.DUMMYFUNCTION("""COMPUTED_VALUE"""),"ESQUIVEL VERONICA")</f>
        <v>ESQUIVEL VERONICA</v>
      </c>
      <c r="D2433" s="1" t="str">
        <f>IFERROR(__xludf.DUMMYFUNCTION("""COMPUTED_VALUE"""),"Lentes de STOCK")</f>
        <v>Lentes de STOCK</v>
      </c>
      <c r="E2433" s="1" t="str">
        <f>IFERROR(__xludf.DUMMYFUNCTION("""COMPUTED_VALUE"""),"RIVADAVIA Javier")</f>
        <v>RIVADAVIA Javier</v>
      </c>
      <c r="F2433" s="1" t="str">
        <f t="shared" si="1"/>
        <v>RIVADAVIA </v>
      </c>
      <c r="G2433" s="1" t="str">
        <f t="shared" si="2"/>
        <v>Javier</v>
      </c>
      <c r="H2433" s="1" t="str">
        <f>IFERROR(__xludf.DUMMYFUNCTION("""COMPUTED_VALUE"""),"2/3/2023, 17:00:00")</f>
        <v>2/3/2023, 17:00:00</v>
      </c>
      <c r="I2433" s="1" t="str">
        <f>IFERROR(__xludf.DUMMYFUNCTION("""COMPUTED_VALUE"""),"Recibido en Laboratorio")</f>
        <v>Recibido en Laboratorio</v>
      </c>
      <c r="J2433" s="1">
        <f t="shared" si="3"/>
        <v>2</v>
      </c>
      <c r="K2433" s="1" t="str">
        <f t="shared" si="4"/>
        <v>Nuestro Laboratorio esta trabajando en tus lentes, los entregaremos en la fecha acordada.</v>
      </c>
    </row>
    <row r="2434">
      <c r="A2434" s="1">
        <f>IFERROR(__xludf.DUMMYFUNCTION("""COMPUTED_VALUE"""),86981.0)</f>
        <v>86981</v>
      </c>
      <c r="B2434" s="5">
        <f>IFERROR(__xludf.DUMMYFUNCTION("""COMPUTED_VALUE"""),44981.84262119213)</f>
        <v>44981.84262</v>
      </c>
      <c r="C2434" s="1" t="str">
        <f>IFERROR(__xludf.DUMMYFUNCTION("""COMPUTED_VALUE"""),"VILA IVAN")</f>
        <v>VILA IVAN</v>
      </c>
      <c r="D2434" s="1" t="str">
        <f>IFERROR(__xludf.DUMMYFUNCTION("""COMPUTED_VALUE"""),"Lentes de STOCK")</f>
        <v>Lentes de STOCK</v>
      </c>
      <c r="E2434" s="1" t="str">
        <f>IFERROR(__xludf.DUMMYFUNCTION("""COMPUTED_VALUE"""),"ARTIGAS Roció")</f>
        <v>ARTIGAS Roció</v>
      </c>
      <c r="F2434" s="1" t="str">
        <f t="shared" si="1"/>
        <v>ARTIGAS </v>
      </c>
      <c r="G2434" s="1" t="str">
        <f t="shared" si="2"/>
        <v>Roció</v>
      </c>
      <c r="H2434" s="1" t="str">
        <f>IFERROR(__xludf.DUMMYFUNCTION("""COMPUTED_VALUE"""),"3/3/2023, 17:00:00")</f>
        <v>3/3/2023, 17:00:00</v>
      </c>
      <c r="I2434" s="1" t="str">
        <f>IFERROR(__xludf.DUMMYFUNCTION("""COMPUTED_VALUE"""),"Recibido en Laboratorio")</f>
        <v>Recibido en Laboratorio</v>
      </c>
      <c r="J2434" s="1">
        <f t="shared" si="3"/>
        <v>2</v>
      </c>
      <c r="K2434" s="1" t="str">
        <f t="shared" si="4"/>
        <v>Nuestro Laboratorio esta trabajando en tus lentes, los entregaremos en la fecha acordada.</v>
      </c>
    </row>
    <row r="2435">
      <c r="A2435" s="1">
        <f>IFERROR(__xludf.DUMMYFUNCTION("""COMPUTED_VALUE"""),86982.0)</f>
        <v>86982</v>
      </c>
      <c r="B2435" s="5">
        <f>IFERROR(__xludf.DUMMYFUNCTION("""COMPUTED_VALUE"""),44981.85233688657)</f>
        <v>44981.85234</v>
      </c>
      <c r="C2435" s="1" t="str">
        <f>IFERROR(__xludf.DUMMYFUNCTION("""COMPUTED_VALUE"""),"escalante maria jose ")</f>
        <v>escalante maria jose </v>
      </c>
      <c r="D2435" s="1" t="str">
        <f>IFERROR(__xludf.DUMMYFUNCTION("""COMPUTED_VALUE"""),"Lentes de LABORATORIO")</f>
        <v>Lentes de LABORATORIO</v>
      </c>
      <c r="E2435" s="1" t="str">
        <f>IFERROR(__xludf.DUMMYFUNCTION("""COMPUTED_VALUE"""),"RIVADAVIA Daniel CM")</f>
        <v>RIVADAVIA Daniel CM</v>
      </c>
      <c r="F2435" s="1" t="str">
        <f t="shared" si="1"/>
        <v>RIVADAVIA </v>
      </c>
      <c r="G2435" s="1" t="str">
        <f t="shared" si="2"/>
        <v>Daniel CM</v>
      </c>
      <c r="H2435" s="1" t="str">
        <f>IFERROR(__xludf.DUMMYFUNCTION("""COMPUTED_VALUE"""),"11/3/2023, 17:00:00")</f>
        <v>11/3/2023, 17:00:00</v>
      </c>
      <c r="I2435" s="1" t="str">
        <f>IFERROR(__xludf.DUMMYFUNCTION("""COMPUTED_VALUE"""),"Completado en SUCURSAL")</f>
        <v>Completado en SUCURSAL</v>
      </c>
      <c r="J2435" s="1">
        <f t="shared" si="3"/>
        <v>5</v>
      </c>
      <c r="K2435" s="1" t="str">
        <f t="shared" si="4"/>
        <v>Tus Lentes estan LISTAS PARA ENTREGAR, te esperamos.</v>
      </c>
    </row>
    <row r="2436">
      <c r="A2436" s="1">
        <f>IFERROR(__xludf.DUMMYFUNCTION("""COMPUTED_VALUE"""),86983.0)</f>
        <v>86983</v>
      </c>
      <c r="B2436" s="5">
        <f>IFERROR(__xludf.DUMMYFUNCTION("""COMPUTED_VALUE"""),44981.86284663195)</f>
        <v>44981.86285</v>
      </c>
      <c r="C2436" s="1" t="str">
        <f>IFERROR(__xludf.DUMMYFUNCTION("""COMPUTED_VALUE"""),"CHOR DANIEL ")</f>
        <v>CHOR DANIEL </v>
      </c>
      <c r="D2436" s="1" t="str">
        <f>IFERROR(__xludf.DUMMYFUNCTION("""COMPUTED_VALUE"""),"Lentes de STOCK")</f>
        <v>Lentes de STOCK</v>
      </c>
      <c r="E2436" s="1" t="str">
        <f>IFERROR(__xludf.DUMMYFUNCTION("""COMPUTED_VALUE"""),"RIVADAVIA Luciana")</f>
        <v>RIVADAVIA Luciana</v>
      </c>
      <c r="F2436" s="1" t="str">
        <f t="shared" si="1"/>
        <v>RIVADAVIA </v>
      </c>
      <c r="G2436" s="1" t="str">
        <f t="shared" si="2"/>
        <v>Luciana</v>
      </c>
      <c r="H2436" s="1" t="str">
        <f>IFERROR(__xludf.DUMMYFUNCTION("""COMPUTED_VALUE"""),"3/3/2023, 17:00:00")</f>
        <v>3/3/2023, 17:00:00</v>
      </c>
      <c r="I2436" s="1" t="str">
        <f>IFERROR(__xludf.DUMMYFUNCTION("""COMPUTED_VALUE"""),"Completado en SUCURSAL")</f>
        <v>Completado en SUCURSAL</v>
      </c>
      <c r="J2436" s="1">
        <f t="shared" si="3"/>
        <v>5</v>
      </c>
      <c r="K2436" s="1" t="str">
        <f t="shared" si="4"/>
        <v>Tus Lentes estan LISTAS PARA ENTREGAR, te esperamos.</v>
      </c>
    </row>
    <row r="2437">
      <c r="A2437" s="1">
        <f>IFERROR(__xludf.DUMMYFUNCTION("""COMPUTED_VALUE"""),86984.0)</f>
        <v>86984</v>
      </c>
      <c r="B2437" s="5">
        <f>IFERROR(__xludf.DUMMYFUNCTION("""COMPUTED_VALUE"""),44982.42758990741)</f>
        <v>44982.42759</v>
      </c>
      <c r="C2437" s="1" t="str">
        <f>IFERROR(__xludf.DUMMYFUNCTION("""COMPUTED_VALUE"""),"tarazi facundo emir")</f>
        <v>tarazi facundo emir</v>
      </c>
      <c r="D2437" s="1" t="str">
        <f>IFERROR(__xludf.DUMMYFUNCTION("""COMPUTED_VALUE"""),"Lentes de STOCK")</f>
        <v>Lentes de STOCK</v>
      </c>
      <c r="E2437" s="1" t="str">
        <f>IFERROR(__xludf.DUMMYFUNCTION("""COMPUTED_VALUE"""),"RIVADAVIA Santiago N")</f>
        <v>RIVADAVIA Santiago N</v>
      </c>
      <c r="F2437" s="1" t="str">
        <f t="shared" si="1"/>
        <v>RIVADAVIA </v>
      </c>
      <c r="G2437" s="1" t="str">
        <f t="shared" si="2"/>
        <v>Santiago N</v>
      </c>
      <c r="H2437" s="1" t="str">
        <f>IFERROR(__xludf.DUMMYFUNCTION("""COMPUTED_VALUE"""),"6/3/2023, 17:00:00")</f>
        <v>6/3/2023, 17:00:00</v>
      </c>
      <c r="I2437" s="1" t="str">
        <f>IFERROR(__xludf.DUMMYFUNCTION("""COMPUTED_VALUE"""),"Completado en SUCURSAL")</f>
        <v>Completado en SUCURSAL</v>
      </c>
      <c r="J2437" s="1">
        <f t="shared" si="3"/>
        <v>5</v>
      </c>
      <c r="K2437" s="1" t="str">
        <f t="shared" si="4"/>
        <v>Tus Lentes estan LISTAS PARA ENTREGAR, te esperamos.</v>
      </c>
    </row>
    <row r="2438">
      <c r="A2438" s="1">
        <f>IFERROR(__xludf.DUMMYFUNCTION("""COMPUTED_VALUE"""),86985.0)</f>
        <v>86985</v>
      </c>
      <c r="B2438" s="5">
        <f>IFERROR(__xludf.DUMMYFUNCTION("""COMPUTED_VALUE"""),44982.427701203706)</f>
        <v>44982.4277</v>
      </c>
      <c r="C2438" s="1" t="str">
        <f>IFERROR(__xludf.DUMMYFUNCTION("""COMPUTED_VALUE"""),"OJEDA SILVIA")</f>
        <v>OJEDA SILVIA</v>
      </c>
      <c r="D2438" s="1" t="str">
        <f>IFERROR(__xludf.DUMMYFUNCTION("""COMPUTED_VALUE"""),"Lentes de STOCK")</f>
        <v>Lentes de STOCK</v>
      </c>
      <c r="E2438" s="1" t="str">
        <f>IFERROR(__xludf.DUMMYFUNCTION("""COMPUTED_VALUE"""),"RIVADAVIA Javier")</f>
        <v>RIVADAVIA Javier</v>
      </c>
      <c r="F2438" s="1" t="str">
        <f t="shared" si="1"/>
        <v>RIVADAVIA </v>
      </c>
      <c r="G2438" s="1" t="str">
        <f t="shared" si="2"/>
        <v>Javier</v>
      </c>
      <c r="H2438" s="1" t="str">
        <f>IFERROR(__xludf.DUMMYFUNCTION("""COMPUTED_VALUE"""),"2/3/2023, 17:00:00")</f>
        <v>2/3/2023, 17:00:00</v>
      </c>
      <c r="I2438" s="1" t="str">
        <f>IFERROR(__xludf.DUMMYFUNCTION("""COMPUTED_VALUE"""),"Recibido en Laboratorio")</f>
        <v>Recibido en Laboratorio</v>
      </c>
      <c r="J2438" s="1">
        <f t="shared" si="3"/>
        <v>2</v>
      </c>
      <c r="K2438" s="1" t="str">
        <f t="shared" si="4"/>
        <v>Nuestro Laboratorio esta trabajando en tus lentes, los entregaremos en la fecha acordada.</v>
      </c>
    </row>
    <row r="2439">
      <c r="A2439" s="1">
        <f>IFERROR(__xludf.DUMMYFUNCTION("""COMPUTED_VALUE"""),86986.0)</f>
        <v>86986</v>
      </c>
      <c r="B2439" s="5">
        <f>IFERROR(__xludf.DUMMYFUNCTION("""COMPUTED_VALUE"""),44982.43105532408)</f>
        <v>44982.43106</v>
      </c>
      <c r="C2439" s="1" t="str">
        <f>IFERROR(__xludf.DUMMYFUNCTION("""COMPUTED_VALUE"""),"LUCERO GUSTAVO")</f>
        <v>LUCERO GUSTAVO</v>
      </c>
      <c r="D2439" s="1" t="str">
        <f>IFERROR(__xludf.DUMMYFUNCTION("""COMPUTED_VALUE"""),"Reparaciones/Otros")</f>
        <v>Reparaciones/Otros</v>
      </c>
      <c r="E2439" s="1" t="str">
        <f>IFERROR(__xludf.DUMMYFUNCTION("""COMPUTED_VALUE"""),"ARTIGAS Ivana P.")</f>
        <v>ARTIGAS Ivana P.</v>
      </c>
      <c r="F2439" s="1" t="str">
        <f t="shared" si="1"/>
        <v>ARTIGAS </v>
      </c>
      <c r="G2439" s="1" t="str">
        <f t="shared" si="2"/>
        <v>Ivana P.</v>
      </c>
      <c r="H2439" s="1" t="str">
        <f>IFERROR(__xludf.DUMMYFUNCTION("""COMPUTED_VALUE"""),"27/2/2023, 17:00:00")</f>
        <v>27/2/2023, 17:00:00</v>
      </c>
      <c r="I2439" s="1" t="str">
        <f>IFERROR(__xludf.DUMMYFUNCTION("""COMPUTED_VALUE"""),"Completado en SUCURSAL")</f>
        <v>Completado en SUCURSAL</v>
      </c>
      <c r="J2439" s="1">
        <f t="shared" si="3"/>
        <v>5</v>
      </c>
      <c r="K2439" s="1" t="str">
        <f t="shared" si="4"/>
        <v>Tus Lentes estan LISTAS PARA ENTREGAR, te esperamos.</v>
      </c>
    </row>
    <row r="2440">
      <c r="A2440" s="1">
        <f>IFERROR(__xludf.DUMMYFUNCTION("""COMPUTED_VALUE"""),86987.0)</f>
        <v>86987</v>
      </c>
      <c r="B2440" s="5">
        <f>IFERROR(__xludf.DUMMYFUNCTION("""COMPUTED_VALUE"""),44982.43308008102)</f>
        <v>44982.43308</v>
      </c>
      <c r="C2440" s="1" t="str">
        <f>IFERROR(__xludf.DUMMYFUNCTION("""COMPUTED_VALUE"""),"CORDOBA VICENTE DIONICIO")</f>
        <v>CORDOBA VICENTE DIONICIO</v>
      </c>
      <c r="D2440" s="1" t="str">
        <f>IFERROR(__xludf.DUMMYFUNCTION("""COMPUTED_VALUE"""),"Lentes de STOCK")</f>
        <v>Lentes de STOCK</v>
      </c>
      <c r="E2440" s="1" t="str">
        <f>IFERROR(__xludf.DUMMYFUNCTION("""COMPUTED_VALUE"""),"RIVADAVIA Daniel CM")</f>
        <v>RIVADAVIA Daniel CM</v>
      </c>
      <c r="F2440" s="1" t="str">
        <f t="shared" si="1"/>
        <v>RIVADAVIA </v>
      </c>
      <c r="G2440" s="1" t="str">
        <f t="shared" si="2"/>
        <v>Daniel CM</v>
      </c>
      <c r="H2440" s="1" t="str">
        <f>IFERROR(__xludf.DUMMYFUNCTION("""COMPUTED_VALUE"""),"1/3/2023, 17:00:00")</f>
        <v>1/3/2023, 17:00:00</v>
      </c>
      <c r="I2440" s="1" t="str">
        <f>IFERROR(__xludf.DUMMYFUNCTION("""COMPUTED_VALUE"""),"Recibido en Laboratorio")</f>
        <v>Recibido en Laboratorio</v>
      </c>
      <c r="J2440" s="1">
        <f t="shared" si="3"/>
        <v>2</v>
      </c>
      <c r="K2440" s="1" t="str">
        <f t="shared" si="4"/>
        <v>Nuestro Laboratorio esta trabajando en tus lentes, los entregaremos en la fecha acordada.</v>
      </c>
    </row>
    <row r="2441">
      <c r="A2441" s="1">
        <f>IFERROR(__xludf.DUMMYFUNCTION("""COMPUTED_VALUE"""),86988.0)</f>
        <v>86988</v>
      </c>
      <c r="B2441" s="5">
        <f>IFERROR(__xludf.DUMMYFUNCTION("""COMPUTED_VALUE"""),44982.4380034375)</f>
        <v>44982.438</v>
      </c>
      <c r="C2441" s="1" t="str">
        <f>IFERROR(__xludf.DUMMYFUNCTION("""COMPUTED_VALUE"""),"gonzalez pablo")</f>
        <v>gonzalez pablo</v>
      </c>
      <c r="D2441" s="1" t="str">
        <f>IFERROR(__xludf.DUMMYFUNCTION("""COMPUTED_VALUE"""),"Lentes de STOCK")</f>
        <v>Lentes de STOCK</v>
      </c>
      <c r="E2441" s="1" t="str">
        <f>IFERROR(__xludf.DUMMYFUNCTION("""COMPUTED_VALUE"""),"RIVADAVIA Santiago N")</f>
        <v>RIVADAVIA Santiago N</v>
      </c>
      <c r="F2441" s="1" t="str">
        <f t="shared" si="1"/>
        <v>RIVADAVIA </v>
      </c>
      <c r="G2441" s="1" t="str">
        <f t="shared" si="2"/>
        <v>Santiago N</v>
      </c>
      <c r="H2441" s="1" t="str">
        <f>IFERROR(__xludf.DUMMYFUNCTION("""COMPUTED_VALUE"""),"28/2/2023, 17:00:00")</f>
        <v>28/2/2023, 17:00:00</v>
      </c>
      <c r="I2441" s="1" t="str">
        <f>IFERROR(__xludf.DUMMYFUNCTION("""COMPUTED_VALUE"""),"Completado en SUCURSAL")</f>
        <v>Completado en SUCURSAL</v>
      </c>
      <c r="J2441" s="1">
        <f t="shared" si="3"/>
        <v>5</v>
      </c>
      <c r="K2441" s="1" t="str">
        <f t="shared" si="4"/>
        <v>Tus Lentes estan LISTAS PARA ENTREGAR, te esperamos.</v>
      </c>
    </row>
    <row r="2442">
      <c r="A2442" s="1">
        <f>IFERROR(__xludf.DUMMYFUNCTION("""COMPUTED_VALUE"""),86989.0)</f>
        <v>86989</v>
      </c>
      <c r="B2442" s="5">
        <f>IFERROR(__xludf.DUMMYFUNCTION("""COMPUTED_VALUE"""),44982.4386665162)</f>
        <v>44982.43867</v>
      </c>
      <c r="C2442" s="1" t="str">
        <f>IFERROR(__xludf.DUMMYFUNCTION("""COMPUTED_VALUE"""),"GATICA ANDREA")</f>
        <v>GATICA ANDREA</v>
      </c>
      <c r="D2442" s="1" t="str">
        <f>IFERROR(__xludf.DUMMYFUNCTION("""COMPUTED_VALUE"""),"Lentes de STOCK")</f>
        <v>Lentes de STOCK</v>
      </c>
      <c r="E2442" s="1" t="str">
        <f>IFERROR(__xludf.DUMMYFUNCTION("""COMPUTED_VALUE"""),"RIVADAVIA Luciana")</f>
        <v>RIVADAVIA Luciana</v>
      </c>
      <c r="F2442" s="1" t="str">
        <f t="shared" si="1"/>
        <v>RIVADAVIA </v>
      </c>
      <c r="G2442" s="1" t="str">
        <f t="shared" si="2"/>
        <v>Luciana</v>
      </c>
      <c r="H2442" s="1" t="str">
        <f>IFERROR(__xludf.DUMMYFUNCTION("""COMPUTED_VALUE"""),"2/3/2023, 17:00:00")</f>
        <v>2/3/2023, 17:00:00</v>
      </c>
      <c r="I2442" s="1" t="str">
        <f>IFERROR(__xludf.DUMMYFUNCTION("""COMPUTED_VALUE"""),"RETIRADO OK POR CLIENTE")</f>
        <v>RETIRADO OK POR CLIENTE</v>
      </c>
      <c r="J2442" s="1">
        <f t="shared" si="3"/>
        <v>6</v>
      </c>
      <c r="K2442" s="1" t="str">
        <f t="shared" si="4"/>
        <v>Entregamos tus lentes, que los disfrutes!</v>
      </c>
    </row>
    <row r="2443">
      <c r="A2443" s="1">
        <f>IFERROR(__xludf.DUMMYFUNCTION("""COMPUTED_VALUE"""),86990.0)</f>
        <v>86990</v>
      </c>
      <c r="B2443" s="5">
        <f>IFERROR(__xludf.DUMMYFUNCTION("""COMPUTED_VALUE"""),44982.443661550926)</f>
        <v>44982.44366</v>
      </c>
      <c r="C2443" s="1" t="str">
        <f>IFERROR(__xludf.DUMMYFUNCTION("""COMPUTED_VALUE"""),"higuera catalina")</f>
        <v>higuera catalina</v>
      </c>
      <c r="D2443" s="1" t="str">
        <f>IFERROR(__xludf.DUMMYFUNCTION("""COMPUTED_VALUE"""),"Lentes de STOCK")</f>
        <v>Lentes de STOCK</v>
      </c>
      <c r="E2443" s="1" t="str">
        <f>IFERROR(__xludf.DUMMYFUNCTION("""COMPUTED_VALUE"""),"RIVADAVIA Santiago N")</f>
        <v>RIVADAVIA Santiago N</v>
      </c>
      <c r="F2443" s="1" t="str">
        <f t="shared" si="1"/>
        <v>RIVADAVIA </v>
      </c>
      <c r="G2443" s="1" t="str">
        <f t="shared" si="2"/>
        <v>Santiago N</v>
      </c>
      <c r="H2443" s="1" t="str">
        <f>IFERROR(__xludf.DUMMYFUNCTION("""COMPUTED_VALUE"""),"28/2/2023, 17:00:00")</f>
        <v>28/2/2023, 17:00:00</v>
      </c>
      <c r="I2443" s="1" t="str">
        <f>IFERROR(__xludf.DUMMYFUNCTION("""COMPUTED_VALUE"""),"Completado en SUCURSAL")</f>
        <v>Completado en SUCURSAL</v>
      </c>
      <c r="J2443" s="1">
        <f t="shared" si="3"/>
        <v>5</v>
      </c>
      <c r="K2443" s="1" t="str">
        <f t="shared" si="4"/>
        <v>Tus Lentes estan LISTAS PARA ENTREGAR, te esperamos.</v>
      </c>
    </row>
    <row r="2444">
      <c r="A2444" s="1">
        <f>IFERROR(__xludf.DUMMYFUNCTION("""COMPUTED_VALUE"""),86991.0)</f>
        <v>86991</v>
      </c>
      <c r="B2444" s="5">
        <f>IFERROR(__xludf.DUMMYFUNCTION("""COMPUTED_VALUE"""),44982.4454084375)</f>
        <v>44982.44541</v>
      </c>
      <c r="C2444" s="1" t="str">
        <f>IFERROR(__xludf.DUMMYFUNCTION("""COMPUTED_VALUE"""),"MIRANDA JUAN")</f>
        <v>MIRANDA JUAN</v>
      </c>
      <c r="D2444" s="1" t="str">
        <f>IFERROR(__xludf.DUMMYFUNCTION("""COMPUTED_VALUE"""),"Lentes de STOCK")</f>
        <v>Lentes de STOCK</v>
      </c>
      <c r="E2444" s="1" t="str">
        <f>IFERROR(__xludf.DUMMYFUNCTION("""COMPUTED_VALUE"""),"ARTIGAS Ivana P.")</f>
        <v>ARTIGAS Ivana P.</v>
      </c>
      <c r="F2444" s="1" t="str">
        <f t="shared" si="1"/>
        <v>ARTIGAS </v>
      </c>
      <c r="G2444" s="1" t="str">
        <f t="shared" si="2"/>
        <v>Ivana P.</v>
      </c>
      <c r="H2444" s="1" t="str">
        <f>IFERROR(__xludf.DUMMYFUNCTION("""COMPUTED_VALUE"""),"1/3/2023, 17:00:00")</f>
        <v>1/3/2023, 17:00:00</v>
      </c>
      <c r="I2444" s="1" t="str">
        <f>IFERROR(__xludf.DUMMYFUNCTION("""COMPUTED_VALUE"""),"Completado en SUCURSAL")</f>
        <v>Completado en SUCURSAL</v>
      </c>
      <c r="J2444" s="1">
        <f t="shared" si="3"/>
        <v>5</v>
      </c>
      <c r="K2444" s="1" t="str">
        <f t="shared" si="4"/>
        <v>Tus Lentes estan LISTAS PARA ENTREGAR, te esperamos.</v>
      </c>
    </row>
    <row r="2445">
      <c r="A2445" s="1">
        <f>IFERROR(__xludf.DUMMYFUNCTION("""COMPUTED_VALUE"""),86992.0)</f>
        <v>86992</v>
      </c>
      <c r="B2445" s="5">
        <f>IFERROR(__xludf.DUMMYFUNCTION("""COMPUTED_VALUE"""),44982.44737622685)</f>
        <v>44982.44738</v>
      </c>
      <c r="C2445" s="1" t="str">
        <f>IFERROR(__xludf.DUMMYFUNCTION("""COMPUTED_VALUE"""),"SUAREZ MARGARITA")</f>
        <v>SUAREZ MARGARITA</v>
      </c>
      <c r="D2445" s="1" t="str">
        <f>IFERROR(__xludf.DUMMYFUNCTION("""COMPUTED_VALUE"""),"Reparaciones/Otros")</f>
        <v>Reparaciones/Otros</v>
      </c>
      <c r="E2445" s="1" t="str">
        <f>IFERROR(__xludf.DUMMYFUNCTION("""COMPUTED_VALUE"""),"RIVADAVIA Javier")</f>
        <v>RIVADAVIA Javier</v>
      </c>
      <c r="F2445" s="1" t="str">
        <f t="shared" si="1"/>
        <v>RIVADAVIA </v>
      </c>
      <c r="G2445" s="1" t="str">
        <f t="shared" si="2"/>
        <v>Javier</v>
      </c>
      <c r="H2445" s="1" t="str">
        <f>IFERROR(__xludf.DUMMYFUNCTION("""COMPUTED_VALUE"""),"28/2/2023, 17:00:00")</f>
        <v>28/2/2023, 17:00:00</v>
      </c>
      <c r="I2445" s="1" t="str">
        <f>IFERROR(__xludf.DUMMYFUNCTION("""COMPUTED_VALUE"""),"Completado en SUCURSAL")</f>
        <v>Completado en SUCURSAL</v>
      </c>
      <c r="J2445" s="1">
        <f t="shared" si="3"/>
        <v>5</v>
      </c>
      <c r="K2445" s="1" t="str">
        <f t="shared" si="4"/>
        <v>Tus Lentes estan LISTAS PARA ENTREGAR, te esperamos.</v>
      </c>
    </row>
    <row r="2446">
      <c r="A2446" s="1">
        <f>IFERROR(__xludf.DUMMYFUNCTION("""COMPUTED_VALUE"""),86993.0)</f>
        <v>86993</v>
      </c>
      <c r="B2446" s="5">
        <f>IFERROR(__xludf.DUMMYFUNCTION("""COMPUTED_VALUE"""),44982.45066864583)</f>
        <v>44982.45067</v>
      </c>
      <c r="C2446" s="1" t="str">
        <f>IFERROR(__xludf.DUMMYFUNCTION("""COMPUTED_VALUE"""),"MOLINA MAILEN")</f>
        <v>MOLINA MAILEN</v>
      </c>
      <c r="D2446" s="1" t="str">
        <f>IFERROR(__xludf.DUMMYFUNCTION("""COMPUTED_VALUE"""),"Reparaciones/Otros")</f>
        <v>Reparaciones/Otros</v>
      </c>
      <c r="E2446" s="1" t="str">
        <f>IFERROR(__xludf.DUMMYFUNCTION("""COMPUTED_VALUE"""),"RIVADAVIA Javier")</f>
        <v>RIVADAVIA Javier</v>
      </c>
      <c r="F2446" s="1" t="str">
        <f t="shared" si="1"/>
        <v>RIVADAVIA </v>
      </c>
      <c r="G2446" s="1" t="str">
        <f t="shared" si="2"/>
        <v>Javier</v>
      </c>
      <c r="H2446" s="1" t="str">
        <f>IFERROR(__xludf.DUMMYFUNCTION("""COMPUTED_VALUE"""),"1/3/2023, 17:00:00")</f>
        <v>1/3/2023, 17:00:00</v>
      </c>
      <c r="I2446" s="1" t="str">
        <f>IFERROR(__xludf.DUMMYFUNCTION("""COMPUTED_VALUE"""),"Completado en SUCURSAL")</f>
        <v>Completado en SUCURSAL</v>
      </c>
      <c r="J2446" s="1">
        <f t="shared" si="3"/>
        <v>5</v>
      </c>
      <c r="K2446" s="1" t="str">
        <f t="shared" si="4"/>
        <v>Tus Lentes estan LISTAS PARA ENTREGAR, te esperamos.</v>
      </c>
    </row>
    <row r="2447">
      <c r="A2447" s="1">
        <f>IFERROR(__xludf.DUMMYFUNCTION("""COMPUTED_VALUE"""),86994.0)</f>
        <v>86994</v>
      </c>
      <c r="B2447" s="5">
        <f>IFERROR(__xludf.DUMMYFUNCTION("""COMPUTED_VALUE"""),44982.45260148148)</f>
        <v>44982.4526</v>
      </c>
      <c r="C2447" s="1" t="str">
        <f>IFERROR(__xludf.DUMMYFUNCTION("""COMPUTED_VALUE"""),"paticia clemencia")</f>
        <v>paticia clemencia</v>
      </c>
      <c r="D2447" s="1" t="str">
        <f>IFERROR(__xludf.DUMMYFUNCTION("""COMPUTED_VALUE"""),"Lentes de STOCK")</f>
        <v>Lentes de STOCK</v>
      </c>
      <c r="E2447" s="1" t="str">
        <f>IFERROR(__xludf.DUMMYFUNCTION("""COMPUTED_VALUE"""),"RIVADAVIA Santiago N")</f>
        <v>RIVADAVIA Santiago N</v>
      </c>
      <c r="F2447" s="1" t="str">
        <f t="shared" si="1"/>
        <v>RIVADAVIA </v>
      </c>
      <c r="G2447" s="1" t="str">
        <f t="shared" si="2"/>
        <v>Santiago N</v>
      </c>
      <c r="H2447" s="1" t="str">
        <f>IFERROR(__xludf.DUMMYFUNCTION("""COMPUTED_VALUE"""),"3/3/2023, 17:00:00")</f>
        <v>3/3/2023, 17:00:00</v>
      </c>
      <c r="I2447" s="1" t="str">
        <f>IFERROR(__xludf.DUMMYFUNCTION("""COMPUTED_VALUE"""),"Recibido en Laboratorio")</f>
        <v>Recibido en Laboratorio</v>
      </c>
      <c r="J2447" s="1">
        <f t="shared" si="3"/>
        <v>2</v>
      </c>
      <c r="K2447" s="1" t="str">
        <f t="shared" si="4"/>
        <v>Nuestro Laboratorio esta trabajando en tus lentes, los entregaremos en la fecha acordada.</v>
      </c>
    </row>
    <row r="2448">
      <c r="A2448" s="1">
        <f>IFERROR(__xludf.DUMMYFUNCTION("""COMPUTED_VALUE"""),86995.0)</f>
        <v>86995</v>
      </c>
      <c r="B2448" s="5">
        <f>IFERROR(__xludf.DUMMYFUNCTION("""COMPUTED_VALUE"""),44982.45690207176)</f>
        <v>44982.4569</v>
      </c>
      <c r="C2448" s="1" t="str">
        <f>IFERROR(__xludf.DUMMYFUNCTION("""COMPUTED_VALUE"""),"CAMUSO KARINA")</f>
        <v>CAMUSO KARINA</v>
      </c>
      <c r="D2448" s="1" t="str">
        <f>IFERROR(__xludf.DUMMYFUNCTION("""COMPUTED_VALUE"""),"Lentes de STOCK")</f>
        <v>Lentes de STOCK</v>
      </c>
      <c r="E2448" s="1" t="str">
        <f>IFERROR(__xludf.DUMMYFUNCTION("""COMPUTED_VALUE"""),"ARTIGAS Ivana P.")</f>
        <v>ARTIGAS Ivana P.</v>
      </c>
      <c r="F2448" s="1" t="str">
        <f t="shared" si="1"/>
        <v>ARTIGAS </v>
      </c>
      <c r="G2448" s="1" t="str">
        <f t="shared" si="2"/>
        <v>Ivana P.</v>
      </c>
      <c r="H2448" s="1" t="str">
        <f>IFERROR(__xludf.DUMMYFUNCTION("""COMPUTED_VALUE"""),"1/3/2023, 17:00:00")</f>
        <v>1/3/2023, 17:00:00</v>
      </c>
      <c r="I2448" s="1" t="str">
        <f>IFERROR(__xludf.DUMMYFUNCTION("""COMPUTED_VALUE"""),"Recibido en Laboratorio")</f>
        <v>Recibido en Laboratorio</v>
      </c>
      <c r="J2448" s="1">
        <f t="shared" si="3"/>
        <v>2</v>
      </c>
      <c r="K2448" s="1" t="str">
        <f t="shared" si="4"/>
        <v>Nuestro Laboratorio esta trabajando en tus lentes, los entregaremos en la fecha acordada.</v>
      </c>
    </row>
    <row r="2449">
      <c r="A2449" s="1">
        <f>IFERROR(__xludf.DUMMYFUNCTION("""COMPUTED_VALUE"""),86996.0)</f>
        <v>86996</v>
      </c>
      <c r="B2449" s="5">
        <f>IFERROR(__xludf.DUMMYFUNCTION("""COMPUTED_VALUE"""),44982.467494965276)</f>
        <v>44982.46749</v>
      </c>
      <c r="C2449" s="1" t="str">
        <f>IFERROR(__xludf.DUMMYFUNCTION("""COMPUTED_VALUE"""),"ALBORNOZ JOHANA")</f>
        <v>ALBORNOZ JOHANA</v>
      </c>
      <c r="D2449" s="1" t="str">
        <f>IFERROR(__xludf.DUMMYFUNCTION("""COMPUTED_VALUE"""),"Lentes de STOCK")</f>
        <v>Lentes de STOCK</v>
      </c>
      <c r="E2449" s="1" t="str">
        <f>IFERROR(__xludf.DUMMYFUNCTION("""COMPUTED_VALUE"""),"RIVADAVIA Daniel CM")</f>
        <v>RIVADAVIA Daniel CM</v>
      </c>
      <c r="F2449" s="1" t="str">
        <f t="shared" si="1"/>
        <v>RIVADAVIA </v>
      </c>
      <c r="G2449" s="1" t="str">
        <f t="shared" si="2"/>
        <v>Daniel CM</v>
      </c>
      <c r="H2449" s="1" t="str">
        <f>IFERROR(__xludf.DUMMYFUNCTION("""COMPUTED_VALUE"""),"1/3/2023, 17:00:00")</f>
        <v>1/3/2023, 17:00:00</v>
      </c>
      <c r="I2449" s="1" t="str">
        <f>IFERROR(__xludf.DUMMYFUNCTION("""COMPUTED_VALUE"""),"Completado en SUCURSAL")</f>
        <v>Completado en SUCURSAL</v>
      </c>
      <c r="J2449" s="1">
        <f t="shared" si="3"/>
        <v>5</v>
      </c>
      <c r="K2449" s="1" t="str">
        <f t="shared" si="4"/>
        <v>Tus Lentes estan LISTAS PARA ENTREGAR, te esperamos.</v>
      </c>
    </row>
    <row r="2450">
      <c r="A2450" s="1">
        <f>IFERROR(__xludf.DUMMYFUNCTION("""COMPUTED_VALUE"""),86997.0)</f>
        <v>86997</v>
      </c>
      <c r="B2450" s="5">
        <f>IFERROR(__xludf.DUMMYFUNCTION("""COMPUTED_VALUE"""),44982.46826179398)</f>
        <v>44982.46826</v>
      </c>
      <c r="C2450" s="1" t="str">
        <f>IFERROR(__xludf.DUMMYFUNCTION("""COMPUTED_VALUE"""),"MUÑOZ ERICA")</f>
        <v>MUÑOZ ERICA</v>
      </c>
      <c r="D2450" s="1" t="str">
        <f>IFERROR(__xludf.DUMMYFUNCTION("""COMPUTED_VALUE"""),"Reparaciones/Otros")</f>
        <v>Reparaciones/Otros</v>
      </c>
      <c r="E2450" s="1" t="str">
        <f>IFERROR(__xludf.DUMMYFUNCTION("""COMPUTED_VALUE"""),"RIVADAVIA Luciana")</f>
        <v>RIVADAVIA Luciana</v>
      </c>
      <c r="F2450" s="1" t="str">
        <f t="shared" si="1"/>
        <v>RIVADAVIA </v>
      </c>
      <c r="G2450" s="1" t="str">
        <f t="shared" si="2"/>
        <v>Luciana</v>
      </c>
      <c r="H2450" s="1" t="str">
        <f>IFERROR(__xludf.DUMMYFUNCTION("""COMPUTED_VALUE"""),"28/2/2023, 17:00:00")</f>
        <v>28/2/2023, 17:00:00</v>
      </c>
      <c r="I2450" s="1" t="str">
        <f>IFERROR(__xludf.DUMMYFUNCTION("""COMPUTED_VALUE"""),"Completado en SUCURSAL")</f>
        <v>Completado en SUCURSAL</v>
      </c>
      <c r="J2450" s="1">
        <f t="shared" si="3"/>
        <v>5</v>
      </c>
      <c r="K2450" s="1" t="str">
        <f t="shared" si="4"/>
        <v>Tus Lentes estan LISTAS PARA ENTREGAR, te esperamos.</v>
      </c>
    </row>
    <row r="2451">
      <c r="A2451" s="1">
        <f>IFERROR(__xludf.DUMMYFUNCTION("""COMPUTED_VALUE"""),86998.0)</f>
        <v>86998</v>
      </c>
      <c r="B2451" s="5">
        <f>IFERROR(__xludf.DUMMYFUNCTION("""COMPUTED_VALUE"""),44982.47066115741)</f>
        <v>44982.47066</v>
      </c>
      <c r="C2451" s="1" t="str">
        <f>IFERROR(__xludf.DUMMYFUNCTION("""COMPUTED_VALUE"""),"Orozco Gonzalo")</f>
        <v>Orozco Gonzalo</v>
      </c>
      <c r="D2451" s="1" t="str">
        <f>IFERROR(__xludf.DUMMYFUNCTION("""COMPUTED_VALUE"""),"Reparaciones/Otros")</f>
        <v>Reparaciones/Otros</v>
      </c>
      <c r="E2451" s="1" t="str">
        <f>IFERROR(__xludf.DUMMYFUNCTION("""COMPUTED_VALUE"""),"ARTIGAS Micaela")</f>
        <v>ARTIGAS Micaela</v>
      </c>
      <c r="F2451" s="1" t="str">
        <f t="shared" si="1"/>
        <v>ARTIGAS </v>
      </c>
      <c r="G2451" s="1" t="str">
        <f t="shared" si="2"/>
        <v>Micaela</v>
      </c>
      <c r="H2451" s="1" t="str">
        <f>IFERROR(__xludf.DUMMYFUNCTION("""COMPUTED_VALUE"""),"1/3/2023, 17:00:00")</f>
        <v>1/3/2023, 17:00:00</v>
      </c>
      <c r="I2451" s="1" t="str">
        <f>IFERROR(__xludf.DUMMYFUNCTION("""COMPUTED_VALUE"""),"Recibido en Laboratorio")</f>
        <v>Recibido en Laboratorio</v>
      </c>
      <c r="J2451" s="1">
        <f t="shared" si="3"/>
        <v>2</v>
      </c>
      <c r="K2451" s="1" t="str">
        <f t="shared" si="4"/>
        <v>Nuestro Laboratorio esta trabajando en tus lentes, los entregaremos en la fecha acordada.</v>
      </c>
    </row>
    <row r="2452">
      <c r="A2452" s="1">
        <f>IFERROR(__xludf.DUMMYFUNCTION("""COMPUTED_VALUE"""),86999.0)</f>
        <v>86999</v>
      </c>
      <c r="B2452" s="5">
        <f>IFERROR(__xludf.DUMMYFUNCTION("""COMPUTED_VALUE"""),44982.47272297453)</f>
        <v>44982.47272</v>
      </c>
      <c r="C2452" s="1" t="str">
        <f>IFERROR(__xludf.DUMMYFUNCTION("""COMPUTED_VALUE"""),"britos mayra")</f>
        <v>britos mayra</v>
      </c>
      <c r="D2452" s="1" t="str">
        <f>IFERROR(__xludf.DUMMYFUNCTION("""COMPUTED_VALUE"""),"Lentes de STOCK")</f>
        <v>Lentes de STOCK</v>
      </c>
      <c r="E2452" s="1" t="str">
        <f>IFERROR(__xludf.DUMMYFUNCTION("""COMPUTED_VALUE"""),"RIVADAVIA Santiago N")</f>
        <v>RIVADAVIA Santiago N</v>
      </c>
      <c r="F2452" s="1" t="str">
        <f t="shared" si="1"/>
        <v>RIVADAVIA </v>
      </c>
      <c r="G2452" s="1" t="str">
        <f t="shared" si="2"/>
        <v>Santiago N</v>
      </c>
      <c r="H2452" s="1" t="str">
        <f>IFERROR(__xludf.DUMMYFUNCTION("""COMPUTED_VALUE"""),"3/3/2023, 17:00:00")</f>
        <v>3/3/2023, 17:00:00</v>
      </c>
      <c r="I2452" s="1" t="str">
        <f>IFERROR(__xludf.DUMMYFUNCTION("""COMPUTED_VALUE"""),"Recibido en Laboratorio")</f>
        <v>Recibido en Laboratorio</v>
      </c>
      <c r="J2452" s="1">
        <f t="shared" si="3"/>
        <v>2</v>
      </c>
      <c r="K2452" s="1" t="str">
        <f t="shared" si="4"/>
        <v>Nuestro Laboratorio esta trabajando en tus lentes, los entregaremos en la fecha acordada.</v>
      </c>
    </row>
    <row r="2453">
      <c r="A2453" s="1">
        <f>IFERROR(__xludf.DUMMYFUNCTION("""COMPUTED_VALUE"""),87000.0)</f>
        <v>87000</v>
      </c>
      <c r="B2453" s="5">
        <f>IFERROR(__xludf.DUMMYFUNCTION("""COMPUTED_VALUE"""),44982.47308324074)</f>
        <v>44982.47308</v>
      </c>
      <c r="C2453" s="1" t="str">
        <f>IFERROR(__xludf.DUMMYFUNCTION("""COMPUTED_VALUE"""),"PRIETO ROBERTO GUILLERMO")</f>
        <v>PRIETO ROBERTO GUILLERMO</v>
      </c>
      <c r="D2453" s="1" t="str">
        <f>IFERROR(__xludf.DUMMYFUNCTION("""COMPUTED_VALUE"""),"Lentes de STOCK")</f>
        <v>Lentes de STOCK</v>
      </c>
      <c r="E2453" s="1" t="str">
        <f>IFERROR(__xludf.DUMMYFUNCTION("""COMPUTED_VALUE"""),"RIVADAVIA Daniel CM")</f>
        <v>RIVADAVIA Daniel CM</v>
      </c>
      <c r="F2453" s="1" t="str">
        <f t="shared" si="1"/>
        <v>RIVADAVIA </v>
      </c>
      <c r="G2453" s="1" t="str">
        <f t="shared" si="2"/>
        <v>Daniel CM</v>
      </c>
      <c r="H2453" s="1" t="str">
        <f>IFERROR(__xludf.DUMMYFUNCTION("""COMPUTED_VALUE"""),"28/2/2023, 17:00:00")</f>
        <v>28/2/2023, 17:00:00</v>
      </c>
      <c r="I2453" s="1" t="str">
        <f>IFERROR(__xludf.DUMMYFUNCTION("""COMPUTED_VALUE"""),"Completado en SUCURSAL")</f>
        <v>Completado en SUCURSAL</v>
      </c>
      <c r="J2453" s="1">
        <f t="shared" si="3"/>
        <v>5</v>
      </c>
      <c r="K2453" s="1" t="str">
        <f t="shared" si="4"/>
        <v>Tus Lentes estan LISTAS PARA ENTREGAR, te esperamos.</v>
      </c>
    </row>
    <row r="2454">
      <c r="A2454" s="1">
        <f>IFERROR(__xludf.DUMMYFUNCTION("""COMPUTED_VALUE"""),87001.0)</f>
        <v>87001</v>
      </c>
      <c r="B2454" s="5">
        <f>IFERROR(__xludf.DUMMYFUNCTION("""COMPUTED_VALUE"""),44982.473594062496)</f>
        <v>44982.47359</v>
      </c>
      <c r="C2454" s="1" t="str">
        <f>IFERROR(__xludf.DUMMYFUNCTION("""COMPUTED_VALUE"""),"GOMEZ ELBA")</f>
        <v>GOMEZ ELBA</v>
      </c>
      <c r="D2454" s="1" t="str">
        <f>IFERROR(__xludf.DUMMYFUNCTION("""COMPUTED_VALUE"""),"Lentes de STOCK")</f>
        <v>Lentes de STOCK</v>
      </c>
      <c r="E2454" s="1" t="str">
        <f>IFERROR(__xludf.DUMMYFUNCTION("""COMPUTED_VALUE"""),"ARTIGAS Ivana P.")</f>
        <v>ARTIGAS Ivana P.</v>
      </c>
      <c r="F2454" s="1" t="str">
        <f t="shared" si="1"/>
        <v>ARTIGAS </v>
      </c>
      <c r="G2454" s="1" t="str">
        <f t="shared" si="2"/>
        <v>Ivana P.</v>
      </c>
      <c r="H2454" s="1" t="str">
        <f>IFERROR(__xludf.DUMMYFUNCTION("""COMPUTED_VALUE"""),"1/3/2023, 17:00:00")</f>
        <v>1/3/2023, 17:00:00</v>
      </c>
      <c r="I2454" s="1" t="str">
        <f>IFERROR(__xludf.DUMMYFUNCTION("""COMPUTED_VALUE"""),"Recibido en Laboratorio")</f>
        <v>Recibido en Laboratorio</v>
      </c>
      <c r="J2454" s="1">
        <f t="shared" si="3"/>
        <v>2</v>
      </c>
      <c r="K2454" s="1" t="str">
        <f t="shared" si="4"/>
        <v>Nuestro Laboratorio esta trabajando en tus lentes, los entregaremos en la fecha acordada.</v>
      </c>
    </row>
    <row r="2455">
      <c r="A2455" s="1">
        <f>IFERROR(__xludf.DUMMYFUNCTION("""COMPUTED_VALUE"""),87002.0)</f>
        <v>87002</v>
      </c>
      <c r="B2455" s="5">
        <f>IFERROR(__xludf.DUMMYFUNCTION("""COMPUTED_VALUE"""),44982.47546048611)</f>
        <v>44982.47546</v>
      </c>
      <c r="C2455" s="1" t="str">
        <f>IFERROR(__xludf.DUMMYFUNCTION("""COMPUTED_VALUE"""),"SUAREZ ESTELA")</f>
        <v>SUAREZ ESTELA</v>
      </c>
      <c r="D2455" s="1" t="str">
        <f>IFERROR(__xludf.DUMMYFUNCTION("""COMPUTED_VALUE"""),"Lentes de STOCK")</f>
        <v>Lentes de STOCK</v>
      </c>
      <c r="E2455" s="1" t="str">
        <f>IFERROR(__xludf.DUMMYFUNCTION("""COMPUTED_VALUE"""),"ARTIGAS Roció")</f>
        <v>ARTIGAS Roció</v>
      </c>
      <c r="F2455" s="1" t="str">
        <f t="shared" si="1"/>
        <v>ARTIGAS </v>
      </c>
      <c r="G2455" s="1" t="str">
        <f t="shared" si="2"/>
        <v>Roció</v>
      </c>
      <c r="H2455" s="1" t="str">
        <f>IFERROR(__xludf.DUMMYFUNCTION("""COMPUTED_VALUE"""),"3/3/2023, 17:00:00")</f>
        <v>3/3/2023, 17:00:00</v>
      </c>
      <c r="I2455" s="1" t="str">
        <f>IFERROR(__xludf.DUMMYFUNCTION("""COMPUTED_VALUE"""),"Recibido en Laboratorio")</f>
        <v>Recibido en Laboratorio</v>
      </c>
      <c r="J2455" s="1">
        <f t="shared" si="3"/>
        <v>2</v>
      </c>
      <c r="K2455" s="1" t="str">
        <f t="shared" si="4"/>
        <v>Nuestro Laboratorio esta trabajando en tus lentes, los entregaremos en la fecha acordada.</v>
      </c>
    </row>
    <row r="2456">
      <c r="A2456" s="1">
        <f>IFERROR(__xludf.DUMMYFUNCTION("""COMPUTED_VALUE"""),87003.0)</f>
        <v>87003</v>
      </c>
      <c r="B2456" s="5">
        <f>IFERROR(__xludf.DUMMYFUNCTION("""COMPUTED_VALUE"""),44982.49093451389)</f>
        <v>44982.49093</v>
      </c>
      <c r="C2456" s="1" t="str">
        <f>IFERROR(__xludf.DUMMYFUNCTION("""COMPUTED_VALUE"""),"BEDACRUZ SOLEDAD")</f>
        <v>BEDACRUZ SOLEDAD</v>
      </c>
      <c r="D2456" s="1" t="str">
        <f>IFERROR(__xludf.DUMMYFUNCTION("""COMPUTED_VALUE"""),"Lentes de STOCK")</f>
        <v>Lentes de STOCK</v>
      </c>
      <c r="E2456" s="1" t="str">
        <f>IFERROR(__xludf.DUMMYFUNCTION("""COMPUTED_VALUE"""),"RIVADAVIA Javier")</f>
        <v>RIVADAVIA Javier</v>
      </c>
      <c r="F2456" s="1" t="str">
        <f t="shared" si="1"/>
        <v>RIVADAVIA </v>
      </c>
      <c r="G2456" s="1" t="str">
        <f t="shared" si="2"/>
        <v>Javier</v>
      </c>
      <c r="H2456" s="1" t="str">
        <f>IFERROR(__xludf.DUMMYFUNCTION("""COMPUTED_VALUE"""),"28/2/2023, 17:00:00")</f>
        <v>28/2/2023, 17:00:00</v>
      </c>
      <c r="I2456" s="1" t="str">
        <f>IFERROR(__xludf.DUMMYFUNCTION("""COMPUTED_VALUE"""),"Completado en SUCURSAL")</f>
        <v>Completado en SUCURSAL</v>
      </c>
      <c r="J2456" s="1">
        <f t="shared" si="3"/>
        <v>5</v>
      </c>
      <c r="K2456" s="1" t="str">
        <f t="shared" si="4"/>
        <v>Tus Lentes estan LISTAS PARA ENTREGAR, te esperamos.</v>
      </c>
    </row>
    <row r="2457">
      <c r="A2457" s="1">
        <f>IFERROR(__xludf.DUMMYFUNCTION("""COMPUTED_VALUE"""),87004.0)</f>
        <v>87004</v>
      </c>
      <c r="B2457" s="5">
        <f>IFERROR(__xludf.DUMMYFUNCTION("""COMPUTED_VALUE"""),44982.4960407176)</f>
        <v>44982.49604</v>
      </c>
      <c r="C2457" s="1" t="str">
        <f>IFERROR(__xludf.DUMMYFUNCTION("""COMPUTED_VALUE"""),"BELLIDO SANTINO")</f>
        <v>BELLIDO SANTINO</v>
      </c>
      <c r="D2457" s="1" t="str">
        <f>IFERROR(__xludf.DUMMYFUNCTION("""COMPUTED_VALUE"""),"Lentes de STOCK")</f>
        <v>Lentes de STOCK</v>
      </c>
      <c r="E2457" s="1" t="str">
        <f>IFERROR(__xludf.DUMMYFUNCTION("""COMPUTED_VALUE"""),"RIVADAVIA Luciana")</f>
        <v>RIVADAVIA Luciana</v>
      </c>
      <c r="F2457" s="1" t="str">
        <f t="shared" si="1"/>
        <v>RIVADAVIA </v>
      </c>
      <c r="G2457" s="1" t="str">
        <f t="shared" si="2"/>
        <v>Luciana</v>
      </c>
      <c r="H2457" s="1" t="str">
        <f>IFERROR(__xludf.DUMMYFUNCTION("""COMPUTED_VALUE"""),"3/3/2023, 17:00:00")</f>
        <v>3/3/2023, 17:00:00</v>
      </c>
      <c r="I2457" s="1" t="str">
        <f>IFERROR(__xludf.DUMMYFUNCTION("""COMPUTED_VALUE"""),"Recibido en Laboratorio")</f>
        <v>Recibido en Laboratorio</v>
      </c>
      <c r="J2457" s="1">
        <f t="shared" si="3"/>
        <v>2</v>
      </c>
      <c r="K2457" s="1" t="str">
        <f t="shared" si="4"/>
        <v>Nuestro Laboratorio esta trabajando en tus lentes, los entregaremos en la fecha acordada.</v>
      </c>
    </row>
    <row r="2458">
      <c r="A2458" s="1">
        <f>IFERROR(__xludf.DUMMYFUNCTION("""COMPUTED_VALUE"""),87005.0)</f>
        <v>87005</v>
      </c>
      <c r="B2458" s="5">
        <f>IFERROR(__xludf.DUMMYFUNCTION("""COMPUTED_VALUE"""),44982.50091314815)</f>
        <v>44982.50091</v>
      </c>
      <c r="C2458" s="1" t="str">
        <f>IFERROR(__xludf.DUMMYFUNCTION("""COMPUTED_VALUE"""),"lucero santino")</f>
        <v>lucero santino</v>
      </c>
      <c r="D2458" s="1" t="str">
        <f>IFERROR(__xludf.DUMMYFUNCTION("""COMPUTED_VALUE"""),"Lentes de STOCK")</f>
        <v>Lentes de STOCK</v>
      </c>
      <c r="E2458" s="1" t="str">
        <f>IFERROR(__xludf.DUMMYFUNCTION("""COMPUTED_VALUE"""),"RIVADAVIA Santiago N")</f>
        <v>RIVADAVIA Santiago N</v>
      </c>
      <c r="F2458" s="1" t="str">
        <f t="shared" si="1"/>
        <v>RIVADAVIA </v>
      </c>
      <c r="G2458" s="1" t="str">
        <f t="shared" si="2"/>
        <v>Santiago N</v>
      </c>
      <c r="H2458" s="1" t="str">
        <f>IFERROR(__xludf.DUMMYFUNCTION("""COMPUTED_VALUE"""),"2/3/2023, 17:00:00")</f>
        <v>2/3/2023, 17:00:00</v>
      </c>
      <c r="I2458" s="1" t="str">
        <f>IFERROR(__xludf.DUMMYFUNCTION("""COMPUTED_VALUE"""),"RETIRADO OK POR CLIENTE")</f>
        <v>RETIRADO OK POR CLIENTE</v>
      </c>
      <c r="J2458" s="1">
        <f t="shared" si="3"/>
        <v>6</v>
      </c>
      <c r="K2458" s="1" t="str">
        <f t="shared" si="4"/>
        <v>Entregamos tus lentes, que los disfrutes!</v>
      </c>
    </row>
    <row r="2459">
      <c r="A2459" s="1">
        <f>IFERROR(__xludf.DUMMYFUNCTION("""COMPUTED_VALUE"""),87006.0)</f>
        <v>87006</v>
      </c>
      <c r="B2459" s="5">
        <f>IFERROR(__xludf.DUMMYFUNCTION("""COMPUTED_VALUE"""),44982.50929449074)</f>
        <v>44982.50929</v>
      </c>
      <c r="C2459" s="1" t="str">
        <f>IFERROR(__xludf.DUMMYFUNCTION("""COMPUTED_VALUE"""),"LUCERO ANTONIO")</f>
        <v>LUCERO ANTONIO</v>
      </c>
      <c r="D2459" s="1" t="str">
        <f>IFERROR(__xludf.DUMMYFUNCTION("""COMPUTED_VALUE"""),"Reparaciones/Otros")</f>
        <v>Reparaciones/Otros</v>
      </c>
      <c r="E2459" s="1" t="str">
        <f>IFERROR(__xludf.DUMMYFUNCTION("""COMPUTED_VALUE"""),"RIVADAVIA Luciana")</f>
        <v>RIVADAVIA Luciana</v>
      </c>
      <c r="F2459" s="1" t="str">
        <f t="shared" si="1"/>
        <v>RIVADAVIA </v>
      </c>
      <c r="G2459" s="1" t="str">
        <f t="shared" si="2"/>
        <v>Luciana</v>
      </c>
      <c r="H2459" s="1" t="str">
        <f>IFERROR(__xludf.DUMMYFUNCTION("""COMPUTED_VALUE"""),"28/2/2023, 17:00:00")</f>
        <v>28/2/2023, 17:00:00</v>
      </c>
      <c r="I2459" s="1" t="str">
        <f>IFERROR(__xludf.DUMMYFUNCTION("""COMPUTED_VALUE"""),"Completado en SUCURSAL")</f>
        <v>Completado en SUCURSAL</v>
      </c>
      <c r="J2459" s="1">
        <f t="shared" si="3"/>
        <v>5</v>
      </c>
      <c r="K2459" s="1" t="str">
        <f t="shared" si="4"/>
        <v>Tus Lentes estan LISTAS PARA ENTREGAR, te esperamos.</v>
      </c>
    </row>
    <row r="2460">
      <c r="A2460" s="1">
        <f>IFERROR(__xludf.DUMMYFUNCTION("""COMPUTED_VALUE"""),87007.0)</f>
        <v>87007</v>
      </c>
      <c r="B2460" s="5">
        <f>IFERROR(__xludf.DUMMYFUNCTION("""COMPUTED_VALUE"""),44982.52679820602)</f>
        <v>44982.5268</v>
      </c>
      <c r="C2460" s="1" t="str">
        <f>IFERROR(__xludf.DUMMYFUNCTION("""COMPUTED_VALUE"""),"FERRER MARIA GUADALUPE")</f>
        <v>FERRER MARIA GUADALUPE</v>
      </c>
      <c r="D2460" s="1" t="str">
        <f>IFERROR(__xludf.DUMMYFUNCTION("""COMPUTED_VALUE"""),"Lentes de STOCK")</f>
        <v>Lentes de STOCK</v>
      </c>
      <c r="E2460" s="1" t="str">
        <f>IFERROR(__xludf.DUMMYFUNCTION("""COMPUTED_VALUE"""),"ARTIGAS Ivana P.")</f>
        <v>ARTIGAS Ivana P.</v>
      </c>
      <c r="F2460" s="1" t="str">
        <f t="shared" si="1"/>
        <v>ARTIGAS </v>
      </c>
      <c r="G2460" s="1" t="str">
        <f t="shared" si="2"/>
        <v>Ivana P.</v>
      </c>
      <c r="H2460" s="1" t="str">
        <f>IFERROR(__xludf.DUMMYFUNCTION("""COMPUTED_VALUE"""),"2/3/2023, 17:00:00")</f>
        <v>2/3/2023, 17:00:00</v>
      </c>
      <c r="I2460" s="1" t="str">
        <f>IFERROR(__xludf.DUMMYFUNCTION("""COMPUTED_VALUE"""),"Recibido en Laboratorio")</f>
        <v>Recibido en Laboratorio</v>
      </c>
      <c r="J2460" s="1">
        <f t="shared" si="3"/>
        <v>2</v>
      </c>
      <c r="K2460" s="1" t="str">
        <f t="shared" si="4"/>
        <v>Nuestro Laboratorio esta trabajando en tus lentes, los entregaremos en la fecha acordada.</v>
      </c>
    </row>
    <row r="2461">
      <c r="A2461" s="1">
        <f>IFERROR(__xludf.DUMMYFUNCTION("""COMPUTED_VALUE"""),87008.0)</f>
        <v>87008</v>
      </c>
      <c r="B2461" s="5">
        <f>IFERROR(__xludf.DUMMYFUNCTION("""COMPUTED_VALUE"""),44982.52957994213)</f>
        <v>44982.52958</v>
      </c>
      <c r="C2461" s="1" t="str">
        <f>IFERROR(__xludf.DUMMYFUNCTION("""COMPUTED_VALUE"""),"TOSETTO MIRIAM")</f>
        <v>TOSETTO MIRIAM</v>
      </c>
      <c r="D2461" s="1" t="str">
        <f>IFERROR(__xludf.DUMMYFUNCTION("""COMPUTED_VALUE"""),"Lentes MULTIFOCALES")</f>
        <v>Lentes MULTIFOCALES</v>
      </c>
      <c r="E2461" s="1" t="str">
        <f>IFERROR(__xludf.DUMMYFUNCTION("""COMPUTED_VALUE"""),"ARTIGAS Ivana P.")</f>
        <v>ARTIGAS Ivana P.</v>
      </c>
      <c r="F2461" s="1" t="str">
        <f t="shared" si="1"/>
        <v>ARTIGAS </v>
      </c>
      <c r="G2461" s="1" t="str">
        <f t="shared" si="2"/>
        <v>Ivana P.</v>
      </c>
      <c r="H2461" s="1" t="str">
        <f>IFERROR(__xludf.DUMMYFUNCTION("""COMPUTED_VALUE"""),"14/3/2023, 17:00:00")</f>
        <v>14/3/2023, 17:00:00</v>
      </c>
      <c r="I2461" s="1" t="str">
        <f>IFERROR(__xludf.DUMMYFUNCTION("""COMPUTED_VALUE"""),"Completado en SUCURSAL")</f>
        <v>Completado en SUCURSAL</v>
      </c>
      <c r="J2461" s="1">
        <f t="shared" si="3"/>
        <v>5</v>
      </c>
      <c r="K2461" s="1" t="str">
        <f t="shared" si="4"/>
        <v>Tus Lentes estan LISTAS PARA ENTREGAR, te esperamos.</v>
      </c>
    </row>
    <row r="2462">
      <c r="A2462" s="1">
        <f>IFERROR(__xludf.DUMMYFUNCTION("""COMPUTED_VALUE"""),87009.0)</f>
        <v>87009</v>
      </c>
      <c r="B2462" s="5">
        <f>IFERROR(__xludf.DUMMYFUNCTION("""COMPUTED_VALUE"""),44982.53620984954)</f>
        <v>44982.53621</v>
      </c>
      <c r="C2462" s="1" t="str">
        <f>IFERROR(__xludf.DUMMYFUNCTION("""COMPUTED_VALUE"""),"arias mariana ")</f>
        <v>arias mariana </v>
      </c>
      <c r="D2462" s="1" t="str">
        <f>IFERROR(__xludf.DUMMYFUNCTION("""COMPUTED_VALUE"""),"Lentes MULTIFOCALES")</f>
        <v>Lentes MULTIFOCALES</v>
      </c>
      <c r="E2462" s="1" t="str">
        <f>IFERROR(__xludf.DUMMYFUNCTION("""COMPUTED_VALUE"""),"RIVADAVIA Santiago N")</f>
        <v>RIVADAVIA Santiago N</v>
      </c>
      <c r="F2462" s="1" t="str">
        <f t="shared" si="1"/>
        <v>RIVADAVIA </v>
      </c>
      <c r="G2462" s="1" t="str">
        <f t="shared" si="2"/>
        <v>Santiago N</v>
      </c>
      <c r="H2462" s="1" t="str">
        <f>IFERROR(__xludf.DUMMYFUNCTION("""COMPUTED_VALUE"""),"10/3/2023, 17:00:00")</f>
        <v>10/3/2023, 17:00:00</v>
      </c>
      <c r="I2462" s="1" t="str">
        <f>IFERROR(__xludf.DUMMYFUNCTION("""COMPUTED_VALUE"""),"Completado en SUCURSAL")</f>
        <v>Completado en SUCURSAL</v>
      </c>
      <c r="J2462" s="1">
        <f t="shared" si="3"/>
        <v>5</v>
      </c>
      <c r="K2462" s="1" t="str">
        <f t="shared" si="4"/>
        <v>Tus Lentes estan LISTAS PARA ENTREGAR, te esperamos.</v>
      </c>
    </row>
    <row r="2463">
      <c r="A2463" s="1">
        <f>IFERROR(__xludf.DUMMYFUNCTION("""COMPUTED_VALUE"""),87010.0)</f>
        <v>87010</v>
      </c>
      <c r="B2463" s="5">
        <f>IFERROR(__xludf.DUMMYFUNCTION("""COMPUTED_VALUE"""),44982.54915608796)</f>
        <v>44982.54916</v>
      </c>
      <c r="C2463" s="1" t="str">
        <f>IFERROR(__xludf.DUMMYFUNCTION("""COMPUTED_VALUE"""),"AVILA GATICA THIARA")</f>
        <v>AVILA GATICA THIARA</v>
      </c>
      <c r="D2463" s="1" t="str">
        <f>IFERROR(__xludf.DUMMYFUNCTION("""COMPUTED_VALUE"""),"Lentes de STOCK")</f>
        <v>Lentes de STOCK</v>
      </c>
      <c r="E2463" s="1" t="str">
        <f>IFERROR(__xludf.DUMMYFUNCTION("""COMPUTED_VALUE"""),"RIVADAVIA Luciana")</f>
        <v>RIVADAVIA Luciana</v>
      </c>
      <c r="F2463" s="1" t="str">
        <f t="shared" si="1"/>
        <v>RIVADAVIA </v>
      </c>
      <c r="G2463" s="1" t="str">
        <f t="shared" si="2"/>
        <v>Luciana</v>
      </c>
      <c r="H2463" s="1" t="str">
        <f>IFERROR(__xludf.DUMMYFUNCTION("""COMPUTED_VALUE"""),"2/3/2023, 17:00:00")</f>
        <v>2/3/2023, 17:00:00</v>
      </c>
      <c r="I2463" s="1" t="str">
        <f>IFERROR(__xludf.DUMMYFUNCTION("""COMPUTED_VALUE"""),"Recibido en Laboratorio")</f>
        <v>Recibido en Laboratorio</v>
      </c>
      <c r="J2463" s="1">
        <f t="shared" si="3"/>
        <v>2</v>
      </c>
      <c r="K2463" s="1" t="str">
        <f t="shared" si="4"/>
        <v>Nuestro Laboratorio esta trabajando en tus lentes, los entregaremos en la fecha acordada.</v>
      </c>
    </row>
    <row r="2464">
      <c r="A2464" s="1">
        <f>IFERROR(__xludf.DUMMYFUNCTION("""COMPUTED_VALUE"""),87011.0)</f>
        <v>87011</v>
      </c>
      <c r="B2464" s="5">
        <f>IFERROR(__xludf.DUMMYFUNCTION("""COMPUTED_VALUE"""),44984.38302789352)</f>
        <v>44984.38303</v>
      </c>
      <c r="C2464" s="1" t="str">
        <f>IFERROR(__xludf.DUMMYFUNCTION("""COMPUTED_VALUE"""),"escudero guadalupe")</f>
        <v>escudero guadalupe</v>
      </c>
      <c r="D2464" s="1" t="str">
        <f>IFERROR(__xludf.DUMMYFUNCTION("""COMPUTED_VALUE"""),"Reparaciones/Otros")</f>
        <v>Reparaciones/Otros</v>
      </c>
      <c r="E2464" s="1" t="str">
        <f>IFERROR(__xludf.DUMMYFUNCTION("""COMPUTED_VALUE"""),"RIVADAVIA Santiago LOPEZ")</f>
        <v>RIVADAVIA Santiago LOPEZ</v>
      </c>
      <c r="F2464" s="1" t="str">
        <f t="shared" si="1"/>
        <v>RIVADAVIA </v>
      </c>
      <c r="G2464" s="1" t="str">
        <f t="shared" si="2"/>
        <v>Santiago LOPEZ</v>
      </c>
      <c r="H2464" s="1" t="str">
        <f>IFERROR(__xludf.DUMMYFUNCTION("""COMPUTED_VALUE"""),"28/2/2023, 17:00:00")</f>
        <v>28/2/2023, 17:00:00</v>
      </c>
      <c r="I2464" s="1" t="str">
        <f>IFERROR(__xludf.DUMMYFUNCTION("""COMPUTED_VALUE"""),"Completado en SUCURSAL")</f>
        <v>Completado en SUCURSAL</v>
      </c>
      <c r="J2464" s="1">
        <f t="shared" si="3"/>
        <v>5</v>
      </c>
      <c r="K2464" s="1" t="str">
        <f t="shared" si="4"/>
        <v>Tus Lentes estan LISTAS PARA ENTREGAR, te esperamos.</v>
      </c>
    </row>
    <row r="2465">
      <c r="A2465" s="1">
        <f>IFERROR(__xludf.DUMMYFUNCTION("""COMPUTED_VALUE"""),87012.0)</f>
        <v>87012</v>
      </c>
      <c r="B2465" s="5">
        <f>IFERROR(__xludf.DUMMYFUNCTION("""COMPUTED_VALUE"""),44984.38396097222)</f>
        <v>44984.38396</v>
      </c>
      <c r="C2465" s="1" t="str">
        <f>IFERROR(__xludf.DUMMYFUNCTION("""COMPUTED_VALUE"""),"ZAMORA MIGUEL ANGEL")</f>
        <v>ZAMORA MIGUEL ANGEL</v>
      </c>
      <c r="D2465" s="1" t="str">
        <f>IFERROR(__xludf.DUMMYFUNCTION("""COMPUTED_VALUE"""),"Reparaciones/Otros")</f>
        <v>Reparaciones/Otros</v>
      </c>
      <c r="E2465" s="1" t="str">
        <f>IFERROR(__xludf.DUMMYFUNCTION("""COMPUTED_VALUE"""),"RIVADAVIA Marcela L")</f>
        <v>RIVADAVIA Marcela L</v>
      </c>
      <c r="F2465" s="1" t="str">
        <f t="shared" si="1"/>
        <v>RIVADAVIA </v>
      </c>
      <c r="G2465" s="1" t="str">
        <f t="shared" si="2"/>
        <v>Marcela L</v>
      </c>
      <c r="H2465" s="1" t="str">
        <f>IFERROR(__xludf.DUMMYFUNCTION("""COMPUTED_VALUE"""),"28/2/2023, 17:00:00")</f>
        <v>28/2/2023, 17:00:00</v>
      </c>
      <c r="I2465" s="1" t="str">
        <f>IFERROR(__xludf.DUMMYFUNCTION("""COMPUTED_VALUE"""),"Completado en SUCURSAL")</f>
        <v>Completado en SUCURSAL</v>
      </c>
      <c r="J2465" s="1">
        <f t="shared" si="3"/>
        <v>5</v>
      </c>
      <c r="K2465" s="1" t="str">
        <f t="shared" si="4"/>
        <v>Tus Lentes estan LISTAS PARA ENTREGAR, te esperamos.</v>
      </c>
    </row>
    <row r="2466">
      <c r="A2466" s="1">
        <f>IFERROR(__xludf.DUMMYFUNCTION("""COMPUTED_VALUE"""),87013.0)</f>
        <v>87013</v>
      </c>
      <c r="B2466" s="5">
        <f>IFERROR(__xludf.DUMMYFUNCTION("""COMPUTED_VALUE"""),44984.385077071754)</f>
        <v>44984.38508</v>
      </c>
      <c r="C2466" s="1" t="str">
        <f>IFERROR(__xludf.DUMMYFUNCTION("""COMPUTED_VALUE"""),"MARQUEZ AMELIA")</f>
        <v>MARQUEZ AMELIA</v>
      </c>
      <c r="D2466" s="1" t="str">
        <f>IFERROR(__xludf.DUMMYFUNCTION("""COMPUTED_VALUE"""),"Lentes de STOCK")</f>
        <v>Lentes de STOCK</v>
      </c>
      <c r="E2466" s="1" t="str">
        <f>IFERROR(__xludf.DUMMYFUNCTION("""COMPUTED_VALUE"""),"ARTIGAS Ivana P.")</f>
        <v>ARTIGAS Ivana P.</v>
      </c>
      <c r="F2466" s="1" t="str">
        <f t="shared" si="1"/>
        <v>ARTIGAS </v>
      </c>
      <c r="G2466" s="1" t="str">
        <f t="shared" si="2"/>
        <v>Ivana P.</v>
      </c>
      <c r="H2466" s="1" t="str">
        <f>IFERROR(__xludf.DUMMYFUNCTION("""COMPUTED_VALUE"""),"2/3/2023, 17:00:00")</f>
        <v>2/3/2023, 17:00:00</v>
      </c>
      <c r="I2466" s="1" t="str">
        <f>IFERROR(__xludf.DUMMYFUNCTION("""COMPUTED_VALUE"""),"Recibido en Laboratorio")</f>
        <v>Recibido en Laboratorio</v>
      </c>
      <c r="J2466" s="1">
        <f t="shared" si="3"/>
        <v>2</v>
      </c>
      <c r="K2466" s="1" t="str">
        <f t="shared" si="4"/>
        <v>Nuestro Laboratorio esta trabajando en tus lentes, los entregaremos en la fecha acordada.</v>
      </c>
    </row>
    <row r="2467">
      <c r="A2467" s="1">
        <f>IFERROR(__xludf.DUMMYFUNCTION("""COMPUTED_VALUE"""),87014.0)</f>
        <v>87014</v>
      </c>
      <c r="B2467" s="5">
        <f>IFERROR(__xludf.DUMMYFUNCTION("""COMPUTED_VALUE"""),44984.38565010417)</f>
        <v>44984.38565</v>
      </c>
      <c r="C2467" s="1" t="str">
        <f>IFERROR(__xludf.DUMMYFUNCTION("""COMPUTED_VALUE"""),"ZAMORA MIGUEL ANGEL")</f>
        <v>ZAMORA MIGUEL ANGEL</v>
      </c>
      <c r="D2467" s="1" t="str">
        <f>IFERROR(__xludf.DUMMYFUNCTION("""COMPUTED_VALUE"""),"Lentes de STOCK")</f>
        <v>Lentes de STOCK</v>
      </c>
      <c r="E2467" s="1" t="str">
        <f>IFERROR(__xludf.DUMMYFUNCTION("""COMPUTED_VALUE"""),"RIVADAVIA Marcela L")</f>
        <v>RIVADAVIA Marcela L</v>
      </c>
      <c r="F2467" s="1" t="str">
        <f t="shared" si="1"/>
        <v>RIVADAVIA </v>
      </c>
      <c r="G2467" s="1" t="str">
        <f t="shared" si="2"/>
        <v>Marcela L</v>
      </c>
      <c r="H2467" s="1" t="str">
        <f>IFERROR(__xludf.DUMMYFUNCTION("""COMPUTED_VALUE"""),"2/3/2023, 17:00:00")</f>
        <v>2/3/2023, 17:00:00</v>
      </c>
      <c r="I2467" s="1" t="str">
        <f>IFERROR(__xludf.DUMMYFUNCTION("""COMPUTED_VALUE"""),"Recibido en Laboratorio")</f>
        <v>Recibido en Laboratorio</v>
      </c>
      <c r="J2467" s="1">
        <f t="shared" si="3"/>
        <v>2</v>
      </c>
      <c r="K2467" s="1" t="str">
        <f t="shared" si="4"/>
        <v>Nuestro Laboratorio esta trabajando en tus lentes, los entregaremos en la fecha acordada.</v>
      </c>
    </row>
    <row r="2468">
      <c r="A2468" s="1">
        <f>IFERROR(__xludf.DUMMYFUNCTION("""COMPUTED_VALUE"""),87015.0)</f>
        <v>87015</v>
      </c>
      <c r="B2468" s="5">
        <f>IFERROR(__xludf.DUMMYFUNCTION("""COMPUTED_VALUE"""),44984.39061847222)</f>
        <v>44984.39062</v>
      </c>
      <c r="C2468" s="1" t="str">
        <f>IFERROR(__xludf.DUMMYFUNCTION("""COMPUTED_VALUE"""),"BORSOTTO JOSE")</f>
        <v>BORSOTTO JOSE</v>
      </c>
      <c r="D2468" s="1" t="str">
        <f>IFERROR(__xludf.DUMMYFUNCTION("""COMPUTED_VALUE"""),"Reparaciones/Otros")</f>
        <v>Reparaciones/Otros</v>
      </c>
      <c r="E2468" s="1" t="str">
        <f>IFERROR(__xludf.DUMMYFUNCTION("""COMPUTED_VALUE"""),"RIVADAVIA Santiago LOPEZ")</f>
        <v>RIVADAVIA Santiago LOPEZ</v>
      </c>
      <c r="F2468" s="1" t="str">
        <f t="shared" si="1"/>
        <v>RIVADAVIA </v>
      </c>
      <c r="G2468" s="1" t="str">
        <f t="shared" si="2"/>
        <v>Santiago LOPEZ</v>
      </c>
      <c r="H2468" s="1" t="str">
        <f>IFERROR(__xludf.DUMMYFUNCTION("""COMPUTED_VALUE"""),"28/2/2023, 17:00:00")</f>
        <v>28/2/2023, 17:00:00</v>
      </c>
      <c r="I2468" s="1" t="str">
        <f>IFERROR(__xludf.DUMMYFUNCTION("""COMPUTED_VALUE"""),"Recibido en Laboratorio")</f>
        <v>Recibido en Laboratorio</v>
      </c>
      <c r="J2468" s="1">
        <f t="shared" si="3"/>
        <v>2</v>
      </c>
      <c r="K2468" s="1" t="str">
        <f t="shared" si="4"/>
        <v>Nuestro Laboratorio esta trabajando en tus lentes, los entregaremos en la fecha acordada.</v>
      </c>
    </row>
    <row r="2469">
      <c r="A2469" s="1">
        <f>IFERROR(__xludf.DUMMYFUNCTION("""COMPUTED_VALUE"""),87016.0)</f>
        <v>87016</v>
      </c>
      <c r="B2469" s="5">
        <f>IFERROR(__xludf.DUMMYFUNCTION("""COMPUTED_VALUE"""),44984.39072365741)</f>
        <v>44984.39072</v>
      </c>
      <c r="C2469" s="1" t="str">
        <f>IFERROR(__xludf.DUMMYFUNCTION("""COMPUTED_VALUE"""),"gomez vivtoria")</f>
        <v>gomez vivtoria</v>
      </c>
      <c r="D2469" s="1" t="str">
        <f>IFERROR(__xludf.DUMMYFUNCTION("""COMPUTED_VALUE"""),"Lentes de LABORATORIO")</f>
        <v>Lentes de LABORATORIO</v>
      </c>
      <c r="E2469" s="1" t="str">
        <f>IFERROR(__xludf.DUMMYFUNCTION("""COMPUTED_VALUE"""),"RIVADAVIA Santiago N")</f>
        <v>RIVADAVIA Santiago N</v>
      </c>
      <c r="F2469" s="1" t="str">
        <f t="shared" si="1"/>
        <v>RIVADAVIA </v>
      </c>
      <c r="G2469" s="1" t="str">
        <f t="shared" si="2"/>
        <v>Santiago N</v>
      </c>
      <c r="H2469" s="1" t="str">
        <f>IFERROR(__xludf.DUMMYFUNCTION("""COMPUTED_VALUE"""),"9/3/2023, 17:00:00")</f>
        <v>9/3/2023, 17:00:00</v>
      </c>
      <c r="I2469" s="1" t="str">
        <f>IFERROR(__xludf.DUMMYFUNCTION("""COMPUTED_VALUE"""),"Recibido en Laboratorio")</f>
        <v>Recibido en Laboratorio</v>
      </c>
      <c r="J2469" s="1">
        <f t="shared" si="3"/>
        <v>2</v>
      </c>
      <c r="K2469" s="1" t="str">
        <f t="shared" si="4"/>
        <v>Nuestro Laboratorio esta trabajando en tus lentes, los entregaremos en la fecha acordada.</v>
      </c>
    </row>
    <row r="2470">
      <c r="A2470" s="1">
        <f>IFERROR(__xludf.DUMMYFUNCTION("""COMPUTED_VALUE"""),87017.0)</f>
        <v>87017</v>
      </c>
      <c r="B2470" s="5">
        <f>IFERROR(__xludf.DUMMYFUNCTION("""COMPUTED_VALUE"""),44984.395146435185)</f>
        <v>44984.39515</v>
      </c>
      <c r="C2470" s="1" t="str">
        <f>IFERROR(__xludf.DUMMYFUNCTION("""COMPUTED_VALUE"""),"PEREZ MARTA ")</f>
        <v>PEREZ MARTA </v>
      </c>
      <c r="D2470" s="1" t="str">
        <f>IFERROR(__xludf.DUMMYFUNCTION("""COMPUTED_VALUE"""),"Lentes de STOCK")</f>
        <v>Lentes de STOCK</v>
      </c>
      <c r="E2470" s="1" t="str">
        <f>IFERROR(__xludf.DUMMYFUNCTION("""COMPUTED_VALUE"""),"ARTIGAS Cristian C.")</f>
        <v>ARTIGAS Cristian C.</v>
      </c>
      <c r="F2470" s="1" t="str">
        <f t="shared" si="1"/>
        <v>ARTIGAS </v>
      </c>
      <c r="G2470" s="1" t="str">
        <f t="shared" si="2"/>
        <v>Cristian C.</v>
      </c>
      <c r="H2470" s="1" t="str">
        <f>IFERROR(__xludf.DUMMYFUNCTION("""COMPUTED_VALUE"""),"7/3/2023, 17:00:00")</f>
        <v>7/3/2023, 17:00:00</v>
      </c>
      <c r="I2470" s="1" t="str">
        <f>IFERROR(__xludf.DUMMYFUNCTION("""COMPUTED_VALUE"""),"Completado en SUCURSAL")</f>
        <v>Completado en SUCURSAL</v>
      </c>
      <c r="J2470" s="1">
        <f t="shared" si="3"/>
        <v>5</v>
      </c>
      <c r="K2470" s="1" t="str">
        <f t="shared" si="4"/>
        <v>Tus Lentes estan LISTAS PARA ENTREGAR, te esperamos.</v>
      </c>
    </row>
    <row r="2471">
      <c r="A2471" s="1">
        <f>IFERROR(__xludf.DUMMYFUNCTION("""COMPUTED_VALUE"""),87018.0)</f>
        <v>87018</v>
      </c>
      <c r="B2471" s="5">
        <f>IFERROR(__xludf.DUMMYFUNCTION("""COMPUTED_VALUE"""),44984.3990668287)</f>
        <v>44984.39907</v>
      </c>
      <c r="C2471" s="1" t="str">
        <f>IFERROR(__xludf.DUMMYFUNCTION("""COMPUTED_VALUE"""),"benithez marta del carmen")</f>
        <v>benithez marta del carmen</v>
      </c>
      <c r="D2471" s="1" t="str">
        <f>IFERROR(__xludf.DUMMYFUNCTION("""COMPUTED_VALUE"""),"Lentes de STOCK")</f>
        <v>Lentes de STOCK</v>
      </c>
      <c r="E2471" s="1" t="str">
        <f>IFERROR(__xludf.DUMMYFUNCTION("""COMPUTED_VALUE"""),"RIVADAVIA Santiago N")</f>
        <v>RIVADAVIA Santiago N</v>
      </c>
      <c r="F2471" s="1" t="str">
        <f t="shared" si="1"/>
        <v>RIVADAVIA </v>
      </c>
      <c r="G2471" s="1" t="str">
        <f t="shared" si="2"/>
        <v>Santiago N</v>
      </c>
      <c r="H2471" s="1" t="str">
        <f>IFERROR(__xludf.DUMMYFUNCTION("""COMPUTED_VALUE"""),"1/3/2023, 17:00:00")</f>
        <v>1/3/2023, 17:00:00</v>
      </c>
      <c r="I2471" s="1" t="str">
        <f>IFERROR(__xludf.DUMMYFUNCTION("""COMPUTED_VALUE"""),"Completado en SUCURSAL")</f>
        <v>Completado en SUCURSAL</v>
      </c>
      <c r="J2471" s="1">
        <f t="shared" si="3"/>
        <v>5</v>
      </c>
      <c r="K2471" s="1" t="str">
        <f t="shared" si="4"/>
        <v>Tus Lentes estan LISTAS PARA ENTREGAR, te esperamos.</v>
      </c>
    </row>
    <row r="2472">
      <c r="A2472" s="1">
        <f>IFERROR(__xludf.DUMMYFUNCTION("""COMPUTED_VALUE"""),87019.0)</f>
        <v>87019</v>
      </c>
      <c r="B2472" s="5">
        <f>IFERROR(__xludf.DUMMYFUNCTION("""COMPUTED_VALUE"""),44984.401726145836)</f>
        <v>44984.40173</v>
      </c>
      <c r="C2472" s="1" t="str">
        <f>IFERROR(__xludf.DUMMYFUNCTION("""COMPUTED_VALUE"""),"CARBALLO OCHOA GABRIELA")</f>
        <v>CARBALLO OCHOA GABRIELA</v>
      </c>
      <c r="D2472" s="1" t="str">
        <f>IFERROR(__xludf.DUMMYFUNCTION("""COMPUTED_VALUE"""),"Lentes de STOCK")</f>
        <v>Lentes de STOCK</v>
      </c>
      <c r="E2472" s="1" t="str">
        <f>IFERROR(__xludf.DUMMYFUNCTION("""COMPUTED_VALUE"""),"RIVADAVIA Marcela L")</f>
        <v>RIVADAVIA Marcela L</v>
      </c>
      <c r="F2472" s="1" t="str">
        <f t="shared" si="1"/>
        <v>RIVADAVIA </v>
      </c>
      <c r="G2472" s="1" t="str">
        <f t="shared" si="2"/>
        <v>Marcela L</v>
      </c>
      <c r="H2472" s="1" t="str">
        <f>IFERROR(__xludf.DUMMYFUNCTION("""COMPUTED_VALUE"""),"2/3/2023, 17:00:00")</f>
        <v>2/3/2023, 17:00:00</v>
      </c>
      <c r="I2472" s="1" t="str">
        <f>IFERROR(__xludf.DUMMYFUNCTION("""COMPUTED_VALUE"""),"Recibido en Laboratorio")</f>
        <v>Recibido en Laboratorio</v>
      </c>
      <c r="J2472" s="1">
        <f t="shared" si="3"/>
        <v>2</v>
      </c>
      <c r="K2472" s="1" t="str">
        <f t="shared" si="4"/>
        <v>Nuestro Laboratorio esta trabajando en tus lentes, los entregaremos en la fecha acordada.</v>
      </c>
    </row>
    <row r="2473">
      <c r="A2473" s="1">
        <f>IFERROR(__xludf.DUMMYFUNCTION("""COMPUTED_VALUE"""),87020.0)</f>
        <v>87020</v>
      </c>
      <c r="B2473" s="5">
        <f>IFERROR(__xludf.DUMMYFUNCTION("""COMPUTED_VALUE"""),44984.402514421294)</f>
        <v>44984.40251</v>
      </c>
      <c r="C2473" s="1" t="str">
        <f>IFERROR(__xludf.DUMMYFUNCTION("""COMPUTED_VALUE"""),"CACERES MAURICIO")</f>
        <v>CACERES MAURICIO</v>
      </c>
      <c r="D2473" s="1" t="str">
        <f>IFERROR(__xludf.DUMMYFUNCTION("""COMPUTED_VALUE"""),"Reparaciones/Otros")</f>
        <v>Reparaciones/Otros</v>
      </c>
      <c r="E2473" s="1" t="str">
        <f>IFERROR(__xludf.DUMMYFUNCTION("""COMPUTED_VALUE"""),"ARTIGAS Ivana P.")</f>
        <v>ARTIGAS Ivana P.</v>
      </c>
      <c r="F2473" s="1" t="str">
        <f t="shared" si="1"/>
        <v>ARTIGAS </v>
      </c>
      <c r="G2473" s="1" t="str">
        <f t="shared" si="2"/>
        <v>Ivana P.</v>
      </c>
      <c r="H2473" s="1" t="str">
        <f>IFERROR(__xludf.DUMMYFUNCTION("""COMPUTED_VALUE"""),"28/2/2023, 17:00:00")</f>
        <v>28/2/2023, 17:00:00</v>
      </c>
      <c r="I2473" s="1" t="str">
        <f>IFERROR(__xludf.DUMMYFUNCTION("""COMPUTED_VALUE"""),"Completado en SUCURSAL")</f>
        <v>Completado en SUCURSAL</v>
      </c>
      <c r="J2473" s="1">
        <f t="shared" si="3"/>
        <v>5</v>
      </c>
      <c r="K2473" s="1" t="str">
        <f t="shared" si="4"/>
        <v>Tus Lentes estan LISTAS PARA ENTREGAR, te esperamos.</v>
      </c>
    </row>
    <row r="2474">
      <c r="A2474" s="1">
        <f>IFERROR(__xludf.DUMMYFUNCTION("""COMPUTED_VALUE"""),87021.0)</f>
        <v>87021</v>
      </c>
      <c r="B2474" s="5">
        <f>IFERROR(__xludf.DUMMYFUNCTION("""COMPUTED_VALUE"""),44984.404995624995)</f>
        <v>44984.405</v>
      </c>
      <c r="C2474" s="1" t="str">
        <f>IFERROR(__xludf.DUMMYFUNCTION("""COMPUTED_VALUE"""),"lucero maria ramona")</f>
        <v>lucero maria ramona</v>
      </c>
      <c r="D2474" s="1" t="str">
        <f>IFERROR(__xludf.DUMMYFUNCTION("""COMPUTED_VALUE"""),"Lentes de STOCK")</f>
        <v>Lentes de STOCK</v>
      </c>
      <c r="E2474" s="1" t="str">
        <f>IFERROR(__xludf.DUMMYFUNCTION("""COMPUTED_VALUE"""),"RIVADAVIA Daniel CM")</f>
        <v>RIVADAVIA Daniel CM</v>
      </c>
      <c r="F2474" s="1" t="str">
        <f t="shared" si="1"/>
        <v>RIVADAVIA </v>
      </c>
      <c r="G2474" s="1" t="str">
        <f t="shared" si="2"/>
        <v>Daniel CM</v>
      </c>
      <c r="H2474" s="1" t="str">
        <f>IFERROR(__xludf.DUMMYFUNCTION("""COMPUTED_VALUE"""),"2/3/2023, 17:00:00")</f>
        <v>2/3/2023, 17:00:00</v>
      </c>
      <c r="I2474" s="1" t="str">
        <f>IFERROR(__xludf.DUMMYFUNCTION("""COMPUTED_VALUE"""),"Completado en SUCURSAL")</f>
        <v>Completado en SUCURSAL</v>
      </c>
      <c r="J2474" s="1">
        <f t="shared" si="3"/>
        <v>5</v>
      </c>
      <c r="K2474" s="1" t="str">
        <f t="shared" si="4"/>
        <v>Tus Lentes estan LISTAS PARA ENTREGAR, te esperamos.</v>
      </c>
    </row>
    <row r="2475">
      <c r="A2475" s="1">
        <f>IFERROR(__xludf.DUMMYFUNCTION("""COMPUTED_VALUE"""),87022.0)</f>
        <v>87022</v>
      </c>
      <c r="B2475" s="5">
        <f>IFERROR(__xludf.DUMMYFUNCTION("""COMPUTED_VALUE"""),44984.40857047454)</f>
        <v>44984.40857</v>
      </c>
      <c r="C2475" s="1" t="str">
        <f>IFERROR(__xludf.DUMMYFUNCTION("""COMPUTED_VALUE"""),"FRIAS GLADI")</f>
        <v>FRIAS GLADI</v>
      </c>
      <c r="D2475" s="1" t="str">
        <f>IFERROR(__xludf.DUMMYFUNCTION("""COMPUTED_VALUE"""),"Lentes de STOCK")</f>
        <v>Lentes de STOCK</v>
      </c>
      <c r="E2475" s="1" t="str">
        <f>IFERROR(__xludf.DUMMYFUNCTION("""COMPUTED_VALUE"""),"ARTIGAS Ivana P.")</f>
        <v>ARTIGAS Ivana P.</v>
      </c>
      <c r="F2475" s="1" t="str">
        <f t="shared" si="1"/>
        <v>ARTIGAS </v>
      </c>
      <c r="G2475" s="1" t="str">
        <f t="shared" si="2"/>
        <v>Ivana P.</v>
      </c>
      <c r="H2475" s="1" t="str">
        <f>IFERROR(__xludf.DUMMYFUNCTION("""COMPUTED_VALUE"""),"2/3/2023, 17:00:00")</f>
        <v>2/3/2023, 17:00:00</v>
      </c>
      <c r="I2475" s="1" t="str">
        <f>IFERROR(__xludf.DUMMYFUNCTION("""COMPUTED_VALUE"""),"Recibido en Laboratorio")</f>
        <v>Recibido en Laboratorio</v>
      </c>
      <c r="J2475" s="1">
        <f t="shared" si="3"/>
        <v>2</v>
      </c>
      <c r="K2475" s="1" t="str">
        <f t="shared" si="4"/>
        <v>Nuestro Laboratorio esta trabajando en tus lentes, los entregaremos en la fecha acordada.</v>
      </c>
    </row>
    <row r="2476">
      <c r="A2476" s="1">
        <f>IFERROR(__xludf.DUMMYFUNCTION("""COMPUTED_VALUE"""),87023.0)</f>
        <v>87023</v>
      </c>
      <c r="B2476" s="5">
        <f>IFERROR(__xludf.DUMMYFUNCTION("""COMPUTED_VALUE"""),44984.40937259259)</f>
        <v>44984.40937</v>
      </c>
      <c r="C2476" s="1" t="str">
        <f>IFERROR(__xludf.DUMMYFUNCTION("""COMPUTED_VALUE"""),"BARTOLUCCI PATRICIA ISABEL")</f>
        <v>BARTOLUCCI PATRICIA ISABEL</v>
      </c>
      <c r="D2476" s="1" t="str">
        <f>IFERROR(__xludf.DUMMYFUNCTION("""COMPUTED_VALUE"""),"Lentes de STOCK")</f>
        <v>Lentes de STOCK</v>
      </c>
      <c r="E2476" s="1" t="str">
        <f>IFERROR(__xludf.DUMMYFUNCTION("""COMPUTED_VALUE"""),"RIVADAVIA Luciana")</f>
        <v>RIVADAVIA Luciana</v>
      </c>
      <c r="F2476" s="1" t="str">
        <f t="shared" si="1"/>
        <v>RIVADAVIA </v>
      </c>
      <c r="G2476" s="1" t="str">
        <f t="shared" si="2"/>
        <v>Luciana</v>
      </c>
      <c r="H2476" s="1" t="str">
        <f>IFERROR(__xludf.DUMMYFUNCTION("""COMPUTED_VALUE"""),"3/3/2023, 17:00:00")</f>
        <v>3/3/2023, 17:00:00</v>
      </c>
      <c r="I2476" s="1" t="str">
        <f>IFERROR(__xludf.DUMMYFUNCTION("""COMPUTED_VALUE"""),"Recibido en Laboratorio")</f>
        <v>Recibido en Laboratorio</v>
      </c>
      <c r="J2476" s="1">
        <f t="shared" si="3"/>
        <v>2</v>
      </c>
      <c r="K2476" s="1" t="str">
        <f t="shared" si="4"/>
        <v>Nuestro Laboratorio esta trabajando en tus lentes, los entregaremos en la fecha acordada.</v>
      </c>
    </row>
    <row r="2477">
      <c r="A2477" s="1">
        <f>IFERROR(__xludf.DUMMYFUNCTION("""COMPUTED_VALUE"""),87024.0)</f>
        <v>87024</v>
      </c>
      <c r="B2477" s="5">
        <f>IFERROR(__xludf.DUMMYFUNCTION("""COMPUTED_VALUE"""),44984.41503711806)</f>
        <v>44984.41504</v>
      </c>
      <c r="C2477" s="1" t="str">
        <f>IFERROR(__xludf.DUMMYFUNCTION("""COMPUTED_VALUE"""),"TISSEO NILDA")</f>
        <v>TISSEO NILDA</v>
      </c>
      <c r="D2477" s="1" t="str">
        <f>IFERROR(__xludf.DUMMYFUNCTION("""COMPUTED_VALUE"""),"Lentes BIFOCALES")</f>
        <v>Lentes BIFOCALES</v>
      </c>
      <c r="E2477" s="1" t="str">
        <f>IFERROR(__xludf.DUMMYFUNCTION("""COMPUTED_VALUE"""),"ARTIGAS Ivana P.")</f>
        <v>ARTIGAS Ivana P.</v>
      </c>
      <c r="F2477" s="1" t="str">
        <f t="shared" si="1"/>
        <v>ARTIGAS </v>
      </c>
      <c r="G2477" s="1" t="str">
        <f t="shared" si="2"/>
        <v>Ivana P.</v>
      </c>
      <c r="H2477" s="1" t="str">
        <f>IFERROR(__xludf.DUMMYFUNCTION("""COMPUTED_VALUE"""),"3/3/2023, 17:00:00")</f>
        <v>3/3/2023, 17:00:00</v>
      </c>
      <c r="I2477" s="1" t="str">
        <f>IFERROR(__xludf.DUMMYFUNCTION("""COMPUTED_VALUE"""),"Recibido en Laboratorio")</f>
        <v>Recibido en Laboratorio</v>
      </c>
      <c r="J2477" s="1">
        <f t="shared" si="3"/>
        <v>2</v>
      </c>
      <c r="K2477" s="1" t="str">
        <f t="shared" si="4"/>
        <v>Nuestro Laboratorio esta trabajando en tus lentes, los entregaremos en la fecha acordada.</v>
      </c>
    </row>
    <row r="2478">
      <c r="A2478" s="1">
        <f>IFERROR(__xludf.DUMMYFUNCTION("""COMPUTED_VALUE"""),87025.0)</f>
        <v>87025</v>
      </c>
      <c r="B2478" s="5">
        <f>IFERROR(__xludf.DUMMYFUNCTION("""COMPUTED_VALUE"""),44984.42692103009)</f>
        <v>44984.42692</v>
      </c>
      <c r="C2478" s="1" t="str">
        <f>IFERROR(__xludf.DUMMYFUNCTION("""COMPUTED_VALUE""")," TESO MARIANA")</f>
        <v> TESO MARIANA</v>
      </c>
      <c r="D2478" s="1" t="str">
        <f>IFERROR(__xludf.DUMMYFUNCTION("""COMPUTED_VALUE"""),"Reparaciones/Otros")</f>
        <v>Reparaciones/Otros</v>
      </c>
      <c r="E2478" s="1" t="str">
        <f>IFERROR(__xludf.DUMMYFUNCTION("""COMPUTED_VALUE"""),"RIVADAVIA Luciana")</f>
        <v>RIVADAVIA Luciana</v>
      </c>
      <c r="F2478" s="1" t="str">
        <f t="shared" si="1"/>
        <v>RIVADAVIA </v>
      </c>
      <c r="G2478" s="1" t="str">
        <f t="shared" si="2"/>
        <v>Luciana</v>
      </c>
      <c r="H2478" s="1" t="str">
        <f>IFERROR(__xludf.DUMMYFUNCTION("""COMPUTED_VALUE"""),"28/2/2023, 17:00:00")</f>
        <v>28/2/2023, 17:00:00</v>
      </c>
      <c r="I2478" s="1"/>
      <c r="J2478" s="1">
        <f t="shared" si="3"/>
        <v>0</v>
      </c>
      <c r="K2478" s="1" t="str">
        <f t="shared" si="4"/>
        <v/>
      </c>
    </row>
    <row r="2479">
      <c r="A2479" s="1">
        <f>IFERROR(__xludf.DUMMYFUNCTION("""COMPUTED_VALUE"""),87026.0)</f>
        <v>87026</v>
      </c>
      <c r="B2479" s="5">
        <f>IFERROR(__xludf.DUMMYFUNCTION("""COMPUTED_VALUE"""),44984.43897832176)</f>
        <v>44984.43898</v>
      </c>
      <c r="C2479" s="1" t="str">
        <f>IFERROR(__xludf.DUMMYFUNCTION("""COMPUTED_VALUE"""),"ROSSI MIGUEL")</f>
        <v>ROSSI MIGUEL</v>
      </c>
      <c r="D2479" s="1" t="str">
        <f>IFERROR(__xludf.DUMMYFUNCTION("""COMPUTED_VALUE"""),"Lentes de STOCK")</f>
        <v>Lentes de STOCK</v>
      </c>
      <c r="E2479" s="1" t="str">
        <f>IFERROR(__xludf.DUMMYFUNCTION("""COMPUTED_VALUE"""),"ARTIGAS Cristian C.")</f>
        <v>ARTIGAS Cristian C.</v>
      </c>
      <c r="F2479" s="1" t="str">
        <f t="shared" si="1"/>
        <v>ARTIGAS </v>
      </c>
      <c r="G2479" s="1" t="str">
        <f t="shared" si="2"/>
        <v>Cristian C.</v>
      </c>
      <c r="H2479" s="1" t="str">
        <f>IFERROR(__xludf.DUMMYFUNCTION("""COMPUTED_VALUE"""),"7/3/2023, 17:00:00")</f>
        <v>7/3/2023, 17:00:00</v>
      </c>
      <c r="I2479" s="1" t="str">
        <f>IFERROR(__xludf.DUMMYFUNCTION("""COMPUTED_VALUE"""),"Recibido en Laboratorio")</f>
        <v>Recibido en Laboratorio</v>
      </c>
      <c r="J2479" s="1">
        <f t="shared" si="3"/>
        <v>2</v>
      </c>
      <c r="K2479" s="1" t="str">
        <f t="shared" si="4"/>
        <v>Nuestro Laboratorio esta trabajando en tus lentes, los entregaremos en la fecha acordada.</v>
      </c>
    </row>
    <row r="2480">
      <c r="A2480" s="1">
        <f>IFERROR(__xludf.DUMMYFUNCTION("""COMPUTED_VALUE"""),87027.0)</f>
        <v>87027</v>
      </c>
      <c r="B2480" s="5">
        <f>IFERROR(__xludf.DUMMYFUNCTION("""COMPUTED_VALUE"""),44984.444035127315)</f>
        <v>44984.44404</v>
      </c>
      <c r="C2480" s="1" t="str">
        <f>IFERROR(__xludf.DUMMYFUNCTION("""COMPUTED_VALUE"""),"PEREZ JERVASONI CANDELA")</f>
        <v>PEREZ JERVASONI CANDELA</v>
      </c>
      <c r="D2480" s="1" t="str">
        <f>IFERROR(__xludf.DUMMYFUNCTION("""COMPUTED_VALUE"""),"Lentes de STOCK")</f>
        <v>Lentes de STOCK</v>
      </c>
      <c r="E2480" s="1" t="str">
        <f>IFERROR(__xludf.DUMMYFUNCTION("""COMPUTED_VALUE"""),"RIVADAVIA Luciana")</f>
        <v>RIVADAVIA Luciana</v>
      </c>
      <c r="F2480" s="1" t="str">
        <f t="shared" si="1"/>
        <v>RIVADAVIA </v>
      </c>
      <c r="G2480" s="1" t="str">
        <f t="shared" si="2"/>
        <v>Luciana</v>
      </c>
      <c r="H2480" s="1" t="str">
        <f>IFERROR(__xludf.DUMMYFUNCTION("""COMPUTED_VALUE"""),"3/3/2023, 17:00:00")</f>
        <v>3/3/2023, 17:00:00</v>
      </c>
      <c r="I2480" s="1" t="str">
        <f>IFERROR(__xludf.DUMMYFUNCTION("""COMPUTED_VALUE"""),"Recibido en Laboratorio")</f>
        <v>Recibido en Laboratorio</v>
      </c>
      <c r="J2480" s="1">
        <f t="shared" si="3"/>
        <v>2</v>
      </c>
      <c r="K2480" s="1" t="str">
        <f t="shared" si="4"/>
        <v>Nuestro Laboratorio esta trabajando en tus lentes, los entregaremos en la fecha acordada.</v>
      </c>
    </row>
    <row r="2481">
      <c r="A2481" s="1">
        <f>IFERROR(__xludf.DUMMYFUNCTION("""COMPUTED_VALUE"""),87028.0)</f>
        <v>87028</v>
      </c>
      <c r="B2481" s="5">
        <f>IFERROR(__xludf.DUMMYFUNCTION("""COMPUTED_VALUE"""),44984.44415246528)</f>
        <v>44984.44415</v>
      </c>
      <c r="C2481" s="1" t="str">
        <f>IFERROR(__xludf.DUMMYFUNCTION("""COMPUTED_VALUE"""),"perez hector facundo")</f>
        <v>perez hector facundo</v>
      </c>
      <c r="D2481" s="1" t="str">
        <f>IFERROR(__xludf.DUMMYFUNCTION("""COMPUTED_VALUE"""),"Lentes de STOCK")</f>
        <v>Lentes de STOCK</v>
      </c>
      <c r="E2481" s="1" t="str">
        <f>IFERROR(__xludf.DUMMYFUNCTION("""COMPUTED_VALUE"""),"RIVADAVIA Santiago N")</f>
        <v>RIVADAVIA Santiago N</v>
      </c>
      <c r="F2481" s="1" t="str">
        <f t="shared" si="1"/>
        <v>RIVADAVIA </v>
      </c>
      <c r="G2481" s="1" t="str">
        <f t="shared" si="2"/>
        <v>Santiago N</v>
      </c>
      <c r="H2481" s="1" t="str">
        <f>IFERROR(__xludf.DUMMYFUNCTION("""COMPUTED_VALUE"""),"2/3/2023, 17:00:00")</f>
        <v>2/3/2023, 17:00:00</v>
      </c>
      <c r="I2481" s="1" t="str">
        <f>IFERROR(__xludf.DUMMYFUNCTION("""COMPUTED_VALUE"""),"Recibido en Laboratorio")</f>
        <v>Recibido en Laboratorio</v>
      </c>
      <c r="J2481" s="1">
        <f t="shared" si="3"/>
        <v>2</v>
      </c>
      <c r="K2481" s="1" t="str">
        <f t="shared" si="4"/>
        <v>Nuestro Laboratorio esta trabajando en tus lentes, los entregaremos en la fecha acordada.</v>
      </c>
    </row>
    <row r="2482">
      <c r="A2482" s="1">
        <f>IFERROR(__xludf.DUMMYFUNCTION("""COMPUTED_VALUE"""),87029.0)</f>
        <v>87029</v>
      </c>
      <c r="B2482" s="5">
        <f>IFERROR(__xludf.DUMMYFUNCTION("""COMPUTED_VALUE"""),44984.44956324074)</f>
        <v>44984.44956</v>
      </c>
      <c r="C2482" s="1" t="str">
        <f>IFERROR(__xludf.DUMMYFUNCTION("""COMPUTED_VALUE"""),"MERCAU MARIA ")</f>
        <v>MERCAU MARIA </v>
      </c>
      <c r="D2482" s="1" t="str">
        <f>IFERROR(__xludf.DUMMYFUNCTION("""COMPUTED_VALUE"""),"Lentes de STOCK")</f>
        <v>Lentes de STOCK</v>
      </c>
      <c r="E2482" s="1" t="str">
        <f>IFERROR(__xludf.DUMMYFUNCTION("""COMPUTED_VALUE"""),"ARTIGAS Cristian C.")</f>
        <v>ARTIGAS Cristian C.</v>
      </c>
      <c r="F2482" s="1" t="str">
        <f t="shared" si="1"/>
        <v>ARTIGAS </v>
      </c>
      <c r="G2482" s="1" t="str">
        <f t="shared" si="2"/>
        <v>Cristian C.</v>
      </c>
      <c r="H2482" s="1" t="str">
        <f>IFERROR(__xludf.DUMMYFUNCTION("""COMPUTED_VALUE"""),"3/3/2023, 17:00:00")</f>
        <v>3/3/2023, 17:00:00</v>
      </c>
      <c r="I2482" s="1" t="str">
        <f>IFERROR(__xludf.DUMMYFUNCTION("""COMPUTED_VALUE"""),"Completado en SUCURSAL")</f>
        <v>Completado en SUCURSAL</v>
      </c>
      <c r="J2482" s="1">
        <f t="shared" si="3"/>
        <v>5</v>
      </c>
      <c r="K2482" s="1" t="str">
        <f t="shared" si="4"/>
        <v>Tus Lentes estan LISTAS PARA ENTREGAR, te esperamos.</v>
      </c>
    </row>
    <row r="2483">
      <c r="A2483" s="1">
        <f>IFERROR(__xludf.DUMMYFUNCTION("""COMPUTED_VALUE"""),87030.0)</f>
        <v>87030</v>
      </c>
      <c r="B2483" s="5">
        <f>IFERROR(__xludf.DUMMYFUNCTION("""COMPUTED_VALUE"""),44984.45188688657)</f>
        <v>44984.45189</v>
      </c>
      <c r="C2483" s="1" t="str">
        <f>IFERROR(__xludf.DUMMYFUNCTION("""COMPUTED_VALUE"""),"VILLEGA JUANA")</f>
        <v>VILLEGA JUANA</v>
      </c>
      <c r="D2483" s="1" t="str">
        <f>IFERROR(__xludf.DUMMYFUNCTION("""COMPUTED_VALUE"""),"Lentes de STOCK")</f>
        <v>Lentes de STOCK</v>
      </c>
      <c r="E2483" s="1" t="str">
        <f>IFERROR(__xludf.DUMMYFUNCTION("""COMPUTED_VALUE"""),"ARTIGAS Ivana P.")</f>
        <v>ARTIGAS Ivana P.</v>
      </c>
      <c r="F2483" s="1" t="str">
        <f t="shared" si="1"/>
        <v>ARTIGAS </v>
      </c>
      <c r="G2483" s="1" t="str">
        <f t="shared" si="2"/>
        <v>Ivana P.</v>
      </c>
      <c r="H2483" s="1" t="str">
        <f>IFERROR(__xludf.DUMMYFUNCTION("""COMPUTED_VALUE"""),"2/3/2023, 17:00:00")</f>
        <v>2/3/2023, 17:00:00</v>
      </c>
      <c r="I2483" s="1" t="str">
        <f>IFERROR(__xludf.DUMMYFUNCTION("""COMPUTED_VALUE"""),"Recibido en Laboratorio")</f>
        <v>Recibido en Laboratorio</v>
      </c>
      <c r="J2483" s="1">
        <f t="shared" si="3"/>
        <v>2</v>
      </c>
      <c r="K2483" s="1" t="str">
        <f t="shared" si="4"/>
        <v>Nuestro Laboratorio esta trabajando en tus lentes, los entregaremos en la fecha acordada.</v>
      </c>
    </row>
    <row r="2484">
      <c r="A2484" s="1">
        <f>IFERROR(__xludf.DUMMYFUNCTION("""COMPUTED_VALUE"""),87031.0)</f>
        <v>87031</v>
      </c>
      <c r="B2484" s="5">
        <f>IFERROR(__xludf.DUMMYFUNCTION("""COMPUTED_VALUE"""),44984.46357415509)</f>
        <v>44984.46357</v>
      </c>
      <c r="C2484" s="1" t="str">
        <f>IFERROR(__xludf.DUMMYFUNCTION("""COMPUTED_VALUE"""),"PELLEGRINO JUAN CARLOS")</f>
        <v>PELLEGRINO JUAN CARLOS</v>
      </c>
      <c r="D2484" s="1" t="str">
        <f>IFERROR(__xludf.DUMMYFUNCTION("""COMPUTED_VALUE"""),"Reparaciones/Otros")</f>
        <v>Reparaciones/Otros</v>
      </c>
      <c r="E2484" s="1" t="str">
        <f>IFERROR(__xludf.DUMMYFUNCTION("""COMPUTED_VALUE"""),"ARTIGAS Cristian C.")</f>
        <v>ARTIGAS Cristian C.</v>
      </c>
      <c r="F2484" s="1" t="str">
        <f t="shared" si="1"/>
        <v>ARTIGAS </v>
      </c>
      <c r="G2484" s="1" t="str">
        <f t="shared" si="2"/>
        <v>Cristian C.</v>
      </c>
      <c r="H2484" s="1" t="str">
        <f>IFERROR(__xludf.DUMMYFUNCTION("""COMPUTED_VALUE"""),"1/3/2023, 17:00:00")</f>
        <v>1/3/2023, 17:00:00</v>
      </c>
      <c r="I2484" s="1" t="str">
        <f>IFERROR(__xludf.DUMMYFUNCTION("""COMPUTED_VALUE"""),"Completado en SUCURSAL")</f>
        <v>Completado en SUCURSAL</v>
      </c>
      <c r="J2484" s="1">
        <f t="shared" si="3"/>
        <v>5</v>
      </c>
      <c r="K2484" s="1" t="str">
        <f t="shared" si="4"/>
        <v>Tus Lentes estan LISTAS PARA ENTREGAR, te esperamos.</v>
      </c>
    </row>
    <row r="2485">
      <c r="A2485" s="1">
        <f>IFERROR(__xludf.DUMMYFUNCTION("""COMPUTED_VALUE"""),87032.0)</f>
        <v>87032</v>
      </c>
      <c r="B2485" s="5">
        <f>IFERROR(__xludf.DUMMYFUNCTION("""COMPUTED_VALUE"""),44984.464215995366)</f>
        <v>44984.46422</v>
      </c>
      <c r="C2485" s="1" t="str">
        <f>IFERROR(__xludf.DUMMYFUNCTION("""COMPUTED_VALUE"""),"BARRERA FRANCISCA GLADYS")</f>
        <v>BARRERA FRANCISCA GLADYS</v>
      </c>
      <c r="D2485" s="1" t="str">
        <f>IFERROR(__xludf.DUMMYFUNCTION("""COMPUTED_VALUE"""),"Lentes de LABORATORIO")</f>
        <v>Lentes de LABORATORIO</v>
      </c>
      <c r="E2485" s="1" t="str">
        <f>IFERROR(__xludf.DUMMYFUNCTION("""COMPUTED_VALUE"""),"RIVADAVIA Marcela L")</f>
        <v>RIVADAVIA Marcela L</v>
      </c>
      <c r="F2485" s="1" t="str">
        <f t="shared" si="1"/>
        <v>RIVADAVIA </v>
      </c>
      <c r="G2485" s="1" t="str">
        <f t="shared" si="2"/>
        <v>Marcela L</v>
      </c>
      <c r="H2485" s="1" t="str">
        <f>IFERROR(__xludf.DUMMYFUNCTION("""COMPUTED_VALUE"""),"7/3/2023, 17:00:00")</f>
        <v>7/3/2023, 17:00:00</v>
      </c>
      <c r="I2485" s="1" t="str">
        <f>IFERROR(__xludf.DUMMYFUNCTION("""COMPUTED_VALUE"""),"Completado en SUCURSAL")</f>
        <v>Completado en SUCURSAL</v>
      </c>
      <c r="J2485" s="1">
        <f t="shared" si="3"/>
        <v>5</v>
      </c>
      <c r="K2485" s="1" t="str">
        <f t="shared" si="4"/>
        <v>Tus Lentes estan LISTAS PARA ENTREGAR, te esperamos.</v>
      </c>
    </row>
    <row r="2486">
      <c r="A2486" s="1">
        <f>IFERROR(__xludf.DUMMYFUNCTION("""COMPUTED_VALUE"""),87033.0)</f>
        <v>87033</v>
      </c>
      <c r="B2486" s="5">
        <f>IFERROR(__xludf.DUMMYFUNCTION("""COMPUTED_VALUE"""),44984.47161287037)</f>
        <v>44984.47161</v>
      </c>
      <c r="C2486" s="1" t="str">
        <f>IFERROR(__xludf.DUMMYFUNCTION("""COMPUTED_VALUE"""),"FERNANDEZ JADE AINARA")</f>
        <v>FERNANDEZ JADE AINARA</v>
      </c>
      <c r="D2486" s="1" t="str">
        <f>IFERROR(__xludf.DUMMYFUNCTION("""COMPUTED_VALUE"""),"Lentes de STOCK")</f>
        <v>Lentes de STOCK</v>
      </c>
      <c r="E2486" s="1" t="str">
        <f>IFERROR(__xludf.DUMMYFUNCTION("""COMPUTED_VALUE"""),"RIVADAVIA Marcela L")</f>
        <v>RIVADAVIA Marcela L</v>
      </c>
      <c r="F2486" s="1" t="str">
        <f t="shared" si="1"/>
        <v>RIVADAVIA </v>
      </c>
      <c r="G2486" s="1" t="str">
        <f t="shared" si="2"/>
        <v>Marcela L</v>
      </c>
      <c r="H2486" s="1" t="str">
        <f>IFERROR(__xludf.DUMMYFUNCTION("""COMPUTED_VALUE"""),"2/3/2023, 17:00:00")</f>
        <v>2/3/2023, 17:00:00</v>
      </c>
      <c r="I2486" s="1" t="str">
        <f>IFERROR(__xludf.DUMMYFUNCTION("""COMPUTED_VALUE"""),"Recibido en Laboratorio")</f>
        <v>Recibido en Laboratorio</v>
      </c>
      <c r="J2486" s="1">
        <f t="shared" si="3"/>
        <v>2</v>
      </c>
      <c r="K2486" s="1" t="str">
        <f t="shared" si="4"/>
        <v>Nuestro Laboratorio esta trabajando en tus lentes, los entregaremos en la fecha acordada.</v>
      </c>
    </row>
    <row r="2487">
      <c r="A2487" s="1">
        <f>IFERROR(__xludf.DUMMYFUNCTION("""COMPUTED_VALUE"""),87034.0)</f>
        <v>87034</v>
      </c>
      <c r="B2487" s="5">
        <f>IFERROR(__xludf.DUMMYFUNCTION("""COMPUTED_VALUE"""),44984.473868217596)</f>
        <v>44984.47387</v>
      </c>
      <c r="C2487" s="1" t="str">
        <f>IFERROR(__xludf.DUMMYFUNCTION("""COMPUTED_VALUE"""),"ROMERO MIA ")</f>
        <v>ROMERO MIA </v>
      </c>
      <c r="D2487" s="1" t="str">
        <f>IFERROR(__xludf.DUMMYFUNCTION("""COMPUTED_VALUE"""),"Lentes de STOCK")</f>
        <v>Lentes de STOCK</v>
      </c>
      <c r="E2487" s="1" t="str">
        <f>IFERROR(__xludf.DUMMYFUNCTION("""COMPUTED_VALUE"""),"ARTIGAS Cristian C.")</f>
        <v>ARTIGAS Cristian C.</v>
      </c>
      <c r="F2487" s="1" t="str">
        <f t="shared" si="1"/>
        <v>ARTIGAS </v>
      </c>
      <c r="G2487" s="1" t="str">
        <f t="shared" si="2"/>
        <v>Cristian C.</v>
      </c>
      <c r="H2487" s="1" t="str">
        <f>IFERROR(__xludf.DUMMYFUNCTION("""COMPUTED_VALUE"""),"7/3/2023, 17:00:00")</f>
        <v>7/3/2023, 17:00:00</v>
      </c>
      <c r="I2487" s="1" t="str">
        <f>IFERROR(__xludf.DUMMYFUNCTION("""COMPUTED_VALUE"""),"Recibido en Laboratorio")</f>
        <v>Recibido en Laboratorio</v>
      </c>
      <c r="J2487" s="1">
        <f t="shared" si="3"/>
        <v>2</v>
      </c>
      <c r="K2487" s="1" t="str">
        <f t="shared" si="4"/>
        <v>Nuestro Laboratorio esta trabajando en tus lentes, los entregaremos en la fecha acordada.</v>
      </c>
    </row>
    <row r="2488">
      <c r="A2488" s="1">
        <f>IFERROR(__xludf.DUMMYFUNCTION("""COMPUTED_VALUE"""),87035.0)</f>
        <v>87035</v>
      </c>
      <c r="B2488" s="5">
        <f>IFERROR(__xludf.DUMMYFUNCTION("""COMPUTED_VALUE"""),44984.47659386574)</f>
        <v>44984.47659</v>
      </c>
      <c r="C2488" s="1" t="str">
        <f>IFERROR(__xludf.DUMMYFUNCTION("""COMPUTED_VALUE"""),"BARILE GUSTAVO")</f>
        <v>BARILE GUSTAVO</v>
      </c>
      <c r="D2488" s="1" t="str">
        <f>IFERROR(__xludf.DUMMYFUNCTION("""COMPUTED_VALUE"""),"Lentes de STOCK")</f>
        <v>Lentes de STOCK</v>
      </c>
      <c r="E2488" s="1" t="str">
        <f>IFERROR(__xludf.DUMMYFUNCTION("""COMPUTED_VALUE"""),"RIVADAVIA Santiago LOPEZ")</f>
        <v>RIVADAVIA Santiago LOPEZ</v>
      </c>
      <c r="F2488" s="1" t="str">
        <f t="shared" si="1"/>
        <v>RIVADAVIA </v>
      </c>
      <c r="G2488" s="1" t="str">
        <f t="shared" si="2"/>
        <v>Santiago LOPEZ</v>
      </c>
      <c r="H2488" s="1" t="str">
        <f>IFERROR(__xludf.DUMMYFUNCTION("""COMPUTED_VALUE"""),"3/3/2023, 17:00:00")</f>
        <v>3/3/2023, 17:00:00</v>
      </c>
      <c r="I2488" s="1" t="str">
        <f>IFERROR(__xludf.DUMMYFUNCTION("""COMPUTED_VALUE"""),"Recibido en Laboratorio")</f>
        <v>Recibido en Laboratorio</v>
      </c>
      <c r="J2488" s="1">
        <f t="shared" si="3"/>
        <v>2</v>
      </c>
      <c r="K2488" s="1" t="str">
        <f t="shared" si="4"/>
        <v>Nuestro Laboratorio esta trabajando en tus lentes, los entregaremos en la fecha acordada.</v>
      </c>
    </row>
    <row r="2489">
      <c r="A2489" s="1">
        <f>IFERROR(__xludf.DUMMYFUNCTION("""COMPUTED_VALUE"""),87036.0)</f>
        <v>87036</v>
      </c>
      <c r="B2489" s="5">
        <f>IFERROR(__xludf.DUMMYFUNCTION("""COMPUTED_VALUE"""),44984.48929385417)</f>
        <v>44984.48929</v>
      </c>
      <c r="C2489" s="1" t="str">
        <f>IFERROR(__xludf.DUMMYFUNCTION("""COMPUTED_VALUE"""),"ROJAS CARMEN AIDA")</f>
        <v>ROJAS CARMEN AIDA</v>
      </c>
      <c r="D2489" s="1" t="str">
        <f>IFERROR(__xludf.DUMMYFUNCTION("""COMPUTED_VALUE"""),"Lentes de STOCK")</f>
        <v>Lentes de STOCK</v>
      </c>
      <c r="E2489" s="1" t="str">
        <f>IFERROR(__xludf.DUMMYFUNCTION("""COMPUTED_VALUE"""),"RIVADAVIA Marcela L")</f>
        <v>RIVADAVIA Marcela L</v>
      </c>
      <c r="F2489" s="1" t="str">
        <f t="shared" si="1"/>
        <v>RIVADAVIA </v>
      </c>
      <c r="G2489" s="1" t="str">
        <f t="shared" si="2"/>
        <v>Marcela L</v>
      </c>
      <c r="H2489" s="1" t="str">
        <f>IFERROR(__xludf.DUMMYFUNCTION("""COMPUTED_VALUE"""),"2/3/2023, 17:00:00")</f>
        <v>2/3/2023, 17:00:00</v>
      </c>
      <c r="I2489" s="1" t="str">
        <f>IFERROR(__xludf.DUMMYFUNCTION("""COMPUTED_VALUE"""),"Recibido en Laboratorio")</f>
        <v>Recibido en Laboratorio</v>
      </c>
      <c r="J2489" s="1">
        <f t="shared" si="3"/>
        <v>2</v>
      </c>
      <c r="K2489" s="1" t="str">
        <f t="shared" si="4"/>
        <v>Nuestro Laboratorio esta trabajando en tus lentes, los entregaremos en la fecha acordada.</v>
      </c>
    </row>
    <row r="2490">
      <c r="A2490" s="1">
        <f>IFERROR(__xludf.DUMMYFUNCTION("""COMPUTED_VALUE"""),87037.0)</f>
        <v>87037</v>
      </c>
      <c r="B2490" s="5">
        <f>IFERROR(__xludf.DUMMYFUNCTION("""COMPUTED_VALUE"""),44984.49392140046)</f>
        <v>44984.49392</v>
      </c>
      <c r="C2490" s="1" t="str">
        <f>IFERROR(__xludf.DUMMYFUNCTION("""COMPUTED_VALUE"""),"LUCERO CECILIA FANNY")</f>
        <v>LUCERO CECILIA FANNY</v>
      </c>
      <c r="D2490" s="1" t="str">
        <f>IFERROR(__xludf.DUMMYFUNCTION("""COMPUTED_VALUE"""),"Lentes de STOCK")</f>
        <v>Lentes de STOCK</v>
      </c>
      <c r="E2490" s="1" t="str">
        <f>IFERROR(__xludf.DUMMYFUNCTION("""COMPUTED_VALUE"""),"ARTIGAS Cristian C.")</f>
        <v>ARTIGAS Cristian C.</v>
      </c>
      <c r="F2490" s="1" t="str">
        <f t="shared" si="1"/>
        <v>ARTIGAS </v>
      </c>
      <c r="G2490" s="1" t="str">
        <f t="shared" si="2"/>
        <v>Cristian C.</v>
      </c>
      <c r="H2490" s="1" t="str">
        <f>IFERROR(__xludf.DUMMYFUNCTION("""COMPUTED_VALUE"""),"8/3/2023, 17:00:00")</f>
        <v>8/3/2023, 17:00:00</v>
      </c>
      <c r="I2490" s="1" t="str">
        <f>IFERROR(__xludf.DUMMYFUNCTION("""COMPUTED_VALUE"""),"Completado en SUCURSAL")</f>
        <v>Completado en SUCURSAL</v>
      </c>
      <c r="J2490" s="1">
        <f t="shared" si="3"/>
        <v>5</v>
      </c>
      <c r="K2490" s="1" t="str">
        <f t="shared" si="4"/>
        <v>Tus Lentes estan LISTAS PARA ENTREGAR, te esperamos.</v>
      </c>
    </row>
    <row r="2491">
      <c r="A2491" s="1">
        <f>IFERROR(__xludf.DUMMYFUNCTION("""COMPUTED_VALUE"""),87038.0)</f>
        <v>87038</v>
      </c>
      <c r="B2491" s="5">
        <f>IFERROR(__xludf.DUMMYFUNCTION("""COMPUTED_VALUE"""),44984.50219832176)</f>
        <v>44984.5022</v>
      </c>
      <c r="C2491" s="1" t="str">
        <f>IFERROR(__xludf.DUMMYFUNCTION("""COMPUTED_VALUE"""),"MERCADO MIGUEL ANGEL")</f>
        <v>MERCADO MIGUEL ANGEL</v>
      </c>
      <c r="D2491" s="1" t="str">
        <f>IFERROR(__xludf.DUMMYFUNCTION("""COMPUTED_VALUE"""),"Lentes BIFOCALES")</f>
        <v>Lentes BIFOCALES</v>
      </c>
      <c r="E2491" s="1" t="str">
        <f>IFERROR(__xludf.DUMMYFUNCTION("""COMPUTED_VALUE"""),"RIVADAVIA Luciana")</f>
        <v>RIVADAVIA Luciana</v>
      </c>
      <c r="F2491" s="1" t="str">
        <f t="shared" si="1"/>
        <v>RIVADAVIA </v>
      </c>
      <c r="G2491" s="1" t="str">
        <f t="shared" si="2"/>
        <v>Luciana</v>
      </c>
      <c r="H2491" s="1" t="str">
        <f>IFERROR(__xludf.DUMMYFUNCTION("""COMPUTED_VALUE"""),"15/3/2023, 17:00:00")</f>
        <v>15/3/2023, 17:00:00</v>
      </c>
      <c r="I2491" s="1" t="str">
        <f>IFERROR(__xludf.DUMMYFUNCTION("""COMPUTED_VALUE"""),"Completado en SUCURSAL")</f>
        <v>Completado en SUCURSAL</v>
      </c>
      <c r="J2491" s="1">
        <f t="shared" si="3"/>
        <v>5</v>
      </c>
      <c r="K2491" s="1" t="str">
        <f t="shared" si="4"/>
        <v>Tus Lentes estan LISTAS PARA ENTREGAR, te esperamos.</v>
      </c>
    </row>
    <row r="2492">
      <c r="A2492" s="1">
        <f>IFERROR(__xludf.DUMMYFUNCTION("""COMPUTED_VALUE"""),87039.0)</f>
        <v>87039</v>
      </c>
      <c r="B2492" s="5">
        <f>IFERROR(__xludf.DUMMYFUNCTION("""COMPUTED_VALUE"""),44984.50492121528)</f>
        <v>44984.50492</v>
      </c>
      <c r="C2492" s="1" t="str">
        <f>IFERROR(__xludf.DUMMYFUNCTION("""COMPUTED_VALUE"""),"MERCADO MIGUEL ANGEL ")</f>
        <v>MERCADO MIGUEL ANGEL </v>
      </c>
      <c r="D2492" s="1" t="str">
        <f>IFERROR(__xludf.DUMMYFUNCTION("""COMPUTED_VALUE"""),"Lentes BIFOCALES")</f>
        <v>Lentes BIFOCALES</v>
      </c>
      <c r="E2492" s="1" t="str">
        <f>IFERROR(__xludf.DUMMYFUNCTION("""COMPUTED_VALUE"""),"RIVADAVIA Luciana")</f>
        <v>RIVADAVIA Luciana</v>
      </c>
      <c r="F2492" s="1" t="str">
        <f t="shared" si="1"/>
        <v>RIVADAVIA </v>
      </c>
      <c r="G2492" s="1" t="str">
        <f t="shared" si="2"/>
        <v>Luciana</v>
      </c>
      <c r="H2492" s="1" t="str">
        <f>IFERROR(__xludf.DUMMYFUNCTION("""COMPUTED_VALUE"""),"3/3/2023, 17:00:00")</f>
        <v>3/3/2023, 17:00:00</v>
      </c>
      <c r="I2492" s="1" t="str">
        <f>IFERROR(__xludf.DUMMYFUNCTION("""COMPUTED_VALUE"""),"Completado en SUCURSAL")</f>
        <v>Completado en SUCURSAL</v>
      </c>
      <c r="J2492" s="1">
        <f t="shared" si="3"/>
        <v>5</v>
      </c>
      <c r="K2492" s="1" t="str">
        <f t="shared" si="4"/>
        <v>Tus Lentes estan LISTAS PARA ENTREGAR, te esperamos.</v>
      </c>
    </row>
    <row r="2493">
      <c r="A2493" s="1">
        <f>IFERROR(__xludf.DUMMYFUNCTION("""COMPUTED_VALUE"""),87040.0)</f>
        <v>87040</v>
      </c>
      <c r="B2493" s="5">
        <f>IFERROR(__xludf.DUMMYFUNCTION("""COMPUTED_VALUE"""),44984.508253912034)</f>
        <v>44984.50825</v>
      </c>
      <c r="C2493" s="1" t="str">
        <f>IFERROR(__xludf.DUMMYFUNCTION("""COMPUTED_VALUE"""),"turri lourde del rosario")</f>
        <v>turri lourde del rosario</v>
      </c>
      <c r="D2493" s="1" t="str">
        <f>IFERROR(__xludf.DUMMYFUNCTION("""COMPUTED_VALUE"""),"Lentes de STOCK")</f>
        <v>Lentes de STOCK</v>
      </c>
      <c r="E2493" s="1" t="str">
        <f>IFERROR(__xludf.DUMMYFUNCTION("""COMPUTED_VALUE"""),"RIVADAVIA Santiago N")</f>
        <v>RIVADAVIA Santiago N</v>
      </c>
      <c r="F2493" s="1" t="str">
        <f t="shared" si="1"/>
        <v>RIVADAVIA </v>
      </c>
      <c r="G2493" s="1" t="str">
        <f t="shared" si="2"/>
        <v>Santiago N</v>
      </c>
      <c r="H2493" s="1" t="str">
        <f>IFERROR(__xludf.DUMMYFUNCTION("""COMPUTED_VALUE"""),"2/3/2023, 17:00:00")</f>
        <v>2/3/2023, 17:00:00</v>
      </c>
      <c r="I2493" s="1" t="str">
        <f>IFERROR(__xludf.DUMMYFUNCTION("""COMPUTED_VALUE"""),"Recibido en Laboratorio")</f>
        <v>Recibido en Laboratorio</v>
      </c>
      <c r="J2493" s="1">
        <f t="shared" si="3"/>
        <v>2</v>
      </c>
      <c r="K2493" s="1" t="str">
        <f t="shared" si="4"/>
        <v>Nuestro Laboratorio esta trabajando en tus lentes, los entregaremos en la fecha acordada.</v>
      </c>
    </row>
    <row r="2494">
      <c r="A2494" s="1">
        <f>IFERROR(__xludf.DUMMYFUNCTION("""COMPUTED_VALUE"""),87041.0)</f>
        <v>87041</v>
      </c>
      <c r="B2494" s="5">
        <f>IFERROR(__xludf.DUMMYFUNCTION("""COMPUTED_VALUE"""),44984.51352313657)</f>
        <v>44984.51352</v>
      </c>
      <c r="C2494" s="1" t="str">
        <f>IFERROR(__xludf.DUMMYFUNCTION("""COMPUTED_VALUE"""),"RIVERO TOMASA")</f>
        <v>RIVERO TOMASA</v>
      </c>
      <c r="D2494" s="1" t="str">
        <f>IFERROR(__xludf.DUMMYFUNCTION("""COMPUTED_VALUE"""),"Reparaciones/Otros")</f>
        <v>Reparaciones/Otros</v>
      </c>
      <c r="E2494" s="1" t="str">
        <f>IFERROR(__xludf.DUMMYFUNCTION("""COMPUTED_VALUE"""),"ARTIGAS Cristian C.")</f>
        <v>ARTIGAS Cristian C.</v>
      </c>
      <c r="F2494" s="1" t="str">
        <f t="shared" si="1"/>
        <v>ARTIGAS </v>
      </c>
      <c r="G2494" s="1" t="str">
        <f t="shared" si="2"/>
        <v>Cristian C.</v>
      </c>
      <c r="H2494" s="1" t="str">
        <f>IFERROR(__xludf.DUMMYFUNCTION("""COMPUTED_VALUE"""),"28/2/2023, 17:00:00")</f>
        <v>28/2/2023, 17:00:00</v>
      </c>
      <c r="I2494" s="1" t="str">
        <f>IFERROR(__xludf.DUMMYFUNCTION("""COMPUTED_VALUE"""),"Recibido en Laboratorio")</f>
        <v>Recibido en Laboratorio</v>
      </c>
      <c r="J2494" s="1">
        <f t="shared" si="3"/>
        <v>2</v>
      </c>
      <c r="K2494" s="1" t="str">
        <f t="shared" si="4"/>
        <v>Nuestro Laboratorio esta trabajando en tus lentes, los entregaremos en la fecha acordada.</v>
      </c>
    </row>
    <row r="2495">
      <c r="A2495" s="1">
        <f>IFERROR(__xludf.DUMMYFUNCTION("""COMPUTED_VALUE"""),87042.0)</f>
        <v>87042</v>
      </c>
      <c r="B2495" s="5">
        <f>IFERROR(__xludf.DUMMYFUNCTION("""COMPUTED_VALUE"""),44984.51679324074)</f>
        <v>44984.51679</v>
      </c>
      <c r="C2495" s="1" t="str">
        <f>IFERROR(__xludf.DUMMYFUNCTION("""COMPUTED_VALUE"""),"GAUNA JUSTINA")</f>
        <v>GAUNA JUSTINA</v>
      </c>
      <c r="D2495" s="1" t="str">
        <f>IFERROR(__xludf.DUMMYFUNCTION("""COMPUTED_VALUE"""),"Lentes BIFOCALES")</f>
        <v>Lentes BIFOCALES</v>
      </c>
      <c r="E2495" s="1" t="str">
        <f>IFERROR(__xludf.DUMMYFUNCTION("""COMPUTED_VALUE"""),"RIVADAVIA Luciana")</f>
        <v>RIVADAVIA Luciana</v>
      </c>
      <c r="F2495" s="1" t="str">
        <f t="shared" si="1"/>
        <v>RIVADAVIA </v>
      </c>
      <c r="G2495" s="1" t="str">
        <f t="shared" si="2"/>
        <v>Luciana</v>
      </c>
      <c r="H2495" s="1" t="str">
        <f>IFERROR(__xludf.DUMMYFUNCTION("""COMPUTED_VALUE"""),"16/3/2023, 18:00:00")</f>
        <v>16/3/2023, 18:00:00</v>
      </c>
      <c r="I2495" s="1" t="str">
        <f>IFERROR(__xludf.DUMMYFUNCTION("""COMPUTED_VALUE"""),"Completado en SUCURSAL")</f>
        <v>Completado en SUCURSAL</v>
      </c>
      <c r="J2495" s="1">
        <f t="shared" si="3"/>
        <v>5</v>
      </c>
      <c r="K2495" s="1" t="str">
        <f t="shared" si="4"/>
        <v>Tus Lentes estan LISTAS PARA ENTREGAR, te esperamos.</v>
      </c>
    </row>
    <row r="2496">
      <c r="A2496" s="1">
        <f>IFERROR(__xludf.DUMMYFUNCTION("""COMPUTED_VALUE"""),87043.0)</f>
        <v>87043</v>
      </c>
      <c r="B2496" s="5">
        <f>IFERROR(__xludf.DUMMYFUNCTION("""COMPUTED_VALUE"""),44984.52125366898)</f>
        <v>44984.52125</v>
      </c>
      <c r="C2496" s="1" t="str">
        <f>IFERROR(__xludf.DUMMYFUNCTION("""COMPUTED_VALUE"""),"DIAZ FRANCISCA GABRIELA")</f>
        <v>DIAZ FRANCISCA GABRIELA</v>
      </c>
      <c r="D2496" s="1" t="str">
        <f>IFERROR(__xludf.DUMMYFUNCTION("""COMPUTED_VALUE"""),"Lentes BIFOCALES")</f>
        <v>Lentes BIFOCALES</v>
      </c>
      <c r="E2496" s="1" t="str">
        <f>IFERROR(__xludf.DUMMYFUNCTION("""COMPUTED_VALUE"""),"RIVADAVIA Marcela L")</f>
        <v>RIVADAVIA Marcela L</v>
      </c>
      <c r="F2496" s="1" t="str">
        <f t="shared" si="1"/>
        <v>RIVADAVIA </v>
      </c>
      <c r="G2496" s="1" t="str">
        <f t="shared" si="2"/>
        <v>Marcela L</v>
      </c>
      <c r="H2496" s="1" t="str">
        <f>IFERROR(__xludf.DUMMYFUNCTION("""COMPUTED_VALUE"""),"3/3/2023, 17:00:00")</f>
        <v>3/3/2023, 17:00:00</v>
      </c>
      <c r="I2496" s="1" t="str">
        <f>IFERROR(__xludf.DUMMYFUNCTION("""COMPUTED_VALUE"""),"Recibido en Laboratorio")</f>
        <v>Recibido en Laboratorio</v>
      </c>
      <c r="J2496" s="1">
        <f t="shared" si="3"/>
        <v>2</v>
      </c>
      <c r="K2496" s="1" t="str">
        <f t="shared" si="4"/>
        <v>Nuestro Laboratorio esta trabajando en tus lentes, los entregaremos en la fecha acordada.</v>
      </c>
    </row>
    <row r="2497">
      <c r="A2497" s="1">
        <f>IFERROR(__xludf.DUMMYFUNCTION("""COMPUTED_VALUE"""),87044.0)</f>
        <v>87044</v>
      </c>
      <c r="B2497" s="5">
        <f>IFERROR(__xludf.DUMMYFUNCTION("""COMPUTED_VALUE"""),44984.52338303241)</f>
        <v>44984.52338</v>
      </c>
      <c r="C2497" s="1" t="str">
        <f>IFERROR(__xludf.DUMMYFUNCTION("""COMPUTED_VALUE"""),"QUEVEDO HORACIO FRANCISCO")</f>
        <v>QUEVEDO HORACIO FRANCISCO</v>
      </c>
      <c r="D2497" s="1" t="str">
        <f>IFERROR(__xludf.DUMMYFUNCTION("""COMPUTED_VALUE"""),"Lentes de STOCK")</f>
        <v>Lentes de STOCK</v>
      </c>
      <c r="E2497" s="1" t="str">
        <f>IFERROR(__xludf.DUMMYFUNCTION("""COMPUTED_VALUE"""),"RIVADAVIA Luciana")</f>
        <v>RIVADAVIA Luciana</v>
      </c>
      <c r="F2497" s="1" t="str">
        <f t="shared" si="1"/>
        <v>RIVADAVIA </v>
      </c>
      <c r="G2497" s="1" t="str">
        <f t="shared" si="2"/>
        <v>Luciana</v>
      </c>
      <c r="H2497" s="1" t="str">
        <f>IFERROR(__xludf.DUMMYFUNCTION("""COMPUTED_VALUE"""),"3/3/2023, 17:00:00")</f>
        <v>3/3/2023, 17:00:00</v>
      </c>
      <c r="I2497" s="1" t="str">
        <f>IFERROR(__xludf.DUMMYFUNCTION("""COMPUTED_VALUE"""),"Recibido en Laboratorio")</f>
        <v>Recibido en Laboratorio</v>
      </c>
      <c r="J2497" s="1">
        <f t="shared" si="3"/>
        <v>2</v>
      </c>
      <c r="K2497" s="1" t="str">
        <f t="shared" si="4"/>
        <v>Nuestro Laboratorio esta trabajando en tus lentes, los entregaremos en la fecha acordada.</v>
      </c>
    </row>
    <row r="2498">
      <c r="A2498" s="1">
        <f>IFERROR(__xludf.DUMMYFUNCTION("""COMPUTED_VALUE"""),87045.0)</f>
        <v>87045</v>
      </c>
      <c r="B2498" s="5">
        <f>IFERROR(__xludf.DUMMYFUNCTION("""COMPUTED_VALUE"""),44984.52546134259)</f>
        <v>44984.52546</v>
      </c>
      <c r="C2498" s="1" t="str">
        <f>IFERROR(__xludf.DUMMYFUNCTION("""COMPUTED_VALUE"""),"MARTINEZ VICTOR HUGO")</f>
        <v>MARTINEZ VICTOR HUGO</v>
      </c>
      <c r="D2498" s="1" t="str">
        <f>IFERROR(__xludf.DUMMYFUNCTION("""COMPUTED_VALUE"""),"Lentes de STOCK")</f>
        <v>Lentes de STOCK</v>
      </c>
      <c r="E2498" s="1" t="str">
        <f>IFERROR(__xludf.DUMMYFUNCTION("""COMPUTED_VALUE"""),"RIVADAVIA Marcela L")</f>
        <v>RIVADAVIA Marcela L</v>
      </c>
      <c r="F2498" s="1" t="str">
        <f t="shared" si="1"/>
        <v>RIVADAVIA </v>
      </c>
      <c r="G2498" s="1" t="str">
        <f t="shared" si="2"/>
        <v>Marcela L</v>
      </c>
      <c r="H2498" s="1" t="str">
        <f>IFERROR(__xludf.DUMMYFUNCTION("""COMPUTED_VALUE"""),"3/3/2023, 17:00:00")</f>
        <v>3/3/2023, 17:00:00</v>
      </c>
      <c r="I2498" s="1" t="str">
        <f>IFERROR(__xludf.DUMMYFUNCTION("""COMPUTED_VALUE"""),"Recibido en Laboratorio")</f>
        <v>Recibido en Laboratorio</v>
      </c>
      <c r="J2498" s="1">
        <f t="shared" si="3"/>
        <v>2</v>
      </c>
      <c r="K2498" s="1" t="str">
        <f t="shared" si="4"/>
        <v>Nuestro Laboratorio esta trabajando en tus lentes, los entregaremos en la fecha acordada.</v>
      </c>
    </row>
    <row r="2499">
      <c r="A2499" s="1">
        <f>IFERROR(__xludf.DUMMYFUNCTION("""COMPUTED_VALUE"""),87046.0)</f>
        <v>87046</v>
      </c>
      <c r="B2499" s="5">
        <f>IFERROR(__xludf.DUMMYFUNCTION("""COMPUTED_VALUE"""),44984.52565185185)</f>
        <v>44984.52565</v>
      </c>
      <c r="C2499" s="1" t="str">
        <f>IFERROR(__xludf.DUMMYFUNCTION("""COMPUTED_VALUE"""),"CUELLO ALICIA")</f>
        <v>CUELLO ALICIA</v>
      </c>
      <c r="D2499" s="1" t="str">
        <f>IFERROR(__xludf.DUMMYFUNCTION("""COMPUTED_VALUE"""),"Lentes de LABORATORIO")</f>
        <v>Lentes de LABORATORIO</v>
      </c>
      <c r="E2499" s="1" t="str">
        <f>IFERROR(__xludf.DUMMYFUNCTION("""COMPUTED_VALUE"""),"ARTIGAS Cristian C.")</f>
        <v>ARTIGAS Cristian C.</v>
      </c>
      <c r="F2499" s="1" t="str">
        <f t="shared" si="1"/>
        <v>ARTIGAS </v>
      </c>
      <c r="G2499" s="1" t="str">
        <f t="shared" si="2"/>
        <v>Cristian C.</v>
      </c>
      <c r="H2499" s="1" t="str">
        <f>IFERROR(__xludf.DUMMYFUNCTION("""COMPUTED_VALUE"""),"7/3/2023, 17:00:00")</f>
        <v>7/3/2023, 17:00:00</v>
      </c>
      <c r="I2499" s="1" t="str">
        <f>IFERROR(__xludf.DUMMYFUNCTION("""COMPUTED_VALUE"""),"Completado en SUCURSAL")</f>
        <v>Completado en SUCURSAL</v>
      </c>
      <c r="J2499" s="1">
        <f t="shared" si="3"/>
        <v>5</v>
      </c>
      <c r="K2499" s="1" t="str">
        <f t="shared" si="4"/>
        <v>Tus Lentes estan LISTAS PARA ENTREGAR, te esperamos.</v>
      </c>
    </row>
    <row r="2500">
      <c r="A2500" s="1">
        <f>IFERROR(__xludf.DUMMYFUNCTION("""COMPUTED_VALUE"""),87047.0)</f>
        <v>87047</v>
      </c>
      <c r="B2500" s="5">
        <f>IFERROR(__xludf.DUMMYFUNCTION("""COMPUTED_VALUE"""),44984.527207974534)</f>
        <v>44984.52721</v>
      </c>
      <c r="C2500" s="1" t="str">
        <f>IFERROR(__xludf.DUMMYFUNCTION("""COMPUTED_VALUE"""),"MOLINA GLADYS")</f>
        <v>MOLINA GLADYS</v>
      </c>
      <c r="D2500" s="1" t="str">
        <f>IFERROR(__xludf.DUMMYFUNCTION("""COMPUTED_VALUE"""),"Lentes de STOCK")</f>
        <v>Lentes de STOCK</v>
      </c>
      <c r="E2500" s="1" t="str">
        <f>IFERROR(__xludf.DUMMYFUNCTION("""COMPUTED_VALUE"""),"ARTIGAS Ivana P.")</f>
        <v>ARTIGAS Ivana P.</v>
      </c>
      <c r="F2500" s="1" t="str">
        <f t="shared" si="1"/>
        <v>ARTIGAS </v>
      </c>
      <c r="G2500" s="1" t="str">
        <f t="shared" si="2"/>
        <v>Ivana P.</v>
      </c>
      <c r="H2500" s="1" t="str">
        <f>IFERROR(__xludf.DUMMYFUNCTION("""COMPUTED_VALUE"""),"2/3/2023, 17:00:00")</f>
        <v>2/3/2023, 17:00:00</v>
      </c>
      <c r="I2500" s="1" t="str">
        <f>IFERROR(__xludf.DUMMYFUNCTION("""COMPUTED_VALUE"""),"Recibido en Laboratorio")</f>
        <v>Recibido en Laboratorio</v>
      </c>
      <c r="J2500" s="1">
        <f t="shared" si="3"/>
        <v>2</v>
      </c>
      <c r="K2500" s="1" t="str">
        <f t="shared" si="4"/>
        <v>Nuestro Laboratorio esta trabajando en tus lentes, los entregaremos en la fecha acordada.</v>
      </c>
    </row>
    <row r="2501">
      <c r="A2501" s="1">
        <f>IFERROR(__xludf.DUMMYFUNCTION("""COMPUTED_VALUE"""),87048.0)</f>
        <v>87048</v>
      </c>
      <c r="B2501" s="5">
        <f>IFERROR(__xludf.DUMMYFUNCTION("""COMPUTED_VALUE"""),44984.5286787963)</f>
        <v>44984.52868</v>
      </c>
      <c r="C2501" s="1" t="str">
        <f>IFERROR(__xludf.DUMMYFUNCTION("""COMPUTED_VALUE"""),"AVILA OLGA")</f>
        <v>AVILA OLGA</v>
      </c>
      <c r="D2501" s="1" t="str">
        <f>IFERROR(__xludf.DUMMYFUNCTION("""COMPUTED_VALUE"""),"Reparaciones/Otros")</f>
        <v>Reparaciones/Otros</v>
      </c>
      <c r="E2501" s="1" t="str">
        <f>IFERROR(__xludf.DUMMYFUNCTION("""COMPUTED_VALUE"""),"RIVADAVIA Luciana")</f>
        <v>RIVADAVIA Luciana</v>
      </c>
      <c r="F2501" s="1" t="str">
        <f t="shared" si="1"/>
        <v>RIVADAVIA </v>
      </c>
      <c r="G2501" s="1" t="str">
        <f t="shared" si="2"/>
        <v>Luciana</v>
      </c>
      <c r="H2501" s="1" t="str">
        <f>IFERROR(__xludf.DUMMYFUNCTION("""COMPUTED_VALUE"""),"28/2/2023, 17:00:00")</f>
        <v>28/2/2023, 17:00:00</v>
      </c>
      <c r="I2501" s="1" t="str">
        <f>IFERROR(__xludf.DUMMYFUNCTION("""COMPUTED_VALUE"""),"Completado en SUCURSAL")</f>
        <v>Completado en SUCURSAL</v>
      </c>
      <c r="J2501" s="1">
        <f t="shared" si="3"/>
        <v>5</v>
      </c>
      <c r="K2501" s="1" t="str">
        <f t="shared" si="4"/>
        <v>Tus Lentes estan LISTAS PARA ENTREGAR, te esperamos.</v>
      </c>
    </row>
    <row r="2502">
      <c r="A2502" s="1">
        <f>IFERROR(__xludf.DUMMYFUNCTION("""COMPUTED_VALUE"""),87049.0)</f>
        <v>87049</v>
      </c>
      <c r="B2502" s="5">
        <f>IFERROR(__xludf.DUMMYFUNCTION("""COMPUTED_VALUE"""),44984.53535168982)</f>
        <v>44984.53535</v>
      </c>
      <c r="C2502" s="1" t="str">
        <f>IFERROR(__xludf.DUMMYFUNCTION("""COMPUTED_VALUE"""),"romero gladys")</f>
        <v>romero gladys</v>
      </c>
      <c r="D2502" s="1" t="str">
        <f>IFERROR(__xludf.DUMMYFUNCTION("""COMPUTED_VALUE"""),"Lentes de STOCK")</f>
        <v>Lentes de STOCK</v>
      </c>
      <c r="E2502" s="1" t="str">
        <f>IFERROR(__xludf.DUMMYFUNCTION("""COMPUTED_VALUE"""),"RIVADAVIA Santiago N")</f>
        <v>RIVADAVIA Santiago N</v>
      </c>
      <c r="F2502" s="1" t="str">
        <f t="shared" si="1"/>
        <v>RIVADAVIA </v>
      </c>
      <c r="G2502" s="1" t="str">
        <f t="shared" si="2"/>
        <v>Santiago N</v>
      </c>
      <c r="H2502" s="1" t="str">
        <f>IFERROR(__xludf.DUMMYFUNCTION("""COMPUTED_VALUE"""),"1/3/2023, 17:00:00")</f>
        <v>1/3/2023, 17:00:00</v>
      </c>
      <c r="I2502" s="1" t="str">
        <f>IFERROR(__xludf.DUMMYFUNCTION("""COMPUTED_VALUE"""),"Recibido en Laboratorio")</f>
        <v>Recibido en Laboratorio</v>
      </c>
      <c r="J2502" s="1">
        <f t="shared" si="3"/>
        <v>2</v>
      </c>
      <c r="K2502" s="1" t="str">
        <f t="shared" si="4"/>
        <v>Nuestro Laboratorio esta trabajando en tus lentes, los entregaremos en la fecha acordada.</v>
      </c>
    </row>
    <row r="2503">
      <c r="A2503" s="1">
        <f>IFERROR(__xludf.DUMMYFUNCTION("""COMPUTED_VALUE"""),87050.0)</f>
        <v>87050</v>
      </c>
      <c r="B2503" s="5">
        <f>IFERROR(__xludf.DUMMYFUNCTION("""COMPUTED_VALUE"""),44984.5412000463)</f>
        <v>44984.5412</v>
      </c>
      <c r="C2503" s="1" t="str">
        <f>IFERROR(__xludf.DUMMYFUNCTION("""COMPUTED_VALUE"""),"correa monica")</f>
        <v>correa monica</v>
      </c>
      <c r="D2503" s="1" t="str">
        <f>IFERROR(__xludf.DUMMYFUNCTION("""COMPUTED_VALUE"""),"Lentes de STOCK")</f>
        <v>Lentes de STOCK</v>
      </c>
      <c r="E2503" s="1" t="str">
        <f>IFERROR(__xludf.DUMMYFUNCTION("""COMPUTED_VALUE"""),"RIVADAVIA Santiago N")</f>
        <v>RIVADAVIA Santiago N</v>
      </c>
      <c r="F2503" s="1" t="str">
        <f t="shared" si="1"/>
        <v>RIVADAVIA </v>
      </c>
      <c r="G2503" s="1" t="str">
        <f t="shared" si="2"/>
        <v>Santiago N</v>
      </c>
      <c r="H2503" s="1" t="str">
        <f>IFERROR(__xludf.DUMMYFUNCTION("""COMPUTED_VALUE"""),"1/3/2023, 17:00:00")</f>
        <v>1/3/2023, 17:00:00</v>
      </c>
      <c r="I2503" s="1" t="str">
        <f>IFERROR(__xludf.DUMMYFUNCTION("""COMPUTED_VALUE"""),"Recibido en Laboratorio")</f>
        <v>Recibido en Laboratorio</v>
      </c>
      <c r="J2503" s="1">
        <f t="shared" si="3"/>
        <v>2</v>
      </c>
      <c r="K2503" s="1" t="str">
        <f t="shared" si="4"/>
        <v>Nuestro Laboratorio esta trabajando en tus lentes, los entregaremos en la fecha acordada.</v>
      </c>
    </row>
    <row r="2504">
      <c r="A2504" s="1">
        <f>IFERROR(__xludf.DUMMYFUNCTION("""COMPUTED_VALUE"""),87051.0)</f>
        <v>87051</v>
      </c>
      <c r="B2504" s="5">
        <f>IFERROR(__xludf.DUMMYFUNCTION("""COMPUTED_VALUE"""),44984.541957650465)</f>
        <v>44984.54196</v>
      </c>
      <c r="C2504" s="1" t="str">
        <f>IFERROR(__xludf.DUMMYFUNCTION("""COMPUTED_VALUE"""),"albornoz daniel")</f>
        <v>albornoz daniel</v>
      </c>
      <c r="D2504" s="1" t="str">
        <f>IFERROR(__xludf.DUMMYFUNCTION("""COMPUTED_VALUE"""),"Lentes de STOCK")</f>
        <v>Lentes de STOCK</v>
      </c>
      <c r="E2504" s="1" t="str">
        <f>IFERROR(__xludf.DUMMYFUNCTION("""COMPUTED_VALUE"""),"RIVADAVIA Daniel CM")</f>
        <v>RIVADAVIA Daniel CM</v>
      </c>
      <c r="F2504" s="1" t="str">
        <f t="shared" si="1"/>
        <v>RIVADAVIA </v>
      </c>
      <c r="G2504" s="1" t="str">
        <f t="shared" si="2"/>
        <v>Daniel CM</v>
      </c>
      <c r="H2504" s="1" t="str">
        <f>IFERROR(__xludf.DUMMYFUNCTION("""COMPUTED_VALUE"""),"4/3/2023, 17:00:00")</f>
        <v>4/3/2023, 17:00:00</v>
      </c>
      <c r="I2504" s="1" t="str">
        <f>IFERROR(__xludf.DUMMYFUNCTION("""COMPUTED_VALUE"""),"Recibido en Laboratorio")</f>
        <v>Recibido en Laboratorio</v>
      </c>
      <c r="J2504" s="1">
        <f t="shared" si="3"/>
        <v>2</v>
      </c>
      <c r="K2504" s="1" t="str">
        <f t="shared" si="4"/>
        <v>Nuestro Laboratorio esta trabajando en tus lentes, los entregaremos en la fecha acordada.</v>
      </c>
    </row>
    <row r="2505">
      <c r="A2505" s="1">
        <f>IFERROR(__xludf.DUMMYFUNCTION("""COMPUTED_VALUE"""),87052.0)</f>
        <v>87052</v>
      </c>
      <c r="B2505" s="5">
        <f>IFERROR(__xludf.DUMMYFUNCTION("""COMPUTED_VALUE"""),44984.54216362268)</f>
        <v>44984.54216</v>
      </c>
      <c r="C2505" s="1" t="str">
        <f>IFERROR(__xludf.DUMMYFUNCTION("""COMPUTED_VALUE"""),"ALTAMIRANO JOEL FRANCISCO")</f>
        <v>ALTAMIRANO JOEL FRANCISCO</v>
      </c>
      <c r="D2505" s="1" t="str">
        <f>IFERROR(__xludf.DUMMYFUNCTION("""COMPUTED_VALUE"""),"Lentes de STOCK")</f>
        <v>Lentes de STOCK</v>
      </c>
      <c r="E2505" s="1" t="str">
        <f>IFERROR(__xludf.DUMMYFUNCTION("""COMPUTED_VALUE"""),"ARTIGAS Ivana P.")</f>
        <v>ARTIGAS Ivana P.</v>
      </c>
      <c r="F2505" s="1" t="str">
        <f t="shared" si="1"/>
        <v>ARTIGAS </v>
      </c>
      <c r="G2505" s="1" t="str">
        <f t="shared" si="2"/>
        <v>Ivana P.</v>
      </c>
      <c r="H2505" s="1" t="str">
        <f>IFERROR(__xludf.DUMMYFUNCTION("""COMPUTED_VALUE"""),"2/3/2023, 17:00:00")</f>
        <v>2/3/2023, 17:00:00</v>
      </c>
      <c r="I2505" s="1" t="str">
        <f>IFERROR(__xludf.DUMMYFUNCTION("""COMPUTED_VALUE"""),"Recibido en Laboratorio")</f>
        <v>Recibido en Laboratorio</v>
      </c>
      <c r="J2505" s="1">
        <f t="shared" si="3"/>
        <v>2</v>
      </c>
      <c r="K2505" s="1" t="str">
        <f t="shared" si="4"/>
        <v>Nuestro Laboratorio esta trabajando en tus lentes, los entregaremos en la fecha acordada.</v>
      </c>
    </row>
    <row r="2506">
      <c r="A2506" s="1">
        <f>IFERROR(__xludf.DUMMYFUNCTION("""COMPUTED_VALUE"""),87053.0)</f>
        <v>87053</v>
      </c>
      <c r="B2506" s="5">
        <f>IFERROR(__xludf.DUMMYFUNCTION("""COMPUTED_VALUE"""),44984.54371831019)</f>
        <v>44984.54372</v>
      </c>
      <c r="C2506" s="1" t="str">
        <f>IFERROR(__xludf.DUMMYFUNCTION("""COMPUTED_VALUE"""),"BODOC ROMINA")</f>
        <v>BODOC ROMINA</v>
      </c>
      <c r="D2506" s="1" t="str">
        <f>IFERROR(__xludf.DUMMYFUNCTION("""COMPUTED_VALUE"""),"Lentes de STOCK")</f>
        <v>Lentes de STOCK</v>
      </c>
      <c r="E2506" s="1" t="str">
        <f>IFERROR(__xludf.DUMMYFUNCTION("""COMPUTED_VALUE"""),"RIVADAVIA Santiago LOPEZ")</f>
        <v>RIVADAVIA Santiago LOPEZ</v>
      </c>
      <c r="F2506" s="1" t="str">
        <f t="shared" si="1"/>
        <v>RIVADAVIA </v>
      </c>
      <c r="G2506" s="1" t="str">
        <f t="shared" si="2"/>
        <v>Santiago LOPEZ</v>
      </c>
      <c r="H2506" s="1" t="str">
        <f>IFERROR(__xludf.DUMMYFUNCTION("""COMPUTED_VALUE"""),"2/3/2023, 17:00:00")</f>
        <v>2/3/2023, 17:00:00</v>
      </c>
      <c r="I2506" s="1" t="str">
        <f>IFERROR(__xludf.DUMMYFUNCTION("""COMPUTED_VALUE"""),"Completado en SUCURSAL")</f>
        <v>Completado en SUCURSAL</v>
      </c>
      <c r="J2506" s="1">
        <f t="shared" si="3"/>
        <v>5</v>
      </c>
      <c r="K2506" s="1" t="str">
        <f t="shared" si="4"/>
        <v>Tus Lentes estan LISTAS PARA ENTREGAR, te esperamos.</v>
      </c>
    </row>
    <row r="2507">
      <c r="A2507" s="1">
        <f>IFERROR(__xludf.DUMMYFUNCTION("""COMPUTED_VALUE"""),87054.0)</f>
        <v>87054</v>
      </c>
      <c r="B2507" s="5">
        <f>IFERROR(__xludf.DUMMYFUNCTION("""COMPUTED_VALUE"""),44984.54411931713)</f>
        <v>44984.54412</v>
      </c>
      <c r="C2507" s="1" t="str">
        <f>IFERROR(__xludf.DUMMYFUNCTION("""COMPUTED_VALUE"""),"Puertas Olga")</f>
        <v>Puertas Olga</v>
      </c>
      <c r="D2507" s="1" t="str">
        <f>IFERROR(__xludf.DUMMYFUNCTION("""COMPUTED_VALUE"""),"Reparaciones/Otros")</f>
        <v>Reparaciones/Otros</v>
      </c>
      <c r="E2507" s="1" t="str">
        <f>IFERROR(__xludf.DUMMYFUNCTION("""COMPUTED_VALUE"""),"ARTIGAS Sandra G")</f>
        <v>ARTIGAS Sandra G</v>
      </c>
      <c r="F2507" s="1" t="str">
        <f t="shared" si="1"/>
        <v>ARTIGAS </v>
      </c>
      <c r="G2507" s="1" t="str">
        <f t="shared" si="2"/>
        <v>Sandra G</v>
      </c>
      <c r="H2507" s="1" t="str">
        <f>IFERROR(__xludf.DUMMYFUNCTION("""COMPUTED_VALUE"""),"28/2/2023, 17:00:00")</f>
        <v>28/2/2023, 17:00:00</v>
      </c>
      <c r="I2507" s="1" t="str">
        <f>IFERROR(__xludf.DUMMYFUNCTION("""COMPUTED_VALUE"""),"Recibido en Laboratorio")</f>
        <v>Recibido en Laboratorio</v>
      </c>
      <c r="J2507" s="1">
        <f t="shared" si="3"/>
        <v>2</v>
      </c>
      <c r="K2507" s="1" t="str">
        <f t="shared" si="4"/>
        <v>Nuestro Laboratorio esta trabajando en tus lentes, los entregaremos en la fecha acordada.</v>
      </c>
    </row>
    <row r="2508">
      <c r="A2508" s="1">
        <f>IFERROR(__xludf.DUMMYFUNCTION("""COMPUTED_VALUE"""),87055.0)</f>
        <v>87055</v>
      </c>
      <c r="B2508" s="5">
        <f>IFERROR(__xludf.DUMMYFUNCTION("""COMPUTED_VALUE"""),44984.54696371528)</f>
        <v>44984.54696</v>
      </c>
      <c r="C2508" s="1" t="str">
        <f>IFERROR(__xludf.DUMMYFUNCTION("""COMPUTED_VALUE"""),"BALBO MANUEL")</f>
        <v>BALBO MANUEL</v>
      </c>
      <c r="D2508" s="1" t="str">
        <f>IFERROR(__xludf.DUMMYFUNCTION("""COMPUTED_VALUE"""),"Lentes de STOCK")</f>
        <v>Lentes de STOCK</v>
      </c>
      <c r="E2508" s="1" t="str">
        <f>IFERROR(__xludf.DUMMYFUNCTION("""COMPUTED_VALUE"""),"RIVADAVIA Luciana")</f>
        <v>RIVADAVIA Luciana</v>
      </c>
      <c r="F2508" s="1" t="str">
        <f t="shared" si="1"/>
        <v>RIVADAVIA </v>
      </c>
      <c r="G2508" s="1" t="str">
        <f t="shared" si="2"/>
        <v>Luciana</v>
      </c>
      <c r="H2508" s="1" t="str">
        <f>IFERROR(__xludf.DUMMYFUNCTION("""COMPUTED_VALUE"""),"8/3/2023, 17:00:00")</f>
        <v>8/3/2023, 17:00:00</v>
      </c>
      <c r="I2508" s="1" t="str">
        <f>IFERROR(__xludf.DUMMYFUNCTION("""COMPUTED_VALUE"""),"Completado en SUCURSAL")</f>
        <v>Completado en SUCURSAL</v>
      </c>
      <c r="J2508" s="1">
        <f t="shared" si="3"/>
        <v>5</v>
      </c>
      <c r="K2508" s="1" t="str">
        <f t="shared" si="4"/>
        <v>Tus Lentes estan LISTAS PARA ENTREGAR, te esperamos.</v>
      </c>
    </row>
    <row r="2509">
      <c r="A2509" s="1">
        <f>IFERROR(__xludf.DUMMYFUNCTION("""COMPUTED_VALUE"""),87056.0)</f>
        <v>87056</v>
      </c>
      <c r="B2509" s="5">
        <f>IFERROR(__xludf.DUMMYFUNCTION("""COMPUTED_VALUE"""),44984.54699505787)</f>
        <v>44984.547</v>
      </c>
      <c r="C2509" s="1" t="str">
        <f>IFERROR(__xludf.DUMMYFUNCTION("""COMPUTED_VALUE"""),"BODOC ROMINA")</f>
        <v>BODOC ROMINA</v>
      </c>
      <c r="D2509" s="1" t="str">
        <f>IFERROR(__xludf.DUMMYFUNCTION("""COMPUTED_VALUE"""),"Reparaciones/Otros")</f>
        <v>Reparaciones/Otros</v>
      </c>
      <c r="E2509" s="1" t="str">
        <f>IFERROR(__xludf.DUMMYFUNCTION("""COMPUTED_VALUE"""),"RIVADAVIA Santiago LOPEZ")</f>
        <v>RIVADAVIA Santiago LOPEZ</v>
      </c>
      <c r="F2509" s="1" t="str">
        <f t="shared" si="1"/>
        <v>RIVADAVIA </v>
      </c>
      <c r="G2509" s="1" t="str">
        <f t="shared" si="2"/>
        <v>Santiago LOPEZ</v>
      </c>
      <c r="H2509" s="1" t="str">
        <f>IFERROR(__xludf.DUMMYFUNCTION("""COMPUTED_VALUE"""),"14/3/2023, 17:00:00")</f>
        <v>14/3/2023, 17:00:00</v>
      </c>
      <c r="I2509" s="1" t="str">
        <f>IFERROR(__xludf.DUMMYFUNCTION("""COMPUTED_VALUE"""),"Completado en SUCURSAL")</f>
        <v>Completado en SUCURSAL</v>
      </c>
      <c r="J2509" s="1">
        <f t="shared" si="3"/>
        <v>5</v>
      </c>
      <c r="K2509" s="1" t="str">
        <f t="shared" si="4"/>
        <v>Tus Lentes estan LISTAS PARA ENTREGAR, te esperamos.</v>
      </c>
    </row>
    <row r="2510">
      <c r="A2510" s="1">
        <f>IFERROR(__xludf.DUMMYFUNCTION("""COMPUTED_VALUE"""),87057.0)</f>
        <v>87057</v>
      </c>
      <c r="B2510" s="5">
        <f>IFERROR(__xludf.DUMMYFUNCTION("""COMPUTED_VALUE"""),44984.5617464699)</f>
        <v>44984.56175</v>
      </c>
      <c r="C2510" s="1" t="str">
        <f>IFERROR(__xludf.DUMMYFUNCTION("""COMPUTED_VALUE"""),"BOU EMILIANO GENARO")</f>
        <v>BOU EMILIANO GENARO</v>
      </c>
      <c r="D2510" s="1" t="str">
        <f>IFERROR(__xludf.DUMMYFUNCTION("""COMPUTED_VALUE"""),"Lentes de STOCK")</f>
        <v>Lentes de STOCK</v>
      </c>
      <c r="E2510" s="1" t="str">
        <f>IFERROR(__xludf.DUMMYFUNCTION("""COMPUTED_VALUE"""),"RIVADAVIA Marcela L")</f>
        <v>RIVADAVIA Marcela L</v>
      </c>
      <c r="F2510" s="1" t="str">
        <f t="shared" si="1"/>
        <v>RIVADAVIA </v>
      </c>
      <c r="G2510" s="1" t="str">
        <f t="shared" si="2"/>
        <v>Marcela L</v>
      </c>
      <c r="H2510" s="1" t="str">
        <f>IFERROR(__xludf.DUMMYFUNCTION("""COMPUTED_VALUE"""),"2/3/2023, 17:00:00")</f>
        <v>2/3/2023, 17:00:00</v>
      </c>
      <c r="I2510" s="1" t="str">
        <f>IFERROR(__xludf.DUMMYFUNCTION("""COMPUTED_VALUE"""),"Recibido en Laboratorio")</f>
        <v>Recibido en Laboratorio</v>
      </c>
      <c r="J2510" s="1">
        <f t="shared" si="3"/>
        <v>2</v>
      </c>
      <c r="K2510" s="1" t="str">
        <f t="shared" si="4"/>
        <v>Nuestro Laboratorio esta trabajando en tus lentes, los entregaremos en la fecha acordada.</v>
      </c>
    </row>
    <row r="2511">
      <c r="A2511" s="1">
        <f>IFERROR(__xludf.DUMMYFUNCTION("""COMPUTED_VALUE"""),87058.0)</f>
        <v>87058</v>
      </c>
      <c r="B2511" s="5">
        <f>IFERROR(__xludf.DUMMYFUNCTION("""COMPUTED_VALUE"""),44984.71318826389)</f>
        <v>44984.71319</v>
      </c>
      <c r="C2511" s="1" t="str">
        <f>IFERROR(__xludf.DUMMYFUNCTION("""COMPUTED_VALUE"""),"NARANJO ANALIA")</f>
        <v>NARANJO ANALIA</v>
      </c>
      <c r="D2511" s="1" t="str">
        <f>IFERROR(__xludf.DUMMYFUNCTION("""COMPUTED_VALUE"""),"Lentes de STOCK")</f>
        <v>Lentes de STOCK</v>
      </c>
      <c r="E2511" s="1" t="str">
        <f>IFERROR(__xludf.DUMMYFUNCTION("""COMPUTED_VALUE"""),"ARTIGAS Ivana P.")</f>
        <v>ARTIGAS Ivana P.</v>
      </c>
      <c r="F2511" s="1" t="str">
        <f t="shared" si="1"/>
        <v>ARTIGAS </v>
      </c>
      <c r="G2511" s="1" t="str">
        <f t="shared" si="2"/>
        <v>Ivana P.</v>
      </c>
      <c r="H2511" s="1" t="str">
        <f>IFERROR(__xludf.DUMMYFUNCTION("""COMPUTED_VALUE"""),"3/3/2023, 17:00:00")</f>
        <v>3/3/2023, 17:00:00</v>
      </c>
      <c r="I2511" s="1" t="str">
        <f>IFERROR(__xludf.DUMMYFUNCTION("""COMPUTED_VALUE"""),"Recibido en Laboratorio")</f>
        <v>Recibido en Laboratorio</v>
      </c>
      <c r="J2511" s="1">
        <f t="shared" si="3"/>
        <v>2</v>
      </c>
      <c r="K2511" s="1" t="str">
        <f t="shared" si="4"/>
        <v>Nuestro Laboratorio esta trabajando en tus lentes, los entregaremos en la fecha acordada.</v>
      </c>
    </row>
    <row r="2512">
      <c r="A2512" s="1">
        <f>IFERROR(__xludf.DUMMYFUNCTION("""COMPUTED_VALUE"""),87059.0)</f>
        <v>87059</v>
      </c>
      <c r="B2512" s="5">
        <f>IFERROR(__xludf.DUMMYFUNCTION("""COMPUTED_VALUE"""),44984.71570980324)</f>
        <v>44984.71571</v>
      </c>
      <c r="C2512" s="1" t="str">
        <f>IFERROR(__xludf.DUMMYFUNCTION("""COMPUTED_VALUE"""),"videla mirta")</f>
        <v>videla mirta</v>
      </c>
      <c r="D2512" s="1" t="str">
        <f>IFERROR(__xludf.DUMMYFUNCTION("""COMPUTED_VALUE"""),"Reparaciones/Otros")</f>
        <v>Reparaciones/Otros</v>
      </c>
      <c r="E2512" s="1" t="str">
        <f>IFERROR(__xludf.DUMMYFUNCTION("""COMPUTED_VALUE"""),"RIVADAVIA Santiago N")</f>
        <v>RIVADAVIA Santiago N</v>
      </c>
      <c r="F2512" s="1" t="str">
        <f t="shared" si="1"/>
        <v>RIVADAVIA </v>
      </c>
      <c r="G2512" s="1" t="str">
        <f t="shared" si="2"/>
        <v>Santiago N</v>
      </c>
      <c r="H2512" s="1" t="str">
        <f>IFERROR(__xludf.DUMMYFUNCTION("""COMPUTED_VALUE"""),"28/2/2023, 17:00:00")</f>
        <v>28/2/2023, 17:00:00</v>
      </c>
      <c r="I2512" s="1" t="str">
        <f>IFERROR(__xludf.DUMMYFUNCTION("""COMPUTED_VALUE"""),"Completado en SUCURSAL")</f>
        <v>Completado en SUCURSAL</v>
      </c>
      <c r="J2512" s="1">
        <f t="shared" si="3"/>
        <v>5</v>
      </c>
      <c r="K2512" s="1" t="str">
        <f t="shared" si="4"/>
        <v>Tus Lentes estan LISTAS PARA ENTREGAR, te esperamos.</v>
      </c>
    </row>
    <row r="2513">
      <c r="A2513" s="1">
        <f>IFERROR(__xludf.DUMMYFUNCTION("""COMPUTED_VALUE"""),87060.0)</f>
        <v>87060</v>
      </c>
      <c r="B2513" s="5">
        <f>IFERROR(__xludf.DUMMYFUNCTION("""COMPUTED_VALUE"""),44984.719853912036)</f>
        <v>44984.71985</v>
      </c>
      <c r="C2513" s="1" t="str">
        <f>IFERROR(__xludf.DUMMYFUNCTION("""COMPUTED_VALUE"""),"OLGUIN PONCE MARIA MILAGROS")</f>
        <v>OLGUIN PONCE MARIA MILAGROS</v>
      </c>
      <c r="D2513" s="1" t="str">
        <f>IFERROR(__xludf.DUMMYFUNCTION("""COMPUTED_VALUE"""),"Lentes de STOCK")</f>
        <v>Lentes de STOCK</v>
      </c>
      <c r="E2513" s="1" t="str">
        <f>IFERROR(__xludf.DUMMYFUNCTION("""COMPUTED_VALUE"""),"ARTIGAS Roció")</f>
        <v>ARTIGAS Roció</v>
      </c>
      <c r="F2513" s="1" t="str">
        <f t="shared" si="1"/>
        <v>ARTIGAS </v>
      </c>
      <c r="G2513" s="1" t="str">
        <f t="shared" si="2"/>
        <v>Roció</v>
      </c>
      <c r="H2513" s="1" t="str">
        <f>IFERROR(__xludf.DUMMYFUNCTION("""COMPUTED_VALUE"""),"6/3/2023, 17:00:00")</f>
        <v>6/3/2023, 17:00:00</v>
      </c>
      <c r="I2513" s="1" t="str">
        <f>IFERROR(__xludf.DUMMYFUNCTION("""COMPUTED_VALUE"""),"Recibido en Laboratorio")</f>
        <v>Recibido en Laboratorio</v>
      </c>
      <c r="J2513" s="1">
        <f t="shared" si="3"/>
        <v>2</v>
      </c>
      <c r="K2513" s="1" t="str">
        <f t="shared" si="4"/>
        <v>Nuestro Laboratorio esta trabajando en tus lentes, los entregaremos en la fecha acordada.</v>
      </c>
    </row>
    <row r="2514">
      <c r="A2514" s="1">
        <f>IFERROR(__xludf.DUMMYFUNCTION("""COMPUTED_VALUE"""),87061.0)</f>
        <v>87061</v>
      </c>
      <c r="B2514" s="5">
        <f>IFERROR(__xludf.DUMMYFUNCTION("""COMPUTED_VALUE"""),44984.725345983796)</f>
        <v>44984.72535</v>
      </c>
      <c r="C2514" s="1" t="str">
        <f>IFERROR(__xludf.DUMMYFUNCTION("""COMPUTED_VALUE"""),"PASINETTI MARIA SILVANA")</f>
        <v>PASINETTI MARIA SILVANA</v>
      </c>
      <c r="D2514" s="1" t="str">
        <f>IFERROR(__xludf.DUMMYFUNCTION("""COMPUTED_VALUE"""),"Lentes de STOCK")</f>
        <v>Lentes de STOCK</v>
      </c>
      <c r="E2514" s="1" t="str">
        <f>IFERROR(__xludf.DUMMYFUNCTION("""COMPUTED_VALUE"""),"RIVADAVIA Javier")</f>
        <v>RIVADAVIA Javier</v>
      </c>
      <c r="F2514" s="1" t="str">
        <f t="shared" si="1"/>
        <v>RIVADAVIA </v>
      </c>
      <c r="G2514" s="1" t="str">
        <f t="shared" si="2"/>
        <v>Javier</v>
      </c>
      <c r="H2514" s="1" t="str">
        <f>IFERROR(__xludf.DUMMYFUNCTION("""COMPUTED_VALUE"""),"3/3/2023, 17:00:00")</f>
        <v>3/3/2023, 17:00:00</v>
      </c>
      <c r="I2514" s="1" t="str">
        <f>IFERROR(__xludf.DUMMYFUNCTION("""COMPUTED_VALUE"""),"Recibido en Laboratorio")</f>
        <v>Recibido en Laboratorio</v>
      </c>
      <c r="J2514" s="1">
        <f t="shared" si="3"/>
        <v>2</v>
      </c>
      <c r="K2514" s="1" t="str">
        <f t="shared" si="4"/>
        <v>Nuestro Laboratorio esta trabajando en tus lentes, los entregaremos en la fecha acordada.</v>
      </c>
    </row>
    <row r="2515">
      <c r="A2515" s="1">
        <f>IFERROR(__xludf.DUMMYFUNCTION("""COMPUTED_VALUE"""),87062.0)</f>
        <v>87062</v>
      </c>
      <c r="B2515" s="5">
        <f>IFERROR(__xludf.DUMMYFUNCTION("""COMPUTED_VALUE"""),44984.72868210648)</f>
        <v>44984.72868</v>
      </c>
      <c r="C2515" s="1" t="str">
        <f>IFERROR(__xludf.DUMMYFUNCTION("""COMPUTED_VALUE"""),"HUARTE EMMA")</f>
        <v>HUARTE EMMA</v>
      </c>
      <c r="D2515" s="1" t="str">
        <f>IFERROR(__xludf.DUMMYFUNCTION("""COMPUTED_VALUE"""),"Lentes de STOCK")</f>
        <v>Lentes de STOCK</v>
      </c>
      <c r="E2515" s="1" t="str">
        <f>IFERROR(__xludf.DUMMYFUNCTION("""COMPUTED_VALUE"""),"ARTIGAS Ivana P.")</f>
        <v>ARTIGAS Ivana P.</v>
      </c>
      <c r="F2515" s="1" t="str">
        <f t="shared" si="1"/>
        <v>ARTIGAS </v>
      </c>
      <c r="G2515" s="1" t="str">
        <f t="shared" si="2"/>
        <v>Ivana P.</v>
      </c>
      <c r="H2515" s="1" t="str">
        <f>IFERROR(__xludf.DUMMYFUNCTION("""COMPUTED_VALUE"""),"2/3/2023, 17:00:00")</f>
        <v>2/3/2023, 17:00:00</v>
      </c>
      <c r="I2515" s="1" t="str">
        <f>IFERROR(__xludf.DUMMYFUNCTION("""COMPUTED_VALUE"""),"Completado en SUCURSAL")</f>
        <v>Completado en SUCURSAL</v>
      </c>
      <c r="J2515" s="1">
        <f t="shared" si="3"/>
        <v>5</v>
      </c>
      <c r="K2515" s="1" t="str">
        <f t="shared" si="4"/>
        <v>Tus Lentes estan LISTAS PARA ENTREGAR, te esperamos.</v>
      </c>
    </row>
    <row r="2516">
      <c r="A2516" s="1">
        <f>IFERROR(__xludf.DUMMYFUNCTION("""COMPUTED_VALUE"""),87063.0)</f>
        <v>87063</v>
      </c>
      <c r="B2516" s="5">
        <f>IFERROR(__xludf.DUMMYFUNCTION("""COMPUTED_VALUE"""),44984.730272395835)</f>
        <v>44984.73027</v>
      </c>
      <c r="C2516" s="1" t="str">
        <f>IFERROR(__xludf.DUMMYFUNCTION("""COMPUTED_VALUE"""),"velazquez ramon")</f>
        <v>velazquez ramon</v>
      </c>
      <c r="D2516" s="1" t="str">
        <f>IFERROR(__xludf.DUMMYFUNCTION("""COMPUTED_VALUE"""),"Lentes de LABORATORIO")</f>
        <v>Lentes de LABORATORIO</v>
      </c>
      <c r="E2516" s="1" t="str">
        <f>IFERROR(__xludf.DUMMYFUNCTION("""COMPUTED_VALUE"""),"RIVADAVIA Santiago N")</f>
        <v>RIVADAVIA Santiago N</v>
      </c>
      <c r="F2516" s="1" t="str">
        <f t="shared" si="1"/>
        <v>RIVADAVIA </v>
      </c>
      <c r="G2516" s="1" t="str">
        <f t="shared" si="2"/>
        <v>Santiago N</v>
      </c>
      <c r="H2516" s="1" t="str">
        <f>IFERROR(__xludf.DUMMYFUNCTION("""COMPUTED_VALUE"""),"14/3/2023, 17:00:00")</f>
        <v>14/3/2023, 17:00:00</v>
      </c>
      <c r="I2516" s="1" t="str">
        <f>IFERROR(__xludf.DUMMYFUNCTION("""COMPUTED_VALUE"""),"Completado en SUCURSAL")</f>
        <v>Completado en SUCURSAL</v>
      </c>
      <c r="J2516" s="1">
        <f t="shared" si="3"/>
        <v>5</v>
      </c>
      <c r="K2516" s="1" t="str">
        <f t="shared" si="4"/>
        <v>Tus Lentes estan LISTAS PARA ENTREGAR, te esperamos.</v>
      </c>
    </row>
    <row r="2517">
      <c r="A2517" s="1">
        <f>IFERROR(__xludf.DUMMYFUNCTION("""COMPUTED_VALUE"""),87064.0)</f>
        <v>87064</v>
      </c>
      <c r="B2517" s="5">
        <f>IFERROR(__xludf.DUMMYFUNCTION("""COMPUTED_VALUE"""),44984.73403011574)</f>
        <v>44984.73403</v>
      </c>
      <c r="C2517" s="1" t="str">
        <f>IFERROR(__xludf.DUMMYFUNCTION("""COMPUTED_VALUE"""),"VIDELA FEDERICO")</f>
        <v>VIDELA FEDERICO</v>
      </c>
      <c r="D2517" s="1" t="str">
        <f>IFERROR(__xludf.DUMMYFUNCTION("""COMPUTED_VALUE"""),"Reparaciones/Otros")</f>
        <v>Reparaciones/Otros</v>
      </c>
      <c r="E2517" s="1" t="str">
        <f>IFERROR(__xludf.DUMMYFUNCTION("""COMPUTED_VALUE"""),"RIVADAVIA Santiago LOPEZ")</f>
        <v>RIVADAVIA Santiago LOPEZ</v>
      </c>
      <c r="F2517" s="1" t="str">
        <f t="shared" si="1"/>
        <v>RIVADAVIA </v>
      </c>
      <c r="G2517" s="1" t="str">
        <f t="shared" si="2"/>
        <v>Santiago LOPEZ</v>
      </c>
      <c r="H2517" s="1" t="str">
        <f>IFERROR(__xludf.DUMMYFUNCTION("""COMPUTED_VALUE"""),"28/2/2023, 17:00:00")</f>
        <v>28/2/2023, 17:00:00</v>
      </c>
      <c r="I2517" s="1" t="str">
        <f>IFERROR(__xludf.DUMMYFUNCTION("""COMPUTED_VALUE"""),"Completado en SUCURSAL")</f>
        <v>Completado en SUCURSAL</v>
      </c>
      <c r="J2517" s="1">
        <f t="shared" si="3"/>
        <v>5</v>
      </c>
      <c r="K2517" s="1" t="str">
        <f t="shared" si="4"/>
        <v>Tus Lentes estan LISTAS PARA ENTREGAR, te esperamos.</v>
      </c>
    </row>
    <row r="2518">
      <c r="A2518" s="1">
        <f>IFERROR(__xludf.DUMMYFUNCTION("""COMPUTED_VALUE"""),87065.0)</f>
        <v>87065</v>
      </c>
      <c r="B2518" s="5">
        <f>IFERROR(__xludf.DUMMYFUNCTION("""COMPUTED_VALUE"""),44984.736162800924)</f>
        <v>44984.73616</v>
      </c>
      <c r="C2518" s="1" t="str">
        <f>IFERROR(__xludf.DUMMYFUNCTION("""COMPUTED_VALUE"""),"GORDILLO JESUS")</f>
        <v>GORDILLO JESUS</v>
      </c>
      <c r="D2518" s="1" t="str">
        <f>IFERROR(__xludf.DUMMYFUNCTION("""COMPUTED_VALUE"""),"Lentes de STOCK")</f>
        <v>Lentes de STOCK</v>
      </c>
      <c r="E2518" s="1" t="str">
        <f>IFERROR(__xludf.DUMMYFUNCTION("""COMPUTED_VALUE"""),"ARTIGAS Ivana P.")</f>
        <v>ARTIGAS Ivana P.</v>
      </c>
      <c r="F2518" s="1" t="str">
        <f t="shared" si="1"/>
        <v>ARTIGAS </v>
      </c>
      <c r="G2518" s="1" t="str">
        <f t="shared" si="2"/>
        <v>Ivana P.</v>
      </c>
      <c r="H2518" s="1" t="str">
        <f>IFERROR(__xludf.DUMMYFUNCTION("""COMPUTED_VALUE"""),"2/3/2023, 17:00:00")</f>
        <v>2/3/2023, 17:00:00</v>
      </c>
      <c r="I2518" s="1" t="str">
        <f>IFERROR(__xludf.DUMMYFUNCTION("""COMPUTED_VALUE"""),"Recibido en Laboratorio")</f>
        <v>Recibido en Laboratorio</v>
      </c>
      <c r="J2518" s="1">
        <f t="shared" si="3"/>
        <v>2</v>
      </c>
      <c r="K2518" s="1" t="str">
        <f t="shared" si="4"/>
        <v>Nuestro Laboratorio esta trabajando en tus lentes, los entregaremos en la fecha acordada.</v>
      </c>
    </row>
    <row r="2519">
      <c r="A2519" s="1">
        <f>IFERROR(__xludf.DUMMYFUNCTION("""COMPUTED_VALUE"""),87066.0)</f>
        <v>87066</v>
      </c>
      <c r="B2519" s="5">
        <f>IFERROR(__xludf.DUMMYFUNCTION("""COMPUTED_VALUE"""),44984.746411597225)</f>
        <v>44984.74641</v>
      </c>
      <c r="C2519" s="1" t="str">
        <f>IFERROR(__xludf.DUMMYFUNCTION("""COMPUTED_VALUE"""),"ALBORNOZ RAUL")</f>
        <v>ALBORNOZ RAUL</v>
      </c>
      <c r="D2519" s="1" t="str">
        <f>IFERROR(__xludf.DUMMYFUNCTION("""COMPUTED_VALUE"""),"Lentes de STOCK")</f>
        <v>Lentes de STOCK</v>
      </c>
      <c r="E2519" s="1" t="str">
        <f>IFERROR(__xludf.DUMMYFUNCTION("""COMPUTED_VALUE"""),"RIVADAVIA Luciana")</f>
        <v>RIVADAVIA Luciana</v>
      </c>
      <c r="F2519" s="1" t="str">
        <f t="shared" si="1"/>
        <v>RIVADAVIA </v>
      </c>
      <c r="G2519" s="1" t="str">
        <f t="shared" si="2"/>
        <v>Luciana</v>
      </c>
      <c r="H2519" s="1" t="str">
        <f>IFERROR(__xludf.DUMMYFUNCTION("""COMPUTED_VALUE"""),"3/3/2023, 17:00:00")</f>
        <v>3/3/2023, 17:00:00</v>
      </c>
      <c r="I2519" s="1" t="str">
        <f>IFERROR(__xludf.DUMMYFUNCTION("""COMPUTED_VALUE"""),"Completado en SUCURSAL")</f>
        <v>Completado en SUCURSAL</v>
      </c>
      <c r="J2519" s="1">
        <f t="shared" si="3"/>
        <v>5</v>
      </c>
      <c r="K2519" s="1" t="str">
        <f t="shared" si="4"/>
        <v>Tus Lentes estan LISTAS PARA ENTREGAR, te esperamos.</v>
      </c>
    </row>
    <row r="2520">
      <c r="A2520" s="1">
        <f>IFERROR(__xludf.DUMMYFUNCTION("""COMPUTED_VALUE"""),87067.0)</f>
        <v>87067</v>
      </c>
      <c r="B2520" s="5">
        <f>IFERROR(__xludf.DUMMYFUNCTION("""COMPUTED_VALUE"""),44984.75117861111)</f>
        <v>44984.75118</v>
      </c>
      <c r="C2520" s="1" t="str">
        <f>IFERROR(__xludf.DUMMYFUNCTION("""COMPUTED_VALUE"""),"PEREZ JUANA")</f>
        <v>PEREZ JUANA</v>
      </c>
      <c r="D2520" s="1" t="str">
        <f>IFERROR(__xludf.DUMMYFUNCTION("""COMPUTED_VALUE"""),"Lentes de STOCK")</f>
        <v>Lentes de STOCK</v>
      </c>
      <c r="E2520" s="1" t="str">
        <f>IFERROR(__xludf.DUMMYFUNCTION("""COMPUTED_VALUE"""),"RIVADAVIA Javier")</f>
        <v>RIVADAVIA Javier</v>
      </c>
      <c r="F2520" s="1" t="str">
        <f t="shared" si="1"/>
        <v>RIVADAVIA </v>
      </c>
      <c r="G2520" s="1" t="str">
        <f t="shared" si="2"/>
        <v>Javier</v>
      </c>
      <c r="H2520" s="1" t="str">
        <f>IFERROR(__xludf.DUMMYFUNCTION("""COMPUTED_VALUE"""),"3/3/2023, 17:00:00")</f>
        <v>3/3/2023, 17:00:00</v>
      </c>
      <c r="I2520" s="1" t="str">
        <f>IFERROR(__xludf.DUMMYFUNCTION("""COMPUTED_VALUE"""),"Recibido en Laboratorio")</f>
        <v>Recibido en Laboratorio</v>
      </c>
      <c r="J2520" s="1">
        <f t="shared" si="3"/>
        <v>2</v>
      </c>
      <c r="K2520" s="1" t="str">
        <f t="shared" si="4"/>
        <v>Nuestro Laboratorio esta trabajando en tus lentes, los entregaremos en la fecha acordada.</v>
      </c>
    </row>
    <row r="2521">
      <c r="A2521" s="1">
        <f>IFERROR(__xludf.DUMMYFUNCTION("""COMPUTED_VALUE"""),87068.0)</f>
        <v>87068</v>
      </c>
      <c r="B2521" s="5">
        <f>IFERROR(__xludf.DUMMYFUNCTION("""COMPUTED_VALUE"""),44984.75493829861)</f>
        <v>44984.75494</v>
      </c>
      <c r="C2521" s="1" t="str">
        <f>IFERROR(__xludf.DUMMYFUNCTION("""COMPUTED_VALUE"""),"MIRANDA MILAGROS")</f>
        <v>MIRANDA MILAGROS</v>
      </c>
      <c r="D2521" s="1" t="str">
        <f>IFERROR(__xludf.DUMMYFUNCTION("""COMPUTED_VALUE"""),"Lentes de STOCK")</f>
        <v>Lentes de STOCK</v>
      </c>
      <c r="E2521" s="1" t="str">
        <f>IFERROR(__xludf.DUMMYFUNCTION("""COMPUTED_VALUE"""),"ARTIGAS Ivana P.")</f>
        <v>ARTIGAS Ivana P.</v>
      </c>
      <c r="F2521" s="1" t="str">
        <f t="shared" si="1"/>
        <v>ARTIGAS </v>
      </c>
      <c r="G2521" s="1" t="str">
        <f t="shared" si="2"/>
        <v>Ivana P.</v>
      </c>
      <c r="H2521" s="1" t="str">
        <f>IFERROR(__xludf.DUMMYFUNCTION("""COMPUTED_VALUE"""),"2/3/2023, 17:00:00")</f>
        <v>2/3/2023, 17:00:00</v>
      </c>
      <c r="I2521" s="1" t="str">
        <f>IFERROR(__xludf.DUMMYFUNCTION("""COMPUTED_VALUE"""),"RETIRADO OK POR CLIENTE")</f>
        <v>RETIRADO OK POR CLIENTE</v>
      </c>
      <c r="J2521" s="1">
        <f t="shared" si="3"/>
        <v>6</v>
      </c>
      <c r="K2521" s="1" t="str">
        <f t="shared" si="4"/>
        <v>Entregamos tus lentes, que los disfrutes!</v>
      </c>
    </row>
    <row r="2522">
      <c r="A2522" s="1">
        <f>IFERROR(__xludf.DUMMYFUNCTION("""COMPUTED_VALUE"""),87069.0)</f>
        <v>87069</v>
      </c>
      <c r="B2522" s="5">
        <f>IFERROR(__xludf.DUMMYFUNCTION("""COMPUTED_VALUE"""),44984.75509575232)</f>
        <v>44984.7551</v>
      </c>
      <c r="C2522" s="1" t="str">
        <f>IFERROR(__xludf.DUMMYFUNCTION("""COMPUTED_VALUE"""),"funez dora")</f>
        <v>funez dora</v>
      </c>
      <c r="D2522" s="1" t="str">
        <f>IFERROR(__xludf.DUMMYFUNCTION("""COMPUTED_VALUE"""),"Lentes de STOCK")</f>
        <v>Lentes de STOCK</v>
      </c>
      <c r="E2522" s="1" t="str">
        <f>IFERROR(__xludf.DUMMYFUNCTION("""COMPUTED_VALUE"""),"RIVADAVIA Santiago N")</f>
        <v>RIVADAVIA Santiago N</v>
      </c>
      <c r="F2522" s="1" t="str">
        <f t="shared" si="1"/>
        <v>RIVADAVIA </v>
      </c>
      <c r="G2522" s="1" t="str">
        <f t="shared" si="2"/>
        <v>Santiago N</v>
      </c>
      <c r="H2522" s="1" t="str">
        <f>IFERROR(__xludf.DUMMYFUNCTION("""COMPUTED_VALUE"""),"1/3/2023, 17:00:00")</f>
        <v>1/3/2023, 17:00:00</v>
      </c>
      <c r="I2522" s="1" t="str">
        <f>IFERROR(__xludf.DUMMYFUNCTION("""COMPUTED_VALUE"""),"Recibido en Laboratorio")</f>
        <v>Recibido en Laboratorio</v>
      </c>
      <c r="J2522" s="1">
        <f t="shared" si="3"/>
        <v>2</v>
      </c>
      <c r="K2522" s="1" t="str">
        <f t="shared" si="4"/>
        <v>Nuestro Laboratorio esta trabajando en tus lentes, los entregaremos en la fecha acordada.</v>
      </c>
    </row>
    <row r="2523">
      <c r="A2523" s="1">
        <f>IFERROR(__xludf.DUMMYFUNCTION("""COMPUTED_VALUE"""),87070.0)</f>
        <v>87070</v>
      </c>
      <c r="B2523" s="5">
        <f>IFERROR(__xludf.DUMMYFUNCTION("""COMPUTED_VALUE"""),44984.75542320602)</f>
        <v>44984.75542</v>
      </c>
      <c r="C2523" s="1" t="str">
        <f>IFERROR(__xludf.DUMMYFUNCTION("""COMPUTED_VALUE"""),"ORTEGA ADA")</f>
        <v>ORTEGA ADA</v>
      </c>
      <c r="D2523" s="1" t="str">
        <f>IFERROR(__xludf.DUMMYFUNCTION("""COMPUTED_VALUE"""),"Reparaciones/Otros")</f>
        <v>Reparaciones/Otros</v>
      </c>
      <c r="E2523" s="1" t="str">
        <f>IFERROR(__xludf.DUMMYFUNCTION("""COMPUTED_VALUE"""),"ARTIGAS Cristian C.")</f>
        <v>ARTIGAS Cristian C.</v>
      </c>
      <c r="F2523" s="1" t="str">
        <f t="shared" si="1"/>
        <v>ARTIGAS </v>
      </c>
      <c r="G2523" s="1" t="str">
        <f t="shared" si="2"/>
        <v>Cristian C.</v>
      </c>
      <c r="H2523" s="1" t="str">
        <f>IFERROR(__xludf.DUMMYFUNCTION("""COMPUTED_VALUE"""),"2/3/2023, 17:00:00")</f>
        <v>2/3/2023, 17:00:00</v>
      </c>
      <c r="I2523" s="1" t="str">
        <f>IFERROR(__xludf.DUMMYFUNCTION("""COMPUTED_VALUE"""),"Recibido en Laboratorio")</f>
        <v>Recibido en Laboratorio</v>
      </c>
      <c r="J2523" s="1">
        <f t="shared" si="3"/>
        <v>2</v>
      </c>
      <c r="K2523" s="1" t="str">
        <f t="shared" si="4"/>
        <v>Nuestro Laboratorio esta trabajando en tus lentes, los entregaremos en la fecha acordada.</v>
      </c>
    </row>
    <row r="2524">
      <c r="A2524" s="1">
        <f>IFERROR(__xludf.DUMMYFUNCTION("""COMPUTED_VALUE"""),87071.0)</f>
        <v>87071</v>
      </c>
      <c r="B2524" s="5">
        <f>IFERROR(__xludf.DUMMYFUNCTION("""COMPUTED_VALUE"""),44984.75913679398)</f>
        <v>44984.75914</v>
      </c>
      <c r="C2524" s="1" t="str">
        <f>IFERROR(__xludf.DUMMYFUNCTION("""COMPUTED_VALUE"""),"JOFRE MACARENA")</f>
        <v>JOFRE MACARENA</v>
      </c>
      <c r="D2524" s="1" t="str">
        <f>IFERROR(__xludf.DUMMYFUNCTION("""COMPUTED_VALUE"""),"Lentes de STOCK")</f>
        <v>Lentes de STOCK</v>
      </c>
      <c r="E2524" s="1" t="str">
        <f>IFERROR(__xludf.DUMMYFUNCTION("""COMPUTED_VALUE"""),"ARTIGAS Cristian C.")</f>
        <v>ARTIGAS Cristian C.</v>
      </c>
      <c r="F2524" s="1" t="str">
        <f t="shared" si="1"/>
        <v>ARTIGAS </v>
      </c>
      <c r="G2524" s="1" t="str">
        <f t="shared" si="2"/>
        <v>Cristian C.</v>
      </c>
      <c r="H2524" s="1" t="str">
        <f>IFERROR(__xludf.DUMMYFUNCTION("""COMPUTED_VALUE"""),"2/3/2023, 17:00:00")</f>
        <v>2/3/2023, 17:00:00</v>
      </c>
      <c r="I2524" s="1" t="str">
        <f>IFERROR(__xludf.DUMMYFUNCTION("""COMPUTED_VALUE"""),"Recibido en Laboratorio")</f>
        <v>Recibido en Laboratorio</v>
      </c>
      <c r="J2524" s="1">
        <f t="shared" si="3"/>
        <v>2</v>
      </c>
      <c r="K2524" s="1" t="str">
        <f t="shared" si="4"/>
        <v>Nuestro Laboratorio esta trabajando en tus lentes, los entregaremos en la fecha acordada.</v>
      </c>
    </row>
    <row r="2525">
      <c r="A2525" s="1">
        <f>IFERROR(__xludf.DUMMYFUNCTION("""COMPUTED_VALUE"""),87072.0)</f>
        <v>87072</v>
      </c>
      <c r="B2525" s="5">
        <f>IFERROR(__xludf.DUMMYFUNCTION("""COMPUTED_VALUE"""),44984.762565474535)</f>
        <v>44984.76257</v>
      </c>
      <c r="C2525" s="1" t="str">
        <f>IFERROR(__xludf.DUMMYFUNCTION("""COMPUTED_VALUE"""),"LUCERO MARCELO")</f>
        <v>LUCERO MARCELO</v>
      </c>
      <c r="D2525" s="1" t="str">
        <f>IFERROR(__xludf.DUMMYFUNCTION("""COMPUTED_VALUE"""),"Lentes de STOCK")</f>
        <v>Lentes de STOCK</v>
      </c>
      <c r="E2525" s="1" t="str">
        <f>IFERROR(__xludf.DUMMYFUNCTION("""COMPUTED_VALUE"""),"RIVADAVIA Javier")</f>
        <v>RIVADAVIA Javier</v>
      </c>
      <c r="F2525" s="1" t="str">
        <f t="shared" si="1"/>
        <v>RIVADAVIA </v>
      </c>
      <c r="G2525" s="1" t="str">
        <f t="shared" si="2"/>
        <v>Javier</v>
      </c>
      <c r="H2525" s="1" t="str">
        <f>IFERROR(__xludf.DUMMYFUNCTION("""COMPUTED_VALUE"""),"3/3/2023, 17:00:00")</f>
        <v>3/3/2023, 17:00:00</v>
      </c>
      <c r="I2525" s="1" t="str">
        <f>IFERROR(__xludf.DUMMYFUNCTION("""COMPUTED_VALUE"""),"Recibido en Laboratorio")</f>
        <v>Recibido en Laboratorio</v>
      </c>
      <c r="J2525" s="1">
        <f t="shared" si="3"/>
        <v>2</v>
      </c>
      <c r="K2525" s="1" t="str">
        <f t="shared" si="4"/>
        <v>Nuestro Laboratorio esta trabajando en tus lentes, los entregaremos en la fecha acordada.</v>
      </c>
    </row>
    <row r="2526">
      <c r="A2526" s="1">
        <f>IFERROR(__xludf.DUMMYFUNCTION("""COMPUTED_VALUE"""),87073.0)</f>
        <v>87073</v>
      </c>
      <c r="B2526" s="5">
        <f>IFERROR(__xludf.DUMMYFUNCTION("""COMPUTED_VALUE"""),44984.76422387731)</f>
        <v>44984.76422</v>
      </c>
      <c r="C2526" s="1" t="str">
        <f>IFERROR(__xludf.DUMMYFUNCTION("""COMPUTED_VALUE"""),"monzon jose luis")</f>
        <v>monzon jose luis</v>
      </c>
      <c r="D2526" s="1" t="str">
        <f>IFERROR(__xludf.DUMMYFUNCTION("""COMPUTED_VALUE"""),"Lentes MULTIFOCALES")</f>
        <v>Lentes MULTIFOCALES</v>
      </c>
      <c r="E2526" s="1" t="str">
        <f>IFERROR(__xludf.DUMMYFUNCTION("""COMPUTED_VALUE"""),"RIVADAVIA Santiago N")</f>
        <v>RIVADAVIA Santiago N</v>
      </c>
      <c r="F2526" s="1" t="str">
        <f t="shared" si="1"/>
        <v>RIVADAVIA </v>
      </c>
      <c r="G2526" s="1" t="str">
        <f t="shared" si="2"/>
        <v>Santiago N</v>
      </c>
      <c r="H2526" s="1" t="str">
        <f>IFERROR(__xludf.DUMMYFUNCTION("""COMPUTED_VALUE"""),"13/3/2023, 17:00:00")</f>
        <v>13/3/2023, 17:00:00</v>
      </c>
      <c r="I2526" s="1" t="str">
        <f>IFERROR(__xludf.DUMMYFUNCTION("""COMPUTED_VALUE"""),"RETIRADO OK POR CLIENTE")</f>
        <v>RETIRADO OK POR CLIENTE</v>
      </c>
      <c r="J2526" s="1">
        <f t="shared" si="3"/>
        <v>6</v>
      </c>
      <c r="K2526" s="1" t="str">
        <f t="shared" si="4"/>
        <v>Entregamos tus lentes, que los disfrutes!</v>
      </c>
    </row>
    <row r="2527">
      <c r="A2527" s="1">
        <f>IFERROR(__xludf.DUMMYFUNCTION("""COMPUTED_VALUE"""),87074.0)</f>
        <v>87074</v>
      </c>
      <c r="B2527" s="5">
        <f>IFERROR(__xludf.DUMMYFUNCTION("""COMPUTED_VALUE"""),44984.76480012732)</f>
        <v>44984.7648</v>
      </c>
      <c r="C2527" s="1" t="str">
        <f>IFERROR(__xludf.DUMMYFUNCTION("""COMPUTED_VALUE"""),"VELAZQUEZ ROMINA")</f>
        <v>VELAZQUEZ ROMINA</v>
      </c>
      <c r="D2527" s="1" t="str">
        <f>IFERROR(__xludf.DUMMYFUNCTION("""COMPUTED_VALUE"""),"Lentes de STOCK")</f>
        <v>Lentes de STOCK</v>
      </c>
      <c r="E2527" s="1" t="str">
        <f>IFERROR(__xludf.DUMMYFUNCTION("""COMPUTED_VALUE"""),"ARTIGAS Ivana P.")</f>
        <v>ARTIGAS Ivana P.</v>
      </c>
      <c r="F2527" s="1" t="str">
        <f t="shared" si="1"/>
        <v>ARTIGAS </v>
      </c>
      <c r="G2527" s="1" t="str">
        <f t="shared" si="2"/>
        <v>Ivana P.</v>
      </c>
      <c r="H2527" s="1" t="str">
        <f>IFERROR(__xludf.DUMMYFUNCTION("""COMPUTED_VALUE"""),"3/3/2023, 17:00:00")</f>
        <v>3/3/2023, 17:00:00</v>
      </c>
      <c r="I2527" s="1" t="str">
        <f>IFERROR(__xludf.DUMMYFUNCTION("""COMPUTED_VALUE"""),"Recibido en Laboratorio")</f>
        <v>Recibido en Laboratorio</v>
      </c>
      <c r="J2527" s="1">
        <f t="shared" si="3"/>
        <v>2</v>
      </c>
      <c r="K2527" s="1" t="str">
        <f t="shared" si="4"/>
        <v>Nuestro Laboratorio esta trabajando en tus lentes, los entregaremos en la fecha acordada.</v>
      </c>
    </row>
    <row r="2528">
      <c r="A2528" s="1">
        <f>IFERROR(__xludf.DUMMYFUNCTION("""COMPUTED_VALUE"""),87075.0)</f>
        <v>87075</v>
      </c>
      <c r="B2528" s="5">
        <f>IFERROR(__xludf.DUMMYFUNCTION("""COMPUTED_VALUE"""),44984.76940055555)</f>
        <v>44984.7694</v>
      </c>
      <c r="C2528" s="1" t="str">
        <f>IFERROR(__xludf.DUMMYFUNCTION("""COMPUTED_VALUE"""),"GARCIA ARIADNA")</f>
        <v>GARCIA ARIADNA</v>
      </c>
      <c r="D2528" s="1" t="str">
        <f>IFERROR(__xludf.DUMMYFUNCTION("""COMPUTED_VALUE"""),"Reparaciones/Otros")</f>
        <v>Reparaciones/Otros</v>
      </c>
      <c r="E2528" s="1" t="str">
        <f>IFERROR(__xludf.DUMMYFUNCTION("""COMPUTED_VALUE"""),"RIVADAVIA Santiago LOPEZ")</f>
        <v>RIVADAVIA Santiago LOPEZ</v>
      </c>
      <c r="F2528" s="1" t="str">
        <f t="shared" si="1"/>
        <v>RIVADAVIA </v>
      </c>
      <c r="G2528" s="1" t="str">
        <f t="shared" si="2"/>
        <v>Santiago LOPEZ</v>
      </c>
      <c r="H2528" s="1" t="str">
        <f>IFERROR(__xludf.DUMMYFUNCTION("""COMPUTED_VALUE"""),"28/2/2023, 17:00:00")</f>
        <v>28/2/2023, 17:00:00</v>
      </c>
      <c r="I2528" s="1"/>
      <c r="J2528" s="1">
        <f t="shared" si="3"/>
        <v>0</v>
      </c>
      <c r="K2528" s="1" t="str">
        <f t="shared" si="4"/>
        <v/>
      </c>
    </row>
    <row r="2529">
      <c r="A2529" s="1">
        <f>IFERROR(__xludf.DUMMYFUNCTION("""COMPUTED_VALUE"""),87076.0)</f>
        <v>87076</v>
      </c>
      <c r="B2529" s="5">
        <f>IFERROR(__xludf.DUMMYFUNCTION("""COMPUTED_VALUE"""),44984.78185680555)</f>
        <v>44984.78186</v>
      </c>
      <c r="C2529" s="1" t="str">
        <f>IFERROR(__xludf.DUMMYFUNCTION("""COMPUTED_VALUE"""),"Ozan Griselda ")</f>
        <v>Ozan Griselda </v>
      </c>
      <c r="D2529" s="1" t="str">
        <f>IFERROR(__xludf.DUMMYFUNCTION("""COMPUTED_VALUE"""),"Reparaciones/Otros")</f>
        <v>Reparaciones/Otros</v>
      </c>
      <c r="E2529" s="1" t="str">
        <f>IFERROR(__xludf.DUMMYFUNCTION("""COMPUTED_VALUE"""),"ARTIGAS Micaela")</f>
        <v>ARTIGAS Micaela</v>
      </c>
      <c r="F2529" s="1" t="str">
        <f t="shared" si="1"/>
        <v>ARTIGAS </v>
      </c>
      <c r="G2529" s="1" t="str">
        <f t="shared" si="2"/>
        <v>Micaela</v>
      </c>
      <c r="H2529" s="1" t="str">
        <f>IFERROR(__xludf.DUMMYFUNCTION("""COMPUTED_VALUE"""),"1/3/2023, 17:00:00")</f>
        <v>1/3/2023, 17:00:00</v>
      </c>
      <c r="I2529" s="1" t="str">
        <f>IFERROR(__xludf.DUMMYFUNCTION("""COMPUTED_VALUE"""),"Recibido en Laboratorio")</f>
        <v>Recibido en Laboratorio</v>
      </c>
      <c r="J2529" s="1">
        <f t="shared" si="3"/>
        <v>2</v>
      </c>
      <c r="K2529" s="1" t="str">
        <f t="shared" si="4"/>
        <v>Nuestro Laboratorio esta trabajando en tus lentes, los entregaremos en la fecha acordada.</v>
      </c>
    </row>
    <row r="2530">
      <c r="A2530" s="1">
        <f>IFERROR(__xludf.DUMMYFUNCTION("""COMPUTED_VALUE"""),87077.0)</f>
        <v>87077</v>
      </c>
      <c r="B2530" s="5">
        <f>IFERROR(__xludf.DUMMYFUNCTION("""COMPUTED_VALUE"""),44984.786460613424)</f>
        <v>44984.78646</v>
      </c>
      <c r="C2530" s="1" t="str">
        <f>IFERROR(__xludf.DUMMYFUNCTION("""COMPUTED_VALUE"""),"ARAYA PATRICIA")</f>
        <v>ARAYA PATRICIA</v>
      </c>
      <c r="D2530" s="1" t="str">
        <f>IFERROR(__xludf.DUMMYFUNCTION("""COMPUTED_VALUE"""),"Lentes MULTIFOCALES")</f>
        <v>Lentes MULTIFOCALES</v>
      </c>
      <c r="E2530" s="1" t="str">
        <f>IFERROR(__xludf.DUMMYFUNCTION("""COMPUTED_VALUE"""),"ARTIGAS Ivana P.")</f>
        <v>ARTIGAS Ivana P.</v>
      </c>
      <c r="F2530" s="1" t="str">
        <f t="shared" si="1"/>
        <v>ARTIGAS </v>
      </c>
      <c r="G2530" s="1" t="str">
        <f t="shared" si="2"/>
        <v>Ivana P.</v>
      </c>
      <c r="H2530" s="1" t="str">
        <f>IFERROR(__xludf.DUMMYFUNCTION("""COMPUTED_VALUE"""),"13/3/2023, 17:00:00")</f>
        <v>13/3/2023, 17:00:00</v>
      </c>
      <c r="I2530" s="1" t="str">
        <f>IFERROR(__xludf.DUMMYFUNCTION("""COMPUTED_VALUE"""),"Completado en SUCURSAL")</f>
        <v>Completado en SUCURSAL</v>
      </c>
      <c r="J2530" s="1">
        <f t="shared" si="3"/>
        <v>5</v>
      </c>
      <c r="K2530" s="1" t="str">
        <f t="shared" si="4"/>
        <v>Tus Lentes estan LISTAS PARA ENTREGAR, te esperamos.</v>
      </c>
    </row>
    <row r="2531">
      <c r="A2531" s="1">
        <f>IFERROR(__xludf.DUMMYFUNCTION("""COMPUTED_VALUE"""),87078.0)</f>
        <v>87078</v>
      </c>
      <c r="B2531" s="5">
        <f>IFERROR(__xludf.DUMMYFUNCTION("""COMPUTED_VALUE"""),44984.80018420139)</f>
        <v>44984.80018</v>
      </c>
      <c r="C2531" s="1" t="str">
        <f>IFERROR(__xludf.DUMMYFUNCTION("""COMPUTED_VALUE"""),"VELAZQUEZ DIEGO")</f>
        <v>VELAZQUEZ DIEGO</v>
      </c>
      <c r="D2531" s="1" t="str">
        <f>IFERROR(__xludf.DUMMYFUNCTION("""COMPUTED_VALUE"""),"Reparaciones/Otros")</f>
        <v>Reparaciones/Otros</v>
      </c>
      <c r="E2531" s="1" t="str">
        <f>IFERROR(__xludf.DUMMYFUNCTION("""COMPUTED_VALUE"""),"ARTIGAS Cristian C.")</f>
        <v>ARTIGAS Cristian C.</v>
      </c>
      <c r="F2531" s="1" t="str">
        <f t="shared" si="1"/>
        <v>ARTIGAS </v>
      </c>
      <c r="G2531" s="1" t="str">
        <f t="shared" si="2"/>
        <v>Cristian C.</v>
      </c>
      <c r="H2531" s="1" t="str">
        <f>IFERROR(__xludf.DUMMYFUNCTION("""COMPUTED_VALUE"""),"1/3/2023, 17:00:00")</f>
        <v>1/3/2023, 17:00:00</v>
      </c>
      <c r="I2531" s="1" t="str">
        <f>IFERROR(__xludf.DUMMYFUNCTION("""COMPUTED_VALUE"""),"Recibido en Laboratorio")</f>
        <v>Recibido en Laboratorio</v>
      </c>
      <c r="J2531" s="1">
        <f t="shared" si="3"/>
        <v>2</v>
      </c>
      <c r="K2531" s="1" t="str">
        <f t="shared" si="4"/>
        <v>Nuestro Laboratorio esta trabajando en tus lentes, los entregaremos en la fecha acordada.</v>
      </c>
    </row>
    <row r="2532">
      <c r="A2532" s="1">
        <f>IFERROR(__xludf.DUMMYFUNCTION("""COMPUTED_VALUE"""),87079.0)</f>
        <v>87079</v>
      </c>
      <c r="B2532" s="5">
        <f>IFERROR(__xludf.DUMMYFUNCTION("""COMPUTED_VALUE"""),44984.80181984954)</f>
        <v>44984.80182</v>
      </c>
      <c r="C2532" s="1" t="str">
        <f>IFERROR(__xludf.DUMMYFUNCTION("""COMPUTED_VALUE"""),"ferrara vicente")</f>
        <v>ferrara vicente</v>
      </c>
      <c r="D2532" s="1" t="str">
        <f>IFERROR(__xludf.DUMMYFUNCTION("""COMPUTED_VALUE"""),"Lentes MULTIFOCALES")</f>
        <v>Lentes MULTIFOCALES</v>
      </c>
      <c r="E2532" s="1" t="str">
        <f>IFERROR(__xludf.DUMMYFUNCTION("""COMPUTED_VALUE"""),"RIVADAVIA Santiago N")</f>
        <v>RIVADAVIA Santiago N</v>
      </c>
      <c r="F2532" s="1" t="str">
        <f t="shared" si="1"/>
        <v>RIVADAVIA </v>
      </c>
      <c r="G2532" s="1" t="str">
        <f t="shared" si="2"/>
        <v>Santiago N</v>
      </c>
      <c r="H2532" s="1" t="str">
        <f>IFERROR(__xludf.DUMMYFUNCTION("""COMPUTED_VALUE"""),"13/3/2023, 17:00:00")</f>
        <v>13/3/2023, 17:00:00</v>
      </c>
      <c r="I2532" s="1" t="str">
        <f>IFERROR(__xludf.DUMMYFUNCTION("""COMPUTED_VALUE"""),"RETIRADO OK POR CLIENTE")</f>
        <v>RETIRADO OK POR CLIENTE</v>
      </c>
      <c r="J2532" s="1">
        <f t="shared" si="3"/>
        <v>6</v>
      </c>
      <c r="K2532" s="1" t="str">
        <f t="shared" si="4"/>
        <v>Entregamos tus lentes, que los disfrutes!</v>
      </c>
    </row>
    <row r="2533">
      <c r="A2533" s="1">
        <f>IFERROR(__xludf.DUMMYFUNCTION("""COMPUTED_VALUE"""),87080.0)</f>
        <v>87080</v>
      </c>
      <c r="B2533" s="5">
        <f>IFERROR(__xludf.DUMMYFUNCTION("""COMPUTED_VALUE"""),44984.8056081713)</f>
        <v>44984.80561</v>
      </c>
      <c r="C2533" s="1" t="str">
        <f>IFERROR(__xludf.DUMMYFUNCTION("""COMPUTED_VALUE"""),"GATICA ROQUE GUILLERMO")</f>
        <v>GATICA ROQUE GUILLERMO</v>
      </c>
      <c r="D2533" s="1" t="str">
        <f>IFERROR(__xludf.DUMMYFUNCTION("""COMPUTED_VALUE"""),"Lentes de STOCK")</f>
        <v>Lentes de STOCK</v>
      </c>
      <c r="E2533" s="1" t="str">
        <f>IFERROR(__xludf.DUMMYFUNCTION("""COMPUTED_VALUE"""),"RIVADAVIA Javier")</f>
        <v>RIVADAVIA Javier</v>
      </c>
      <c r="F2533" s="1" t="str">
        <f t="shared" si="1"/>
        <v>RIVADAVIA </v>
      </c>
      <c r="G2533" s="1" t="str">
        <f t="shared" si="2"/>
        <v>Javier</v>
      </c>
      <c r="H2533" s="1" t="str">
        <f>IFERROR(__xludf.DUMMYFUNCTION("""COMPUTED_VALUE"""),"3/3/2023, 17:00:00")</f>
        <v>3/3/2023, 17:00:00</v>
      </c>
      <c r="I2533" s="1" t="str">
        <f>IFERROR(__xludf.DUMMYFUNCTION("""COMPUTED_VALUE"""),"Recibido en Laboratorio")</f>
        <v>Recibido en Laboratorio</v>
      </c>
      <c r="J2533" s="1">
        <f t="shared" si="3"/>
        <v>2</v>
      </c>
      <c r="K2533" s="1" t="str">
        <f t="shared" si="4"/>
        <v>Nuestro Laboratorio esta trabajando en tus lentes, los entregaremos en la fecha acordada.</v>
      </c>
    </row>
    <row r="2534">
      <c r="A2534" s="1">
        <f>IFERROR(__xludf.DUMMYFUNCTION("""COMPUTED_VALUE"""),87081.0)</f>
        <v>87081</v>
      </c>
      <c r="B2534" s="5">
        <f>IFERROR(__xludf.DUMMYFUNCTION("""COMPUTED_VALUE"""),44984.81215653935)</f>
        <v>44984.81216</v>
      </c>
      <c r="C2534" s="1" t="str">
        <f>IFERROR(__xludf.DUMMYFUNCTION("""COMPUTED_VALUE"""),"SHAMOUN JUAN")</f>
        <v>SHAMOUN JUAN</v>
      </c>
      <c r="D2534" s="1" t="str">
        <f>IFERROR(__xludf.DUMMYFUNCTION("""COMPUTED_VALUE"""),"Lentes de STOCK")</f>
        <v>Lentes de STOCK</v>
      </c>
      <c r="E2534" s="1" t="str">
        <f>IFERROR(__xludf.DUMMYFUNCTION("""COMPUTED_VALUE"""),"RIVADAVIA Santiago LOPEZ")</f>
        <v>RIVADAVIA Santiago LOPEZ</v>
      </c>
      <c r="F2534" s="1" t="str">
        <f t="shared" si="1"/>
        <v>RIVADAVIA </v>
      </c>
      <c r="G2534" s="1" t="str">
        <f t="shared" si="2"/>
        <v>Santiago LOPEZ</v>
      </c>
      <c r="H2534" s="1" t="str">
        <f>IFERROR(__xludf.DUMMYFUNCTION("""COMPUTED_VALUE"""),"1/3/2023, 17:00:00")</f>
        <v>1/3/2023, 17:00:00</v>
      </c>
      <c r="I2534" s="1" t="str">
        <f>IFERROR(__xludf.DUMMYFUNCTION("""COMPUTED_VALUE"""),"Recibido en Laboratorio")</f>
        <v>Recibido en Laboratorio</v>
      </c>
      <c r="J2534" s="1">
        <f t="shared" si="3"/>
        <v>2</v>
      </c>
      <c r="K2534" s="1" t="str">
        <f t="shared" si="4"/>
        <v>Nuestro Laboratorio esta trabajando en tus lentes, los entregaremos en la fecha acordada.</v>
      </c>
    </row>
    <row r="2535">
      <c r="A2535" s="1">
        <f>IFERROR(__xludf.DUMMYFUNCTION("""COMPUTED_VALUE"""),87082.0)</f>
        <v>87082</v>
      </c>
      <c r="B2535" s="5">
        <f>IFERROR(__xludf.DUMMYFUNCTION("""COMPUTED_VALUE"""),44984.81248523148)</f>
        <v>44984.81249</v>
      </c>
      <c r="C2535" s="1" t="str">
        <f>IFERROR(__xludf.DUMMYFUNCTION("""COMPUTED_VALUE"""),"ARROYUELO ULISES")</f>
        <v>ARROYUELO ULISES</v>
      </c>
      <c r="D2535" s="1" t="str">
        <f>IFERROR(__xludf.DUMMYFUNCTION("""COMPUTED_VALUE"""),"Lentes de STOCK")</f>
        <v>Lentes de STOCK</v>
      </c>
      <c r="E2535" s="1" t="str">
        <f>IFERROR(__xludf.DUMMYFUNCTION("""COMPUTED_VALUE"""),"RIVADAVIA Javier")</f>
        <v>RIVADAVIA Javier</v>
      </c>
      <c r="F2535" s="1" t="str">
        <f t="shared" si="1"/>
        <v>RIVADAVIA </v>
      </c>
      <c r="G2535" s="1" t="str">
        <f t="shared" si="2"/>
        <v>Javier</v>
      </c>
      <c r="H2535" s="1" t="str">
        <f>IFERROR(__xludf.DUMMYFUNCTION("""COMPUTED_VALUE"""),"2/3/2023, 17:00:00")</f>
        <v>2/3/2023, 17:00:00</v>
      </c>
      <c r="I2535" s="1" t="str">
        <f>IFERROR(__xludf.DUMMYFUNCTION("""COMPUTED_VALUE"""),"Recibido en Laboratorio")</f>
        <v>Recibido en Laboratorio</v>
      </c>
      <c r="J2535" s="1">
        <f t="shared" si="3"/>
        <v>2</v>
      </c>
      <c r="K2535" s="1" t="str">
        <f t="shared" si="4"/>
        <v>Nuestro Laboratorio esta trabajando en tus lentes, los entregaremos en la fecha acordada.</v>
      </c>
    </row>
    <row r="2536">
      <c r="A2536" s="1">
        <f>IFERROR(__xludf.DUMMYFUNCTION("""COMPUTED_VALUE"""),87083.0)</f>
        <v>87083</v>
      </c>
      <c r="B2536" s="5">
        <f>IFERROR(__xludf.DUMMYFUNCTION("""COMPUTED_VALUE"""),44984.81431353009)</f>
        <v>44984.81431</v>
      </c>
      <c r="C2536" s="1" t="str">
        <f>IFERROR(__xludf.DUMMYFUNCTION("""COMPUTED_VALUE"""),"SOSA RITA")</f>
        <v>SOSA RITA</v>
      </c>
      <c r="D2536" s="1" t="str">
        <f>IFERROR(__xludf.DUMMYFUNCTION("""COMPUTED_VALUE"""),"Lentes de STOCK")</f>
        <v>Lentes de STOCK</v>
      </c>
      <c r="E2536" s="1" t="str">
        <f>IFERROR(__xludf.DUMMYFUNCTION("""COMPUTED_VALUE"""),"RIVADAVIA Javier")</f>
        <v>RIVADAVIA Javier</v>
      </c>
      <c r="F2536" s="1" t="str">
        <f t="shared" si="1"/>
        <v>RIVADAVIA </v>
      </c>
      <c r="G2536" s="1" t="str">
        <f t="shared" si="2"/>
        <v>Javier</v>
      </c>
      <c r="H2536" s="1" t="str">
        <f>IFERROR(__xludf.DUMMYFUNCTION("""COMPUTED_VALUE"""),"3/3/2023, 17:00:00")</f>
        <v>3/3/2023, 17:00:00</v>
      </c>
      <c r="I2536" s="1" t="str">
        <f>IFERROR(__xludf.DUMMYFUNCTION("""COMPUTED_VALUE"""),"Recibido en Laboratorio")</f>
        <v>Recibido en Laboratorio</v>
      </c>
      <c r="J2536" s="1">
        <f t="shared" si="3"/>
        <v>2</v>
      </c>
      <c r="K2536" s="1" t="str">
        <f t="shared" si="4"/>
        <v>Nuestro Laboratorio esta trabajando en tus lentes, los entregaremos en la fecha acordada.</v>
      </c>
    </row>
    <row r="2537">
      <c r="A2537" s="1">
        <f>IFERROR(__xludf.DUMMYFUNCTION("""COMPUTED_VALUE"""),87084.0)</f>
        <v>87084</v>
      </c>
      <c r="B2537" s="5">
        <f>IFERROR(__xludf.DUMMYFUNCTION("""COMPUTED_VALUE"""),44984.81868545139)</f>
        <v>44984.81869</v>
      </c>
      <c r="C2537" s="1" t="str">
        <f>IFERROR(__xludf.DUMMYFUNCTION("""COMPUTED_VALUE"""),"TORRES CARMEN ")</f>
        <v>TORRES CARMEN </v>
      </c>
      <c r="D2537" s="1" t="str">
        <f>IFERROR(__xludf.DUMMYFUNCTION("""COMPUTED_VALUE"""),"Lentes MULTIFOCALES")</f>
        <v>Lentes MULTIFOCALES</v>
      </c>
      <c r="E2537" s="1" t="str">
        <f>IFERROR(__xludf.DUMMYFUNCTION("""COMPUTED_VALUE"""),"RIVADAVIA Luciana")</f>
        <v>RIVADAVIA Luciana</v>
      </c>
      <c r="F2537" s="1" t="str">
        <f t="shared" si="1"/>
        <v>RIVADAVIA </v>
      </c>
      <c r="G2537" s="1" t="str">
        <f t="shared" si="2"/>
        <v>Luciana</v>
      </c>
      <c r="H2537" s="1" t="str">
        <f>IFERROR(__xludf.DUMMYFUNCTION("""COMPUTED_VALUE"""),"16/3/2023, 17:00:00")</f>
        <v>16/3/2023, 17:00:00</v>
      </c>
      <c r="I2537" s="1" t="str">
        <f>IFERROR(__xludf.DUMMYFUNCTION("""COMPUTED_VALUE"""),"Completado en SUCURSAL")</f>
        <v>Completado en SUCURSAL</v>
      </c>
      <c r="J2537" s="1">
        <f t="shared" si="3"/>
        <v>5</v>
      </c>
      <c r="K2537" s="1" t="str">
        <f t="shared" si="4"/>
        <v>Tus Lentes estan LISTAS PARA ENTREGAR, te esperamos.</v>
      </c>
    </row>
    <row r="2538">
      <c r="A2538" s="1">
        <f>IFERROR(__xludf.DUMMYFUNCTION("""COMPUTED_VALUE"""),87085.0)</f>
        <v>87085</v>
      </c>
      <c r="B2538" s="5">
        <f>IFERROR(__xludf.DUMMYFUNCTION("""COMPUTED_VALUE"""),44984.82024065973)</f>
        <v>44984.82024</v>
      </c>
      <c r="C2538" s="1" t="str">
        <f>IFERROR(__xludf.DUMMYFUNCTION("""COMPUTED_VALUE"""),"SHAMAOUN LINA")</f>
        <v>SHAMAOUN LINA</v>
      </c>
      <c r="D2538" s="1" t="str">
        <f>IFERROR(__xludf.DUMMYFUNCTION("""COMPUTED_VALUE"""),"Lentes de STOCK")</f>
        <v>Lentes de STOCK</v>
      </c>
      <c r="E2538" s="1" t="str">
        <f>IFERROR(__xludf.DUMMYFUNCTION("""COMPUTED_VALUE"""),"RIVADAVIA Santiago LOPEZ")</f>
        <v>RIVADAVIA Santiago LOPEZ</v>
      </c>
      <c r="F2538" s="1" t="str">
        <f t="shared" si="1"/>
        <v>RIVADAVIA </v>
      </c>
      <c r="G2538" s="1" t="str">
        <f t="shared" si="2"/>
        <v>Santiago LOPEZ</v>
      </c>
      <c r="H2538" s="1" t="str">
        <f>IFERROR(__xludf.DUMMYFUNCTION("""COMPUTED_VALUE"""),"2/3/2023, 17:00:00")</f>
        <v>2/3/2023, 17:00:00</v>
      </c>
      <c r="I2538" s="1" t="str">
        <f>IFERROR(__xludf.DUMMYFUNCTION("""COMPUTED_VALUE"""),"Recibido en Laboratorio")</f>
        <v>Recibido en Laboratorio</v>
      </c>
      <c r="J2538" s="1">
        <f t="shared" si="3"/>
        <v>2</v>
      </c>
      <c r="K2538" s="1" t="str">
        <f t="shared" si="4"/>
        <v>Nuestro Laboratorio esta trabajando en tus lentes, los entregaremos en la fecha acordada.</v>
      </c>
    </row>
    <row r="2539">
      <c r="A2539" s="1">
        <f>IFERROR(__xludf.DUMMYFUNCTION("""COMPUTED_VALUE"""),87086.0)</f>
        <v>87086</v>
      </c>
      <c r="B2539" s="5">
        <f>IFERROR(__xludf.DUMMYFUNCTION("""COMPUTED_VALUE"""),44984.82137839121)</f>
        <v>44984.82138</v>
      </c>
      <c r="C2539" s="1" t="str">
        <f>IFERROR(__xludf.DUMMYFUNCTION("""COMPUTED_VALUE"""),"ojeda pereyra dayana ")</f>
        <v>ojeda pereyra dayana </v>
      </c>
      <c r="D2539" s="1" t="str">
        <f>IFERROR(__xludf.DUMMYFUNCTION("""COMPUTED_VALUE"""),"Lentes de STOCK")</f>
        <v>Lentes de STOCK</v>
      </c>
      <c r="E2539" s="1" t="str">
        <f>IFERROR(__xludf.DUMMYFUNCTION("""COMPUTED_VALUE"""),"RIVADAVIA Santiago N")</f>
        <v>RIVADAVIA Santiago N</v>
      </c>
      <c r="F2539" s="1" t="str">
        <f t="shared" si="1"/>
        <v>RIVADAVIA </v>
      </c>
      <c r="G2539" s="1" t="str">
        <f t="shared" si="2"/>
        <v>Santiago N</v>
      </c>
      <c r="H2539" s="1" t="str">
        <f>IFERROR(__xludf.DUMMYFUNCTION("""COMPUTED_VALUE"""),"2/3/2023, 17:00:00")</f>
        <v>2/3/2023, 17:00:00</v>
      </c>
      <c r="I2539" s="1" t="str">
        <f>IFERROR(__xludf.DUMMYFUNCTION("""COMPUTED_VALUE"""),"Completado en SUCURSAL")</f>
        <v>Completado en SUCURSAL</v>
      </c>
      <c r="J2539" s="1">
        <f t="shared" si="3"/>
        <v>5</v>
      </c>
      <c r="K2539" s="1" t="str">
        <f t="shared" si="4"/>
        <v>Tus Lentes estan LISTAS PARA ENTREGAR, te esperamos.</v>
      </c>
    </row>
    <row r="2540">
      <c r="A2540" s="1">
        <f>IFERROR(__xludf.DUMMYFUNCTION("""COMPUTED_VALUE"""),87087.0)</f>
        <v>87087</v>
      </c>
      <c r="B2540" s="5">
        <f>IFERROR(__xludf.DUMMYFUNCTION("""COMPUTED_VALUE"""),44984.82152435185)</f>
        <v>44984.82152</v>
      </c>
      <c r="C2540" s="1" t="str">
        <f>IFERROR(__xludf.DUMMYFUNCTION("""COMPUTED_VALUE"""),"FLORES JOSE")</f>
        <v>FLORES JOSE</v>
      </c>
      <c r="D2540" s="1" t="str">
        <f>IFERROR(__xludf.DUMMYFUNCTION("""COMPUTED_VALUE"""),"Lentes de STOCK")</f>
        <v>Lentes de STOCK</v>
      </c>
      <c r="E2540" s="1" t="str">
        <f>IFERROR(__xludf.DUMMYFUNCTION("""COMPUTED_VALUE"""),"ARTIGAS Ivana P.")</f>
        <v>ARTIGAS Ivana P.</v>
      </c>
      <c r="F2540" s="1" t="str">
        <f t="shared" si="1"/>
        <v>ARTIGAS </v>
      </c>
      <c r="G2540" s="1" t="str">
        <f t="shared" si="2"/>
        <v>Ivana P.</v>
      </c>
      <c r="H2540" s="1" t="str">
        <f>IFERROR(__xludf.DUMMYFUNCTION("""COMPUTED_VALUE"""),"3/3/2023, 17:00:00")</f>
        <v>3/3/2023, 17:00:00</v>
      </c>
      <c r="I2540" s="1" t="str">
        <f>IFERROR(__xludf.DUMMYFUNCTION("""COMPUTED_VALUE"""),"Recibido en Laboratorio")</f>
        <v>Recibido en Laboratorio</v>
      </c>
      <c r="J2540" s="1">
        <f t="shared" si="3"/>
        <v>2</v>
      </c>
      <c r="K2540" s="1" t="str">
        <f t="shared" si="4"/>
        <v>Nuestro Laboratorio esta trabajando en tus lentes, los entregaremos en la fecha acordada.</v>
      </c>
    </row>
    <row r="2541">
      <c r="A2541" s="1">
        <f>IFERROR(__xludf.DUMMYFUNCTION("""COMPUTED_VALUE"""),87088.0)</f>
        <v>87088</v>
      </c>
      <c r="B2541" s="5">
        <f>IFERROR(__xludf.DUMMYFUNCTION("""COMPUTED_VALUE"""),44984.82209043982)</f>
        <v>44984.82209</v>
      </c>
      <c r="C2541" s="1" t="str">
        <f>IFERROR(__xludf.DUMMYFUNCTION("""COMPUTED_VALUE"""),"WANZO JUAN CARLOS")</f>
        <v>WANZO JUAN CARLOS</v>
      </c>
      <c r="D2541" s="1" t="str">
        <f>IFERROR(__xludf.DUMMYFUNCTION("""COMPUTED_VALUE"""),"Lentes de STOCK")</f>
        <v>Lentes de STOCK</v>
      </c>
      <c r="E2541" s="1" t="str">
        <f>IFERROR(__xludf.DUMMYFUNCTION("""COMPUTED_VALUE"""),"RIVADAVIA Luciana")</f>
        <v>RIVADAVIA Luciana</v>
      </c>
      <c r="F2541" s="1" t="str">
        <f t="shared" si="1"/>
        <v>RIVADAVIA </v>
      </c>
      <c r="G2541" s="1" t="str">
        <f t="shared" si="2"/>
        <v>Luciana</v>
      </c>
      <c r="H2541" s="1" t="str">
        <f>IFERROR(__xludf.DUMMYFUNCTION("""COMPUTED_VALUE"""),"3/3/2023, 17:00:00")</f>
        <v>3/3/2023, 17:00:00</v>
      </c>
      <c r="I2541" s="1" t="str">
        <f>IFERROR(__xludf.DUMMYFUNCTION("""COMPUTED_VALUE"""),"Recibido en Laboratorio")</f>
        <v>Recibido en Laboratorio</v>
      </c>
      <c r="J2541" s="1">
        <f t="shared" si="3"/>
        <v>2</v>
      </c>
      <c r="K2541" s="1" t="str">
        <f t="shared" si="4"/>
        <v>Nuestro Laboratorio esta trabajando en tus lentes, los entregaremos en la fecha acordada.</v>
      </c>
    </row>
    <row r="2542">
      <c r="A2542" s="1">
        <f>IFERROR(__xludf.DUMMYFUNCTION("""COMPUTED_VALUE"""),87089.0)</f>
        <v>87089</v>
      </c>
      <c r="B2542" s="5">
        <f>IFERROR(__xludf.DUMMYFUNCTION("""COMPUTED_VALUE"""),44984.825738750005)</f>
        <v>44984.82574</v>
      </c>
      <c r="C2542" s="1" t="str">
        <f>IFERROR(__xludf.DUMMYFUNCTION("""COMPUTED_VALUE"""),"GONZALEZ THIAGO")</f>
        <v>GONZALEZ THIAGO</v>
      </c>
      <c r="D2542" s="1" t="str">
        <f>IFERROR(__xludf.DUMMYFUNCTION("""COMPUTED_VALUE"""),"Lentes de STOCK")</f>
        <v>Lentes de STOCK</v>
      </c>
      <c r="E2542" s="1" t="str">
        <f>IFERROR(__xludf.DUMMYFUNCTION("""COMPUTED_VALUE"""),"RIVADAVIA Santiago LOPEZ")</f>
        <v>RIVADAVIA Santiago LOPEZ</v>
      </c>
      <c r="F2542" s="1" t="str">
        <f t="shared" si="1"/>
        <v>RIVADAVIA </v>
      </c>
      <c r="G2542" s="1" t="str">
        <f t="shared" si="2"/>
        <v>Santiago LOPEZ</v>
      </c>
      <c r="H2542" s="1" t="str">
        <f>IFERROR(__xludf.DUMMYFUNCTION("""COMPUTED_VALUE"""),"2/3/2023, 17:00:00")</f>
        <v>2/3/2023, 17:00:00</v>
      </c>
      <c r="I2542" s="1" t="str">
        <f>IFERROR(__xludf.DUMMYFUNCTION("""COMPUTED_VALUE"""),"Recibido en Laboratorio")</f>
        <v>Recibido en Laboratorio</v>
      </c>
      <c r="J2542" s="1">
        <f t="shared" si="3"/>
        <v>2</v>
      </c>
      <c r="K2542" s="1" t="str">
        <f t="shared" si="4"/>
        <v>Nuestro Laboratorio esta trabajando en tus lentes, los entregaremos en la fecha acordada.</v>
      </c>
    </row>
    <row r="2543">
      <c r="A2543" s="1">
        <f>IFERROR(__xludf.DUMMYFUNCTION("""COMPUTED_VALUE"""),87090.0)</f>
        <v>87090</v>
      </c>
      <c r="B2543" s="5">
        <f>IFERROR(__xludf.DUMMYFUNCTION("""COMPUTED_VALUE"""),44984.828885787036)</f>
        <v>44984.82889</v>
      </c>
      <c r="C2543" s="1" t="str">
        <f>IFERROR(__xludf.DUMMYFUNCTION("""COMPUTED_VALUE"""),"SUAREZ GRETEL ")</f>
        <v>SUAREZ GRETEL </v>
      </c>
      <c r="D2543" s="1" t="str">
        <f>IFERROR(__xludf.DUMMYFUNCTION("""COMPUTED_VALUE"""),"Lentes de STOCK")</f>
        <v>Lentes de STOCK</v>
      </c>
      <c r="E2543" s="1" t="str">
        <f>IFERROR(__xludf.DUMMYFUNCTION("""COMPUTED_VALUE"""),"RIVADAVIA Luciana")</f>
        <v>RIVADAVIA Luciana</v>
      </c>
      <c r="F2543" s="1" t="str">
        <f t="shared" si="1"/>
        <v>RIVADAVIA </v>
      </c>
      <c r="G2543" s="1" t="str">
        <f t="shared" si="2"/>
        <v>Luciana</v>
      </c>
      <c r="H2543" s="1" t="str">
        <f>IFERROR(__xludf.DUMMYFUNCTION("""COMPUTED_VALUE"""),"3/3/2023, 17:00:00")</f>
        <v>3/3/2023, 17:00:00</v>
      </c>
      <c r="I2543" s="1" t="str">
        <f>IFERROR(__xludf.DUMMYFUNCTION("""COMPUTED_VALUE"""),"Recibido en Laboratorio")</f>
        <v>Recibido en Laboratorio</v>
      </c>
      <c r="J2543" s="1">
        <f t="shared" si="3"/>
        <v>2</v>
      </c>
      <c r="K2543" s="1" t="str">
        <f t="shared" si="4"/>
        <v>Nuestro Laboratorio esta trabajando en tus lentes, los entregaremos en la fecha acordada.</v>
      </c>
    </row>
    <row r="2544">
      <c r="A2544" s="1">
        <f>IFERROR(__xludf.DUMMYFUNCTION("""COMPUTED_VALUE"""),87091.0)</f>
        <v>87091</v>
      </c>
      <c r="B2544" s="5">
        <f>IFERROR(__xludf.DUMMYFUNCTION("""COMPUTED_VALUE"""),44984.828923368055)</f>
        <v>44984.82892</v>
      </c>
      <c r="C2544" s="1" t="str">
        <f>IFERROR(__xludf.DUMMYFUNCTION("""COMPUTED_VALUE"""),"GUIRALDEZ AGUSTIN")</f>
        <v>GUIRALDEZ AGUSTIN</v>
      </c>
      <c r="D2544" s="1" t="str">
        <f>IFERROR(__xludf.DUMMYFUNCTION("""COMPUTED_VALUE"""),"Lentes de STOCK")</f>
        <v>Lentes de STOCK</v>
      </c>
      <c r="E2544" s="1" t="str">
        <f>IFERROR(__xludf.DUMMYFUNCTION("""COMPUTED_VALUE"""),"RIVADAVIA Daniel CM")</f>
        <v>RIVADAVIA Daniel CM</v>
      </c>
      <c r="F2544" s="1" t="str">
        <f t="shared" si="1"/>
        <v>RIVADAVIA </v>
      </c>
      <c r="G2544" s="1" t="str">
        <f t="shared" si="2"/>
        <v>Daniel CM</v>
      </c>
      <c r="H2544" s="1" t="str">
        <f>IFERROR(__xludf.DUMMYFUNCTION("""COMPUTED_VALUE"""),"4/3/2023, 17:00:00")</f>
        <v>4/3/2023, 17:00:00</v>
      </c>
      <c r="I2544" s="1" t="str">
        <f>IFERROR(__xludf.DUMMYFUNCTION("""COMPUTED_VALUE"""),"Completado en SUCURSAL")</f>
        <v>Completado en SUCURSAL</v>
      </c>
      <c r="J2544" s="1">
        <f t="shared" si="3"/>
        <v>5</v>
      </c>
      <c r="K2544" s="1" t="str">
        <f t="shared" si="4"/>
        <v>Tus Lentes estan LISTAS PARA ENTREGAR, te esperamos.</v>
      </c>
    </row>
    <row r="2545">
      <c r="A2545" s="1">
        <f>IFERROR(__xludf.DUMMYFUNCTION("""COMPUTED_VALUE"""),87092.0)</f>
        <v>87092</v>
      </c>
      <c r="B2545" s="5">
        <f>IFERROR(__xludf.DUMMYFUNCTION("""COMPUTED_VALUE"""),44984.82976068287)</f>
        <v>44984.82976</v>
      </c>
      <c r="C2545" s="1" t="str">
        <f>IFERROR(__xludf.DUMMYFUNCTION("""COMPUTED_VALUE"""),"ojeda pereyra jose")</f>
        <v>ojeda pereyra jose</v>
      </c>
      <c r="D2545" s="1" t="str">
        <f>IFERROR(__xludf.DUMMYFUNCTION("""COMPUTED_VALUE"""),"Lentes de STOCK")</f>
        <v>Lentes de STOCK</v>
      </c>
      <c r="E2545" s="1" t="str">
        <f>IFERROR(__xludf.DUMMYFUNCTION("""COMPUTED_VALUE"""),"RIVADAVIA Santiago N")</f>
        <v>RIVADAVIA Santiago N</v>
      </c>
      <c r="F2545" s="1" t="str">
        <f t="shared" si="1"/>
        <v>RIVADAVIA </v>
      </c>
      <c r="G2545" s="1" t="str">
        <f t="shared" si="2"/>
        <v>Santiago N</v>
      </c>
      <c r="H2545" s="1" t="str">
        <f>IFERROR(__xludf.DUMMYFUNCTION("""COMPUTED_VALUE"""),"2/3/2023, 17:00:00")</f>
        <v>2/3/2023, 17:00:00</v>
      </c>
      <c r="I2545" s="1" t="str">
        <f>IFERROR(__xludf.DUMMYFUNCTION("""COMPUTED_VALUE"""),"Recibido en Laboratorio")</f>
        <v>Recibido en Laboratorio</v>
      </c>
      <c r="J2545" s="1">
        <f t="shared" si="3"/>
        <v>2</v>
      </c>
      <c r="K2545" s="1" t="str">
        <f t="shared" si="4"/>
        <v>Nuestro Laboratorio esta trabajando en tus lentes, los entregaremos en la fecha acordada.</v>
      </c>
    </row>
    <row r="2546">
      <c r="A2546" s="1">
        <f>IFERROR(__xludf.DUMMYFUNCTION("""COMPUTED_VALUE"""),87093.0)</f>
        <v>87093</v>
      </c>
      <c r="B2546" s="5">
        <f>IFERROR(__xludf.DUMMYFUNCTION("""COMPUTED_VALUE"""),44984.83073828704)</f>
        <v>44984.83074</v>
      </c>
      <c r="C2546" s="1" t="str">
        <f>IFERROR(__xludf.DUMMYFUNCTION("""COMPUTED_VALUE"""),"TORRES MIGUEL ANGEL")</f>
        <v>TORRES MIGUEL ANGEL</v>
      </c>
      <c r="D2546" s="1" t="str">
        <f>IFERROR(__xludf.DUMMYFUNCTION("""COMPUTED_VALUE"""),"Lentes BIFOCALES")</f>
        <v>Lentes BIFOCALES</v>
      </c>
      <c r="E2546" s="1" t="str">
        <f>IFERROR(__xludf.DUMMYFUNCTION("""COMPUTED_VALUE"""),"RIVADAVIA Javier")</f>
        <v>RIVADAVIA Javier</v>
      </c>
      <c r="F2546" s="1" t="str">
        <f t="shared" si="1"/>
        <v>RIVADAVIA </v>
      </c>
      <c r="G2546" s="1" t="str">
        <f t="shared" si="2"/>
        <v>Javier</v>
      </c>
      <c r="H2546" s="1" t="str">
        <f>IFERROR(__xludf.DUMMYFUNCTION("""COMPUTED_VALUE"""),"7/3/2023, 17:00:00")</f>
        <v>7/3/2023, 17:00:00</v>
      </c>
      <c r="I2546" s="1" t="str">
        <f>IFERROR(__xludf.DUMMYFUNCTION("""COMPUTED_VALUE"""),"Completado en SUCURSAL")</f>
        <v>Completado en SUCURSAL</v>
      </c>
      <c r="J2546" s="1">
        <f t="shared" si="3"/>
        <v>5</v>
      </c>
      <c r="K2546" s="1" t="str">
        <f t="shared" si="4"/>
        <v>Tus Lentes estan LISTAS PARA ENTREGAR, te esperamos.</v>
      </c>
    </row>
    <row r="2547">
      <c r="A2547" s="1">
        <f>IFERROR(__xludf.DUMMYFUNCTION("""COMPUTED_VALUE"""),87094.0)</f>
        <v>87094</v>
      </c>
      <c r="B2547" s="5">
        <f>IFERROR(__xludf.DUMMYFUNCTION("""COMPUTED_VALUE"""),44984.83542336806)</f>
        <v>44984.83542</v>
      </c>
      <c r="C2547" s="1" t="str">
        <f>IFERROR(__xludf.DUMMYFUNCTION("""COMPUTED_VALUE"""),"FERNANDEZ MAURICIO")</f>
        <v>FERNANDEZ MAURICIO</v>
      </c>
      <c r="D2547" s="1" t="str">
        <f>IFERROR(__xludf.DUMMYFUNCTION("""COMPUTED_VALUE"""),"Lentes de STOCK")</f>
        <v>Lentes de STOCK</v>
      </c>
      <c r="E2547" s="1" t="str">
        <f>IFERROR(__xludf.DUMMYFUNCTION("""COMPUTED_VALUE"""),"ARTIGAS Ivana P.")</f>
        <v>ARTIGAS Ivana P.</v>
      </c>
      <c r="F2547" s="1" t="str">
        <f t="shared" si="1"/>
        <v>ARTIGAS </v>
      </c>
      <c r="G2547" s="1" t="str">
        <f t="shared" si="2"/>
        <v>Ivana P.</v>
      </c>
      <c r="H2547" s="1" t="str">
        <f>IFERROR(__xludf.DUMMYFUNCTION("""COMPUTED_VALUE"""),"3/3/2023, 17:00:00")</f>
        <v>3/3/2023, 17:00:00</v>
      </c>
      <c r="I2547" s="1" t="str">
        <f>IFERROR(__xludf.DUMMYFUNCTION("""COMPUTED_VALUE"""),"Recibido en Laboratorio")</f>
        <v>Recibido en Laboratorio</v>
      </c>
      <c r="J2547" s="1">
        <f t="shared" si="3"/>
        <v>2</v>
      </c>
      <c r="K2547" s="1" t="str">
        <f t="shared" si="4"/>
        <v>Nuestro Laboratorio esta trabajando en tus lentes, los entregaremos en la fecha acordada.</v>
      </c>
    </row>
    <row r="2548">
      <c r="A2548" s="1">
        <f>IFERROR(__xludf.DUMMYFUNCTION("""COMPUTED_VALUE"""),87095.0)</f>
        <v>87095</v>
      </c>
      <c r="B2548" s="5">
        <f>IFERROR(__xludf.DUMMYFUNCTION("""COMPUTED_VALUE"""),44984.843470011576)</f>
        <v>44984.84347</v>
      </c>
      <c r="C2548" s="1" t="str">
        <f>IFERROR(__xludf.DUMMYFUNCTION("""COMPUTED_VALUE"""),"RODRIGUEZ ANDRADE LOURDES MICALEA")</f>
        <v>RODRIGUEZ ANDRADE LOURDES MICALEA</v>
      </c>
      <c r="D2548" s="1" t="str">
        <f>IFERROR(__xludf.DUMMYFUNCTION("""COMPUTED_VALUE"""),"Lentes de STOCK")</f>
        <v>Lentes de STOCK</v>
      </c>
      <c r="E2548" s="1" t="str">
        <f>IFERROR(__xludf.DUMMYFUNCTION("""COMPUTED_VALUE"""),"RIVADAVIA Santiago LOPEZ")</f>
        <v>RIVADAVIA Santiago LOPEZ</v>
      </c>
      <c r="F2548" s="1" t="str">
        <f t="shared" si="1"/>
        <v>RIVADAVIA </v>
      </c>
      <c r="G2548" s="1" t="str">
        <f t="shared" si="2"/>
        <v>Santiago LOPEZ</v>
      </c>
      <c r="H2548" s="1" t="str">
        <f>IFERROR(__xludf.DUMMYFUNCTION("""COMPUTED_VALUE"""),"2/3/2023, 17:00:00")</f>
        <v>2/3/2023, 17:00:00</v>
      </c>
      <c r="I2548" s="1" t="str">
        <f>IFERROR(__xludf.DUMMYFUNCTION("""COMPUTED_VALUE"""),"Recibido en Laboratorio")</f>
        <v>Recibido en Laboratorio</v>
      </c>
      <c r="J2548" s="1">
        <f t="shared" si="3"/>
        <v>2</v>
      </c>
      <c r="K2548" s="1" t="str">
        <f t="shared" si="4"/>
        <v>Nuestro Laboratorio esta trabajando en tus lentes, los entregaremos en la fecha acordada.</v>
      </c>
    </row>
    <row r="2549">
      <c r="A2549" s="1">
        <f>IFERROR(__xludf.DUMMYFUNCTION("""COMPUTED_VALUE"""),87096.0)</f>
        <v>87096</v>
      </c>
      <c r="B2549" s="5">
        <f>IFERROR(__xludf.DUMMYFUNCTION("""COMPUTED_VALUE"""),44985.38283863426)</f>
        <v>44985.38284</v>
      </c>
      <c r="C2549" s="1" t="str">
        <f>IFERROR(__xludf.DUMMYFUNCTION("""COMPUTED_VALUE"""),"OCAÑA ARNALDO DARIO")</f>
        <v>OCAÑA ARNALDO DARIO</v>
      </c>
      <c r="D2549" s="1" t="str">
        <f>IFERROR(__xludf.DUMMYFUNCTION("""COMPUTED_VALUE"""),"Lentes de STOCK")</f>
        <v>Lentes de STOCK</v>
      </c>
      <c r="E2549" s="1" t="str">
        <f>IFERROR(__xludf.DUMMYFUNCTION("""COMPUTED_VALUE"""),"RIVADAVIA Daniel CM")</f>
        <v>RIVADAVIA Daniel CM</v>
      </c>
      <c r="F2549" s="1" t="str">
        <f t="shared" si="1"/>
        <v>RIVADAVIA </v>
      </c>
      <c r="G2549" s="1" t="str">
        <f t="shared" si="2"/>
        <v>Daniel CM</v>
      </c>
      <c r="H2549" s="1" t="str">
        <f>IFERROR(__xludf.DUMMYFUNCTION("""COMPUTED_VALUE"""),"6/3/2023, 17:00:00")</f>
        <v>6/3/2023, 17:00:00</v>
      </c>
      <c r="I2549" s="1" t="str">
        <f>IFERROR(__xludf.DUMMYFUNCTION("""COMPUTED_VALUE"""),"Completado en SUCURSAL")</f>
        <v>Completado en SUCURSAL</v>
      </c>
      <c r="J2549" s="1">
        <f t="shared" si="3"/>
        <v>5</v>
      </c>
      <c r="K2549" s="1" t="str">
        <f t="shared" si="4"/>
        <v>Tus Lentes estan LISTAS PARA ENTREGAR, te esperamos.</v>
      </c>
    </row>
    <row r="2550">
      <c r="A2550" s="1">
        <f>IFERROR(__xludf.DUMMYFUNCTION("""COMPUTED_VALUE"""),87097.0)</f>
        <v>87097</v>
      </c>
      <c r="B2550" s="5">
        <f>IFERROR(__xludf.DUMMYFUNCTION("""COMPUTED_VALUE"""),44985.383986064815)</f>
        <v>44985.38399</v>
      </c>
      <c r="C2550" s="1" t="str">
        <f>IFERROR(__xludf.DUMMYFUNCTION("""COMPUTED_VALUE"""),"FERNANDEZ EDGAR")</f>
        <v>FERNANDEZ EDGAR</v>
      </c>
      <c r="D2550" s="1" t="str">
        <f>IFERROR(__xludf.DUMMYFUNCTION("""COMPUTED_VALUE"""),"Lentes BIFOCALES")</f>
        <v>Lentes BIFOCALES</v>
      </c>
      <c r="E2550" s="1" t="str">
        <f>IFERROR(__xludf.DUMMYFUNCTION("""COMPUTED_VALUE"""),"ARTIGAS Cristian C.")</f>
        <v>ARTIGAS Cristian C.</v>
      </c>
      <c r="F2550" s="1" t="str">
        <f t="shared" si="1"/>
        <v>ARTIGAS </v>
      </c>
      <c r="G2550" s="1" t="str">
        <f t="shared" si="2"/>
        <v>Cristian C.</v>
      </c>
      <c r="H2550" s="1" t="str">
        <f>IFERROR(__xludf.DUMMYFUNCTION("""COMPUTED_VALUE"""),"10/3/2023, 17:00:00")</f>
        <v>10/3/2023, 17:00:00</v>
      </c>
      <c r="I2550" s="1" t="str">
        <f>IFERROR(__xludf.DUMMYFUNCTION("""COMPUTED_VALUE"""),"Recibido en Laboratorio")</f>
        <v>Recibido en Laboratorio</v>
      </c>
      <c r="J2550" s="1">
        <f t="shared" si="3"/>
        <v>2</v>
      </c>
      <c r="K2550" s="1" t="str">
        <f t="shared" si="4"/>
        <v>Nuestro Laboratorio esta trabajando en tus lentes, los entregaremos en la fecha acordada.</v>
      </c>
    </row>
    <row r="2551">
      <c r="A2551" s="1">
        <f>IFERROR(__xludf.DUMMYFUNCTION("""COMPUTED_VALUE"""),87098.0)</f>
        <v>87098</v>
      </c>
      <c r="B2551" s="5">
        <f>IFERROR(__xludf.DUMMYFUNCTION("""COMPUTED_VALUE"""),44985.38455184028)</f>
        <v>44985.38455</v>
      </c>
      <c r="C2551" s="1" t="str">
        <f>IFERROR(__xludf.DUMMYFUNCTION("""COMPUTED_VALUE"""),"MEDERO NATALIA")</f>
        <v>MEDERO NATALIA</v>
      </c>
      <c r="D2551" s="1" t="str">
        <f>IFERROR(__xludf.DUMMYFUNCTION("""COMPUTED_VALUE"""),"Lentes de STOCK")</f>
        <v>Lentes de STOCK</v>
      </c>
      <c r="E2551" s="1" t="str">
        <f>IFERROR(__xludf.DUMMYFUNCTION("""COMPUTED_VALUE"""),"ARTIGAS Ivana P.")</f>
        <v>ARTIGAS Ivana P.</v>
      </c>
      <c r="F2551" s="1" t="str">
        <f t="shared" si="1"/>
        <v>ARTIGAS </v>
      </c>
      <c r="G2551" s="1" t="str">
        <f t="shared" si="2"/>
        <v>Ivana P.</v>
      </c>
      <c r="H2551" s="1" t="str">
        <f>IFERROR(__xludf.DUMMYFUNCTION("""COMPUTED_VALUE"""),"3/3/2023, 17:00:00")</f>
        <v>3/3/2023, 17:00:00</v>
      </c>
      <c r="I2551" s="1" t="str">
        <f>IFERROR(__xludf.DUMMYFUNCTION("""COMPUTED_VALUE"""),"Recibido en Laboratorio")</f>
        <v>Recibido en Laboratorio</v>
      </c>
      <c r="J2551" s="1">
        <f t="shared" si="3"/>
        <v>2</v>
      </c>
      <c r="K2551" s="1" t="str">
        <f t="shared" si="4"/>
        <v>Nuestro Laboratorio esta trabajando en tus lentes, los entregaremos en la fecha acordada.</v>
      </c>
    </row>
    <row r="2552">
      <c r="A2552" s="1">
        <f>IFERROR(__xludf.DUMMYFUNCTION("""COMPUTED_VALUE"""),87099.0)</f>
        <v>87099</v>
      </c>
      <c r="B2552" s="5">
        <f>IFERROR(__xludf.DUMMYFUNCTION("""COMPUTED_VALUE"""),44985.39137215278)</f>
        <v>44985.39137</v>
      </c>
      <c r="C2552" s="1" t="str">
        <f>IFERROR(__xludf.DUMMYFUNCTION("""COMPUTED_VALUE"""),"FUNES GLADI")</f>
        <v>FUNES GLADI</v>
      </c>
      <c r="D2552" s="1" t="str">
        <f>IFERROR(__xludf.DUMMYFUNCTION("""COMPUTED_VALUE"""),"Lentes de STOCK")</f>
        <v>Lentes de STOCK</v>
      </c>
      <c r="E2552" s="1" t="str">
        <f>IFERROR(__xludf.DUMMYFUNCTION("""COMPUTED_VALUE"""),"ARTIGAS Ivana P.")</f>
        <v>ARTIGAS Ivana P.</v>
      </c>
      <c r="F2552" s="1" t="str">
        <f t="shared" si="1"/>
        <v>ARTIGAS </v>
      </c>
      <c r="G2552" s="1" t="str">
        <f t="shared" si="2"/>
        <v>Ivana P.</v>
      </c>
      <c r="H2552" s="1" t="str">
        <f>IFERROR(__xludf.DUMMYFUNCTION("""COMPUTED_VALUE"""),"3/3/2023, 17:00:00")</f>
        <v>3/3/2023, 17:00:00</v>
      </c>
      <c r="I2552" s="1" t="str">
        <f>IFERROR(__xludf.DUMMYFUNCTION("""COMPUTED_VALUE"""),"Recibido en Laboratorio")</f>
        <v>Recibido en Laboratorio</v>
      </c>
      <c r="J2552" s="1">
        <f t="shared" si="3"/>
        <v>2</v>
      </c>
      <c r="K2552" s="1" t="str">
        <f t="shared" si="4"/>
        <v>Nuestro Laboratorio esta trabajando en tus lentes, los entregaremos en la fecha acordada.</v>
      </c>
    </row>
    <row r="2553">
      <c r="A2553" s="1">
        <f>IFERROR(__xludf.DUMMYFUNCTION("""COMPUTED_VALUE"""),87100.0)</f>
        <v>87100</v>
      </c>
      <c r="B2553" s="5">
        <f>IFERROR(__xludf.DUMMYFUNCTION("""COMPUTED_VALUE"""),44985.39929207176)</f>
        <v>44985.39929</v>
      </c>
      <c r="C2553" s="1" t="str">
        <f>IFERROR(__xludf.DUMMYFUNCTION("""COMPUTED_VALUE"""),"heredia yanina")</f>
        <v>heredia yanina</v>
      </c>
      <c r="D2553" s="1" t="str">
        <f>IFERROR(__xludf.DUMMYFUNCTION("""COMPUTED_VALUE"""),"Lentes de LABORATORIO")</f>
        <v>Lentes de LABORATORIO</v>
      </c>
      <c r="E2553" s="1" t="str">
        <f>IFERROR(__xludf.DUMMYFUNCTION("""COMPUTED_VALUE"""),"RIVADAVIA Santiago N")</f>
        <v>RIVADAVIA Santiago N</v>
      </c>
      <c r="F2553" s="1" t="str">
        <f t="shared" si="1"/>
        <v>RIVADAVIA </v>
      </c>
      <c r="G2553" s="1" t="str">
        <f t="shared" si="2"/>
        <v>Santiago N</v>
      </c>
      <c r="H2553" s="1" t="str">
        <f>IFERROR(__xludf.DUMMYFUNCTION("""COMPUTED_VALUE"""),"8/3/2023, 17:00:00")</f>
        <v>8/3/2023, 17:00:00</v>
      </c>
      <c r="I2553" s="1" t="str">
        <f>IFERROR(__xludf.DUMMYFUNCTION("""COMPUTED_VALUE"""),"Completado en SUCURSAL")</f>
        <v>Completado en SUCURSAL</v>
      </c>
      <c r="J2553" s="1">
        <f t="shared" si="3"/>
        <v>5</v>
      </c>
      <c r="K2553" s="1" t="str">
        <f t="shared" si="4"/>
        <v>Tus Lentes estan LISTAS PARA ENTREGAR, te esperamos.</v>
      </c>
    </row>
    <row r="2554">
      <c r="A2554" s="1">
        <f>IFERROR(__xludf.DUMMYFUNCTION("""COMPUTED_VALUE"""),87101.0)</f>
        <v>87101</v>
      </c>
      <c r="B2554" s="5">
        <f>IFERROR(__xludf.DUMMYFUNCTION("""COMPUTED_VALUE"""),44985.403918310185)</f>
        <v>44985.40392</v>
      </c>
      <c r="C2554" s="1" t="str">
        <f>IFERROR(__xludf.DUMMYFUNCTION("""COMPUTED_VALUE"""),"FAVIER HUGO")</f>
        <v>FAVIER HUGO</v>
      </c>
      <c r="D2554" s="1" t="str">
        <f>IFERROR(__xludf.DUMMYFUNCTION("""COMPUTED_VALUE"""),"Lentes de STOCK")</f>
        <v>Lentes de STOCK</v>
      </c>
      <c r="E2554" s="1" t="str">
        <f>IFERROR(__xludf.DUMMYFUNCTION("""COMPUTED_VALUE"""),"ARTIGAS Ivana P.")</f>
        <v>ARTIGAS Ivana P.</v>
      </c>
      <c r="F2554" s="1" t="str">
        <f t="shared" si="1"/>
        <v>ARTIGAS </v>
      </c>
      <c r="G2554" s="1" t="str">
        <f t="shared" si="2"/>
        <v>Ivana P.</v>
      </c>
      <c r="H2554" s="1" t="str">
        <f>IFERROR(__xludf.DUMMYFUNCTION("""COMPUTED_VALUE"""),"6/3/2023, 17:00:00")</f>
        <v>6/3/2023, 17:00:00</v>
      </c>
      <c r="I2554" s="1" t="str">
        <f>IFERROR(__xludf.DUMMYFUNCTION("""COMPUTED_VALUE"""),"Completado en SUCURSAL")</f>
        <v>Completado en SUCURSAL</v>
      </c>
      <c r="J2554" s="1">
        <f t="shared" si="3"/>
        <v>5</v>
      </c>
      <c r="K2554" s="1" t="str">
        <f t="shared" si="4"/>
        <v>Tus Lentes estan LISTAS PARA ENTREGAR, te esperamos.</v>
      </c>
    </row>
    <row r="2555">
      <c r="A2555" s="1">
        <f>IFERROR(__xludf.DUMMYFUNCTION("""COMPUTED_VALUE"""),87102.0)</f>
        <v>87102</v>
      </c>
      <c r="B2555" s="5">
        <f>IFERROR(__xludf.DUMMYFUNCTION("""COMPUTED_VALUE"""),44985.40472013889)</f>
        <v>44985.40472</v>
      </c>
      <c r="C2555" s="1" t="str">
        <f>IFERROR(__xludf.DUMMYFUNCTION("""COMPUTED_VALUE"""),"SCADDING LILIANA")</f>
        <v>SCADDING LILIANA</v>
      </c>
      <c r="D2555" s="1" t="str">
        <f>IFERROR(__xludf.DUMMYFUNCTION("""COMPUTED_VALUE"""),"Reparaciones/Otros")</f>
        <v>Reparaciones/Otros</v>
      </c>
      <c r="E2555" s="1" t="str">
        <f>IFERROR(__xludf.DUMMYFUNCTION("""COMPUTED_VALUE"""),"RIVADAVIA Santiago LOPEZ")</f>
        <v>RIVADAVIA Santiago LOPEZ</v>
      </c>
      <c r="F2555" s="1" t="str">
        <f t="shared" si="1"/>
        <v>RIVADAVIA </v>
      </c>
      <c r="G2555" s="1" t="str">
        <f t="shared" si="2"/>
        <v>Santiago LOPEZ</v>
      </c>
      <c r="H2555" s="1" t="str">
        <f>IFERROR(__xludf.DUMMYFUNCTION("""COMPUTED_VALUE"""),"1/3/2023, 17:00:00")</f>
        <v>1/3/2023, 17:00:00</v>
      </c>
      <c r="I2555" s="1" t="str">
        <f>IFERROR(__xludf.DUMMYFUNCTION("""COMPUTED_VALUE"""),"Completado en SUCURSAL")</f>
        <v>Completado en SUCURSAL</v>
      </c>
      <c r="J2555" s="1">
        <f t="shared" si="3"/>
        <v>5</v>
      </c>
      <c r="K2555" s="1" t="str">
        <f t="shared" si="4"/>
        <v>Tus Lentes estan LISTAS PARA ENTREGAR, te esperamos.</v>
      </c>
    </row>
    <row r="2556">
      <c r="A2556" s="1">
        <f>IFERROR(__xludf.DUMMYFUNCTION("""COMPUTED_VALUE"""),87103.0)</f>
        <v>87103</v>
      </c>
      <c r="B2556" s="5">
        <f>IFERROR(__xludf.DUMMYFUNCTION("""COMPUTED_VALUE"""),44985.40564866898)</f>
        <v>44985.40565</v>
      </c>
      <c r="C2556" s="1" t="str">
        <f>IFERROR(__xludf.DUMMYFUNCTION("""COMPUTED_VALUE"""),"Isaguirre Marta")</f>
        <v>Isaguirre Marta</v>
      </c>
      <c r="D2556" s="1" t="str">
        <f>IFERROR(__xludf.DUMMYFUNCTION("""COMPUTED_VALUE"""),"Reparaciones/Otros")</f>
        <v>Reparaciones/Otros</v>
      </c>
      <c r="E2556" s="1" t="str">
        <f>IFERROR(__xludf.DUMMYFUNCTION("""COMPUTED_VALUE"""),"ARTIGAS Sandra G")</f>
        <v>ARTIGAS Sandra G</v>
      </c>
      <c r="F2556" s="1" t="str">
        <f t="shared" si="1"/>
        <v>ARTIGAS </v>
      </c>
      <c r="G2556" s="1" t="str">
        <f t="shared" si="2"/>
        <v>Sandra G</v>
      </c>
      <c r="H2556" s="1" t="str">
        <f>IFERROR(__xludf.DUMMYFUNCTION("""COMPUTED_VALUE"""),"3/3/2023, 17:00:00")</f>
        <v>3/3/2023, 17:00:00</v>
      </c>
      <c r="I2556" s="1" t="str">
        <f>IFERROR(__xludf.DUMMYFUNCTION("""COMPUTED_VALUE"""),"Recibido en Laboratorio")</f>
        <v>Recibido en Laboratorio</v>
      </c>
      <c r="J2556" s="1">
        <f t="shared" si="3"/>
        <v>2</v>
      </c>
      <c r="K2556" s="1" t="str">
        <f t="shared" si="4"/>
        <v>Nuestro Laboratorio esta trabajando en tus lentes, los entregaremos en la fecha acordada.</v>
      </c>
    </row>
    <row r="2557">
      <c r="A2557" s="1">
        <f>IFERROR(__xludf.DUMMYFUNCTION("""COMPUTED_VALUE"""),87104.0)</f>
        <v>87104</v>
      </c>
      <c r="B2557" s="5">
        <f>IFERROR(__xludf.DUMMYFUNCTION("""COMPUTED_VALUE"""),44985.40777790509)</f>
        <v>44985.40778</v>
      </c>
      <c r="C2557" s="1" t="str">
        <f>IFERROR(__xludf.DUMMYFUNCTION("""COMPUTED_VALUE"""),"AMAYA RAUL")</f>
        <v>AMAYA RAUL</v>
      </c>
      <c r="D2557" s="1" t="str">
        <f>IFERROR(__xludf.DUMMYFUNCTION("""COMPUTED_VALUE"""),"Lentes de STOCK")</f>
        <v>Lentes de STOCK</v>
      </c>
      <c r="E2557" s="1" t="str">
        <f>IFERROR(__xludf.DUMMYFUNCTION("""COMPUTED_VALUE"""),"RIVADAVIA Luciana")</f>
        <v>RIVADAVIA Luciana</v>
      </c>
      <c r="F2557" s="1" t="str">
        <f t="shared" si="1"/>
        <v>RIVADAVIA </v>
      </c>
      <c r="G2557" s="1" t="str">
        <f t="shared" si="2"/>
        <v>Luciana</v>
      </c>
      <c r="H2557" s="1" t="str">
        <f>IFERROR(__xludf.DUMMYFUNCTION("""COMPUTED_VALUE"""),"6/3/2023, 17:00:00")</f>
        <v>6/3/2023, 17:00:00</v>
      </c>
      <c r="I2557" s="1" t="str">
        <f>IFERROR(__xludf.DUMMYFUNCTION("""COMPUTED_VALUE"""),"Recibido en Laboratorio")</f>
        <v>Recibido en Laboratorio</v>
      </c>
      <c r="J2557" s="1">
        <f t="shared" si="3"/>
        <v>2</v>
      </c>
      <c r="K2557" s="1" t="str">
        <f t="shared" si="4"/>
        <v>Nuestro Laboratorio esta trabajando en tus lentes, los entregaremos en la fecha acordada.</v>
      </c>
    </row>
    <row r="2558">
      <c r="A2558" s="1">
        <f>IFERROR(__xludf.DUMMYFUNCTION("""COMPUTED_VALUE"""),87105.0)</f>
        <v>87105</v>
      </c>
      <c r="B2558" s="5">
        <f>IFERROR(__xludf.DUMMYFUNCTION("""COMPUTED_VALUE"""),44985.41783201389)</f>
        <v>44985.41783</v>
      </c>
      <c r="C2558" s="1" t="str">
        <f>IFERROR(__xludf.DUMMYFUNCTION("""COMPUTED_VALUE"""),"LUCERO PEREZ MICAELA ")</f>
        <v>LUCERO PEREZ MICAELA </v>
      </c>
      <c r="D2558" s="1" t="str">
        <f>IFERROR(__xludf.DUMMYFUNCTION("""COMPUTED_VALUE"""),"Lentes de STOCK")</f>
        <v>Lentes de STOCK</v>
      </c>
      <c r="E2558" s="1" t="str">
        <f>IFERROR(__xludf.DUMMYFUNCTION("""COMPUTED_VALUE"""),"ARTIGAS Cristian C.")</f>
        <v>ARTIGAS Cristian C.</v>
      </c>
      <c r="F2558" s="1" t="str">
        <f t="shared" si="1"/>
        <v>ARTIGAS </v>
      </c>
      <c r="G2558" s="1" t="str">
        <f t="shared" si="2"/>
        <v>Cristian C.</v>
      </c>
      <c r="H2558" s="1" t="str">
        <f>IFERROR(__xludf.DUMMYFUNCTION("""COMPUTED_VALUE"""),"6/3/2023, 17:00:00")</f>
        <v>6/3/2023, 17:00:00</v>
      </c>
      <c r="I2558" s="1" t="str">
        <f>IFERROR(__xludf.DUMMYFUNCTION("""COMPUTED_VALUE"""),"Completado en SUCURSAL")</f>
        <v>Completado en SUCURSAL</v>
      </c>
      <c r="J2558" s="1">
        <f t="shared" si="3"/>
        <v>5</v>
      </c>
      <c r="K2558" s="1" t="str">
        <f t="shared" si="4"/>
        <v>Tus Lentes estan LISTAS PARA ENTREGAR, te esperamos.</v>
      </c>
    </row>
    <row r="2559">
      <c r="A2559" s="1">
        <f>IFERROR(__xludf.DUMMYFUNCTION("""COMPUTED_VALUE"""),87106.0)</f>
        <v>87106</v>
      </c>
      <c r="B2559" s="5">
        <f>IFERROR(__xludf.DUMMYFUNCTION("""COMPUTED_VALUE"""),44985.424359791665)</f>
        <v>44985.42436</v>
      </c>
      <c r="C2559" s="1" t="str">
        <f>IFERROR(__xludf.DUMMYFUNCTION("""COMPUTED_VALUE"""),"jose ramiro")</f>
        <v>jose ramiro</v>
      </c>
      <c r="D2559" s="1" t="str">
        <f>IFERROR(__xludf.DUMMYFUNCTION("""COMPUTED_VALUE"""),"Reparaciones/Otros")</f>
        <v>Reparaciones/Otros</v>
      </c>
      <c r="E2559" s="1" t="str">
        <f>IFERROR(__xludf.DUMMYFUNCTION("""COMPUTED_VALUE"""),"RIVADAVIA Santiago N")</f>
        <v>RIVADAVIA Santiago N</v>
      </c>
      <c r="F2559" s="1" t="str">
        <f t="shared" si="1"/>
        <v>RIVADAVIA </v>
      </c>
      <c r="G2559" s="1" t="str">
        <f t="shared" si="2"/>
        <v>Santiago N</v>
      </c>
      <c r="H2559" s="1" t="str">
        <f>IFERROR(__xludf.DUMMYFUNCTION("""COMPUTED_VALUE"""),"1/3/2023, 17:00:00")</f>
        <v>1/3/2023, 17:00:00</v>
      </c>
      <c r="I2559" s="1" t="str">
        <f>IFERROR(__xludf.DUMMYFUNCTION("""COMPUTED_VALUE"""),"Completado en SUCURSAL")</f>
        <v>Completado en SUCURSAL</v>
      </c>
      <c r="J2559" s="1">
        <f t="shared" si="3"/>
        <v>5</v>
      </c>
      <c r="K2559" s="1" t="str">
        <f t="shared" si="4"/>
        <v>Tus Lentes estan LISTAS PARA ENTREGAR, te esperamos.</v>
      </c>
    </row>
    <row r="2560">
      <c r="A2560" s="1">
        <f>IFERROR(__xludf.DUMMYFUNCTION("""COMPUTED_VALUE"""),87107.0)</f>
        <v>87107</v>
      </c>
      <c r="B2560" s="5">
        <f>IFERROR(__xludf.DUMMYFUNCTION("""COMPUTED_VALUE"""),44985.42521184028)</f>
        <v>44985.42521</v>
      </c>
      <c r="C2560" s="1" t="str">
        <f>IFERROR(__xludf.DUMMYFUNCTION("""COMPUTED_VALUE"""),"PAEZ MONICA ALEJANDRA")</f>
        <v>PAEZ MONICA ALEJANDRA</v>
      </c>
      <c r="D2560" s="1" t="str">
        <f>IFERROR(__xludf.DUMMYFUNCTION("""COMPUTED_VALUE"""),"Lentes MULTIFOCALES")</f>
        <v>Lentes MULTIFOCALES</v>
      </c>
      <c r="E2560" s="1" t="str">
        <f>IFERROR(__xludf.DUMMYFUNCTION("""COMPUTED_VALUE"""),"RIVADAVIA Marcela L")</f>
        <v>RIVADAVIA Marcela L</v>
      </c>
      <c r="F2560" s="1" t="str">
        <f t="shared" si="1"/>
        <v>RIVADAVIA </v>
      </c>
      <c r="G2560" s="1" t="str">
        <f t="shared" si="2"/>
        <v>Marcela L</v>
      </c>
      <c r="H2560" s="1" t="str">
        <f>IFERROR(__xludf.DUMMYFUNCTION("""COMPUTED_VALUE"""),"21/3/2023, 17:00:00")</f>
        <v>21/3/2023, 17:00:00</v>
      </c>
      <c r="I2560" s="1" t="str">
        <f>IFERROR(__xludf.DUMMYFUNCTION("""COMPUTED_VALUE"""),"Completado en SUCURSAL")</f>
        <v>Completado en SUCURSAL</v>
      </c>
      <c r="J2560" s="1">
        <f t="shared" si="3"/>
        <v>5</v>
      </c>
      <c r="K2560" s="1" t="str">
        <f t="shared" si="4"/>
        <v>Tus Lentes estan LISTAS PARA ENTREGAR, te esperamos.</v>
      </c>
    </row>
    <row r="2561">
      <c r="A2561" s="1">
        <f>IFERROR(__xludf.DUMMYFUNCTION("""COMPUTED_VALUE"""),87108.0)</f>
        <v>87108</v>
      </c>
      <c r="B2561" s="5">
        <f>IFERROR(__xludf.DUMMYFUNCTION("""COMPUTED_VALUE"""),44985.42578604167)</f>
        <v>44985.42579</v>
      </c>
      <c r="C2561" s="1" t="str">
        <f>IFERROR(__xludf.DUMMYFUNCTION("""COMPUTED_VALUE"""),"GARRO DANIEL")</f>
        <v>GARRO DANIEL</v>
      </c>
      <c r="D2561" s="1" t="str">
        <f>IFERROR(__xludf.DUMMYFUNCTION("""COMPUTED_VALUE"""),"Reparaciones/Otros")</f>
        <v>Reparaciones/Otros</v>
      </c>
      <c r="E2561" s="1" t="str">
        <f>IFERROR(__xludf.DUMMYFUNCTION("""COMPUTED_VALUE"""),"ARTIGAS Ivana P.")</f>
        <v>ARTIGAS Ivana P.</v>
      </c>
      <c r="F2561" s="1" t="str">
        <f t="shared" si="1"/>
        <v>ARTIGAS </v>
      </c>
      <c r="G2561" s="1" t="str">
        <f t="shared" si="2"/>
        <v>Ivana P.</v>
      </c>
      <c r="H2561" s="1" t="str">
        <f>IFERROR(__xludf.DUMMYFUNCTION("""COMPUTED_VALUE"""),"1/3/2023, 17:00:00")</f>
        <v>1/3/2023, 17:00:00</v>
      </c>
      <c r="I2561" s="1" t="str">
        <f>IFERROR(__xludf.DUMMYFUNCTION("""COMPUTED_VALUE"""),"Completado en SUCURSAL")</f>
        <v>Completado en SUCURSAL</v>
      </c>
      <c r="J2561" s="1">
        <f t="shared" si="3"/>
        <v>5</v>
      </c>
      <c r="K2561" s="1" t="str">
        <f t="shared" si="4"/>
        <v>Tus Lentes estan LISTAS PARA ENTREGAR, te esperamos.</v>
      </c>
    </row>
    <row r="2562">
      <c r="A2562" s="1">
        <f>IFERROR(__xludf.DUMMYFUNCTION("""COMPUTED_VALUE"""),87109.0)</f>
        <v>87109</v>
      </c>
      <c r="B2562" s="5">
        <f>IFERROR(__xludf.DUMMYFUNCTION("""COMPUTED_VALUE"""),44985.43057728009)</f>
        <v>44985.43058</v>
      </c>
      <c r="C2562" s="1" t="str">
        <f>IFERROR(__xludf.DUMMYFUNCTION("""COMPUTED_VALUE"""),"MARTINES LEONARDO")</f>
        <v>MARTINES LEONARDO</v>
      </c>
      <c r="D2562" s="1" t="str">
        <f>IFERROR(__xludf.DUMMYFUNCTION("""COMPUTED_VALUE"""),"Lentes de STOCK")</f>
        <v>Lentes de STOCK</v>
      </c>
      <c r="E2562" s="1" t="str">
        <f>IFERROR(__xludf.DUMMYFUNCTION("""COMPUTED_VALUE"""),"ARTIGAS Cristian C.")</f>
        <v>ARTIGAS Cristian C.</v>
      </c>
      <c r="F2562" s="1" t="str">
        <f t="shared" si="1"/>
        <v>ARTIGAS </v>
      </c>
      <c r="G2562" s="1" t="str">
        <f t="shared" si="2"/>
        <v>Cristian C.</v>
      </c>
      <c r="H2562" s="1" t="str">
        <f>IFERROR(__xludf.DUMMYFUNCTION("""COMPUTED_VALUE"""),"2/3/2023, 17:00:00")</f>
        <v>2/3/2023, 17:00:00</v>
      </c>
      <c r="I2562" s="1" t="str">
        <f>IFERROR(__xludf.DUMMYFUNCTION("""COMPUTED_VALUE"""),"Recibido en Laboratorio")</f>
        <v>Recibido en Laboratorio</v>
      </c>
      <c r="J2562" s="1">
        <f t="shared" si="3"/>
        <v>2</v>
      </c>
      <c r="K2562" s="1" t="str">
        <f t="shared" si="4"/>
        <v>Nuestro Laboratorio esta trabajando en tus lentes, los entregaremos en la fecha acordada.</v>
      </c>
    </row>
    <row r="2563">
      <c r="A2563" s="1">
        <f>IFERROR(__xludf.DUMMYFUNCTION("""COMPUTED_VALUE"""),87110.0)</f>
        <v>87110</v>
      </c>
      <c r="B2563" s="5">
        <f>IFERROR(__xludf.DUMMYFUNCTION("""COMPUTED_VALUE"""),44985.43146917824)</f>
        <v>44985.43147</v>
      </c>
      <c r="C2563" s="1" t="str">
        <f>IFERROR(__xludf.DUMMYFUNCTION("""COMPUTED_VALUE"""),"Lerda Jorge")</f>
        <v>Lerda Jorge</v>
      </c>
      <c r="D2563" s="1" t="str">
        <f>IFERROR(__xludf.DUMMYFUNCTION("""COMPUTED_VALUE"""),"Reparaciones/Otros")</f>
        <v>Reparaciones/Otros</v>
      </c>
      <c r="E2563" s="1" t="str">
        <f>IFERROR(__xludf.DUMMYFUNCTION("""COMPUTED_VALUE"""),"ARTIGAS Sandra G")</f>
        <v>ARTIGAS Sandra G</v>
      </c>
      <c r="F2563" s="1" t="str">
        <f t="shared" si="1"/>
        <v>ARTIGAS </v>
      </c>
      <c r="G2563" s="1" t="str">
        <f t="shared" si="2"/>
        <v>Sandra G</v>
      </c>
      <c r="H2563" s="1" t="str">
        <f>IFERROR(__xludf.DUMMYFUNCTION("""COMPUTED_VALUE"""),"1/3/2023, 17:00:00")</f>
        <v>1/3/2023, 17:00:00</v>
      </c>
      <c r="I2563" s="1"/>
      <c r="J2563" s="1">
        <f t="shared" si="3"/>
        <v>0</v>
      </c>
      <c r="K2563" s="1" t="str">
        <f t="shared" si="4"/>
        <v/>
      </c>
    </row>
    <row r="2564">
      <c r="A2564" s="1">
        <f>IFERROR(__xludf.DUMMYFUNCTION("""COMPUTED_VALUE"""),87111.0)</f>
        <v>87111</v>
      </c>
      <c r="B2564" s="5">
        <f>IFERROR(__xludf.DUMMYFUNCTION("""COMPUTED_VALUE"""),44985.434174317124)</f>
        <v>44985.43417</v>
      </c>
      <c r="C2564" s="1" t="str">
        <f>IFERROR(__xludf.DUMMYFUNCTION("""COMPUTED_VALUE"""),"bustos luis")</f>
        <v>bustos luis</v>
      </c>
      <c r="D2564" s="1" t="str">
        <f>IFERROR(__xludf.DUMMYFUNCTION("""COMPUTED_VALUE"""),"Reparaciones/Otros")</f>
        <v>Reparaciones/Otros</v>
      </c>
      <c r="E2564" s="1" t="str">
        <f>IFERROR(__xludf.DUMMYFUNCTION("""COMPUTED_VALUE"""),"RIVADAVIA Santiago N")</f>
        <v>RIVADAVIA Santiago N</v>
      </c>
      <c r="F2564" s="1" t="str">
        <f t="shared" si="1"/>
        <v>RIVADAVIA </v>
      </c>
      <c r="G2564" s="1" t="str">
        <f t="shared" si="2"/>
        <v>Santiago N</v>
      </c>
      <c r="H2564" s="1" t="str">
        <f>IFERROR(__xludf.DUMMYFUNCTION("""COMPUTED_VALUE"""),"1/3/2023, 17:00:00")</f>
        <v>1/3/2023, 17:00:00</v>
      </c>
      <c r="I2564" s="1" t="str">
        <f>IFERROR(__xludf.DUMMYFUNCTION("""COMPUTED_VALUE"""),"Recibido en Laboratorio")</f>
        <v>Recibido en Laboratorio</v>
      </c>
      <c r="J2564" s="1">
        <f t="shared" si="3"/>
        <v>2</v>
      </c>
      <c r="K2564" s="1" t="str">
        <f t="shared" si="4"/>
        <v>Nuestro Laboratorio esta trabajando en tus lentes, los entregaremos en la fecha acordada.</v>
      </c>
    </row>
    <row r="2565">
      <c r="A2565" s="1">
        <f>IFERROR(__xludf.DUMMYFUNCTION("""COMPUTED_VALUE"""),87112.0)</f>
        <v>87112</v>
      </c>
      <c r="B2565" s="5">
        <f>IFERROR(__xludf.DUMMYFUNCTION("""COMPUTED_VALUE"""),44985.43465763889)</f>
        <v>44985.43466</v>
      </c>
      <c r="C2565" s="1" t="str">
        <f>IFERROR(__xludf.DUMMYFUNCTION("""COMPUTED_VALUE"""),"BALMACEDA GRACIELA")</f>
        <v>BALMACEDA GRACIELA</v>
      </c>
      <c r="D2565" s="1" t="str">
        <f>IFERROR(__xludf.DUMMYFUNCTION("""COMPUTED_VALUE"""),"Lentes de STOCK")</f>
        <v>Lentes de STOCK</v>
      </c>
      <c r="E2565" s="1" t="str">
        <f>IFERROR(__xludf.DUMMYFUNCTION("""COMPUTED_VALUE"""),"ARTIGAS Ivana P.")</f>
        <v>ARTIGAS Ivana P.</v>
      </c>
      <c r="F2565" s="1" t="str">
        <f t="shared" si="1"/>
        <v>ARTIGAS </v>
      </c>
      <c r="G2565" s="1" t="str">
        <f t="shared" si="2"/>
        <v>Ivana P.</v>
      </c>
      <c r="H2565" s="1" t="str">
        <f>IFERROR(__xludf.DUMMYFUNCTION("""COMPUTED_VALUE"""),"6/3/2023, 17:00:00")</f>
        <v>6/3/2023, 17:00:00</v>
      </c>
      <c r="I2565" s="1" t="str">
        <f>IFERROR(__xludf.DUMMYFUNCTION("""COMPUTED_VALUE"""),"Completado en SUCURSAL")</f>
        <v>Completado en SUCURSAL</v>
      </c>
      <c r="J2565" s="1">
        <f t="shared" si="3"/>
        <v>5</v>
      </c>
      <c r="K2565" s="1" t="str">
        <f t="shared" si="4"/>
        <v>Tus Lentes estan LISTAS PARA ENTREGAR, te esperamos.</v>
      </c>
    </row>
    <row r="2566">
      <c r="A2566" s="1">
        <f>IFERROR(__xludf.DUMMYFUNCTION("""COMPUTED_VALUE"""),87113.0)</f>
        <v>87113</v>
      </c>
      <c r="B2566" s="5">
        <f>IFERROR(__xludf.DUMMYFUNCTION("""COMPUTED_VALUE"""),44985.43613815973)</f>
        <v>44985.43614</v>
      </c>
      <c r="C2566" s="1" t="str">
        <f>IFERROR(__xludf.DUMMYFUNCTION("""COMPUTED_VALUE"""),"PETERSEN JULIETA ")</f>
        <v>PETERSEN JULIETA </v>
      </c>
      <c r="D2566" s="1" t="str">
        <f>IFERROR(__xludf.DUMMYFUNCTION("""COMPUTED_VALUE"""),"Reparaciones/Otros")</f>
        <v>Reparaciones/Otros</v>
      </c>
      <c r="E2566" s="1" t="str">
        <f>IFERROR(__xludf.DUMMYFUNCTION("""COMPUTED_VALUE"""),"RIVADAVIA Santiago N")</f>
        <v>RIVADAVIA Santiago N</v>
      </c>
      <c r="F2566" s="1" t="str">
        <f t="shared" si="1"/>
        <v>RIVADAVIA </v>
      </c>
      <c r="G2566" s="1" t="str">
        <f t="shared" si="2"/>
        <v>Santiago N</v>
      </c>
      <c r="H2566" s="1" t="str">
        <f>IFERROR(__xludf.DUMMYFUNCTION("""COMPUTED_VALUE"""),"1/3/2023, 17:00:00")</f>
        <v>1/3/2023, 17:00:00</v>
      </c>
      <c r="I2566" s="1" t="str">
        <f>IFERROR(__xludf.DUMMYFUNCTION("""COMPUTED_VALUE"""),"Completado en SUCURSAL")</f>
        <v>Completado en SUCURSAL</v>
      </c>
      <c r="J2566" s="1">
        <f t="shared" si="3"/>
        <v>5</v>
      </c>
      <c r="K2566" s="1" t="str">
        <f t="shared" si="4"/>
        <v>Tus Lentes estan LISTAS PARA ENTREGAR, te esperamos.</v>
      </c>
    </row>
    <row r="2567">
      <c r="A2567" s="1">
        <f>IFERROR(__xludf.DUMMYFUNCTION("""COMPUTED_VALUE"""),87114.0)</f>
        <v>87114</v>
      </c>
      <c r="B2567" s="5">
        <f>IFERROR(__xludf.DUMMYFUNCTION("""COMPUTED_VALUE"""),44985.44104435186)</f>
        <v>44985.44104</v>
      </c>
      <c r="C2567" s="1" t="str">
        <f>IFERROR(__xludf.DUMMYFUNCTION("""COMPUTED_VALUE"""),"andrade elda")</f>
        <v>andrade elda</v>
      </c>
      <c r="D2567" s="1" t="str">
        <f>IFERROR(__xludf.DUMMYFUNCTION("""COMPUTED_VALUE"""),"Lentes BIFOCALES")</f>
        <v>Lentes BIFOCALES</v>
      </c>
      <c r="E2567" s="1" t="str">
        <f>IFERROR(__xludf.DUMMYFUNCTION("""COMPUTED_VALUE"""),"RIVADAVIA Santiago LOPEZ")</f>
        <v>RIVADAVIA Santiago LOPEZ</v>
      </c>
      <c r="F2567" s="1" t="str">
        <f t="shared" si="1"/>
        <v>RIVADAVIA </v>
      </c>
      <c r="G2567" s="1" t="str">
        <f t="shared" si="2"/>
        <v>Santiago LOPEZ</v>
      </c>
      <c r="H2567" s="1" t="str">
        <f>IFERROR(__xludf.DUMMYFUNCTION("""COMPUTED_VALUE"""),"7/3/2023, 17:00:00")</f>
        <v>7/3/2023, 17:00:00</v>
      </c>
      <c r="I2567" s="1" t="str">
        <f>IFERROR(__xludf.DUMMYFUNCTION("""COMPUTED_VALUE"""),"Completado en SUCURSAL")</f>
        <v>Completado en SUCURSAL</v>
      </c>
      <c r="J2567" s="1">
        <f t="shared" si="3"/>
        <v>5</v>
      </c>
      <c r="K2567" s="1" t="str">
        <f t="shared" si="4"/>
        <v>Tus Lentes estan LISTAS PARA ENTREGAR, te esperamos.</v>
      </c>
    </row>
    <row r="2568">
      <c r="A2568" s="1">
        <f>IFERROR(__xludf.DUMMYFUNCTION("""COMPUTED_VALUE"""),87115.0)</f>
        <v>87115</v>
      </c>
      <c r="B2568" s="5">
        <f>IFERROR(__xludf.DUMMYFUNCTION("""COMPUTED_VALUE"""),44985.44111990741)</f>
        <v>44985.44112</v>
      </c>
      <c r="C2568" s="1" t="str">
        <f>IFERROR(__xludf.DUMMYFUNCTION("""COMPUTED_VALUE"""),"SARAVIA GUEVARA DORA ")</f>
        <v>SARAVIA GUEVARA DORA </v>
      </c>
      <c r="D2568" s="1" t="str">
        <f>IFERROR(__xludf.DUMMYFUNCTION("""COMPUTED_VALUE"""),"Lentes BIFOCALES")</f>
        <v>Lentes BIFOCALES</v>
      </c>
      <c r="E2568" s="1" t="str">
        <f>IFERROR(__xludf.DUMMYFUNCTION("""COMPUTED_VALUE"""),"ARTIGAS Roció")</f>
        <v>ARTIGAS Roció</v>
      </c>
      <c r="F2568" s="1" t="str">
        <f t="shared" si="1"/>
        <v>ARTIGAS </v>
      </c>
      <c r="G2568" s="1" t="str">
        <f t="shared" si="2"/>
        <v>Roció</v>
      </c>
      <c r="H2568" s="1" t="str">
        <f>IFERROR(__xludf.DUMMYFUNCTION("""COMPUTED_VALUE"""),"7/3/2023, 17:00:00")</f>
        <v>7/3/2023, 17:00:00</v>
      </c>
      <c r="I2568" s="1" t="str">
        <f>IFERROR(__xludf.DUMMYFUNCTION("""COMPUTED_VALUE"""),"Completado en SUCURSAL")</f>
        <v>Completado en SUCURSAL</v>
      </c>
      <c r="J2568" s="1">
        <f t="shared" si="3"/>
        <v>5</v>
      </c>
      <c r="K2568" s="1" t="str">
        <f t="shared" si="4"/>
        <v>Tus Lentes estan LISTAS PARA ENTREGAR, te esperamos.</v>
      </c>
    </row>
    <row r="2569">
      <c r="A2569" s="1">
        <f>IFERROR(__xludf.DUMMYFUNCTION("""COMPUTED_VALUE"""),87116.0)</f>
        <v>87116</v>
      </c>
      <c r="B2569" s="5">
        <f>IFERROR(__xludf.DUMMYFUNCTION("""COMPUTED_VALUE"""),44985.44359607639)</f>
        <v>44985.4436</v>
      </c>
      <c r="C2569" s="1" t="str">
        <f>IFERROR(__xludf.DUMMYFUNCTION("""COMPUTED_VALUE"""),"ARREBOLA AGUSTINA")</f>
        <v>ARREBOLA AGUSTINA</v>
      </c>
      <c r="D2569" s="1" t="str">
        <f>IFERROR(__xludf.DUMMYFUNCTION("""COMPUTED_VALUE"""),"Lentes de STOCK")</f>
        <v>Lentes de STOCK</v>
      </c>
      <c r="E2569" s="1" t="str">
        <f>IFERROR(__xludf.DUMMYFUNCTION("""COMPUTED_VALUE"""),"ARTIGAS Ivana P.")</f>
        <v>ARTIGAS Ivana P.</v>
      </c>
      <c r="F2569" s="1" t="str">
        <f t="shared" si="1"/>
        <v>ARTIGAS </v>
      </c>
      <c r="G2569" s="1" t="str">
        <f t="shared" si="2"/>
        <v>Ivana P.</v>
      </c>
      <c r="H2569" s="1" t="str">
        <f>IFERROR(__xludf.DUMMYFUNCTION("""COMPUTED_VALUE"""),"6/3/2023, 17:00:00")</f>
        <v>6/3/2023, 17:00:00</v>
      </c>
      <c r="I2569" s="1" t="str">
        <f>IFERROR(__xludf.DUMMYFUNCTION("""COMPUTED_VALUE"""),"Completado en SUCURSAL")</f>
        <v>Completado en SUCURSAL</v>
      </c>
      <c r="J2569" s="1">
        <f t="shared" si="3"/>
        <v>5</v>
      </c>
      <c r="K2569" s="1" t="str">
        <f t="shared" si="4"/>
        <v>Tus Lentes estan LISTAS PARA ENTREGAR, te esperamos.</v>
      </c>
    </row>
    <row r="2570">
      <c r="A2570" s="1">
        <f>IFERROR(__xludf.DUMMYFUNCTION("""COMPUTED_VALUE"""),87117.0)</f>
        <v>87117</v>
      </c>
      <c r="B2570" s="5">
        <f>IFERROR(__xludf.DUMMYFUNCTION("""COMPUTED_VALUE"""),44985.44374185185)</f>
        <v>44985.44374</v>
      </c>
      <c r="C2570" s="1" t="str">
        <f>IFERROR(__xludf.DUMMYFUNCTION("""COMPUTED_VALUE"""),"KRAMER NOEMI")</f>
        <v>KRAMER NOEMI</v>
      </c>
      <c r="D2570" s="1" t="str">
        <f>IFERROR(__xludf.DUMMYFUNCTION("""COMPUTED_VALUE"""),"Lentes de STOCK")</f>
        <v>Lentes de STOCK</v>
      </c>
      <c r="E2570" s="1" t="str">
        <f>IFERROR(__xludf.DUMMYFUNCTION("""COMPUTED_VALUE"""),"RIVADAVIA Luciana")</f>
        <v>RIVADAVIA Luciana</v>
      </c>
      <c r="F2570" s="1" t="str">
        <f t="shared" si="1"/>
        <v>RIVADAVIA </v>
      </c>
      <c r="G2570" s="1" t="str">
        <f t="shared" si="2"/>
        <v>Luciana</v>
      </c>
      <c r="H2570" s="1" t="str">
        <f>IFERROR(__xludf.DUMMYFUNCTION("""COMPUTED_VALUE"""),"6/3/2023, 17:00:00")</f>
        <v>6/3/2023, 17:00:00</v>
      </c>
      <c r="I2570" s="1" t="str">
        <f>IFERROR(__xludf.DUMMYFUNCTION("""COMPUTED_VALUE"""),"Completado en SUCURSAL")</f>
        <v>Completado en SUCURSAL</v>
      </c>
      <c r="J2570" s="1">
        <f t="shared" si="3"/>
        <v>5</v>
      </c>
      <c r="K2570" s="1" t="str">
        <f t="shared" si="4"/>
        <v>Tus Lentes estan LISTAS PARA ENTREGAR, te esperamos.</v>
      </c>
    </row>
    <row r="2571">
      <c r="A2571" s="1">
        <f>IFERROR(__xludf.DUMMYFUNCTION("""COMPUTED_VALUE"""),87118.0)</f>
        <v>87118</v>
      </c>
      <c r="B2571" s="5">
        <f>IFERROR(__xludf.DUMMYFUNCTION("""COMPUTED_VALUE"""),44985.44898652778)</f>
        <v>44985.44899</v>
      </c>
      <c r="C2571" s="1" t="str">
        <f>IFERROR(__xludf.DUMMYFUNCTION("""COMPUTED_VALUE"""),"quiroga nestor miguel")</f>
        <v>quiroga nestor miguel</v>
      </c>
      <c r="D2571" s="1" t="str">
        <f>IFERROR(__xludf.DUMMYFUNCTION("""COMPUTED_VALUE"""),"Lentes de STOCK")</f>
        <v>Lentes de STOCK</v>
      </c>
      <c r="E2571" s="1" t="str">
        <f>IFERROR(__xludf.DUMMYFUNCTION("""COMPUTED_VALUE"""),"RIVADAVIA Santiago N")</f>
        <v>RIVADAVIA Santiago N</v>
      </c>
      <c r="F2571" s="1" t="str">
        <f t="shared" si="1"/>
        <v>RIVADAVIA </v>
      </c>
      <c r="G2571" s="1" t="str">
        <f t="shared" si="2"/>
        <v>Santiago N</v>
      </c>
      <c r="H2571" s="1" t="str">
        <f>IFERROR(__xludf.DUMMYFUNCTION("""COMPUTED_VALUE"""),"3/3/2023, 17:00:00")</f>
        <v>3/3/2023, 17:00:00</v>
      </c>
      <c r="I2571" s="1" t="str">
        <f>IFERROR(__xludf.DUMMYFUNCTION("""COMPUTED_VALUE"""),"Recibido en Laboratorio")</f>
        <v>Recibido en Laboratorio</v>
      </c>
      <c r="J2571" s="1">
        <f t="shared" si="3"/>
        <v>2</v>
      </c>
      <c r="K2571" s="1" t="str">
        <f t="shared" si="4"/>
        <v>Nuestro Laboratorio esta trabajando en tus lentes, los entregaremos en la fecha acordada.</v>
      </c>
    </row>
    <row r="2572">
      <c r="A2572" s="1">
        <f>IFERROR(__xludf.DUMMYFUNCTION("""COMPUTED_VALUE"""),87119.0)</f>
        <v>87119</v>
      </c>
      <c r="B2572" s="5">
        <f>IFERROR(__xludf.DUMMYFUNCTION("""COMPUTED_VALUE"""),44985.450376967594)</f>
        <v>44985.45038</v>
      </c>
      <c r="C2572" s="1" t="str">
        <f>IFERROR(__xludf.DUMMYFUNCTION("""COMPUTED_VALUE"""),"MUNAFO CARLA")</f>
        <v>MUNAFO CARLA</v>
      </c>
      <c r="D2572" s="1" t="str">
        <f>IFERROR(__xludf.DUMMYFUNCTION("""COMPUTED_VALUE"""),"Lentes de STOCK")</f>
        <v>Lentes de STOCK</v>
      </c>
      <c r="E2572" s="1" t="str">
        <f>IFERROR(__xludf.DUMMYFUNCTION("""COMPUTED_VALUE"""),"ARTIGAS Ivana P.")</f>
        <v>ARTIGAS Ivana P.</v>
      </c>
      <c r="F2572" s="1" t="str">
        <f t="shared" si="1"/>
        <v>ARTIGAS </v>
      </c>
      <c r="G2572" s="1" t="str">
        <f t="shared" si="2"/>
        <v>Ivana P.</v>
      </c>
      <c r="H2572" s="1" t="str">
        <f>IFERROR(__xludf.DUMMYFUNCTION("""COMPUTED_VALUE"""),"6/3/2023, 17:00:00")</f>
        <v>6/3/2023, 17:00:00</v>
      </c>
      <c r="I2572" s="1" t="str">
        <f>IFERROR(__xludf.DUMMYFUNCTION("""COMPUTED_VALUE"""),"Recibido en Laboratorio")</f>
        <v>Recibido en Laboratorio</v>
      </c>
      <c r="J2572" s="1">
        <f t="shared" si="3"/>
        <v>2</v>
      </c>
      <c r="K2572" s="1" t="str">
        <f t="shared" si="4"/>
        <v>Nuestro Laboratorio esta trabajando en tus lentes, los entregaremos en la fecha acordada.</v>
      </c>
    </row>
    <row r="2573">
      <c r="A2573" s="1">
        <f>IFERROR(__xludf.DUMMYFUNCTION("""COMPUTED_VALUE"""),87120.0)</f>
        <v>87120</v>
      </c>
      <c r="B2573" s="5">
        <f>IFERROR(__xludf.DUMMYFUNCTION("""COMPUTED_VALUE"""),44985.45085018518)</f>
        <v>44985.45085</v>
      </c>
      <c r="C2573" s="1" t="str">
        <f>IFERROR(__xludf.DUMMYFUNCTION("""COMPUTED_VALUE"""),"ANDRADA DOMINGO AGAPITO")</f>
        <v>ANDRADA DOMINGO AGAPITO</v>
      </c>
      <c r="D2573" s="1" t="str">
        <f>IFERROR(__xludf.DUMMYFUNCTION("""COMPUTED_VALUE"""),"Lentes de STOCK")</f>
        <v>Lentes de STOCK</v>
      </c>
      <c r="E2573" s="1" t="str">
        <f>IFERROR(__xludf.DUMMYFUNCTION("""COMPUTED_VALUE"""),"RIVADAVIA Marcela L")</f>
        <v>RIVADAVIA Marcela L</v>
      </c>
      <c r="F2573" s="1" t="str">
        <f t="shared" si="1"/>
        <v>RIVADAVIA </v>
      </c>
      <c r="G2573" s="1" t="str">
        <f t="shared" si="2"/>
        <v>Marcela L</v>
      </c>
      <c r="H2573" s="1" t="str">
        <f>IFERROR(__xludf.DUMMYFUNCTION("""COMPUTED_VALUE"""),"3/3/2023, 17:00:00")</f>
        <v>3/3/2023, 17:00:00</v>
      </c>
      <c r="I2573" s="1" t="str">
        <f>IFERROR(__xludf.DUMMYFUNCTION("""COMPUTED_VALUE"""),"RETIRADO OK POR CLIENTE")</f>
        <v>RETIRADO OK POR CLIENTE</v>
      </c>
      <c r="J2573" s="1">
        <f t="shared" si="3"/>
        <v>6</v>
      </c>
      <c r="K2573" s="1" t="str">
        <f t="shared" si="4"/>
        <v>Entregamos tus lentes, que los disfrutes!</v>
      </c>
    </row>
    <row r="2574">
      <c r="A2574" s="1">
        <f>IFERROR(__xludf.DUMMYFUNCTION("""COMPUTED_VALUE"""),87121.0)</f>
        <v>87121</v>
      </c>
      <c r="B2574" s="5">
        <f>IFERROR(__xludf.DUMMYFUNCTION("""COMPUTED_VALUE"""),44985.45620741898)</f>
        <v>44985.45621</v>
      </c>
      <c r="C2574" s="1" t="str">
        <f>IFERROR(__xludf.DUMMYFUNCTION("""COMPUTED_VALUE"""),"VALDEZ EIMMY")</f>
        <v>VALDEZ EIMMY</v>
      </c>
      <c r="D2574" s="1" t="str">
        <f>IFERROR(__xludf.DUMMYFUNCTION("""COMPUTED_VALUE"""),"Reparaciones/Otros")</f>
        <v>Reparaciones/Otros</v>
      </c>
      <c r="E2574" s="1" t="str">
        <f>IFERROR(__xludf.DUMMYFUNCTION("""COMPUTED_VALUE"""),"RIVADAVIA Santiago LOPEZ")</f>
        <v>RIVADAVIA Santiago LOPEZ</v>
      </c>
      <c r="F2574" s="1" t="str">
        <f t="shared" si="1"/>
        <v>RIVADAVIA </v>
      </c>
      <c r="G2574" s="1" t="str">
        <f t="shared" si="2"/>
        <v>Santiago LOPEZ</v>
      </c>
      <c r="H2574" s="1" t="str">
        <f>IFERROR(__xludf.DUMMYFUNCTION("""COMPUTED_VALUE"""),"1/3/2023, 17:00:00")</f>
        <v>1/3/2023, 17:00:00</v>
      </c>
      <c r="I2574" s="1"/>
      <c r="J2574" s="1">
        <f t="shared" si="3"/>
        <v>0</v>
      </c>
      <c r="K2574" s="1" t="str">
        <f t="shared" si="4"/>
        <v/>
      </c>
    </row>
    <row r="2575">
      <c r="A2575" s="1">
        <f>IFERROR(__xludf.DUMMYFUNCTION("""COMPUTED_VALUE"""),87122.0)</f>
        <v>87122</v>
      </c>
      <c r="B2575" s="5">
        <f>IFERROR(__xludf.DUMMYFUNCTION("""COMPUTED_VALUE"""),44985.456811655094)</f>
        <v>44985.45681</v>
      </c>
      <c r="C2575" s="1" t="str">
        <f>IFERROR(__xludf.DUMMYFUNCTION("""COMPUTED_VALUE"""),"gimenez lucio")</f>
        <v>gimenez lucio</v>
      </c>
      <c r="D2575" s="1" t="str">
        <f>IFERROR(__xludf.DUMMYFUNCTION("""COMPUTED_VALUE"""),"Lentes de STOCK")</f>
        <v>Lentes de STOCK</v>
      </c>
      <c r="E2575" s="1" t="str">
        <f>IFERROR(__xludf.DUMMYFUNCTION("""COMPUTED_VALUE"""),"RIVADAVIA Santiago N")</f>
        <v>RIVADAVIA Santiago N</v>
      </c>
      <c r="F2575" s="1" t="str">
        <f t="shared" si="1"/>
        <v>RIVADAVIA </v>
      </c>
      <c r="G2575" s="1" t="str">
        <f t="shared" si="2"/>
        <v>Santiago N</v>
      </c>
      <c r="H2575" s="1" t="str">
        <f>IFERROR(__xludf.DUMMYFUNCTION("""COMPUTED_VALUE"""),"3/3/2023, 17:00:00")</f>
        <v>3/3/2023, 17:00:00</v>
      </c>
      <c r="I2575" s="1" t="str">
        <f>IFERROR(__xludf.DUMMYFUNCTION("""COMPUTED_VALUE"""),"Recibido en Laboratorio")</f>
        <v>Recibido en Laboratorio</v>
      </c>
      <c r="J2575" s="1">
        <f t="shared" si="3"/>
        <v>2</v>
      </c>
      <c r="K2575" s="1" t="str">
        <f t="shared" si="4"/>
        <v>Nuestro Laboratorio esta trabajando en tus lentes, los entregaremos en la fecha acordada.</v>
      </c>
    </row>
    <row r="2576">
      <c r="A2576" s="1">
        <f>IFERROR(__xludf.DUMMYFUNCTION("""COMPUTED_VALUE"""),87123.0)</f>
        <v>87123</v>
      </c>
      <c r="B2576" s="5">
        <f>IFERROR(__xludf.DUMMYFUNCTION("""COMPUTED_VALUE"""),44985.45853521991)</f>
        <v>44985.45854</v>
      </c>
      <c r="C2576" s="1" t="str">
        <f>IFERROR(__xludf.DUMMYFUNCTION("""COMPUTED_VALUE"""),"TSCHOPP LIDIA")</f>
        <v>TSCHOPP LIDIA</v>
      </c>
      <c r="D2576" s="1" t="str">
        <f>IFERROR(__xludf.DUMMYFUNCTION("""COMPUTED_VALUE"""),"Lentes de STOCK")</f>
        <v>Lentes de STOCK</v>
      </c>
      <c r="E2576" s="1" t="str">
        <f>IFERROR(__xludf.DUMMYFUNCTION("""COMPUTED_VALUE"""),"RIVADAVIA Rocio B")</f>
        <v>RIVADAVIA Rocio B</v>
      </c>
      <c r="F2576" s="1" t="str">
        <f t="shared" si="1"/>
        <v>RIVADAVIA </v>
      </c>
      <c r="G2576" s="1" t="str">
        <f t="shared" si="2"/>
        <v>Rocio B</v>
      </c>
      <c r="H2576" s="1" t="str">
        <f>IFERROR(__xludf.DUMMYFUNCTION("""COMPUTED_VALUE"""),"9/3/2023, 17:00:00")</f>
        <v>9/3/2023, 17:00:00</v>
      </c>
      <c r="I2576" s="1" t="str">
        <f>IFERROR(__xludf.DUMMYFUNCTION("""COMPUTED_VALUE"""),"Completado en SUCURSAL")</f>
        <v>Completado en SUCURSAL</v>
      </c>
      <c r="J2576" s="1">
        <f t="shared" si="3"/>
        <v>5</v>
      </c>
      <c r="K2576" s="1" t="str">
        <f t="shared" si="4"/>
        <v>Tus Lentes estan LISTAS PARA ENTREGAR, te esperamos.</v>
      </c>
    </row>
    <row r="2577">
      <c r="A2577" s="1">
        <f>IFERROR(__xludf.DUMMYFUNCTION("""COMPUTED_VALUE"""),87124.0)</f>
        <v>87124</v>
      </c>
      <c r="B2577" s="5">
        <f>IFERROR(__xludf.DUMMYFUNCTION("""COMPUTED_VALUE"""),44985.45986785879)</f>
        <v>44985.45987</v>
      </c>
      <c r="C2577" s="1" t="str">
        <f>IFERROR(__xludf.DUMMYFUNCTION("""COMPUTED_VALUE"""),"tschopp lidia")</f>
        <v>tschopp lidia</v>
      </c>
      <c r="D2577" s="1" t="str">
        <f>IFERROR(__xludf.DUMMYFUNCTION("""COMPUTED_VALUE"""),"Lentes de STOCK")</f>
        <v>Lentes de STOCK</v>
      </c>
      <c r="E2577" s="1" t="str">
        <f>IFERROR(__xludf.DUMMYFUNCTION("""COMPUTED_VALUE"""),"RIVADAVIA Rocio B")</f>
        <v>RIVADAVIA Rocio B</v>
      </c>
      <c r="F2577" s="1" t="str">
        <f t="shared" si="1"/>
        <v>RIVADAVIA </v>
      </c>
      <c r="G2577" s="1" t="str">
        <f t="shared" si="2"/>
        <v>Rocio B</v>
      </c>
      <c r="H2577" s="1" t="str">
        <f>IFERROR(__xludf.DUMMYFUNCTION("""COMPUTED_VALUE"""),"9/3/2023, 17:00:00")</f>
        <v>9/3/2023, 17:00:00</v>
      </c>
      <c r="I2577" s="1" t="str">
        <f>IFERROR(__xludf.DUMMYFUNCTION("""COMPUTED_VALUE"""),"Completado en SUCURSAL")</f>
        <v>Completado en SUCURSAL</v>
      </c>
      <c r="J2577" s="1">
        <f t="shared" si="3"/>
        <v>5</v>
      </c>
      <c r="K2577" s="1" t="str">
        <f t="shared" si="4"/>
        <v>Tus Lentes estan LISTAS PARA ENTREGAR, te esperamos.</v>
      </c>
    </row>
    <row r="2578">
      <c r="A2578" s="1">
        <f>IFERROR(__xludf.DUMMYFUNCTION("""COMPUTED_VALUE"""),87125.0)</f>
        <v>87125</v>
      </c>
      <c r="B2578" s="5">
        <f>IFERROR(__xludf.DUMMYFUNCTION("""COMPUTED_VALUE"""),44985.46142172454)</f>
        <v>44985.46142</v>
      </c>
      <c r="C2578" s="1" t="str">
        <f>IFERROR(__xludf.DUMMYFUNCTION("""COMPUTED_VALUE"""),"TSCHOPP LIDIA")</f>
        <v>TSCHOPP LIDIA</v>
      </c>
      <c r="D2578" s="1" t="str">
        <f>IFERROR(__xludf.DUMMYFUNCTION("""COMPUTED_VALUE"""),"Reparaciones/Otros")</f>
        <v>Reparaciones/Otros</v>
      </c>
      <c r="E2578" s="1" t="str">
        <f>IFERROR(__xludf.DUMMYFUNCTION("""COMPUTED_VALUE"""),"RIVADAVIA Rocio B")</f>
        <v>RIVADAVIA Rocio B</v>
      </c>
      <c r="F2578" s="1" t="str">
        <f t="shared" si="1"/>
        <v>RIVADAVIA </v>
      </c>
      <c r="G2578" s="1" t="str">
        <f t="shared" si="2"/>
        <v>Rocio B</v>
      </c>
      <c r="H2578" s="1" t="str">
        <f>IFERROR(__xludf.DUMMYFUNCTION("""COMPUTED_VALUE"""),"1/3/2023, 17:00:00")</f>
        <v>1/3/2023, 17:00:00</v>
      </c>
      <c r="I2578" s="1" t="str">
        <f>IFERROR(__xludf.DUMMYFUNCTION("""COMPUTED_VALUE"""),"Completado en SUCURSAL")</f>
        <v>Completado en SUCURSAL</v>
      </c>
      <c r="J2578" s="1">
        <f t="shared" si="3"/>
        <v>5</v>
      </c>
      <c r="K2578" s="1" t="str">
        <f t="shared" si="4"/>
        <v>Tus Lentes estan LISTAS PARA ENTREGAR, te esperamos.</v>
      </c>
    </row>
    <row r="2579">
      <c r="A2579" s="1">
        <f>IFERROR(__xludf.DUMMYFUNCTION("""COMPUTED_VALUE"""),87126.0)</f>
        <v>87126</v>
      </c>
      <c r="B2579" s="5">
        <f>IFERROR(__xludf.DUMMYFUNCTION("""COMPUTED_VALUE"""),44985.46631775463)</f>
        <v>44985.46632</v>
      </c>
      <c r="C2579" s="1" t="str">
        <f>IFERROR(__xludf.DUMMYFUNCTION("""COMPUTED_VALUE"""),"guiñazu juana ")</f>
        <v>guiñazu juana </v>
      </c>
      <c r="D2579" s="1" t="str">
        <f>IFERROR(__xludf.DUMMYFUNCTION("""COMPUTED_VALUE"""),"Lentes de STOCK")</f>
        <v>Lentes de STOCK</v>
      </c>
      <c r="E2579" s="1" t="str">
        <f>IFERROR(__xludf.DUMMYFUNCTION("""COMPUTED_VALUE"""),"RIVADAVIA Santiago N")</f>
        <v>RIVADAVIA Santiago N</v>
      </c>
      <c r="F2579" s="1" t="str">
        <f t="shared" si="1"/>
        <v>RIVADAVIA </v>
      </c>
      <c r="G2579" s="1" t="str">
        <f t="shared" si="2"/>
        <v>Santiago N</v>
      </c>
      <c r="H2579" s="1" t="str">
        <f>IFERROR(__xludf.DUMMYFUNCTION("""COMPUTED_VALUE"""),"2/3/2023, 17:00:00")</f>
        <v>2/3/2023, 17:00:00</v>
      </c>
      <c r="I2579" s="1" t="str">
        <f>IFERROR(__xludf.DUMMYFUNCTION("""COMPUTED_VALUE"""),"Recibido en Laboratorio")</f>
        <v>Recibido en Laboratorio</v>
      </c>
      <c r="J2579" s="1">
        <f t="shared" si="3"/>
        <v>2</v>
      </c>
      <c r="K2579" s="1" t="str">
        <f t="shared" si="4"/>
        <v>Nuestro Laboratorio esta trabajando en tus lentes, los entregaremos en la fecha acordada.</v>
      </c>
    </row>
    <row r="2580">
      <c r="A2580" s="1">
        <f>IFERROR(__xludf.DUMMYFUNCTION("""COMPUTED_VALUE"""),87127.0)</f>
        <v>87127</v>
      </c>
      <c r="B2580" s="5">
        <f>IFERROR(__xludf.DUMMYFUNCTION("""COMPUTED_VALUE"""),44985.467863275466)</f>
        <v>44985.46786</v>
      </c>
      <c r="C2580" s="1" t="str">
        <f>IFERROR(__xludf.DUMMYFUNCTION("""COMPUTED_VALUE"""),"MUNAFO MARIA CARLA")</f>
        <v>MUNAFO MARIA CARLA</v>
      </c>
      <c r="D2580" s="1" t="str">
        <f>IFERROR(__xludf.DUMMYFUNCTION("""COMPUTED_VALUE"""),"Lentes de STOCK")</f>
        <v>Lentes de STOCK</v>
      </c>
      <c r="E2580" s="1" t="str">
        <f>IFERROR(__xludf.DUMMYFUNCTION("""COMPUTED_VALUE"""),"RIVADAVIA Luciana")</f>
        <v>RIVADAVIA Luciana</v>
      </c>
      <c r="F2580" s="1" t="str">
        <f t="shared" si="1"/>
        <v>RIVADAVIA </v>
      </c>
      <c r="G2580" s="1" t="str">
        <f t="shared" si="2"/>
        <v>Luciana</v>
      </c>
      <c r="H2580" s="1" t="str">
        <f>IFERROR(__xludf.DUMMYFUNCTION("""COMPUTED_VALUE"""),"3/3/2023, 17:00:00")</f>
        <v>3/3/2023, 17:00:00</v>
      </c>
      <c r="I2580" s="1" t="str">
        <f>IFERROR(__xludf.DUMMYFUNCTION("""COMPUTED_VALUE"""),"Recibido en Laboratorio")</f>
        <v>Recibido en Laboratorio</v>
      </c>
      <c r="J2580" s="1">
        <f t="shared" si="3"/>
        <v>2</v>
      </c>
      <c r="K2580" s="1" t="str">
        <f t="shared" si="4"/>
        <v>Nuestro Laboratorio esta trabajando en tus lentes, los entregaremos en la fecha acordada.</v>
      </c>
    </row>
    <row r="2581">
      <c r="A2581" s="1">
        <f>IFERROR(__xludf.DUMMYFUNCTION("""COMPUTED_VALUE"""),87128.0)</f>
        <v>87128</v>
      </c>
      <c r="B2581" s="5">
        <f>IFERROR(__xludf.DUMMYFUNCTION("""COMPUTED_VALUE"""),44985.472069780095)</f>
        <v>44985.47207</v>
      </c>
      <c r="C2581" s="1" t="str">
        <f>IFERROR(__xludf.DUMMYFUNCTION("""COMPUTED_VALUE"""),"LUCERO NICOLAS")</f>
        <v>LUCERO NICOLAS</v>
      </c>
      <c r="D2581" s="1" t="str">
        <f>IFERROR(__xludf.DUMMYFUNCTION("""COMPUTED_VALUE"""),"Lentes de STOCK")</f>
        <v>Lentes de STOCK</v>
      </c>
      <c r="E2581" s="1" t="str">
        <f>IFERROR(__xludf.DUMMYFUNCTION("""COMPUTED_VALUE"""),"ARTIGAS Cristian C.")</f>
        <v>ARTIGAS Cristian C.</v>
      </c>
      <c r="F2581" s="1" t="str">
        <f t="shared" si="1"/>
        <v>ARTIGAS </v>
      </c>
      <c r="G2581" s="1" t="str">
        <f t="shared" si="2"/>
        <v>Cristian C.</v>
      </c>
      <c r="H2581" s="1" t="str">
        <f>IFERROR(__xludf.DUMMYFUNCTION("""COMPUTED_VALUE"""),"6/3/2023, 17:00:00")</f>
        <v>6/3/2023, 17:00:00</v>
      </c>
      <c r="I2581" s="1" t="str">
        <f>IFERROR(__xludf.DUMMYFUNCTION("""COMPUTED_VALUE"""),"Completado en SUCURSAL")</f>
        <v>Completado en SUCURSAL</v>
      </c>
      <c r="J2581" s="1">
        <f t="shared" si="3"/>
        <v>5</v>
      </c>
      <c r="K2581" s="1" t="str">
        <f t="shared" si="4"/>
        <v>Tus Lentes estan LISTAS PARA ENTREGAR, te esperamos.</v>
      </c>
    </row>
    <row r="2582">
      <c r="A2582" s="1">
        <f>IFERROR(__xludf.DUMMYFUNCTION("""COMPUTED_VALUE"""),87129.0)</f>
        <v>87129</v>
      </c>
      <c r="B2582" s="5">
        <f>IFERROR(__xludf.DUMMYFUNCTION("""COMPUTED_VALUE"""),44985.47515752315)</f>
        <v>44985.47516</v>
      </c>
      <c r="C2582" s="1" t="str">
        <f>IFERROR(__xludf.DUMMYFUNCTION("""COMPUTED_VALUE"""),"GOMEZ HILDA")</f>
        <v>GOMEZ HILDA</v>
      </c>
      <c r="D2582" s="1" t="str">
        <f>IFERROR(__xludf.DUMMYFUNCTION("""COMPUTED_VALUE"""),"Lentes de STOCK")</f>
        <v>Lentes de STOCK</v>
      </c>
      <c r="E2582" s="1" t="str">
        <f>IFERROR(__xludf.DUMMYFUNCTION("""COMPUTED_VALUE"""),"RIVADAVIA Rocio B")</f>
        <v>RIVADAVIA Rocio B</v>
      </c>
      <c r="F2582" s="1" t="str">
        <f t="shared" si="1"/>
        <v>RIVADAVIA </v>
      </c>
      <c r="G2582" s="1" t="str">
        <f t="shared" si="2"/>
        <v>Rocio B</v>
      </c>
      <c r="H2582" s="1" t="str">
        <f>IFERROR(__xludf.DUMMYFUNCTION("""COMPUTED_VALUE"""),"7/3/2023, 17:00:00")</f>
        <v>7/3/2023, 17:00:00</v>
      </c>
      <c r="I2582" s="1" t="str">
        <f>IFERROR(__xludf.DUMMYFUNCTION("""COMPUTED_VALUE"""),"Completado en SUCURSAL")</f>
        <v>Completado en SUCURSAL</v>
      </c>
      <c r="J2582" s="1">
        <f t="shared" si="3"/>
        <v>5</v>
      </c>
      <c r="K2582" s="1" t="str">
        <f t="shared" si="4"/>
        <v>Tus Lentes estan LISTAS PARA ENTREGAR, te esperamos.</v>
      </c>
    </row>
    <row r="2583">
      <c r="A2583" s="1">
        <f>IFERROR(__xludf.DUMMYFUNCTION("""COMPUTED_VALUE"""),87130.0)</f>
        <v>87130</v>
      </c>
      <c r="B2583" s="5">
        <f>IFERROR(__xludf.DUMMYFUNCTION("""COMPUTED_VALUE"""),44985.47843319444)</f>
        <v>44985.47843</v>
      </c>
      <c r="C2583" s="1" t="str">
        <f>IFERROR(__xludf.DUMMYFUNCTION("""COMPUTED_VALUE"""),"OJEDA DAYRON ")</f>
        <v>OJEDA DAYRON </v>
      </c>
      <c r="D2583" s="1" t="str">
        <f>IFERROR(__xludf.DUMMYFUNCTION("""COMPUTED_VALUE"""),"Lentes de STOCK")</f>
        <v>Lentes de STOCK</v>
      </c>
      <c r="E2583" s="1" t="str">
        <f>IFERROR(__xludf.DUMMYFUNCTION("""COMPUTED_VALUE"""),"ARTIGAS Cristian C.")</f>
        <v>ARTIGAS Cristian C.</v>
      </c>
      <c r="F2583" s="1" t="str">
        <f t="shared" si="1"/>
        <v>ARTIGAS </v>
      </c>
      <c r="G2583" s="1" t="str">
        <f t="shared" si="2"/>
        <v>Cristian C.</v>
      </c>
      <c r="H2583" s="1" t="str">
        <f>IFERROR(__xludf.DUMMYFUNCTION("""COMPUTED_VALUE"""),"9/3/2023, 17:00:00")</f>
        <v>9/3/2023, 17:00:00</v>
      </c>
      <c r="I2583" s="1" t="str">
        <f>IFERROR(__xludf.DUMMYFUNCTION("""COMPUTED_VALUE"""),"Completado en SUCURSAL")</f>
        <v>Completado en SUCURSAL</v>
      </c>
      <c r="J2583" s="1">
        <f t="shared" si="3"/>
        <v>5</v>
      </c>
      <c r="K2583" s="1" t="str">
        <f t="shared" si="4"/>
        <v>Tus Lentes estan LISTAS PARA ENTREGAR, te esperamos.</v>
      </c>
    </row>
    <row r="2584">
      <c r="A2584" s="1">
        <f>IFERROR(__xludf.DUMMYFUNCTION("""COMPUTED_VALUE"""),87131.0)</f>
        <v>87131</v>
      </c>
      <c r="B2584" s="5">
        <f>IFERROR(__xludf.DUMMYFUNCTION("""COMPUTED_VALUE"""),44985.478971840275)</f>
        <v>44985.47897</v>
      </c>
      <c r="C2584" s="1" t="str">
        <f>IFERROR(__xludf.DUMMYFUNCTION("""COMPUTED_VALUE"""),"GOMEZ MARIA JOSE ")</f>
        <v>GOMEZ MARIA JOSE </v>
      </c>
      <c r="D2584" s="1" t="str">
        <f>IFERROR(__xludf.DUMMYFUNCTION("""COMPUTED_VALUE"""),"Lentes de STOCK")</f>
        <v>Lentes de STOCK</v>
      </c>
      <c r="E2584" s="1" t="str">
        <f>IFERROR(__xludf.DUMMYFUNCTION("""COMPUTED_VALUE"""),"RIVADAVIA Luciana")</f>
        <v>RIVADAVIA Luciana</v>
      </c>
      <c r="F2584" s="1" t="str">
        <f t="shared" si="1"/>
        <v>RIVADAVIA </v>
      </c>
      <c r="G2584" s="1" t="str">
        <f t="shared" si="2"/>
        <v>Luciana</v>
      </c>
      <c r="H2584" s="1" t="str">
        <f>IFERROR(__xludf.DUMMYFUNCTION("""COMPUTED_VALUE"""),"3/3/2023, 17:00:00")</f>
        <v>3/3/2023, 17:00:00</v>
      </c>
      <c r="I2584" s="1" t="str">
        <f>IFERROR(__xludf.DUMMYFUNCTION("""COMPUTED_VALUE"""),"Completado en SUCURSAL")</f>
        <v>Completado en SUCURSAL</v>
      </c>
      <c r="J2584" s="1">
        <f t="shared" si="3"/>
        <v>5</v>
      </c>
      <c r="K2584" s="1" t="str">
        <f t="shared" si="4"/>
        <v>Tus Lentes estan LISTAS PARA ENTREGAR, te esperamos.</v>
      </c>
    </row>
    <row r="2585">
      <c r="A2585" s="1">
        <f>IFERROR(__xludf.DUMMYFUNCTION("""COMPUTED_VALUE"""),87132.0)</f>
        <v>87132</v>
      </c>
      <c r="B2585" s="5">
        <f>IFERROR(__xludf.DUMMYFUNCTION("""COMPUTED_VALUE"""),44985.480651631944)</f>
        <v>44985.48065</v>
      </c>
      <c r="C2585" s="1" t="str">
        <f>IFERROR(__xludf.DUMMYFUNCTION("""COMPUTED_VALUE"""),"VILLEGAS IKER")</f>
        <v>VILLEGAS IKER</v>
      </c>
      <c r="D2585" s="1" t="str">
        <f>IFERROR(__xludf.DUMMYFUNCTION("""COMPUTED_VALUE"""),"Lentes de STOCK")</f>
        <v>Lentes de STOCK</v>
      </c>
      <c r="E2585" s="1" t="str">
        <f>IFERROR(__xludf.DUMMYFUNCTION("""COMPUTED_VALUE"""),"RIVADAVIA Santiago LOPEZ")</f>
        <v>RIVADAVIA Santiago LOPEZ</v>
      </c>
      <c r="F2585" s="1" t="str">
        <f t="shared" si="1"/>
        <v>RIVADAVIA </v>
      </c>
      <c r="G2585" s="1" t="str">
        <f t="shared" si="2"/>
        <v>Santiago LOPEZ</v>
      </c>
      <c r="H2585" s="1" t="str">
        <f>IFERROR(__xludf.DUMMYFUNCTION("""COMPUTED_VALUE"""),"3/3/2023, 17:00:00")</f>
        <v>3/3/2023, 17:00:00</v>
      </c>
      <c r="I2585" s="1" t="str">
        <f>IFERROR(__xludf.DUMMYFUNCTION("""COMPUTED_VALUE"""),"Completado en SUCURSAL")</f>
        <v>Completado en SUCURSAL</v>
      </c>
      <c r="J2585" s="1">
        <f t="shared" si="3"/>
        <v>5</v>
      </c>
      <c r="K2585" s="1" t="str">
        <f t="shared" si="4"/>
        <v>Tus Lentes estan LISTAS PARA ENTREGAR, te esperamos.</v>
      </c>
    </row>
    <row r="2586">
      <c r="A2586" s="1">
        <f>IFERROR(__xludf.DUMMYFUNCTION("""COMPUTED_VALUE"""),87133.0)</f>
        <v>87133</v>
      </c>
      <c r="B2586" s="5">
        <f>IFERROR(__xludf.DUMMYFUNCTION("""COMPUTED_VALUE"""),44985.48273700231)</f>
        <v>44985.48274</v>
      </c>
      <c r="C2586" s="1" t="str">
        <f>IFERROR(__xludf.DUMMYFUNCTION("""COMPUTED_VALUE"""),"Aguilar Graciela ")</f>
        <v>Aguilar Graciela </v>
      </c>
      <c r="D2586" s="1" t="str">
        <f>IFERROR(__xludf.DUMMYFUNCTION("""COMPUTED_VALUE"""),"Lentes de STOCK")</f>
        <v>Lentes de STOCK</v>
      </c>
      <c r="E2586" s="1" t="str">
        <f>IFERROR(__xludf.DUMMYFUNCTION("""COMPUTED_VALUE"""),"RIVADAVIA Rocio B")</f>
        <v>RIVADAVIA Rocio B</v>
      </c>
      <c r="F2586" s="1" t="str">
        <f t="shared" si="1"/>
        <v>RIVADAVIA </v>
      </c>
      <c r="G2586" s="1" t="str">
        <f t="shared" si="2"/>
        <v>Rocio B</v>
      </c>
      <c r="H2586" s="1" t="str">
        <f>IFERROR(__xludf.DUMMYFUNCTION("""COMPUTED_VALUE"""),"2/3/2023, 17:00:00")</f>
        <v>2/3/2023, 17:00:00</v>
      </c>
      <c r="I2586" s="1" t="str">
        <f>IFERROR(__xludf.DUMMYFUNCTION("""COMPUTED_VALUE"""),"Recibido en Laboratorio")</f>
        <v>Recibido en Laboratorio</v>
      </c>
      <c r="J2586" s="1">
        <f t="shared" si="3"/>
        <v>2</v>
      </c>
      <c r="K2586" s="1" t="str">
        <f t="shared" si="4"/>
        <v>Nuestro Laboratorio esta trabajando en tus lentes, los entregaremos en la fecha acordada.</v>
      </c>
    </row>
    <row r="2587">
      <c r="A2587" s="1">
        <f>IFERROR(__xludf.DUMMYFUNCTION("""COMPUTED_VALUE"""),87134.0)</f>
        <v>87134</v>
      </c>
      <c r="B2587" s="5">
        <f>IFERROR(__xludf.DUMMYFUNCTION("""COMPUTED_VALUE"""),44985.48939861111)</f>
        <v>44985.4894</v>
      </c>
      <c r="C2587" s="1" t="str">
        <f>IFERROR(__xludf.DUMMYFUNCTION("""COMPUTED_VALUE"""),"ARGUELLO JOSE")</f>
        <v>ARGUELLO JOSE</v>
      </c>
      <c r="D2587" s="1" t="str">
        <f>IFERROR(__xludf.DUMMYFUNCTION("""COMPUTED_VALUE"""),"Lentes MULTIFOCALES")</f>
        <v>Lentes MULTIFOCALES</v>
      </c>
      <c r="E2587" s="1" t="str">
        <f>IFERROR(__xludf.DUMMYFUNCTION("""COMPUTED_VALUE"""),"RIVADAVIA Santiago LOPEZ")</f>
        <v>RIVADAVIA Santiago LOPEZ</v>
      </c>
      <c r="F2587" s="1" t="str">
        <f t="shared" si="1"/>
        <v>RIVADAVIA </v>
      </c>
      <c r="G2587" s="1" t="str">
        <f t="shared" si="2"/>
        <v>Santiago LOPEZ</v>
      </c>
      <c r="H2587" s="1" t="str">
        <f>IFERROR(__xludf.DUMMYFUNCTION("""COMPUTED_VALUE"""),"21/3/2023, 17:00:00")</f>
        <v>21/3/2023, 17:00:00</v>
      </c>
      <c r="I2587" s="1" t="str">
        <f>IFERROR(__xludf.DUMMYFUNCTION("""COMPUTED_VALUE"""),"Completado en SUCURSAL")</f>
        <v>Completado en SUCURSAL</v>
      </c>
      <c r="J2587" s="1">
        <f t="shared" si="3"/>
        <v>5</v>
      </c>
      <c r="K2587" s="1" t="str">
        <f t="shared" si="4"/>
        <v>Tus Lentes estan LISTAS PARA ENTREGAR, te esperamos.</v>
      </c>
    </row>
    <row r="2588">
      <c r="A2588" s="1">
        <f>IFERROR(__xludf.DUMMYFUNCTION("""COMPUTED_VALUE"""),87135.0)</f>
        <v>87135</v>
      </c>
      <c r="B2588" s="5">
        <f>IFERROR(__xludf.DUMMYFUNCTION("""COMPUTED_VALUE"""),44985.491694826385)</f>
        <v>44985.49169</v>
      </c>
      <c r="C2588" s="1" t="str">
        <f>IFERROR(__xludf.DUMMYFUNCTION("""COMPUTED_VALUE"""),"suarez gilda")</f>
        <v>suarez gilda</v>
      </c>
      <c r="D2588" s="1" t="str">
        <f>IFERROR(__xludf.DUMMYFUNCTION("""COMPUTED_VALUE"""),"Lentes MULTIFOCALES")</f>
        <v>Lentes MULTIFOCALES</v>
      </c>
      <c r="E2588" s="1" t="str">
        <f>IFERROR(__xludf.DUMMYFUNCTION("""COMPUTED_VALUE"""),"RIVADAVIA Santiago N")</f>
        <v>RIVADAVIA Santiago N</v>
      </c>
      <c r="F2588" s="1" t="str">
        <f t="shared" si="1"/>
        <v>RIVADAVIA </v>
      </c>
      <c r="G2588" s="1" t="str">
        <f t="shared" si="2"/>
        <v>Santiago N</v>
      </c>
      <c r="H2588" s="1" t="str">
        <f>IFERROR(__xludf.DUMMYFUNCTION("""COMPUTED_VALUE"""),"13/3/2023, 17:00:00")</f>
        <v>13/3/2023, 17:00:00</v>
      </c>
      <c r="I2588" s="1" t="str">
        <f>IFERROR(__xludf.DUMMYFUNCTION("""COMPUTED_VALUE"""),"Completado en SUCURSAL")</f>
        <v>Completado en SUCURSAL</v>
      </c>
      <c r="J2588" s="1">
        <f t="shared" si="3"/>
        <v>5</v>
      </c>
      <c r="K2588" s="1" t="str">
        <f t="shared" si="4"/>
        <v>Tus Lentes estan LISTAS PARA ENTREGAR, te esperamos.</v>
      </c>
    </row>
    <row r="2589">
      <c r="A2589" s="1">
        <f>IFERROR(__xludf.DUMMYFUNCTION("""COMPUTED_VALUE"""),87136.0)</f>
        <v>87136</v>
      </c>
      <c r="B2589" s="5">
        <f>IFERROR(__xludf.DUMMYFUNCTION("""COMPUTED_VALUE"""),44985.49363653935)</f>
        <v>44985.49364</v>
      </c>
      <c r="C2589" s="1" t="str">
        <f>IFERROR(__xludf.DUMMYFUNCTION("""COMPUTED_VALUE"""),"FORNABAY IRMA")</f>
        <v>FORNABAY IRMA</v>
      </c>
      <c r="D2589" s="1" t="str">
        <f>IFERROR(__xludf.DUMMYFUNCTION("""COMPUTED_VALUE"""),"Lentes de STOCK")</f>
        <v>Lentes de STOCK</v>
      </c>
      <c r="E2589" s="1" t="str">
        <f>IFERROR(__xludf.DUMMYFUNCTION("""COMPUTED_VALUE"""),"RIVADAVIA Luciana")</f>
        <v>RIVADAVIA Luciana</v>
      </c>
      <c r="F2589" s="1" t="str">
        <f t="shared" si="1"/>
        <v>RIVADAVIA </v>
      </c>
      <c r="G2589" s="1" t="str">
        <f t="shared" si="2"/>
        <v>Luciana</v>
      </c>
      <c r="H2589" s="1" t="str">
        <f>IFERROR(__xludf.DUMMYFUNCTION("""COMPUTED_VALUE"""),"6/3/2023, 17:00:00")</f>
        <v>6/3/2023, 17:00:00</v>
      </c>
      <c r="I2589" s="1" t="str">
        <f>IFERROR(__xludf.DUMMYFUNCTION("""COMPUTED_VALUE"""),"Completado en SUCURSAL")</f>
        <v>Completado en SUCURSAL</v>
      </c>
      <c r="J2589" s="1">
        <f t="shared" si="3"/>
        <v>5</v>
      </c>
      <c r="K2589" s="1" t="str">
        <f t="shared" si="4"/>
        <v>Tus Lentes estan LISTAS PARA ENTREGAR, te esperamos.</v>
      </c>
    </row>
    <row r="2590">
      <c r="A2590" s="1">
        <f>IFERROR(__xludf.DUMMYFUNCTION("""COMPUTED_VALUE"""),87137.0)</f>
        <v>87137</v>
      </c>
      <c r="B2590" s="5">
        <f>IFERROR(__xludf.DUMMYFUNCTION("""COMPUTED_VALUE"""),44985.494793125)</f>
        <v>44985.49479</v>
      </c>
      <c r="C2590" s="1" t="str">
        <f>IFERROR(__xludf.DUMMYFUNCTION("""COMPUTED_VALUE"""),"PRADO NELIDA ")</f>
        <v>PRADO NELIDA </v>
      </c>
      <c r="D2590" s="1" t="str">
        <f>IFERROR(__xludf.DUMMYFUNCTION("""COMPUTED_VALUE"""),"Reparaciones/Otros")</f>
        <v>Reparaciones/Otros</v>
      </c>
      <c r="E2590" s="1" t="str">
        <f>IFERROR(__xludf.DUMMYFUNCTION("""COMPUTED_VALUE"""),"ARTIGAS Cristian C.")</f>
        <v>ARTIGAS Cristian C.</v>
      </c>
      <c r="F2590" s="1" t="str">
        <f t="shared" si="1"/>
        <v>ARTIGAS </v>
      </c>
      <c r="G2590" s="1" t="str">
        <f t="shared" si="2"/>
        <v>Cristian C.</v>
      </c>
      <c r="H2590" s="1" t="str">
        <f>IFERROR(__xludf.DUMMYFUNCTION("""COMPUTED_VALUE"""),"1/3/2023, 17:00:00")</f>
        <v>1/3/2023, 17:00:00</v>
      </c>
      <c r="I2590" s="1" t="str">
        <f>IFERROR(__xludf.DUMMYFUNCTION("""COMPUTED_VALUE"""),"Recibido en Laboratorio")</f>
        <v>Recibido en Laboratorio</v>
      </c>
      <c r="J2590" s="1">
        <f t="shared" si="3"/>
        <v>2</v>
      </c>
      <c r="K2590" s="1" t="str">
        <f t="shared" si="4"/>
        <v>Nuestro Laboratorio esta trabajando en tus lentes, los entregaremos en la fecha acordada.</v>
      </c>
    </row>
    <row r="2591">
      <c r="A2591" s="1">
        <f>IFERROR(__xludf.DUMMYFUNCTION("""COMPUTED_VALUE"""),87138.0)</f>
        <v>87138</v>
      </c>
      <c r="B2591" s="5">
        <f>IFERROR(__xludf.DUMMYFUNCTION("""COMPUTED_VALUE"""),44985.495440046296)</f>
        <v>44985.49544</v>
      </c>
      <c r="C2591" s="1" t="str">
        <f>IFERROR(__xludf.DUMMYFUNCTION("""COMPUTED_VALUE"""),"SORIA GUILLERMINA ANTONELA")</f>
        <v>SORIA GUILLERMINA ANTONELA</v>
      </c>
      <c r="D2591" s="1" t="str">
        <f>IFERROR(__xludf.DUMMYFUNCTION("""COMPUTED_VALUE"""),"Lentes de STOCK")</f>
        <v>Lentes de STOCK</v>
      </c>
      <c r="E2591" s="1" t="str">
        <f>IFERROR(__xludf.DUMMYFUNCTION("""COMPUTED_VALUE"""),"RIVADAVIA Marcela L")</f>
        <v>RIVADAVIA Marcela L</v>
      </c>
      <c r="F2591" s="1" t="str">
        <f t="shared" si="1"/>
        <v>RIVADAVIA </v>
      </c>
      <c r="G2591" s="1" t="str">
        <f t="shared" si="2"/>
        <v>Marcela L</v>
      </c>
      <c r="H2591" s="1" t="str">
        <f>IFERROR(__xludf.DUMMYFUNCTION("""COMPUTED_VALUE"""),"6/3/2023, 17:00:00")</f>
        <v>6/3/2023, 17:00:00</v>
      </c>
      <c r="I2591" s="1" t="str">
        <f>IFERROR(__xludf.DUMMYFUNCTION("""COMPUTED_VALUE"""),"Completado en SUCURSAL")</f>
        <v>Completado en SUCURSAL</v>
      </c>
      <c r="J2591" s="1">
        <f t="shared" si="3"/>
        <v>5</v>
      </c>
      <c r="K2591" s="1" t="str">
        <f t="shared" si="4"/>
        <v>Tus Lentes estan LISTAS PARA ENTREGAR, te esperamos.</v>
      </c>
    </row>
    <row r="2592">
      <c r="A2592" s="1">
        <f>IFERROR(__xludf.DUMMYFUNCTION("""COMPUTED_VALUE"""),87139.0)</f>
        <v>87139</v>
      </c>
      <c r="B2592" s="5">
        <f>IFERROR(__xludf.DUMMYFUNCTION("""COMPUTED_VALUE"""),44985.49857792824)</f>
        <v>44985.49858</v>
      </c>
      <c r="C2592" s="1" t="str">
        <f>IFERROR(__xludf.DUMMYFUNCTION("""COMPUTED_VALUE"""),"ALCARAZ AVARO JULIETA ")</f>
        <v>ALCARAZ AVARO JULIETA </v>
      </c>
      <c r="D2592" s="1" t="str">
        <f>IFERROR(__xludf.DUMMYFUNCTION("""COMPUTED_VALUE"""),"Lentes de STOCK")</f>
        <v>Lentes de STOCK</v>
      </c>
      <c r="E2592" s="1" t="str">
        <f>IFERROR(__xludf.DUMMYFUNCTION("""COMPUTED_VALUE"""),"RIVADAVIA Marcela L")</f>
        <v>RIVADAVIA Marcela L</v>
      </c>
      <c r="F2592" s="1" t="str">
        <f t="shared" si="1"/>
        <v>RIVADAVIA </v>
      </c>
      <c r="G2592" s="1" t="str">
        <f t="shared" si="2"/>
        <v>Marcela L</v>
      </c>
      <c r="H2592" s="1" t="str">
        <f>IFERROR(__xludf.DUMMYFUNCTION("""COMPUTED_VALUE"""),"2/3/2023, 17:00:00")</f>
        <v>2/3/2023, 17:00:00</v>
      </c>
      <c r="I2592" s="1" t="str">
        <f>IFERROR(__xludf.DUMMYFUNCTION("""COMPUTED_VALUE"""),"Recibido en Laboratorio")</f>
        <v>Recibido en Laboratorio</v>
      </c>
      <c r="J2592" s="1">
        <f t="shared" si="3"/>
        <v>2</v>
      </c>
      <c r="K2592" s="1" t="str">
        <f t="shared" si="4"/>
        <v>Nuestro Laboratorio esta trabajando en tus lentes, los entregaremos en la fecha acordada.</v>
      </c>
    </row>
    <row r="2593">
      <c r="A2593" s="1">
        <f>IFERROR(__xludf.DUMMYFUNCTION("""COMPUTED_VALUE"""),87140.0)</f>
        <v>87140</v>
      </c>
      <c r="B2593" s="5">
        <f>IFERROR(__xludf.DUMMYFUNCTION("""COMPUTED_VALUE"""),44985.49919134259)</f>
        <v>44985.49919</v>
      </c>
      <c r="C2593" s="1" t="str">
        <f>IFERROR(__xludf.DUMMYFUNCTION("""COMPUTED_VALUE"""),"MORALES SONIA")</f>
        <v>MORALES SONIA</v>
      </c>
      <c r="D2593" s="1" t="str">
        <f>IFERROR(__xludf.DUMMYFUNCTION("""COMPUTED_VALUE"""),"Lentes de STOCK")</f>
        <v>Lentes de STOCK</v>
      </c>
      <c r="E2593" s="1" t="str">
        <f>IFERROR(__xludf.DUMMYFUNCTION("""COMPUTED_VALUE"""),"RIVADAVIA Rocio B")</f>
        <v>RIVADAVIA Rocio B</v>
      </c>
      <c r="F2593" s="1" t="str">
        <f t="shared" si="1"/>
        <v>RIVADAVIA </v>
      </c>
      <c r="G2593" s="1" t="str">
        <f t="shared" si="2"/>
        <v>Rocio B</v>
      </c>
      <c r="H2593" s="1" t="str">
        <f>IFERROR(__xludf.DUMMYFUNCTION("""COMPUTED_VALUE"""),"7/3/2023, 17:00:00")</f>
        <v>7/3/2023, 17:00:00</v>
      </c>
      <c r="I2593" s="1" t="str">
        <f>IFERROR(__xludf.DUMMYFUNCTION("""COMPUTED_VALUE"""),"Completado en SUCURSAL")</f>
        <v>Completado en SUCURSAL</v>
      </c>
      <c r="J2593" s="1">
        <f t="shared" si="3"/>
        <v>5</v>
      </c>
      <c r="K2593" s="1" t="str">
        <f t="shared" si="4"/>
        <v>Tus Lentes estan LISTAS PARA ENTREGAR, te esperamos.</v>
      </c>
    </row>
    <row r="2594">
      <c r="A2594" s="1">
        <f>IFERROR(__xludf.DUMMYFUNCTION("""COMPUTED_VALUE"""),87141.0)</f>
        <v>87141</v>
      </c>
      <c r="B2594" s="5">
        <f>IFERROR(__xludf.DUMMYFUNCTION("""COMPUTED_VALUE"""),44985.50189054398)</f>
        <v>44985.50189</v>
      </c>
      <c r="C2594" s="1" t="str">
        <f>IFERROR(__xludf.DUMMYFUNCTION("""COMPUTED_VALUE"""),"ENRIZ JOSE")</f>
        <v>ENRIZ JOSE</v>
      </c>
      <c r="D2594" s="1" t="str">
        <f>IFERROR(__xludf.DUMMYFUNCTION("""COMPUTED_VALUE"""),"Reparaciones/Otros")</f>
        <v>Reparaciones/Otros</v>
      </c>
      <c r="E2594" s="1" t="str">
        <f>IFERROR(__xludf.DUMMYFUNCTION("""COMPUTED_VALUE"""),"ARTIGAS Ivana P.")</f>
        <v>ARTIGAS Ivana P.</v>
      </c>
      <c r="F2594" s="1" t="str">
        <f t="shared" si="1"/>
        <v>ARTIGAS </v>
      </c>
      <c r="G2594" s="1" t="str">
        <f t="shared" si="2"/>
        <v>Ivana P.</v>
      </c>
      <c r="H2594" s="1" t="str">
        <f>IFERROR(__xludf.DUMMYFUNCTION("""COMPUTED_VALUE"""),"2/3/2023, 17:00:00")</f>
        <v>2/3/2023, 17:00:00</v>
      </c>
      <c r="I2594" s="1" t="str">
        <f>IFERROR(__xludf.DUMMYFUNCTION("""COMPUTED_VALUE"""),"Recibido en Laboratorio")</f>
        <v>Recibido en Laboratorio</v>
      </c>
      <c r="J2594" s="1">
        <f t="shared" si="3"/>
        <v>2</v>
      </c>
      <c r="K2594" s="1" t="str">
        <f t="shared" si="4"/>
        <v>Nuestro Laboratorio esta trabajando en tus lentes, los entregaremos en la fecha acordada.</v>
      </c>
    </row>
    <row r="2595">
      <c r="A2595" s="1">
        <f>IFERROR(__xludf.DUMMYFUNCTION("""COMPUTED_VALUE"""),87142.0)</f>
        <v>87142</v>
      </c>
      <c r="B2595" s="5">
        <f>IFERROR(__xludf.DUMMYFUNCTION("""COMPUTED_VALUE"""),44985.504718958335)</f>
        <v>44985.50472</v>
      </c>
      <c r="C2595" s="1" t="str">
        <f>IFERROR(__xludf.DUMMYFUNCTION("""COMPUTED_VALUE"""),"GRAFFIGNA JORGE")</f>
        <v>GRAFFIGNA JORGE</v>
      </c>
      <c r="D2595" s="1" t="str">
        <f>IFERROR(__xludf.DUMMYFUNCTION("""COMPUTED_VALUE"""),"Lentes de STOCK")</f>
        <v>Lentes de STOCK</v>
      </c>
      <c r="E2595" s="1" t="str">
        <f>IFERROR(__xludf.DUMMYFUNCTION("""COMPUTED_VALUE"""),"ARTIGAS Cristian C.")</f>
        <v>ARTIGAS Cristian C.</v>
      </c>
      <c r="F2595" s="1" t="str">
        <f t="shared" si="1"/>
        <v>ARTIGAS </v>
      </c>
      <c r="G2595" s="1" t="str">
        <f t="shared" si="2"/>
        <v>Cristian C.</v>
      </c>
      <c r="H2595" s="1" t="str">
        <f>IFERROR(__xludf.DUMMYFUNCTION("""COMPUTED_VALUE"""),"7/3/2023, 17:00:00")</f>
        <v>7/3/2023, 17:00:00</v>
      </c>
      <c r="I2595" s="1" t="str">
        <f>IFERROR(__xludf.DUMMYFUNCTION("""COMPUTED_VALUE"""),"Recibido en Laboratorio")</f>
        <v>Recibido en Laboratorio</v>
      </c>
      <c r="J2595" s="1">
        <f t="shared" si="3"/>
        <v>2</v>
      </c>
      <c r="K2595" s="1" t="str">
        <f t="shared" si="4"/>
        <v>Nuestro Laboratorio esta trabajando en tus lentes, los entregaremos en la fecha acordada.</v>
      </c>
    </row>
    <row r="2596">
      <c r="A2596" s="1">
        <f>IFERROR(__xludf.DUMMYFUNCTION("""COMPUTED_VALUE"""),87143.0)</f>
        <v>87143</v>
      </c>
      <c r="B2596" s="5">
        <f>IFERROR(__xludf.DUMMYFUNCTION("""COMPUTED_VALUE"""),44985.50669527778)</f>
        <v>44985.5067</v>
      </c>
      <c r="C2596" s="1" t="str">
        <f>IFERROR(__xludf.DUMMYFUNCTION("""COMPUTED_VALUE"""),"SCOOT NILDA")</f>
        <v>SCOOT NILDA</v>
      </c>
      <c r="D2596" s="1" t="str">
        <f>IFERROR(__xludf.DUMMYFUNCTION("""COMPUTED_VALUE"""),"Lentes de STOCK")</f>
        <v>Lentes de STOCK</v>
      </c>
      <c r="E2596" s="1" t="str">
        <f>IFERROR(__xludf.DUMMYFUNCTION("""COMPUTED_VALUE"""),"RIVADAVIA Luciana")</f>
        <v>RIVADAVIA Luciana</v>
      </c>
      <c r="F2596" s="1" t="str">
        <f t="shared" si="1"/>
        <v>RIVADAVIA </v>
      </c>
      <c r="G2596" s="1" t="str">
        <f t="shared" si="2"/>
        <v>Luciana</v>
      </c>
      <c r="H2596" s="1" t="str">
        <f>IFERROR(__xludf.DUMMYFUNCTION("""COMPUTED_VALUE"""),"6/3/2023, 17:00:00")</f>
        <v>6/3/2023, 17:00:00</v>
      </c>
      <c r="I2596" s="1" t="str">
        <f>IFERROR(__xludf.DUMMYFUNCTION("""COMPUTED_VALUE"""),"Completado en SUCURSAL")</f>
        <v>Completado en SUCURSAL</v>
      </c>
      <c r="J2596" s="1">
        <f t="shared" si="3"/>
        <v>5</v>
      </c>
      <c r="K2596" s="1" t="str">
        <f t="shared" si="4"/>
        <v>Tus Lentes estan LISTAS PARA ENTREGAR, te esperamos.</v>
      </c>
    </row>
    <row r="2597">
      <c r="A2597" s="1">
        <f>IFERROR(__xludf.DUMMYFUNCTION("""COMPUTED_VALUE"""),87144.0)</f>
        <v>87144</v>
      </c>
      <c r="B2597" s="5">
        <f>IFERROR(__xludf.DUMMYFUNCTION("""COMPUTED_VALUE"""),44985.514767870365)</f>
        <v>44985.51477</v>
      </c>
      <c r="C2597" s="1" t="str">
        <f>IFERROR(__xludf.DUMMYFUNCTION("""COMPUTED_VALUE"""),"FRITZ HUGO DANIEL")</f>
        <v>FRITZ HUGO DANIEL</v>
      </c>
      <c r="D2597" s="1" t="str">
        <f>IFERROR(__xludf.DUMMYFUNCTION("""COMPUTED_VALUE"""),"Lentes de STOCK")</f>
        <v>Lentes de STOCK</v>
      </c>
      <c r="E2597" s="1" t="str">
        <f>IFERROR(__xludf.DUMMYFUNCTION("""COMPUTED_VALUE"""),"RIVADAVIA Luciana")</f>
        <v>RIVADAVIA Luciana</v>
      </c>
      <c r="F2597" s="1" t="str">
        <f t="shared" si="1"/>
        <v>RIVADAVIA </v>
      </c>
      <c r="G2597" s="1" t="str">
        <f t="shared" si="2"/>
        <v>Luciana</v>
      </c>
      <c r="H2597" s="1" t="str">
        <f>IFERROR(__xludf.DUMMYFUNCTION("""COMPUTED_VALUE"""),"6/3/2023, 17:00:00")</f>
        <v>6/3/2023, 17:00:00</v>
      </c>
      <c r="I2597" s="1" t="str">
        <f>IFERROR(__xludf.DUMMYFUNCTION("""COMPUTED_VALUE"""),"Completado en SUCURSAL")</f>
        <v>Completado en SUCURSAL</v>
      </c>
      <c r="J2597" s="1">
        <f t="shared" si="3"/>
        <v>5</v>
      </c>
      <c r="K2597" s="1" t="str">
        <f t="shared" si="4"/>
        <v>Tus Lentes estan LISTAS PARA ENTREGAR, te esperamos.</v>
      </c>
    </row>
    <row r="2598">
      <c r="A2598" s="1">
        <f>IFERROR(__xludf.DUMMYFUNCTION("""COMPUTED_VALUE"""),87145.0)</f>
        <v>87145</v>
      </c>
      <c r="B2598" s="5">
        <f>IFERROR(__xludf.DUMMYFUNCTION("""COMPUTED_VALUE"""),44985.521463020836)</f>
        <v>44985.52146</v>
      </c>
      <c r="C2598" s="1" t="str">
        <f>IFERROR(__xludf.DUMMYFUNCTION("""COMPUTED_VALUE"""),"RO JOSE")</f>
        <v>RO JOSE</v>
      </c>
      <c r="D2598" s="1" t="str">
        <f>IFERROR(__xludf.DUMMYFUNCTION("""COMPUTED_VALUE"""),"Lentes de LABORATORIO")</f>
        <v>Lentes de LABORATORIO</v>
      </c>
      <c r="E2598" s="1" t="str">
        <f>IFERROR(__xludf.DUMMYFUNCTION("""COMPUTED_VALUE"""),"ARTIGAS Ivana P.")</f>
        <v>ARTIGAS Ivana P.</v>
      </c>
      <c r="F2598" s="1" t="str">
        <f t="shared" si="1"/>
        <v>ARTIGAS </v>
      </c>
      <c r="G2598" s="1" t="str">
        <f t="shared" si="2"/>
        <v>Ivana P.</v>
      </c>
      <c r="H2598" s="1" t="str">
        <f>IFERROR(__xludf.DUMMYFUNCTION("""COMPUTED_VALUE"""),"10/3/2023, 17:00:00")</f>
        <v>10/3/2023, 17:00:00</v>
      </c>
      <c r="I2598" s="1" t="str">
        <f>IFERROR(__xludf.DUMMYFUNCTION("""COMPUTED_VALUE"""),"Completado en SUCURSAL")</f>
        <v>Completado en SUCURSAL</v>
      </c>
      <c r="J2598" s="1">
        <f t="shared" si="3"/>
        <v>5</v>
      </c>
      <c r="K2598" s="1" t="str">
        <f t="shared" si="4"/>
        <v>Tus Lentes estan LISTAS PARA ENTREGAR, te esperamos.</v>
      </c>
    </row>
    <row r="2599">
      <c r="A2599" s="1">
        <f>IFERROR(__xludf.DUMMYFUNCTION("""COMPUTED_VALUE"""),87146.0)</f>
        <v>87146</v>
      </c>
      <c r="B2599" s="5">
        <f>IFERROR(__xludf.DUMMYFUNCTION("""COMPUTED_VALUE"""),44985.523662962965)</f>
        <v>44985.52366</v>
      </c>
      <c r="C2599" s="1" t="str">
        <f>IFERROR(__xludf.DUMMYFUNCTION("""COMPUTED_VALUE"""),": gil florencia tatiana")</f>
        <v>: gil florencia tatiana</v>
      </c>
      <c r="D2599" s="1" t="str">
        <f>IFERROR(__xludf.DUMMYFUNCTION("""COMPUTED_VALUE"""),"Lentes de LABORATORIO")</f>
        <v>Lentes de LABORATORIO</v>
      </c>
      <c r="E2599" s="1" t="str">
        <f>IFERROR(__xludf.DUMMYFUNCTION("""COMPUTED_VALUE"""),"RIVADAVIA Santiago LOPEZ")</f>
        <v>RIVADAVIA Santiago LOPEZ</v>
      </c>
      <c r="F2599" s="1" t="str">
        <f t="shared" si="1"/>
        <v>RIVADAVIA </v>
      </c>
      <c r="G2599" s="1" t="str">
        <f t="shared" si="2"/>
        <v>Santiago LOPEZ</v>
      </c>
      <c r="H2599" s="1" t="str">
        <f>IFERROR(__xludf.DUMMYFUNCTION("""COMPUTED_VALUE"""),"15/3/2023, 17:00:00")</f>
        <v>15/3/2023, 17:00:00</v>
      </c>
      <c r="I2599" s="1"/>
      <c r="J2599" s="1">
        <f t="shared" si="3"/>
        <v>0</v>
      </c>
      <c r="K2599" s="1" t="str">
        <f t="shared" si="4"/>
        <v/>
      </c>
    </row>
    <row r="2600">
      <c r="A2600" s="1">
        <f>IFERROR(__xludf.DUMMYFUNCTION("""COMPUTED_VALUE"""),87147.0)</f>
        <v>87147</v>
      </c>
      <c r="B2600" s="5">
        <f>IFERROR(__xludf.DUMMYFUNCTION("""COMPUTED_VALUE"""),44985.527796215276)</f>
        <v>44985.5278</v>
      </c>
      <c r="C2600" s="1" t="str">
        <f>IFERROR(__xludf.DUMMYFUNCTION("""COMPUTED_VALUE"""),"zabala chacur belen")</f>
        <v>zabala chacur belen</v>
      </c>
      <c r="D2600" s="1" t="str">
        <f>IFERROR(__xludf.DUMMYFUNCTION("""COMPUTED_VALUE"""),"Lentes de STOCK")</f>
        <v>Lentes de STOCK</v>
      </c>
      <c r="E2600" s="1" t="str">
        <f>IFERROR(__xludf.DUMMYFUNCTION("""COMPUTED_VALUE"""),"RIVADAVIA Santiago N")</f>
        <v>RIVADAVIA Santiago N</v>
      </c>
      <c r="F2600" s="1" t="str">
        <f t="shared" si="1"/>
        <v>RIVADAVIA </v>
      </c>
      <c r="G2600" s="1" t="str">
        <f t="shared" si="2"/>
        <v>Santiago N</v>
      </c>
      <c r="H2600" s="1" t="str">
        <f>IFERROR(__xludf.DUMMYFUNCTION("""COMPUTED_VALUE"""),"3/3/2023, 17:00:00")</f>
        <v>3/3/2023, 17:00:00</v>
      </c>
      <c r="I2600" s="1" t="str">
        <f>IFERROR(__xludf.DUMMYFUNCTION("""COMPUTED_VALUE"""),"Recibido en Laboratorio")</f>
        <v>Recibido en Laboratorio</v>
      </c>
      <c r="J2600" s="1">
        <f t="shared" si="3"/>
        <v>2</v>
      </c>
      <c r="K2600" s="1" t="str">
        <f t="shared" si="4"/>
        <v>Nuestro Laboratorio esta trabajando en tus lentes, los entregaremos en la fecha acordada.</v>
      </c>
    </row>
    <row r="2601">
      <c r="A2601" s="1">
        <f>IFERROR(__xludf.DUMMYFUNCTION("""COMPUTED_VALUE"""),87148.0)</f>
        <v>87148</v>
      </c>
      <c r="B2601" s="5">
        <f>IFERROR(__xludf.DUMMYFUNCTION("""COMPUTED_VALUE"""),44985.529552465276)</f>
        <v>44985.52955</v>
      </c>
      <c r="C2601" s="1" t="str">
        <f>IFERROR(__xludf.DUMMYFUNCTION("""COMPUTED_VALUE"""),"RODRIGUEZ MIRTA")</f>
        <v>RODRIGUEZ MIRTA</v>
      </c>
      <c r="D2601" s="1" t="str">
        <f>IFERROR(__xludf.DUMMYFUNCTION("""COMPUTED_VALUE"""),"Lentes BIFOCALES")</f>
        <v>Lentes BIFOCALES</v>
      </c>
      <c r="E2601" s="1" t="str">
        <f>IFERROR(__xludf.DUMMYFUNCTION("""COMPUTED_VALUE"""),"ARTIGAS Ivana P.")</f>
        <v>ARTIGAS Ivana P.</v>
      </c>
      <c r="F2601" s="1" t="str">
        <f t="shared" si="1"/>
        <v>ARTIGAS </v>
      </c>
      <c r="G2601" s="1" t="str">
        <f t="shared" si="2"/>
        <v>Ivana P.</v>
      </c>
      <c r="H2601" s="1" t="str">
        <f>IFERROR(__xludf.DUMMYFUNCTION("""COMPUTED_VALUE"""),"3/3/2023, 17:00:00")</f>
        <v>3/3/2023, 17:00:00</v>
      </c>
      <c r="I2601" s="1" t="str">
        <f>IFERROR(__xludf.DUMMYFUNCTION("""COMPUTED_VALUE"""),"Recibido en Laboratorio")</f>
        <v>Recibido en Laboratorio</v>
      </c>
      <c r="J2601" s="1">
        <f t="shared" si="3"/>
        <v>2</v>
      </c>
      <c r="K2601" s="1" t="str">
        <f t="shared" si="4"/>
        <v>Nuestro Laboratorio esta trabajando en tus lentes, los entregaremos en la fecha acordada.</v>
      </c>
    </row>
    <row r="2602">
      <c r="A2602" s="1">
        <f>IFERROR(__xludf.DUMMYFUNCTION("""COMPUTED_VALUE"""),87149.0)</f>
        <v>87149</v>
      </c>
      <c r="B2602" s="5">
        <f>IFERROR(__xludf.DUMMYFUNCTION("""COMPUTED_VALUE"""),44985.54185175926)</f>
        <v>44985.54185</v>
      </c>
      <c r="C2602" s="1" t="str">
        <f>IFERROR(__xludf.DUMMYFUNCTION("""COMPUTED_VALUE"""),"gil florencia tatiana")</f>
        <v>gil florencia tatiana</v>
      </c>
      <c r="D2602" s="1" t="str">
        <f>IFERROR(__xludf.DUMMYFUNCTION("""COMPUTED_VALUE"""),"Lentes de LABORATORIO")</f>
        <v>Lentes de LABORATORIO</v>
      </c>
      <c r="E2602" s="1" t="str">
        <f>IFERROR(__xludf.DUMMYFUNCTION("""COMPUTED_VALUE"""),"RIVADAVIA Santiago N")</f>
        <v>RIVADAVIA Santiago N</v>
      </c>
      <c r="F2602" s="1" t="str">
        <f t="shared" si="1"/>
        <v>RIVADAVIA </v>
      </c>
      <c r="G2602" s="1" t="str">
        <f t="shared" si="2"/>
        <v>Santiago N</v>
      </c>
      <c r="H2602" s="1" t="str">
        <f>IFERROR(__xludf.DUMMYFUNCTION("""COMPUTED_VALUE"""),"15/3/2023, 17:00:00")</f>
        <v>15/3/2023, 17:00:00</v>
      </c>
      <c r="I2602" s="1" t="str">
        <f>IFERROR(__xludf.DUMMYFUNCTION("""COMPUTED_VALUE"""),"Completado en SUCURSAL")</f>
        <v>Completado en SUCURSAL</v>
      </c>
      <c r="J2602" s="1">
        <f t="shared" si="3"/>
        <v>5</v>
      </c>
      <c r="K2602" s="1" t="str">
        <f t="shared" si="4"/>
        <v>Tus Lentes estan LISTAS PARA ENTREGAR, te esperamos.</v>
      </c>
    </row>
    <row r="2603">
      <c r="A2603" s="1">
        <f>IFERROR(__xludf.DUMMYFUNCTION("""COMPUTED_VALUE"""),87150.0)</f>
        <v>87150</v>
      </c>
      <c r="B2603" s="5">
        <f>IFERROR(__xludf.DUMMYFUNCTION("""COMPUTED_VALUE"""),44985.54292248843)</f>
        <v>44985.54292</v>
      </c>
      <c r="C2603" s="1" t="str">
        <f>IFERROR(__xludf.DUMMYFUNCTION("""COMPUTED_VALUE"""),"RODRIGUEZ DURAN HUMBERTO")</f>
        <v>RODRIGUEZ DURAN HUMBERTO</v>
      </c>
      <c r="D2603" s="1" t="str">
        <f>IFERROR(__xludf.DUMMYFUNCTION("""COMPUTED_VALUE"""),"Reparaciones/Otros")</f>
        <v>Reparaciones/Otros</v>
      </c>
      <c r="E2603" s="1" t="str">
        <f>IFERROR(__xludf.DUMMYFUNCTION("""COMPUTED_VALUE"""),"RIVADAVIA Santiago LOPEZ")</f>
        <v>RIVADAVIA Santiago LOPEZ</v>
      </c>
      <c r="F2603" s="1" t="str">
        <f t="shared" si="1"/>
        <v>RIVADAVIA </v>
      </c>
      <c r="G2603" s="1" t="str">
        <f t="shared" si="2"/>
        <v>Santiago LOPEZ</v>
      </c>
      <c r="H2603" s="1" t="str">
        <f>IFERROR(__xludf.DUMMYFUNCTION("""COMPUTED_VALUE"""),"2/3/2023, 17:00:00")</f>
        <v>2/3/2023, 17:00:00</v>
      </c>
      <c r="I2603" s="1"/>
      <c r="J2603" s="1">
        <f t="shared" si="3"/>
        <v>0</v>
      </c>
      <c r="K2603" s="1" t="str">
        <f t="shared" si="4"/>
        <v/>
      </c>
    </row>
    <row r="2604">
      <c r="A2604" s="1">
        <f>IFERROR(__xludf.DUMMYFUNCTION("""COMPUTED_VALUE"""),87151.0)</f>
        <v>87151</v>
      </c>
      <c r="B2604" s="5">
        <f>IFERROR(__xludf.DUMMYFUNCTION("""COMPUTED_VALUE"""),44985.55066216435)</f>
        <v>44985.55066</v>
      </c>
      <c r="C2604" s="1" t="str">
        <f>IFERROR(__xludf.DUMMYFUNCTION("""COMPUTED_VALUE"""),"REYNOSO ROBERTO")</f>
        <v>REYNOSO ROBERTO</v>
      </c>
      <c r="D2604" s="1" t="str">
        <f>IFERROR(__xludf.DUMMYFUNCTION("""COMPUTED_VALUE"""),"Lentes de STOCK")</f>
        <v>Lentes de STOCK</v>
      </c>
      <c r="E2604" s="1" t="str">
        <f>IFERROR(__xludf.DUMMYFUNCTION("""COMPUTED_VALUE"""),"RIVADAVIA Marcela L")</f>
        <v>RIVADAVIA Marcela L</v>
      </c>
      <c r="F2604" s="1" t="str">
        <f t="shared" si="1"/>
        <v>RIVADAVIA </v>
      </c>
      <c r="G2604" s="1" t="str">
        <f t="shared" si="2"/>
        <v>Marcela L</v>
      </c>
      <c r="H2604" s="1" t="str">
        <f>IFERROR(__xludf.DUMMYFUNCTION("""COMPUTED_VALUE"""),"3/3/2023, 17:00:00")</f>
        <v>3/3/2023, 17:00:00</v>
      </c>
      <c r="I2604" s="1" t="str">
        <f>IFERROR(__xludf.DUMMYFUNCTION("""COMPUTED_VALUE"""),"Completado en SUCURSAL")</f>
        <v>Completado en SUCURSAL</v>
      </c>
      <c r="J2604" s="1">
        <f t="shared" si="3"/>
        <v>5</v>
      </c>
      <c r="K2604" s="1" t="str">
        <f t="shared" si="4"/>
        <v>Tus Lentes estan LISTAS PARA ENTREGAR, te esperamos.</v>
      </c>
    </row>
    <row r="2605">
      <c r="A2605" s="1">
        <f>IFERROR(__xludf.DUMMYFUNCTION("""COMPUTED_VALUE"""),87152.0)</f>
        <v>87152</v>
      </c>
      <c r="B2605" s="5">
        <f>IFERROR(__xludf.DUMMYFUNCTION("""COMPUTED_VALUE"""),44985.55669266204)</f>
        <v>44985.55669</v>
      </c>
      <c r="C2605" s="1" t="str">
        <f>IFERROR(__xludf.DUMMYFUNCTION("""COMPUTED_VALUE"""),"LUCERO GUSTAVO")</f>
        <v>LUCERO GUSTAVO</v>
      </c>
      <c r="D2605" s="1" t="str">
        <f>IFERROR(__xludf.DUMMYFUNCTION("""COMPUTED_VALUE"""),"Lentes de STOCK")</f>
        <v>Lentes de STOCK</v>
      </c>
      <c r="E2605" s="1" t="str">
        <f>IFERROR(__xludf.DUMMYFUNCTION("""COMPUTED_VALUE"""),"RIVADAVIA Marcela L")</f>
        <v>RIVADAVIA Marcela L</v>
      </c>
      <c r="F2605" s="1" t="str">
        <f t="shared" si="1"/>
        <v>RIVADAVIA </v>
      </c>
      <c r="G2605" s="1" t="str">
        <f t="shared" si="2"/>
        <v>Marcela L</v>
      </c>
      <c r="H2605" s="1" t="str">
        <f>IFERROR(__xludf.DUMMYFUNCTION("""COMPUTED_VALUE"""),"2/3/2023, 17:00:00")</f>
        <v>2/3/2023, 17:00:00</v>
      </c>
      <c r="I2605" s="1" t="str">
        <f>IFERROR(__xludf.DUMMYFUNCTION("""COMPUTED_VALUE"""),"Recibido en Laboratorio")</f>
        <v>Recibido en Laboratorio</v>
      </c>
      <c r="J2605" s="1">
        <f t="shared" si="3"/>
        <v>2</v>
      </c>
      <c r="K2605" s="1" t="str">
        <f t="shared" si="4"/>
        <v>Nuestro Laboratorio esta trabajando en tus lentes, los entregaremos en la fecha acordada.</v>
      </c>
    </row>
    <row r="2606">
      <c r="A2606" s="1">
        <f>IFERROR(__xludf.DUMMYFUNCTION("""COMPUTED_VALUE"""),87153.0)</f>
        <v>87153</v>
      </c>
      <c r="B2606" s="5">
        <f>IFERROR(__xludf.DUMMYFUNCTION("""COMPUTED_VALUE"""),44985.55674280092)</f>
        <v>44985.55674</v>
      </c>
      <c r="C2606" s="1" t="str">
        <f>IFERROR(__xludf.DUMMYFUNCTION("""COMPUTED_VALUE"""),"PRESSELLA CARLA")</f>
        <v>PRESSELLA CARLA</v>
      </c>
      <c r="D2606" s="1" t="str">
        <f>IFERROR(__xludf.DUMMYFUNCTION("""COMPUTED_VALUE"""),"Lentes de STOCK")</f>
        <v>Lentes de STOCK</v>
      </c>
      <c r="E2606" s="1" t="str">
        <f>IFERROR(__xludf.DUMMYFUNCTION("""COMPUTED_VALUE"""),"RIVADAVIA Santiago LOPEZ")</f>
        <v>RIVADAVIA Santiago LOPEZ</v>
      </c>
      <c r="F2606" s="1" t="str">
        <f t="shared" si="1"/>
        <v>RIVADAVIA </v>
      </c>
      <c r="G2606" s="1" t="str">
        <f t="shared" si="2"/>
        <v>Santiago LOPEZ</v>
      </c>
      <c r="H2606" s="1" t="str">
        <f>IFERROR(__xludf.DUMMYFUNCTION("""COMPUTED_VALUE"""),"3/3/2023, 17:00:00")</f>
        <v>3/3/2023, 17:00:00</v>
      </c>
      <c r="I2606" s="1" t="str">
        <f>IFERROR(__xludf.DUMMYFUNCTION("""COMPUTED_VALUE"""),"Recibido en Laboratorio")</f>
        <v>Recibido en Laboratorio</v>
      </c>
      <c r="J2606" s="1">
        <f t="shared" si="3"/>
        <v>2</v>
      </c>
      <c r="K2606" s="1" t="str">
        <f t="shared" si="4"/>
        <v>Nuestro Laboratorio esta trabajando en tus lentes, los entregaremos en la fecha acordada.</v>
      </c>
    </row>
    <row r="2607">
      <c r="A2607" s="1">
        <f>IFERROR(__xludf.DUMMYFUNCTION("""COMPUTED_VALUE"""),87154.0)</f>
        <v>87154</v>
      </c>
      <c r="B2607" s="5">
        <f>IFERROR(__xludf.DUMMYFUNCTION("""COMPUTED_VALUE"""),44985.567385462964)</f>
        <v>44985.56739</v>
      </c>
      <c r="C2607" s="1" t="str">
        <f>IFERROR(__xludf.DUMMYFUNCTION("""COMPUTED_VALUE"""),"QUIROGA MALVINA")</f>
        <v>QUIROGA MALVINA</v>
      </c>
      <c r="D2607" s="1" t="str">
        <f>IFERROR(__xludf.DUMMYFUNCTION("""COMPUTED_VALUE"""),"Lentes de STOCK")</f>
        <v>Lentes de STOCK</v>
      </c>
      <c r="E2607" s="1" t="str">
        <f>IFERROR(__xludf.DUMMYFUNCTION("""COMPUTED_VALUE"""),"RIVADAVIA Rocio B")</f>
        <v>RIVADAVIA Rocio B</v>
      </c>
      <c r="F2607" s="1" t="str">
        <f t="shared" si="1"/>
        <v>RIVADAVIA </v>
      </c>
      <c r="G2607" s="1" t="str">
        <f t="shared" si="2"/>
        <v>Rocio B</v>
      </c>
      <c r="H2607" s="1" t="str">
        <f>IFERROR(__xludf.DUMMYFUNCTION("""COMPUTED_VALUE"""),"10/3/2023, 17:00:00")</f>
        <v>10/3/2023, 17:00:00</v>
      </c>
      <c r="I2607" s="1" t="str">
        <f>IFERROR(__xludf.DUMMYFUNCTION("""COMPUTED_VALUE"""),"Recibido en Laboratorio")</f>
        <v>Recibido en Laboratorio</v>
      </c>
      <c r="J2607" s="1">
        <f t="shared" si="3"/>
        <v>2</v>
      </c>
      <c r="K2607" s="1" t="str">
        <f t="shared" si="4"/>
        <v>Nuestro Laboratorio esta trabajando en tus lentes, los entregaremos en la fecha acordada.</v>
      </c>
    </row>
    <row r="2608">
      <c r="A2608" s="1">
        <f>IFERROR(__xludf.DUMMYFUNCTION("""COMPUTED_VALUE"""),87155.0)</f>
        <v>87155</v>
      </c>
      <c r="B2608" s="5">
        <f>IFERROR(__xludf.DUMMYFUNCTION("""COMPUTED_VALUE"""),44985.697039756946)</f>
        <v>44985.69704</v>
      </c>
      <c r="C2608" s="1" t="str">
        <f>IFERROR(__xludf.DUMMYFUNCTION("""COMPUTED_VALUE"""),"INGOLINGO JOSEFINA")</f>
        <v>INGOLINGO JOSEFINA</v>
      </c>
      <c r="D2608" s="1" t="str">
        <f>IFERROR(__xludf.DUMMYFUNCTION("""COMPUTED_VALUE"""),"Lentes de LABORATORIO")</f>
        <v>Lentes de LABORATORIO</v>
      </c>
      <c r="E2608" s="1" t="str">
        <f>IFERROR(__xludf.DUMMYFUNCTION("""COMPUTED_VALUE"""),"ARTIGAS Ivana P.")</f>
        <v>ARTIGAS Ivana P.</v>
      </c>
      <c r="F2608" s="1" t="str">
        <f t="shared" si="1"/>
        <v>ARTIGAS </v>
      </c>
      <c r="G2608" s="1" t="str">
        <f t="shared" si="2"/>
        <v>Ivana P.</v>
      </c>
      <c r="H2608" s="1" t="str">
        <f>IFERROR(__xludf.DUMMYFUNCTION("""COMPUTED_VALUE"""),"8/3/2023, 17:00:00")</f>
        <v>8/3/2023, 17:00:00</v>
      </c>
      <c r="I2608" s="1" t="str">
        <f>IFERROR(__xludf.DUMMYFUNCTION("""COMPUTED_VALUE"""),"Completado en SUCURSAL")</f>
        <v>Completado en SUCURSAL</v>
      </c>
      <c r="J2608" s="1">
        <f t="shared" si="3"/>
        <v>5</v>
      </c>
      <c r="K2608" s="1" t="str">
        <f t="shared" si="4"/>
        <v>Tus Lentes estan LISTAS PARA ENTREGAR, te esperamos.</v>
      </c>
    </row>
    <row r="2609">
      <c r="A2609" s="1">
        <f>IFERROR(__xludf.DUMMYFUNCTION("""COMPUTED_VALUE"""),87156.0)</f>
        <v>87156</v>
      </c>
      <c r="B2609" s="5">
        <f>IFERROR(__xludf.DUMMYFUNCTION("""COMPUTED_VALUE"""),44985.69914702546)</f>
        <v>44985.69915</v>
      </c>
      <c r="C2609" s="1" t="str">
        <f>IFERROR(__xludf.DUMMYFUNCTION("""COMPUTED_VALUE"""),"INGOLINGO LUDMILA")</f>
        <v>INGOLINGO LUDMILA</v>
      </c>
      <c r="D2609" s="1" t="str">
        <f>IFERROR(__xludf.DUMMYFUNCTION("""COMPUTED_VALUE"""),"Lentes de STOCK")</f>
        <v>Lentes de STOCK</v>
      </c>
      <c r="E2609" s="1" t="str">
        <f>IFERROR(__xludf.DUMMYFUNCTION("""COMPUTED_VALUE"""),"ARTIGAS Ivana P.")</f>
        <v>ARTIGAS Ivana P.</v>
      </c>
      <c r="F2609" s="1" t="str">
        <f t="shared" si="1"/>
        <v>ARTIGAS </v>
      </c>
      <c r="G2609" s="1" t="str">
        <f t="shared" si="2"/>
        <v>Ivana P.</v>
      </c>
      <c r="H2609" s="1" t="str">
        <f>IFERROR(__xludf.DUMMYFUNCTION("""COMPUTED_VALUE"""),"8/3/2023, 17:00:00")</f>
        <v>8/3/2023, 17:00:00</v>
      </c>
      <c r="I2609" s="1" t="str">
        <f>IFERROR(__xludf.DUMMYFUNCTION("""COMPUTED_VALUE"""),"Completado en SUCURSAL")</f>
        <v>Completado en SUCURSAL</v>
      </c>
      <c r="J2609" s="1">
        <f t="shared" si="3"/>
        <v>5</v>
      </c>
      <c r="K2609" s="1" t="str">
        <f t="shared" si="4"/>
        <v>Tus Lentes estan LISTAS PARA ENTREGAR, te esperamos.</v>
      </c>
    </row>
    <row r="2610">
      <c r="A2610" s="1">
        <f>IFERROR(__xludf.DUMMYFUNCTION("""COMPUTED_VALUE"""),87157.0)</f>
        <v>87157</v>
      </c>
      <c r="B2610" s="5">
        <f>IFERROR(__xludf.DUMMYFUNCTION("""COMPUTED_VALUE"""),44985.707426875)</f>
        <v>44985.70743</v>
      </c>
      <c r="C2610" s="1" t="str">
        <f>IFERROR(__xludf.DUMMYFUNCTION("""COMPUTED_VALUE"""),"KUZMICH NORMA")</f>
        <v>KUZMICH NORMA</v>
      </c>
      <c r="D2610" s="1" t="str">
        <f>IFERROR(__xludf.DUMMYFUNCTION("""COMPUTED_VALUE"""),"Reparaciones/Otros")</f>
        <v>Reparaciones/Otros</v>
      </c>
      <c r="E2610" s="1" t="str">
        <f>IFERROR(__xludf.DUMMYFUNCTION("""COMPUTED_VALUE"""),"RIVADAVIA Daniel CM")</f>
        <v>RIVADAVIA Daniel CM</v>
      </c>
      <c r="F2610" s="1" t="str">
        <f t="shared" si="1"/>
        <v>RIVADAVIA </v>
      </c>
      <c r="G2610" s="1" t="str">
        <f t="shared" si="2"/>
        <v>Daniel CM</v>
      </c>
      <c r="H2610" s="1" t="str">
        <f>IFERROR(__xludf.DUMMYFUNCTION("""COMPUTED_VALUE"""),"1/3/2023, 17:00:00")</f>
        <v>1/3/2023, 17:00:00</v>
      </c>
      <c r="I2610" s="1" t="str">
        <f>IFERROR(__xludf.DUMMYFUNCTION("""COMPUTED_VALUE"""),"Completado en SUCURSAL")</f>
        <v>Completado en SUCURSAL</v>
      </c>
      <c r="J2610" s="1">
        <f t="shared" si="3"/>
        <v>5</v>
      </c>
      <c r="K2610" s="1" t="str">
        <f t="shared" si="4"/>
        <v>Tus Lentes estan LISTAS PARA ENTREGAR, te esperamos.</v>
      </c>
    </row>
    <row r="2611">
      <c r="A2611" s="1">
        <f>IFERROR(__xludf.DUMMYFUNCTION("""COMPUTED_VALUE"""),87158.0)</f>
        <v>87158</v>
      </c>
      <c r="B2611" s="5">
        <f>IFERROR(__xludf.DUMMYFUNCTION("""COMPUTED_VALUE"""),44985.7291582176)</f>
        <v>44985.72916</v>
      </c>
      <c r="C2611" s="1" t="str">
        <f>IFERROR(__xludf.DUMMYFUNCTION("""COMPUTED_VALUE"""),"MAMBERTO PAULA")</f>
        <v>MAMBERTO PAULA</v>
      </c>
      <c r="D2611" s="1" t="str">
        <f>IFERROR(__xludf.DUMMYFUNCTION("""COMPUTED_VALUE"""),"Lentes de STOCK")</f>
        <v>Lentes de STOCK</v>
      </c>
      <c r="E2611" s="1" t="str">
        <f>IFERROR(__xludf.DUMMYFUNCTION("""COMPUTED_VALUE"""),"ARTIGAS Ivana P.")</f>
        <v>ARTIGAS Ivana P.</v>
      </c>
      <c r="F2611" s="1" t="str">
        <f t="shared" si="1"/>
        <v>ARTIGAS </v>
      </c>
      <c r="G2611" s="1" t="str">
        <f t="shared" si="2"/>
        <v>Ivana P.</v>
      </c>
      <c r="H2611" s="1" t="str">
        <f>IFERROR(__xludf.DUMMYFUNCTION("""COMPUTED_VALUE"""),"6/3/2023, 17:00:00")</f>
        <v>6/3/2023, 17:00:00</v>
      </c>
      <c r="I2611" s="1" t="str">
        <f>IFERROR(__xludf.DUMMYFUNCTION("""COMPUTED_VALUE"""),"Completado en SUCURSAL")</f>
        <v>Completado en SUCURSAL</v>
      </c>
      <c r="J2611" s="1">
        <f t="shared" si="3"/>
        <v>5</v>
      </c>
      <c r="K2611" s="1" t="str">
        <f t="shared" si="4"/>
        <v>Tus Lentes estan LISTAS PARA ENTREGAR, te esperamos.</v>
      </c>
    </row>
    <row r="2612">
      <c r="A2612" s="1">
        <f>IFERROR(__xludf.DUMMYFUNCTION("""COMPUTED_VALUE"""),87159.0)</f>
        <v>87159</v>
      </c>
      <c r="B2612" s="5">
        <f>IFERROR(__xludf.DUMMYFUNCTION("""COMPUTED_VALUE"""),44985.73665038194)</f>
        <v>44985.73665</v>
      </c>
      <c r="C2612" s="1" t="str">
        <f>IFERROR(__xludf.DUMMYFUNCTION("""COMPUTED_VALUE"""),"ROMERO GODOY LEONEL")</f>
        <v>ROMERO GODOY LEONEL</v>
      </c>
      <c r="D2612" s="1" t="str">
        <f>IFERROR(__xludf.DUMMYFUNCTION("""COMPUTED_VALUE"""),"Lentes de LABORATORIO")</f>
        <v>Lentes de LABORATORIO</v>
      </c>
      <c r="E2612" s="1" t="str">
        <f>IFERROR(__xludf.DUMMYFUNCTION("""COMPUTED_VALUE"""),"RIVADAVIA Rocio B")</f>
        <v>RIVADAVIA Rocio B</v>
      </c>
      <c r="F2612" s="1" t="str">
        <f t="shared" si="1"/>
        <v>RIVADAVIA </v>
      </c>
      <c r="G2612" s="1" t="str">
        <f t="shared" si="2"/>
        <v>Rocio B</v>
      </c>
      <c r="H2612" s="1" t="str">
        <f>IFERROR(__xludf.DUMMYFUNCTION("""COMPUTED_VALUE"""),"17/3/2023, 17:00:00")</f>
        <v>17/3/2023, 17:00:00</v>
      </c>
      <c r="I2612" s="1" t="str">
        <f>IFERROR(__xludf.DUMMYFUNCTION("""COMPUTED_VALUE"""),"Recibido en Laboratorio")</f>
        <v>Recibido en Laboratorio</v>
      </c>
      <c r="J2612" s="1">
        <f t="shared" si="3"/>
        <v>2</v>
      </c>
      <c r="K2612" s="1" t="str">
        <f t="shared" si="4"/>
        <v>Nuestro Laboratorio esta trabajando en tus lentes, los entregaremos en la fecha acordada.</v>
      </c>
    </row>
    <row r="2613">
      <c r="A2613" s="1">
        <f>IFERROR(__xludf.DUMMYFUNCTION("""COMPUTED_VALUE"""),87160.0)</f>
        <v>87160</v>
      </c>
      <c r="B2613" s="5">
        <f>IFERROR(__xludf.DUMMYFUNCTION("""COMPUTED_VALUE"""),44985.7486146875)</f>
        <v>44985.74861</v>
      </c>
      <c r="C2613" s="1" t="str">
        <f>IFERROR(__xludf.DUMMYFUNCTION("""COMPUTED_VALUE"""),"Escudero Alberto")</f>
        <v>Escudero Alberto</v>
      </c>
      <c r="D2613" s="1" t="str">
        <f>IFERROR(__xludf.DUMMYFUNCTION("""COMPUTED_VALUE"""),"Reparaciones/Otros")</f>
        <v>Reparaciones/Otros</v>
      </c>
      <c r="E2613" s="1" t="str">
        <f>IFERROR(__xludf.DUMMYFUNCTION("""COMPUTED_VALUE"""),"ARTIGAS Micaela")</f>
        <v>ARTIGAS Micaela</v>
      </c>
      <c r="F2613" s="1" t="str">
        <f t="shared" si="1"/>
        <v>ARTIGAS </v>
      </c>
      <c r="G2613" s="1" t="str">
        <f t="shared" si="2"/>
        <v>Micaela</v>
      </c>
      <c r="H2613" s="1" t="str">
        <f>IFERROR(__xludf.DUMMYFUNCTION("""COMPUTED_VALUE"""),"2/3/2023, 17:00:00")</f>
        <v>2/3/2023, 17:00:00</v>
      </c>
      <c r="I2613" s="1" t="str">
        <f>IFERROR(__xludf.DUMMYFUNCTION("""COMPUTED_VALUE"""),"Completado en SUCURSAL")</f>
        <v>Completado en SUCURSAL</v>
      </c>
      <c r="J2613" s="1">
        <f t="shared" si="3"/>
        <v>5</v>
      </c>
      <c r="K2613" s="1" t="str">
        <f t="shared" si="4"/>
        <v>Tus Lentes estan LISTAS PARA ENTREGAR, te esperamos.</v>
      </c>
    </row>
    <row r="2614">
      <c r="A2614" s="1">
        <f>IFERROR(__xludf.DUMMYFUNCTION("""COMPUTED_VALUE"""),87161.0)</f>
        <v>87161</v>
      </c>
      <c r="B2614" s="5">
        <f>IFERROR(__xludf.DUMMYFUNCTION("""COMPUTED_VALUE"""),44985.75164646991)</f>
        <v>44985.75165</v>
      </c>
      <c r="C2614" s="1" t="str">
        <f>IFERROR(__xludf.DUMMYFUNCTION("""COMPUTED_VALUE"""),"BAIGORRIA SANDRA")</f>
        <v>BAIGORRIA SANDRA</v>
      </c>
      <c r="D2614" s="1" t="str">
        <f>IFERROR(__xludf.DUMMYFUNCTION("""COMPUTED_VALUE"""),"Lentes MULTIFOCALES")</f>
        <v>Lentes MULTIFOCALES</v>
      </c>
      <c r="E2614" s="1" t="str">
        <f>IFERROR(__xludf.DUMMYFUNCTION("""COMPUTED_VALUE"""),"ARTIGAS Ivana P.")</f>
        <v>ARTIGAS Ivana P.</v>
      </c>
      <c r="F2614" s="1" t="str">
        <f t="shared" si="1"/>
        <v>ARTIGAS </v>
      </c>
      <c r="G2614" s="1" t="str">
        <f t="shared" si="2"/>
        <v>Ivana P.</v>
      </c>
      <c r="H2614" s="1" t="str">
        <f>IFERROR(__xludf.DUMMYFUNCTION("""COMPUTED_VALUE"""),"14/3/2023, 17:00:00")</f>
        <v>14/3/2023, 17:00:00</v>
      </c>
      <c r="I2614" s="1" t="str">
        <f>IFERROR(__xludf.DUMMYFUNCTION("""COMPUTED_VALUE"""),"RETIRADO OK POR CLIENTE")</f>
        <v>RETIRADO OK POR CLIENTE</v>
      </c>
      <c r="J2614" s="1">
        <f t="shared" si="3"/>
        <v>6</v>
      </c>
      <c r="K2614" s="1" t="str">
        <f t="shared" si="4"/>
        <v>Entregamos tus lentes, que los disfrutes!</v>
      </c>
    </row>
    <row r="2615">
      <c r="A2615" s="1">
        <f>IFERROR(__xludf.DUMMYFUNCTION("""COMPUTED_VALUE"""),87162.0)</f>
        <v>87162</v>
      </c>
      <c r="B2615" s="5">
        <f>IFERROR(__xludf.DUMMYFUNCTION("""COMPUTED_VALUE"""),44985.75681506944)</f>
        <v>44985.75682</v>
      </c>
      <c r="C2615" s="1" t="str">
        <f>IFERROR(__xludf.DUMMYFUNCTION("""COMPUTED_VALUE"""),"VEGA LUCIANO")</f>
        <v>VEGA LUCIANO</v>
      </c>
      <c r="D2615" s="1" t="str">
        <f>IFERROR(__xludf.DUMMYFUNCTION("""COMPUTED_VALUE"""),"Lentes de STOCK")</f>
        <v>Lentes de STOCK</v>
      </c>
      <c r="E2615" s="1" t="str">
        <f>IFERROR(__xludf.DUMMYFUNCTION("""COMPUTED_VALUE"""),"RIVADAVIA Santiago LOPEZ")</f>
        <v>RIVADAVIA Santiago LOPEZ</v>
      </c>
      <c r="F2615" s="1" t="str">
        <f t="shared" si="1"/>
        <v>RIVADAVIA </v>
      </c>
      <c r="G2615" s="1" t="str">
        <f t="shared" si="2"/>
        <v>Santiago LOPEZ</v>
      </c>
      <c r="H2615" s="1" t="str">
        <f>IFERROR(__xludf.DUMMYFUNCTION("""COMPUTED_VALUE"""),"3/3/2023, 17:00:00")</f>
        <v>3/3/2023, 17:00:00</v>
      </c>
      <c r="I2615" s="1" t="str">
        <f>IFERROR(__xludf.DUMMYFUNCTION("""COMPUTED_VALUE"""),"Recibido en Laboratorio")</f>
        <v>Recibido en Laboratorio</v>
      </c>
      <c r="J2615" s="1">
        <f t="shared" si="3"/>
        <v>2</v>
      </c>
      <c r="K2615" s="1" t="str">
        <f t="shared" si="4"/>
        <v>Nuestro Laboratorio esta trabajando en tus lentes, los entregaremos en la fecha acordada.</v>
      </c>
    </row>
    <row r="2616">
      <c r="A2616" s="1">
        <f>IFERROR(__xludf.DUMMYFUNCTION("""COMPUTED_VALUE"""),87163.0)</f>
        <v>87163</v>
      </c>
      <c r="B2616" s="5">
        <f>IFERROR(__xludf.DUMMYFUNCTION("""COMPUTED_VALUE"""),44985.76357980324)</f>
        <v>44985.76358</v>
      </c>
      <c r="C2616" s="1" t="str">
        <f>IFERROR(__xludf.DUMMYFUNCTION("""COMPUTED_VALUE"""),"MUÑOZ CAMILA")</f>
        <v>MUÑOZ CAMILA</v>
      </c>
      <c r="D2616" s="1" t="str">
        <f>IFERROR(__xludf.DUMMYFUNCTION("""COMPUTED_VALUE"""),"Lentes de STOCK")</f>
        <v>Lentes de STOCK</v>
      </c>
      <c r="E2616" s="1" t="str">
        <f>IFERROR(__xludf.DUMMYFUNCTION("""COMPUTED_VALUE"""),"RIVADAVIA Luciana")</f>
        <v>RIVADAVIA Luciana</v>
      </c>
      <c r="F2616" s="1" t="str">
        <f t="shared" si="1"/>
        <v>RIVADAVIA </v>
      </c>
      <c r="G2616" s="1" t="str">
        <f t="shared" si="2"/>
        <v>Luciana</v>
      </c>
      <c r="H2616" s="1" t="str">
        <f>IFERROR(__xludf.DUMMYFUNCTION("""COMPUTED_VALUE"""),"6/3/2023, 17:00:00")</f>
        <v>6/3/2023, 17:00:00</v>
      </c>
      <c r="I2616" s="1" t="str">
        <f>IFERROR(__xludf.DUMMYFUNCTION("""COMPUTED_VALUE"""),"Completado en SUCURSAL")</f>
        <v>Completado en SUCURSAL</v>
      </c>
      <c r="J2616" s="1">
        <f t="shared" si="3"/>
        <v>5</v>
      </c>
      <c r="K2616" s="1" t="str">
        <f t="shared" si="4"/>
        <v>Tus Lentes estan LISTAS PARA ENTREGAR, te esperamos.</v>
      </c>
    </row>
    <row r="2617">
      <c r="A2617" s="1">
        <f>IFERROR(__xludf.DUMMYFUNCTION("""COMPUTED_VALUE"""),87164.0)</f>
        <v>87164</v>
      </c>
      <c r="B2617" s="5">
        <f>IFERROR(__xludf.DUMMYFUNCTION("""COMPUTED_VALUE"""),44985.780150011575)</f>
        <v>44985.78015</v>
      </c>
      <c r="C2617" s="1" t="str">
        <f>IFERROR(__xludf.DUMMYFUNCTION("""COMPUTED_VALUE"""),"FLORES PATRICIA GRACIELA")</f>
        <v>FLORES PATRICIA GRACIELA</v>
      </c>
      <c r="D2617" s="1" t="str">
        <f>IFERROR(__xludf.DUMMYFUNCTION("""COMPUTED_VALUE"""),"Reparaciones/Otros")</f>
        <v>Reparaciones/Otros</v>
      </c>
      <c r="E2617" s="1" t="str">
        <f>IFERROR(__xludf.DUMMYFUNCTION("""COMPUTED_VALUE"""),"ARTIGAS Cristian C.")</f>
        <v>ARTIGAS Cristian C.</v>
      </c>
      <c r="F2617" s="1" t="str">
        <f t="shared" si="1"/>
        <v>ARTIGAS </v>
      </c>
      <c r="G2617" s="1" t="str">
        <f t="shared" si="2"/>
        <v>Cristian C.</v>
      </c>
      <c r="H2617" s="1" t="str">
        <f>IFERROR(__xludf.DUMMYFUNCTION("""COMPUTED_VALUE"""),"2/3/2023, 17:00:00")</f>
        <v>2/3/2023, 17:00:00</v>
      </c>
      <c r="I2617" s="1" t="str">
        <f>IFERROR(__xludf.DUMMYFUNCTION("""COMPUTED_VALUE"""),"Completado en SUCURSAL")</f>
        <v>Completado en SUCURSAL</v>
      </c>
      <c r="J2617" s="1">
        <f t="shared" si="3"/>
        <v>5</v>
      </c>
      <c r="K2617" s="1" t="str">
        <f t="shared" si="4"/>
        <v>Tus Lentes estan LISTAS PARA ENTREGAR, te esperamos.</v>
      </c>
    </row>
    <row r="2618">
      <c r="A2618" s="1">
        <f>IFERROR(__xludf.DUMMYFUNCTION("""COMPUTED_VALUE"""),87165.0)</f>
        <v>87165</v>
      </c>
      <c r="B2618" s="5">
        <f>IFERROR(__xludf.DUMMYFUNCTION("""COMPUTED_VALUE"""),44985.78199873843)</f>
        <v>44985.782</v>
      </c>
      <c r="C2618" s="1" t="str">
        <f>IFERROR(__xludf.DUMMYFUNCTION("""COMPUTED_VALUE"""),"MIRANDA SANTINO")</f>
        <v>MIRANDA SANTINO</v>
      </c>
      <c r="D2618" s="1" t="str">
        <f>IFERROR(__xludf.DUMMYFUNCTION("""COMPUTED_VALUE"""),"Lentes de STOCK")</f>
        <v>Lentes de STOCK</v>
      </c>
      <c r="E2618" s="1" t="str">
        <f>IFERROR(__xludf.DUMMYFUNCTION("""COMPUTED_VALUE"""),"RIVADAVIA Rocio B")</f>
        <v>RIVADAVIA Rocio B</v>
      </c>
      <c r="F2618" s="1" t="str">
        <f t="shared" si="1"/>
        <v>RIVADAVIA </v>
      </c>
      <c r="G2618" s="1" t="str">
        <f t="shared" si="2"/>
        <v>Rocio B</v>
      </c>
      <c r="H2618" s="1" t="str">
        <f>IFERROR(__xludf.DUMMYFUNCTION("""COMPUTED_VALUE"""),"6/3/2023, 17:00:00")</f>
        <v>6/3/2023, 17:00:00</v>
      </c>
      <c r="I2618" s="1" t="str">
        <f>IFERROR(__xludf.DUMMYFUNCTION("""COMPUTED_VALUE"""),"Completado en SUCURSAL")</f>
        <v>Completado en SUCURSAL</v>
      </c>
      <c r="J2618" s="1">
        <f t="shared" si="3"/>
        <v>5</v>
      </c>
      <c r="K2618" s="1" t="str">
        <f t="shared" si="4"/>
        <v>Tus Lentes estan LISTAS PARA ENTREGAR, te esperamos.</v>
      </c>
    </row>
    <row r="2619">
      <c r="A2619" s="1">
        <f>IFERROR(__xludf.DUMMYFUNCTION("""COMPUTED_VALUE"""),87166.0)</f>
        <v>87166</v>
      </c>
      <c r="B2619" s="5">
        <f>IFERROR(__xludf.DUMMYFUNCTION("""COMPUTED_VALUE"""),44985.789745752314)</f>
        <v>44985.78975</v>
      </c>
      <c r="C2619" s="1" t="str">
        <f>IFERROR(__xludf.DUMMYFUNCTION("""COMPUTED_VALUE"""),"PEÑALVEZ GISELA")</f>
        <v>PEÑALVEZ GISELA</v>
      </c>
      <c r="D2619" s="1" t="str">
        <f>IFERROR(__xludf.DUMMYFUNCTION("""COMPUTED_VALUE"""),"Lentes de STOCK")</f>
        <v>Lentes de STOCK</v>
      </c>
      <c r="E2619" s="1" t="str">
        <f>IFERROR(__xludf.DUMMYFUNCTION("""COMPUTED_VALUE"""),"ARTIGAS Ivana P.")</f>
        <v>ARTIGAS Ivana P.</v>
      </c>
      <c r="F2619" s="1" t="str">
        <f t="shared" si="1"/>
        <v>ARTIGAS </v>
      </c>
      <c r="G2619" s="1" t="str">
        <f t="shared" si="2"/>
        <v>Ivana P.</v>
      </c>
      <c r="H2619" s="1" t="str">
        <f>IFERROR(__xludf.DUMMYFUNCTION("""COMPUTED_VALUE"""),"3/3/2023, 17:00:00")</f>
        <v>3/3/2023, 17:00:00</v>
      </c>
      <c r="I2619" s="1" t="str">
        <f>IFERROR(__xludf.DUMMYFUNCTION("""COMPUTED_VALUE"""),"Recibido en Laboratorio")</f>
        <v>Recibido en Laboratorio</v>
      </c>
      <c r="J2619" s="1">
        <f t="shared" si="3"/>
        <v>2</v>
      </c>
      <c r="K2619" s="1" t="str">
        <f t="shared" si="4"/>
        <v>Nuestro Laboratorio esta trabajando en tus lentes, los entregaremos en la fecha acordada.</v>
      </c>
    </row>
    <row r="2620">
      <c r="A2620" s="1">
        <f>IFERROR(__xludf.DUMMYFUNCTION("""COMPUTED_VALUE"""),87167.0)</f>
        <v>87167</v>
      </c>
      <c r="B2620" s="5">
        <f>IFERROR(__xludf.DUMMYFUNCTION("""COMPUTED_VALUE"""),44985.79060577546)</f>
        <v>44985.79061</v>
      </c>
      <c r="C2620" s="1" t="str">
        <f>IFERROR(__xludf.DUMMYFUNCTION("""COMPUTED_VALUE"""),"LUCERO ROSA MABEL")</f>
        <v>LUCERO ROSA MABEL</v>
      </c>
      <c r="D2620" s="1" t="str">
        <f>IFERROR(__xludf.DUMMYFUNCTION("""COMPUTED_VALUE"""),"Lentes de STOCK")</f>
        <v>Lentes de STOCK</v>
      </c>
      <c r="E2620" s="1" t="str">
        <f>IFERROR(__xludf.DUMMYFUNCTION("""COMPUTED_VALUE"""),"ARTIGAS Cristian C.")</f>
        <v>ARTIGAS Cristian C.</v>
      </c>
      <c r="F2620" s="1" t="str">
        <f t="shared" si="1"/>
        <v>ARTIGAS </v>
      </c>
      <c r="G2620" s="1" t="str">
        <f t="shared" si="2"/>
        <v>Cristian C.</v>
      </c>
      <c r="H2620" s="1" t="str">
        <f>IFERROR(__xludf.DUMMYFUNCTION("""COMPUTED_VALUE"""),"8/3/2023, 17:00:00")</f>
        <v>8/3/2023, 17:00:00</v>
      </c>
      <c r="I2620" s="1" t="str">
        <f>IFERROR(__xludf.DUMMYFUNCTION("""COMPUTED_VALUE"""),"Completado en SUCURSAL")</f>
        <v>Completado en SUCURSAL</v>
      </c>
      <c r="J2620" s="1">
        <f t="shared" si="3"/>
        <v>5</v>
      </c>
      <c r="K2620" s="1" t="str">
        <f t="shared" si="4"/>
        <v>Tus Lentes estan LISTAS PARA ENTREGAR, te esperamos.</v>
      </c>
    </row>
    <row r="2621">
      <c r="A2621" s="1">
        <f>IFERROR(__xludf.DUMMYFUNCTION("""COMPUTED_VALUE"""),87168.0)</f>
        <v>87168</v>
      </c>
      <c r="B2621" s="5">
        <f>IFERROR(__xludf.DUMMYFUNCTION("""COMPUTED_VALUE"""),44985.80326526621)</f>
        <v>44985.80327</v>
      </c>
      <c r="C2621" s="1" t="str">
        <f>IFERROR(__xludf.DUMMYFUNCTION("""COMPUTED_VALUE"""),"PHILIPOS GEORGE")</f>
        <v>PHILIPOS GEORGE</v>
      </c>
      <c r="D2621" s="1" t="str">
        <f>IFERROR(__xludf.DUMMYFUNCTION("""COMPUTED_VALUE"""),"Lentes de STOCK")</f>
        <v>Lentes de STOCK</v>
      </c>
      <c r="E2621" s="1" t="str">
        <f>IFERROR(__xludf.DUMMYFUNCTION("""COMPUTED_VALUE"""),"RIVADAVIA Daniel CM")</f>
        <v>RIVADAVIA Daniel CM</v>
      </c>
      <c r="F2621" s="1" t="str">
        <f t="shared" si="1"/>
        <v>RIVADAVIA </v>
      </c>
      <c r="G2621" s="1" t="str">
        <f t="shared" si="2"/>
        <v>Daniel CM</v>
      </c>
      <c r="H2621" s="1" t="str">
        <f>IFERROR(__xludf.DUMMYFUNCTION("""COMPUTED_VALUE"""),"3/3/2023, 17:00:00")</f>
        <v>3/3/2023, 17:00:00</v>
      </c>
      <c r="I2621" s="1" t="str">
        <f>IFERROR(__xludf.DUMMYFUNCTION("""COMPUTED_VALUE"""),"Recibido en Laboratorio")</f>
        <v>Recibido en Laboratorio</v>
      </c>
      <c r="J2621" s="1">
        <f t="shared" si="3"/>
        <v>2</v>
      </c>
      <c r="K2621" s="1" t="str">
        <f t="shared" si="4"/>
        <v>Nuestro Laboratorio esta trabajando en tus lentes, los entregaremos en la fecha acordada.</v>
      </c>
    </row>
    <row r="2622">
      <c r="A2622" s="1">
        <f>IFERROR(__xludf.DUMMYFUNCTION("""COMPUTED_VALUE"""),87169.0)</f>
        <v>87169</v>
      </c>
      <c r="B2622" s="5">
        <f>IFERROR(__xludf.DUMMYFUNCTION("""COMPUTED_VALUE"""),44985.804835358795)</f>
        <v>44985.80484</v>
      </c>
      <c r="C2622" s="1" t="str">
        <f>IFERROR(__xludf.DUMMYFUNCTION("""COMPUTED_VALUE"""),"PHILIPPOS MIA")</f>
        <v>PHILIPPOS MIA</v>
      </c>
      <c r="D2622" s="1" t="str">
        <f>IFERROR(__xludf.DUMMYFUNCTION("""COMPUTED_VALUE"""),"Lentes de STOCK")</f>
        <v>Lentes de STOCK</v>
      </c>
      <c r="E2622" s="1" t="str">
        <f>IFERROR(__xludf.DUMMYFUNCTION("""COMPUTED_VALUE"""),"RIVADAVIA Daniel CM")</f>
        <v>RIVADAVIA Daniel CM</v>
      </c>
      <c r="F2622" s="1" t="str">
        <f t="shared" si="1"/>
        <v>RIVADAVIA </v>
      </c>
      <c r="G2622" s="1" t="str">
        <f t="shared" si="2"/>
        <v>Daniel CM</v>
      </c>
      <c r="H2622" s="1" t="str">
        <f>IFERROR(__xludf.DUMMYFUNCTION("""COMPUTED_VALUE"""),"3/3/2023, 17:00:00")</f>
        <v>3/3/2023, 17:00:00</v>
      </c>
      <c r="I2622" s="1" t="str">
        <f>IFERROR(__xludf.DUMMYFUNCTION("""COMPUTED_VALUE"""),"Recibido en Laboratorio")</f>
        <v>Recibido en Laboratorio</v>
      </c>
      <c r="J2622" s="1">
        <f t="shared" si="3"/>
        <v>2</v>
      </c>
      <c r="K2622" s="1" t="str">
        <f t="shared" si="4"/>
        <v>Nuestro Laboratorio esta trabajando en tus lentes, los entregaremos en la fecha acordada.</v>
      </c>
    </row>
    <row r="2623">
      <c r="A2623" s="1">
        <f>IFERROR(__xludf.DUMMYFUNCTION("""COMPUTED_VALUE"""),87170.0)</f>
        <v>87170</v>
      </c>
      <c r="B2623" s="5">
        <f>IFERROR(__xludf.DUMMYFUNCTION("""COMPUTED_VALUE"""),44985.8065024074)</f>
        <v>44985.8065</v>
      </c>
      <c r="C2623" s="1" t="str">
        <f>IFERROR(__xludf.DUMMYFUNCTION("""COMPUTED_VALUE"""),"romero patricia")</f>
        <v>romero patricia</v>
      </c>
      <c r="D2623" s="1" t="str">
        <f>IFERROR(__xludf.DUMMYFUNCTION("""COMPUTED_VALUE"""),"Lentes MULTIFOCALES")</f>
        <v>Lentes MULTIFOCALES</v>
      </c>
      <c r="E2623" s="1" t="str">
        <f>IFERROR(__xludf.DUMMYFUNCTION("""COMPUTED_VALUE"""),"RIVADAVIA Santiago N")</f>
        <v>RIVADAVIA Santiago N</v>
      </c>
      <c r="F2623" s="1" t="str">
        <f t="shared" si="1"/>
        <v>RIVADAVIA </v>
      </c>
      <c r="G2623" s="1" t="str">
        <f t="shared" si="2"/>
        <v>Santiago N</v>
      </c>
      <c r="H2623" s="1" t="str">
        <f>IFERROR(__xludf.DUMMYFUNCTION("""COMPUTED_VALUE"""),"22/3/2023, 17:00:00")</f>
        <v>22/3/2023, 17:00:00</v>
      </c>
      <c r="I2623" s="1" t="str">
        <f>IFERROR(__xludf.DUMMYFUNCTION("""COMPUTED_VALUE"""),"Recibido en Laboratorio")</f>
        <v>Recibido en Laboratorio</v>
      </c>
      <c r="J2623" s="1">
        <f t="shared" si="3"/>
        <v>2</v>
      </c>
      <c r="K2623" s="1" t="str">
        <f t="shared" si="4"/>
        <v>Nuestro Laboratorio esta trabajando en tus lentes, los entregaremos en la fecha acordada.</v>
      </c>
    </row>
    <row r="2624">
      <c r="A2624" s="1">
        <f>IFERROR(__xludf.DUMMYFUNCTION("""COMPUTED_VALUE"""),87171.0)</f>
        <v>87171</v>
      </c>
      <c r="B2624" s="5">
        <f>IFERROR(__xludf.DUMMYFUNCTION("""COMPUTED_VALUE"""),44985.81098546296)</f>
        <v>44985.81099</v>
      </c>
      <c r="C2624" s="1" t="str">
        <f>IFERROR(__xludf.DUMMYFUNCTION("""COMPUTED_VALUE"""),"DEMIAN BENGHIAT")</f>
        <v>DEMIAN BENGHIAT</v>
      </c>
      <c r="D2624" s="1" t="str">
        <f>IFERROR(__xludf.DUMMYFUNCTION("""COMPUTED_VALUE"""),"Lentes de STOCK")</f>
        <v>Lentes de STOCK</v>
      </c>
      <c r="E2624" s="1" t="str">
        <f>IFERROR(__xludf.DUMMYFUNCTION("""COMPUTED_VALUE"""),"RIVADAVIA Javier")</f>
        <v>RIVADAVIA Javier</v>
      </c>
      <c r="F2624" s="1" t="str">
        <f t="shared" si="1"/>
        <v>RIVADAVIA </v>
      </c>
      <c r="G2624" s="1" t="str">
        <f t="shared" si="2"/>
        <v>Javier</v>
      </c>
      <c r="H2624" s="1" t="str">
        <f>IFERROR(__xludf.DUMMYFUNCTION("""COMPUTED_VALUE"""),"6/3/2023, 17:00:00")</f>
        <v>6/3/2023, 17:00:00</v>
      </c>
      <c r="I2624" s="1" t="str">
        <f>IFERROR(__xludf.DUMMYFUNCTION("""COMPUTED_VALUE"""),"Completado en SUCURSAL")</f>
        <v>Completado en SUCURSAL</v>
      </c>
      <c r="J2624" s="1">
        <f t="shared" si="3"/>
        <v>5</v>
      </c>
      <c r="K2624" s="1" t="str">
        <f t="shared" si="4"/>
        <v>Tus Lentes estan LISTAS PARA ENTREGAR, te esperamos.</v>
      </c>
    </row>
    <row r="2625">
      <c r="A2625" s="1">
        <f>IFERROR(__xludf.DUMMYFUNCTION("""COMPUTED_VALUE"""),87172.0)</f>
        <v>87172</v>
      </c>
      <c r="B2625" s="5">
        <f>IFERROR(__xludf.DUMMYFUNCTION("""COMPUTED_VALUE"""),44985.811330358796)</f>
        <v>44985.81133</v>
      </c>
      <c r="C2625" s="1" t="str">
        <f>IFERROR(__xludf.DUMMYFUNCTION("""COMPUTED_VALUE"""),"GOMEZ MARIA INES")</f>
        <v>GOMEZ MARIA INES</v>
      </c>
      <c r="D2625" s="1" t="str">
        <f>IFERROR(__xludf.DUMMYFUNCTION("""COMPUTED_VALUE"""),"Lentes de STOCK")</f>
        <v>Lentes de STOCK</v>
      </c>
      <c r="E2625" s="1" t="str">
        <f>IFERROR(__xludf.DUMMYFUNCTION("""COMPUTED_VALUE"""),"ARTIGAS Ivana P.")</f>
        <v>ARTIGAS Ivana P.</v>
      </c>
      <c r="F2625" s="1" t="str">
        <f t="shared" si="1"/>
        <v>ARTIGAS </v>
      </c>
      <c r="G2625" s="1" t="str">
        <f t="shared" si="2"/>
        <v>Ivana P.</v>
      </c>
      <c r="H2625" s="1" t="str">
        <f>IFERROR(__xludf.DUMMYFUNCTION("""COMPUTED_VALUE"""),"3/3/2023, 17:00:00")</f>
        <v>3/3/2023, 17:00:00</v>
      </c>
      <c r="I2625" s="1" t="str">
        <f>IFERROR(__xludf.DUMMYFUNCTION("""COMPUTED_VALUE"""),"Recibido en Laboratorio")</f>
        <v>Recibido en Laboratorio</v>
      </c>
      <c r="J2625" s="1">
        <f t="shared" si="3"/>
        <v>2</v>
      </c>
      <c r="K2625" s="1" t="str">
        <f t="shared" si="4"/>
        <v>Nuestro Laboratorio esta trabajando en tus lentes, los entregaremos en la fecha acordada.</v>
      </c>
    </row>
    <row r="2626">
      <c r="A2626" s="1">
        <f>IFERROR(__xludf.DUMMYFUNCTION("""COMPUTED_VALUE"""),87173.0)</f>
        <v>87173</v>
      </c>
      <c r="B2626" s="5">
        <f>IFERROR(__xludf.DUMMYFUNCTION("""COMPUTED_VALUE"""),44985.81283458333)</f>
        <v>44985.81283</v>
      </c>
      <c r="C2626" s="1" t="str">
        <f>IFERROR(__xludf.DUMMYFUNCTION("""COMPUTED_VALUE"""),"MORAN SANDRA ")</f>
        <v>MORAN SANDRA </v>
      </c>
      <c r="D2626" s="1" t="str">
        <f>IFERROR(__xludf.DUMMYFUNCTION("""COMPUTED_VALUE"""),"Lentes MULTIFOCALES")</f>
        <v>Lentes MULTIFOCALES</v>
      </c>
      <c r="E2626" s="1" t="str">
        <f>IFERROR(__xludf.DUMMYFUNCTION("""COMPUTED_VALUE"""),"ARTIGAS Cristian C.")</f>
        <v>ARTIGAS Cristian C.</v>
      </c>
      <c r="F2626" s="1" t="str">
        <f t="shared" si="1"/>
        <v>ARTIGAS </v>
      </c>
      <c r="G2626" s="1" t="str">
        <f t="shared" si="2"/>
        <v>Cristian C.</v>
      </c>
      <c r="H2626" s="1" t="str">
        <f>IFERROR(__xludf.DUMMYFUNCTION("""COMPUTED_VALUE"""),"15/3/2023, 17:00:00")</f>
        <v>15/3/2023, 17:00:00</v>
      </c>
      <c r="I2626" s="1" t="str">
        <f>IFERROR(__xludf.DUMMYFUNCTION("""COMPUTED_VALUE"""),"Completado en SUCURSAL")</f>
        <v>Completado en SUCURSAL</v>
      </c>
      <c r="J2626" s="1">
        <f t="shared" si="3"/>
        <v>5</v>
      </c>
      <c r="K2626" s="1" t="str">
        <f t="shared" si="4"/>
        <v>Tus Lentes estan LISTAS PARA ENTREGAR, te esperamos.</v>
      </c>
    </row>
    <row r="2627">
      <c r="A2627" s="1">
        <f>IFERROR(__xludf.DUMMYFUNCTION("""COMPUTED_VALUE"""),87174.0)</f>
        <v>87174</v>
      </c>
      <c r="B2627" s="5">
        <f>IFERROR(__xludf.DUMMYFUNCTION("""COMPUTED_VALUE"""),44985.817463541665)</f>
        <v>44985.81746</v>
      </c>
      <c r="C2627" s="1" t="str">
        <f>IFERROR(__xludf.DUMMYFUNCTION("""COMPUTED_VALUE""")," FERNANDEZ FILOMENA")</f>
        <v> FERNANDEZ FILOMENA</v>
      </c>
      <c r="D2627" s="1" t="str">
        <f>IFERROR(__xludf.DUMMYFUNCTION("""COMPUTED_VALUE"""),"Lentes de STOCK")</f>
        <v>Lentes de STOCK</v>
      </c>
      <c r="E2627" s="1" t="str">
        <f>IFERROR(__xludf.DUMMYFUNCTION("""COMPUTED_VALUE"""),"RIVADAVIA Luciana")</f>
        <v>RIVADAVIA Luciana</v>
      </c>
      <c r="F2627" s="1" t="str">
        <f t="shared" si="1"/>
        <v>RIVADAVIA </v>
      </c>
      <c r="G2627" s="1" t="str">
        <f t="shared" si="2"/>
        <v>Luciana</v>
      </c>
      <c r="H2627" s="1" t="str">
        <f>IFERROR(__xludf.DUMMYFUNCTION("""COMPUTED_VALUE"""),"6/3/2023, 17:00:00")</f>
        <v>6/3/2023, 17:00:00</v>
      </c>
      <c r="I2627" s="1" t="str">
        <f>IFERROR(__xludf.DUMMYFUNCTION("""COMPUTED_VALUE"""),"Completado en SUCURSAL")</f>
        <v>Completado en SUCURSAL</v>
      </c>
      <c r="J2627" s="1">
        <f t="shared" si="3"/>
        <v>5</v>
      </c>
      <c r="K2627" s="1" t="str">
        <f t="shared" si="4"/>
        <v>Tus Lentes estan LISTAS PARA ENTREGAR, te esperamos.</v>
      </c>
    </row>
    <row r="2628">
      <c r="A2628" s="1">
        <f>IFERROR(__xludf.DUMMYFUNCTION("""COMPUTED_VALUE"""),87175.0)</f>
        <v>87175</v>
      </c>
      <c r="B2628" s="5">
        <f>IFERROR(__xludf.DUMMYFUNCTION("""COMPUTED_VALUE"""),44985.83145935185)</f>
        <v>44985.83146</v>
      </c>
      <c r="C2628" s="1" t="str">
        <f>IFERROR(__xludf.DUMMYFUNCTION("""COMPUTED_VALUE"""),"ESCUDERO MARIA AGUSTINA")</f>
        <v>ESCUDERO MARIA AGUSTINA</v>
      </c>
      <c r="D2628" s="1" t="str">
        <f>IFERROR(__xludf.DUMMYFUNCTION("""COMPUTED_VALUE"""),"Lentes BIFOCALES")</f>
        <v>Lentes BIFOCALES</v>
      </c>
      <c r="E2628" s="1" t="str">
        <f>IFERROR(__xludf.DUMMYFUNCTION("""COMPUTED_VALUE"""),"ARTIGAS Cristian C.")</f>
        <v>ARTIGAS Cristian C.</v>
      </c>
      <c r="F2628" s="1" t="str">
        <f t="shared" si="1"/>
        <v>ARTIGAS </v>
      </c>
      <c r="G2628" s="1" t="str">
        <f t="shared" si="2"/>
        <v>Cristian C.</v>
      </c>
      <c r="H2628" s="1" t="str">
        <f>IFERROR(__xludf.DUMMYFUNCTION("""COMPUTED_VALUE"""),"8/3/2023, 17:00:00")</f>
        <v>8/3/2023, 17:00:00</v>
      </c>
      <c r="I2628" s="1" t="str">
        <f>IFERROR(__xludf.DUMMYFUNCTION("""COMPUTED_VALUE"""),"Completado en SUCURSAL")</f>
        <v>Completado en SUCURSAL</v>
      </c>
      <c r="J2628" s="1">
        <f t="shared" si="3"/>
        <v>5</v>
      </c>
      <c r="K2628" s="1" t="str">
        <f t="shared" si="4"/>
        <v>Tus Lentes estan LISTAS PARA ENTREGAR, te esperamos.</v>
      </c>
    </row>
    <row r="2629">
      <c r="A2629" s="1">
        <f>IFERROR(__xludf.DUMMYFUNCTION("""COMPUTED_VALUE"""),87176.0)</f>
        <v>87176</v>
      </c>
      <c r="B2629" s="5">
        <f>IFERROR(__xludf.DUMMYFUNCTION("""COMPUTED_VALUE"""),44985.83861097222)</f>
        <v>44985.83861</v>
      </c>
      <c r="C2629" s="1" t="str">
        <f>IFERROR(__xludf.DUMMYFUNCTION("""COMPUTED_VALUE"""),"BALMACEDA JUSTA")</f>
        <v>BALMACEDA JUSTA</v>
      </c>
      <c r="D2629" s="1" t="str">
        <f>IFERROR(__xludf.DUMMYFUNCTION("""COMPUTED_VALUE"""),"Lentes de STOCK")</f>
        <v>Lentes de STOCK</v>
      </c>
      <c r="E2629" s="1" t="str">
        <f>IFERROR(__xludf.DUMMYFUNCTION("""COMPUTED_VALUE"""),"ARTIGAS Ivana P.")</f>
        <v>ARTIGAS Ivana P.</v>
      </c>
      <c r="F2629" s="1" t="str">
        <f t="shared" si="1"/>
        <v>ARTIGAS </v>
      </c>
      <c r="G2629" s="1" t="str">
        <f t="shared" si="2"/>
        <v>Ivana P.</v>
      </c>
      <c r="H2629" s="1" t="str">
        <f>IFERROR(__xludf.DUMMYFUNCTION("""COMPUTED_VALUE"""),"7/3/2023, 17:00:00")</f>
        <v>7/3/2023, 17:00:00</v>
      </c>
      <c r="I2629" s="1" t="str">
        <f>IFERROR(__xludf.DUMMYFUNCTION("""COMPUTED_VALUE"""),"Completado en SUCURSAL")</f>
        <v>Completado en SUCURSAL</v>
      </c>
      <c r="J2629" s="1">
        <f t="shared" si="3"/>
        <v>5</v>
      </c>
      <c r="K2629" s="1" t="str">
        <f t="shared" si="4"/>
        <v>Tus Lentes estan LISTAS PARA ENTREGAR, te esperamos.</v>
      </c>
    </row>
    <row r="2630">
      <c r="A2630" s="1">
        <f>IFERROR(__xludf.DUMMYFUNCTION("""COMPUTED_VALUE"""),87177.0)</f>
        <v>87177</v>
      </c>
      <c r="B2630" s="5">
        <f>IFERROR(__xludf.DUMMYFUNCTION("""COMPUTED_VALUE"""),44985.83878853009)</f>
        <v>44985.83879</v>
      </c>
      <c r="C2630" s="1" t="str">
        <f>IFERROR(__xludf.DUMMYFUNCTION("""COMPUTED_VALUE"""),"CARLOS GOLFETTO")</f>
        <v>CARLOS GOLFETTO</v>
      </c>
      <c r="D2630" s="1" t="str">
        <f>IFERROR(__xludf.DUMMYFUNCTION("""COMPUTED_VALUE"""),"Lentes de STOCK")</f>
        <v>Lentes de STOCK</v>
      </c>
      <c r="E2630" s="1" t="str">
        <f>IFERROR(__xludf.DUMMYFUNCTION("""COMPUTED_VALUE"""),"RIVADAVIA Santiago LOPEZ")</f>
        <v>RIVADAVIA Santiago LOPEZ</v>
      </c>
      <c r="F2630" s="1" t="str">
        <f t="shared" si="1"/>
        <v>RIVADAVIA </v>
      </c>
      <c r="G2630" s="1" t="str">
        <f t="shared" si="2"/>
        <v>Santiago LOPEZ</v>
      </c>
      <c r="H2630" s="1" t="str">
        <f>IFERROR(__xludf.DUMMYFUNCTION("""COMPUTED_VALUE"""),"3/3/2023, 17:00:00")</f>
        <v>3/3/2023, 17:00:00</v>
      </c>
      <c r="I2630" s="1" t="str">
        <f>IFERROR(__xludf.DUMMYFUNCTION("""COMPUTED_VALUE"""),"Recibido en Laboratorio")</f>
        <v>Recibido en Laboratorio</v>
      </c>
      <c r="J2630" s="1">
        <f t="shared" si="3"/>
        <v>2</v>
      </c>
      <c r="K2630" s="1" t="str">
        <f t="shared" si="4"/>
        <v>Nuestro Laboratorio esta trabajando en tus lentes, los entregaremos en la fecha acordada.</v>
      </c>
    </row>
    <row r="2631">
      <c r="A2631" s="1">
        <f>IFERROR(__xludf.DUMMYFUNCTION("""COMPUTED_VALUE"""),87178.0)</f>
        <v>87178</v>
      </c>
      <c r="B2631" s="5">
        <f>IFERROR(__xludf.DUMMYFUNCTION("""COMPUTED_VALUE"""),44985.84556403935)</f>
        <v>44985.84556</v>
      </c>
      <c r="C2631" s="1" t="str">
        <f>IFERROR(__xludf.DUMMYFUNCTION("""COMPUTED_VALUE"""),"SINGCT VERONICA")</f>
        <v>SINGCT VERONICA</v>
      </c>
      <c r="D2631" s="1" t="str">
        <f>IFERROR(__xludf.DUMMYFUNCTION("""COMPUTED_VALUE"""),"Lentes de STOCK")</f>
        <v>Lentes de STOCK</v>
      </c>
      <c r="E2631" s="1" t="str">
        <f>IFERROR(__xludf.DUMMYFUNCTION("""COMPUTED_VALUE"""),"ARTIGAS Cristian C.")</f>
        <v>ARTIGAS Cristian C.</v>
      </c>
      <c r="F2631" s="1" t="str">
        <f t="shared" si="1"/>
        <v>ARTIGAS </v>
      </c>
      <c r="G2631" s="1" t="str">
        <f t="shared" si="2"/>
        <v>Cristian C.</v>
      </c>
      <c r="H2631" s="1" t="str">
        <f>IFERROR(__xludf.DUMMYFUNCTION("""COMPUTED_VALUE"""),"8/3/2023, 17:00:00")</f>
        <v>8/3/2023, 17:00:00</v>
      </c>
      <c r="I2631" s="1" t="str">
        <f>IFERROR(__xludf.DUMMYFUNCTION("""COMPUTED_VALUE"""),"Completado en SUCURSAL")</f>
        <v>Completado en SUCURSAL</v>
      </c>
      <c r="J2631" s="1">
        <f t="shared" si="3"/>
        <v>5</v>
      </c>
      <c r="K2631" s="1" t="str">
        <f t="shared" si="4"/>
        <v>Tus Lentes estan LISTAS PARA ENTREGAR, te esperamos.</v>
      </c>
    </row>
    <row r="2632">
      <c r="A2632" s="1">
        <f>IFERROR(__xludf.DUMMYFUNCTION("""COMPUTED_VALUE"""),87179.0)</f>
        <v>87179</v>
      </c>
      <c r="B2632" s="5">
        <f>IFERROR(__xludf.DUMMYFUNCTION("""COMPUTED_VALUE"""),44985.86325076389)</f>
        <v>44985.86325</v>
      </c>
      <c r="C2632" s="1" t="str">
        <f>IFERROR(__xludf.DUMMYFUNCTION("""COMPUTED_VALUE"""),"CORTEZ TAMARA")</f>
        <v>CORTEZ TAMARA</v>
      </c>
      <c r="D2632" s="1" t="str">
        <f>IFERROR(__xludf.DUMMYFUNCTION("""COMPUTED_VALUE"""),"Lentes de STOCK")</f>
        <v>Lentes de STOCK</v>
      </c>
      <c r="E2632" s="1" t="str">
        <f>IFERROR(__xludf.DUMMYFUNCTION("""COMPUTED_VALUE"""),"RIVADAVIA Rocio B")</f>
        <v>RIVADAVIA Rocio B</v>
      </c>
      <c r="F2632" s="1" t="str">
        <f t="shared" si="1"/>
        <v>RIVADAVIA </v>
      </c>
      <c r="G2632" s="1" t="str">
        <f t="shared" si="2"/>
        <v>Rocio B</v>
      </c>
      <c r="H2632" s="1" t="str">
        <f>IFERROR(__xludf.DUMMYFUNCTION("""COMPUTED_VALUE"""),"9/3/2023, 17:00:00")</f>
        <v>9/3/2023, 17:00:00</v>
      </c>
      <c r="I2632" s="1" t="str">
        <f>IFERROR(__xludf.DUMMYFUNCTION("""COMPUTED_VALUE"""),"Completado en SUCURSAL")</f>
        <v>Completado en SUCURSAL</v>
      </c>
      <c r="J2632" s="1">
        <f t="shared" si="3"/>
        <v>5</v>
      </c>
      <c r="K2632" s="1" t="str">
        <f t="shared" si="4"/>
        <v>Tus Lentes estan LISTAS PARA ENTREGAR, te esperamos.</v>
      </c>
    </row>
    <row r="2633">
      <c r="A2633" s="1">
        <f>IFERROR(__xludf.DUMMYFUNCTION("""COMPUTED_VALUE"""),87180.0)</f>
        <v>87180</v>
      </c>
      <c r="B2633" s="5">
        <f>IFERROR(__xludf.DUMMYFUNCTION("""COMPUTED_VALUE"""),44986.37691731482)</f>
        <v>44986.37692</v>
      </c>
      <c r="C2633" s="1" t="str">
        <f>IFERROR(__xludf.DUMMYFUNCTION("""COMPUTED_VALUE"""),"ezquivel johana")</f>
        <v>ezquivel johana</v>
      </c>
      <c r="D2633" s="1" t="str">
        <f>IFERROR(__xludf.DUMMYFUNCTION("""COMPUTED_VALUE"""),"Lentes de STOCK")</f>
        <v>Lentes de STOCK</v>
      </c>
      <c r="E2633" s="1" t="str">
        <f>IFERROR(__xludf.DUMMYFUNCTION("""COMPUTED_VALUE"""),"RIVADAVIA Santiago N")</f>
        <v>RIVADAVIA Santiago N</v>
      </c>
      <c r="F2633" s="1" t="str">
        <f t="shared" si="1"/>
        <v>RIVADAVIA </v>
      </c>
      <c r="G2633" s="1" t="str">
        <f t="shared" si="2"/>
        <v>Santiago N</v>
      </c>
      <c r="H2633" s="1" t="str">
        <f>IFERROR(__xludf.DUMMYFUNCTION("""COMPUTED_VALUE"""),"3/3/2023, 17:00:00")</f>
        <v>3/3/2023, 17:00:00</v>
      </c>
      <c r="I2633" s="1" t="str">
        <f>IFERROR(__xludf.DUMMYFUNCTION("""COMPUTED_VALUE"""),"Recibido en Laboratorio")</f>
        <v>Recibido en Laboratorio</v>
      </c>
      <c r="J2633" s="1">
        <f t="shared" si="3"/>
        <v>2</v>
      </c>
      <c r="K2633" s="1" t="str">
        <f t="shared" si="4"/>
        <v>Nuestro Laboratorio esta trabajando en tus lentes, los entregaremos en la fecha acordada.</v>
      </c>
    </row>
    <row r="2634">
      <c r="A2634" s="1">
        <f>IFERROR(__xludf.DUMMYFUNCTION("""COMPUTED_VALUE"""),87181.0)</f>
        <v>87181</v>
      </c>
      <c r="B2634" s="5">
        <f>IFERROR(__xludf.DUMMYFUNCTION("""COMPUTED_VALUE"""),44986.38596881945)</f>
        <v>44986.38597</v>
      </c>
      <c r="C2634" s="1" t="str">
        <f>IFERROR(__xludf.DUMMYFUNCTION("""COMPUTED_VALUE"""),"OJEDA MATEO")</f>
        <v>OJEDA MATEO</v>
      </c>
      <c r="D2634" s="1" t="str">
        <f>IFERROR(__xludf.DUMMYFUNCTION("""COMPUTED_VALUE"""),"Reparaciones/Otros")</f>
        <v>Reparaciones/Otros</v>
      </c>
      <c r="E2634" s="1" t="str">
        <f>IFERROR(__xludf.DUMMYFUNCTION("""COMPUTED_VALUE"""),"ARTIGAS Sandra G")</f>
        <v>ARTIGAS Sandra G</v>
      </c>
      <c r="F2634" s="1" t="str">
        <f t="shared" si="1"/>
        <v>ARTIGAS </v>
      </c>
      <c r="G2634" s="1" t="str">
        <f t="shared" si="2"/>
        <v>Sandra G</v>
      </c>
      <c r="H2634" s="1" t="str">
        <f>IFERROR(__xludf.DUMMYFUNCTION("""COMPUTED_VALUE"""),"2/3/2023, 17:00:00")</f>
        <v>2/3/2023, 17:00:00</v>
      </c>
      <c r="I2634" s="1" t="str">
        <f>IFERROR(__xludf.DUMMYFUNCTION("""COMPUTED_VALUE"""),"Completado en SUCURSAL")</f>
        <v>Completado en SUCURSAL</v>
      </c>
      <c r="J2634" s="1">
        <f t="shared" si="3"/>
        <v>5</v>
      </c>
      <c r="K2634" s="1" t="str">
        <f t="shared" si="4"/>
        <v>Tus Lentes estan LISTAS PARA ENTREGAR, te esperamos.</v>
      </c>
    </row>
    <row r="2635">
      <c r="A2635" s="1">
        <f>IFERROR(__xludf.DUMMYFUNCTION("""COMPUTED_VALUE"""),87182.0)</f>
        <v>87182</v>
      </c>
      <c r="B2635" s="5">
        <f>IFERROR(__xludf.DUMMYFUNCTION("""COMPUTED_VALUE"""),44986.38798684027)</f>
        <v>44986.38799</v>
      </c>
      <c r="C2635" s="1" t="str">
        <f>IFERROR(__xludf.DUMMYFUNCTION("""COMPUTED_VALUE"""),"TORRES ALDANA")</f>
        <v>TORRES ALDANA</v>
      </c>
      <c r="D2635" s="1" t="str">
        <f>IFERROR(__xludf.DUMMYFUNCTION("""COMPUTED_VALUE"""),"Lentes de LABORATORIO")</f>
        <v>Lentes de LABORATORIO</v>
      </c>
      <c r="E2635" s="1" t="str">
        <f>IFERROR(__xludf.DUMMYFUNCTION("""COMPUTED_VALUE"""),"ARTIGAS Cristian C.")</f>
        <v>ARTIGAS Cristian C.</v>
      </c>
      <c r="F2635" s="1" t="str">
        <f t="shared" si="1"/>
        <v>ARTIGAS </v>
      </c>
      <c r="G2635" s="1" t="str">
        <f t="shared" si="2"/>
        <v>Cristian C.</v>
      </c>
      <c r="H2635" s="1" t="str">
        <f>IFERROR(__xludf.DUMMYFUNCTION("""COMPUTED_VALUE"""),"11/3/2023, 17:00:00")</f>
        <v>11/3/2023, 17:00:00</v>
      </c>
      <c r="I2635" s="1" t="str">
        <f>IFERROR(__xludf.DUMMYFUNCTION("""COMPUTED_VALUE"""),"Completado en SUCURSAL")</f>
        <v>Completado en SUCURSAL</v>
      </c>
      <c r="J2635" s="1">
        <f t="shared" si="3"/>
        <v>5</v>
      </c>
      <c r="K2635" s="1" t="str">
        <f t="shared" si="4"/>
        <v>Tus Lentes estan LISTAS PARA ENTREGAR, te esperamos.</v>
      </c>
    </row>
    <row r="2636">
      <c r="A2636" s="1">
        <f>IFERROR(__xludf.DUMMYFUNCTION("""COMPUTED_VALUE"""),87183.0)</f>
        <v>87183</v>
      </c>
      <c r="B2636" s="5">
        <f>IFERROR(__xludf.DUMMYFUNCTION("""COMPUTED_VALUE"""),44986.38973056713)</f>
        <v>44986.38973</v>
      </c>
      <c r="C2636" s="1" t="str">
        <f>IFERROR(__xludf.DUMMYFUNCTION("""COMPUTED_VALUE"""),"OROZCO MARINA")</f>
        <v>OROZCO MARINA</v>
      </c>
      <c r="D2636" s="1" t="str">
        <f>IFERROR(__xludf.DUMMYFUNCTION("""COMPUTED_VALUE"""),"Reparaciones/Otros")</f>
        <v>Reparaciones/Otros</v>
      </c>
      <c r="E2636" s="1" t="str">
        <f>IFERROR(__xludf.DUMMYFUNCTION("""COMPUTED_VALUE"""),"ARTIGAS Sandra G")</f>
        <v>ARTIGAS Sandra G</v>
      </c>
      <c r="F2636" s="1" t="str">
        <f t="shared" si="1"/>
        <v>ARTIGAS </v>
      </c>
      <c r="G2636" s="1" t="str">
        <f t="shared" si="2"/>
        <v>Sandra G</v>
      </c>
      <c r="H2636" s="1" t="str">
        <f>IFERROR(__xludf.DUMMYFUNCTION("""COMPUTED_VALUE"""),"2/3/2023, 17:00:00")</f>
        <v>2/3/2023, 17:00:00</v>
      </c>
      <c r="I2636" s="1" t="str">
        <f>IFERROR(__xludf.DUMMYFUNCTION("""COMPUTED_VALUE"""),"Recibido en Laboratorio")</f>
        <v>Recibido en Laboratorio</v>
      </c>
      <c r="J2636" s="1">
        <f t="shared" si="3"/>
        <v>2</v>
      </c>
      <c r="K2636" s="1" t="str">
        <f t="shared" si="4"/>
        <v>Nuestro Laboratorio esta trabajando en tus lentes, los entregaremos en la fecha acordada.</v>
      </c>
    </row>
    <row r="2637">
      <c r="A2637" s="1">
        <f>IFERROR(__xludf.DUMMYFUNCTION("""COMPUTED_VALUE"""),87184.0)</f>
        <v>87184</v>
      </c>
      <c r="B2637" s="5">
        <f>IFERROR(__xludf.DUMMYFUNCTION("""COMPUTED_VALUE"""),44986.39335400463)</f>
        <v>44986.39335</v>
      </c>
      <c r="C2637" s="1" t="str">
        <f>IFERROR(__xludf.DUMMYFUNCTION("""COMPUTED_VALUE"""),"AGUERO LUIS")</f>
        <v>AGUERO LUIS</v>
      </c>
      <c r="D2637" s="1" t="str">
        <f>IFERROR(__xludf.DUMMYFUNCTION("""COMPUTED_VALUE"""),"Lentes de STOCK")</f>
        <v>Lentes de STOCK</v>
      </c>
      <c r="E2637" s="1" t="str">
        <f>IFERROR(__xludf.DUMMYFUNCTION("""COMPUTED_VALUE"""),"RIVADAVIA Luciana")</f>
        <v>RIVADAVIA Luciana</v>
      </c>
      <c r="F2637" s="1" t="str">
        <f t="shared" si="1"/>
        <v>RIVADAVIA </v>
      </c>
      <c r="G2637" s="1" t="str">
        <f t="shared" si="2"/>
        <v>Luciana</v>
      </c>
      <c r="H2637" s="1" t="str">
        <f>IFERROR(__xludf.DUMMYFUNCTION("""COMPUTED_VALUE"""),"6/3/2023, 17:00:00")</f>
        <v>6/3/2023, 17:00:00</v>
      </c>
      <c r="I2637" s="1" t="str">
        <f>IFERROR(__xludf.DUMMYFUNCTION("""COMPUTED_VALUE"""),"Completado en SUCURSAL")</f>
        <v>Completado en SUCURSAL</v>
      </c>
      <c r="J2637" s="1">
        <f t="shared" si="3"/>
        <v>5</v>
      </c>
      <c r="K2637" s="1" t="str">
        <f t="shared" si="4"/>
        <v>Tus Lentes estan LISTAS PARA ENTREGAR, te esperamos.</v>
      </c>
    </row>
    <row r="2638">
      <c r="A2638" s="1">
        <f>IFERROR(__xludf.DUMMYFUNCTION("""COMPUTED_VALUE"""),87185.0)</f>
        <v>87185</v>
      </c>
      <c r="B2638" s="5">
        <f>IFERROR(__xludf.DUMMYFUNCTION("""COMPUTED_VALUE"""),44986.400631261575)</f>
        <v>44986.40063</v>
      </c>
      <c r="C2638" s="1" t="str">
        <f>IFERROR(__xludf.DUMMYFUNCTION("""COMPUTED_VALUE"""),"ARROYUELO NORBERTO")</f>
        <v>ARROYUELO NORBERTO</v>
      </c>
      <c r="D2638" s="1" t="str">
        <f>IFERROR(__xludf.DUMMYFUNCTION("""COMPUTED_VALUE"""),"Lentes de STOCK")</f>
        <v>Lentes de STOCK</v>
      </c>
      <c r="E2638" s="1" t="str">
        <f>IFERROR(__xludf.DUMMYFUNCTION("""COMPUTED_VALUE"""),"ARTIGAS Ivana P.")</f>
        <v>ARTIGAS Ivana P.</v>
      </c>
      <c r="F2638" s="1" t="str">
        <f t="shared" si="1"/>
        <v>ARTIGAS </v>
      </c>
      <c r="G2638" s="1" t="str">
        <f t="shared" si="2"/>
        <v>Ivana P.</v>
      </c>
      <c r="H2638" s="1" t="str">
        <f>IFERROR(__xludf.DUMMYFUNCTION("""COMPUTED_VALUE"""),"6/3/2023, 17:00:00")</f>
        <v>6/3/2023, 17:00:00</v>
      </c>
      <c r="I2638" s="1" t="str">
        <f>IFERROR(__xludf.DUMMYFUNCTION("""COMPUTED_VALUE"""),"Completado en SUCURSAL")</f>
        <v>Completado en SUCURSAL</v>
      </c>
      <c r="J2638" s="1">
        <f t="shared" si="3"/>
        <v>5</v>
      </c>
      <c r="K2638" s="1" t="str">
        <f t="shared" si="4"/>
        <v>Tus Lentes estan LISTAS PARA ENTREGAR, te esperamos.</v>
      </c>
    </row>
    <row r="2639">
      <c r="A2639" s="1">
        <f>IFERROR(__xludf.DUMMYFUNCTION("""COMPUTED_VALUE"""),87186.0)</f>
        <v>87186</v>
      </c>
      <c r="B2639" s="5">
        <f>IFERROR(__xludf.DUMMYFUNCTION("""COMPUTED_VALUE"""),44986.403776736115)</f>
        <v>44986.40378</v>
      </c>
      <c r="C2639" s="1" t="str">
        <f>IFERROR(__xludf.DUMMYFUNCTION("""COMPUTED_VALUE"""),"FLORES ALICIA ")</f>
        <v>FLORES ALICIA </v>
      </c>
      <c r="D2639" s="1" t="str">
        <f>IFERROR(__xludf.DUMMYFUNCTION("""COMPUTED_VALUE"""),"Lentes de STOCK")</f>
        <v>Lentes de STOCK</v>
      </c>
      <c r="E2639" s="1" t="str">
        <f>IFERROR(__xludf.DUMMYFUNCTION("""COMPUTED_VALUE"""),"ARTIGAS Cristian C.")</f>
        <v>ARTIGAS Cristian C.</v>
      </c>
      <c r="F2639" s="1" t="str">
        <f t="shared" si="1"/>
        <v>ARTIGAS </v>
      </c>
      <c r="G2639" s="1" t="str">
        <f t="shared" si="2"/>
        <v>Cristian C.</v>
      </c>
      <c r="H2639" s="1" t="str">
        <f>IFERROR(__xludf.DUMMYFUNCTION("""COMPUTED_VALUE"""),"8/3/2023, 17:00:00")</f>
        <v>8/3/2023, 17:00:00</v>
      </c>
      <c r="I2639" s="1" t="str">
        <f>IFERROR(__xludf.DUMMYFUNCTION("""COMPUTED_VALUE"""),"Completado en SUCURSAL")</f>
        <v>Completado en SUCURSAL</v>
      </c>
      <c r="J2639" s="1">
        <f t="shared" si="3"/>
        <v>5</v>
      </c>
      <c r="K2639" s="1" t="str">
        <f t="shared" si="4"/>
        <v>Tus Lentes estan LISTAS PARA ENTREGAR, te esperamos.</v>
      </c>
    </row>
    <row r="2640">
      <c r="A2640" s="1">
        <f>IFERROR(__xludf.DUMMYFUNCTION("""COMPUTED_VALUE"""),87187.0)</f>
        <v>87187</v>
      </c>
      <c r="B2640" s="5">
        <f>IFERROR(__xludf.DUMMYFUNCTION("""COMPUTED_VALUE"""),44986.40849503472)</f>
        <v>44986.4085</v>
      </c>
      <c r="C2640" s="1" t="str">
        <f>IFERROR(__xludf.DUMMYFUNCTION("""COMPUTED_VALUE"""),"ESCUDERO SILVIA")</f>
        <v>ESCUDERO SILVIA</v>
      </c>
      <c r="D2640" s="1" t="str">
        <f>IFERROR(__xludf.DUMMYFUNCTION("""COMPUTED_VALUE"""),"Lentes de STOCK")</f>
        <v>Lentes de STOCK</v>
      </c>
      <c r="E2640" s="1" t="str">
        <f>IFERROR(__xludf.DUMMYFUNCTION("""COMPUTED_VALUE"""),"RIVADAVIA Rocio B")</f>
        <v>RIVADAVIA Rocio B</v>
      </c>
      <c r="F2640" s="1" t="str">
        <f t="shared" si="1"/>
        <v>RIVADAVIA </v>
      </c>
      <c r="G2640" s="1" t="str">
        <f t="shared" si="2"/>
        <v>Rocio B</v>
      </c>
      <c r="H2640" s="1" t="str">
        <f>IFERROR(__xludf.DUMMYFUNCTION("""COMPUTED_VALUE"""),"9/3/2023, 17:00:00")</f>
        <v>9/3/2023, 17:00:00</v>
      </c>
      <c r="I2640" s="1" t="str">
        <f>IFERROR(__xludf.DUMMYFUNCTION("""COMPUTED_VALUE"""),"Completado en SUCURSAL")</f>
        <v>Completado en SUCURSAL</v>
      </c>
      <c r="J2640" s="1">
        <f t="shared" si="3"/>
        <v>5</v>
      </c>
      <c r="K2640" s="1" t="str">
        <f t="shared" si="4"/>
        <v>Tus Lentes estan LISTAS PARA ENTREGAR, te esperamos.</v>
      </c>
    </row>
    <row r="2641">
      <c r="A2641" s="1">
        <f>IFERROR(__xludf.DUMMYFUNCTION("""COMPUTED_VALUE"""),87188.0)</f>
        <v>87188</v>
      </c>
      <c r="B2641" s="5">
        <f>IFERROR(__xludf.DUMMYFUNCTION("""COMPUTED_VALUE"""),44986.41382612268)</f>
        <v>44986.41383</v>
      </c>
      <c r="C2641" s="1" t="str">
        <f>IFERROR(__xludf.DUMMYFUNCTION("""COMPUTED_VALUE"""),"RODRIGUEZ MARIA JOSE")</f>
        <v>RODRIGUEZ MARIA JOSE</v>
      </c>
      <c r="D2641" s="1" t="str">
        <f>IFERROR(__xludf.DUMMYFUNCTION("""COMPUTED_VALUE"""),"Lentes de STOCK")</f>
        <v>Lentes de STOCK</v>
      </c>
      <c r="E2641" s="1" t="str">
        <f>IFERROR(__xludf.DUMMYFUNCTION("""COMPUTED_VALUE"""),"RIVADAVIA Rocio B")</f>
        <v>RIVADAVIA Rocio B</v>
      </c>
      <c r="F2641" s="1" t="str">
        <f t="shared" si="1"/>
        <v>RIVADAVIA </v>
      </c>
      <c r="G2641" s="1" t="str">
        <f t="shared" si="2"/>
        <v>Rocio B</v>
      </c>
      <c r="H2641" s="1" t="str">
        <f>IFERROR(__xludf.DUMMYFUNCTION("""COMPUTED_VALUE"""),"10/3/2023, 17:00:00")</f>
        <v>10/3/2023, 17:00:00</v>
      </c>
      <c r="I2641" s="1" t="str">
        <f>IFERROR(__xludf.DUMMYFUNCTION("""COMPUTED_VALUE"""),"Recibido en Laboratorio")</f>
        <v>Recibido en Laboratorio</v>
      </c>
      <c r="J2641" s="1">
        <f t="shared" si="3"/>
        <v>2</v>
      </c>
      <c r="K2641" s="1" t="str">
        <f t="shared" si="4"/>
        <v>Nuestro Laboratorio esta trabajando en tus lentes, los entregaremos en la fecha acordada.</v>
      </c>
    </row>
    <row r="2642">
      <c r="A2642" s="1">
        <f>IFERROR(__xludf.DUMMYFUNCTION("""COMPUTED_VALUE"""),87189.0)</f>
        <v>87189</v>
      </c>
      <c r="B2642" s="5">
        <f>IFERROR(__xludf.DUMMYFUNCTION("""COMPUTED_VALUE"""),44986.41424353009)</f>
        <v>44986.41424</v>
      </c>
      <c r="C2642" s="1" t="str">
        <f>IFERROR(__xludf.DUMMYFUNCTION("""COMPUTED_VALUE"""),"YBAÑEZ ANTONIA")</f>
        <v>YBAÑEZ ANTONIA</v>
      </c>
      <c r="D2642" s="1" t="str">
        <f>IFERROR(__xludf.DUMMYFUNCTION("""COMPUTED_VALUE"""),"Lentes de STOCK")</f>
        <v>Lentes de STOCK</v>
      </c>
      <c r="E2642" s="1" t="str">
        <f>IFERROR(__xludf.DUMMYFUNCTION("""COMPUTED_VALUE"""),"ARTIGAS Cristian C.")</f>
        <v>ARTIGAS Cristian C.</v>
      </c>
      <c r="F2642" s="1" t="str">
        <f t="shared" si="1"/>
        <v>ARTIGAS </v>
      </c>
      <c r="G2642" s="1" t="str">
        <f t="shared" si="2"/>
        <v>Cristian C.</v>
      </c>
      <c r="H2642" s="1" t="str">
        <f>IFERROR(__xludf.DUMMYFUNCTION("""COMPUTED_VALUE"""),"8/3/2023, 17:00:00")</f>
        <v>8/3/2023, 17:00:00</v>
      </c>
      <c r="I2642" s="1" t="str">
        <f>IFERROR(__xludf.DUMMYFUNCTION("""COMPUTED_VALUE"""),"Completado en SUCURSAL")</f>
        <v>Completado en SUCURSAL</v>
      </c>
      <c r="J2642" s="1">
        <f t="shared" si="3"/>
        <v>5</v>
      </c>
      <c r="K2642" s="1" t="str">
        <f t="shared" si="4"/>
        <v>Tus Lentes estan LISTAS PARA ENTREGAR, te esperamos.</v>
      </c>
    </row>
    <row r="2643">
      <c r="A2643" s="1">
        <f>IFERROR(__xludf.DUMMYFUNCTION("""COMPUTED_VALUE"""),87190.0)</f>
        <v>87190</v>
      </c>
      <c r="B2643" s="5">
        <f>IFERROR(__xludf.DUMMYFUNCTION("""COMPUTED_VALUE"""),44986.43182858796)</f>
        <v>44986.43183</v>
      </c>
      <c r="C2643" s="1" t="str">
        <f>IFERROR(__xludf.DUMMYFUNCTION("""COMPUTED_VALUE"""),"COLOMBERO OSCAR JUAN")</f>
        <v>COLOMBERO OSCAR JUAN</v>
      </c>
      <c r="D2643" s="1" t="str">
        <f>IFERROR(__xludf.DUMMYFUNCTION("""COMPUTED_VALUE"""),"Lentes de STOCK")</f>
        <v>Lentes de STOCK</v>
      </c>
      <c r="E2643" s="1" t="str">
        <f>IFERROR(__xludf.DUMMYFUNCTION("""COMPUTED_VALUE"""),"ARTIGAS Cristian C.")</f>
        <v>ARTIGAS Cristian C.</v>
      </c>
      <c r="F2643" s="1" t="str">
        <f t="shared" si="1"/>
        <v>ARTIGAS </v>
      </c>
      <c r="G2643" s="1" t="str">
        <f t="shared" si="2"/>
        <v>Cristian C.</v>
      </c>
      <c r="H2643" s="1" t="str">
        <f>IFERROR(__xludf.DUMMYFUNCTION("""COMPUTED_VALUE"""),"6/3/2023, 17:00:00")</f>
        <v>6/3/2023, 17:00:00</v>
      </c>
      <c r="I2643" s="1" t="str">
        <f>IFERROR(__xludf.DUMMYFUNCTION("""COMPUTED_VALUE"""),"Completado en SUCURSAL")</f>
        <v>Completado en SUCURSAL</v>
      </c>
      <c r="J2643" s="1">
        <f t="shared" si="3"/>
        <v>5</v>
      </c>
      <c r="K2643" s="1" t="str">
        <f t="shared" si="4"/>
        <v>Tus Lentes estan LISTAS PARA ENTREGAR, te esperamos.</v>
      </c>
    </row>
    <row r="2644">
      <c r="A2644" s="1">
        <f>IFERROR(__xludf.DUMMYFUNCTION("""COMPUTED_VALUE"""),87191.0)</f>
        <v>87191</v>
      </c>
      <c r="B2644" s="5">
        <f>IFERROR(__xludf.DUMMYFUNCTION("""COMPUTED_VALUE"""),44986.43535802083)</f>
        <v>44986.43536</v>
      </c>
      <c r="C2644" s="1" t="str">
        <f>IFERROR(__xludf.DUMMYFUNCTION("""COMPUTED_VALUE"""),"PRADO VALENCIA IGNACIO")</f>
        <v>PRADO VALENCIA IGNACIO</v>
      </c>
      <c r="D2644" s="1" t="str">
        <f>IFERROR(__xludf.DUMMYFUNCTION("""COMPUTED_VALUE"""),"Lentes de STOCK")</f>
        <v>Lentes de STOCK</v>
      </c>
      <c r="E2644" s="1" t="str">
        <f>IFERROR(__xludf.DUMMYFUNCTION("""COMPUTED_VALUE"""),"RIVADAVIA Santiago LOPEZ")</f>
        <v>RIVADAVIA Santiago LOPEZ</v>
      </c>
      <c r="F2644" s="1" t="str">
        <f t="shared" si="1"/>
        <v>RIVADAVIA </v>
      </c>
      <c r="G2644" s="1" t="str">
        <f t="shared" si="2"/>
        <v>Santiago LOPEZ</v>
      </c>
      <c r="H2644" s="1" t="str">
        <f>IFERROR(__xludf.DUMMYFUNCTION("""COMPUTED_VALUE"""),"6/3/2023, 17:00:00")</f>
        <v>6/3/2023, 17:00:00</v>
      </c>
      <c r="I2644" s="1" t="str">
        <f>IFERROR(__xludf.DUMMYFUNCTION("""COMPUTED_VALUE"""),"Completado en SUCURSAL")</f>
        <v>Completado en SUCURSAL</v>
      </c>
      <c r="J2644" s="1">
        <f t="shared" si="3"/>
        <v>5</v>
      </c>
      <c r="K2644" s="1" t="str">
        <f t="shared" si="4"/>
        <v>Tus Lentes estan LISTAS PARA ENTREGAR, te esperamos.</v>
      </c>
    </row>
    <row r="2645">
      <c r="A2645" s="1">
        <f>IFERROR(__xludf.DUMMYFUNCTION("""COMPUTED_VALUE"""),87192.0)</f>
        <v>87192</v>
      </c>
      <c r="B2645" s="5">
        <f>IFERROR(__xludf.DUMMYFUNCTION("""COMPUTED_VALUE"""),44986.43644981481)</f>
        <v>44986.43645</v>
      </c>
      <c r="C2645" s="1" t="str">
        <f>IFERROR(__xludf.DUMMYFUNCTION("""COMPUTED_VALUE"""),"Davila Marcela")</f>
        <v>Davila Marcela</v>
      </c>
      <c r="D2645" s="1" t="str">
        <f>IFERROR(__xludf.DUMMYFUNCTION("""COMPUTED_VALUE"""),"Reparaciones/Otros")</f>
        <v>Reparaciones/Otros</v>
      </c>
      <c r="E2645" s="1" t="str">
        <f>IFERROR(__xludf.DUMMYFUNCTION("""COMPUTED_VALUE"""),"ARTIGAS Sandra G")</f>
        <v>ARTIGAS Sandra G</v>
      </c>
      <c r="F2645" s="1" t="str">
        <f t="shared" si="1"/>
        <v>ARTIGAS </v>
      </c>
      <c r="G2645" s="1" t="str">
        <f t="shared" si="2"/>
        <v>Sandra G</v>
      </c>
      <c r="H2645" s="1" t="str">
        <f>IFERROR(__xludf.DUMMYFUNCTION("""COMPUTED_VALUE"""),"2/3/2023, 17:00:00")</f>
        <v>2/3/2023, 17:00:00</v>
      </c>
      <c r="I2645" s="1" t="str">
        <f>IFERROR(__xludf.DUMMYFUNCTION("""COMPUTED_VALUE"""),"Completado en SUCURSAL")</f>
        <v>Completado en SUCURSAL</v>
      </c>
      <c r="J2645" s="1">
        <f t="shared" si="3"/>
        <v>5</v>
      </c>
      <c r="K2645" s="1" t="str">
        <f t="shared" si="4"/>
        <v>Tus Lentes estan LISTAS PARA ENTREGAR, te esperamos.</v>
      </c>
    </row>
    <row r="2646">
      <c r="A2646" s="1">
        <f>IFERROR(__xludf.DUMMYFUNCTION("""COMPUTED_VALUE"""),87193.0)</f>
        <v>87193</v>
      </c>
      <c r="B2646" s="5">
        <f>IFERROR(__xludf.DUMMYFUNCTION("""COMPUTED_VALUE"""),44986.43678427083)</f>
        <v>44986.43678</v>
      </c>
      <c r="C2646" s="1" t="str">
        <f>IFERROR(__xludf.DUMMYFUNCTION("""COMPUTED_VALUE"""),"OCHOA MARIA INES")</f>
        <v>OCHOA MARIA INES</v>
      </c>
      <c r="D2646" s="1" t="str">
        <f>IFERROR(__xludf.DUMMYFUNCTION("""COMPUTED_VALUE"""),"Lentes de STOCK")</f>
        <v>Lentes de STOCK</v>
      </c>
      <c r="E2646" s="1" t="str">
        <f>IFERROR(__xludf.DUMMYFUNCTION("""COMPUTED_VALUE"""),"ARTIGAS Ivana P.")</f>
        <v>ARTIGAS Ivana P.</v>
      </c>
      <c r="F2646" s="1" t="str">
        <f t="shared" si="1"/>
        <v>ARTIGAS </v>
      </c>
      <c r="G2646" s="1" t="str">
        <f t="shared" si="2"/>
        <v>Ivana P.</v>
      </c>
      <c r="H2646" s="1" t="str">
        <f>IFERROR(__xludf.DUMMYFUNCTION("""COMPUTED_VALUE"""),"6/3/2023, 17:00:00")</f>
        <v>6/3/2023, 17:00:00</v>
      </c>
      <c r="I2646" s="1" t="str">
        <f>IFERROR(__xludf.DUMMYFUNCTION("""COMPUTED_VALUE"""),"Completado en SUCURSAL")</f>
        <v>Completado en SUCURSAL</v>
      </c>
      <c r="J2646" s="1">
        <f t="shared" si="3"/>
        <v>5</v>
      </c>
      <c r="K2646" s="1" t="str">
        <f t="shared" si="4"/>
        <v>Tus Lentes estan LISTAS PARA ENTREGAR, te esperamos.</v>
      </c>
    </row>
    <row r="2647">
      <c r="A2647" s="1">
        <f>IFERROR(__xludf.DUMMYFUNCTION("""COMPUTED_VALUE"""),87194.0)</f>
        <v>87194</v>
      </c>
      <c r="B2647" s="5">
        <f>IFERROR(__xludf.DUMMYFUNCTION("""COMPUTED_VALUE"""),44986.43831890046)</f>
        <v>44986.43832</v>
      </c>
      <c r="C2647" s="1" t="str">
        <f>IFERROR(__xludf.DUMMYFUNCTION("""COMPUTED_VALUE"""),"KUZMUK AGUSTINA GUADALUPE")</f>
        <v>KUZMUK AGUSTINA GUADALUPE</v>
      </c>
      <c r="D2647" s="1" t="str">
        <f>IFERROR(__xludf.DUMMYFUNCTION("""COMPUTED_VALUE"""),"Lentes de STOCK")</f>
        <v>Lentes de STOCK</v>
      </c>
      <c r="E2647" s="1" t="str">
        <f>IFERROR(__xludf.DUMMYFUNCTION("""COMPUTED_VALUE"""),"RIVADAVIA Marcela L")</f>
        <v>RIVADAVIA Marcela L</v>
      </c>
      <c r="F2647" s="1" t="str">
        <f t="shared" si="1"/>
        <v>RIVADAVIA </v>
      </c>
      <c r="G2647" s="1" t="str">
        <f t="shared" si="2"/>
        <v>Marcela L</v>
      </c>
      <c r="H2647" s="1" t="str">
        <f>IFERROR(__xludf.DUMMYFUNCTION("""COMPUTED_VALUE"""),"6/3/2023, 17:00:00")</f>
        <v>6/3/2023, 17:00:00</v>
      </c>
      <c r="I2647" s="1" t="str">
        <f>IFERROR(__xludf.DUMMYFUNCTION("""COMPUTED_VALUE"""),"Completado en SUCURSAL")</f>
        <v>Completado en SUCURSAL</v>
      </c>
      <c r="J2647" s="1">
        <f t="shared" si="3"/>
        <v>5</v>
      </c>
      <c r="K2647" s="1" t="str">
        <f t="shared" si="4"/>
        <v>Tus Lentes estan LISTAS PARA ENTREGAR, te esperamos.</v>
      </c>
    </row>
    <row r="2648">
      <c r="A2648" s="1">
        <f>IFERROR(__xludf.DUMMYFUNCTION("""COMPUTED_VALUE"""),87195.0)</f>
        <v>87195</v>
      </c>
      <c r="B2648" s="5">
        <f>IFERROR(__xludf.DUMMYFUNCTION("""COMPUTED_VALUE"""),44986.455730625)</f>
        <v>44986.45573</v>
      </c>
      <c r="C2648" s="1" t="str">
        <f>IFERROR(__xludf.DUMMYFUNCTION("""COMPUTED_VALUE"""),"FUNES ROBERTO DANIEL ")</f>
        <v>FUNES ROBERTO DANIEL </v>
      </c>
      <c r="D2648" s="1" t="str">
        <f>IFERROR(__xludf.DUMMYFUNCTION("""COMPUTED_VALUE"""),"Lentes de STOCK")</f>
        <v>Lentes de STOCK</v>
      </c>
      <c r="E2648" s="1" t="str">
        <f>IFERROR(__xludf.DUMMYFUNCTION("""COMPUTED_VALUE"""),"ARTIGAS Cristian C.")</f>
        <v>ARTIGAS Cristian C.</v>
      </c>
      <c r="F2648" s="1" t="str">
        <f t="shared" si="1"/>
        <v>ARTIGAS </v>
      </c>
      <c r="G2648" s="1" t="str">
        <f t="shared" si="2"/>
        <v>Cristian C.</v>
      </c>
      <c r="H2648" s="1" t="str">
        <f>IFERROR(__xludf.DUMMYFUNCTION("""COMPUTED_VALUE"""),"9/3/2023, 17:00:00")</f>
        <v>9/3/2023, 17:00:00</v>
      </c>
      <c r="I2648" s="1" t="str">
        <f>IFERROR(__xludf.DUMMYFUNCTION("""COMPUTED_VALUE"""),"Recibido en Laboratorio")</f>
        <v>Recibido en Laboratorio</v>
      </c>
      <c r="J2648" s="1">
        <f t="shared" si="3"/>
        <v>2</v>
      </c>
      <c r="K2648" s="1" t="str">
        <f t="shared" si="4"/>
        <v>Nuestro Laboratorio esta trabajando en tus lentes, los entregaremos en la fecha acordada.</v>
      </c>
    </row>
    <row r="2649">
      <c r="A2649" s="1">
        <f>IFERROR(__xludf.DUMMYFUNCTION("""COMPUTED_VALUE"""),87196.0)</f>
        <v>87196</v>
      </c>
      <c r="B2649" s="5">
        <f>IFERROR(__xludf.DUMMYFUNCTION("""COMPUTED_VALUE"""),44986.456681180556)</f>
        <v>44986.45668</v>
      </c>
      <c r="C2649" s="1" t="str">
        <f>IFERROR(__xludf.DUMMYFUNCTION("""COMPUTED_VALUE"""),"DIAZ GLADYS")</f>
        <v>DIAZ GLADYS</v>
      </c>
      <c r="D2649" s="1" t="str">
        <f>IFERROR(__xludf.DUMMYFUNCTION("""COMPUTED_VALUE"""),"Lentes de STOCK")</f>
        <v>Lentes de STOCK</v>
      </c>
      <c r="E2649" s="1" t="str">
        <f>IFERROR(__xludf.DUMMYFUNCTION("""COMPUTED_VALUE"""),"ARTIGAS Ivana P.")</f>
        <v>ARTIGAS Ivana P.</v>
      </c>
      <c r="F2649" s="1" t="str">
        <f t="shared" si="1"/>
        <v>ARTIGAS </v>
      </c>
      <c r="G2649" s="1" t="str">
        <f t="shared" si="2"/>
        <v>Ivana P.</v>
      </c>
      <c r="H2649" s="1" t="str">
        <f>IFERROR(__xludf.DUMMYFUNCTION("""COMPUTED_VALUE"""),"3/3/2023, 17:00:00")</f>
        <v>3/3/2023, 17:00:00</v>
      </c>
      <c r="I2649" s="1" t="str">
        <f>IFERROR(__xludf.DUMMYFUNCTION("""COMPUTED_VALUE"""),"Completado en SUCURSAL")</f>
        <v>Completado en SUCURSAL</v>
      </c>
      <c r="J2649" s="1">
        <f t="shared" si="3"/>
        <v>5</v>
      </c>
      <c r="K2649" s="1" t="str">
        <f t="shared" si="4"/>
        <v>Tus Lentes estan LISTAS PARA ENTREGAR, te esperamos.</v>
      </c>
    </row>
    <row r="2650">
      <c r="A2650" s="1">
        <f>IFERROR(__xludf.DUMMYFUNCTION("""COMPUTED_VALUE"""),87197.0)</f>
        <v>87197</v>
      </c>
      <c r="B2650" s="5">
        <f>IFERROR(__xludf.DUMMYFUNCTION("""COMPUTED_VALUE"""),44986.456876296295)</f>
        <v>44986.45688</v>
      </c>
      <c r="C2650" s="1" t="str">
        <f>IFERROR(__xludf.DUMMYFUNCTION("""COMPUTED_VALUE"""),"valdez mirta")</f>
        <v>valdez mirta</v>
      </c>
      <c r="D2650" s="1" t="str">
        <f>IFERROR(__xludf.DUMMYFUNCTION("""COMPUTED_VALUE"""),"Reparaciones/Otros")</f>
        <v>Reparaciones/Otros</v>
      </c>
      <c r="E2650" s="1" t="str">
        <f>IFERROR(__xludf.DUMMYFUNCTION("""COMPUTED_VALUE"""),"RIVADAVIA Rocio B")</f>
        <v>RIVADAVIA Rocio B</v>
      </c>
      <c r="F2650" s="1" t="str">
        <f t="shared" si="1"/>
        <v>RIVADAVIA </v>
      </c>
      <c r="G2650" s="1" t="str">
        <f t="shared" si="2"/>
        <v>Rocio B</v>
      </c>
      <c r="H2650" s="1" t="str">
        <f>IFERROR(__xludf.DUMMYFUNCTION("""COMPUTED_VALUE"""),"2/3/2023, 17:00:00")</f>
        <v>2/3/2023, 17:00:00</v>
      </c>
      <c r="I2650" s="1" t="str">
        <f>IFERROR(__xludf.DUMMYFUNCTION("""COMPUTED_VALUE"""),"Recibido en Laboratorio")</f>
        <v>Recibido en Laboratorio</v>
      </c>
      <c r="J2650" s="1">
        <f t="shared" si="3"/>
        <v>2</v>
      </c>
      <c r="K2650" s="1" t="str">
        <f t="shared" si="4"/>
        <v>Nuestro Laboratorio esta trabajando en tus lentes, los entregaremos en la fecha acordada.</v>
      </c>
    </row>
    <row r="2651">
      <c r="A2651" s="1">
        <f>IFERROR(__xludf.DUMMYFUNCTION("""COMPUTED_VALUE"""),87198.0)</f>
        <v>87198</v>
      </c>
      <c r="B2651" s="5">
        <f>IFERROR(__xludf.DUMMYFUNCTION("""COMPUTED_VALUE"""),44986.467871851855)</f>
        <v>44986.46787</v>
      </c>
      <c r="C2651" s="1" t="str">
        <f>IFERROR(__xludf.DUMMYFUNCTION("""COMPUTED_VALUE"""),"rodruiguez nancy alicia")</f>
        <v>rodruiguez nancy alicia</v>
      </c>
      <c r="D2651" s="1" t="str">
        <f>IFERROR(__xludf.DUMMYFUNCTION("""COMPUTED_VALUE"""),"Lentes de STOCK")</f>
        <v>Lentes de STOCK</v>
      </c>
      <c r="E2651" s="1" t="str">
        <f>IFERROR(__xludf.DUMMYFUNCTION("""COMPUTED_VALUE"""),"RIVADAVIA Santiago N")</f>
        <v>RIVADAVIA Santiago N</v>
      </c>
      <c r="F2651" s="1" t="str">
        <f t="shared" si="1"/>
        <v>RIVADAVIA </v>
      </c>
      <c r="G2651" s="1" t="str">
        <f t="shared" si="2"/>
        <v>Santiago N</v>
      </c>
      <c r="H2651" s="1" t="str">
        <f>IFERROR(__xludf.DUMMYFUNCTION("""COMPUTED_VALUE"""),"3/3/2023, 17:00:00")</f>
        <v>3/3/2023, 17:00:00</v>
      </c>
      <c r="I2651" s="1" t="str">
        <f>IFERROR(__xludf.DUMMYFUNCTION("""COMPUTED_VALUE"""),"Recibido en Laboratorio")</f>
        <v>Recibido en Laboratorio</v>
      </c>
      <c r="J2651" s="1">
        <f t="shared" si="3"/>
        <v>2</v>
      </c>
      <c r="K2651" s="1" t="str">
        <f t="shared" si="4"/>
        <v>Nuestro Laboratorio esta trabajando en tus lentes, los entregaremos en la fecha acordada.</v>
      </c>
    </row>
    <row r="2652">
      <c r="A2652" s="1">
        <f>IFERROR(__xludf.DUMMYFUNCTION("""COMPUTED_VALUE"""),87199.0)</f>
        <v>87199</v>
      </c>
      <c r="B2652" s="5">
        <f>IFERROR(__xludf.DUMMYFUNCTION("""COMPUTED_VALUE"""),44986.47005478009)</f>
        <v>44986.47005</v>
      </c>
      <c r="C2652" s="1" t="str">
        <f>IFERROR(__xludf.DUMMYFUNCTION("""COMPUTED_VALUE"""),"SOSA NATALIA")</f>
        <v>SOSA NATALIA</v>
      </c>
      <c r="D2652" s="1" t="str">
        <f>IFERROR(__xludf.DUMMYFUNCTION("""COMPUTED_VALUE"""),"Reparaciones/Otros")</f>
        <v>Reparaciones/Otros</v>
      </c>
      <c r="E2652" s="1" t="str">
        <f>IFERROR(__xludf.DUMMYFUNCTION("""COMPUTED_VALUE"""),"ARTIGAS Cristian C.")</f>
        <v>ARTIGAS Cristian C.</v>
      </c>
      <c r="F2652" s="1" t="str">
        <f t="shared" si="1"/>
        <v>ARTIGAS </v>
      </c>
      <c r="G2652" s="1" t="str">
        <f t="shared" si="2"/>
        <v>Cristian C.</v>
      </c>
      <c r="H2652" s="1" t="str">
        <f>IFERROR(__xludf.DUMMYFUNCTION("""COMPUTED_VALUE"""),"3/3/2023, 17:00:00")</f>
        <v>3/3/2023, 17:00:00</v>
      </c>
      <c r="I2652" s="1" t="str">
        <f>IFERROR(__xludf.DUMMYFUNCTION("""COMPUTED_VALUE"""),"Recibido en Laboratorio")</f>
        <v>Recibido en Laboratorio</v>
      </c>
      <c r="J2652" s="1">
        <f t="shared" si="3"/>
        <v>2</v>
      </c>
      <c r="K2652" s="1" t="str">
        <f t="shared" si="4"/>
        <v>Nuestro Laboratorio esta trabajando en tus lentes, los entregaremos en la fecha acordada.</v>
      </c>
    </row>
    <row r="2653">
      <c r="A2653" s="1">
        <f>IFERROR(__xludf.DUMMYFUNCTION("""COMPUTED_VALUE"""),87200.0)</f>
        <v>87200</v>
      </c>
      <c r="B2653" s="5">
        <f>IFERROR(__xludf.DUMMYFUNCTION("""COMPUTED_VALUE"""),44986.4712312037)</f>
        <v>44986.47123</v>
      </c>
      <c r="C2653" s="1" t="str">
        <f>IFERROR(__xludf.DUMMYFUNCTION("""COMPUTED_VALUE"""),"VAN HAUTTE ELVA")</f>
        <v>VAN HAUTTE ELVA</v>
      </c>
      <c r="D2653" s="1" t="str">
        <f>IFERROR(__xludf.DUMMYFUNCTION("""COMPUTED_VALUE"""),"Lentes de STOCK")</f>
        <v>Lentes de STOCK</v>
      </c>
      <c r="E2653" s="1" t="str">
        <f>IFERROR(__xludf.DUMMYFUNCTION("""COMPUTED_VALUE"""),"ARTIGAS Ivana P.")</f>
        <v>ARTIGAS Ivana P.</v>
      </c>
      <c r="F2653" s="1" t="str">
        <f t="shared" si="1"/>
        <v>ARTIGAS </v>
      </c>
      <c r="G2653" s="1" t="str">
        <f t="shared" si="2"/>
        <v>Ivana P.</v>
      </c>
      <c r="H2653" s="1" t="str">
        <f>IFERROR(__xludf.DUMMYFUNCTION("""COMPUTED_VALUE"""),"7/3/2023, 17:00:00")</f>
        <v>7/3/2023, 17:00:00</v>
      </c>
      <c r="I2653" s="1" t="str">
        <f>IFERROR(__xludf.DUMMYFUNCTION("""COMPUTED_VALUE"""),"Recibido en Laboratorio")</f>
        <v>Recibido en Laboratorio</v>
      </c>
      <c r="J2653" s="1">
        <f t="shared" si="3"/>
        <v>2</v>
      </c>
      <c r="K2653" s="1" t="str">
        <f t="shared" si="4"/>
        <v>Nuestro Laboratorio esta trabajando en tus lentes, los entregaremos en la fecha acordada.</v>
      </c>
    </row>
    <row r="2654">
      <c r="A2654" s="1">
        <f>IFERROR(__xludf.DUMMYFUNCTION("""COMPUTED_VALUE"""),87201.0)</f>
        <v>87201</v>
      </c>
      <c r="B2654" s="5">
        <f>IFERROR(__xludf.DUMMYFUNCTION("""COMPUTED_VALUE"""),44986.473065451384)</f>
        <v>44986.47307</v>
      </c>
      <c r="C2654" s="1" t="str">
        <f>IFERROR(__xludf.DUMMYFUNCTION("""COMPUTED_VALUE"""),"ESCUDERO VALERIA")</f>
        <v>ESCUDERO VALERIA</v>
      </c>
      <c r="D2654" s="1" t="str">
        <f>IFERROR(__xludf.DUMMYFUNCTION("""COMPUTED_VALUE"""),"Lentes de STOCK")</f>
        <v>Lentes de STOCK</v>
      </c>
      <c r="E2654" s="1" t="str">
        <f>IFERROR(__xludf.DUMMYFUNCTION("""COMPUTED_VALUE"""),"RIVADAVIA Rocio B")</f>
        <v>RIVADAVIA Rocio B</v>
      </c>
      <c r="F2654" s="1" t="str">
        <f t="shared" si="1"/>
        <v>RIVADAVIA </v>
      </c>
      <c r="G2654" s="1" t="str">
        <f t="shared" si="2"/>
        <v>Rocio B</v>
      </c>
      <c r="H2654" s="1" t="str">
        <f>IFERROR(__xludf.DUMMYFUNCTION("""COMPUTED_VALUE"""),"10/3/2023, 17:00:00")</f>
        <v>10/3/2023, 17:00:00</v>
      </c>
      <c r="I2654" s="1" t="str">
        <f>IFERROR(__xludf.DUMMYFUNCTION("""COMPUTED_VALUE"""),"Completado en SUCURSAL")</f>
        <v>Completado en SUCURSAL</v>
      </c>
      <c r="J2654" s="1">
        <f t="shared" si="3"/>
        <v>5</v>
      </c>
      <c r="K2654" s="1" t="str">
        <f t="shared" si="4"/>
        <v>Tus Lentes estan LISTAS PARA ENTREGAR, te esperamos.</v>
      </c>
    </row>
    <row r="2655">
      <c r="A2655" s="1">
        <f>IFERROR(__xludf.DUMMYFUNCTION("""COMPUTED_VALUE"""),87202.0)</f>
        <v>87202</v>
      </c>
      <c r="B2655" s="5">
        <f>IFERROR(__xludf.DUMMYFUNCTION("""COMPUTED_VALUE"""),44986.4807421875)</f>
        <v>44986.48074</v>
      </c>
      <c r="C2655" s="1" t="str">
        <f>IFERROR(__xludf.DUMMYFUNCTION("""COMPUTED_VALUE"""),"OROZCO MACARENA")</f>
        <v>OROZCO MACARENA</v>
      </c>
      <c r="D2655" s="1" t="str">
        <f>IFERROR(__xludf.DUMMYFUNCTION("""COMPUTED_VALUE"""),"Lentes de STOCK")</f>
        <v>Lentes de STOCK</v>
      </c>
      <c r="E2655" s="1" t="str">
        <f>IFERROR(__xludf.DUMMYFUNCTION("""COMPUTED_VALUE"""),"ARTIGAS Ivana P.")</f>
        <v>ARTIGAS Ivana P.</v>
      </c>
      <c r="F2655" s="1" t="str">
        <f t="shared" si="1"/>
        <v>ARTIGAS </v>
      </c>
      <c r="G2655" s="1" t="str">
        <f t="shared" si="2"/>
        <v>Ivana P.</v>
      </c>
      <c r="H2655" s="1" t="str">
        <f>IFERROR(__xludf.DUMMYFUNCTION("""COMPUTED_VALUE"""),"6/3/2023, 17:00:00")</f>
        <v>6/3/2023, 17:00:00</v>
      </c>
      <c r="I2655" s="1" t="str">
        <f>IFERROR(__xludf.DUMMYFUNCTION("""COMPUTED_VALUE"""),"Completado en SUCURSAL")</f>
        <v>Completado en SUCURSAL</v>
      </c>
      <c r="J2655" s="1">
        <f t="shared" si="3"/>
        <v>5</v>
      </c>
      <c r="K2655" s="1" t="str">
        <f t="shared" si="4"/>
        <v>Tus Lentes estan LISTAS PARA ENTREGAR, te esperamos.</v>
      </c>
    </row>
    <row r="2656">
      <c r="A2656" s="1">
        <f>IFERROR(__xludf.DUMMYFUNCTION("""COMPUTED_VALUE"""),87203.0)</f>
        <v>87203</v>
      </c>
      <c r="B2656" s="5">
        <f>IFERROR(__xludf.DUMMYFUNCTION("""COMPUTED_VALUE"""),44986.489346111106)</f>
        <v>44986.48935</v>
      </c>
      <c r="C2656" s="1" t="str">
        <f>IFERROR(__xludf.DUMMYFUNCTION("""COMPUTED_VALUE"""),"MEDAWAR AGUILAR VICTORIA")</f>
        <v>MEDAWAR AGUILAR VICTORIA</v>
      </c>
      <c r="D2656" s="1" t="str">
        <f>IFERROR(__xludf.DUMMYFUNCTION("""COMPUTED_VALUE"""),"Lentes de STOCK")</f>
        <v>Lentes de STOCK</v>
      </c>
      <c r="E2656" s="1" t="str">
        <f>IFERROR(__xludf.DUMMYFUNCTION("""COMPUTED_VALUE"""),"RIVADAVIA Marcela L")</f>
        <v>RIVADAVIA Marcela L</v>
      </c>
      <c r="F2656" s="1" t="str">
        <f t="shared" si="1"/>
        <v>RIVADAVIA </v>
      </c>
      <c r="G2656" s="1" t="str">
        <f t="shared" si="2"/>
        <v>Marcela L</v>
      </c>
      <c r="H2656" s="1" t="str">
        <f>IFERROR(__xludf.DUMMYFUNCTION("""COMPUTED_VALUE"""),"6/3/2023, 17:00:00")</f>
        <v>6/3/2023, 17:00:00</v>
      </c>
      <c r="I2656" s="1" t="str">
        <f>IFERROR(__xludf.DUMMYFUNCTION("""COMPUTED_VALUE"""),"Completado en SUCURSAL")</f>
        <v>Completado en SUCURSAL</v>
      </c>
      <c r="J2656" s="1">
        <f t="shared" si="3"/>
        <v>5</v>
      </c>
      <c r="K2656" s="1" t="str">
        <f t="shared" si="4"/>
        <v>Tus Lentes estan LISTAS PARA ENTREGAR, te esperamos.</v>
      </c>
    </row>
    <row r="2657">
      <c r="A2657" s="1">
        <f>IFERROR(__xludf.DUMMYFUNCTION("""COMPUTED_VALUE"""),87204.0)</f>
        <v>87204</v>
      </c>
      <c r="B2657" s="5">
        <f>IFERROR(__xludf.DUMMYFUNCTION("""COMPUTED_VALUE"""),44986.49640207176)</f>
        <v>44986.4964</v>
      </c>
      <c r="C2657" s="1" t="str">
        <f>IFERROR(__xludf.DUMMYFUNCTION("""COMPUTED_VALUE"""),"DAQUINO ELSA")</f>
        <v>DAQUINO ELSA</v>
      </c>
      <c r="D2657" s="1" t="str">
        <f>IFERROR(__xludf.DUMMYFUNCTION("""COMPUTED_VALUE"""),"Lentes de STOCK")</f>
        <v>Lentes de STOCK</v>
      </c>
      <c r="E2657" s="1" t="str">
        <f>IFERROR(__xludf.DUMMYFUNCTION("""COMPUTED_VALUE"""),"ARTIGAS Cristian C.")</f>
        <v>ARTIGAS Cristian C.</v>
      </c>
      <c r="F2657" s="1" t="str">
        <f t="shared" si="1"/>
        <v>ARTIGAS </v>
      </c>
      <c r="G2657" s="1" t="str">
        <f t="shared" si="2"/>
        <v>Cristian C.</v>
      </c>
      <c r="H2657" s="1" t="str">
        <f>IFERROR(__xludf.DUMMYFUNCTION("""COMPUTED_VALUE"""),"6/3/2023, 17:00:00")</f>
        <v>6/3/2023, 17:00:00</v>
      </c>
      <c r="I2657" s="1" t="str">
        <f>IFERROR(__xludf.DUMMYFUNCTION("""COMPUTED_VALUE"""),"Completado en SUCURSAL")</f>
        <v>Completado en SUCURSAL</v>
      </c>
      <c r="J2657" s="1">
        <f t="shared" si="3"/>
        <v>5</v>
      </c>
      <c r="K2657" s="1" t="str">
        <f t="shared" si="4"/>
        <v>Tus Lentes estan LISTAS PARA ENTREGAR, te esperamos.</v>
      </c>
    </row>
    <row r="2658">
      <c r="A2658" s="1">
        <f>IFERROR(__xludf.DUMMYFUNCTION("""COMPUTED_VALUE"""),87205.0)</f>
        <v>87205</v>
      </c>
      <c r="B2658" s="5">
        <f>IFERROR(__xludf.DUMMYFUNCTION("""COMPUTED_VALUE"""),44986.50681395833)</f>
        <v>44986.50681</v>
      </c>
      <c r="C2658" s="1" t="str">
        <f>IFERROR(__xludf.DUMMYFUNCTION("""COMPUTED_VALUE"""),"UREÑA NIDIA")</f>
        <v>UREÑA NIDIA</v>
      </c>
      <c r="D2658" s="1" t="str">
        <f>IFERROR(__xludf.DUMMYFUNCTION("""COMPUTED_VALUE"""),"Lentes de STOCK")</f>
        <v>Lentes de STOCK</v>
      </c>
      <c r="E2658" s="1" t="str">
        <f>IFERROR(__xludf.DUMMYFUNCTION("""COMPUTED_VALUE"""),"ARTIGAS Cristian C.")</f>
        <v>ARTIGAS Cristian C.</v>
      </c>
      <c r="F2658" s="1" t="str">
        <f t="shared" si="1"/>
        <v>ARTIGAS </v>
      </c>
      <c r="G2658" s="1" t="str">
        <f t="shared" si="2"/>
        <v>Cristian C.</v>
      </c>
      <c r="H2658" s="1" t="str">
        <f>IFERROR(__xludf.DUMMYFUNCTION("""COMPUTED_VALUE"""),"6/3/2023, 17:00:00")</f>
        <v>6/3/2023, 17:00:00</v>
      </c>
      <c r="I2658" s="1" t="str">
        <f>IFERROR(__xludf.DUMMYFUNCTION("""COMPUTED_VALUE"""),"Completado en SUCURSAL")</f>
        <v>Completado en SUCURSAL</v>
      </c>
      <c r="J2658" s="1">
        <f t="shared" si="3"/>
        <v>5</v>
      </c>
      <c r="K2658" s="1" t="str">
        <f t="shared" si="4"/>
        <v>Tus Lentes estan LISTAS PARA ENTREGAR, te esperamos.</v>
      </c>
    </row>
    <row r="2659">
      <c r="A2659" s="1">
        <f>IFERROR(__xludf.DUMMYFUNCTION("""COMPUTED_VALUE"""),87206.0)</f>
        <v>87206</v>
      </c>
      <c r="B2659" s="5">
        <f>IFERROR(__xludf.DUMMYFUNCTION("""COMPUTED_VALUE"""),44986.50746565972)</f>
        <v>44986.50747</v>
      </c>
      <c r="C2659" s="1" t="str">
        <f>IFERROR(__xludf.DUMMYFUNCTION("""COMPUTED_VALUE"""),"CASTILLO ROJAS MICHELLE ANGELICA")</f>
        <v>CASTILLO ROJAS MICHELLE ANGELICA</v>
      </c>
      <c r="D2659" s="1" t="str">
        <f>IFERROR(__xludf.DUMMYFUNCTION("""COMPUTED_VALUE"""),"Lentes de STOCK")</f>
        <v>Lentes de STOCK</v>
      </c>
      <c r="E2659" s="1" t="str">
        <f>IFERROR(__xludf.DUMMYFUNCTION("""COMPUTED_VALUE"""),"RIVADAVIA Marcela L")</f>
        <v>RIVADAVIA Marcela L</v>
      </c>
      <c r="F2659" s="1" t="str">
        <f t="shared" si="1"/>
        <v>RIVADAVIA </v>
      </c>
      <c r="G2659" s="1" t="str">
        <f t="shared" si="2"/>
        <v>Marcela L</v>
      </c>
      <c r="H2659" s="1" t="str">
        <f>IFERROR(__xludf.DUMMYFUNCTION("""COMPUTED_VALUE"""),"6/3/2023, 17:00:00")</f>
        <v>6/3/2023, 17:00:00</v>
      </c>
      <c r="I2659" s="1" t="str">
        <f>IFERROR(__xludf.DUMMYFUNCTION("""COMPUTED_VALUE"""),"Completado en SUCURSAL")</f>
        <v>Completado en SUCURSAL</v>
      </c>
      <c r="J2659" s="1">
        <f t="shared" si="3"/>
        <v>5</v>
      </c>
      <c r="K2659" s="1" t="str">
        <f t="shared" si="4"/>
        <v>Tus Lentes estan LISTAS PARA ENTREGAR, te esperamos.</v>
      </c>
    </row>
    <row r="2660">
      <c r="A2660" s="1">
        <f>IFERROR(__xludf.DUMMYFUNCTION("""COMPUTED_VALUE"""),87207.0)</f>
        <v>87207</v>
      </c>
      <c r="B2660" s="5">
        <f>IFERROR(__xludf.DUMMYFUNCTION("""COMPUTED_VALUE"""),44986.51145712963)</f>
        <v>44986.51146</v>
      </c>
      <c r="C2660" s="1" t="str">
        <f>IFERROR(__xludf.DUMMYFUNCTION("""COMPUTED_VALUE"""),"FERNANDEZ MARIA CONCEPCION")</f>
        <v>FERNANDEZ MARIA CONCEPCION</v>
      </c>
      <c r="D2660" s="1" t="str">
        <f>IFERROR(__xludf.DUMMYFUNCTION("""COMPUTED_VALUE"""),"Lentes MULTIFOCALES")</f>
        <v>Lentes MULTIFOCALES</v>
      </c>
      <c r="E2660" s="1" t="str">
        <f>IFERROR(__xludf.DUMMYFUNCTION("""COMPUTED_VALUE"""),"RIVADAVIA Santiago LOPEZ")</f>
        <v>RIVADAVIA Santiago LOPEZ</v>
      </c>
      <c r="F2660" s="1" t="str">
        <f t="shared" si="1"/>
        <v>RIVADAVIA </v>
      </c>
      <c r="G2660" s="1" t="str">
        <f t="shared" si="2"/>
        <v>Santiago LOPEZ</v>
      </c>
      <c r="H2660" s="1" t="str">
        <f>IFERROR(__xludf.DUMMYFUNCTION("""COMPUTED_VALUE"""),"27/3/2023, 17:00:00")</f>
        <v>27/3/2023, 17:00:00</v>
      </c>
      <c r="I2660" s="1" t="str">
        <f>IFERROR(__xludf.DUMMYFUNCTION("""COMPUTED_VALUE"""),"RETIRADO OK POR CLIENTE")</f>
        <v>RETIRADO OK POR CLIENTE</v>
      </c>
      <c r="J2660" s="1">
        <f t="shared" si="3"/>
        <v>6</v>
      </c>
      <c r="K2660" s="1" t="str">
        <f t="shared" si="4"/>
        <v>Entregamos tus lentes, que los disfrutes!</v>
      </c>
    </row>
    <row r="2661">
      <c r="A2661" s="1">
        <f>IFERROR(__xludf.DUMMYFUNCTION("""COMPUTED_VALUE"""),87208.0)</f>
        <v>87208</v>
      </c>
      <c r="B2661" s="5">
        <f>IFERROR(__xludf.DUMMYFUNCTION("""COMPUTED_VALUE"""),44986.518526064814)</f>
        <v>44986.51853</v>
      </c>
      <c r="C2661" s="1" t="str">
        <f>IFERROR(__xludf.DUMMYFUNCTION("""COMPUTED_VALUE"""),"PEREIRA DEBORA ROXANA")</f>
        <v>PEREIRA DEBORA ROXANA</v>
      </c>
      <c r="D2661" s="1" t="str">
        <f>IFERROR(__xludf.DUMMYFUNCTION("""COMPUTED_VALUE"""),"Reparaciones/Otros")</f>
        <v>Reparaciones/Otros</v>
      </c>
      <c r="E2661" s="1" t="str">
        <f>IFERROR(__xludf.DUMMYFUNCTION("""COMPUTED_VALUE"""),"RIVADAVIA Marcela L")</f>
        <v>RIVADAVIA Marcela L</v>
      </c>
      <c r="F2661" s="1" t="str">
        <f t="shared" si="1"/>
        <v>RIVADAVIA </v>
      </c>
      <c r="G2661" s="1" t="str">
        <f t="shared" si="2"/>
        <v>Marcela L</v>
      </c>
      <c r="H2661" s="1" t="str">
        <f>IFERROR(__xludf.DUMMYFUNCTION("""COMPUTED_VALUE"""),"2/3/2023, 17:00:00")</f>
        <v>2/3/2023, 17:00:00</v>
      </c>
      <c r="I2661" s="1" t="str">
        <f>IFERROR(__xludf.DUMMYFUNCTION("""COMPUTED_VALUE"""),"Recibido en Laboratorio")</f>
        <v>Recibido en Laboratorio</v>
      </c>
      <c r="J2661" s="1">
        <f t="shared" si="3"/>
        <v>2</v>
      </c>
      <c r="K2661" s="1" t="str">
        <f t="shared" si="4"/>
        <v>Nuestro Laboratorio esta trabajando en tus lentes, los entregaremos en la fecha acordada.</v>
      </c>
    </row>
    <row r="2662">
      <c r="A2662" s="1">
        <f>IFERROR(__xludf.DUMMYFUNCTION("""COMPUTED_VALUE"""),87209.0)</f>
        <v>87209</v>
      </c>
      <c r="B2662" s="5">
        <f>IFERROR(__xludf.DUMMYFUNCTION("""COMPUTED_VALUE"""),44986.52300523148)</f>
        <v>44986.52301</v>
      </c>
      <c r="C2662" s="1" t="str">
        <f>IFERROR(__xludf.DUMMYFUNCTION("""COMPUTED_VALUE"""),"OWEN EDMUNDO ")</f>
        <v>OWEN EDMUNDO </v>
      </c>
      <c r="D2662" s="1" t="str">
        <f>IFERROR(__xludf.DUMMYFUNCTION("""COMPUTED_VALUE"""),"Lentes de STOCK")</f>
        <v>Lentes de STOCK</v>
      </c>
      <c r="E2662" s="1" t="str">
        <f>IFERROR(__xludf.DUMMYFUNCTION("""COMPUTED_VALUE"""),"RIVADAVIA Luciana")</f>
        <v>RIVADAVIA Luciana</v>
      </c>
      <c r="F2662" s="1" t="str">
        <f t="shared" si="1"/>
        <v>RIVADAVIA </v>
      </c>
      <c r="G2662" s="1" t="str">
        <f t="shared" si="2"/>
        <v>Luciana</v>
      </c>
      <c r="H2662" s="1" t="str">
        <f>IFERROR(__xludf.DUMMYFUNCTION("""COMPUTED_VALUE"""),"6/3/2023, 17:00:00")</f>
        <v>6/3/2023, 17:00:00</v>
      </c>
      <c r="I2662" s="1" t="str">
        <f>IFERROR(__xludf.DUMMYFUNCTION("""COMPUTED_VALUE"""),"Completado en SUCURSAL")</f>
        <v>Completado en SUCURSAL</v>
      </c>
      <c r="J2662" s="1">
        <f t="shared" si="3"/>
        <v>5</v>
      </c>
      <c r="K2662" s="1" t="str">
        <f t="shared" si="4"/>
        <v>Tus Lentes estan LISTAS PARA ENTREGAR, te esperamos.</v>
      </c>
    </row>
    <row r="2663">
      <c r="A2663" s="1">
        <f>IFERROR(__xludf.DUMMYFUNCTION("""COMPUTED_VALUE"""),87210.0)</f>
        <v>87210</v>
      </c>
      <c r="B2663" s="5">
        <f>IFERROR(__xludf.DUMMYFUNCTION("""COMPUTED_VALUE"""),44986.527593923616)</f>
        <v>44986.52759</v>
      </c>
      <c r="C2663" s="1" t="str">
        <f>IFERROR(__xludf.DUMMYFUNCTION("""COMPUTED_VALUE"""),"DELGADO DANIELA")</f>
        <v>DELGADO DANIELA</v>
      </c>
      <c r="D2663" s="1" t="str">
        <f>IFERROR(__xludf.DUMMYFUNCTION("""COMPUTED_VALUE"""),"Lentes de STOCK")</f>
        <v>Lentes de STOCK</v>
      </c>
      <c r="E2663" s="1" t="str">
        <f>IFERROR(__xludf.DUMMYFUNCTION("""COMPUTED_VALUE"""),"RIVADAVIA Santiago LOPEZ")</f>
        <v>RIVADAVIA Santiago LOPEZ</v>
      </c>
      <c r="F2663" s="1" t="str">
        <f t="shared" si="1"/>
        <v>RIVADAVIA </v>
      </c>
      <c r="G2663" s="1" t="str">
        <f t="shared" si="2"/>
        <v>Santiago LOPEZ</v>
      </c>
      <c r="H2663" s="1" t="str">
        <f>IFERROR(__xludf.DUMMYFUNCTION("""COMPUTED_VALUE"""),"6/3/2023, 17:00:00")</f>
        <v>6/3/2023, 17:00:00</v>
      </c>
      <c r="I2663" s="1" t="str">
        <f>IFERROR(__xludf.DUMMYFUNCTION("""COMPUTED_VALUE"""),"Completado en SUCURSAL")</f>
        <v>Completado en SUCURSAL</v>
      </c>
      <c r="J2663" s="1">
        <f t="shared" si="3"/>
        <v>5</v>
      </c>
      <c r="K2663" s="1" t="str">
        <f t="shared" si="4"/>
        <v>Tus Lentes estan LISTAS PARA ENTREGAR, te esperamos.</v>
      </c>
    </row>
    <row r="2664">
      <c r="A2664" s="1">
        <f>IFERROR(__xludf.DUMMYFUNCTION("""COMPUTED_VALUE"""),87211.0)</f>
        <v>87211</v>
      </c>
      <c r="B2664" s="5">
        <f>IFERROR(__xludf.DUMMYFUNCTION("""COMPUTED_VALUE"""),44986.52895305556)</f>
        <v>44986.52895</v>
      </c>
      <c r="C2664" s="1" t="str">
        <f>IFERROR(__xludf.DUMMYFUNCTION("""COMPUTED_VALUE"""),"flores andres roberto")</f>
        <v>flores andres roberto</v>
      </c>
      <c r="D2664" s="1" t="str">
        <f>IFERROR(__xludf.DUMMYFUNCTION("""COMPUTED_VALUE"""),"Lentes MULTIFOCALES")</f>
        <v>Lentes MULTIFOCALES</v>
      </c>
      <c r="E2664" s="1" t="str">
        <f>IFERROR(__xludf.DUMMYFUNCTION("""COMPUTED_VALUE"""),"RIVADAVIA Santiago N")</f>
        <v>RIVADAVIA Santiago N</v>
      </c>
      <c r="F2664" s="1" t="str">
        <f t="shared" si="1"/>
        <v>RIVADAVIA </v>
      </c>
      <c r="G2664" s="1" t="str">
        <f t="shared" si="2"/>
        <v>Santiago N</v>
      </c>
      <c r="H2664" s="1" t="str">
        <f>IFERROR(__xludf.DUMMYFUNCTION("""COMPUTED_VALUE"""),"14/3/2023, 17:00:00")</f>
        <v>14/3/2023, 17:00:00</v>
      </c>
      <c r="I2664" s="1" t="str">
        <f>IFERROR(__xludf.DUMMYFUNCTION("""COMPUTED_VALUE"""),"RETIRADO OK POR CLIENTE")</f>
        <v>RETIRADO OK POR CLIENTE</v>
      </c>
      <c r="J2664" s="1">
        <f t="shared" si="3"/>
        <v>6</v>
      </c>
      <c r="K2664" s="1" t="str">
        <f t="shared" si="4"/>
        <v>Entregamos tus lentes, que los disfrutes!</v>
      </c>
    </row>
    <row r="2665">
      <c r="A2665" s="1">
        <f>IFERROR(__xludf.DUMMYFUNCTION("""COMPUTED_VALUE"""),87212.0)</f>
        <v>87212</v>
      </c>
      <c r="B2665" s="5">
        <f>IFERROR(__xludf.DUMMYFUNCTION("""COMPUTED_VALUE"""),44986.54084965278)</f>
        <v>44986.54085</v>
      </c>
      <c r="C2665" s="1" t="str">
        <f>IFERROR(__xludf.DUMMYFUNCTION("""COMPUTED_VALUE"""),"ALANIZ LAURA ")</f>
        <v>ALANIZ LAURA </v>
      </c>
      <c r="D2665" s="1" t="str">
        <f>IFERROR(__xludf.DUMMYFUNCTION("""COMPUTED_VALUE"""),"Lentes de STOCK")</f>
        <v>Lentes de STOCK</v>
      </c>
      <c r="E2665" s="1" t="str">
        <f>IFERROR(__xludf.DUMMYFUNCTION("""COMPUTED_VALUE"""),"RIVADAVIA Rocio B")</f>
        <v>RIVADAVIA Rocio B</v>
      </c>
      <c r="F2665" s="1" t="str">
        <f t="shared" si="1"/>
        <v>RIVADAVIA </v>
      </c>
      <c r="G2665" s="1" t="str">
        <f t="shared" si="2"/>
        <v>Rocio B</v>
      </c>
      <c r="H2665" s="1" t="str">
        <f>IFERROR(__xludf.DUMMYFUNCTION("""COMPUTED_VALUE"""),"10/3/2023, 17:00:00")</f>
        <v>10/3/2023, 17:00:00</v>
      </c>
      <c r="I2665" s="1" t="str">
        <f>IFERROR(__xludf.DUMMYFUNCTION("""COMPUTED_VALUE"""),"Completado en SUCURSAL")</f>
        <v>Completado en SUCURSAL</v>
      </c>
      <c r="J2665" s="1">
        <f t="shared" si="3"/>
        <v>5</v>
      </c>
      <c r="K2665" s="1" t="str">
        <f t="shared" si="4"/>
        <v>Tus Lentes estan LISTAS PARA ENTREGAR, te esperamos.</v>
      </c>
    </row>
    <row r="2666">
      <c r="A2666" s="1">
        <f>IFERROR(__xludf.DUMMYFUNCTION("""COMPUTED_VALUE"""),87213.0)</f>
        <v>87213</v>
      </c>
      <c r="B2666" s="5">
        <f>IFERROR(__xludf.DUMMYFUNCTION("""COMPUTED_VALUE"""),44986.54382276621)</f>
        <v>44986.54382</v>
      </c>
      <c r="C2666" s="1" t="str">
        <f>IFERROR(__xludf.DUMMYFUNCTION("""COMPUTED_VALUE"""),"marchoni maria teresa")</f>
        <v>marchoni maria teresa</v>
      </c>
      <c r="D2666" s="1" t="str">
        <f>IFERROR(__xludf.DUMMYFUNCTION("""COMPUTED_VALUE"""),"Lentes MULTIFOCALES")</f>
        <v>Lentes MULTIFOCALES</v>
      </c>
      <c r="E2666" s="1" t="str">
        <f>IFERROR(__xludf.DUMMYFUNCTION("""COMPUTED_VALUE"""),"RIVADAVIA Santiago N")</f>
        <v>RIVADAVIA Santiago N</v>
      </c>
      <c r="F2666" s="1" t="str">
        <f t="shared" si="1"/>
        <v>RIVADAVIA </v>
      </c>
      <c r="G2666" s="1" t="str">
        <f t="shared" si="2"/>
        <v>Santiago N</v>
      </c>
      <c r="H2666" s="1" t="str">
        <f>IFERROR(__xludf.DUMMYFUNCTION("""COMPUTED_VALUE"""),"14/3/2023, 17:00:00")</f>
        <v>14/3/2023, 17:00:00</v>
      </c>
      <c r="I2666" s="1" t="str">
        <f>IFERROR(__xludf.DUMMYFUNCTION("""COMPUTED_VALUE"""),"RETIRADO OK POR CLIENTE")</f>
        <v>RETIRADO OK POR CLIENTE</v>
      </c>
      <c r="J2666" s="1">
        <f t="shared" si="3"/>
        <v>6</v>
      </c>
      <c r="K2666" s="1" t="str">
        <f t="shared" si="4"/>
        <v>Entregamos tus lentes, que los disfrutes!</v>
      </c>
    </row>
    <row r="2667">
      <c r="A2667" s="1">
        <f>IFERROR(__xludf.DUMMYFUNCTION("""COMPUTED_VALUE"""),87214.0)</f>
        <v>87214</v>
      </c>
      <c r="B2667" s="5">
        <f>IFERROR(__xludf.DUMMYFUNCTION("""COMPUTED_VALUE"""),44986.5439315625)</f>
        <v>44986.54393</v>
      </c>
      <c r="C2667" s="1" t="str">
        <f>IFERROR(__xludf.DUMMYFUNCTION("""COMPUTED_VALUE"""),"ALANIZ MARIA VICTORIA")</f>
        <v>ALANIZ MARIA VICTORIA</v>
      </c>
      <c r="D2667" s="1" t="str">
        <f>IFERROR(__xludf.DUMMYFUNCTION("""COMPUTED_VALUE"""),"Lentes de STOCK")</f>
        <v>Lentes de STOCK</v>
      </c>
      <c r="E2667" s="1" t="str">
        <f>IFERROR(__xludf.DUMMYFUNCTION("""COMPUTED_VALUE"""),"RIVADAVIA Rocio B")</f>
        <v>RIVADAVIA Rocio B</v>
      </c>
      <c r="F2667" s="1" t="str">
        <f t="shared" si="1"/>
        <v>RIVADAVIA </v>
      </c>
      <c r="G2667" s="1" t="str">
        <f t="shared" si="2"/>
        <v>Rocio B</v>
      </c>
      <c r="H2667" s="1" t="str">
        <f>IFERROR(__xludf.DUMMYFUNCTION("""COMPUTED_VALUE"""),"10/3/2023, 17:00:00")</f>
        <v>10/3/2023, 17:00:00</v>
      </c>
      <c r="I2667" s="1" t="str">
        <f>IFERROR(__xludf.DUMMYFUNCTION("""COMPUTED_VALUE"""),"Completado en SUCURSAL")</f>
        <v>Completado en SUCURSAL</v>
      </c>
      <c r="J2667" s="1">
        <f t="shared" si="3"/>
        <v>5</v>
      </c>
      <c r="K2667" s="1" t="str">
        <f t="shared" si="4"/>
        <v>Tus Lentes estan LISTAS PARA ENTREGAR, te esperamos.</v>
      </c>
    </row>
    <row r="2668">
      <c r="A2668" s="1">
        <f>IFERROR(__xludf.DUMMYFUNCTION("""COMPUTED_VALUE"""),87215.0)</f>
        <v>87215</v>
      </c>
      <c r="B2668" s="5">
        <f>IFERROR(__xludf.DUMMYFUNCTION("""COMPUTED_VALUE"""),44986.551326643515)</f>
        <v>44986.55133</v>
      </c>
      <c r="C2668" s="1" t="str">
        <f>IFERROR(__xludf.DUMMYFUNCTION("""COMPUTED_VALUE"""),"KARRA MARTA CARMEN")</f>
        <v>KARRA MARTA CARMEN</v>
      </c>
      <c r="D2668" s="1" t="str">
        <f>IFERROR(__xludf.DUMMYFUNCTION("""COMPUTED_VALUE"""),"Lentes BIFOCALES")</f>
        <v>Lentes BIFOCALES</v>
      </c>
      <c r="E2668" s="1" t="str">
        <f>IFERROR(__xludf.DUMMYFUNCTION("""COMPUTED_VALUE"""),"RIVADAVIA Marcela L")</f>
        <v>RIVADAVIA Marcela L</v>
      </c>
      <c r="F2668" s="1" t="str">
        <f t="shared" si="1"/>
        <v>RIVADAVIA </v>
      </c>
      <c r="G2668" s="1" t="str">
        <f t="shared" si="2"/>
        <v>Marcela L</v>
      </c>
      <c r="H2668" s="1" t="str">
        <f>IFERROR(__xludf.DUMMYFUNCTION("""COMPUTED_VALUE"""),"22/3/2023, 17:00:00")</f>
        <v>22/3/2023, 17:00:00</v>
      </c>
      <c r="I2668" s="1"/>
      <c r="J2668" s="1">
        <f t="shared" si="3"/>
        <v>0</v>
      </c>
      <c r="K2668" s="1" t="str">
        <f t="shared" si="4"/>
        <v/>
      </c>
    </row>
    <row r="2669">
      <c r="A2669" s="1">
        <f>IFERROR(__xludf.DUMMYFUNCTION("""COMPUTED_VALUE"""),87216.0)</f>
        <v>87216</v>
      </c>
      <c r="B2669" s="5">
        <f>IFERROR(__xludf.DUMMYFUNCTION("""COMPUTED_VALUE"""),44986.55211171297)</f>
        <v>44986.55211</v>
      </c>
      <c r="C2669" s="1" t="str">
        <f>IFERROR(__xludf.DUMMYFUNCTION("""COMPUTED_VALUE"""),"LOPEZ MONICA")</f>
        <v>LOPEZ MONICA</v>
      </c>
      <c r="D2669" s="1" t="str">
        <f>IFERROR(__xludf.DUMMYFUNCTION("""COMPUTED_VALUE"""),"Reparaciones/Otros")</f>
        <v>Reparaciones/Otros</v>
      </c>
      <c r="E2669" s="1" t="str">
        <f>IFERROR(__xludf.DUMMYFUNCTION("""COMPUTED_VALUE"""),"ARTIGAS Cristian C.")</f>
        <v>ARTIGAS Cristian C.</v>
      </c>
      <c r="F2669" s="1" t="str">
        <f t="shared" si="1"/>
        <v>ARTIGAS </v>
      </c>
      <c r="G2669" s="1" t="str">
        <f t="shared" si="2"/>
        <v>Cristian C.</v>
      </c>
      <c r="H2669" s="1" t="str">
        <f>IFERROR(__xludf.DUMMYFUNCTION("""COMPUTED_VALUE"""),"6/3/2023, 17:00:00")</f>
        <v>6/3/2023, 17:00:00</v>
      </c>
      <c r="I2669" s="1" t="str">
        <f>IFERROR(__xludf.DUMMYFUNCTION("""COMPUTED_VALUE"""),"Completado en SUCURSAL")</f>
        <v>Completado en SUCURSAL</v>
      </c>
      <c r="J2669" s="1">
        <f t="shared" si="3"/>
        <v>5</v>
      </c>
      <c r="K2669" s="1" t="str">
        <f t="shared" si="4"/>
        <v>Tus Lentes estan LISTAS PARA ENTREGAR, te esperamos.</v>
      </c>
    </row>
    <row r="2670">
      <c r="A2670" s="1">
        <f>IFERROR(__xludf.DUMMYFUNCTION("""COMPUTED_VALUE"""),87217.0)</f>
        <v>87217</v>
      </c>
      <c r="B2670" s="5">
        <f>IFERROR(__xludf.DUMMYFUNCTION("""COMPUTED_VALUE"""),44986.55900090278)</f>
        <v>44986.559</v>
      </c>
      <c r="C2670" s="1" t="str">
        <f>IFERROR(__xludf.DUMMYFUNCTION("""COMPUTED_VALUE"""),"RETA DAVID ")</f>
        <v>RETA DAVID </v>
      </c>
      <c r="D2670" s="1" t="str">
        <f>IFERROR(__xludf.DUMMYFUNCTION("""COMPUTED_VALUE"""),"Lentes de STOCK")</f>
        <v>Lentes de STOCK</v>
      </c>
      <c r="E2670" s="1" t="str">
        <f>IFERROR(__xludf.DUMMYFUNCTION("""COMPUTED_VALUE"""),"RIVADAVIA Luciana")</f>
        <v>RIVADAVIA Luciana</v>
      </c>
      <c r="F2670" s="1" t="str">
        <f t="shared" si="1"/>
        <v>RIVADAVIA </v>
      </c>
      <c r="G2670" s="1" t="str">
        <f t="shared" si="2"/>
        <v>Luciana</v>
      </c>
      <c r="H2670" s="1" t="str">
        <f>IFERROR(__xludf.DUMMYFUNCTION("""COMPUTED_VALUE"""),"6/3/2023, 17:00:00")</f>
        <v>6/3/2023, 17:00:00</v>
      </c>
      <c r="I2670" s="1" t="str">
        <f>IFERROR(__xludf.DUMMYFUNCTION("""COMPUTED_VALUE"""),"Completado en SUCURSAL")</f>
        <v>Completado en SUCURSAL</v>
      </c>
      <c r="J2670" s="1">
        <f t="shared" si="3"/>
        <v>5</v>
      </c>
      <c r="K2670" s="1" t="str">
        <f t="shared" si="4"/>
        <v>Tus Lentes estan LISTAS PARA ENTREGAR, te esperamos.</v>
      </c>
    </row>
    <row r="2671">
      <c r="A2671" s="1">
        <f>IFERROR(__xludf.DUMMYFUNCTION("""COMPUTED_VALUE"""),87218.0)</f>
        <v>87218</v>
      </c>
      <c r="B2671" s="5">
        <f>IFERROR(__xludf.DUMMYFUNCTION("""COMPUTED_VALUE"""),44986.563871238424)</f>
        <v>44986.56387</v>
      </c>
      <c r="C2671" s="1" t="str">
        <f>IFERROR(__xludf.DUMMYFUNCTION("""COMPUTED_VALUE"""),"AMIEVA MARIA BARBARITA")</f>
        <v>AMIEVA MARIA BARBARITA</v>
      </c>
      <c r="D2671" s="1" t="str">
        <f>IFERROR(__xludf.DUMMYFUNCTION("""COMPUTED_VALUE"""),"Lentes de STOCK")</f>
        <v>Lentes de STOCK</v>
      </c>
      <c r="E2671" s="1" t="str">
        <f>IFERROR(__xludf.DUMMYFUNCTION("""COMPUTED_VALUE"""),"RIVADAVIA Marcela L")</f>
        <v>RIVADAVIA Marcela L</v>
      </c>
      <c r="F2671" s="1" t="str">
        <f t="shared" si="1"/>
        <v>RIVADAVIA </v>
      </c>
      <c r="G2671" s="1" t="str">
        <f t="shared" si="2"/>
        <v>Marcela L</v>
      </c>
      <c r="H2671" s="1" t="str">
        <f>IFERROR(__xludf.DUMMYFUNCTION("""COMPUTED_VALUE"""),"6/3/2023, 17:00:00")</f>
        <v>6/3/2023, 17:00:00</v>
      </c>
      <c r="I2671" s="1"/>
      <c r="J2671" s="1">
        <f t="shared" si="3"/>
        <v>0</v>
      </c>
      <c r="K2671" s="1" t="str">
        <f t="shared" si="4"/>
        <v/>
      </c>
    </row>
    <row r="2672">
      <c r="A2672" s="1">
        <f>IFERROR(__xludf.DUMMYFUNCTION("""COMPUTED_VALUE"""),87219.0)</f>
        <v>87219</v>
      </c>
      <c r="B2672" s="5">
        <f>IFERROR(__xludf.DUMMYFUNCTION("""COMPUTED_VALUE"""),44987.386706527774)</f>
        <v>44987.38671</v>
      </c>
      <c r="C2672" s="1" t="str">
        <f>IFERROR(__xludf.DUMMYFUNCTION("""COMPUTED_VALUE"""),"SANCHEZ BENEDICTA")</f>
        <v>SANCHEZ BENEDICTA</v>
      </c>
      <c r="D2672" s="1" t="str">
        <f>IFERROR(__xludf.DUMMYFUNCTION("""COMPUTED_VALUE"""),"Lentes BIFOCALES")</f>
        <v>Lentes BIFOCALES</v>
      </c>
      <c r="E2672" s="1" t="str">
        <f>IFERROR(__xludf.DUMMYFUNCTION("""COMPUTED_VALUE"""),"RIVADAVIA Marcela L")</f>
        <v>RIVADAVIA Marcela L</v>
      </c>
      <c r="F2672" s="1" t="str">
        <f t="shared" si="1"/>
        <v>RIVADAVIA </v>
      </c>
      <c r="G2672" s="1" t="str">
        <f t="shared" si="2"/>
        <v>Marcela L</v>
      </c>
      <c r="H2672" s="1" t="str">
        <f>IFERROR(__xludf.DUMMYFUNCTION("""COMPUTED_VALUE"""),"6/3/2023, 17:00:00")</f>
        <v>6/3/2023, 17:00:00</v>
      </c>
      <c r="I2672" s="1" t="str">
        <f>IFERROR(__xludf.DUMMYFUNCTION("""COMPUTED_VALUE"""),"Completado en SUCURSAL")</f>
        <v>Completado en SUCURSAL</v>
      </c>
      <c r="J2672" s="1">
        <f t="shared" si="3"/>
        <v>5</v>
      </c>
      <c r="K2672" s="1" t="str">
        <f t="shared" si="4"/>
        <v>Tus Lentes estan LISTAS PARA ENTREGAR, te esperamos.</v>
      </c>
    </row>
    <row r="2673">
      <c r="A2673" s="1">
        <f>IFERROR(__xludf.DUMMYFUNCTION("""COMPUTED_VALUE"""),87220.0)</f>
        <v>87220</v>
      </c>
      <c r="B2673" s="5">
        <f>IFERROR(__xludf.DUMMYFUNCTION("""COMPUTED_VALUE"""),44987.3868534838)</f>
        <v>44987.38685</v>
      </c>
      <c r="C2673" s="1" t="str">
        <f>IFERROR(__xludf.DUMMYFUNCTION("""COMPUTED_VALUE"""),"PASCUA JORJELINA")</f>
        <v>PASCUA JORJELINA</v>
      </c>
      <c r="D2673" s="1" t="str">
        <f>IFERROR(__xludf.DUMMYFUNCTION("""COMPUTED_VALUE"""),"Reparaciones/Otros")</f>
        <v>Reparaciones/Otros</v>
      </c>
      <c r="E2673" s="1" t="str">
        <f>IFERROR(__xludf.DUMMYFUNCTION("""COMPUTED_VALUE"""),"ARTIGAS Cristian C.")</f>
        <v>ARTIGAS Cristian C.</v>
      </c>
      <c r="F2673" s="1" t="str">
        <f t="shared" si="1"/>
        <v>ARTIGAS </v>
      </c>
      <c r="G2673" s="1" t="str">
        <f t="shared" si="2"/>
        <v>Cristian C.</v>
      </c>
      <c r="H2673" s="1" t="str">
        <f>IFERROR(__xludf.DUMMYFUNCTION("""COMPUTED_VALUE"""),"3/3/2023, 17:00:00")</f>
        <v>3/3/2023, 17:00:00</v>
      </c>
      <c r="I2673" s="1" t="str">
        <f>IFERROR(__xludf.DUMMYFUNCTION("""COMPUTED_VALUE"""),"Completado en SUCURSAL")</f>
        <v>Completado en SUCURSAL</v>
      </c>
      <c r="J2673" s="1">
        <f t="shared" si="3"/>
        <v>5</v>
      </c>
      <c r="K2673" s="1" t="str">
        <f t="shared" si="4"/>
        <v>Tus Lentes estan LISTAS PARA ENTREGAR, te esperamos.</v>
      </c>
    </row>
    <row r="2674">
      <c r="A2674" s="1">
        <f>IFERROR(__xludf.DUMMYFUNCTION("""COMPUTED_VALUE"""),87221.0)</f>
        <v>87221</v>
      </c>
      <c r="B2674" s="5">
        <f>IFERROR(__xludf.DUMMYFUNCTION("""COMPUTED_VALUE"""),44987.38701723379)</f>
        <v>44987.38702</v>
      </c>
      <c r="C2674" s="1" t="str">
        <f>IFERROR(__xludf.DUMMYFUNCTION("""COMPUTED_VALUE"""),"funes roque")</f>
        <v>funes roque</v>
      </c>
      <c r="D2674" s="1" t="str">
        <f>IFERROR(__xludf.DUMMYFUNCTION("""COMPUTED_VALUE"""),"Lentes de STOCK")</f>
        <v>Lentes de STOCK</v>
      </c>
      <c r="E2674" s="1" t="str">
        <f>IFERROR(__xludf.DUMMYFUNCTION("""COMPUTED_VALUE"""),"RIVADAVIA Santiago N")</f>
        <v>RIVADAVIA Santiago N</v>
      </c>
      <c r="F2674" s="1" t="str">
        <f t="shared" si="1"/>
        <v>RIVADAVIA </v>
      </c>
      <c r="G2674" s="1" t="str">
        <f t="shared" si="2"/>
        <v>Santiago N</v>
      </c>
      <c r="H2674" s="1" t="str">
        <f>IFERROR(__xludf.DUMMYFUNCTION("""COMPUTED_VALUE"""),"4/3/2023, 17:00:00")</f>
        <v>4/3/2023, 17:00:00</v>
      </c>
      <c r="I2674" s="1" t="str">
        <f>IFERROR(__xludf.DUMMYFUNCTION("""COMPUTED_VALUE"""),"Recibido en Laboratorio")</f>
        <v>Recibido en Laboratorio</v>
      </c>
      <c r="J2674" s="1">
        <f t="shared" si="3"/>
        <v>2</v>
      </c>
      <c r="K2674" s="1" t="str">
        <f t="shared" si="4"/>
        <v>Nuestro Laboratorio esta trabajando en tus lentes, los entregaremos en la fecha acordada.</v>
      </c>
    </row>
    <row r="2675">
      <c r="A2675" s="1">
        <f>IFERROR(__xludf.DUMMYFUNCTION("""COMPUTED_VALUE"""),87222.0)</f>
        <v>87222</v>
      </c>
      <c r="B2675" s="5">
        <f>IFERROR(__xludf.DUMMYFUNCTION("""COMPUTED_VALUE"""),44987.39201765046)</f>
        <v>44987.39202</v>
      </c>
      <c r="C2675" s="1" t="str">
        <f>IFERROR(__xludf.DUMMYFUNCTION("""COMPUTED_VALUE"""),"ALEGRE DOMINGO DE LAS ROSAS")</f>
        <v>ALEGRE DOMINGO DE LAS ROSAS</v>
      </c>
      <c r="D2675" s="1" t="str">
        <f>IFERROR(__xludf.DUMMYFUNCTION("""COMPUTED_VALUE"""),"Lentes de STOCK")</f>
        <v>Lentes de STOCK</v>
      </c>
      <c r="E2675" s="1" t="str">
        <f>IFERROR(__xludf.DUMMYFUNCTION("""COMPUTED_VALUE"""),"RIVADAVIA Marcela L")</f>
        <v>RIVADAVIA Marcela L</v>
      </c>
      <c r="F2675" s="1" t="str">
        <f t="shared" si="1"/>
        <v>RIVADAVIA </v>
      </c>
      <c r="G2675" s="1" t="str">
        <f t="shared" si="2"/>
        <v>Marcela L</v>
      </c>
      <c r="H2675" s="1" t="str">
        <f>IFERROR(__xludf.DUMMYFUNCTION("""COMPUTED_VALUE"""),"6/3/2023, 17:00:00")</f>
        <v>6/3/2023, 17:00:00</v>
      </c>
      <c r="I2675" s="1" t="str">
        <f>IFERROR(__xludf.DUMMYFUNCTION("""COMPUTED_VALUE"""),"Completado en SUCURSAL")</f>
        <v>Completado en SUCURSAL</v>
      </c>
      <c r="J2675" s="1">
        <f t="shared" si="3"/>
        <v>5</v>
      </c>
      <c r="K2675" s="1" t="str">
        <f t="shared" si="4"/>
        <v>Tus Lentes estan LISTAS PARA ENTREGAR, te esperamos.</v>
      </c>
    </row>
    <row r="2676">
      <c r="A2676" s="1">
        <f>IFERROR(__xludf.DUMMYFUNCTION("""COMPUTED_VALUE"""),87223.0)</f>
        <v>87223</v>
      </c>
      <c r="B2676" s="5">
        <f>IFERROR(__xludf.DUMMYFUNCTION("""COMPUTED_VALUE"""),44987.394075868055)</f>
        <v>44987.39408</v>
      </c>
      <c r="C2676" s="1" t="str">
        <f>IFERROR(__xludf.DUMMYFUNCTION("""COMPUTED_VALUE"""),"DOMINGUEZ ")</f>
        <v>DOMINGUEZ </v>
      </c>
      <c r="D2676" s="1" t="str">
        <f>IFERROR(__xludf.DUMMYFUNCTION("""COMPUTED_VALUE"""),"Reparaciones/Otros")</f>
        <v>Reparaciones/Otros</v>
      </c>
      <c r="E2676" s="1" t="str">
        <f>IFERROR(__xludf.DUMMYFUNCTION("""COMPUTED_VALUE"""),"ARTIGAS Cristian C.")</f>
        <v>ARTIGAS Cristian C.</v>
      </c>
      <c r="F2676" s="1" t="str">
        <f t="shared" si="1"/>
        <v>ARTIGAS </v>
      </c>
      <c r="G2676" s="1" t="str">
        <f t="shared" si="2"/>
        <v>Cristian C.</v>
      </c>
      <c r="H2676" s="1" t="str">
        <f>IFERROR(__xludf.DUMMYFUNCTION("""COMPUTED_VALUE"""),"3/3/2023, 17:00:00")</f>
        <v>3/3/2023, 17:00:00</v>
      </c>
      <c r="I2676" s="1" t="str">
        <f>IFERROR(__xludf.DUMMYFUNCTION("""COMPUTED_VALUE"""),"Completado en SUCURSAL")</f>
        <v>Completado en SUCURSAL</v>
      </c>
      <c r="J2676" s="1">
        <f t="shared" si="3"/>
        <v>5</v>
      </c>
      <c r="K2676" s="1" t="str">
        <f t="shared" si="4"/>
        <v>Tus Lentes estan LISTAS PARA ENTREGAR, te esperamos.</v>
      </c>
    </row>
    <row r="2677">
      <c r="A2677" s="1">
        <f>IFERROR(__xludf.DUMMYFUNCTION("""COMPUTED_VALUE"""),87224.0)</f>
        <v>87224</v>
      </c>
      <c r="B2677" s="5">
        <f>IFERROR(__xludf.DUMMYFUNCTION("""COMPUTED_VALUE"""),44987.41082608796)</f>
        <v>44987.41083</v>
      </c>
      <c r="C2677" s="1" t="str">
        <f>IFERROR(__xludf.DUMMYFUNCTION("""COMPUTED_VALUE"""),"santa maria olinda")</f>
        <v>santa maria olinda</v>
      </c>
      <c r="D2677" s="1" t="str">
        <f>IFERROR(__xludf.DUMMYFUNCTION("""COMPUTED_VALUE"""),"Lentes de STOCK")</f>
        <v>Lentes de STOCK</v>
      </c>
      <c r="E2677" s="1" t="str">
        <f>IFERROR(__xludf.DUMMYFUNCTION("""COMPUTED_VALUE"""),"RIVADAVIA Santiago N")</f>
        <v>RIVADAVIA Santiago N</v>
      </c>
      <c r="F2677" s="1" t="str">
        <f t="shared" si="1"/>
        <v>RIVADAVIA </v>
      </c>
      <c r="G2677" s="1" t="str">
        <f t="shared" si="2"/>
        <v>Santiago N</v>
      </c>
      <c r="H2677" s="1" t="str">
        <f>IFERROR(__xludf.DUMMYFUNCTION("""COMPUTED_VALUE"""),"6/3/2023, 9:51:00")</f>
        <v>6/3/2023, 9:51:00</v>
      </c>
      <c r="I2677" s="1" t="str">
        <f>IFERROR(__xludf.DUMMYFUNCTION("""COMPUTED_VALUE"""),"Completado en SUCURSAL")</f>
        <v>Completado en SUCURSAL</v>
      </c>
      <c r="J2677" s="1">
        <f t="shared" si="3"/>
        <v>5</v>
      </c>
      <c r="K2677" s="1" t="str">
        <f t="shared" si="4"/>
        <v>Tus Lentes estan LISTAS PARA ENTREGAR, te esperamos.</v>
      </c>
    </row>
    <row r="2678">
      <c r="A2678" s="1">
        <f>IFERROR(__xludf.DUMMYFUNCTION("""COMPUTED_VALUE"""),87225.0)</f>
        <v>87225</v>
      </c>
      <c r="B2678" s="5">
        <f>IFERROR(__xludf.DUMMYFUNCTION("""COMPUTED_VALUE"""),44987.421536319445)</f>
        <v>44987.42154</v>
      </c>
      <c r="C2678" s="1" t="str">
        <f>IFERROR(__xludf.DUMMYFUNCTION("""COMPUTED_VALUE"""),"Dosa Hector Osvaldo")</f>
        <v>Dosa Hector Osvaldo</v>
      </c>
      <c r="D2678" s="1" t="str">
        <f>IFERROR(__xludf.DUMMYFUNCTION("""COMPUTED_VALUE"""),"Reparaciones/Otros")</f>
        <v>Reparaciones/Otros</v>
      </c>
      <c r="E2678" s="1" t="str">
        <f>IFERROR(__xludf.DUMMYFUNCTION("""COMPUTED_VALUE"""),"RIVADAVIA Rocio B")</f>
        <v>RIVADAVIA Rocio B</v>
      </c>
      <c r="F2678" s="1" t="str">
        <f t="shared" si="1"/>
        <v>RIVADAVIA </v>
      </c>
      <c r="G2678" s="1" t="str">
        <f t="shared" si="2"/>
        <v>Rocio B</v>
      </c>
      <c r="H2678" s="1" t="str">
        <f>IFERROR(__xludf.DUMMYFUNCTION("""COMPUTED_VALUE"""),"3/3/2023, 17:00:00")</f>
        <v>3/3/2023, 17:00:00</v>
      </c>
      <c r="I2678" s="1" t="str">
        <f>IFERROR(__xludf.DUMMYFUNCTION("""COMPUTED_VALUE"""),"Recibido en Laboratorio")</f>
        <v>Recibido en Laboratorio</v>
      </c>
      <c r="J2678" s="1">
        <f t="shared" si="3"/>
        <v>2</v>
      </c>
      <c r="K2678" s="1" t="str">
        <f t="shared" si="4"/>
        <v>Nuestro Laboratorio esta trabajando en tus lentes, los entregaremos en la fecha acordada.</v>
      </c>
    </row>
    <row r="2679">
      <c r="A2679" s="1">
        <f>IFERROR(__xludf.DUMMYFUNCTION("""COMPUTED_VALUE"""),87226.0)</f>
        <v>87226</v>
      </c>
      <c r="B2679" s="5">
        <f>IFERROR(__xludf.DUMMYFUNCTION("""COMPUTED_VALUE"""),44987.42494765046)</f>
        <v>44987.42495</v>
      </c>
      <c r="C2679" s="1" t="str">
        <f>IFERROR(__xludf.DUMMYFUNCTION("""COMPUTED_VALUE"""),"QUIROGA EMIR")</f>
        <v>QUIROGA EMIR</v>
      </c>
      <c r="D2679" s="1" t="str">
        <f>IFERROR(__xludf.DUMMYFUNCTION("""COMPUTED_VALUE"""),"Lentes de STOCK")</f>
        <v>Lentes de STOCK</v>
      </c>
      <c r="E2679" s="1" t="str">
        <f>IFERROR(__xludf.DUMMYFUNCTION("""COMPUTED_VALUE"""),"RIVADAVIA Santiago LOPEZ")</f>
        <v>RIVADAVIA Santiago LOPEZ</v>
      </c>
      <c r="F2679" s="1" t="str">
        <f t="shared" si="1"/>
        <v>RIVADAVIA </v>
      </c>
      <c r="G2679" s="1" t="str">
        <f t="shared" si="2"/>
        <v>Santiago LOPEZ</v>
      </c>
      <c r="H2679" s="1" t="str">
        <f>IFERROR(__xludf.DUMMYFUNCTION("""COMPUTED_VALUE"""),"7/3/2023, 17:00:00")</f>
        <v>7/3/2023, 17:00:00</v>
      </c>
      <c r="I2679" s="1" t="str">
        <f>IFERROR(__xludf.DUMMYFUNCTION("""COMPUTED_VALUE"""),"Completado en SUCURSAL")</f>
        <v>Completado en SUCURSAL</v>
      </c>
      <c r="J2679" s="1">
        <f t="shared" si="3"/>
        <v>5</v>
      </c>
      <c r="K2679" s="1" t="str">
        <f t="shared" si="4"/>
        <v>Tus Lentes estan LISTAS PARA ENTREGAR, te esperamos.</v>
      </c>
    </row>
    <row r="2680">
      <c r="A2680" s="1">
        <f>IFERROR(__xludf.DUMMYFUNCTION("""COMPUTED_VALUE"""),87227.0)</f>
        <v>87227</v>
      </c>
      <c r="B2680" s="5">
        <f>IFERROR(__xludf.DUMMYFUNCTION("""COMPUTED_VALUE"""),44987.42683016203)</f>
        <v>44987.42683</v>
      </c>
      <c r="C2680" s="1" t="str">
        <f>IFERROR(__xludf.DUMMYFUNCTION("""COMPUTED_VALUE"""),"BENITEZ LILIA")</f>
        <v>BENITEZ LILIA</v>
      </c>
      <c r="D2680" s="1" t="str">
        <f>IFERROR(__xludf.DUMMYFUNCTION("""COMPUTED_VALUE"""),"Lentes de STOCK")</f>
        <v>Lentes de STOCK</v>
      </c>
      <c r="E2680" s="1" t="str">
        <f>IFERROR(__xludf.DUMMYFUNCTION("""COMPUTED_VALUE"""),"RIVADAVIA Luciana")</f>
        <v>RIVADAVIA Luciana</v>
      </c>
      <c r="F2680" s="1" t="str">
        <f t="shared" si="1"/>
        <v>RIVADAVIA </v>
      </c>
      <c r="G2680" s="1" t="str">
        <f t="shared" si="2"/>
        <v>Luciana</v>
      </c>
      <c r="H2680" s="1" t="str">
        <f>IFERROR(__xludf.DUMMYFUNCTION("""COMPUTED_VALUE"""),"7/3/2023, 17:00:00")</f>
        <v>7/3/2023, 17:00:00</v>
      </c>
      <c r="I2680" s="1" t="str">
        <f>IFERROR(__xludf.DUMMYFUNCTION("""COMPUTED_VALUE"""),"Completado en SUCURSAL")</f>
        <v>Completado en SUCURSAL</v>
      </c>
      <c r="J2680" s="1">
        <f t="shared" si="3"/>
        <v>5</v>
      </c>
      <c r="K2680" s="1" t="str">
        <f t="shared" si="4"/>
        <v>Tus Lentes estan LISTAS PARA ENTREGAR, te esperamos.</v>
      </c>
    </row>
    <row r="2681">
      <c r="A2681" s="1">
        <f>IFERROR(__xludf.DUMMYFUNCTION("""COMPUTED_VALUE"""),87228.0)</f>
        <v>87228</v>
      </c>
      <c r="B2681" s="5">
        <f>IFERROR(__xludf.DUMMYFUNCTION("""COMPUTED_VALUE"""),44987.43264554398)</f>
        <v>44987.43265</v>
      </c>
      <c r="C2681" s="1" t="str">
        <f>IFERROR(__xludf.DUMMYFUNCTION("""COMPUTED_VALUE"""),"GARAY MERCEDES")</f>
        <v>GARAY MERCEDES</v>
      </c>
      <c r="D2681" s="1" t="str">
        <f>IFERROR(__xludf.DUMMYFUNCTION("""COMPUTED_VALUE"""),"Lentes de STOCK")</f>
        <v>Lentes de STOCK</v>
      </c>
      <c r="E2681" s="1" t="str">
        <f>IFERROR(__xludf.DUMMYFUNCTION("""COMPUTED_VALUE"""),"ARTIGAS Cristian C.")</f>
        <v>ARTIGAS Cristian C.</v>
      </c>
      <c r="F2681" s="1" t="str">
        <f t="shared" si="1"/>
        <v>ARTIGAS </v>
      </c>
      <c r="G2681" s="1" t="str">
        <f t="shared" si="2"/>
        <v>Cristian C.</v>
      </c>
      <c r="H2681" s="1" t="str">
        <f>IFERROR(__xludf.DUMMYFUNCTION("""COMPUTED_VALUE"""),"8/3/2023, 17:00:00")</f>
        <v>8/3/2023, 17:00:00</v>
      </c>
      <c r="I2681" s="1" t="str">
        <f>IFERROR(__xludf.DUMMYFUNCTION("""COMPUTED_VALUE"""),"Completado en SUCURSAL")</f>
        <v>Completado en SUCURSAL</v>
      </c>
      <c r="J2681" s="1">
        <f t="shared" si="3"/>
        <v>5</v>
      </c>
      <c r="K2681" s="1" t="str">
        <f t="shared" si="4"/>
        <v>Tus Lentes estan LISTAS PARA ENTREGAR, te esperamos.</v>
      </c>
    </row>
    <row r="2682">
      <c r="A2682" s="1">
        <f>IFERROR(__xludf.DUMMYFUNCTION("""COMPUTED_VALUE"""),87229.0)</f>
        <v>87229</v>
      </c>
      <c r="B2682" s="5">
        <f>IFERROR(__xludf.DUMMYFUNCTION("""COMPUTED_VALUE"""),44987.43386320602)</f>
        <v>44987.43386</v>
      </c>
      <c r="C2682" s="1" t="str">
        <f>IFERROR(__xludf.DUMMYFUNCTION("""COMPUTED_VALUE"""),"mendoza felipe")</f>
        <v>mendoza felipe</v>
      </c>
      <c r="D2682" s="1" t="str">
        <f>IFERROR(__xludf.DUMMYFUNCTION("""COMPUTED_VALUE"""),"Lentes de STOCK")</f>
        <v>Lentes de STOCK</v>
      </c>
      <c r="E2682" s="1" t="str">
        <f>IFERROR(__xludf.DUMMYFUNCTION("""COMPUTED_VALUE"""),"RIVADAVIA Daniel CM")</f>
        <v>RIVADAVIA Daniel CM</v>
      </c>
      <c r="F2682" s="1" t="str">
        <f t="shared" si="1"/>
        <v>RIVADAVIA </v>
      </c>
      <c r="G2682" s="1" t="str">
        <f t="shared" si="2"/>
        <v>Daniel CM</v>
      </c>
      <c r="H2682" s="1" t="str">
        <f>IFERROR(__xludf.DUMMYFUNCTION("""COMPUTED_VALUE"""),"6/3/2023, 17:00:00")</f>
        <v>6/3/2023, 17:00:00</v>
      </c>
      <c r="I2682" s="1" t="str">
        <f>IFERROR(__xludf.DUMMYFUNCTION("""COMPUTED_VALUE"""),"Completado en SUCURSAL")</f>
        <v>Completado en SUCURSAL</v>
      </c>
      <c r="J2682" s="1">
        <f t="shared" si="3"/>
        <v>5</v>
      </c>
      <c r="K2682" s="1" t="str">
        <f t="shared" si="4"/>
        <v>Tus Lentes estan LISTAS PARA ENTREGAR, te esperamos.</v>
      </c>
    </row>
    <row r="2683">
      <c r="A2683" s="1">
        <f>IFERROR(__xludf.DUMMYFUNCTION("""COMPUTED_VALUE"""),87230.0)</f>
        <v>87230</v>
      </c>
      <c r="B2683" s="5">
        <f>IFERROR(__xludf.DUMMYFUNCTION("""COMPUTED_VALUE"""),44987.43394354166)</f>
        <v>44987.43394</v>
      </c>
      <c r="C2683" s="1" t="str">
        <f>IFERROR(__xludf.DUMMYFUNCTION("""COMPUTED_VALUE"""),"ROSALES EDGARDO TIMOTEO")</f>
        <v>ROSALES EDGARDO TIMOTEO</v>
      </c>
      <c r="D2683" s="1" t="str">
        <f>IFERROR(__xludf.DUMMYFUNCTION("""COMPUTED_VALUE"""),"Lentes de STOCK")</f>
        <v>Lentes de STOCK</v>
      </c>
      <c r="E2683" s="1" t="str">
        <f>IFERROR(__xludf.DUMMYFUNCTION("""COMPUTED_VALUE"""),"ARTIGAS Cristian C.")</f>
        <v>ARTIGAS Cristian C.</v>
      </c>
      <c r="F2683" s="1" t="str">
        <f t="shared" si="1"/>
        <v>ARTIGAS </v>
      </c>
      <c r="G2683" s="1" t="str">
        <f t="shared" si="2"/>
        <v>Cristian C.</v>
      </c>
      <c r="H2683" s="1" t="str">
        <f>IFERROR(__xludf.DUMMYFUNCTION("""COMPUTED_VALUE"""),"8/3/2023, 17:00:00")</f>
        <v>8/3/2023, 17:00:00</v>
      </c>
      <c r="I2683" s="1" t="str">
        <f>IFERROR(__xludf.DUMMYFUNCTION("""COMPUTED_VALUE"""),"Recibido en Laboratorio")</f>
        <v>Recibido en Laboratorio</v>
      </c>
      <c r="J2683" s="1">
        <f t="shared" si="3"/>
        <v>2</v>
      </c>
      <c r="K2683" s="1" t="str">
        <f t="shared" si="4"/>
        <v>Nuestro Laboratorio esta trabajando en tus lentes, los entregaremos en la fecha acordada.</v>
      </c>
    </row>
    <row r="2684">
      <c r="A2684" s="1">
        <f>IFERROR(__xludf.DUMMYFUNCTION("""COMPUTED_VALUE"""),87231.0)</f>
        <v>87231</v>
      </c>
      <c r="B2684" s="5">
        <f>IFERROR(__xludf.DUMMYFUNCTION("""COMPUTED_VALUE"""),44987.43610407408)</f>
        <v>44987.4361</v>
      </c>
      <c r="C2684" s="1" t="str">
        <f>IFERROR(__xludf.DUMMYFUNCTION("""COMPUTED_VALUE"""),"ACOSTA GABRIEL")</f>
        <v>ACOSTA GABRIEL</v>
      </c>
      <c r="D2684" s="1" t="str">
        <f>IFERROR(__xludf.DUMMYFUNCTION("""COMPUTED_VALUE"""),"Lentes BIFOCALES")</f>
        <v>Lentes BIFOCALES</v>
      </c>
      <c r="E2684" s="1" t="str">
        <f>IFERROR(__xludf.DUMMYFUNCTION("""COMPUTED_VALUE"""),"ARTIGAS Ivana P.")</f>
        <v>ARTIGAS Ivana P.</v>
      </c>
      <c r="F2684" s="1" t="str">
        <f t="shared" si="1"/>
        <v>ARTIGAS </v>
      </c>
      <c r="G2684" s="1" t="str">
        <f t="shared" si="2"/>
        <v>Ivana P.</v>
      </c>
      <c r="H2684" s="1" t="str">
        <f>IFERROR(__xludf.DUMMYFUNCTION("""COMPUTED_VALUE"""),"6/3/2023, 17:00:00")</f>
        <v>6/3/2023, 17:00:00</v>
      </c>
      <c r="I2684" s="1" t="str">
        <f>IFERROR(__xludf.DUMMYFUNCTION("""COMPUTED_VALUE"""),"Recibido en Laboratorio")</f>
        <v>Recibido en Laboratorio</v>
      </c>
      <c r="J2684" s="1">
        <f t="shared" si="3"/>
        <v>2</v>
      </c>
      <c r="K2684" s="1" t="str">
        <f t="shared" si="4"/>
        <v>Nuestro Laboratorio esta trabajando en tus lentes, los entregaremos en la fecha acordada.</v>
      </c>
    </row>
    <row r="2685">
      <c r="A2685" s="1">
        <f>IFERROR(__xludf.DUMMYFUNCTION("""COMPUTED_VALUE"""),87232.0)</f>
        <v>87232</v>
      </c>
      <c r="B2685" s="5">
        <f>IFERROR(__xludf.DUMMYFUNCTION("""COMPUTED_VALUE"""),44987.442754143514)</f>
        <v>44987.44275</v>
      </c>
      <c r="C2685" s="1" t="str">
        <f>IFERROR(__xludf.DUMMYFUNCTION("""COMPUTED_VALUE"""),"REY GABRIELA")</f>
        <v>REY GABRIELA</v>
      </c>
      <c r="D2685" s="1" t="str">
        <f>IFERROR(__xludf.DUMMYFUNCTION("""COMPUTED_VALUE"""),"Reparaciones/Otros")</f>
        <v>Reparaciones/Otros</v>
      </c>
      <c r="E2685" s="1" t="str">
        <f>IFERROR(__xludf.DUMMYFUNCTION("""COMPUTED_VALUE"""),"RIVADAVIA Marcela L")</f>
        <v>RIVADAVIA Marcela L</v>
      </c>
      <c r="F2685" s="1" t="str">
        <f t="shared" si="1"/>
        <v>RIVADAVIA </v>
      </c>
      <c r="G2685" s="1" t="str">
        <f t="shared" si="2"/>
        <v>Marcela L</v>
      </c>
      <c r="H2685" s="1" t="str">
        <f>IFERROR(__xludf.DUMMYFUNCTION("""COMPUTED_VALUE"""),"3/3/2023, 17:00:00")</f>
        <v>3/3/2023, 17:00:00</v>
      </c>
      <c r="I2685" s="1" t="str">
        <f>IFERROR(__xludf.DUMMYFUNCTION("""COMPUTED_VALUE"""),"Recibido en Laboratorio")</f>
        <v>Recibido en Laboratorio</v>
      </c>
      <c r="J2685" s="1">
        <f t="shared" si="3"/>
        <v>2</v>
      </c>
      <c r="K2685" s="1" t="str">
        <f t="shared" si="4"/>
        <v>Nuestro Laboratorio esta trabajando en tus lentes, los entregaremos en la fecha acordada.</v>
      </c>
    </row>
    <row r="2686">
      <c r="A2686" s="1">
        <f>IFERROR(__xludf.DUMMYFUNCTION("""COMPUTED_VALUE"""),87233.0)</f>
        <v>87233</v>
      </c>
      <c r="B2686" s="5">
        <f>IFERROR(__xludf.DUMMYFUNCTION("""COMPUTED_VALUE"""),44987.443709872685)</f>
        <v>44987.44371</v>
      </c>
      <c r="C2686" s="1" t="str">
        <f>IFERROR(__xludf.DUMMYFUNCTION("""COMPUTED_VALUE"""),"calderon juana")</f>
        <v>calderon juana</v>
      </c>
      <c r="D2686" s="1" t="str">
        <f>IFERROR(__xludf.DUMMYFUNCTION("""COMPUTED_VALUE"""),"Lentes de STOCK")</f>
        <v>Lentes de STOCK</v>
      </c>
      <c r="E2686" s="1" t="str">
        <f>IFERROR(__xludf.DUMMYFUNCTION("""COMPUTED_VALUE"""),"RIVADAVIA Santiago LOPEZ")</f>
        <v>RIVADAVIA Santiago LOPEZ</v>
      </c>
      <c r="F2686" s="1" t="str">
        <f t="shared" si="1"/>
        <v>RIVADAVIA </v>
      </c>
      <c r="G2686" s="1" t="str">
        <f t="shared" si="2"/>
        <v>Santiago LOPEZ</v>
      </c>
      <c r="H2686" s="1" t="str">
        <f>IFERROR(__xludf.DUMMYFUNCTION("""COMPUTED_VALUE"""),"6/3/2023, 17:00:00")</f>
        <v>6/3/2023, 17:00:00</v>
      </c>
      <c r="I2686" s="1" t="str">
        <f>IFERROR(__xludf.DUMMYFUNCTION("""COMPUTED_VALUE"""),"Completado en SUCURSAL")</f>
        <v>Completado en SUCURSAL</v>
      </c>
      <c r="J2686" s="1">
        <f t="shared" si="3"/>
        <v>5</v>
      </c>
      <c r="K2686" s="1" t="str">
        <f t="shared" si="4"/>
        <v>Tus Lentes estan LISTAS PARA ENTREGAR, te esperamos.</v>
      </c>
    </row>
    <row r="2687">
      <c r="A2687" s="1">
        <f>IFERROR(__xludf.DUMMYFUNCTION("""COMPUTED_VALUE"""),87234.0)</f>
        <v>87234</v>
      </c>
      <c r="B2687" s="5">
        <f>IFERROR(__xludf.DUMMYFUNCTION("""COMPUTED_VALUE"""),44987.450929108796)</f>
        <v>44987.45093</v>
      </c>
      <c r="C2687" s="1" t="str">
        <f>IFERROR(__xludf.DUMMYFUNCTION("""COMPUTED_VALUE"""),"GARCIA DANTE ")</f>
        <v>GARCIA DANTE </v>
      </c>
      <c r="D2687" s="1" t="str">
        <f>IFERROR(__xludf.DUMMYFUNCTION("""COMPUTED_VALUE"""),"Lentes de STOCK")</f>
        <v>Lentes de STOCK</v>
      </c>
      <c r="E2687" s="1" t="str">
        <f>IFERROR(__xludf.DUMMYFUNCTION("""COMPUTED_VALUE"""),"ARTIGAS Cristian C.")</f>
        <v>ARTIGAS Cristian C.</v>
      </c>
      <c r="F2687" s="1" t="str">
        <f t="shared" si="1"/>
        <v>ARTIGAS </v>
      </c>
      <c r="G2687" s="1" t="str">
        <f t="shared" si="2"/>
        <v>Cristian C.</v>
      </c>
      <c r="H2687" s="1" t="str">
        <f>IFERROR(__xludf.DUMMYFUNCTION("""COMPUTED_VALUE"""),"9/3/2023, 17:00:00")</f>
        <v>9/3/2023, 17:00:00</v>
      </c>
      <c r="I2687" s="1" t="str">
        <f>IFERROR(__xludf.DUMMYFUNCTION("""COMPUTED_VALUE"""),"Completado en SUCURSAL")</f>
        <v>Completado en SUCURSAL</v>
      </c>
      <c r="J2687" s="1">
        <f t="shared" si="3"/>
        <v>5</v>
      </c>
      <c r="K2687" s="1" t="str">
        <f t="shared" si="4"/>
        <v>Tus Lentes estan LISTAS PARA ENTREGAR, te esperamos.</v>
      </c>
    </row>
    <row r="2688">
      <c r="A2688" s="1">
        <f>IFERROR(__xludf.DUMMYFUNCTION("""COMPUTED_VALUE"""),87235.0)</f>
        <v>87235</v>
      </c>
      <c r="B2688" s="5">
        <f>IFERROR(__xludf.DUMMYFUNCTION("""COMPUTED_VALUE"""),44987.463276967595)</f>
        <v>44987.46328</v>
      </c>
      <c r="C2688" s="1" t="str">
        <f>IFERROR(__xludf.DUMMYFUNCTION("""COMPUTED_VALUE"""),"VIQUE ESQUETI LORENZO")</f>
        <v>VIQUE ESQUETI LORENZO</v>
      </c>
      <c r="D2688" s="1" t="str">
        <f>IFERROR(__xludf.DUMMYFUNCTION("""COMPUTED_VALUE"""),"Lentes de STOCK")</f>
        <v>Lentes de STOCK</v>
      </c>
      <c r="E2688" s="1" t="str">
        <f>IFERROR(__xludf.DUMMYFUNCTION("""COMPUTED_VALUE"""),"RIVADAVIA Marcela L")</f>
        <v>RIVADAVIA Marcela L</v>
      </c>
      <c r="F2688" s="1" t="str">
        <f t="shared" si="1"/>
        <v>RIVADAVIA </v>
      </c>
      <c r="G2688" s="1" t="str">
        <f t="shared" si="2"/>
        <v>Marcela L</v>
      </c>
      <c r="H2688" s="1" t="str">
        <f>IFERROR(__xludf.DUMMYFUNCTION("""COMPUTED_VALUE"""),"7/3/2023, 17:00:00")</f>
        <v>7/3/2023, 17:00:00</v>
      </c>
      <c r="I2688" s="1" t="str">
        <f>IFERROR(__xludf.DUMMYFUNCTION("""COMPUTED_VALUE"""),"Completado en SUCURSAL")</f>
        <v>Completado en SUCURSAL</v>
      </c>
      <c r="J2688" s="1">
        <f t="shared" si="3"/>
        <v>5</v>
      </c>
      <c r="K2688" s="1" t="str">
        <f t="shared" si="4"/>
        <v>Tus Lentes estan LISTAS PARA ENTREGAR, te esperamos.</v>
      </c>
    </row>
    <row r="2689">
      <c r="A2689" s="1">
        <f>IFERROR(__xludf.DUMMYFUNCTION("""COMPUTED_VALUE"""),87236.0)</f>
        <v>87236</v>
      </c>
      <c r="B2689" s="5">
        <f>IFERROR(__xludf.DUMMYFUNCTION("""COMPUTED_VALUE"""),44987.46404167824)</f>
        <v>44987.46404</v>
      </c>
      <c r="C2689" s="1" t="str">
        <f>IFERROR(__xludf.DUMMYFUNCTION("""COMPUTED_VALUE"""),"BAIGORRIA JOSE RAMON")</f>
        <v>BAIGORRIA JOSE RAMON</v>
      </c>
      <c r="D2689" s="1" t="str">
        <f>IFERROR(__xludf.DUMMYFUNCTION("""COMPUTED_VALUE"""),"Lentes de STOCK")</f>
        <v>Lentes de STOCK</v>
      </c>
      <c r="E2689" s="1" t="str">
        <f>IFERROR(__xludf.DUMMYFUNCTION("""COMPUTED_VALUE"""),"RIVADAVIA Luciana")</f>
        <v>RIVADAVIA Luciana</v>
      </c>
      <c r="F2689" s="1" t="str">
        <f t="shared" si="1"/>
        <v>RIVADAVIA </v>
      </c>
      <c r="G2689" s="1" t="str">
        <f t="shared" si="2"/>
        <v>Luciana</v>
      </c>
      <c r="H2689" s="1" t="str">
        <f>IFERROR(__xludf.DUMMYFUNCTION("""COMPUTED_VALUE"""),"8/3/2023, 17:00:00")</f>
        <v>8/3/2023, 17:00:00</v>
      </c>
      <c r="I2689" s="1" t="str">
        <f>IFERROR(__xludf.DUMMYFUNCTION("""COMPUTED_VALUE"""),"Completado en SUCURSAL")</f>
        <v>Completado en SUCURSAL</v>
      </c>
      <c r="J2689" s="1">
        <f t="shared" si="3"/>
        <v>5</v>
      </c>
      <c r="K2689" s="1" t="str">
        <f t="shared" si="4"/>
        <v>Tus Lentes estan LISTAS PARA ENTREGAR, te esperamos.</v>
      </c>
    </row>
    <row r="2690">
      <c r="A2690" s="1">
        <f>IFERROR(__xludf.DUMMYFUNCTION("""COMPUTED_VALUE"""),87237.0)</f>
        <v>87237</v>
      </c>
      <c r="B2690" s="5">
        <f>IFERROR(__xludf.DUMMYFUNCTION("""COMPUTED_VALUE"""),44987.46407081019)</f>
        <v>44987.46407</v>
      </c>
      <c r="C2690" s="1" t="str">
        <f>IFERROR(__xludf.DUMMYFUNCTION("""COMPUTED_VALUE"""),"LIMA MARIA VANINA")</f>
        <v>LIMA MARIA VANINA</v>
      </c>
      <c r="D2690" s="1" t="str">
        <f>IFERROR(__xludf.DUMMYFUNCTION("""COMPUTED_VALUE"""),"Lentes de STOCK")</f>
        <v>Lentes de STOCK</v>
      </c>
      <c r="E2690" s="1" t="str">
        <f>IFERROR(__xludf.DUMMYFUNCTION("""COMPUTED_VALUE"""),"RIVADAVIA Santiago LOPEZ")</f>
        <v>RIVADAVIA Santiago LOPEZ</v>
      </c>
      <c r="F2690" s="1" t="str">
        <f t="shared" si="1"/>
        <v>RIVADAVIA </v>
      </c>
      <c r="G2690" s="1" t="str">
        <f t="shared" si="2"/>
        <v>Santiago LOPEZ</v>
      </c>
      <c r="H2690" s="1" t="str">
        <f>IFERROR(__xludf.DUMMYFUNCTION("""COMPUTED_VALUE"""),"6/3/2023, 17:00:00")</f>
        <v>6/3/2023, 17:00:00</v>
      </c>
      <c r="I2690" s="1" t="str">
        <f>IFERROR(__xludf.DUMMYFUNCTION("""COMPUTED_VALUE"""),"Completado en SUCURSAL")</f>
        <v>Completado en SUCURSAL</v>
      </c>
      <c r="J2690" s="1">
        <f t="shared" si="3"/>
        <v>5</v>
      </c>
      <c r="K2690" s="1" t="str">
        <f t="shared" si="4"/>
        <v>Tus Lentes estan LISTAS PARA ENTREGAR, te esperamos.</v>
      </c>
    </row>
    <row r="2691" hidden="1">
      <c r="A2691" s="1">
        <f>IFERROR(__xludf.DUMMYFUNCTION("""COMPUTED_VALUE"""),87238.0)</f>
        <v>87238</v>
      </c>
      <c r="B2691" s="5">
        <f>IFERROR(__xludf.DUMMYFUNCTION("""COMPUTED_VALUE"""),44987.468835266205)</f>
        <v>44987.46884</v>
      </c>
      <c r="C2691" s="1" t="str">
        <f>IFERROR(__xludf.DUMMYFUNCTION("""COMPUTED_VALUE"""),"BRUNO SILVINA")</f>
        <v>BRUNO SILVINA</v>
      </c>
      <c r="D2691" s="1" t="str">
        <f>IFERROR(__xludf.DUMMYFUNCTION("""COMPUTED_VALUE"""),"Lentes BIFOCALES")</f>
        <v>Lentes BIFOCALES</v>
      </c>
      <c r="E2691" s="1" t="str">
        <f>IFERROR(__xludf.DUMMYFUNCTION("""COMPUTED_VALUE"""),"ARTIGAS Ivana P.")</f>
        <v>ARTIGAS Ivana P.</v>
      </c>
      <c r="F2691" s="1" t="str">
        <f t="shared" si="1"/>
        <v>ARTIGAS </v>
      </c>
      <c r="G2691" s="1" t="str">
        <f t="shared" si="2"/>
        <v>Ivana P.</v>
      </c>
      <c r="H2691" s="1" t="str">
        <f>IFERROR(__xludf.DUMMYFUNCTION("""COMPUTED_VALUE"""),"6/3/2023, 17:00:00")</f>
        <v>6/3/2023, 17:00:00</v>
      </c>
      <c r="I2691" s="1" t="str">
        <f>IFERROR(__xludf.DUMMYFUNCTION("""COMPUTED_VALUE"""),"DEMORADO")</f>
        <v>DEMORADO</v>
      </c>
      <c r="J2691" s="1" t="str">
        <f t="shared" si="3"/>
        <v/>
      </c>
      <c r="K2691" s="1" t="str">
        <f t="shared" si="4"/>
        <v>Tuvimos una demora con tus lentes y no podremos entregarlo en las fecha acordada, estamos trabajando para terminarlos cuanto antes, te mantendremos al tanto, si es necesario contactanos via whatsapp.</v>
      </c>
    </row>
    <row r="2692">
      <c r="A2692" s="1">
        <f>IFERROR(__xludf.DUMMYFUNCTION("""COMPUTED_VALUE"""),87239.0)</f>
        <v>87239</v>
      </c>
      <c r="B2692" s="5">
        <f>IFERROR(__xludf.DUMMYFUNCTION("""COMPUTED_VALUE"""),44987.46886962963)</f>
        <v>44987.46887</v>
      </c>
      <c r="C2692" s="1" t="str">
        <f>IFERROR(__xludf.DUMMYFUNCTION("""COMPUTED_VALUE"""),"Ali Julian")</f>
        <v>Ali Julian</v>
      </c>
      <c r="D2692" s="1" t="str">
        <f>IFERROR(__xludf.DUMMYFUNCTION("""COMPUTED_VALUE"""),"Reparaciones/Otros")</f>
        <v>Reparaciones/Otros</v>
      </c>
      <c r="E2692" s="1" t="str">
        <f>IFERROR(__xludf.DUMMYFUNCTION("""COMPUTED_VALUE"""),"ARTIGAS Sandra G")</f>
        <v>ARTIGAS Sandra G</v>
      </c>
      <c r="F2692" s="1" t="str">
        <f t="shared" si="1"/>
        <v>ARTIGAS </v>
      </c>
      <c r="G2692" s="1" t="str">
        <f t="shared" si="2"/>
        <v>Sandra G</v>
      </c>
      <c r="H2692" s="1" t="str">
        <f>IFERROR(__xludf.DUMMYFUNCTION("""COMPUTED_VALUE"""),"4/3/2023, 17:00:00")</f>
        <v>4/3/2023, 17:00:00</v>
      </c>
      <c r="I2692" s="1" t="str">
        <f>IFERROR(__xludf.DUMMYFUNCTION("""COMPUTED_VALUE"""),"Recibido en Laboratorio")</f>
        <v>Recibido en Laboratorio</v>
      </c>
      <c r="J2692" s="1">
        <f t="shared" si="3"/>
        <v>2</v>
      </c>
      <c r="K2692" s="1" t="str">
        <f t="shared" si="4"/>
        <v>Nuestro Laboratorio esta trabajando en tus lentes, los entregaremos en la fecha acordada.</v>
      </c>
    </row>
    <row r="2693">
      <c r="A2693" s="1">
        <f>IFERROR(__xludf.DUMMYFUNCTION("""COMPUTED_VALUE"""),87240.0)</f>
        <v>87240</v>
      </c>
      <c r="B2693" s="5">
        <f>IFERROR(__xludf.DUMMYFUNCTION("""COMPUTED_VALUE"""),44987.471671921296)</f>
        <v>44987.47167</v>
      </c>
      <c r="C2693" s="1" t="str">
        <f>IFERROR(__xludf.DUMMYFUNCTION("""COMPUTED_VALUE"""),"GARAY MARIA JOSE")</f>
        <v>GARAY MARIA JOSE</v>
      </c>
      <c r="D2693" s="1" t="str">
        <f>IFERROR(__xludf.DUMMYFUNCTION("""COMPUTED_VALUE"""),"Reparaciones/Otros")</f>
        <v>Reparaciones/Otros</v>
      </c>
      <c r="E2693" s="1" t="str">
        <f>IFERROR(__xludf.DUMMYFUNCTION("""COMPUTED_VALUE"""),"ARTIGAS Sandra G")</f>
        <v>ARTIGAS Sandra G</v>
      </c>
      <c r="F2693" s="1" t="str">
        <f t="shared" si="1"/>
        <v>ARTIGAS </v>
      </c>
      <c r="G2693" s="1" t="str">
        <f t="shared" si="2"/>
        <v>Sandra G</v>
      </c>
      <c r="H2693" s="1" t="str">
        <f>IFERROR(__xludf.DUMMYFUNCTION("""COMPUTED_VALUE"""),"3/3/2023, 17:00:00")</f>
        <v>3/3/2023, 17:00:00</v>
      </c>
      <c r="I2693" s="1" t="str">
        <f>IFERROR(__xludf.DUMMYFUNCTION("""COMPUTED_VALUE"""),"Completado en SUCURSAL")</f>
        <v>Completado en SUCURSAL</v>
      </c>
      <c r="J2693" s="1">
        <f t="shared" si="3"/>
        <v>5</v>
      </c>
      <c r="K2693" s="1" t="str">
        <f t="shared" si="4"/>
        <v>Tus Lentes estan LISTAS PARA ENTREGAR, te esperamos.</v>
      </c>
    </row>
    <row r="2694">
      <c r="A2694" s="1">
        <f>IFERROR(__xludf.DUMMYFUNCTION("""COMPUTED_VALUE"""),87241.0)</f>
        <v>87241</v>
      </c>
      <c r="B2694" s="5">
        <f>IFERROR(__xludf.DUMMYFUNCTION("""COMPUTED_VALUE"""),44987.476246805556)</f>
        <v>44987.47625</v>
      </c>
      <c r="C2694" s="1" t="str">
        <f>IFERROR(__xludf.DUMMYFUNCTION("""COMPUTED_VALUE"""),"ZAVALA EVA EVIS")</f>
        <v>ZAVALA EVA EVIS</v>
      </c>
      <c r="D2694" s="1" t="str">
        <f>IFERROR(__xludf.DUMMYFUNCTION("""COMPUTED_VALUE"""),"Lentes de STOCK")</f>
        <v>Lentes de STOCK</v>
      </c>
      <c r="E2694" s="1" t="str">
        <f>IFERROR(__xludf.DUMMYFUNCTION("""COMPUTED_VALUE"""),"RIVADAVIA Marcela L")</f>
        <v>RIVADAVIA Marcela L</v>
      </c>
      <c r="F2694" s="1" t="str">
        <f t="shared" si="1"/>
        <v>RIVADAVIA </v>
      </c>
      <c r="G2694" s="1" t="str">
        <f t="shared" si="2"/>
        <v>Marcela L</v>
      </c>
      <c r="H2694" s="1" t="str">
        <f>IFERROR(__xludf.DUMMYFUNCTION("""COMPUTED_VALUE"""),"6/3/2023, 17:00:00")</f>
        <v>6/3/2023, 17:00:00</v>
      </c>
      <c r="I2694" s="1" t="str">
        <f>IFERROR(__xludf.DUMMYFUNCTION("""COMPUTED_VALUE"""),"Completado en SUCURSAL")</f>
        <v>Completado en SUCURSAL</v>
      </c>
      <c r="J2694" s="1">
        <f t="shared" si="3"/>
        <v>5</v>
      </c>
      <c r="K2694" s="1" t="str">
        <f t="shared" si="4"/>
        <v>Tus Lentes estan LISTAS PARA ENTREGAR, te esperamos.</v>
      </c>
    </row>
    <row r="2695">
      <c r="A2695" s="1">
        <f>IFERROR(__xludf.DUMMYFUNCTION("""COMPUTED_VALUE"""),87242.0)</f>
        <v>87242</v>
      </c>
      <c r="B2695" s="5">
        <f>IFERROR(__xludf.DUMMYFUNCTION("""COMPUTED_VALUE"""),44987.484910810184)</f>
        <v>44987.48491</v>
      </c>
      <c r="C2695" s="1" t="str">
        <f>IFERROR(__xludf.DUMMYFUNCTION("""COMPUTED_VALUE"""),"GODOY CIPRIANO")</f>
        <v>GODOY CIPRIANO</v>
      </c>
      <c r="D2695" s="1" t="str">
        <f>IFERROR(__xludf.DUMMYFUNCTION("""COMPUTED_VALUE"""),"Lentes de STOCK")</f>
        <v>Lentes de STOCK</v>
      </c>
      <c r="E2695" s="1" t="str">
        <f>IFERROR(__xludf.DUMMYFUNCTION("""COMPUTED_VALUE"""),"ARTIGAS Ivana P.")</f>
        <v>ARTIGAS Ivana P.</v>
      </c>
      <c r="F2695" s="1" t="str">
        <f t="shared" si="1"/>
        <v>ARTIGAS </v>
      </c>
      <c r="G2695" s="1" t="str">
        <f t="shared" si="2"/>
        <v>Ivana P.</v>
      </c>
      <c r="H2695" s="1" t="str">
        <f>IFERROR(__xludf.DUMMYFUNCTION("""COMPUTED_VALUE"""),"4/3/2023, 17:00:00")</f>
        <v>4/3/2023, 17:00:00</v>
      </c>
      <c r="I2695" s="1" t="str">
        <f>IFERROR(__xludf.DUMMYFUNCTION("""COMPUTED_VALUE"""),"Completado en SUCURSAL")</f>
        <v>Completado en SUCURSAL</v>
      </c>
      <c r="J2695" s="1">
        <f t="shared" si="3"/>
        <v>5</v>
      </c>
      <c r="K2695" s="1" t="str">
        <f t="shared" si="4"/>
        <v>Tus Lentes estan LISTAS PARA ENTREGAR, te esperamos.</v>
      </c>
    </row>
    <row r="2696">
      <c r="A2696" s="1">
        <f>IFERROR(__xludf.DUMMYFUNCTION("""COMPUTED_VALUE"""),87243.0)</f>
        <v>87243</v>
      </c>
      <c r="B2696" s="5">
        <f>IFERROR(__xludf.DUMMYFUNCTION("""COMPUTED_VALUE"""),44987.488307638894)</f>
        <v>44987.48831</v>
      </c>
      <c r="C2696" s="1" t="str">
        <f>IFERROR(__xludf.DUMMYFUNCTION("""COMPUTED_VALUE"""),"BENITEZ ANTONIA")</f>
        <v>BENITEZ ANTONIA</v>
      </c>
      <c r="D2696" s="1" t="str">
        <f>IFERROR(__xludf.DUMMYFUNCTION("""COMPUTED_VALUE"""),"Reparaciones/Otros")</f>
        <v>Reparaciones/Otros</v>
      </c>
      <c r="E2696" s="1" t="str">
        <f>IFERROR(__xludf.DUMMYFUNCTION("""COMPUTED_VALUE"""),"RIVADAVIA Luciana")</f>
        <v>RIVADAVIA Luciana</v>
      </c>
      <c r="F2696" s="1" t="str">
        <f t="shared" si="1"/>
        <v>RIVADAVIA </v>
      </c>
      <c r="G2696" s="1" t="str">
        <f t="shared" si="2"/>
        <v>Luciana</v>
      </c>
      <c r="H2696" s="1" t="str">
        <f>IFERROR(__xludf.DUMMYFUNCTION("""COMPUTED_VALUE"""),"3/3/2023, 17:00:00")</f>
        <v>3/3/2023, 17:00:00</v>
      </c>
      <c r="I2696" s="1" t="str">
        <f>IFERROR(__xludf.DUMMYFUNCTION("""COMPUTED_VALUE"""),"Completado en SUCURSAL")</f>
        <v>Completado en SUCURSAL</v>
      </c>
      <c r="J2696" s="1">
        <f t="shared" si="3"/>
        <v>5</v>
      </c>
      <c r="K2696" s="1" t="str">
        <f t="shared" si="4"/>
        <v>Tus Lentes estan LISTAS PARA ENTREGAR, te esperamos.</v>
      </c>
    </row>
    <row r="2697">
      <c r="A2697" s="1">
        <f>IFERROR(__xludf.DUMMYFUNCTION("""COMPUTED_VALUE"""),87244.0)</f>
        <v>87244</v>
      </c>
      <c r="B2697" s="5">
        <f>IFERROR(__xludf.DUMMYFUNCTION("""COMPUTED_VALUE"""),44987.48961704861)</f>
        <v>44987.48962</v>
      </c>
      <c r="C2697" s="1" t="str">
        <f>IFERROR(__xludf.DUMMYFUNCTION("""COMPUTED_VALUE"""),"DELGADO ANA MARIA")</f>
        <v>DELGADO ANA MARIA</v>
      </c>
      <c r="D2697" s="1" t="str">
        <f>IFERROR(__xludf.DUMMYFUNCTION("""COMPUTED_VALUE"""),"Lentes de STOCK")</f>
        <v>Lentes de STOCK</v>
      </c>
      <c r="E2697" s="1" t="str">
        <f>IFERROR(__xludf.DUMMYFUNCTION("""COMPUTED_VALUE"""),"RIVADAVIA Marcela L")</f>
        <v>RIVADAVIA Marcela L</v>
      </c>
      <c r="F2697" s="1" t="str">
        <f t="shared" si="1"/>
        <v>RIVADAVIA </v>
      </c>
      <c r="G2697" s="1" t="str">
        <f t="shared" si="2"/>
        <v>Marcela L</v>
      </c>
      <c r="H2697" s="1" t="str">
        <f>IFERROR(__xludf.DUMMYFUNCTION("""COMPUTED_VALUE"""),"6/3/2023, 17:00:00")</f>
        <v>6/3/2023, 17:00:00</v>
      </c>
      <c r="I2697" s="1" t="str">
        <f>IFERROR(__xludf.DUMMYFUNCTION("""COMPUTED_VALUE"""),"Completado en SUCURSAL")</f>
        <v>Completado en SUCURSAL</v>
      </c>
      <c r="J2697" s="1">
        <f t="shared" si="3"/>
        <v>5</v>
      </c>
      <c r="K2697" s="1" t="str">
        <f t="shared" si="4"/>
        <v>Tus Lentes estan LISTAS PARA ENTREGAR, te esperamos.</v>
      </c>
    </row>
    <row r="2698">
      <c r="A2698" s="1">
        <f>IFERROR(__xludf.DUMMYFUNCTION("""COMPUTED_VALUE"""),87245.0)</f>
        <v>87245</v>
      </c>
      <c r="B2698" s="5">
        <f>IFERROR(__xludf.DUMMYFUNCTION("""COMPUTED_VALUE"""),44987.49125689815)</f>
        <v>44987.49126</v>
      </c>
      <c r="C2698" s="1" t="str">
        <f>IFERROR(__xludf.DUMMYFUNCTION("""COMPUTED_VALUE"""),"VALENZUELA ADRIANA EDITH")</f>
        <v>VALENZUELA ADRIANA EDITH</v>
      </c>
      <c r="D2698" s="1" t="str">
        <f>IFERROR(__xludf.DUMMYFUNCTION("""COMPUTED_VALUE"""),"Lentes de STOCK")</f>
        <v>Lentes de STOCK</v>
      </c>
      <c r="E2698" s="1" t="str">
        <f>IFERROR(__xludf.DUMMYFUNCTION("""COMPUTED_VALUE"""),"RIVADAVIA Rocio B")</f>
        <v>RIVADAVIA Rocio B</v>
      </c>
      <c r="F2698" s="1" t="str">
        <f t="shared" si="1"/>
        <v>RIVADAVIA </v>
      </c>
      <c r="G2698" s="1" t="str">
        <f t="shared" si="2"/>
        <v>Rocio B</v>
      </c>
      <c r="H2698" s="1" t="str">
        <f>IFERROR(__xludf.DUMMYFUNCTION("""COMPUTED_VALUE"""),"10/3/2023, 17:00:00")</f>
        <v>10/3/2023, 17:00:00</v>
      </c>
      <c r="I2698" s="1" t="str">
        <f>IFERROR(__xludf.DUMMYFUNCTION("""COMPUTED_VALUE"""),"Recibido en Laboratorio")</f>
        <v>Recibido en Laboratorio</v>
      </c>
      <c r="J2698" s="1">
        <f t="shared" si="3"/>
        <v>2</v>
      </c>
      <c r="K2698" s="1" t="str">
        <f t="shared" si="4"/>
        <v>Nuestro Laboratorio esta trabajando en tus lentes, los entregaremos en la fecha acordada.</v>
      </c>
    </row>
    <row r="2699">
      <c r="A2699" s="1">
        <f>IFERROR(__xludf.DUMMYFUNCTION("""COMPUTED_VALUE"""),87246.0)</f>
        <v>87246</v>
      </c>
      <c r="B2699" s="5">
        <f>IFERROR(__xludf.DUMMYFUNCTION("""COMPUTED_VALUE"""),44987.49546107639)</f>
        <v>44987.49546</v>
      </c>
      <c r="C2699" s="1" t="str">
        <f>IFERROR(__xludf.DUMMYFUNCTION("""COMPUTED_VALUE"""),"VARAS ROSARIO ")</f>
        <v>VARAS ROSARIO </v>
      </c>
      <c r="D2699" s="1" t="str">
        <f>IFERROR(__xludf.DUMMYFUNCTION("""COMPUTED_VALUE"""),"Lentes de STOCK")</f>
        <v>Lentes de STOCK</v>
      </c>
      <c r="E2699" s="1" t="str">
        <f>IFERROR(__xludf.DUMMYFUNCTION("""COMPUTED_VALUE"""),"RIVADAVIA Marcela L")</f>
        <v>RIVADAVIA Marcela L</v>
      </c>
      <c r="F2699" s="1" t="str">
        <f t="shared" si="1"/>
        <v>RIVADAVIA </v>
      </c>
      <c r="G2699" s="1" t="str">
        <f t="shared" si="2"/>
        <v>Marcela L</v>
      </c>
      <c r="H2699" s="1" t="str">
        <f>IFERROR(__xludf.DUMMYFUNCTION("""COMPUTED_VALUE"""),"6/3/2023, 17:00:00")</f>
        <v>6/3/2023, 17:00:00</v>
      </c>
      <c r="I2699" s="1" t="str">
        <f>IFERROR(__xludf.DUMMYFUNCTION("""COMPUTED_VALUE"""),"Completado en SUCURSAL")</f>
        <v>Completado en SUCURSAL</v>
      </c>
      <c r="J2699" s="1">
        <f t="shared" si="3"/>
        <v>5</v>
      </c>
      <c r="K2699" s="1" t="str">
        <f t="shared" si="4"/>
        <v>Tus Lentes estan LISTAS PARA ENTREGAR, te esperamos.</v>
      </c>
    </row>
    <row r="2700">
      <c r="A2700" s="1">
        <f>IFERROR(__xludf.DUMMYFUNCTION("""COMPUTED_VALUE"""),87247.0)</f>
        <v>87247</v>
      </c>
      <c r="B2700" s="5">
        <f>IFERROR(__xludf.DUMMYFUNCTION("""COMPUTED_VALUE"""),44987.49720525463)</f>
        <v>44987.49721</v>
      </c>
      <c r="C2700" s="1" t="str">
        <f>IFERROR(__xludf.DUMMYFUNCTION("""COMPUTED_VALUE"""),"cuello flavia")</f>
        <v>cuello flavia</v>
      </c>
      <c r="D2700" s="1" t="str">
        <f>IFERROR(__xludf.DUMMYFUNCTION("""COMPUTED_VALUE"""),"Lentes MULTIFOCALES")</f>
        <v>Lentes MULTIFOCALES</v>
      </c>
      <c r="E2700" s="1" t="str">
        <f>IFERROR(__xludf.DUMMYFUNCTION("""COMPUTED_VALUE"""),"RIVADAVIA Santiago N")</f>
        <v>RIVADAVIA Santiago N</v>
      </c>
      <c r="F2700" s="1" t="str">
        <f t="shared" si="1"/>
        <v>RIVADAVIA </v>
      </c>
      <c r="G2700" s="1" t="str">
        <f t="shared" si="2"/>
        <v>Santiago N</v>
      </c>
      <c r="H2700" s="1" t="str">
        <f>IFERROR(__xludf.DUMMYFUNCTION("""COMPUTED_VALUE"""),"15/3/2023, 17:00:00")</f>
        <v>15/3/2023, 17:00:00</v>
      </c>
      <c r="I2700" s="1" t="str">
        <f>IFERROR(__xludf.DUMMYFUNCTION("""COMPUTED_VALUE"""),"Completado en SUCURSAL")</f>
        <v>Completado en SUCURSAL</v>
      </c>
      <c r="J2700" s="1">
        <f t="shared" si="3"/>
        <v>5</v>
      </c>
      <c r="K2700" s="1" t="str">
        <f t="shared" si="4"/>
        <v>Tus Lentes estan LISTAS PARA ENTREGAR, te esperamos.</v>
      </c>
    </row>
    <row r="2701">
      <c r="A2701" s="1">
        <f>IFERROR(__xludf.DUMMYFUNCTION("""COMPUTED_VALUE"""),87248.0)</f>
        <v>87248</v>
      </c>
      <c r="B2701" s="5">
        <f>IFERROR(__xludf.DUMMYFUNCTION("""COMPUTED_VALUE"""),44987.499589768515)</f>
        <v>44987.49959</v>
      </c>
      <c r="C2701" s="1" t="str">
        <f>IFERROR(__xludf.DUMMYFUNCTION("""COMPUTED_VALUE"""),"BALLARINO NICOLLE")</f>
        <v>BALLARINO NICOLLE</v>
      </c>
      <c r="D2701" s="1" t="str">
        <f>IFERROR(__xludf.DUMMYFUNCTION("""COMPUTED_VALUE"""),"Lentes de STOCK")</f>
        <v>Lentes de STOCK</v>
      </c>
      <c r="E2701" s="1" t="str">
        <f>IFERROR(__xludf.DUMMYFUNCTION("""COMPUTED_VALUE"""),"ARTIGAS Ivana P.")</f>
        <v>ARTIGAS Ivana P.</v>
      </c>
      <c r="F2701" s="1" t="str">
        <f t="shared" si="1"/>
        <v>ARTIGAS </v>
      </c>
      <c r="G2701" s="1" t="str">
        <f t="shared" si="2"/>
        <v>Ivana P.</v>
      </c>
      <c r="H2701" s="1" t="str">
        <f>IFERROR(__xludf.DUMMYFUNCTION("""COMPUTED_VALUE"""),"7/3/2023, 17:00:00")</f>
        <v>7/3/2023, 17:00:00</v>
      </c>
      <c r="I2701" s="1" t="str">
        <f>IFERROR(__xludf.DUMMYFUNCTION("""COMPUTED_VALUE"""),"Completado en SUCURSAL")</f>
        <v>Completado en SUCURSAL</v>
      </c>
      <c r="J2701" s="1">
        <f t="shared" si="3"/>
        <v>5</v>
      </c>
      <c r="K2701" s="1" t="str">
        <f t="shared" si="4"/>
        <v>Tus Lentes estan LISTAS PARA ENTREGAR, te esperamos.</v>
      </c>
    </row>
    <row r="2702">
      <c r="A2702" s="1">
        <f>IFERROR(__xludf.DUMMYFUNCTION("""COMPUTED_VALUE"""),87249.0)</f>
        <v>87249</v>
      </c>
      <c r="B2702" s="5">
        <f>IFERROR(__xludf.DUMMYFUNCTION("""COMPUTED_VALUE"""),44987.5002675463)</f>
        <v>44987.50027</v>
      </c>
      <c r="C2702" s="1" t="str">
        <f>IFERROR(__xludf.DUMMYFUNCTION("""COMPUTED_VALUE"""),"rosita collado")</f>
        <v>rosita collado</v>
      </c>
      <c r="D2702" s="1" t="str">
        <f>IFERROR(__xludf.DUMMYFUNCTION("""COMPUTED_VALUE"""),"Reparaciones/Otros")</f>
        <v>Reparaciones/Otros</v>
      </c>
      <c r="E2702" s="1" t="str">
        <f>IFERROR(__xludf.DUMMYFUNCTION("""COMPUTED_VALUE"""),"RIVADAVIA Daniel CM")</f>
        <v>RIVADAVIA Daniel CM</v>
      </c>
      <c r="F2702" s="1" t="str">
        <f t="shared" si="1"/>
        <v>RIVADAVIA </v>
      </c>
      <c r="G2702" s="1" t="str">
        <f t="shared" si="2"/>
        <v>Daniel CM</v>
      </c>
      <c r="H2702" s="1" t="str">
        <f>IFERROR(__xludf.DUMMYFUNCTION("""COMPUTED_VALUE"""),"3/3/2023, 17:00:00")</f>
        <v>3/3/2023, 17:00:00</v>
      </c>
      <c r="I2702" s="1" t="str">
        <f>IFERROR(__xludf.DUMMYFUNCTION("""COMPUTED_VALUE"""),"Recibido en Laboratorio")</f>
        <v>Recibido en Laboratorio</v>
      </c>
      <c r="J2702" s="1">
        <f t="shared" si="3"/>
        <v>2</v>
      </c>
      <c r="K2702" s="1" t="str">
        <f t="shared" si="4"/>
        <v>Nuestro Laboratorio esta trabajando en tus lentes, los entregaremos en la fecha acordada.</v>
      </c>
    </row>
    <row r="2703">
      <c r="A2703" s="1">
        <f>IFERROR(__xludf.DUMMYFUNCTION("""COMPUTED_VALUE"""),87250.0)</f>
        <v>87250</v>
      </c>
      <c r="B2703" s="5">
        <f>IFERROR(__xludf.DUMMYFUNCTION("""COMPUTED_VALUE"""),44987.50332127315)</f>
        <v>44987.50332</v>
      </c>
      <c r="C2703" s="1" t="str">
        <f>IFERROR(__xludf.DUMMYFUNCTION("""COMPUTED_VALUE"""),"MOREIRA NILDA")</f>
        <v>MOREIRA NILDA</v>
      </c>
      <c r="D2703" s="1" t="str">
        <f>IFERROR(__xludf.DUMMYFUNCTION("""COMPUTED_VALUE"""),"Lentes de STOCK")</f>
        <v>Lentes de STOCK</v>
      </c>
      <c r="E2703" s="1" t="str">
        <f>IFERROR(__xludf.DUMMYFUNCTION("""COMPUTED_VALUE"""),"ARTIGAS Cristian C.")</f>
        <v>ARTIGAS Cristian C.</v>
      </c>
      <c r="F2703" s="1" t="str">
        <f t="shared" si="1"/>
        <v>ARTIGAS </v>
      </c>
      <c r="G2703" s="1" t="str">
        <f t="shared" si="2"/>
        <v>Cristian C.</v>
      </c>
      <c r="H2703" s="1" t="str">
        <f>IFERROR(__xludf.DUMMYFUNCTION("""COMPUTED_VALUE"""),"9/3/2023, 17:00:00")</f>
        <v>9/3/2023, 17:00:00</v>
      </c>
      <c r="I2703" s="1" t="str">
        <f>IFERROR(__xludf.DUMMYFUNCTION("""COMPUTED_VALUE"""),"Recibido en Laboratorio")</f>
        <v>Recibido en Laboratorio</v>
      </c>
      <c r="J2703" s="1">
        <f t="shared" si="3"/>
        <v>2</v>
      </c>
      <c r="K2703" s="1" t="str">
        <f t="shared" si="4"/>
        <v>Nuestro Laboratorio esta trabajando en tus lentes, los entregaremos en la fecha acordada.</v>
      </c>
    </row>
    <row r="2704">
      <c r="A2704" s="1">
        <f>IFERROR(__xludf.DUMMYFUNCTION("""COMPUTED_VALUE"""),87251.0)</f>
        <v>87251</v>
      </c>
      <c r="B2704" s="5">
        <f>IFERROR(__xludf.DUMMYFUNCTION("""COMPUTED_VALUE"""),44987.50721591435)</f>
        <v>44987.50722</v>
      </c>
      <c r="C2704" s="1" t="str">
        <f>IFERROR(__xludf.DUMMYFUNCTION("""COMPUTED_VALUE"""),"BALLARIO BRUNELLA")</f>
        <v>BALLARIO BRUNELLA</v>
      </c>
      <c r="D2704" s="1" t="str">
        <f>IFERROR(__xludf.DUMMYFUNCTION("""COMPUTED_VALUE"""),"Lentes de STOCK")</f>
        <v>Lentes de STOCK</v>
      </c>
      <c r="E2704" s="1" t="str">
        <f>IFERROR(__xludf.DUMMYFUNCTION("""COMPUTED_VALUE"""),"ARTIGAS Ivana P.")</f>
        <v>ARTIGAS Ivana P.</v>
      </c>
      <c r="F2704" s="1" t="str">
        <f t="shared" si="1"/>
        <v>ARTIGAS </v>
      </c>
      <c r="G2704" s="1" t="str">
        <f t="shared" si="2"/>
        <v>Ivana P.</v>
      </c>
      <c r="H2704" s="1" t="str">
        <f>IFERROR(__xludf.DUMMYFUNCTION("""COMPUTED_VALUE"""),"7/3/2023, 17:00:00")</f>
        <v>7/3/2023, 17:00:00</v>
      </c>
      <c r="I2704" s="1" t="str">
        <f>IFERROR(__xludf.DUMMYFUNCTION("""COMPUTED_VALUE"""),"Recibido en Laboratorio")</f>
        <v>Recibido en Laboratorio</v>
      </c>
      <c r="J2704" s="1">
        <f t="shared" si="3"/>
        <v>2</v>
      </c>
      <c r="K2704" s="1" t="str">
        <f t="shared" si="4"/>
        <v>Nuestro Laboratorio esta trabajando en tus lentes, los entregaremos en la fecha acordada.</v>
      </c>
    </row>
    <row r="2705">
      <c r="A2705" s="1">
        <f>IFERROR(__xludf.DUMMYFUNCTION("""COMPUTED_VALUE"""),87252.0)</f>
        <v>87252</v>
      </c>
      <c r="B2705" s="5">
        <f>IFERROR(__xludf.DUMMYFUNCTION("""COMPUTED_VALUE"""),44987.50857131944)</f>
        <v>44987.50857</v>
      </c>
      <c r="C2705" s="1" t="str">
        <f>IFERROR(__xludf.DUMMYFUNCTION("""COMPUTED_VALUE"""),"Farias Daniel")</f>
        <v>Farias Daniel</v>
      </c>
      <c r="D2705" s="1" t="str">
        <f>IFERROR(__xludf.DUMMYFUNCTION("""COMPUTED_VALUE"""),"Lentes MULTIFOCALES")</f>
        <v>Lentes MULTIFOCALES</v>
      </c>
      <c r="E2705" s="1" t="str">
        <f>IFERROR(__xludf.DUMMYFUNCTION("""COMPUTED_VALUE"""),"RIVADAVIA Rocio B")</f>
        <v>RIVADAVIA Rocio B</v>
      </c>
      <c r="F2705" s="1" t="str">
        <f t="shared" si="1"/>
        <v>RIVADAVIA </v>
      </c>
      <c r="G2705" s="1" t="str">
        <f t="shared" si="2"/>
        <v>Rocio B</v>
      </c>
      <c r="H2705" s="1" t="str">
        <f>IFERROR(__xludf.DUMMYFUNCTION("""COMPUTED_VALUE"""),"16/3/2023, 17:00:00")</f>
        <v>16/3/2023, 17:00:00</v>
      </c>
      <c r="I2705" s="1" t="str">
        <f>IFERROR(__xludf.DUMMYFUNCTION("""COMPUTED_VALUE"""),"Recibido en Laboratorio")</f>
        <v>Recibido en Laboratorio</v>
      </c>
      <c r="J2705" s="1">
        <f t="shared" si="3"/>
        <v>2</v>
      </c>
      <c r="K2705" s="1" t="str">
        <f t="shared" si="4"/>
        <v>Nuestro Laboratorio esta trabajando en tus lentes, los entregaremos en la fecha acordada.</v>
      </c>
    </row>
    <row r="2706">
      <c r="A2706" s="1">
        <f>IFERROR(__xludf.DUMMYFUNCTION("""COMPUTED_VALUE"""),87253.0)</f>
        <v>87253</v>
      </c>
      <c r="B2706" s="5">
        <f>IFERROR(__xludf.DUMMYFUNCTION("""COMPUTED_VALUE"""),44987.51182627315)</f>
        <v>44987.51183</v>
      </c>
      <c r="C2706" s="1" t="str">
        <f>IFERROR(__xludf.DUMMYFUNCTION("""COMPUTED_VALUE"""),"BORDON DORA BEATRIZ")</f>
        <v>BORDON DORA BEATRIZ</v>
      </c>
      <c r="D2706" s="1" t="str">
        <f>IFERROR(__xludf.DUMMYFUNCTION("""COMPUTED_VALUE"""),"Lentes de STOCK")</f>
        <v>Lentes de STOCK</v>
      </c>
      <c r="E2706" s="1" t="str">
        <f>IFERROR(__xludf.DUMMYFUNCTION("""COMPUTED_VALUE"""),"ARTIGAS Cristian C.")</f>
        <v>ARTIGAS Cristian C.</v>
      </c>
      <c r="F2706" s="1" t="str">
        <f t="shared" si="1"/>
        <v>ARTIGAS </v>
      </c>
      <c r="G2706" s="1" t="str">
        <f t="shared" si="2"/>
        <v>Cristian C.</v>
      </c>
      <c r="H2706" s="1" t="str">
        <f>IFERROR(__xludf.DUMMYFUNCTION("""COMPUTED_VALUE"""),"9/3/2023, 17:00:00")</f>
        <v>9/3/2023, 17:00:00</v>
      </c>
      <c r="I2706" s="1" t="str">
        <f>IFERROR(__xludf.DUMMYFUNCTION("""COMPUTED_VALUE"""),"Completado en SUCURSAL")</f>
        <v>Completado en SUCURSAL</v>
      </c>
      <c r="J2706" s="1">
        <f t="shared" si="3"/>
        <v>5</v>
      </c>
      <c r="K2706" s="1" t="str">
        <f t="shared" si="4"/>
        <v>Tus Lentes estan LISTAS PARA ENTREGAR, te esperamos.</v>
      </c>
    </row>
    <row r="2707">
      <c r="A2707" s="1">
        <f>IFERROR(__xludf.DUMMYFUNCTION("""COMPUTED_VALUE"""),87254.0)</f>
        <v>87254</v>
      </c>
      <c r="B2707" s="5">
        <f>IFERROR(__xludf.DUMMYFUNCTION("""COMPUTED_VALUE"""),44987.5133575)</f>
        <v>44987.51336</v>
      </c>
      <c r="C2707" s="1" t="str">
        <f>IFERROR(__xludf.DUMMYFUNCTION("""COMPUTED_VALUE"""),"REINA MMARIA MERCEDES")</f>
        <v>REINA MMARIA MERCEDES</v>
      </c>
      <c r="D2707" s="1" t="str">
        <f>IFERROR(__xludf.DUMMYFUNCTION("""COMPUTED_VALUE"""),"Lentes de STOCK")</f>
        <v>Lentes de STOCK</v>
      </c>
      <c r="E2707" s="1" t="str">
        <f>IFERROR(__xludf.DUMMYFUNCTION("""COMPUTED_VALUE"""),"RIVADAVIA Marcela L")</f>
        <v>RIVADAVIA Marcela L</v>
      </c>
      <c r="F2707" s="1" t="str">
        <f t="shared" si="1"/>
        <v>RIVADAVIA </v>
      </c>
      <c r="G2707" s="1" t="str">
        <f t="shared" si="2"/>
        <v>Marcela L</v>
      </c>
      <c r="H2707" s="1" t="str">
        <f>IFERROR(__xludf.DUMMYFUNCTION("""COMPUTED_VALUE"""),"7/3/2023, 17:00:00")</f>
        <v>7/3/2023, 17:00:00</v>
      </c>
      <c r="I2707" s="1" t="str">
        <f>IFERROR(__xludf.DUMMYFUNCTION("""COMPUTED_VALUE"""),"Completado en SUCURSAL")</f>
        <v>Completado en SUCURSAL</v>
      </c>
      <c r="J2707" s="1">
        <f t="shared" si="3"/>
        <v>5</v>
      </c>
      <c r="K2707" s="1" t="str">
        <f t="shared" si="4"/>
        <v>Tus Lentes estan LISTAS PARA ENTREGAR, te esperamos.</v>
      </c>
    </row>
    <row r="2708">
      <c r="A2708" s="1">
        <f>IFERROR(__xludf.DUMMYFUNCTION("""COMPUTED_VALUE"""),87255.0)</f>
        <v>87255</v>
      </c>
      <c r="B2708" s="5">
        <f>IFERROR(__xludf.DUMMYFUNCTION("""COMPUTED_VALUE"""),44987.51871225695)</f>
        <v>44987.51871</v>
      </c>
      <c r="C2708" s="1" t="str">
        <f>IFERROR(__xludf.DUMMYFUNCTION("""COMPUTED_VALUE"""),"LUCERO CESAR")</f>
        <v>LUCERO CESAR</v>
      </c>
      <c r="D2708" s="1" t="str">
        <f>IFERROR(__xludf.DUMMYFUNCTION("""COMPUTED_VALUE"""),"Lentes de STOCK")</f>
        <v>Lentes de STOCK</v>
      </c>
      <c r="E2708" s="1" t="str">
        <f>IFERROR(__xludf.DUMMYFUNCTION("""COMPUTED_VALUE"""),"ARTIGAS Cristian C.")</f>
        <v>ARTIGAS Cristian C.</v>
      </c>
      <c r="F2708" s="1" t="str">
        <f t="shared" si="1"/>
        <v>ARTIGAS </v>
      </c>
      <c r="G2708" s="1" t="str">
        <f t="shared" si="2"/>
        <v>Cristian C.</v>
      </c>
      <c r="H2708" s="1" t="str">
        <f>IFERROR(__xludf.DUMMYFUNCTION("""COMPUTED_VALUE"""),"7/3/2023, 17:00:00")</f>
        <v>7/3/2023, 17:00:00</v>
      </c>
      <c r="I2708" s="1" t="str">
        <f>IFERROR(__xludf.DUMMYFUNCTION("""COMPUTED_VALUE"""),"Completado en SUCURSAL")</f>
        <v>Completado en SUCURSAL</v>
      </c>
      <c r="J2708" s="1">
        <f t="shared" si="3"/>
        <v>5</v>
      </c>
      <c r="K2708" s="1" t="str">
        <f t="shared" si="4"/>
        <v>Tus Lentes estan LISTAS PARA ENTREGAR, te esperamos.</v>
      </c>
    </row>
    <row r="2709">
      <c r="A2709" s="1">
        <f>IFERROR(__xludf.DUMMYFUNCTION("""COMPUTED_VALUE"""),87256.0)</f>
        <v>87256</v>
      </c>
      <c r="B2709" s="5">
        <f>IFERROR(__xludf.DUMMYFUNCTION("""COMPUTED_VALUE"""),44987.51935761574)</f>
        <v>44987.51936</v>
      </c>
      <c r="C2709" s="1" t="str">
        <f>IFERROR(__xludf.DUMMYFUNCTION("""COMPUTED_VALUE"""),"SALA MARCOS")</f>
        <v>SALA MARCOS</v>
      </c>
      <c r="D2709" s="1" t="str">
        <f>IFERROR(__xludf.DUMMYFUNCTION("""COMPUTED_VALUE"""),"Lentes de STOCK")</f>
        <v>Lentes de STOCK</v>
      </c>
      <c r="E2709" s="1" t="str">
        <f>IFERROR(__xludf.DUMMYFUNCTION("""COMPUTED_VALUE"""),"ARTIGAS Ivana P.")</f>
        <v>ARTIGAS Ivana P.</v>
      </c>
      <c r="F2709" s="1" t="str">
        <f t="shared" si="1"/>
        <v>ARTIGAS </v>
      </c>
      <c r="G2709" s="1" t="str">
        <f t="shared" si="2"/>
        <v>Ivana P.</v>
      </c>
      <c r="H2709" s="1" t="str">
        <f>IFERROR(__xludf.DUMMYFUNCTION("""COMPUTED_VALUE"""),"8/3/2023, 17:00:00")</f>
        <v>8/3/2023, 17:00:00</v>
      </c>
      <c r="I2709" s="1" t="str">
        <f>IFERROR(__xludf.DUMMYFUNCTION("""COMPUTED_VALUE"""),"Completado en SUCURSAL")</f>
        <v>Completado en SUCURSAL</v>
      </c>
      <c r="J2709" s="1">
        <f t="shared" si="3"/>
        <v>5</v>
      </c>
      <c r="K2709" s="1" t="str">
        <f t="shared" si="4"/>
        <v>Tus Lentes estan LISTAS PARA ENTREGAR, te esperamos.</v>
      </c>
    </row>
    <row r="2710">
      <c r="A2710" s="1">
        <f>IFERROR(__xludf.DUMMYFUNCTION("""COMPUTED_VALUE"""),87257.0)</f>
        <v>87257</v>
      </c>
      <c r="B2710" s="5">
        <f>IFERROR(__xludf.DUMMYFUNCTION("""COMPUTED_VALUE"""),44987.5202799074)</f>
        <v>44987.52028</v>
      </c>
      <c r="C2710" s="1" t="str">
        <f>IFERROR(__xludf.DUMMYFUNCTION("""COMPUTED_VALUE"""),"romero gladys")</f>
        <v>romero gladys</v>
      </c>
      <c r="D2710" s="1" t="str">
        <f>IFERROR(__xludf.DUMMYFUNCTION("""COMPUTED_VALUE"""),"Reparaciones/Otros")</f>
        <v>Reparaciones/Otros</v>
      </c>
      <c r="E2710" s="1" t="str">
        <f>IFERROR(__xludf.DUMMYFUNCTION("""COMPUTED_VALUE"""),"RIVADAVIA Daniel CM")</f>
        <v>RIVADAVIA Daniel CM</v>
      </c>
      <c r="F2710" s="1" t="str">
        <f t="shared" si="1"/>
        <v>RIVADAVIA </v>
      </c>
      <c r="G2710" s="1" t="str">
        <f t="shared" si="2"/>
        <v>Daniel CM</v>
      </c>
      <c r="H2710" s="1" t="str">
        <f>IFERROR(__xludf.DUMMYFUNCTION("""COMPUTED_VALUE"""),"3/3/2023, 17:00:00")</f>
        <v>3/3/2023, 17:00:00</v>
      </c>
      <c r="I2710" s="1" t="str">
        <f>IFERROR(__xludf.DUMMYFUNCTION("""COMPUTED_VALUE"""),"Recibido en Laboratorio")</f>
        <v>Recibido en Laboratorio</v>
      </c>
      <c r="J2710" s="1">
        <f t="shared" si="3"/>
        <v>2</v>
      </c>
      <c r="K2710" s="1" t="str">
        <f t="shared" si="4"/>
        <v>Nuestro Laboratorio esta trabajando en tus lentes, los entregaremos en la fecha acordada.</v>
      </c>
    </row>
    <row r="2711">
      <c r="A2711" s="1">
        <f>IFERROR(__xludf.DUMMYFUNCTION("""COMPUTED_VALUE"""),87258.0)</f>
        <v>87258</v>
      </c>
      <c r="B2711" s="5">
        <f>IFERROR(__xludf.DUMMYFUNCTION("""COMPUTED_VALUE"""),44987.52325982639)</f>
        <v>44987.52326</v>
      </c>
      <c r="C2711" s="1" t="str">
        <f>IFERROR(__xludf.DUMMYFUNCTION("""COMPUTED_VALUE"""),"garcia roxana")</f>
        <v>garcia roxana</v>
      </c>
      <c r="D2711" s="1" t="str">
        <f>IFERROR(__xludf.DUMMYFUNCTION("""COMPUTED_VALUE"""),"Lentes MULTIFOCALES")</f>
        <v>Lentes MULTIFOCALES</v>
      </c>
      <c r="E2711" s="1" t="str">
        <f>IFERROR(__xludf.DUMMYFUNCTION("""COMPUTED_VALUE"""),"RIVADAVIA Santiago N")</f>
        <v>RIVADAVIA Santiago N</v>
      </c>
      <c r="F2711" s="1" t="str">
        <f t="shared" si="1"/>
        <v>RIVADAVIA </v>
      </c>
      <c r="G2711" s="1" t="str">
        <f t="shared" si="2"/>
        <v>Santiago N</v>
      </c>
      <c r="H2711" s="1" t="str">
        <f>IFERROR(__xludf.DUMMYFUNCTION("""COMPUTED_VALUE"""),"15/3/2023, 17:00:00")</f>
        <v>15/3/2023, 17:00:00</v>
      </c>
      <c r="I2711" s="1" t="str">
        <f>IFERROR(__xludf.DUMMYFUNCTION("""COMPUTED_VALUE"""),"Completado en SUCURSAL")</f>
        <v>Completado en SUCURSAL</v>
      </c>
      <c r="J2711" s="1">
        <f t="shared" si="3"/>
        <v>5</v>
      </c>
      <c r="K2711" s="1" t="str">
        <f t="shared" si="4"/>
        <v>Tus Lentes estan LISTAS PARA ENTREGAR, te esperamos.</v>
      </c>
    </row>
    <row r="2712">
      <c r="A2712" s="1">
        <f>IFERROR(__xludf.DUMMYFUNCTION("""COMPUTED_VALUE"""),87259.0)</f>
        <v>87259</v>
      </c>
      <c r="B2712" s="5">
        <f>IFERROR(__xludf.DUMMYFUNCTION("""COMPUTED_VALUE"""),44987.52416752315)</f>
        <v>44987.52417</v>
      </c>
      <c r="C2712" s="1" t="str">
        <f>IFERROR(__xludf.DUMMYFUNCTION("""COMPUTED_VALUE"""),"Albarez Maria Tomasa")</f>
        <v>Albarez Maria Tomasa</v>
      </c>
      <c r="D2712" s="1" t="str">
        <f>IFERROR(__xludf.DUMMYFUNCTION("""COMPUTED_VALUE"""),"Lentes de STOCK")</f>
        <v>Lentes de STOCK</v>
      </c>
      <c r="E2712" s="1" t="str">
        <f>IFERROR(__xludf.DUMMYFUNCTION("""COMPUTED_VALUE"""),"RIVADAVIA Rocio B")</f>
        <v>RIVADAVIA Rocio B</v>
      </c>
      <c r="F2712" s="1" t="str">
        <f t="shared" si="1"/>
        <v>RIVADAVIA </v>
      </c>
      <c r="G2712" s="1" t="str">
        <f t="shared" si="2"/>
        <v>Rocio B</v>
      </c>
      <c r="H2712" s="1" t="str">
        <f>IFERROR(__xludf.DUMMYFUNCTION("""COMPUTED_VALUE"""),"6/3/2023, 17:00:00")</f>
        <v>6/3/2023, 17:00:00</v>
      </c>
      <c r="I2712" s="1" t="str">
        <f>IFERROR(__xludf.DUMMYFUNCTION("""COMPUTED_VALUE"""),"Completado en SUCURSAL")</f>
        <v>Completado en SUCURSAL</v>
      </c>
      <c r="J2712" s="1">
        <f t="shared" si="3"/>
        <v>5</v>
      </c>
      <c r="K2712" s="1" t="str">
        <f t="shared" si="4"/>
        <v>Tus Lentes estan LISTAS PARA ENTREGAR, te esperamos.</v>
      </c>
    </row>
    <row r="2713">
      <c r="A2713" s="1">
        <f>IFERROR(__xludf.DUMMYFUNCTION("""COMPUTED_VALUE"""),87260.0)</f>
        <v>87260</v>
      </c>
      <c r="B2713" s="5">
        <f>IFERROR(__xludf.DUMMYFUNCTION("""COMPUTED_VALUE"""),44987.52654197917)</f>
        <v>44987.52654</v>
      </c>
      <c r="C2713" s="1" t="str">
        <f>IFERROR(__xludf.DUMMYFUNCTION("""COMPUTED_VALUE"""),"CALDERON CAROLINA ELIZABETH")</f>
        <v>CALDERON CAROLINA ELIZABETH</v>
      </c>
      <c r="D2713" s="1" t="str">
        <f>IFERROR(__xludf.DUMMYFUNCTION("""COMPUTED_VALUE"""),"Lentes de STOCK")</f>
        <v>Lentes de STOCK</v>
      </c>
      <c r="E2713" s="1" t="str">
        <f>IFERROR(__xludf.DUMMYFUNCTION("""COMPUTED_VALUE"""),"RIVADAVIA Rocio B")</f>
        <v>RIVADAVIA Rocio B</v>
      </c>
      <c r="F2713" s="1" t="str">
        <f t="shared" si="1"/>
        <v>RIVADAVIA </v>
      </c>
      <c r="G2713" s="1" t="str">
        <f t="shared" si="2"/>
        <v>Rocio B</v>
      </c>
      <c r="H2713" s="1" t="str">
        <f>IFERROR(__xludf.DUMMYFUNCTION("""COMPUTED_VALUE"""),"10/3/2023, 17:00:00")</f>
        <v>10/3/2023, 17:00:00</v>
      </c>
      <c r="I2713" s="1" t="str">
        <f>IFERROR(__xludf.DUMMYFUNCTION("""COMPUTED_VALUE"""),"Completado en SUCURSAL")</f>
        <v>Completado en SUCURSAL</v>
      </c>
      <c r="J2713" s="1">
        <f t="shared" si="3"/>
        <v>5</v>
      </c>
      <c r="K2713" s="1" t="str">
        <f t="shared" si="4"/>
        <v>Tus Lentes estan LISTAS PARA ENTREGAR, te esperamos.</v>
      </c>
    </row>
    <row r="2714">
      <c r="A2714" s="1">
        <f>IFERROR(__xludf.DUMMYFUNCTION("""COMPUTED_VALUE"""),87261.0)</f>
        <v>87261</v>
      </c>
      <c r="B2714" s="5">
        <f>IFERROR(__xludf.DUMMYFUNCTION("""COMPUTED_VALUE"""),44987.53179988426)</f>
        <v>44987.5318</v>
      </c>
      <c r="C2714" s="1" t="str">
        <f>IFERROR(__xludf.DUMMYFUNCTION("""COMPUTED_VALUE"""),"romero gladys")</f>
        <v>romero gladys</v>
      </c>
      <c r="D2714" s="1" t="str">
        <f>IFERROR(__xludf.DUMMYFUNCTION("""COMPUTED_VALUE"""),"Lentes de STOCK")</f>
        <v>Lentes de STOCK</v>
      </c>
      <c r="E2714" s="1" t="str">
        <f>IFERROR(__xludf.DUMMYFUNCTION("""COMPUTED_VALUE"""),"RIVADAVIA Santiago N")</f>
        <v>RIVADAVIA Santiago N</v>
      </c>
      <c r="F2714" s="1" t="str">
        <f t="shared" si="1"/>
        <v>RIVADAVIA </v>
      </c>
      <c r="G2714" s="1" t="str">
        <f t="shared" si="2"/>
        <v>Santiago N</v>
      </c>
      <c r="H2714" s="1" t="str">
        <f>IFERROR(__xludf.DUMMYFUNCTION("""COMPUTED_VALUE"""),"4/3/2023, 17:00:00")</f>
        <v>4/3/2023, 17:00:00</v>
      </c>
      <c r="I2714" s="1" t="str">
        <f>IFERROR(__xludf.DUMMYFUNCTION("""COMPUTED_VALUE"""),"Recibido en Laboratorio")</f>
        <v>Recibido en Laboratorio</v>
      </c>
      <c r="J2714" s="1">
        <f t="shared" si="3"/>
        <v>2</v>
      </c>
      <c r="K2714" s="1" t="str">
        <f t="shared" si="4"/>
        <v>Nuestro Laboratorio esta trabajando en tus lentes, los entregaremos en la fecha acordada.</v>
      </c>
    </row>
    <row r="2715">
      <c r="A2715" s="1">
        <f>IFERROR(__xludf.DUMMYFUNCTION("""COMPUTED_VALUE"""),87262.0)</f>
        <v>87262</v>
      </c>
      <c r="B2715" s="5">
        <f>IFERROR(__xludf.DUMMYFUNCTION("""COMPUTED_VALUE"""),44987.53358469908)</f>
        <v>44987.53358</v>
      </c>
      <c r="C2715" s="1" t="str">
        <f>IFERROR(__xludf.DUMMYFUNCTION("""COMPUTED_VALUE"""),"TOSI FADER ABRIL AGUSTINA")</f>
        <v>TOSI FADER ABRIL AGUSTINA</v>
      </c>
      <c r="D2715" s="1" t="str">
        <f>IFERROR(__xludf.DUMMYFUNCTION("""COMPUTED_VALUE"""),"Lentes de STOCK")</f>
        <v>Lentes de STOCK</v>
      </c>
      <c r="E2715" s="1" t="str">
        <f>IFERROR(__xludf.DUMMYFUNCTION("""COMPUTED_VALUE"""),"ARTIGAS Cristian C.")</f>
        <v>ARTIGAS Cristian C.</v>
      </c>
      <c r="F2715" s="1" t="str">
        <f t="shared" si="1"/>
        <v>ARTIGAS </v>
      </c>
      <c r="G2715" s="1" t="str">
        <f t="shared" si="2"/>
        <v>Cristian C.</v>
      </c>
      <c r="H2715" s="1" t="str">
        <f>IFERROR(__xludf.DUMMYFUNCTION("""COMPUTED_VALUE"""),"6/3/2023, 17:00:00")</f>
        <v>6/3/2023, 17:00:00</v>
      </c>
      <c r="I2715" s="1" t="str">
        <f>IFERROR(__xludf.DUMMYFUNCTION("""COMPUTED_VALUE"""),"Completado en SUCURSAL")</f>
        <v>Completado en SUCURSAL</v>
      </c>
      <c r="J2715" s="1">
        <f t="shared" si="3"/>
        <v>5</v>
      </c>
      <c r="K2715" s="1" t="str">
        <f t="shared" si="4"/>
        <v>Tus Lentes estan LISTAS PARA ENTREGAR, te esperamos.</v>
      </c>
    </row>
    <row r="2716">
      <c r="A2716" s="1">
        <f>IFERROR(__xludf.DUMMYFUNCTION("""COMPUTED_VALUE"""),87263.0)</f>
        <v>87263</v>
      </c>
      <c r="B2716" s="5">
        <f>IFERROR(__xludf.DUMMYFUNCTION("""COMPUTED_VALUE"""),44987.53573527778)</f>
        <v>44987.53574</v>
      </c>
      <c r="C2716" s="1" t="str">
        <f>IFERROR(__xludf.DUMMYFUNCTION("""COMPUTED_VALUE""")," TOSI ALFREDO AGUSTIN")</f>
        <v> TOSI ALFREDO AGUSTIN</v>
      </c>
      <c r="D2716" s="1" t="str">
        <f>IFERROR(__xludf.DUMMYFUNCTION("""COMPUTED_VALUE"""),"Lentes de STOCK")</f>
        <v>Lentes de STOCK</v>
      </c>
      <c r="E2716" s="1" t="str">
        <f>IFERROR(__xludf.DUMMYFUNCTION("""COMPUTED_VALUE"""),"ARTIGAS Cristian C.")</f>
        <v>ARTIGAS Cristian C.</v>
      </c>
      <c r="F2716" s="1" t="str">
        <f t="shared" si="1"/>
        <v>ARTIGAS </v>
      </c>
      <c r="G2716" s="1" t="str">
        <f t="shared" si="2"/>
        <v>Cristian C.</v>
      </c>
      <c r="H2716" s="1" t="str">
        <f>IFERROR(__xludf.DUMMYFUNCTION("""COMPUTED_VALUE"""),"9/3/2023, 17:00:00")</f>
        <v>9/3/2023, 17:00:00</v>
      </c>
      <c r="I2716" s="1" t="str">
        <f>IFERROR(__xludf.DUMMYFUNCTION("""COMPUTED_VALUE"""),"Recibido en Laboratorio")</f>
        <v>Recibido en Laboratorio</v>
      </c>
      <c r="J2716" s="1">
        <f t="shared" si="3"/>
        <v>2</v>
      </c>
      <c r="K2716" s="1" t="str">
        <f t="shared" si="4"/>
        <v>Nuestro Laboratorio esta trabajando en tus lentes, los entregaremos en la fecha acordada.</v>
      </c>
    </row>
    <row r="2717">
      <c r="A2717" s="1">
        <f>IFERROR(__xludf.DUMMYFUNCTION("""COMPUTED_VALUE"""),87264.0)</f>
        <v>87264</v>
      </c>
      <c r="B2717" s="5">
        <f>IFERROR(__xludf.DUMMYFUNCTION("""COMPUTED_VALUE"""),44987.5423262963)</f>
        <v>44987.54233</v>
      </c>
      <c r="C2717" s="1" t="str">
        <f>IFERROR(__xludf.DUMMYFUNCTION("""COMPUTED_VALUE"""),"ESCUDERO MIGUEL")</f>
        <v>ESCUDERO MIGUEL</v>
      </c>
      <c r="D2717" s="1" t="str">
        <f>IFERROR(__xludf.DUMMYFUNCTION("""COMPUTED_VALUE"""),"Lentes MULTIFOCALES")</f>
        <v>Lentes MULTIFOCALES</v>
      </c>
      <c r="E2717" s="1" t="str">
        <f>IFERROR(__xludf.DUMMYFUNCTION("""COMPUTED_VALUE"""),"RIVADAVIA Santiago LOPEZ")</f>
        <v>RIVADAVIA Santiago LOPEZ</v>
      </c>
      <c r="F2717" s="1" t="str">
        <f t="shared" si="1"/>
        <v>RIVADAVIA </v>
      </c>
      <c r="G2717" s="1" t="str">
        <f t="shared" si="2"/>
        <v>Santiago LOPEZ</v>
      </c>
      <c r="H2717" s="1" t="str">
        <f>IFERROR(__xludf.DUMMYFUNCTION("""COMPUTED_VALUE"""),"30/3/2023, 17:00:00")</f>
        <v>30/3/2023, 17:00:00</v>
      </c>
      <c r="I2717" s="1" t="str">
        <f>IFERROR(__xludf.DUMMYFUNCTION("""COMPUTED_VALUE"""),"Recibido en Laboratorio")</f>
        <v>Recibido en Laboratorio</v>
      </c>
      <c r="J2717" s="1">
        <f t="shared" si="3"/>
        <v>2</v>
      </c>
      <c r="K2717" s="1" t="str">
        <f t="shared" si="4"/>
        <v>Nuestro Laboratorio esta trabajando en tus lentes, los entregaremos en la fecha acordada.</v>
      </c>
    </row>
    <row r="2718">
      <c r="A2718" s="1">
        <f>IFERROR(__xludf.DUMMYFUNCTION("""COMPUTED_VALUE"""),87265.0)</f>
        <v>87265</v>
      </c>
      <c r="B2718" s="5">
        <f>IFERROR(__xludf.DUMMYFUNCTION("""COMPUTED_VALUE"""),44987.715205138884)</f>
        <v>44987.71521</v>
      </c>
      <c r="C2718" s="1" t="str">
        <f>IFERROR(__xludf.DUMMYFUNCTION("""COMPUTED_VALUE"""),"LEDESMA LUISA")</f>
        <v>LEDESMA LUISA</v>
      </c>
      <c r="D2718" s="1" t="str">
        <f>IFERROR(__xludf.DUMMYFUNCTION("""COMPUTED_VALUE"""),"Lentes de STOCK")</f>
        <v>Lentes de STOCK</v>
      </c>
      <c r="E2718" s="1" t="str">
        <f>IFERROR(__xludf.DUMMYFUNCTION("""COMPUTED_VALUE"""),"ARTIGAS Ivana P.")</f>
        <v>ARTIGAS Ivana P.</v>
      </c>
      <c r="F2718" s="1" t="str">
        <f t="shared" si="1"/>
        <v>ARTIGAS </v>
      </c>
      <c r="G2718" s="1" t="str">
        <f t="shared" si="2"/>
        <v>Ivana P.</v>
      </c>
      <c r="H2718" s="1" t="str">
        <f>IFERROR(__xludf.DUMMYFUNCTION("""COMPUTED_VALUE"""),"7/3/2023, 17:00:00")</f>
        <v>7/3/2023, 17:00:00</v>
      </c>
      <c r="I2718" s="1"/>
      <c r="J2718" s="1">
        <f t="shared" si="3"/>
        <v>0</v>
      </c>
      <c r="K2718" s="1" t="str">
        <f t="shared" si="4"/>
        <v/>
      </c>
    </row>
    <row r="2719">
      <c r="A2719" s="1">
        <f>IFERROR(__xludf.DUMMYFUNCTION("""COMPUTED_VALUE"""),87266.0)</f>
        <v>87266</v>
      </c>
      <c r="B2719" s="5">
        <f>IFERROR(__xludf.DUMMYFUNCTION("""COMPUTED_VALUE"""),44987.71860774305)</f>
        <v>44987.71861</v>
      </c>
      <c r="C2719" s="1" t="str">
        <f>IFERROR(__xludf.DUMMYFUNCTION("""COMPUTED_VALUE"""),"MUÑOZ MARTHA MABEL")</f>
        <v>MUÑOZ MARTHA MABEL</v>
      </c>
      <c r="D2719" s="1" t="str">
        <f>IFERROR(__xludf.DUMMYFUNCTION("""COMPUTED_VALUE"""),"Lentes MULTIFOCALES")</f>
        <v>Lentes MULTIFOCALES</v>
      </c>
      <c r="E2719" s="1" t="str">
        <f>IFERROR(__xludf.DUMMYFUNCTION("""COMPUTED_VALUE"""),"RIVADAVIA Daniel CM")</f>
        <v>RIVADAVIA Daniel CM</v>
      </c>
      <c r="F2719" s="1" t="str">
        <f t="shared" si="1"/>
        <v>RIVADAVIA </v>
      </c>
      <c r="G2719" s="1" t="str">
        <f t="shared" si="2"/>
        <v>Daniel CM</v>
      </c>
      <c r="H2719" s="1" t="str">
        <f>IFERROR(__xludf.DUMMYFUNCTION("""COMPUTED_VALUE"""),"16/3/2023, 17:00:00")</f>
        <v>16/3/2023, 17:00:00</v>
      </c>
      <c r="I2719" s="1" t="str">
        <f>IFERROR(__xludf.DUMMYFUNCTION("""COMPUTED_VALUE"""),"Completado en SUCURSAL")</f>
        <v>Completado en SUCURSAL</v>
      </c>
      <c r="J2719" s="1">
        <f t="shared" si="3"/>
        <v>5</v>
      </c>
      <c r="K2719" s="1" t="str">
        <f t="shared" si="4"/>
        <v>Tus Lentes estan LISTAS PARA ENTREGAR, te esperamos.</v>
      </c>
    </row>
    <row r="2720">
      <c r="A2720" s="1">
        <f>IFERROR(__xludf.DUMMYFUNCTION("""COMPUTED_VALUE"""),87267.0)</f>
        <v>87267</v>
      </c>
      <c r="B2720" s="5">
        <f>IFERROR(__xludf.DUMMYFUNCTION("""COMPUTED_VALUE"""),44987.73202805556)</f>
        <v>44987.73203</v>
      </c>
      <c r="C2720" s="1" t="str">
        <f>IFERROR(__xludf.DUMMYFUNCTION("""COMPUTED_VALUE"""),"SOSA PENOVI CELINA")</f>
        <v>SOSA PENOVI CELINA</v>
      </c>
      <c r="D2720" s="1" t="str">
        <f>IFERROR(__xludf.DUMMYFUNCTION("""COMPUTED_VALUE"""),"Lentes de STOCK")</f>
        <v>Lentes de STOCK</v>
      </c>
      <c r="E2720" s="1" t="str">
        <f>IFERROR(__xludf.DUMMYFUNCTION("""COMPUTED_VALUE"""),"ARTIGAS Ivana P.")</f>
        <v>ARTIGAS Ivana P.</v>
      </c>
      <c r="F2720" s="1" t="str">
        <f t="shared" si="1"/>
        <v>ARTIGAS </v>
      </c>
      <c r="G2720" s="1" t="str">
        <f t="shared" si="2"/>
        <v>Ivana P.</v>
      </c>
      <c r="H2720" s="1" t="str">
        <f>IFERROR(__xludf.DUMMYFUNCTION("""COMPUTED_VALUE"""),"9/3/2023, 17:00:00")</f>
        <v>9/3/2023, 17:00:00</v>
      </c>
      <c r="I2720" s="1"/>
      <c r="J2720" s="1">
        <f t="shared" si="3"/>
        <v>0</v>
      </c>
      <c r="K2720" s="1" t="str">
        <f t="shared" si="4"/>
        <v/>
      </c>
    </row>
    <row r="2721">
      <c r="A2721" s="1">
        <f>IFERROR(__xludf.DUMMYFUNCTION("""COMPUTED_VALUE"""),87268.0)</f>
        <v>87268</v>
      </c>
      <c r="B2721" s="5">
        <f>IFERROR(__xludf.DUMMYFUNCTION("""COMPUTED_VALUE"""),44987.75795387731)</f>
        <v>44987.75795</v>
      </c>
      <c r="C2721" s="1" t="str">
        <f>IFERROR(__xludf.DUMMYFUNCTION("""COMPUTED_VALUE"""),"BAEZ DANIELA")</f>
        <v>BAEZ DANIELA</v>
      </c>
      <c r="D2721" s="1" t="str">
        <f>IFERROR(__xludf.DUMMYFUNCTION("""COMPUTED_VALUE"""),"Lentes de STOCK")</f>
        <v>Lentes de STOCK</v>
      </c>
      <c r="E2721" s="1" t="str">
        <f>IFERROR(__xludf.DUMMYFUNCTION("""COMPUTED_VALUE"""),"RIVADAVIA Javier")</f>
        <v>RIVADAVIA Javier</v>
      </c>
      <c r="F2721" s="1" t="str">
        <f t="shared" si="1"/>
        <v>RIVADAVIA </v>
      </c>
      <c r="G2721" s="1" t="str">
        <f t="shared" si="2"/>
        <v>Javier</v>
      </c>
      <c r="H2721" s="1" t="str">
        <f>IFERROR(__xludf.DUMMYFUNCTION("""COMPUTED_VALUE"""),"6/3/2023, 17:00:00")</f>
        <v>6/3/2023, 17:00:00</v>
      </c>
      <c r="I2721" s="1" t="str">
        <f>IFERROR(__xludf.DUMMYFUNCTION("""COMPUTED_VALUE"""),"Completado en SUCURSAL")</f>
        <v>Completado en SUCURSAL</v>
      </c>
      <c r="J2721" s="1">
        <f t="shared" si="3"/>
        <v>5</v>
      </c>
      <c r="K2721" s="1" t="str">
        <f t="shared" si="4"/>
        <v>Tus Lentes estan LISTAS PARA ENTREGAR, te esperamos.</v>
      </c>
    </row>
    <row r="2722">
      <c r="A2722" s="1">
        <f>IFERROR(__xludf.DUMMYFUNCTION("""COMPUTED_VALUE"""),87269.0)</f>
        <v>87269</v>
      </c>
      <c r="B2722" s="5">
        <f>IFERROR(__xludf.DUMMYFUNCTION("""COMPUTED_VALUE"""),44987.76625670139)</f>
        <v>44987.76626</v>
      </c>
      <c r="C2722" s="1" t="str">
        <f>IFERROR(__xludf.DUMMYFUNCTION("""COMPUTED_VALUE"""),"romano andimach pablo")</f>
        <v>romano andimach pablo</v>
      </c>
      <c r="D2722" s="1" t="str">
        <f>IFERROR(__xludf.DUMMYFUNCTION("""COMPUTED_VALUE"""),"Lentes de STOCK")</f>
        <v>Lentes de STOCK</v>
      </c>
      <c r="E2722" s="1" t="str">
        <f>IFERROR(__xludf.DUMMYFUNCTION("""COMPUTED_VALUE"""),"RIVADAVIA Santiago N")</f>
        <v>RIVADAVIA Santiago N</v>
      </c>
      <c r="F2722" s="1" t="str">
        <f t="shared" si="1"/>
        <v>RIVADAVIA </v>
      </c>
      <c r="G2722" s="1" t="str">
        <f t="shared" si="2"/>
        <v>Santiago N</v>
      </c>
      <c r="H2722" s="1" t="str">
        <f>IFERROR(__xludf.DUMMYFUNCTION("""COMPUTED_VALUE"""),"6/3/2023, 17:00:00")</f>
        <v>6/3/2023, 17:00:00</v>
      </c>
      <c r="I2722" s="1" t="str">
        <f>IFERROR(__xludf.DUMMYFUNCTION("""COMPUTED_VALUE"""),"Completado en SUCURSAL")</f>
        <v>Completado en SUCURSAL</v>
      </c>
      <c r="J2722" s="1">
        <f t="shared" si="3"/>
        <v>5</v>
      </c>
      <c r="K2722" s="1" t="str">
        <f t="shared" si="4"/>
        <v>Tus Lentes estan LISTAS PARA ENTREGAR, te esperamos.</v>
      </c>
    </row>
    <row r="2723">
      <c r="A2723" s="1">
        <f>IFERROR(__xludf.DUMMYFUNCTION("""COMPUTED_VALUE"""),87270.0)</f>
        <v>87270</v>
      </c>
      <c r="B2723" s="5">
        <f>IFERROR(__xludf.DUMMYFUNCTION("""COMPUTED_VALUE"""),44987.76823335648)</f>
        <v>44987.76823</v>
      </c>
      <c r="C2723" s="1" t="str">
        <f>IFERROR(__xludf.DUMMYFUNCTION("""COMPUTED_VALUE"""),"GOMEZ RAIMUNDA")</f>
        <v>GOMEZ RAIMUNDA</v>
      </c>
      <c r="D2723" s="1" t="str">
        <f>IFERROR(__xludf.DUMMYFUNCTION("""COMPUTED_VALUE"""),"Lentes de STOCK")</f>
        <v>Lentes de STOCK</v>
      </c>
      <c r="E2723" s="1" t="str">
        <f>IFERROR(__xludf.DUMMYFUNCTION("""COMPUTED_VALUE"""),"ARTIGAS Cristian C.")</f>
        <v>ARTIGAS Cristian C.</v>
      </c>
      <c r="F2723" s="1" t="str">
        <f t="shared" si="1"/>
        <v>ARTIGAS </v>
      </c>
      <c r="G2723" s="1" t="str">
        <f t="shared" si="2"/>
        <v>Cristian C.</v>
      </c>
      <c r="H2723" s="1" t="str">
        <f>IFERROR(__xludf.DUMMYFUNCTION("""COMPUTED_VALUE"""),"9/3/2023, 17:00:00")</f>
        <v>9/3/2023, 17:00:00</v>
      </c>
      <c r="I2723" s="1"/>
      <c r="J2723" s="1">
        <f t="shared" si="3"/>
        <v>0</v>
      </c>
      <c r="K2723" s="1" t="str">
        <f t="shared" si="4"/>
        <v/>
      </c>
    </row>
    <row r="2724">
      <c r="A2724" s="1">
        <f>IFERROR(__xludf.DUMMYFUNCTION("""COMPUTED_VALUE"""),87271.0)</f>
        <v>87271</v>
      </c>
      <c r="B2724" s="5">
        <f>IFERROR(__xludf.DUMMYFUNCTION("""COMPUTED_VALUE"""),44987.779183136576)</f>
        <v>44987.77918</v>
      </c>
      <c r="C2724" s="1" t="str">
        <f>IFERROR(__xludf.DUMMYFUNCTION("""COMPUTED_VALUE"""),"RAMON SILVIA NOEMI")</f>
        <v>RAMON SILVIA NOEMI</v>
      </c>
      <c r="D2724" s="1" t="str">
        <f>IFERROR(__xludf.DUMMYFUNCTION("""COMPUTED_VALUE"""),"Lentes de STOCK")</f>
        <v>Lentes de STOCK</v>
      </c>
      <c r="E2724" s="1" t="str">
        <f>IFERROR(__xludf.DUMMYFUNCTION("""COMPUTED_VALUE"""),"RIVADAVIA Javier")</f>
        <v>RIVADAVIA Javier</v>
      </c>
      <c r="F2724" s="1" t="str">
        <f t="shared" si="1"/>
        <v>RIVADAVIA </v>
      </c>
      <c r="G2724" s="1" t="str">
        <f t="shared" si="2"/>
        <v>Javier</v>
      </c>
      <c r="H2724" s="1" t="str">
        <f>IFERROR(__xludf.DUMMYFUNCTION("""COMPUTED_VALUE"""),"8/3/2023, 17:00:00")</f>
        <v>8/3/2023, 17:00:00</v>
      </c>
      <c r="I2724" s="1" t="str">
        <f>IFERROR(__xludf.DUMMYFUNCTION("""COMPUTED_VALUE"""),"Completado en SUCURSAL")</f>
        <v>Completado en SUCURSAL</v>
      </c>
      <c r="J2724" s="1">
        <f t="shared" si="3"/>
        <v>5</v>
      </c>
      <c r="K2724" s="1" t="str">
        <f t="shared" si="4"/>
        <v>Tus Lentes estan LISTAS PARA ENTREGAR, te esperamos.</v>
      </c>
    </row>
    <row r="2725">
      <c r="A2725" s="1" t="str">
        <f>IFERROR(__xludf.DUMMYFUNCTION("""COMPUTED_VALUE"""),"87271.1")</f>
        <v>87271.1</v>
      </c>
      <c r="B2725" s="5">
        <f>IFERROR(__xludf.DUMMYFUNCTION("""COMPUTED_VALUE"""),44987.77919199074)</f>
        <v>44987.77919</v>
      </c>
      <c r="C2725" s="1" t="str">
        <f>IFERROR(__xludf.DUMMYFUNCTION("""COMPUTED_VALUE"""),"QUIROGA JOSEFINA")</f>
        <v>QUIROGA JOSEFINA</v>
      </c>
      <c r="D2725" s="1" t="str">
        <f>IFERROR(__xludf.DUMMYFUNCTION("""COMPUTED_VALUE"""),"Lentes de STOCK")</f>
        <v>Lentes de STOCK</v>
      </c>
      <c r="E2725" s="1" t="str">
        <f>IFERROR(__xludf.DUMMYFUNCTION("""COMPUTED_VALUE"""),"ARTIGAS Ivana P.")</f>
        <v>ARTIGAS Ivana P.</v>
      </c>
      <c r="F2725" s="1" t="str">
        <f t="shared" si="1"/>
        <v>ARTIGAS </v>
      </c>
      <c r="G2725" s="1" t="str">
        <f t="shared" si="2"/>
        <v>Ivana P.</v>
      </c>
      <c r="H2725" s="1" t="str">
        <f>IFERROR(__xludf.DUMMYFUNCTION("""COMPUTED_VALUE"""),"7/3/2023, 17:00:00")</f>
        <v>7/3/2023, 17:00:00</v>
      </c>
      <c r="I2725" s="1"/>
      <c r="J2725" s="1">
        <f t="shared" si="3"/>
        <v>0</v>
      </c>
      <c r="K2725" s="1" t="str">
        <f t="shared" si="4"/>
        <v/>
      </c>
    </row>
    <row r="2726">
      <c r="A2726" s="1">
        <f>IFERROR(__xludf.DUMMYFUNCTION("""COMPUTED_VALUE"""),87272.0)</f>
        <v>87272</v>
      </c>
      <c r="B2726" s="5">
        <f>IFERROR(__xludf.DUMMYFUNCTION("""COMPUTED_VALUE"""),44987.78152509259)</f>
        <v>44987.78153</v>
      </c>
      <c r="C2726" s="1" t="str">
        <f>IFERROR(__xludf.DUMMYFUNCTION("""COMPUTED_VALUE"""),"RAMON SILVIA NOEMI")</f>
        <v>RAMON SILVIA NOEMI</v>
      </c>
      <c r="D2726" s="1" t="str">
        <f>IFERROR(__xludf.DUMMYFUNCTION("""COMPUTED_VALUE"""),"Lentes de STOCK")</f>
        <v>Lentes de STOCK</v>
      </c>
      <c r="E2726" s="1" t="str">
        <f>IFERROR(__xludf.DUMMYFUNCTION("""COMPUTED_VALUE"""),"RIVADAVIA Javier")</f>
        <v>RIVADAVIA Javier</v>
      </c>
      <c r="F2726" s="1" t="str">
        <f t="shared" si="1"/>
        <v>RIVADAVIA </v>
      </c>
      <c r="G2726" s="1" t="str">
        <f t="shared" si="2"/>
        <v>Javier</v>
      </c>
      <c r="H2726" s="1" t="str">
        <f>IFERROR(__xludf.DUMMYFUNCTION("""COMPUTED_VALUE"""),"8/3/2023, 17:00:00")</f>
        <v>8/3/2023, 17:00:00</v>
      </c>
      <c r="I2726" s="1" t="str">
        <f>IFERROR(__xludf.DUMMYFUNCTION("""COMPUTED_VALUE"""),"Completado en SUCURSAL")</f>
        <v>Completado en SUCURSAL</v>
      </c>
      <c r="J2726" s="1">
        <f t="shared" si="3"/>
        <v>5</v>
      </c>
      <c r="K2726" s="1" t="str">
        <f t="shared" si="4"/>
        <v>Tus Lentes estan LISTAS PARA ENTREGAR, te esperamos.</v>
      </c>
    </row>
    <row r="2727">
      <c r="A2727" s="1">
        <f>IFERROR(__xludf.DUMMYFUNCTION("""COMPUTED_VALUE"""),87273.0)</f>
        <v>87273</v>
      </c>
      <c r="B2727" s="5">
        <f>IFERROR(__xludf.DUMMYFUNCTION("""COMPUTED_VALUE"""),44987.78256157407)</f>
        <v>44987.78256</v>
      </c>
      <c r="C2727" s="1" t="str">
        <f>IFERROR(__xludf.DUMMYFUNCTION("""COMPUTED_VALUE"""),"RIVEROS FUNES VALENTINA")</f>
        <v>RIVEROS FUNES VALENTINA</v>
      </c>
      <c r="D2727" s="1" t="str">
        <f>IFERROR(__xludf.DUMMYFUNCTION("""COMPUTED_VALUE"""),"Lentes de STOCK")</f>
        <v>Lentes de STOCK</v>
      </c>
      <c r="E2727" s="1" t="str">
        <f>IFERROR(__xludf.DUMMYFUNCTION("""COMPUTED_VALUE"""),"RIVADAVIA Luciana")</f>
        <v>RIVADAVIA Luciana</v>
      </c>
      <c r="F2727" s="1" t="str">
        <f t="shared" si="1"/>
        <v>RIVADAVIA </v>
      </c>
      <c r="G2727" s="1" t="str">
        <f t="shared" si="2"/>
        <v>Luciana</v>
      </c>
      <c r="H2727" s="1" t="str">
        <f>IFERROR(__xludf.DUMMYFUNCTION("""COMPUTED_VALUE"""),"8/3/2023, 17:00:00")</f>
        <v>8/3/2023, 17:00:00</v>
      </c>
      <c r="I2727" s="1" t="str">
        <f>IFERROR(__xludf.DUMMYFUNCTION("""COMPUTED_VALUE"""),"Completado en SUCURSAL")</f>
        <v>Completado en SUCURSAL</v>
      </c>
      <c r="J2727" s="1">
        <f t="shared" si="3"/>
        <v>5</v>
      </c>
      <c r="K2727" s="1" t="str">
        <f t="shared" si="4"/>
        <v>Tus Lentes estan LISTAS PARA ENTREGAR, te esperamos.</v>
      </c>
    </row>
    <row r="2728">
      <c r="A2728" s="1">
        <f>IFERROR(__xludf.DUMMYFUNCTION("""COMPUTED_VALUE"""),87274.0)</f>
        <v>87274</v>
      </c>
      <c r="B2728" s="5">
        <f>IFERROR(__xludf.DUMMYFUNCTION("""COMPUTED_VALUE"""),44987.7845121412)</f>
        <v>44987.78451</v>
      </c>
      <c r="C2728" s="1" t="str">
        <f>IFERROR(__xludf.DUMMYFUNCTION("""COMPUTED_VALUE"""),"DIAZ CARLOS")</f>
        <v>DIAZ CARLOS</v>
      </c>
      <c r="D2728" s="1" t="str">
        <f>IFERROR(__xludf.DUMMYFUNCTION("""COMPUTED_VALUE"""),"Lentes de STOCK")</f>
        <v>Lentes de STOCK</v>
      </c>
      <c r="E2728" s="1" t="str">
        <f>IFERROR(__xludf.DUMMYFUNCTION("""COMPUTED_VALUE"""),"ARTIGAS Cristian C.")</f>
        <v>ARTIGAS Cristian C.</v>
      </c>
      <c r="F2728" s="1" t="str">
        <f t="shared" si="1"/>
        <v>ARTIGAS </v>
      </c>
      <c r="G2728" s="1" t="str">
        <f t="shared" si="2"/>
        <v>Cristian C.</v>
      </c>
      <c r="H2728" s="1" t="str">
        <f>IFERROR(__xludf.DUMMYFUNCTION("""COMPUTED_VALUE"""),"9/3/2023, 17:00:00")</f>
        <v>9/3/2023, 17:00:00</v>
      </c>
      <c r="I2728" s="1"/>
      <c r="J2728" s="1">
        <f t="shared" si="3"/>
        <v>0</v>
      </c>
      <c r="K2728" s="1" t="str">
        <f t="shared" si="4"/>
        <v/>
      </c>
    </row>
    <row r="2729">
      <c r="A2729" s="1">
        <f>IFERROR(__xludf.DUMMYFUNCTION("""COMPUTED_VALUE"""),87275.0)</f>
        <v>87275</v>
      </c>
      <c r="B2729" s="5">
        <f>IFERROR(__xludf.DUMMYFUNCTION("""COMPUTED_VALUE"""),44987.788221712966)</f>
        <v>44987.78822</v>
      </c>
      <c r="C2729" s="1" t="str">
        <f>IFERROR(__xludf.DUMMYFUNCTION("""COMPUTED_VALUE"""),"MALUFF HILDA")</f>
        <v>MALUFF HILDA</v>
      </c>
      <c r="D2729" s="1" t="str">
        <f>IFERROR(__xludf.DUMMYFUNCTION("""COMPUTED_VALUE"""),"Lentes de STOCK")</f>
        <v>Lentes de STOCK</v>
      </c>
      <c r="E2729" s="1" t="str">
        <f>IFERROR(__xludf.DUMMYFUNCTION("""COMPUTED_VALUE"""),"RIVADAVIA Daniel CM")</f>
        <v>RIVADAVIA Daniel CM</v>
      </c>
      <c r="F2729" s="1" t="str">
        <f t="shared" si="1"/>
        <v>RIVADAVIA </v>
      </c>
      <c r="G2729" s="1" t="str">
        <f t="shared" si="2"/>
        <v>Daniel CM</v>
      </c>
      <c r="H2729" s="1" t="str">
        <f>IFERROR(__xludf.DUMMYFUNCTION("""COMPUTED_VALUE"""),"4/3/2023, 17:00:00")</f>
        <v>4/3/2023, 17:00:00</v>
      </c>
      <c r="I2729" s="1" t="str">
        <f>IFERROR(__xludf.DUMMYFUNCTION("""COMPUTED_VALUE"""),"Completado en SUCURSAL")</f>
        <v>Completado en SUCURSAL</v>
      </c>
      <c r="J2729" s="1">
        <f t="shared" si="3"/>
        <v>5</v>
      </c>
      <c r="K2729" s="1" t="str">
        <f t="shared" si="4"/>
        <v>Tus Lentes estan LISTAS PARA ENTREGAR, te esperamos.</v>
      </c>
    </row>
    <row r="2730">
      <c r="A2730" s="1" t="str">
        <f>IFERROR(__xludf.DUMMYFUNCTION("""COMPUTED_VALUE"""),"-")</f>
        <v>-</v>
      </c>
      <c r="B2730" s="1" t="str">
        <f>IFERROR(__xludf.DUMMYFUNCTION("""COMPUTED_VALUE"""),"-")</f>
        <v>-</v>
      </c>
      <c r="C2730" s="1" t="str">
        <f>IFERROR(__xludf.DUMMYFUNCTION("""COMPUTED_VALUE"""),"cipolla jonathan")</f>
        <v>cipolla jonathan</v>
      </c>
      <c r="D2730" s="1" t="str">
        <f>IFERROR(__xludf.DUMMYFUNCTION("""COMPUTED_VALUE"""),"Lentes de STOCK")</f>
        <v>Lentes de STOCK</v>
      </c>
      <c r="E2730" s="1" t="str">
        <f>IFERROR(__xludf.DUMMYFUNCTION("""COMPUTED_VALUE"""),"RIVADAVIA Santiago N")</f>
        <v>RIVADAVIA Santiago N</v>
      </c>
      <c r="F2730" s="1" t="str">
        <f t="shared" si="1"/>
        <v>RIVADAVIA </v>
      </c>
      <c r="G2730" s="1" t="str">
        <f t="shared" si="2"/>
        <v>Santiago N</v>
      </c>
      <c r="H2730" s="1" t="str">
        <f>IFERROR(__xludf.DUMMYFUNCTION("""COMPUTED_VALUE"""),"6/3/2023, 17:00:00")</f>
        <v>6/3/2023, 17:00:00</v>
      </c>
      <c r="I2730" s="1"/>
      <c r="J2730" s="1">
        <f t="shared" si="3"/>
        <v>0</v>
      </c>
      <c r="K2730" s="1" t="str">
        <f t="shared" si="4"/>
        <v/>
      </c>
    </row>
    <row r="2731">
      <c r="A2731" s="1" t="str">
        <f>IFERROR(__xludf.DUMMYFUNCTION("""COMPUTED_VALUE"""),"87276 ANULADO")</f>
        <v>87276 ANULADO</v>
      </c>
      <c r="B2731" s="5">
        <f>IFERROR(__xludf.DUMMYFUNCTION("""COMPUTED_VALUE"""),44987.79100149305)</f>
        <v>44987.791</v>
      </c>
      <c r="C2731" s="1" t="str">
        <f>IFERROR(__xludf.DUMMYFUNCTION("""COMPUTED_VALUE"""),"GONZALEZ GABRIELA ANULADO")</f>
        <v>GONZALEZ GABRIELA ANULADO</v>
      </c>
      <c r="D2731" s="1"/>
      <c r="E2731" s="1"/>
      <c r="F2731" s="1" t="str">
        <f t="shared" si="1"/>
        <v>#VALUE!</v>
      </c>
      <c r="G2731" s="1" t="str">
        <f t="shared" si="2"/>
        <v>#VALUE!</v>
      </c>
      <c r="H2731" s="1"/>
      <c r="I2731" s="1"/>
      <c r="J2731" s="1">
        <f t="shared" si="3"/>
        <v>0</v>
      </c>
      <c r="K2731" s="1" t="str">
        <f t="shared" si="4"/>
        <v/>
      </c>
    </row>
    <row r="2732">
      <c r="A2732" s="1">
        <f>IFERROR(__xludf.DUMMYFUNCTION("""COMPUTED_VALUE"""),87277.0)</f>
        <v>87277</v>
      </c>
      <c r="B2732" s="5">
        <f>IFERROR(__xludf.DUMMYFUNCTION("""COMPUTED_VALUE"""),44987.79553952546)</f>
        <v>44987.79554</v>
      </c>
      <c r="C2732" s="1" t="str">
        <f>IFERROR(__xludf.DUMMYFUNCTION("""COMPUTED_VALUE"""),"SOSA RODRIGUEZ VICTORIA")</f>
        <v>SOSA RODRIGUEZ VICTORIA</v>
      </c>
      <c r="D2732" s="1" t="str">
        <f>IFERROR(__xludf.DUMMYFUNCTION("""COMPUTED_VALUE"""),"Lentes de LABORATORIO")</f>
        <v>Lentes de LABORATORIO</v>
      </c>
      <c r="E2732" s="1" t="str">
        <f>IFERROR(__xludf.DUMMYFUNCTION("""COMPUTED_VALUE"""),"ARTIGAS Cristian C.")</f>
        <v>ARTIGAS Cristian C.</v>
      </c>
      <c r="F2732" s="1" t="str">
        <f t="shared" si="1"/>
        <v>ARTIGAS </v>
      </c>
      <c r="G2732" s="1" t="str">
        <f t="shared" si="2"/>
        <v>Cristian C.</v>
      </c>
      <c r="H2732" s="1" t="str">
        <f>IFERROR(__xludf.DUMMYFUNCTION("""COMPUTED_VALUE"""),"15/3/2023, 17:00:00")</f>
        <v>15/3/2023, 17:00:00</v>
      </c>
      <c r="I2732" s="1" t="str">
        <f>IFERROR(__xludf.DUMMYFUNCTION("""COMPUTED_VALUE"""),"Completado en SUCURSAL")</f>
        <v>Completado en SUCURSAL</v>
      </c>
      <c r="J2732" s="1">
        <f t="shared" si="3"/>
        <v>5</v>
      </c>
      <c r="K2732" s="1" t="str">
        <f t="shared" si="4"/>
        <v>Tus Lentes estan LISTAS PARA ENTREGAR, te esperamos.</v>
      </c>
    </row>
    <row r="2733">
      <c r="A2733" s="1">
        <f>IFERROR(__xludf.DUMMYFUNCTION("""COMPUTED_VALUE"""),87278.0)</f>
        <v>87278</v>
      </c>
      <c r="B2733" s="5">
        <f>IFERROR(__xludf.DUMMYFUNCTION("""COMPUTED_VALUE"""),44987.800335775464)</f>
        <v>44987.80034</v>
      </c>
      <c r="C2733" s="1" t="str">
        <f>IFERROR(__xludf.DUMMYFUNCTION("""COMPUTED_VALUE"""),"perez ruocco candela")</f>
        <v>perez ruocco candela</v>
      </c>
      <c r="D2733" s="1" t="str">
        <f>IFERROR(__xludf.DUMMYFUNCTION("""COMPUTED_VALUE"""),"Lentes de STOCK")</f>
        <v>Lentes de STOCK</v>
      </c>
      <c r="E2733" s="1" t="str">
        <f>IFERROR(__xludf.DUMMYFUNCTION("""COMPUTED_VALUE"""),"RIVADAVIA Santiago N")</f>
        <v>RIVADAVIA Santiago N</v>
      </c>
      <c r="F2733" s="1" t="str">
        <f t="shared" si="1"/>
        <v>RIVADAVIA </v>
      </c>
      <c r="G2733" s="1" t="str">
        <f t="shared" si="2"/>
        <v>Santiago N</v>
      </c>
      <c r="H2733" s="1" t="str">
        <f>IFERROR(__xludf.DUMMYFUNCTION("""COMPUTED_VALUE"""),"6/3/2023, 17:00:00")</f>
        <v>6/3/2023, 17:00:00</v>
      </c>
      <c r="I2733" s="1" t="str">
        <f>IFERROR(__xludf.DUMMYFUNCTION("""COMPUTED_VALUE"""),"Completado en SUCURSAL")</f>
        <v>Completado en SUCURSAL</v>
      </c>
      <c r="J2733" s="1">
        <f t="shared" si="3"/>
        <v>5</v>
      </c>
      <c r="K2733" s="1" t="str">
        <f t="shared" si="4"/>
        <v>Tus Lentes estan LISTAS PARA ENTREGAR, te esperamos.</v>
      </c>
    </row>
    <row r="2734">
      <c r="A2734" s="1">
        <f>IFERROR(__xludf.DUMMYFUNCTION("""COMPUTED_VALUE"""),87279.0)</f>
        <v>87279</v>
      </c>
      <c r="B2734" s="5">
        <f>IFERROR(__xludf.DUMMYFUNCTION("""COMPUTED_VALUE"""),44987.80369759259)</f>
        <v>44987.8037</v>
      </c>
      <c r="C2734" s="1" t="str">
        <f>IFERROR(__xludf.DUMMYFUNCTION("""COMPUTED_VALUE"""),"OLIVARES MONICA")</f>
        <v>OLIVARES MONICA</v>
      </c>
      <c r="D2734" s="1" t="str">
        <f>IFERROR(__xludf.DUMMYFUNCTION("""COMPUTED_VALUE"""),"Lentes de STOCK")</f>
        <v>Lentes de STOCK</v>
      </c>
      <c r="E2734" s="1" t="str">
        <f>IFERROR(__xludf.DUMMYFUNCTION("""COMPUTED_VALUE"""),"ARTIGAS Cristian C.")</f>
        <v>ARTIGAS Cristian C.</v>
      </c>
      <c r="F2734" s="1" t="str">
        <f t="shared" si="1"/>
        <v>ARTIGAS </v>
      </c>
      <c r="G2734" s="1" t="str">
        <f t="shared" si="2"/>
        <v>Cristian C.</v>
      </c>
      <c r="H2734" s="1" t="str">
        <f>IFERROR(__xludf.DUMMYFUNCTION("""COMPUTED_VALUE"""),"9/3/2023, 17:00:00")</f>
        <v>9/3/2023, 17:00:00</v>
      </c>
      <c r="I2734" s="1" t="str">
        <f>IFERROR(__xludf.DUMMYFUNCTION("""COMPUTED_VALUE"""),"RETIRADO OK POR CLIENTE")</f>
        <v>RETIRADO OK POR CLIENTE</v>
      </c>
      <c r="J2734" s="1">
        <f t="shared" si="3"/>
        <v>6</v>
      </c>
      <c r="K2734" s="1" t="str">
        <f t="shared" si="4"/>
        <v>Entregamos tus lentes, que los disfrutes!</v>
      </c>
    </row>
    <row r="2735">
      <c r="A2735" s="1">
        <f>IFERROR(__xludf.DUMMYFUNCTION("""COMPUTED_VALUE"""),87280.0)</f>
        <v>87280</v>
      </c>
      <c r="B2735" s="5">
        <f>IFERROR(__xludf.DUMMYFUNCTION("""COMPUTED_VALUE"""),44987.805962997685)</f>
        <v>44987.80596</v>
      </c>
      <c r="C2735" s="1" t="str">
        <f>IFERROR(__xludf.DUMMYFUNCTION("""COMPUTED_VALUE"""),"BUSTO CARINA")</f>
        <v>BUSTO CARINA</v>
      </c>
      <c r="D2735" s="1" t="str">
        <f>IFERROR(__xludf.DUMMYFUNCTION("""COMPUTED_VALUE"""),"Lentes de STOCK")</f>
        <v>Lentes de STOCK</v>
      </c>
      <c r="E2735" s="1" t="str">
        <f>IFERROR(__xludf.DUMMYFUNCTION("""COMPUTED_VALUE"""),"RIVADAVIA Santiago LOPEZ")</f>
        <v>RIVADAVIA Santiago LOPEZ</v>
      </c>
      <c r="F2735" s="1" t="str">
        <f t="shared" si="1"/>
        <v>RIVADAVIA </v>
      </c>
      <c r="G2735" s="1" t="str">
        <f t="shared" si="2"/>
        <v>Santiago LOPEZ</v>
      </c>
      <c r="H2735" s="1" t="str">
        <f>IFERROR(__xludf.DUMMYFUNCTION("""COMPUTED_VALUE"""),"6/3/2023, 17:00:00")</f>
        <v>6/3/2023, 17:00:00</v>
      </c>
      <c r="I2735" s="1" t="str">
        <f>IFERROR(__xludf.DUMMYFUNCTION("""COMPUTED_VALUE"""),"Completado en SUCURSAL")</f>
        <v>Completado en SUCURSAL</v>
      </c>
      <c r="J2735" s="1">
        <f t="shared" si="3"/>
        <v>5</v>
      </c>
      <c r="K2735" s="1" t="str">
        <f t="shared" si="4"/>
        <v>Tus Lentes estan LISTAS PARA ENTREGAR, te esperamos.</v>
      </c>
    </row>
    <row r="2736">
      <c r="A2736" s="1">
        <f>IFERROR(__xludf.DUMMYFUNCTION("""COMPUTED_VALUE"""),87281.0)</f>
        <v>87281</v>
      </c>
      <c r="B2736" s="5">
        <f>IFERROR(__xludf.DUMMYFUNCTION("""COMPUTED_VALUE"""),44987.80911149306)</f>
        <v>44987.80911</v>
      </c>
      <c r="C2736" s="1" t="str">
        <f>IFERROR(__xludf.DUMMYFUNCTION("""COMPUTED_VALUE"""),"ALFONZO MARIELA")</f>
        <v>ALFONZO MARIELA</v>
      </c>
      <c r="D2736" s="1" t="str">
        <f>IFERROR(__xludf.DUMMYFUNCTION("""COMPUTED_VALUE"""),"Lentes de STOCK")</f>
        <v>Lentes de STOCK</v>
      </c>
      <c r="E2736" s="1" t="str">
        <f>IFERROR(__xludf.DUMMYFUNCTION("""COMPUTED_VALUE"""),"ARTIGAS Ivana P.")</f>
        <v>ARTIGAS Ivana P.</v>
      </c>
      <c r="F2736" s="1" t="str">
        <f t="shared" si="1"/>
        <v>ARTIGAS </v>
      </c>
      <c r="G2736" s="1" t="str">
        <f t="shared" si="2"/>
        <v>Ivana P.</v>
      </c>
      <c r="H2736" s="1" t="str">
        <f>IFERROR(__xludf.DUMMYFUNCTION("""COMPUTED_VALUE"""),"7/3/2023, 17:00:00")</f>
        <v>7/3/2023, 17:00:00</v>
      </c>
      <c r="I2736" s="1" t="str">
        <f>IFERROR(__xludf.DUMMYFUNCTION("""COMPUTED_VALUE"""),"Completado en SUCURSAL")</f>
        <v>Completado en SUCURSAL</v>
      </c>
      <c r="J2736" s="1">
        <f t="shared" si="3"/>
        <v>5</v>
      </c>
      <c r="K2736" s="1" t="str">
        <f t="shared" si="4"/>
        <v>Tus Lentes estan LISTAS PARA ENTREGAR, te esperamos.</v>
      </c>
    </row>
    <row r="2737">
      <c r="A2737" s="1">
        <f>IFERROR(__xludf.DUMMYFUNCTION("""COMPUTED_VALUE"""),87282.0)</f>
        <v>87282</v>
      </c>
      <c r="B2737" s="5">
        <f>IFERROR(__xludf.DUMMYFUNCTION("""COMPUTED_VALUE"""),44987.81335597222)</f>
        <v>44987.81336</v>
      </c>
      <c r="C2737" s="1" t="str">
        <f>IFERROR(__xludf.DUMMYFUNCTION("""COMPUTED_VALUE"""),"LUCERO ALCIRA")</f>
        <v>LUCERO ALCIRA</v>
      </c>
      <c r="D2737" s="1" t="str">
        <f>IFERROR(__xludf.DUMMYFUNCTION("""COMPUTED_VALUE"""),"Lentes de STOCK")</f>
        <v>Lentes de STOCK</v>
      </c>
      <c r="E2737" s="1" t="str">
        <f>IFERROR(__xludf.DUMMYFUNCTION("""COMPUTED_VALUE"""),"RIVADAVIA Luciana")</f>
        <v>RIVADAVIA Luciana</v>
      </c>
      <c r="F2737" s="1" t="str">
        <f t="shared" si="1"/>
        <v>RIVADAVIA </v>
      </c>
      <c r="G2737" s="1" t="str">
        <f t="shared" si="2"/>
        <v>Luciana</v>
      </c>
      <c r="H2737" s="1" t="str">
        <f>IFERROR(__xludf.DUMMYFUNCTION("""COMPUTED_VALUE"""),"8/3/2023, 17:00:00")</f>
        <v>8/3/2023, 17:00:00</v>
      </c>
      <c r="I2737" s="1" t="str">
        <f>IFERROR(__xludf.DUMMYFUNCTION("""COMPUTED_VALUE"""),"Completado en SUCURSAL")</f>
        <v>Completado en SUCURSAL</v>
      </c>
      <c r="J2737" s="1">
        <f t="shared" si="3"/>
        <v>5</v>
      </c>
      <c r="K2737" s="1" t="str">
        <f t="shared" si="4"/>
        <v>Tus Lentes estan LISTAS PARA ENTREGAR, te esperamos.</v>
      </c>
    </row>
    <row r="2738">
      <c r="A2738" s="1">
        <f>IFERROR(__xludf.DUMMYFUNCTION("""COMPUTED_VALUE"""),87283.0)</f>
        <v>87283</v>
      </c>
      <c r="B2738" s="5">
        <f>IFERROR(__xludf.DUMMYFUNCTION("""COMPUTED_VALUE"""),44987.813972986114)</f>
        <v>44987.81397</v>
      </c>
      <c r="C2738" s="1" t="str">
        <f>IFERROR(__xludf.DUMMYFUNCTION("""COMPUTED_VALUE"""),"diaz liliana")</f>
        <v>diaz liliana</v>
      </c>
      <c r="D2738" s="1" t="str">
        <f>IFERROR(__xludf.DUMMYFUNCTION("""COMPUTED_VALUE"""),"Lentes de STOCK")</f>
        <v>Lentes de STOCK</v>
      </c>
      <c r="E2738" s="1" t="str">
        <f>IFERROR(__xludf.DUMMYFUNCTION("""COMPUTED_VALUE"""),"RIVADAVIA Santiago N")</f>
        <v>RIVADAVIA Santiago N</v>
      </c>
      <c r="F2738" s="1" t="str">
        <f t="shared" si="1"/>
        <v>RIVADAVIA </v>
      </c>
      <c r="G2738" s="1" t="str">
        <f t="shared" si="2"/>
        <v>Santiago N</v>
      </c>
      <c r="H2738" s="1" t="str">
        <f>IFERROR(__xludf.DUMMYFUNCTION("""COMPUTED_VALUE"""),"6/3/2023, 17:00:00")</f>
        <v>6/3/2023, 17:00:00</v>
      </c>
      <c r="I2738" s="1" t="str">
        <f>IFERROR(__xludf.DUMMYFUNCTION("""COMPUTED_VALUE"""),"Completado en SUCURSAL")</f>
        <v>Completado en SUCURSAL</v>
      </c>
      <c r="J2738" s="1">
        <f t="shared" si="3"/>
        <v>5</v>
      </c>
      <c r="K2738" s="1" t="str">
        <f t="shared" si="4"/>
        <v>Tus Lentes estan LISTAS PARA ENTREGAR, te esperamos.</v>
      </c>
    </row>
    <row r="2739">
      <c r="A2739" s="1">
        <f>IFERROR(__xludf.DUMMYFUNCTION("""COMPUTED_VALUE"""),87284.0)</f>
        <v>87284</v>
      </c>
      <c r="B2739" s="5">
        <f>IFERROR(__xludf.DUMMYFUNCTION("""COMPUTED_VALUE"""),44987.81452554398)</f>
        <v>44987.81453</v>
      </c>
      <c r="C2739" s="1" t="str">
        <f>IFERROR(__xludf.DUMMYFUNCTION("""COMPUTED_VALUE"""),"ROSALES EMILIANA")</f>
        <v>ROSALES EMILIANA</v>
      </c>
      <c r="D2739" s="1" t="str">
        <f>IFERROR(__xludf.DUMMYFUNCTION("""COMPUTED_VALUE"""),"Lentes de STOCK")</f>
        <v>Lentes de STOCK</v>
      </c>
      <c r="E2739" s="1" t="str">
        <f>IFERROR(__xludf.DUMMYFUNCTION("""COMPUTED_VALUE"""),"RIVADAVIA Javier")</f>
        <v>RIVADAVIA Javier</v>
      </c>
      <c r="F2739" s="1" t="str">
        <f t="shared" si="1"/>
        <v>RIVADAVIA </v>
      </c>
      <c r="G2739" s="1" t="str">
        <f t="shared" si="2"/>
        <v>Javier</v>
      </c>
      <c r="H2739" s="1" t="str">
        <f>IFERROR(__xludf.DUMMYFUNCTION("""COMPUTED_VALUE"""),"8/3/2023, 17:00:00")</f>
        <v>8/3/2023, 17:00:00</v>
      </c>
      <c r="I2739" s="1" t="str">
        <f>IFERROR(__xludf.DUMMYFUNCTION("""COMPUTED_VALUE"""),"Completado en SUCURSAL")</f>
        <v>Completado en SUCURSAL</v>
      </c>
      <c r="J2739" s="1">
        <f t="shared" si="3"/>
        <v>5</v>
      </c>
      <c r="K2739" s="1" t="str">
        <f t="shared" si="4"/>
        <v>Tus Lentes estan LISTAS PARA ENTREGAR, te esperamos.</v>
      </c>
    </row>
    <row r="2740">
      <c r="A2740" s="1">
        <f>IFERROR(__xludf.DUMMYFUNCTION("""COMPUTED_VALUE"""),87285.0)</f>
        <v>87285</v>
      </c>
      <c r="B2740" s="5">
        <f>IFERROR(__xludf.DUMMYFUNCTION("""COMPUTED_VALUE"""),44987.815889722224)</f>
        <v>44987.81589</v>
      </c>
      <c r="C2740" s="1" t="str">
        <f>IFERROR(__xludf.DUMMYFUNCTION("""COMPUTED_VALUE"""),"CORREA VALENTIN")</f>
        <v>CORREA VALENTIN</v>
      </c>
      <c r="D2740" s="1" t="str">
        <f>IFERROR(__xludf.DUMMYFUNCTION("""COMPUTED_VALUE"""),"Lentes de STOCK")</f>
        <v>Lentes de STOCK</v>
      </c>
      <c r="E2740" s="1" t="str">
        <f>IFERROR(__xludf.DUMMYFUNCTION("""COMPUTED_VALUE"""),"RIVADAVIA Luciana")</f>
        <v>RIVADAVIA Luciana</v>
      </c>
      <c r="F2740" s="1" t="str">
        <f t="shared" si="1"/>
        <v>RIVADAVIA </v>
      </c>
      <c r="G2740" s="1" t="str">
        <f t="shared" si="2"/>
        <v>Luciana</v>
      </c>
      <c r="H2740" s="1" t="str">
        <f>IFERROR(__xludf.DUMMYFUNCTION("""COMPUTED_VALUE"""),"8/3/2023, 17:00:00")</f>
        <v>8/3/2023, 17:00:00</v>
      </c>
      <c r="I2740" s="1" t="str">
        <f>IFERROR(__xludf.DUMMYFUNCTION("""COMPUTED_VALUE"""),"Completado en SUCURSAL")</f>
        <v>Completado en SUCURSAL</v>
      </c>
      <c r="J2740" s="1">
        <f t="shared" si="3"/>
        <v>5</v>
      </c>
      <c r="K2740" s="1" t="str">
        <f t="shared" si="4"/>
        <v>Tus Lentes estan LISTAS PARA ENTREGAR, te esperamos.</v>
      </c>
    </row>
    <row r="2741">
      <c r="A2741" s="1">
        <f>IFERROR(__xludf.DUMMYFUNCTION("""COMPUTED_VALUE"""),87286.0)</f>
        <v>87286</v>
      </c>
      <c r="B2741" s="5">
        <f>IFERROR(__xludf.DUMMYFUNCTION("""COMPUTED_VALUE"""),44987.81692913194)</f>
        <v>44987.81693</v>
      </c>
      <c r="C2741" s="1" t="str">
        <f>IFERROR(__xludf.DUMMYFUNCTION("""COMPUTED_VALUE"""),"FELIX MARIANA")</f>
        <v>FELIX MARIANA</v>
      </c>
      <c r="D2741" s="1" t="str">
        <f>IFERROR(__xludf.DUMMYFUNCTION("""COMPUTED_VALUE"""),"Lentes de STOCK")</f>
        <v>Lentes de STOCK</v>
      </c>
      <c r="E2741" s="1" t="str">
        <f>IFERROR(__xludf.DUMMYFUNCTION("""COMPUTED_VALUE"""),"RIVADAVIA Santiago LOPEZ")</f>
        <v>RIVADAVIA Santiago LOPEZ</v>
      </c>
      <c r="F2741" s="1" t="str">
        <f t="shared" si="1"/>
        <v>RIVADAVIA </v>
      </c>
      <c r="G2741" s="1" t="str">
        <f t="shared" si="2"/>
        <v>Santiago LOPEZ</v>
      </c>
      <c r="H2741" s="1" t="str">
        <f>IFERROR(__xludf.DUMMYFUNCTION("""COMPUTED_VALUE"""),"6/3/2023, 17:00:00")</f>
        <v>6/3/2023, 17:00:00</v>
      </c>
      <c r="I2741" s="1" t="str">
        <f>IFERROR(__xludf.DUMMYFUNCTION("""COMPUTED_VALUE"""),"Completado en SUCURSAL")</f>
        <v>Completado en SUCURSAL</v>
      </c>
      <c r="J2741" s="1">
        <f t="shared" si="3"/>
        <v>5</v>
      </c>
      <c r="K2741" s="1" t="str">
        <f t="shared" si="4"/>
        <v>Tus Lentes estan LISTAS PARA ENTREGAR, te esperamos.</v>
      </c>
    </row>
    <row r="2742">
      <c r="A2742" s="1">
        <f>IFERROR(__xludf.DUMMYFUNCTION("""COMPUTED_VALUE"""),87287.0)</f>
        <v>87287</v>
      </c>
      <c r="B2742" s="5">
        <f>IFERROR(__xludf.DUMMYFUNCTION("""COMPUTED_VALUE"""),44987.8200075)</f>
        <v>44987.82001</v>
      </c>
      <c r="C2742" s="1" t="str">
        <f>IFERROR(__xludf.DUMMYFUNCTION("""COMPUTED_VALUE"""),"lucero tiziano")</f>
        <v>lucero tiziano</v>
      </c>
      <c r="D2742" s="1" t="str">
        <f>IFERROR(__xludf.DUMMYFUNCTION("""COMPUTED_VALUE"""),"Lentes de STOCK")</f>
        <v>Lentes de STOCK</v>
      </c>
      <c r="E2742" s="1" t="str">
        <f>IFERROR(__xludf.DUMMYFUNCTION("""COMPUTED_VALUE"""),"RIVADAVIA Santiago N")</f>
        <v>RIVADAVIA Santiago N</v>
      </c>
      <c r="F2742" s="1" t="str">
        <f t="shared" si="1"/>
        <v>RIVADAVIA </v>
      </c>
      <c r="G2742" s="1" t="str">
        <f t="shared" si="2"/>
        <v>Santiago N</v>
      </c>
      <c r="H2742" s="1" t="str">
        <f>IFERROR(__xludf.DUMMYFUNCTION("""COMPUTED_VALUE"""),"6/3/2023, 17:00:00")</f>
        <v>6/3/2023, 17:00:00</v>
      </c>
      <c r="I2742" s="1" t="str">
        <f>IFERROR(__xludf.DUMMYFUNCTION("""COMPUTED_VALUE"""),"Completado en SUCURSAL")</f>
        <v>Completado en SUCURSAL</v>
      </c>
      <c r="J2742" s="1">
        <f t="shared" si="3"/>
        <v>5</v>
      </c>
      <c r="K2742" s="1" t="str">
        <f t="shared" si="4"/>
        <v>Tus Lentes estan LISTAS PARA ENTREGAR, te esperamos.</v>
      </c>
    </row>
    <row r="2743">
      <c r="A2743" s="1">
        <f>IFERROR(__xludf.DUMMYFUNCTION("""COMPUTED_VALUE"""),87288.0)</f>
        <v>87288</v>
      </c>
      <c r="B2743" s="5">
        <f>IFERROR(__xludf.DUMMYFUNCTION("""COMPUTED_VALUE"""),44987.821598055554)</f>
        <v>44987.8216</v>
      </c>
      <c r="C2743" s="1" t="str">
        <f>IFERROR(__xludf.DUMMYFUNCTION("""COMPUTED_VALUE"""),"ALLENDE CABRERA DEIDAMIA DEL PILAR")</f>
        <v>ALLENDE CABRERA DEIDAMIA DEL PILAR</v>
      </c>
      <c r="D2743" s="1" t="str">
        <f>IFERROR(__xludf.DUMMYFUNCTION("""COMPUTED_VALUE"""),"Lentes de STOCK")</f>
        <v>Lentes de STOCK</v>
      </c>
      <c r="E2743" s="1" t="str">
        <f>IFERROR(__xludf.DUMMYFUNCTION("""COMPUTED_VALUE"""),"ARTIGAS Cristian C.")</f>
        <v>ARTIGAS Cristian C.</v>
      </c>
      <c r="F2743" s="1" t="str">
        <f t="shared" si="1"/>
        <v>ARTIGAS </v>
      </c>
      <c r="G2743" s="1" t="str">
        <f t="shared" si="2"/>
        <v>Cristian C.</v>
      </c>
      <c r="H2743" s="1" t="str">
        <f>IFERROR(__xludf.DUMMYFUNCTION("""COMPUTED_VALUE"""),"9/3/2023, 17:00:00")</f>
        <v>9/3/2023, 17:00:00</v>
      </c>
      <c r="I2743" s="1" t="str">
        <f>IFERROR(__xludf.DUMMYFUNCTION("""COMPUTED_VALUE"""),"Completado en SUCURSAL")</f>
        <v>Completado en SUCURSAL</v>
      </c>
      <c r="J2743" s="1">
        <f t="shared" si="3"/>
        <v>5</v>
      </c>
      <c r="K2743" s="1" t="str">
        <f t="shared" si="4"/>
        <v>Tus Lentes estan LISTAS PARA ENTREGAR, te esperamos.</v>
      </c>
    </row>
    <row r="2744">
      <c r="A2744" s="1">
        <f>IFERROR(__xludf.DUMMYFUNCTION("""COMPUTED_VALUE"""),87289.0)</f>
        <v>87289</v>
      </c>
      <c r="B2744" s="5">
        <f>IFERROR(__xludf.DUMMYFUNCTION("""COMPUTED_VALUE"""),44987.82457038194)</f>
        <v>44987.82457</v>
      </c>
      <c r="C2744" s="1" t="str">
        <f>IFERROR(__xludf.DUMMYFUNCTION("""COMPUTED_VALUE"""),"DUBOIS JUAN CARLOS")</f>
        <v>DUBOIS JUAN CARLOS</v>
      </c>
      <c r="D2744" s="1" t="str">
        <f>IFERROR(__xludf.DUMMYFUNCTION("""COMPUTED_VALUE"""),"Lentes de STOCK")</f>
        <v>Lentes de STOCK</v>
      </c>
      <c r="E2744" s="1" t="str">
        <f>IFERROR(__xludf.DUMMYFUNCTION("""COMPUTED_VALUE"""),"ARTIGAS Ivana P.")</f>
        <v>ARTIGAS Ivana P.</v>
      </c>
      <c r="F2744" s="1" t="str">
        <f t="shared" si="1"/>
        <v>ARTIGAS </v>
      </c>
      <c r="G2744" s="1" t="str">
        <f t="shared" si="2"/>
        <v>Ivana P.</v>
      </c>
      <c r="H2744" s="1" t="str">
        <f>IFERROR(__xludf.DUMMYFUNCTION("""COMPUTED_VALUE"""),"7/3/2023, 17:00:00")</f>
        <v>7/3/2023, 17:00:00</v>
      </c>
      <c r="I2744" s="1" t="str">
        <f>IFERROR(__xludf.DUMMYFUNCTION("""COMPUTED_VALUE"""),"Completado en SUCURSAL")</f>
        <v>Completado en SUCURSAL</v>
      </c>
      <c r="J2744" s="1">
        <f t="shared" si="3"/>
        <v>5</v>
      </c>
      <c r="K2744" s="1" t="str">
        <f t="shared" si="4"/>
        <v>Tus Lentes estan LISTAS PARA ENTREGAR, te esperamos.</v>
      </c>
    </row>
    <row r="2745">
      <c r="A2745" s="1">
        <f>IFERROR(__xludf.DUMMYFUNCTION("""COMPUTED_VALUE"""),87290.0)</f>
        <v>87290</v>
      </c>
      <c r="B2745" s="5">
        <f>IFERROR(__xludf.DUMMYFUNCTION("""COMPUTED_VALUE"""),44987.82558371528)</f>
        <v>44987.82558</v>
      </c>
      <c r="C2745" s="1" t="str">
        <f>IFERROR(__xludf.DUMMYFUNCTION("""COMPUTED_VALUE"""),"BUSTOS SILVINA ")</f>
        <v>BUSTOS SILVINA </v>
      </c>
      <c r="D2745" s="1" t="str">
        <f>IFERROR(__xludf.DUMMYFUNCTION("""COMPUTED_VALUE"""),"Lentes de STOCK")</f>
        <v>Lentes de STOCK</v>
      </c>
      <c r="E2745" s="1" t="str">
        <f>IFERROR(__xludf.DUMMYFUNCTION("""COMPUTED_VALUE"""),"RIVADAVIA Luciana")</f>
        <v>RIVADAVIA Luciana</v>
      </c>
      <c r="F2745" s="1" t="str">
        <f t="shared" si="1"/>
        <v>RIVADAVIA </v>
      </c>
      <c r="G2745" s="1" t="str">
        <f t="shared" si="2"/>
        <v>Luciana</v>
      </c>
      <c r="H2745" s="1" t="str">
        <f>IFERROR(__xludf.DUMMYFUNCTION("""COMPUTED_VALUE"""),"9/3/2023, 17:00:00")</f>
        <v>9/3/2023, 17:00:00</v>
      </c>
      <c r="I2745" s="1" t="str">
        <f>IFERROR(__xludf.DUMMYFUNCTION("""COMPUTED_VALUE"""),"Completado en SUCURSAL")</f>
        <v>Completado en SUCURSAL</v>
      </c>
      <c r="J2745" s="1">
        <f t="shared" si="3"/>
        <v>5</v>
      </c>
      <c r="K2745" s="1" t="str">
        <f t="shared" si="4"/>
        <v>Tus Lentes estan LISTAS PARA ENTREGAR, te esperamos.</v>
      </c>
    </row>
    <row r="2746">
      <c r="A2746" s="1">
        <f>IFERROR(__xludf.DUMMYFUNCTION("""COMPUTED_VALUE"""),87291.0)</f>
        <v>87291</v>
      </c>
      <c r="B2746" s="5">
        <f>IFERROR(__xludf.DUMMYFUNCTION("""COMPUTED_VALUE"""),44987.828271805556)</f>
        <v>44987.82827</v>
      </c>
      <c r="C2746" s="1" t="str">
        <f>IFERROR(__xludf.DUMMYFUNCTION("""COMPUTED_VALUE"""),"ESTEVES LUCO ADRIANA ")</f>
        <v>ESTEVES LUCO ADRIANA </v>
      </c>
      <c r="D2746" s="1" t="str">
        <f>IFERROR(__xludf.DUMMYFUNCTION("""COMPUTED_VALUE"""),"Reparaciones/Otros")</f>
        <v>Reparaciones/Otros</v>
      </c>
      <c r="E2746" s="1" t="str">
        <f>IFERROR(__xludf.DUMMYFUNCTION("""COMPUTED_VALUE"""),"RIVADAVIA Rocio B")</f>
        <v>RIVADAVIA Rocio B</v>
      </c>
      <c r="F2746" s="1" t="str">
        <f t="shared" si="1"/>
        <v>RIVADAVIA </v>
      </c>
      <c r="G2746" s="1" t="str">
        <f t="shared" si="2"/>
        <v>Rocio B</v>
      </c>
      <c r="H2746" s="1" t="str">
        <f>IFERROR(__xludf.DUMMYFUNCTION("""COMPUTED_VALUE"""),"3/3/2023, 17:00:00")</f>
        <v>3/3/2023, 17:00:00</v>
      </c>
      <c r="I2746" s="1" t="str">
        <f>IFERROR(__xludf.DUMMYFUNCTION("""COMPUTED_VALUE"""),"Recibido en Laboratorio")</f>
        <v>Recibido en Laboratorio</v>
      </c>
      <c r="J2746" s="1">
        <f t="shared" si="3"/>
        <v>2</v>
      </c>
      <c r="K2746" s="1" t="str">
        <f t="shared" si="4"/>
        <v>Nuestro Laboratorio esta trabajando en tus lentes, los entregaremos en la fecha acordada.</v>
      </c>
    </row>
    <row r="2747">
      <c r="A2747" s="1">
        <f>IFERROR(__xludf.DUMMYFUNCTION("""COMPUTED_VALUE"""),87292.0)</f>
        <v>87292</v>
      </c>
      <c r="B2747" s="5">
        <f>IFERROR(__xludf.DUMMYFUNCTION("""COMPUTED_VALUE"""),44987.82899207176)</f>
        <v>44987.82899</v>
      </c>
      <c r="C2747" s="1" t="str">
        <f>IFERROR(__xludf.DUMMYFUNCTION("""COMPUTED_VALUE"""),"evelin gomez")</f>
        <v>evelin gomez</v>
      </c>
      <c r="D2747" s="1" t="str">
        <f>IFERROR(__xludf.DUMMYFUNCTION("""COMPUTED_VALUE"""),"Reparaciones/Otros")</f>
        <v>Reparaciones/Otros</v>
      </c>
      <c r="E2747" s="1" t="str">
        <f>IFERROR(__xludf.DUMMYFUNCTION("""COMPUTED_VALUE"""),"RIVADAVIA Daniel CM")</f>
        <v>RIVADAVIA Daniel CM</v>
      </c>
      <c r="F2747" s="1" t="str">
        <f t="shared" si="1"/>
        <v>RIVADAVIA </v>
      </c>
      <c r="G2747" s="1" t="str">
        <f t="shared" si="2"/>
        <v>Daniel CM</v>
      </c>
      <c r="H2747" s="1" t="str">
        <f>IFERROR(__xludf.DUMMYFUNCTION("""COMPUTED_VALUE"""),"3/3/2023, 17:00:00")</f>
        <v>3/3/2023, 17:00:00</v>
      </c>
      <c r="I2747" s="1" t="str">
        <f>IFERROR(__xludf.DUMMYFUNCTION("""COMPUTED_VALUE"""),"Recibido en Laboratorio")</f>
        <v>Recibido en Laboratorio</v>
      </c>
      <c r="J2747" s="1">
        <f t="shared" si="3"/>
        <v>2</v>
      </c>
      <c r="K2747" s="1" t="str">
        <f t="shared" si="4"/>
        <v>Nuestro Laboratorio esta trabajando en tus lentes, los entregaremos en la fecha acordada.</v>
      </c>
    </row>
    <row r="2748">
      <c r="A2748" s="1">
        <f>IFERROR(__xludf.DUMMYFUNCTION("""COMPUTED_VALUE"""),87293.0)</f>
        <v>87293</v>
      </c>
      <c r="B2748" s="5">
        <f>IFERROR(__xludf.DUMMYFUNCTION("""COMPUTED_VALUE"""),44987.829844548614)</f>
        <v>44987.82984</v>
      </c>
      <c r="C2748" s="1" t="str">
        <f>IFERROR(__xludf.DUMMYFUNCTION("""COMPUTED_VALUE"""),"LUCERO LUIS")</f>
        <v>LUCERO LUIS</v>
      </c>
      <c r="D2748" s="1" t="str">
        <f>IFERROR(__xludf.DUMMYFUNCTION("""COMPUTED_VALUE"""),"Lentes BIFOCALES")</f>
        <v>Lentes BIFOCALES</v>
      </c>
      <c r="E2748" s="1" t="str">
        <f>IFERROR(__xludf.DUMMYFUNCTION("""COMPUTED_VALUE"""),"ARTIGAS Ivana P.")</f>
        <v>ARTIGAS Ivana P.</v>
      </c>
      <c r="F2748" s="1" t="str">
        <f t="shared" si="1"/>
        <v>ARTIGAS </v>
      </c>
      <c r="G2748" s="1" t="str">
        <f t="shared" si="2"/>
        <v>Ivana P.</v>
      </c>
      <c r="H2748" s="1" t="str">
        <f>IFERROR(__xludf.DUMMYFUNCTION("""COMPUTED_VALUE"""),"16/3/2023, 17:00:00")</f>
        <v>16/3/2023, 17:00:00</v>
      </c>
      <c r="I2748" s="1" t="str">
        <f>IFERROR(__xludf.DUMMYFUNCTION("""COMPUTED_VALUE"""),"Completado en SUCURSAL")</f>
        <v>Completado en SUCURSAL</v>
      </c>
      <c r="J2748" s="1">
        <f t="shared" si="3"/>
        <v>5</v>
      </c>
      <c r="K2748" s="1" t="str">
        <f t="shared" si="4"/>
        <v>Tus Lentes estan LISTAS PARA ENTREGAR, te esperamos.</v>
      </c>
    </row>
    <row r="2749">
      <c r="A2749" s="1">
        <f>IFERROR(__xludf.DUMMYFUNCTION("""COMPUTED_VALUE"""),87294.0)</f>
        <v>87294</v>
      </c>
      <c r="B2749" s="5">
        <f>IFERROR(__xludf.DUMMYFUNCTION("""COMPUTED_VALUE"""),44987.83825690972)</f>
        <v>44987.83826</v>
      </c>
      <c r="C2749" s="1" t="str">
        <f>IFERROR(__xludf.DUMMYFUNCTION("""COMPUTED_VALUE"""),"cipolla jonathan")</f>
        <v>cipolla jonathan</v>
      </c>
      <c r="D2749" s="1" t="str">
        <f>IFERROR(__xludf.DUMMYFUNCTION("""COMPUTED_VALUE"""),"Lentes de STOCK")</f>
        <v>Lentes de STOCK</v>
      </c>
      <c r="E2749" s="1" t="str">
        <f>IFERROR(__xludf.DUMMYFUNCTION("""COMPUTED_VALUE"""),"RIVADAVIA Santiago N")</f>
        <v>RIVADAVIA Santiago N</v>
      </c>
      <c r="F2749" s="1" t="str">
        <f t="shared" si="1"/>
        <v>RIVADAVIA </v>
      </c>
      <c r="G2749" s="1" t="str">
        <f t="shared" si="2"/>
        <v>Santiago N</v>
      </c>
      <c r="H2749" s="1" t="str">
        <f>IFERROR(__xludf.DUMMYFUNCTION("""COMPUTED_VALUE"""),"6/3/2023, 17:00:00")</f>
        <v>6/3/2023, 17:00:00</v>
      </c>
      <c r="I2749" s="1" t="str">
        <f>IFERROR(__xludf.DUMMYFUNCTION("""COMPUTED_VALUE"""),"Completado en SUCURSAL")</f>
        <v>Completado en SUCURSAL</v>
      </c>
      <c r="J2749" s="1">
        <f t="shared" si="3"/>
        <v>5</v>
      </c>
      <c r="K2749" s="1" t="str">
        <f t="shared" si="4"/>
        <v>Tus Lentes estan LISTAS PARA ENTREGAR, te esperamos.</v>
      </c>
    </row>
    <row r="2750">
      <c r="A2750" s="1">
        <f>IFERROR(__xludf.DUMMYFUNCTION("""COMPUTED_VALUE"""),87295.0)</f>
        <v>87295</v>
      </c>
      <c r="B2750" s="5">
        <f>IFERROR(__xludf.DUMMYFUNCTION("""COMPUTED_VALUE"""),44987.83873821759)</f>
        <v>44987.83874</v>
      </c>
      <c r="C2750" s="1" t="str">
        <f>IFERROR(__xludf.DUMMYFUNCTION("""COMPUTED_VALUE"""),"PEREZ NESTOR")</f>
        <v>PEREZ NESTOR</v>
      </c>
      <c r="D2750" s="1" t="str">
        <f>IFERROR(__xludf.DUMMYFUNCTION("""COMPUTED_VALUE"""),"Lentes de STOCK")</f>
        <v>Lentes de STOCK</v>
      </c>
      <c r="E2750" s="1" t="str">
        <f>IFERROR(__xludf.DUMMYFUNCTION("""COMPUTED_VALUE"""),"RIVADAVIA Luciana")</f>
        <v>RIVADAVIA Luciana</v>
      </c>
      <c r="F2750" s="1" t="str">
        <f t="shared" si="1"/>
        <v>RIVADAVIA </v>
      </c>
      <c r="G2750" s="1" t="str">
        <f t="shared" si="2"/>
        <v>Luciana</v>
      </c>
      <c r="H2750" s="1" t="str">
        <f>IFERROR(__xludf.DUMMYFUNCTION("""COMPUTED_VALUE"""),"9/3/2023, 17:00:00")</f>
        <v>9/3/2023, 17:00:00</v>
      </c>
      <c r="I2750" s="1" t="str">
        <f>IFERROR(__xludf.DUMMYFUNCTION("""COMPUTED_VALUE"""),"Completado en SUCURSAL")</f>
        <v>Completado en SUCURSAL</v>
      </c>
      <c r="J2750" s="1">
        <f t="shared" si="3"/>
        <v>5</v>
      </c>
      <c r="K2750" s="1" t="str">
        <f t="shared" si="4"/>
        <v>Tus Lentes estan LISTAS PARA ENTREGAR, te esperamos.</v>
      </c>
    </row>
    <row r="2751">
      <c r="A2751" s="1">
        <f>IFERROR(__xludf.DUMMYFUNCTION("""COMPUTED_VALUE"""),87296.0)</f>
        <v>87296</v>
      </c>
      <c r="B2751" s="5">
        <f>IFERROR(__xludf.DUMMYFUNCTION("""COMPUTED_VALUE"""),44987.842699375)</f>
        <v>44987.8427</v>
      </c>
      <c r="C2751" s="1" t="str">
        <f>IFERROR(__xludf.DUMMYFUNCTION("""COMPUTED_VALUE"""),"campos mirtha ")</f>
        <v>campos mirtha </v>
      </c>
      <c r="D2751" s="1" t="str">
        <f>IFERROR(__xludf.DUMMYFUNCTION("""COMPUTED_VALUE"""),"Lentes de STOCK")</f>
        <v>Lentes de STOCK</v>
      </c>
      <c r="E2751" s="1" t="str">
        <f>IFERROR(__xludf.DUMMYFUNCTION("""COMPUTED_VALUE"""),"ARTIGAS Cristian C.")</f>
        <v>ARTIGAS Cristian C.</v>
      </c>
      <c r="F2751" s="1" t="str">
        <f t="shared" si="1"/>
        <v>ARTIGAS </v>
      </c>
      <c r="G2751" s="1" t="str">
        <f t="shared" si="2"/>
        <v>Cristian C.</v>
      </c>
      <c r="H2751" s="1" t="str">
        <f>IFERROR(__xludf.DUMMYFUNCTION("""COMPUTED_VALUE"""),"9/3/2023, 17:00:00")</f>
        <v>9/3/2023, 17:00:00</v>
      </c>
      <c r="I2751" s="1" t="str">
        <f>IFERROR(__xludf.DUMMYFUNCTION("""COMPUTED_VALUE"""),"Completado en SUCURSAL")</f>
        <v>Completado en SUCURSAL</v>
      </c>
      <c r="J2751" s="1">
        <f t="shared" si="3"/>
        <v>5</v>
      </c>
      <c r="K2751" s="1" t="str">
        <f t="shared" si="4"/>
        <v>Tus Lentes estan LISTAS PARA ENTREGAR, te esperamos.</v>
      </c>
    </row>
    <row r="2752">
      <c r="A2752" s="1">
        <f>IFERROR(__xludf.DUMMYFUNCTION("""COMPUTED_VALUE"""),87297.0)</f>
        <v>87297</v>
      </c>
      <c r="B2752" s="5">
        <f>IFERROR(__xludf.DUMMYFUNCTION("""COMPUTED_VALUE"""),44987.84745813657)</f>
        <v>44987.84746</v>
      </c>
      <c r="C2752" s="1" t="str">
        <f>IFERROR(__xludf.DUMMYFUNCTION("""COMPUTED_VALUE"""),"CHAVES ARIANA")</f>
        <v>CHAVES ARIANA</v>
      </c>
      <c r="D2752" s="1" t="str">
        <f>IFERROR(__xludf.DUMMYFUNCTION("""COMPUTED_VALUE"""),"Lentes de STOCK")</f>
        <v>Lentes de STOCK</v>
      </c>
      <c r="E2752" s="1" t="str">
        <f>IFERROR(__xludf.DUMMYFUNCTION("""COMPUTED_VALUE"""),"RIVADAVIA Santiago LOPEZ")</f>
        <v>RIVADAVIA Santiago LOPEZ</v>
      </c>
      <c r="F2752" s="1" t="str">
        <f t="shared" si="1"/>
        <v>RIVADAVIA </v>
      </c>
      <c r="G2752" s="1" t="str">
        <f t="shared" si="2"/>
        <v>Santiago LOPEZ</v>
      </c>
      <c r="H2752" s="1" t="str">
        <f>IFERROR(__xludf.DUMMYFUNCTION("""COMPUTED_VALUE"""),"6/3/2023, 17:00:00")</f>
        <v>6/3/2023, 17:00:00</v>
      </c>
      <c r="I2752" s="1" t="str">
        <f>IFERROR(__xludf.DUMMYFUNCTION("""COMPUTED_VALUE"""),"Completado en SUCURSAL")</f>
        <v>Completado en SUCURSAL</v>
      </c>
      <c r="J2752" s="1">
        <f t="shared" si="3"/>
        <v>5</v>
      </c>
      <c r="K2752" s="1" t="str">
        <f t="shared" si="4"/>
        <v>Tus Lentes estan LISTAS PARA ENTREGAR, te esperamos.</v>
      </c>
    </row>
    <row r="2753">
      <c r="A2753" s="1">
        <f>IFERROR(__xludf.DUMMYFUNCTION("""COMPUTED_VALUE"""),87298.0)</f>
        <v>87298</v>
      </c>
      <c r="B2753" s="5">
        <f>IFERROR(__xludf.DUMMYFUNCTION("""COMPUTED_VALUE"""),44987.861287754626)</f>
        <v>44987.86129</v>
      </c>
      <c r="C2753" s="1" t="str">
        <f>IFERROR(__xludf.DUMMYFUNCTION("""COMPUTED_VALUE"""),"DI GENNARO MARICEL")</f>
        <v>DI GENNARO MARICEL</v>
      </c>
      <c r="D2753" s="1" t="str">
        <f>IFERROR(__xludf.DUMMYFUNCTION("""COMPUTED_VALUE"""),"Lentes de STOCK")</f>
        <v>Lentes de STOCK</v>
      </c>
      <c r="E2753" s="1" t="str">
        <f>IFERROR(__xludf.DUMMYFUNCTION("""COMPUTED_VALUE"""),"RIVADAVIA Javier")</f>
        <v>RIVADAVIA Javier</v>
      </c>
      <c r="F2753" s="1" t="str">
        <f t="shared" si="1"/>
        <v>RIVADAVIA </v>
      </c>
      <c r="G2753" s="1" t="str">
        <f t="shared" si="2"/>
        <v>Javier</v>
      </c>
      <c r="H2753" s="1" t="str">
        <f>IFERROR(__xludf.DUMMYFUNCTION("""COMPUTED_VALUE"""),"9/3/2023, 17:00:00")</f>
        <v>9/3/2023, 17:00:00</v>
      </c>
      <c r="I2753" s="1" t="str">
        <f>IFERROR(__xludf.DUMMYFUNCTION("""COMPUTED_VALUE"""),"Completado en SUCURSAL")</f>
        <v>Completado en SUCURSAL</v>
      </c>
      <c r="J2753" s="1">
        <f t="shared" si="3"/>
        <v>5</v>
      </c>
      <c r="K2753" s="1" t="str">
        <f t="shared" si="4"/>
        <v>Tus Lentes estan LISTAS PARA ENTREGAR, te esperamos.</v>
      </c>
    </row>
    <row r="2754">
      <c r="A2754" s="1">
        <f>IFERROR(__xludf.DUMMYFUNCTION("""COMPUTED_VALUE"""),87299.0)</f>
        <v>87299</v>
      </c>
      <c r="B2754" s="5">
        <f>IFERROR(__xludf.DUMMYFUNCTION("""COMPUTED_VALUE"""),44988.355859965275)</f>
        <v>44988.35586</v>
      </c>
      <c r="C2754" s="1" t="str">
        <f>IFERROR(__xludf.DUMMYFUNCTION("""COMPUTED_VALUE"""),"di sisto valentina")</f>
        <v>di sisto valentina</v>
      </c>
      <c r="D2754" s="1" t="str">
        <f>IFERROR(__xludf.DUMMYFUNCTION("""COMPUTED_VALUE"""),"Lentes de STOCK")</f>
        <v>Lentes de STOCK</v>
      </c>
      <c r="E2754" s="1" t="str">
        <f>IFERROR(__xludf.DUMMYFUNCTION("""COMPUTED_VALUE"""),"RIVADAVIA Santiago N")</f>
        <v>RIVADAVIA Santiago N</v>
      </c>
      <c r="F2754" s="1" t="str">
        <f t="shared" si="1"/>
        <v>RIVADAVIA </v>
      </c>
      <c r="G2754" s="1" t="str">
        <f t="shared" si="2"/>
        <v>Santiago N</v>
      </c>
      <c r="H2754" s="1" t="str">
        <f>IFERROR(__xludf.DUMMYFUNCTION("""COMPUTED_VALUE"""),"6/3/2023, 17:00:00")</f>
        <v>6/3/2023, 17:00:00</v>
      </c>
      <c r="I2754" s="1" t="str">
        <f>IFERROR(__xludf.DUMMYFUNCTION("""COMPUTED_VALUE"""),"Completado en SUCURSAL")</f>
        <v>Completado en SUCURSAL</v>
      </c>
      <c r="J2754" s="1">
        <f t="shared" si="3"/>
        <v>5</v>
      </c>
      <c r="K2754" s="1" t="str">
        <f t="shared" si="4"/>
        <v>Tus Lentes estan LISTAS PARA ENTREGAR, te esperamos.</v>
      </c>
    </row>
    <row r="2755">
      <c r="A2755" s="1">
        <f>IFERROR(__xludf.DUMMYFUNCTION("""COMPUTED_VALUE"""),87300.0)</f>
        <v>87300</v>
      </c>
      <c r="B2755" s="5">
        <f>IFERROR(__xludf.DUMMYFUNCTION("""COMPUTED_VALUE"""),44988.38539038194)</f>
        <v>44988.38539</v>
      </c>
      <c r="C2755" s="1" t="str">
        <f>IFERROR(__xludf.DUMMYFUNCTION("""COMPUTED_VALUE"""),"OROZCO BLANCA")</f>
        <v>OROZCO BLANCA</v>
      </c>
      <c r="D2755" s="1" t="str">
        <f>IFERROR(__xludf.DUMMYFUNCTION("""COMPUTED_VALUE"""),"Lentes de LABORATORIO")</f>
        <v>Lentes de LABORATORIO</v>
      </c>
      <c r="E2755" s="1" t="str">
        <f>IFERROR(__xludf.DUMMYFUNCTION("""COMPUTED_VALUE"""),"RIVADAVIA Santiago N")</f>
        <v>RIVADAVIA Santiago N</v>
      </c>
      <c r="F2755" s="1" t="str">
        <f t="shared" si="1"/>
        <v>RIVADAVIA </v>
      </c>
      <c r="G2755" s="1" t="str">
        <f t="shared" si="2"/>
        <v>Santiago N</v>
      </c>
      <c r="H2755" s="1" t="str">
        <f>IFERROR(__xludf.DUMMYFUNCTION("""COMPUTED_VALUE"""),"10/3/2023, 17:00:00")</f>
        <v>10/3/2023, 17:00:00</v>
      </c>
      <c r="I2755" s="1"/>
      <c r="J2755" s="1">
        <f t="shared" si="3"/>
        <v>0</v>
      </c>
      <c r="K2755" s="1" t="str">
        <f t="shared" si="4"/>
        <v/>
      </c>
    </row>
    <row r="2756">
      <c r="A2756" s="1">
        <f>IFERROR(__xludf.DUMMYFUNCTION("""COMPUTED_VALUE"""),87301.0)</f>
        <v>87301</v>
      </c>
      <c r="B2756" s="5">
        <f>IFERROR(__xludf.DUMMYFUNCTION("""COMPUTED_VALUE"""),44988.38671128472)</f>
        <v>44988.38671</v>
      </c>
      <c r="C2756" s="1" t="str">
        <f>IFERROR(__xludf.DUMMYFUNCTION("""COMPUTED_VALUE"""),"MARASA MIGUEL")</f>
        <v>MARASA MIGUEL</v>
      </c>
      <c r="D2756" s="1" t="str">
        <f>IFERROR(__xludf.DUMMYFUNCTION("""COMPUTED_VALUE"""),"Lentes BIFOCALES")</f>
        <v>Lentes BIFOCALES</v>
      </c>
      <c r="E2756" s="1" t="str">
        <f>IFERROR(__xludf.DUMMYFUNCTION("""COMPUTED_VALUE"""),"ARTIGAS Ivana P.")</f>
        <v>ARTIGAS Ivana P.</v>
      </c>
      <c r="F2756" s="1" t="str">
        <f t="shared" si="1"/>
        <v>ARTIGAS </v>
      </c>
      <c r="G2756" s="1" t="str">
        <f t="shared" si="2"/>
        <v>Ivana P.</v>
      </c>
      <c r="H2756" s="1" t="str">
        <f>IFERROR(__xludf.DUMMYFUNCTION("""COMPUTED_VALUE"""),"13/3/2023, 17:00:00")</f>
        <v>13/3/2023, 17:00:00</v>
      </c>
      <c r="I2756" s="1" t="str">
        <f>IFERROR(__xludf.DUMMYFUNCTION("""COMPUTED_VALUE"""),"Completado en SUCURSAL")</f>
        <v>Completado en SUCURSAL</v>
      </c>
      <c r="J2756" s="1">
        <f t="shared" si="3"/>
        <v>5</v>
      </c>
      <c r="K2756" s="1" t="str">
        <f t="shared" si="4"/>
        <v>Tus Lentes estan LISTAS PARA ENTREGAR, te esperamos.</v>
      </c>
    </row>
    <row r="2757">
      <c r="A2757" s="1">
        <f>IFERROR(__xludf.DUMMYFUNCTION("""COMPUTED_VALUE"""),87302.0)</f>
        <v>87302</v>
      </c>
      <c r="B2757" s="5">
        <f>IFERROR(__xludf.DUMMYFUNCTION("""COMPUTED_VALUE"""),44988.39717575231)</f>
        <v>44988.39718</v>
      </c>
      <c r="C2757" s="1" t="str">
        <f>IFERROR(__xludf.DUMMYFUNCTION("""COMPUTED_VALUE"""),"LOPEZ FEDERICO ANDRES")</f>
        <v>LOPEZ FEDERICO ANDRES</v>
      </c>
      <c r="D2757" s="1" t="str">
        <f>IFERROR(__xludf.DUMMYFUNCTION("""COMPUTED_VALUE"""),"Lentes de STOCK")</f>
        <v>Lentes de STOCK</v>
      </c>
      <c r="E2757" s="1" t="str">
        <f>IFERROR(__xludf.DUMMYFUNCTION("""COMPUTED_VALUE"""),"RIVADAVIA Marcela L")</f>
        <v>RIVADAVIA Marcela L</v>
      </c>
      <c r="F2757" s="1" t="str">
        <f t="shared" si="1"/>
        <v>RIVADAVIA </v>
      </c>
      <c r="G2757" s="1" t="str">
        <f t="shared" si="2"/>
        <v>Marcela L</v>
      </c>
      <c r="H2757" s="1" t="str">
        <f>IFERROR(__xludf.DUMMYFUNCTION("""COMPUTED_VALUE"""),"7/3/2023, 17:00:00")</f>
        <v>7/3/2023, 17:00:00</v>
      </c>
      <c r="I2757" s="1" t="str">
        <f>IFERROR(__xludf.DUMMYFUNCTION("""COMPUTED_VALUE"""),"Completado en SUCURSAL")</f>
        <v>Completado en SUCURSAL</v>
      </c>
      <c r="J2757" s="1">
        <f t="shared" si="3"/>
        <v>5</v>
      </c>
      <c r="K2757" s="1" t="str">
        <f t="shared" si="4"/>
        <v>Tus Lentes estan LISTAS PARA ENTREGAR, te esperamos.</v>
      </c>
    </row>
    <row r="2758">
      <c r="A2758" s="1">
        <f>IFERROR(__xludf.DUMMYFUNCTION("""COMPUTED_VALUE"""),87303.0)</f>
        <v>87303</v>
      </c>
      <c r="B2758" s="5">
        <f>IFERROR(__xludf.DUMMYFUNCTION("""COMPUTED_VALUE"""),44988.39884627315)</f>
        <v>44988.39885</v>
      </c>
      <c r="C2758" s="1" t="str">
        <f>IFERROR(__xludf.DUMMYFUNCTION("""COMPUTED_VALUE"""),"GARRO AURORA ")</f>
        <v>GARRO AURORA </v>
      </c>
      <c r="D2758" s="1" t="str">
        <f>IFERROR(__xludf.DUMMYFUNCTION("""COMPUTED_VALUE"""),"Lentes de STOCK")</f>
        <v>Lentes de STOCK</v>
      </c>
      <c r="E2758" s="1" t="str">
        <f>IFERROR(__xludf.DUMMYFUNCTION("""COMPUTED_VALUE"""),"RIVADAVIA Luciana")</f>
        <v>RIVADAVIA Luciana</v>
      </c>
      <c r="F2758" s="1" t="str">
        <f t="shared" si="1"/>
        <v>RIVADAVIA </v>
      </c>
      <c r="G2758" s="1" t="str">
        <f t="shared" si="2"/>
        <v>Luciana</v>
      </c>
      <c r="H2758" s="1" t="str">
        <f>IFERROR(__xludf.DUMMYFUNCTION("""COMPUTED_VALUE"""),"8/3/2023, 17:00:00")</f>
        <v>8/3/2023, 17:00:00</v>
      </c>
      <c r="I2758" s="1" t="str">
        <f>IFERROR(__xludf.DUMMYFUNCTION("""COMPUTED_VALUE"""),"Completado en SUCURSAL")</f>
        <v>Completado en SUCURSAL</v>
      </c>
      <c r="J2758" s="1">
        <f t="shared" si="3"/>
        <v>5</v>
      </c>
      <c r="K2758" s="1" t="str">
        <f t="shared" si="4"/>
        <v>Tus Lentes estan LISTAS PARA ENTREGAR, te esperamos.</v>
      </c>
    </row>
    <row r="2759">
      <c r="A2759" s="1">
        <f>IFERROR(__xludf.DUMMYFUNCTION("""COMPUTED_VALUE"""),87304.0)</f>
        <v>87304</v>
      </c>
      <c r="B2759" s="5">
        <f>IFERROR(__xludf.DUMMYFUNCTION("""COMPUTED_VALUE"""),44988.40098467593)</f>
        <v>44988.40098</v>
      </c>
      <c r="C2759" s="1" t="str">
        <f>IFERROR(__xludf.DUMMYFUNCTION("""COMPUTED_VALUE"""),"RONCO ELISA ")</f>
        <v>RONCO ELISA </v>
      </c>
      <c r="D2759" s="1" t="str">
        <f>IFERROR(__xludf.DUMMYFUNCTION("""COMPUTED_VALUE"""),"Lentes de LABORATORIO")</f>
        <v>Lentes de LABORATORIO</v>
      </c>
      <c r="E2759" s="1" t="str">
        <f>IFERROR(__xludf.DUMMYFUNCTION("""COMPUTED_VALUE"""),"ARTIGAS Cristian C.")</f>
        <v>ARTIGAS Cristian C.</v>
      </c>
      <c r="F2759" s="1" t="str">
        <f t="shared" si="1"/>
        <v>ARTIGAS </v>
      </c>
      <c r="G2759" s="1" t="str">
        <f t="shared" si="2"/>
        <v>Cristian C.</v>
      </c>
      <c r="H2759" s="1" t="str">
        <f>IFERROR(__xludf.DUMMYFUNCTION("""COMPUTED_VALUE"""),"13/3/2023, 17:00:00")</f>
        <v>13/3/2023, 17:00:00</v>
      </c>
      <c r="I2759" s="1" t="str">
        <f>IFERROR(__xludf.DUMMYFUNCTION("""COMPUTED_VALUE"""),"Completado en SUCURSAL")</f>
        <v>Completado en SUCURSAL</v>
      </c>
      <c r="J2759" s="1">
        <f t="shared" si="3"/>
        <v>5</v>
      </c>
      <c r="K2759" s="1" t="str">
        <f t="shared" si="4"/>
        <v>Tus Lentes estan LISTAS PARA ENTREGAR, te esperamos.</v>
      </c>
    </row>
    <row r="2760">
      <c r="A2760" s="1">
        <f>IFERROR(__xludf.DUMMYFUNCTION("""COMPUTED_VALUE"""),87305.0)</f>
        <v>87305</v>
      </c>
      <c r="B2760" s="5">
        <f>IFERROR(__xludf.DUMMYFUNCTION("""COMPUTED_VALUE"""),44988.40471246528)</f>
        <v>44988.40471</v>
      </c>
      <c r="C2760" s="1" t="str">
        <f>IFERROR(__xludf.DUMMYFUNCTION("""COMPUTED_VALUE"""),"Renna Agustina Lucia")</f>
        <v>Renna Agustina Lucia</v>
      </c>
      <c r="D2760" s="1" t="str">
        <f>IFERROR(__xludf.DUMMYFUNCTION("""COMPUTED_VALUE"""),"Lentes de STOCK")</f>
        <v>Lentes de STOCK</v>
      </c>
      <c r="E2760" s="1" t="str">
        <f>IFERROR(__xludf.DUMMYFUNCTION("""COMPUTED_VALUE"""),"ARTIGAS Roció")</f>
        <v>ARTIGAS Roció</v>
      </c>
      <c r="F2760" s="1" t="str">
        <f t="shared" si="1"/>
        <v>ARTIGAS </v>
      </c>
      <c r="G2760" s="1" t="str">
        <f t="shared" si="2"/>
        <v>Roció</v>
      </c>
      <c r="H2760" s="1" t="str">
        <f>IFERROR(__xludf.DUMMYFUNCTION("""COMPUTED_VALUE"""),"10/3/2023, 17:00:00")</f>
        <v>10/3/2023, 17:00:00</v>
      </c>
      <c r="I2760" s="1" t="str">
        <f>IFERROR(__xludf.DUMMYFUNCTION("""COMPUTED_VALUE"""),"Completado en SUCURSAL")</f>
        <v>Completado en SUCURSAL</v>
      </c>
      <c r="J2760" s="1">
        <f t="shared" si="3"/>
        <v>5</v>
      </c>
      <c r="K2760" s="1" t="str">
        <f t="shared" si="4"/>
        <v>Tus Lentes estan LISTAS PARA ENTREGAR, te esperamos.</v>
      </c>
    </row>
    <row r="2761">
      <c r="A2761" s="1">
        <f>IFERROR(__xludf.DUMMYFUNCTION("""COMPUTED_VALUE"""),87306.0)</f>
        <v>87306</v>
      </c>
      <c r="B2761" s="5">
        <f>IFERROR(__xludf.DUMMYFUNCTION("""COMPUTED_VALUE"""),44988.40786432871)</f>
        <v>44988.40786</v>
      </c>
      <c r="C2761" s="1" t="str">
        <f>IFERROR(__xludf.DUMMYFUNCTION("""COMPUTED_VALUE"""),"barroso mia")</f>
        <v>barroso mia</v>
      </c>
      <c r="D2761" s="1" t="str">
        <f>IFERROR(__xludf.DUMMYFUNCTION("""COMPUTED_VALUE"""),"Lentes de STOCK")</f>
        <v>Lentes de STOCK</v>
      </c>
      <c r="E2761" s="1" t="str">
        <f>IFERROR(__xludf.DUMMYFUNCTION("""COMPUTED_VALUE"""),"RIVADAVIA Santiago N")</f>
        <v>RIVADAVIA Santiago N</v>
      </c>
      <c r="F2761" s="1" t="str">
        <f t="shared" si="1"/>
        <v>RIVADAVIA </v>
      </c>
      <c r="G2761" s="1" t="str">
        <f t="shared" si="2"/>
        <v>Santiago N</v>
      </c>
      <c r="H2761" s="1" t="str">
        <f>IFERROR(__xludf.DUMMYFUNCTION("""COMPUTED_VALUE"""),"6/3/2023, 17:00:00")</f>
        <v>6/3/2023, 17:00:00</v>
      </c>
      <c r="I2761" s="1" t="str">
        <f>IFERROR(__xludf.DUMMYFUNCTION("""COMPUTED_VALUE"""),"Completado en SUCURSAL")</f>
        <v>Completado en SUCURSAL</v>
      </c>
      <c r="J2761" s="1">
        <f t="shared" si="3"/>
        <v>5</v>
      </c>
      <c r="K2761" s="1" t="str">
        <f t="shared" si="4"/>
        <v>Tus Lentes estan LISTAS PARA ENTREGAR, te esperamos.</v>
      </c>
    </row>
    <row r="2762">
      <c r="A2762" s="1">
        <f>IFERROR(__xludf.DUMMYFUNCTION("""COMPUTED_VALUE"""),87307.0)</f>
        <v>87307</v>
      </c>
      <c r="B2762" s="5">
        <f>IFERROR(__xludf.DUMMYFUNCTION("""COMPUTED_VALUE"""),44988.40827947917)</f>
        <v>44988.40828</v>
      </c>
      <c r="C2762" s="1" t="str">
        <f>IFERROR(__xludf.DUMMYFUNCTION("""COMPUTED_VALUE"""),"DOMINGUEZ ADELA")</f>
        <v>DOMINGUEZ ADELA</v>
      </c>
      <c r="D2762" s="1" t="str">
        <f>IFERROR(__xludf.DUMMYFUNCTION("""COMPUTED_VALUE"""),"Lentes de STOCK")</f>
        <v>Lentes de STOCK</v>
      </c>
      <c r="E2762" s="1" t="str">
        <f>IFERROR(__xludf.DUMMYFUNCTION("""COMPUTED_VALUE"""),"ARTIGAS Ivana P.")</f>
        <v>ARTIGAS Ivana P.</v>
      </c>
      <c r="F2762" s="1" t="str">
        <f t="shared" si="1"/>
        <v>ARTIGAS </v>
      </c>
      <c r="G2762" s="1" t="str">
        <f t="shared" si="2"/>
        <v>Ivana P.</v>
      </c>
      <c r="H2762" s="1" t="str">
        <f>IFERROR(__xludf.DUMMYFUNCTION("""COMPUTED_VALUE"""),"8/3/2023, 17:00:00")</f>
        <v>8/3/2023, 17:00:00</v>
      </c>
      <c r="I2762" s="1" t="str">
        <f>IFERROR(__xludf.DUMMYFUNCTION("""COMPUTED_VALUE"""),"Completado en SUCURSAL")</f>
        <v>Completado en SUCURSAL</v>
      </c>
      <c r="J2762" s="1">
        <f t="shared" si="3"/>
        <v>5</v>
      </c>
      <c r="K2762" s="1" t="str">
        <f t="shared" si="4"/>
        <v>Tus Lentes estan LISTAS PARA ENTREGAR, te esperamos.</v>
      </c>
    </row>
    <row r="2763">
      <c r="A2763" s="1">
        <f>IFERROR(__xludf.DUMMYFUNCTION("""COMPUTED_VALUE"""),87308.0)</f>
        <v>87308</v>
      </c>
      <c r="B2763" s="5">
        <f>IFERROR(__xludf.DUMMYFUNCTION("""COMPUTED_VALUE"""),44988.413969814814)</f>
        <v>44988.41397</v>
      </c>
      <c r="C2763" s="1" t="str">
        <f>IFERROR(__xludf.DUMMYFUNCTION("""COMPUTED_VALUE"""),"SOSA FACUNDO")</f>
        <v>SOSA FACUNDO</v>
      </c>
      <c r="D2763" s="1" t="str">
        <f>IFERROR(__xludf.DUMMYFUNCTION("""COMPUTED_VALUE"""),"Lentes de STOCK")</f>
        <v>Lentes de STOCK</v>
      </c>
      <c r="E2763" s="1" t="str">
        <f>IFERROR(__xludf.DUMMYFUNCTION("""COMPUTED_VALUE"""),"ARTIGAS Roció")</f>
        <v>ARTIGAS Roció</v>
      </c>
      <c r="F2763" s="1" t="str">
        <f t="shared" si="1"/>
        <v>ARTIGAS </v>
      </c>
      <c r="G2763" s="1" t="str">
        <f t="shared" si="2"/>
        <v>Roció</v>
      </c>
      <c r="H2763" s="1" t="str">
        <f>IFERROR(__xludf.DUMMYFUNCTION("""COMPUTED_VALUE"""),"10/3/2023, 17:00:00")</f>
        <v>10/3/2023, 17:00:00</v>
      </c>
      <c r="I2763" s="1" t="str">
        <f>IFERROR(__xludf.DUMMYFUNCTION("""COMPUTED_VALUE"""),"Recibido en Laboratorio")</f>
        <v>Recibido en Laboratorio</v>
      </c>
      <c r="J2763" s="1">
        <f t="shared" si="3"/>
        <v>2</v>
      </c>
      <c r="K2763" s="1" t="str">
        <f t="shared" si="4"/>
        <v>Nuestro Laboratorio esta trabajando en tus lentes, los entregaremos en la fecha acordada.</v>
      </c>
    </row>
    <row r="2764">
      <c r="A2764" s="1">
        <f>IFERROR(__xludf.DUMMYFUNCTION("""COMPUTED_VALUE"""),87309.0)</f>
        <v>87309</v>
      </c>
      <c r="B2764" s="5">
        <f>IFERROR(__xludf.DUMMYFUNCTION("""COMPUTED_VALUE"""),44988.41528939815)</f>
        <v>44988.41529</v>
      </c>
      <c r="C2764" s="1" t="str">
        <f>IFERROR(__xludf.DUMMYFUNCTION("""COMPUTED_VALUE"""),"MOYANO LUCERO JUAN CARLOS")</f>
        <v>MOYANO LUCERO JUAN CARLOS</v>
      </c>
      <c r="D2764" s="1" t="str">
        <f>IFERROR(__xludf.DUMMYFUNCTION("""COMPUTED_VALUE"""),"Lentes MULTIFOCALES")</f>
        <v>Lentes MULTIFOCALES</v>
      </c>
      <c r="E2764" s="1" t="str">
        <f>IFERROR(__xludf.DUMMYFUNCTION("""COMPUTED_VALUE"""),"RIVADAVIA Marcela L")</f>
        <v>RIVADAVIA Marcela L</v>
      </c>
      <c r="F2764" s="1" t="str">
        <f t="shared" si="1"/>
        <v>RIVADAVIA </v>
      </c>
      <c r="G2764" s="1" t="str">
        <f t="shared" si="2"/>
        <v>Marcela L</v>
      </c>
      <c r="H2764" s="1" t="str">
        <f>IFERROR(__xludf.DUMMYFUNCTION("""COMPUTED_VALUE"""),"17/3/2023, 17:00:00")</f>
        <v>17/3/2023, 17:00:00</v>
      </c>
      <c r="I2764" s="1" t="str">
        <f>IFERROR(__xludf.DUMMYFUNCTION("""COMPUTED_VALUE"""),"RETIRADO OK POR CLIENTE")</f>
        <v>RETIRADO OK POR CLIENTE</v>
      </c>
      <c r="J2764" s="1">
        <f t="shared" si="3"/>
        <v>6</v>
      </c>
      <c r="K2764" s="1" t="str">
        <f t="shared" si="4"/>
        <v>Entregamos tus lentes, que los disfrutes!</v>
      </c>
    </row>
    <row r="2765">
      <c r="A2765" s="1">
        <f>IFERROR(__xludf.DUMMYFUNCTION("""COMPUTED_VALUE"""),87310.0)</f>
        <v>87310</v>
      </c>
      <c r="B2765" s="5">
        <f>IFERROR(__xludf.DUMMYFUNCTION("""COMPUTED_VALUE"""),44988.41558759259)</f>
        <v>44988.41559</v>
      </c>
      <c r="C2765" s="1" t="str">
        <f>IFERROR(__xludf.DUMMYFUNCTION("""COMPUTED_VALUE"""),"SOSA SOFIA")</f>
        <v>SOSA SOFIA</v>
      </c>
      <c r="D2765" s="1" t="str">
        <f>IFERROR(__xludf.DUMMYFUNCTION("""COMPUTED_VALUE"""),"Lentes de STOCK")</f>
        <v>Lentes de STOCK</v>
      </c>
      <c r="E2765" s="1" t="str">
        <f>IFERROR(__xludf.DUMMYFUNCTION("""COMPUTED_VALUE"""),"ARTIGAS Roció")</f>
        <v>ARTIGAS Roció</v>
      </c>
      <c r="F2765" s="1" t="str">
        <f t="shared" si="1"/>
        <v>ARTIGAS </v>
      </c>
      <c r="G2765" s="1" t="str">
        <f t="shared" si="2"/>
        <v>Roció</v>
      </c>
      <c r="H2765" s="1" t="str">
        <f>IFERROR(__xludf.DUMMYFUNCTION("""COMPUTED_VALUE"""),"10/3/2023, 17:00:00")</f>
        <v>10/3/2023, 17:00:00</v>
      </c>
      <c r="I2765" s="1" t="str">
        <f>IFERROR(__xludf.DUMMYFUNCTION("""COMPUTED_VALUE"""),"Completado en SUCURSAL")</f>
        <v>Completado en SUCURSAL</v>
      </c>
      <c r="J2765" s="1">
        <f t="shared" si="3"/>
        <v>5</v>
      </c>
      <c r="K2765" s="1" t="str">
        <f t="shared" si="4"/>
        <v>Tus Lentes estan LISTAS PARA ENTREGAR, te esperamos.</v>
      </c>
    </row>
    <row r="2766">
      <c r="A2766" s="1">
        <f>IFERROR(__xludf.DUMMYFUNCTION("""COMPUTED_VALUE"""),87311.0)</f>
        <v>87311</v>
      </c>
      <c r="B2766" s="5">
        <f>IFERROR(__xludf.DUMMYFUNCTION("""COMPUTED_VALUE"""),44988.41947363426)</f>
        <v>44988.41947</v>
      </c>
      <c r="C2766" s="1" t="str">
        <f>IFERROR(__xludf.DUMMYFUNCTION("""COMPUTED_VALUE"""),"OVIEDO ESTELA")</f>
        <v>OVIEDO ESTELA</v>
      </c>
      <c r="D2766" s="1" t="str">
        <f>IFERROR(__xludf.DUMMYFUNCTION("""COMPUTED_VALUE"""),"Lentes de STOCK")</f>
        <v>Lentes de STOCK</v>
      </c>
      <c r="E2766" s="1" t="str">
        <f>IFERROR(__xludf.DUMMYFUNCTION("""COMPUTED_VALUE"""),"RIVADAVIA Christian C.")</f>
        <v>RIVADAVIA Christian C.</v>
      </c>
      <c r="F2766" s="1" t="str">
        <f t="shared" si="1"/>
        <v>RIVADAVIA </v>
      </c>
      <c r="G2766" s="1" t="str">
        <f t="shared" si="2"/>
        <v>Christian C.</v>
      </c>
      <c r="H2766" s="1" t="str">
        <f>IFERROR(__xludf.DUMMYFUNCTION("""COMPUTED_VALUE"""),"6/3/2023, 17:00:00")</f>
        <v>6/3/2023, 17:00:00</v>
      </c>
      <c r="I2766" s="1" t="str">
        <f>IFERROR(__xludf.DUMMYFUNCTION("""COMPUTED_VALUE"""),"Recibido en Laboratorio")</f>
        <v>Recibido en Laboratorio</v>
      </c>
      <c r="J2766" s="1">
        <f t="shared" si="3"/>
        <v>2</v>
      </c>
      <c r="K2766" s="1" t="str">
        <f t="shared" si="4"/>
        <v>Nuestro Laboratorio esta trabajando en tus lentes, los entregaremos en la fecha acordada.</v>
      </c>
    </row>
    <row r="2767">
      <c r="A2767" s="1">
        <f>IFERROR(__xludf.DUMMYFUNCTION("""COMPUTED_VALUE"""),87312.0)</f>
        <v>87312</v>
      </c>
      <c r="B2767" s="5">
        <f>IFERROR(__xludf.DUMMYFUNCTION("""COMPUTED_VALUE"""),44988.420141574075)</f>
        <v>44988.42014</v>
      </c>
      <c r="C2767" s="1" t="str">
        <f>IFERROR(__xludf.DUMMYFUNCTION("""COMPUTED_VALUE"""),"VELAZQUEZ JULIO")</f>
        <v>VELAZQUEZ JULIO</v>
      </c>
      <c r="D2767" s="1" t="str">
        <f>IFERROR(__xludf.DUMMYFUNCTION("""COMPUTED_VALUE"""),"Lentes de STOCK")</f>
        <v>Lentes de STOCK</v>
      </c>
      <c r="E2767" s="1" t="str">
        <f>IFERROR(__xludf.DUMMYFUNCTION("""COMPUTED_VALUE"""),"ARTIGAS Ivana P.")</f>
        <v>ARTIGAS Ivana P.</v>
      </c>
      <c r="F2767" s="1" t="str">
        <f t="shared" si="1"/>
        <v>ARTIGAS </v>
      </c>
      <c r="G2767" s="1" t="str">
        <f t="shared" si="2"/>
        <v>Ivana P.</v>
      </c>
      <c r="H2767" s="1" t="str">
        <f>IFERROR(__xludf.DUMMYFUNCTION("""COMPUTED_VALUE"""),"7/3/2023, 17:00:00")</f>
        <v>7/3/2023, 17:00:00</v>
      </c>
      <c r="I2767" s="1" t="str">
        <f>IFERROR(__xludf.DUMMYFUNCTION("""COMPUTED_VALUE"""),"Completado en SUCURSAL")</f>
        <v>Completado en SUCURSAL</v>
      </c>
      <c r="J2767" s="1">
        <f t="shared" si="3"/>
        <v>5</v>
      </c>
      <c r="K2767" s="1" t="str">
        <f t="shared" si="4"/>
        <v>Tus Lentes estan LISTAS PARA ENTREGAR, te esperamos.</v>
      </c>
    </row>
    <row r="2768">
      <c r="A2768" s="1">
        <f>IFERROR(__xludf.DUMMYFUNCTION("""COMPUTED_VALUE"""),87313.0)</f>
        <v>87313</v>
      </c>
      <c r="B2768" s="5">
        <f>IFERROR(__xludf.DUMMYFUNCTION("""COMPUTED_VALUE"""),44988.4218565162)</f>
        <v>44988.42186</v>
      </c>
      <c r="C2768" s="1" t="str">
        <f>IFERROR(__xludf.DUMMYFUNCTION("""COMPUTED_VALUE"""),"HOMBRE ROSA DELIA")</f>
        <v>HOMBRE ROSA DELIA</v>
      </c>
      <c r="D2768" s="1" t="str">
        <f>IFERROR(__xludf.DUMMYFUNCTION("""COMPUTED_VALUE"""),"Lentes de STOCK")</f>
        <v>Lentes de STOCK</v>
      </c>
      <c r="E2768" s="1" t="str">
        <f>IFERROR(__xludf.DUMMYFUNCTION("""COMPUTED_VALUE"""),"RIVADAVIA Luciana")</f>
        <v>RIVADAVIA Luciana</v>
      </c>
      <c r="F2768" s="1" t="str">
        <f t="shared" si="1"/>
        <v>RIVADAVIA </v>
      </c>
      <c r="G2768" s="1" t="str">
        <f t="shared" si="2"/>
        <v>Luciana</v>
      </c>
      <c r="H2768" s="1" t="str">
        <f>IFERROR(__xludf.DUMMYFUNCTION("""COMPUTED_VALUE"""),"9/3/2023, 17:00:00")</f>
        <v>9/3/2023, 17:00:00</v>
      </c>
      <c r="I2768" s="1" t="str">
        <f>IFERROR(__xludf.DUMMYFUNCTION("""COMPUTED_VALUE"""),"Completado en SUCURSAL")</f>
        <v>Completado en SUCURSAL</v>
      </c>
      <c r="J2768" s="1">
        <f t="shared" si="3"/>
        <v>5</v>
      </c>
      <c r="K2768" s="1" t="str">
        <f t="shared" si="4"/>
        <v>Tus Lentes estan LISTAS PARA ENTREGAR, te esperamos.</v>
      </c>
    </row>
    <row r="2769">
      <c r="A2769" s="1">
        <f>IFERROR(__xludf.DUMMYFUNCTION("""COMPUTED_VALUE"""),87314.0)</f>
        <v>87314</v>
      </c>
      <c r="B2769" s="5">
        <f>IFERROR(__xludf.DUMMYFUNCTION("""COMPUTED_VALUE"""),44988.42509181713)</f>
        <v>44988.42509</v>
      </c>
      <c r="C2769" s="1" t="str">
        <f>IFERROR(__xludf.DUMMYFUNCTION("""COMPUTED_VALUE"""),"HOMBRE ROSA DELIA")</f>
        <v>HOMBRE ROSA DELIA</v>
      </c>
      <c r="D2769" s="1" t="str">
        <f>IFERROR(__xludf.DUMMYFUNCTION("""COMPUTED_VALUE"""),"Lentes de STOCK")</f>
        <v>Lentes de STOCK</v>
      </c>
      <c r="E2769" s="1" t="str">
        <f>IFERROR(__xludf.DUMMYFUNCTION("""COMPUTED_VALUE"""),"RIVADAVIA Luciana")</f>
        <v>RIVADAVIA Luciana</v>
      </c>
      <c r="F2769" s="1" t="str">
        <f t="shared" si="1"/>
        <v>RIVADAVIA </v>
      </c>
      <c r="G2769" s="1" t="str">
        <f t="shared" si="2"/>
        <v>Luciana</v>
      </c>
      <c r="H2769" s="1" t="str">
        <f>IFERROR(__xludf.DUMMYFUNCTION("""COMPUTED_VALUE"""),"8/3/2023, 17:00:00")</f>
        <v>8/3/2023, 17:00:00</v>
      </c>
      <c r="I2769" s="1" t="str">
        <f>IFERROR(__xludf.DUMMYFUNCTION("""COMPUTED_VALUE"""),"Completado en SUCURSAL")</f>
        <v>Completado en SUCURSAL</v>
      </c>
      <c r="J2769" s="1">
        <f t="shared" si="3"/>
        <v>5</v>
      </c>
      <c r="K2769" s="1" t="str">
        <f t="shared" si="4"/>
        <v>Tus Lentes estan LISTAS PARA ENTREGAR, te esperamos.</v>
      </c>
    </row>
    <row r="2770">
      <c r="A2770" s="1">
        <f>IFERROR(__xludf.DUMMYFUNCTION("""COMPUTED_VALUE"""),87315.0)</f>
        <v>87315</v>
      </c>
      <c r="B2770" s="5">
        <f>IFERROR(__xludf.DUMMYFUNCTION("""COMPUTED_VALUE"""),44988.43275314815)</f>
        <v>44988.43275</v>
      </c>
      <c r="C2770" s="1" t="str">
        <f>IFERROR(__xludf.DUMMYFUNCTION("""COMPUTED_VALUE"""),"LUCERO PEDRO ANTONIO")</f>
        <v>LUCERO PEDRO ANTONIO</v>
      </c>
      <c r="D2770" s="1" t="str">
        <f>IFERROR(__xludf.DUMMYFUNCTION("""COMPUTED_VALUE"""),"Lentes BIFOCALES")</f>
        <v>Lentes BIFOCALES</v>
      </c>
      <c r="E2770" s="1" t="str">
        <f>IFERROR(__xludf.DUMMYFUNCTION("""COMPUTED_VALUE"""),"RIVADAVIA Christian C.")</f>
        <v>RIVADAVIA Christian C.</v>
      </c>
      <c r="F2770" s="1" t="str">
        <f t="shared" si="1"/>
        <v>RIVADAVIA </v>
      </c>
      <c r="G2770" s="1" t="str">
        <f t="shared" si="2"/>
        <v>Christian C.</v>
      </c>
      <c r="H2770" s="1" t="str">
        <f>IFERROR(__xludf.DUMMYFUNCTION("""COMPUTED_VALUE"""),"9/3/2023, 17:00:00")</f>
        <v>9/3/2023, 17:00:00</v>
      </c>
      <c r="I2770" s="1" t="str">
        <f>IFERROR(__xludf.DUMMYFUNCTION("""COMPUTED_VALUE"""),"Completado en SUCURSAL")</f>
        <v>Completado en SUCURSAL</v>
      </c>
      <c r="J2770" s="1">
        <f t="shared" si="3"/>
        <v>5</v>
      </c>
      <c r="K2770" s="1" t="str">
        <f t="shared" si="4"/>
        <v>Tus Lentes estan LISTAS PARA ENTREGAR, te esperamos.</v>
      </c>
    </row>
    <row r="2771">
      <c r="A2771" s="1">
        <f>IFERROR(__xludf.DUMMYFUNCTION("""COMPUTED_VALUE"""),87316.0)</f>
        <v>87316</v>
      </c>
      <c r="B2771" s="5">
        <f>IFERROR(__xludf.DUMMYFUNCTION("""COMPUTED_VALUE"""),44988.43326548611)</f>
        <v>44988.43327</v>
      </c>
      <c r="C2771" s="1" t="str">
        <f>IFERROR(__xludf.DUMMYFUNCTION("""COMPUTED_VALUE"""),"FERNANDEZ MERCEDES ANTONIA")</f>
        <v>FERNANDEZ MERCEDES ANTONIA</v>
      </c>
      <c r="D2771" s="1" t="str">
        <f>IFERROR(__xludf.DUMMYFUNCTION("""COMPUTED_VALUE"""),"Lentes de LABORATORIO")</f>
        <v>Lentes de LABORATORIO</v>
      </c>
      <c r="E2771" s="1" t="str">
        <f>IFERROR(__xludf.DUMMYFUNCTION("""COMPUTED_VALUE"""),"ARTIGAS Roció")</f>
        <v>ARTIGAS Roció</v>
      </c>
      <c r="F2771" s="1" t="str">
        <f t="shared" si="1"/>
        <v>ARTIGAS </v>
      </c>
      <c r="G2771" s="1" t="str">
        <f t="shared" si="2"/>
        <v>Roció</v>
      </c>
      <c r="H2771" s="1" t="str">
        <f>IFERROR(__xludf.DUMMYFUNCTION("""COMPUTED_VALUE"""),"17/3/2023, 17:00:00")</f>
        <v>17/3/2023, 17:00:00</v>
      </c>
      <c r="I2771" s="1" t="str">
        <f>IFERROR(__xludf.DUMMYFUNCTION("""COMPUTED_VALUE"""),"Completado en SUCURSAL")</f>
        <v>Completado en SUCURSAL</v>
      </c>
      <c r="J2771" s="1">
        <f t="shared" si="3"/>
        <v>5</v>
      </c>
      <c r="K2771" s="1" t="str">
        <f t="shared" si="4"/>
        <v>Tus Lentes estan LISTAS PARA ENTREGAR, te esperamos.</v>
      </c>
    </row>
    <row r="2772">
      <c r="A2772" s="1">
        <f>IFERROR(__xludf.DUMMYFUNCTION("""COMPUTED_VALUE"""),87317.0)</f>
        <v>87317</v>
      </c>
      <c r="B2772" s="5">
        <f>IFERROR(__xludf.DUMMYFUNCTION("""COMPUTED_VALUE"""),44988.43807783565)</f>
        <v>44988.43808</v>
      </c>
      <c r="C2772" s="1" t="str">
        <f>IFERROR(__xludf.DUMMYFUNCTION("""COMPUTED_VALUE"""),"ABARCA LUCAS ")</f>
        <v>ABARCA LUCAS </v>
      </c>
      <c r="D2772" s="1" t="str">
        <f>IFERROR(__xludf.DUMMYFUNCTION("""COMPUTED_VALUE"""),"Lentes de STOCK")</f>
        <v>Lentes de STOCK</v>
      </c>
      <c r="E2772" s="1" t="str">
        <f>IFERROR(__xludf.DUMMYFUNCTION("""COMPUTED_VALUE"""),"RIVADAVIA Luciana")</f>
        <v>RIVADAVIA Luciana</v>
      </c>
      <c r="F2772" s="1" t="str">
        <f t="shared" si="1"/>
        <v>RIVADAVIA </v>
      </c>
      <c r="G2772" s="1" t="str">
        <f t="shared" si="2"/>
        <v>Luciana</v>
      </c>
      <c r="H2772" s="1" t="str">
        <f>IFERROR(__xludf.DUMMYFUNCTION("""COMPUTED_VALUE"""),"8/3/2023, 17:00:00")</f>
        <v>8/3/2023, 17:00:00</v>
      </c>
      <c r="I2772" s="1" t="str">
        <f>IFERROR(__xludf.DUMMYFUNCTION("""COMPUTED_VALUE"""),"Recibido en Laboratorio")</f>
        <v>Recibido en Laboratorio</v>
      </c>
      <c r="J2772" s="1">
        <f t="shared" si="3"/>
        <v>2</v>
      </c>
      <c r="K2772" s="1" t="str">
        <f t="shared" si="4"/>
        <v>Nuestro Laboratorio esta trabajando en tus lentes, los entregaremos en la fecha acordada.</v>
      </c>
    </row>
    <row r="2773">
      <c r="A2773" s="1">
        <f>IFERROR(__xludf.DUMMYFUNCTION("""COMPUTED_VALUE"""),87318.0)</f>
        <v>87318</v>
      </c>
      <c r="B2773" s="5">
        <f>IFERROR(__xludf.DUMMYFUNCTION("""COMPUTED_VALUE"""),44988.443618819445)</f>
        <v>44988.44362</v>
      </c>
      <c r="C2773" s="1" t="str">
        <f>IFERROR(__xludf.DUMMYFUNCTION("""COMPUTED_VALUE"""),"Sepulveda Maria")</f>
        <v>Sepulveda Maria</v>
      </c>
      <c r="D2773" s="1" t="str">
        <f>IFERROR(__xludf.DUMMYFUNCTION("""COMPUTED_VALUE"""),"Reparaciones/Otros")</f>
        <v>Reparaciones/Otros</v>
      </c>
      <c r="E2773" s="1" t="str">
        <f>IFERROR(__xludf.DUMMYFUNCTION("""COMPUTED_VALUE"""),"ARTIGAS Sandra G")</f>
        <v>ARTIGAS Sandra G</v>
      </c>
      <c r="F2773" s="1" t="str">
        <f t="shared" si="1"/>
        <v>ARTIGAS </v>
      </c>
      <c r="G2773" s="1" t="str">
        <f t="shared" si="2"/>
        <v>Sandra G</v>
      </c>
      <c r="H2773" s="1" t="str">
        <f>IFERROR(__xludf.DUMMYFUNCTION("""COMPUTED_VALUE"""),"4/3/2023, 17:00:00")</f>
        <v>4/3/2023, 17:00:00</v>
      </c>
      <c r="I2773" s="1"/>
      <c r="J2773" s="1">
        <f t="shared" si="3"/>
        <v>0</v>
      </c>
      <c r="K2773" s="1" t="str">
        <f t="shared" si="4"/>
        <v/>
      </c>
    </row>
    <row r="2774">
      <c r="A2774" s="1">
        <f>IFERROR(__xludf.DUMMYFUNCTION("""COMPUTED_VALUE"""),87319.0)</f>
        <v>87319</v>
      </c>
      <c r="B2774" s="5">
        <f>IFERROR(__xludf.DUMMYFUNCTION("""COMPUTED_VALUE"""),44988.45853365741)</f>
        <v>44988.45853</v>
      </c>
      <c r="C2774" s="1" t="str">
        <f>IFERROR(__xludf.DUMMYFUNCTION("""COMPUTED_VALUE"""),"SOLA VALERIA")</f>
        <v>SOLA VALERIA</v>
      </c>
      <c r="D2774" s="1" t="str">
        <f>IFERROR(__xludf.DUMMYFUNCTION("""COMPUTED_VALUE"""),"Lentes de STOCK")</f>
        <v>Lentes de STOCK</v>
      </c>
      <c r="E2774" s="1" t="str">
        <f>IFERROR(__xludf.DUMMYFUNCTION("""COMPUTED_VALUE"""),"ARTIGAS Ivana P.")</f>
        <v>ARTIGAS Ivana P.</v>
      </c>
      <c r="F2774" s="1" t="str">
        <f t="shared" si="1"/>
        <v>ARTIGAS </v>
      </c>
      <c r="G2774" s="1" t="str">
        <f t="shared" si="2"/>
        <v>Ivana P.</v>
      </c>
      <c r="H2774" s="1" t="str">
        <f>IFERROR(__xludf.DUMMYFUNCTION("""COMPUTED_VALUE"""),"7/3/2023, 17:00:00")</f>
        <v>7/3/2023, 17:00:00</v>
      </c>
      <c r="I2774" s="1" t="str">
        <f>IFERROR(__xludf.DUMMYFUNCTION("""COMPUTED_VALUE"""),"Completado en SUCURSAL")</f>
        <v>Completado en SUCURSAL</v>
      </c>
      <c r="J2774" s="1">
        <f t="shared" si="3"/>
        <v>5</v>
      </c>
      <c r="K2774" s="1" t="str">
        <f t="shared" si="4"/>
        <v>Tus Lentes estan LISTAS PARA ENTREGAR, te esperamos.</v>
      </c>
    </row>
    <row r="2775">
      <c r="A2775" s="1">
        <f>IFERROR(__xludf.DUMMYFUNCTION("""COMPUTED_VALUE"""),87320.0)</f>
        <v>87320</v>
      </c>
      <c r="B2775" s="5">
        <f>IFERROR(__xludf.DUMMYFUNCTION("""COMPUTED_VALUE"""),44988.45986888889)</f>
        <v>44988.45987</v>
      </c>
      <c r="C2775" s="1" t="str">
        <f>IFERROR(__xludf.DUMMYFUNCTION("""COMPUTED_VALUE"""),"ADARO CONSTANZA")</f>
        <v>ADARO CONSTANZA</v>
      </c>
      <c r="D2775" s="1" t="str">
        <f>IFERROR(__xludf.DUMMYFUNCTION("""COMPUTED_VALUE"""),"Lentes de STOCK")</f>
        <v>Lentes de STOCK</v>
      </c>
      <c r="E2775" s="1" t="str">
        <f>IFERROR(__xludf.DUMMYFUNCTION("""COMPUTED_VALUE"""),"RIVADAVIA Luciana")</f>
        <v>RIVADAVIA Luciana</v>
      </c>
      <c r="F2775" s="1" t="str">
        <f t="shared" si="1"/>
        <v>RIVADAVIA </v>
      </c>
      <c r="G2775" s="1" t="str">
        <f t="shared" si="2"/>
        <v>Luciana</v>
      </c>
      <c r="H2775" s="1" t="str">
        <f>IFERROR(__xludf.DUMMYFUNCTION("""COMPUTED_VALUE"""),"8/3/2023, 17:00:00")</f>
        <v>8/3/2023, 17:00:00</v>
      </c>
      <c r="I2775" s="1" t="str">
        <f>IFERROR(__xludf.DUMMYFUNCTION("""COMPUTED_VALUE"""),"Completado en SUCURSAL")</f>
        <v>Completado en SUCURSAL</v>
      </c>
      <c r="J2775" s="1">
        <f t="shared" si="3"/>
        <v>5</v>
      </c>
      <c r="K2775" s="1" t="str">
        <f t="shared" si="4"/>
        <v>Tus Lentes estan LISTAS PARA ENTREGAR, te esperamos.</v>
      </c>
    </row>
    <row r="2776">
      <c r="A2776" s="1">
        <f>IFERROR(__xludf.DUMMYFUNCTION("""COMPUTED_VALUE"""),87321.0)</f>
        <v>87321</v>
      </c>
      <c r="B2776" s="5">
        <f>IFERROR(__xludf.DUMMYFUNCTION("""COMPUTED_VALUE"""),44988.47002547454)</f>
        <v>44988.47003</v>
      </c>
      <c r="C2776" s="1" t="str">
        <f>IFERROR(__xludf.DUMMYFUNCTION("""COMPUTED_VALUE"""),"chiappero jose damian")</f>
        <v>chiappero jose damian</v>
      </c>
      <c r="D2776" s="1" t="str">
        <f>IFERROR(__xludf.DUMMYFUNCTION("""COMPUTED_VALUE"""),"Reparaciones/Otros")</f>
        <v>Reparaciones/Otros</v>
      </c>
      <c r="E2776" s="1" t="str">
        <f>IFERROR(__xludf.DUMMYFUNCTION("""COMPUTED_VALUE"""),"RIVADAVIA Daniel CM")</f>
        <v>RIVADAVIA Daniel CM</v>
      </c>
      <c r="F2776" s="1" t="str">
        <f t="shared" si="1"/>
        <v>RIVADAVIA </v>
      </c>
      <c r="G2776" s="1" t="str">
        <f t="shared" si="2"/>
        <v>Daniel CM</v>
      </c>
      <c r="H2776" s="1" t="str">
        <f>IFERROR(__xludf.DUMMYFUNCTION("""COMPUTED_VALUE"""),"4/3/2023, 17:00:00")</f>
        <v>4/3/2023, 17:00:00</v>
      </c>
      <c r="I2776" s="1" t="str">
        <f>IFERROR(__xludf.DUMMYFUNCTION("""COMPUTED_VALUE"""),"Completado en SUCURSAL")</f>
        <v>Completado en SUCURSAL</v>
      </c>
      <c r="J2776" s="1">
        <f t="shared" si="3"/>
        <v>5</v>
      </c>
      <c r="K2776" s="1" t="str">
        <f t="shared" si="4"/>
        <v>Tus Lentes estan LISTAS PARA ENTREGAR, te esperamos.</v>
      </c>
    </row>
    <row r="2777">
      <c r="A2777" s="1">
        <f>IFERROR(__xludf.DUMMYFUNCTION("""COMPUTED_VALUE"""),87322.0)</f>
        <v>87322</v>
      </c>
      <c r="B2777" s="5">
        <f>IFERROR(__xludf.DUMMYFUNCTION("""COMPUTED_VALUE"""),44988.470698969904)</f>
        <v>44988.4707</v>
      </c>
      <c r="C2777" s="1" t="str">
        <f>IFERROR(__xludf.DUMMYFUNCTION("""COMPUTED_VALUE"""),"MUÑOZ CINTHYA ")</f>
        <v>MUÑOZ CINTHYA </v>
      </c>
      <c r="D2777" s="1" t="str">
        <f>IFERROR(__xludf.DUMMYFUNCTION("""COMPUTED_VALUE"""),"Lentes de STOCK")</f>
        <v>Lentes de STOCK</v>
      </c>
      <c r="E2777" s="1" t="str">
        <f>IFERROR(__xludf.DUMMYFUNCTION("""COMPUTED_VALUE"""),"RIVADAVIA Luciana")</f>
        <v>RIVADAVIA Luciana</v>
      </c>
      <c r="F2777" s="1" t="str">
        <f t="shared" si="1"/>
        <v>RIVADAVIA </v>
      </c>
      <c r="G2777" s="1" t="str">
        <f t="shared" si="2"/>
        <v>Luciana</v>
      </c>
      <c r="H2777" s="1" t="str">
        <f>IFERROR(__xludf.DUMMYFUNCTION("""COMPUTED_VALUE"""),"8/3/2023, 17:00:00")</f>
        <v>8/3/2023, 17:00:00</v>
      </c>
      <c r="I2777" s="1" t="str">
        <f>IFERROR(__xludf.DUMMYFUNCTION("""COMPUTED_VALUE"""),"Completado en SUCURSAL")</f>
        <v>Completado en SUCURSAL</v>
      </c>
      <c r="J2777" s="1">
        <f t="shared" si="3"/>
        <v>5</v>
      </c>
      <c r="K2777" s="1" t="str">
        <f t="shared" si="4"/>
        <v>Tus Lentes estan LISTAS PARA ENTREGAR, te esperamos.</v>
      </c>
    </row>
    <row r="2778">
      <c r="A2778" s="1">
        <f>IFERROR(__xludf.DUMMYFUNCTION("""COMPUTED_VALUE"""),87323.0)</f>
        <v>87323</v>
      </c>
      <c r="B2778" s="5">
        <f>IFERROR(__xludf.DUMMYFUNCTION("""COMPUTED_VALUE"""),44988.47244304398)</f>
        <v>44988.47244</v>
      </c>
      <c r="C2778" s="1" t="str">
        <f>IFERROR(__xludf.DUMMYFUNCTION("""COMPUTED_VALUE"""),"mercau lidia angela")</f>
        <v>mercau lidia angela</v>
      </c>
      <c r="D2778" s="1" t="str">
        <f>IFERROR(__xludf.DUMMYFUNCTION("""COMPUTED_VALUE"""),"Lentes de STOCK")</f>
        <v>Lentes de STOCK</v>
      </c>
      <c r="E2778" s="1" t="str">
        <f>IFERROR(__xludf.DUMMYFUNCTION("""COMPUTED_VALUE"""),"ARTIGAS Roció")</f>
        <v>ARTIGAS Roció</v>
      </c>
      <c r="F2778" s="1" t="str">
        <f t="shared" si="1"/>
        <v>ARTIGAS </v>
      </c>
      <c r="G2778" s="1" t="str">
        <f t="shared" si="2"/>
        <v>Roció</v>
      </c>
      <c r="H2778" s="1" t="str">
        <f>IFERROR(__xludf.DUMMYFUNCTION("""COMPUTED_VALUE"""),"10/3/2023, 17:00:00")</f>
        <v>10/3/2023, 17:00:00</v>
      </c>
      <c r="I2778" s="1" t="str">
        <f>IFERROR(__xludf.DUMMYFUNCTION("""COMPUTED_VALUE"""),"Completado en SUCURSAL")</f>
        <v>Completado en SUCURSAL</v>
      </c>
      <c r="J2778" s="1">
        <f t="shared" si="3"/>
        <v>5</v>
      </c>
      <c r="K2778" s="1" t="str">
        <f t="shared" si="4"/>
        <v>Tus Lentes estan LISTAS PARA ENTREGAR, te esperamos.</v>
      </c>
    </row>
    <row r="2779">
      <c r="A2779" s="1">
        <f>IFERROR(__xludf.DUMMYFUNCTION("""COMPUTED_VALUE"""),6204.0)</f>
        <v>6204</v>
      </c>
      <c r="B2779" s="5">
        <f>IFERROR(__xludf.DUMMYFUNCTION("""COMPUTED_VALUE"""),44988.47399770834)</f>
        <v>44988.474</v>
      </c>
      <c r="C2779" s="1" t="str">
        <f>IFERROR(__xludf.DUMMYFUNCTION("""COMPUTED_VALUE"""),"VIDELA TOMAS")</f>
        <v>VIDELA TOMAS</v>
      </c>
      <c r="D2779" s="1" t="str">
        <f>IFERROR(__xludf.DUMMYFUNCTION("""COMPUTED_VALUE"""),"Reparaciones/Otros")</f>
        <v>Reparaciones/Otros</v>
      </c>
      <c r="E2779" s="1" t="str">
        <f>IFERROR(__xludf.DUMMYFUNCTION("""COMPUTED_VALUE"""),"RIVADAVIA Daniel CM")</f>
        <v>RIVADAVIA Daniel CM</v>
      </c>
      <c r="F2779" s="1" t="str">
        <f t="shared" si="1"/>
        <v>RIVADAVIA </v>
      </c>
      <c r="G2779" s="1" t="str">
        <f t="shared" si="2"/>
        <v>Daniel CM</v>
      </c>
      <c r="H2779" s="1" t="str">
        <f>IFERROR(__xludf.DUMMYFUNCTION("""COMPUTED_VALUE"""),"4/3/2023, 17:00:00")</f>
        <v>4/3/2023, 17:00:00</v>
      </c>
      <c r="I2779" s="1" t="str">
        <f>IFERROR(__xludf.DUMMYFUNCTION("""COMPUTED_VALUE"""),"Recibido en Laboratorio")</f>
        <v>Recibido en Laboratorio</v>
      </c>
      <c r="J2779" s="1">
        <f t="shared" si="3"/>
        <v>2</v>
      </c>
      <c r="K2779" s="1" t="str">
        <f t="shared" si="4"/>
        <v>Nuestro Laboratorio esta trabajando en tus lentes, los entregaremos en la fecha acordada.</v>
      </c>
    </row>
    <row r="2780">
      <c r="A2780" s="1">
        <f>IFERROR(__xludf.DUMMYFUNCTION("""COMPUTED_VALUE"""),87325.0)</f>
        <v>87325</v>
      </c>
      <c r="B2780" s="5">
        <f>IFERROR(__xludf.DUMMYFUNCTION("""COMPUTED_VALUE"""),44988.474435173615)</f>
        <v>44988.47444</v>
      </c>
      <c r="C2780" s="1" t="str">
        <f>IFERROR(__xludf.DUMMYFUNCTION("""COMPUTED_VALUE"""),"CAMARGO PATRICIA")</f>
        <v>CAMARGO PATRICIA</v>
      </c>
      <c r="D2780" s="1" t="str">
        <f>IFERROR(__xludf.DUMMYFUNCTION("""COMPUTED_VALUE"""),"Reparaciones/Otros")</f>
        <v>Reparaciones/Otros</v>
      </c>
      <c r="E2780" s="1" t="str">
        <f>IFERROR(__xludf.DUMMYFUNCTION("""COMPUTED_VALUE"""),"ARTIGAS Sandra G")</f>
        <v>ARTIGAS Sandra G</v>
      </c>
      <c r="F2780" s="1" t="str">
        <f t="shared" si="1"/>
        <v>ARTIGAS </v>
      </c>
      <c r="G2780" s="1" t="str">
        <f t="shared" si="2"/>
        <v>Sandra G</v>
      </c>
      <c r="H2780" s="1" t="str">
        <f>IFERROR(__xludf.DUMMYFUNCTION("""COMPUTED_VALUE"""),"7/3/2023, 17:00:00")</f>
        <v>7/3/2023, 17:00:00</v>
      </c>
      <c r="I2780" s="1" t="str">
        <f>IFERROR(__xludf.DUMMYFUNCTION("""COMPUTED_VALUE"""),"Recibido en Laboratorio")</f>
        <v>Recibido en Laboratorio</v>
      </c>
      <c r="J2780" s="1">
        <f t="shared" si="3"/>
        <v>2</v>
      </c>
      <c r="K2780" s="1" t="str">
        <f t="shared" si="4"/>
        <v>Nuestro Laboratorio esta trabajando en tus lentes, los entregaremos en la fecha acordada.</v>
      </c>
    </row>
    <row r="2781">
      <c r="A2781" s="1">
        <f>IFERROR(__xludf.DUMMYFUNCTION("""COMPUTED_VALUE"""),87326.0)</f>
        <v>87326</v>
      </c>
      <c r="B2781" s="5">
        <f>IFERROR(__xludf.DUMMYFUNCTION("""COMPUTED_VALUE"""),44988.47627557871)</f>
        <v>44988.47628</v>
      </c>
      <c r="C2781" s="1" t="str">
        <f>IFERROR(__xludf.DUMMYFUNCTION("""COMPUTED_VALUE"""),"RODRIGUEZ NOEMI")</f>
        <v>RODRIGUEZ NOEMI</v>
      </c>
      <c r="D2781" s="1" t="str">
        <f>IFERROR(__xludf.DUMMYFUNCTION("""COMPUTED_VALUE"""),"Reparaciones/Otros")</f>
        <v>Reparaciones/Otros</v>
      </c>
      <c r="E2781" s="1" t="str">
        <f>IFERROR(__xludf.DUMMYFUNCTION("""COMPUTED_VALUE"""),"RIVADAVIA Luciana")</f>
        <v>RIVADAVIA Luciana</v>
      </c>
      <c r="F2781" s="1" t="str">
        <f t="shared" si="1"/>
        <v>RIVADAVIA </v>
      </c>
      <c r="G2781" s="1" t="str">
        <f t="shared" si="2"/>
        <v>Luciana</v>
      </c>
      <c r="H2781" s="1" t="str">
        <f>IFERROR(__xludf.DUMMYFUNCTION("""COMPUTED_VALUE"""),"4/3/2023, 17:00:00")</f>
        <v>4/3/2023, 17:00:00</v>
      </c>
      <c r="I2781" s="1" t="str">
        <f>IFERROR(__xludf.DUMMYFUNCTION("""COMPUTED_VALUE"""),"Completado en SUCURSAL")</f>
        <v>Completado en SUCURSAL</v>
      </c>
      <c r="J2781" s="1">
        <f t="shared" si="3"/>
        <v>5</v>
      </c>
      <c r="K2781" s="1" t="str">
        <f t="shared" si="4"/>
        <v>Tus Lentes estan LISTAS PARA ENTREGAR, te esperamos.</v>
      </c>
    </row>
    <row r="2782">
      <c r="A2782" s="1">
        <f>IFERROR(__xludf.DUMMYFUNCTION("""COMPUTED_VALUE"""),87327.0)</f>
        <v>87327</v>
      </c>
      <c r="B2782" s="5">
        <f>IFERROR(__xludf.DUMMYFUNCTION("""COMPUTED_VALUE"""),44988.476594189815)</f>
        <v>44988.47659</v>
      </c>
      <c r="C2782" s="1" t="str">
        <f>IFERROR(__xludf.DUMMYFUNCTION("""COMPUTED_VALUE"""),"BARLOA CLAUDIA")</f>
        <v>BARLOA CLAUDIA</v>
      </c>
      <c r="D2782" s="1" t="str">
        <f>IFERROR(__xludf.DUMMYFUNCTION("""COMPUTED_VALUE"""),"Lentes de STOCK")</f>
        <v>Lentes de STOCK</v>
      </c>
      <c r="E2782" s="1" t="str">
        <f>IFERROR(__xludf.DUMMYFUNCTION("""COMPUTED_VALUE"""),"RIVADAVIA Santiago LOPEZ")</f>
        <v>RIVADAVIA Santiago LOPEZ</v>
      </c>
      <c r="F2782" s="1" t="str">
        <f t="shared" si="1"/>
        <v>RIVADAVIA </v>
      </c>
      <c r="G2782" s="1" t="str">
        <f t="shared" si="2"/>
        <v>Santiago LOPEZ</v>
      </c>
      <c r="H2782" s="1" t="str">
        <f>IFERROR(__xludf.DUMMYFUNCTION("""COMPUTED_VALUE"""),"10/3/2023, 17:00:00")</f>
        <v>10/3/2023, 17:00:00</v>
      </c>
      <c r="I2782" s="1" t="str">
        <f>IFERROR(__xludf.DUMMYFUNCTION("""COMPUTED_VALUE"""),"Recibido en Laboratorio")</f>
        <v>Recibido en Laboratorio</v>
      </c>
      <c r="J2782" s="1">
        <f t="shared" si="3"/>
        <v>2</v>
      </c>
      <c r="K2782" s="1" t="str">
        <f t="shared" si="4"/>
        <v>Nuestro Laboratorio esta trabajando en tus lentes, los entregaremos en la fecha acordada.</v>
      </c>
    </row>
    <row r="2783">
      <c r="A2783" s="1">
        <f>IFERROR(__xludf.DUMMYFUNCTION("""COMPUTED_VALUE"""),87328.0)</f>
        <v>87328</v>
      </c>
      <c r="B2783" s="5">
        <f>IFERROR(__xludf.DUMMYFUNCTION("""COMPUTED_VALUE"""),44988.476893252315)</f>
        <v>44988.47689</v>
      </c>
      <c r="C2783" s="1" t="str">
        <f>IFERROR(__xludf.DUMMYFUNCTION("""COMPUTED_VALUE"""),"LUCERO MONICA")</f>
        <v>LUCERO MONICA</v>
      </c>
      <c r="D2783" s="1" t="str">
        <f>IFERROR(__xludf.DUMMYFUNCTION("""COMPUTED_VALUE"""),"Lentes de STOCK")</f>
        <v>Lentes de STOCK</v>
      </c>
      <c r="E2783" s="1" t="str">
        <f>IFERROR(__xludf.DUMMYFUNCTION("""COMPUTED_VALUE"""),"ARTIGAS Ivana P.")</f>
        <v>ARTIGAS Ivana P.</v>
      </c>
      <c r="F2783" s="1" t="str">
        <f t="shared" si="1"/>
        <v>ARTIGAS </v>
      </c>
      <c r="G2783" s="1" t="str">
        <f t="shared" si="2"/>
        <v>Ivana P.</v>
      </c>
      <c r="H2783" s="1" t="str">
        <f>IFERROR(__xludf.DUMMYFUNCTION("""COMPUTED_VALUE"""),"8/3/2023, 17:00:00")</f>
        <v>8/3/2023, 17:00:00</v>
      </c>
      <c r="I2783" s="1" t="str">
        <f>IFERROR(__xludf.DUMMYFUNCTION("""COMPUTED_VALUE"""),"Completado en SUCURSAL")</f>
        <v>Completado en SUCURSAL</v>
      </c>
      <c r="J2783" s="1">
        <f t="shared" si="3"/>
        <v>5</v>
      </c>
      <c r="K2783" s="1" t="str">
        <f t="shared" si="4"/>
        <v>Tus Lentes estan LISTAS PARA ENTREGAR, te esperamos.</v>
      </c>
    </row>
    <row r="2784">
      <c r="A2784" s="1">
        <f>IFERROR(__xludf.DUMMYFUNCTION("""COMPUTED_VALUE"""),87329.0)</f>
        <v>87329</v>
      </c>
      <c r="B2784" s="5">
        <f>IFERROR(__xludf.DUMMYFUNCTION("""COMPUTED_VALUE"""),44988.48002159722)</f>
        <v>44988.48002</v>
      </c>
      <c r="C2784" s="1" t="str">
        <f>IFERROR(__xludf.DUMMYFUNCTION("""COMPUTED_VALUE"""),"arce brenda")</f>
        <v>arce brenda</v>
      </c>
      <c r="D2784" s="1" t="str">
        <f>IFERROR(__xludf.DUMMYFUNCTION("""COMPUTED_VALUE"""),"Lentes de STOCK")</f>
        <v>Lentes de STOCK</v>
      </c>
      <c r="E2784" s="1" t="str">
        <f>IFERROR(__xludf.DUMMYFUNCTION("""COMPUTED_VALUE"""),"RIVADAVIA Santiago N")</f>
        <v>RIVADAVIA Santiago N</v>
      </c>
      <c r="F2784" s="1" t="str">
        <f t="shared" si="1"/>
        <v>RIVADAVIA </v>
      </c>
      <c r="G2784" s="1" t="str">
        <f t="shared" si="2"/>
        <v>Santiago N</v>
      </c>
      <c r="H2784" s="1" t="str">
        <f>IFERROR(__xludf.DUMMYFUNCTION("""COMPUTED_VALUE"""),"8/3/2023, 17:00:00")</f>
        <v>8/3/2023, 17:00:00</v>
      </c>
      <c r="I2784" s="1" t="str">
        <f>IFERROR(__xludf.DUMMYFUNCTION("""COMPUTED_VALUE"""),"Completado en SUCURSAL")</f>
        <v>Completado en SUCURSAL</v>
      </c>
      <c r="J2784" s="1">
        <f t="shared" si="3"/>
        <v>5</v>
      </c>
      <c r="K2784" s="1" t="str">
        <f t="shared" si="4"/>
        <v>Tus Lentes estan LISTAS PARA ENTREGAR, te esperamos.</v>
      </c>
    </row>
    <row r="2785">
      <c r="A2785" s="1">
        <f>IFERROR(__xludf.DUMMYFUNCTION("""COMPUTED_VALUE"""),87330.0)</f>
        <v>87330</v>
      </c>
      <c r="B2785" s="5">
        <f>IFERROR(__xludf.DUMMYFUNCTION("""COMPUTED_VALUE"""),44988.48063640046)</f>
        <v>44988.48064</v>
      </c>
      <c r="C2785" s="1" t="str">
        <f>IFERROR(__xludf.DUMMYFUNCTION("""COMPUTED_VALUE"""),"TIMINO SANDRA")</f>
        <v>TIMINO SANDRA</v>
      </c>
      <c r="D2785" s="1" t="str">
        <f>IFERROR(__xludf.DUMMYFUNCTION("""COMPUTED_VALUE"""),"Lentes BIFOCALES")</f>
        <v>Lentes BIFOCALES</v>
      </c>
      <c r="E2785" s="1" t="str">
        <f>IFERROR(__xludf.DUMMYFUNCTION("""COMPUTED_VALUE"""),"ARTIGAS Roció")</f>
        <v>ARTIGAS Roció</v>
      </c>
      <c r="F2785" s="1" t="str">
        <f t="shared" si="1"/>
        <v>ARTIGAS </v>
      </c>
      <c r="G2785" s="1" t="str">
        <f t="shared" si="2"/>
        <v>Roció</v>
      </c>
      <c r="H2785" s="1" t="str">
        <f>IFERROR(__xludf.DUMMYFUNCTION("""COMPUTED_VALUE"""),"13/3/2023, 17:00:00")</f>
        <v>13/3/2023, 17:00:00</v>
      </c>
      <c r="I2785" s="1" t="str">
        <f>IFERROR(__xludf.DUMMYFUNCTION("""COMPUTED_VALUE"""),"Completado en SUCURSAL")</f>
        <v>Completado en SUCURSAL</v>
      </c>
      <c r="J2785" s="1">
        <f t="shared" si="3"/>
        <v>5</v>
      </c>
      <c r="K2785" s="1" t="str">
        <f t="shared" si="4"/>
        <v>Tus Lentes estan LISTAS PARA ENTREGAR, te esperamos.</v>
      </c>
    </row>
    <row r="2786">
      <c r="A2786" s="1">
        <f>IFERROR(__xludf.DUMMYFUNCTION("""COMPUTED_VALUE"""),87331.0)</f>
        <v>87331</v>
      </c>
      <c r="B2786" s="5">
        <f>IFERROR(__xludf.DUMMYFUNCTION("""COMPUTED_VALUE"""),44988.48161577546)</f>
        <v>44988.48162</v>
      </c>
      <c r="C2786" s="1" t="str">
        <f>IFERROR(__xludf.DUMMYFUNCTION("""COMPUTED_VALUE"""),"gimenez vivana")</f>
        <v>gimenez vivana</v>
      </c>
      <c r="D2786" s="1" t="str">
        <f>IFERROR(__xludf.DUMMYFUNCTION("""COMPUTED_VALUE"""),"Lentes de STOCK")</f>
        <v>Lentes de STOCK</v>
      </c>
      <c r="E2786" s="1" t="str">
        <f>IFERROR(__xludf.DUMMYFUNCTION("""COMPUTED_VALUE"""),"RIVADAVIA Santiago LOPEZ")</f>
        <v>RIVADAVIA Santiago LOPEZ</v>
      </c>
      <c r="F2786" s="1" t="str">
        <f t="shared" si="1"/>
        <v>RIVADAVIA </v>
      </c>
      <c r="G2786" s="1" t="str">
        <f t="shared" si="2"/>
        <v>Santiago LOPEZ</v>
      </c>
      <c r="H2786" s="1" t="str">
        <f>IFERROR(__xludf.DUMMYFUNCTION("""COMPUTED_VALUE"""),"7/3/2023, 17:00:00")</f>
        <v>7/3/2023, 17:00:00</v>
      </c>
      <c r="I2786" s="1" t="str">
        <f>IFERROR(__xludf.DUMMYFUNCTION("""COMPUTED_VALUE"""),"Completado en SUCURSAL")</f>
        <v>Completado en SUCURSAL</v>
      </c>
      <c r="J2786" s="1">
        <f t="shared" si="3"/>
        <v>5</v>
      </c>
      <c r="K2786" s="1" t="str">
        <f t="shared" si="4"/>
        <v>Tus Lentes estan LISTAS PARA ENTREGAR, te esperamos.</v>
      </c>
    </row>
    <row r="2787">
      <c r="A2787" s="1">
        <f>IFERROR(__xludf.DUMMYFUNCTION("""COMPUTED_VALUE"""),87332.0)</f>
        <v>87332</v>
      </c>
      <c r="B2787" s="5">
        <f>IFERROR(__xludf.DUMMYFUNCTION("""COMPUTED_VALUE"""),44988.48206116898)</f>
        <v>44988.48206</v>
      </c>
      <c r="C2787" s="1" t="str">
        <f>IFERROR(__xludf.DUMMYFUNCTION("""COMPUTED_VALUE"""),"VELAZQUEZ ANDREA SOLEDAD ")</f>
        <v>VELAZQUEZ ANDREA SOLEDAD </v>
      </c>
      <c r="D2787" s="1" t="str">
        <f>IFERROR(__xludf.DUMMYFUNCTION("""COMPUTED_VALUE"""),"Lentes de STOCK")</f>
        <v>Lentes de STOCK</v>
      </c>
      <c r="E2787" s="1" t="str">
        <f>IFERROR(__xludf.DUMMYFUNCTION("""COMPUTED_VALUE"""),"RIVADAVIA Christian C.")</f>
        <v>RIVADAVIA Christian C.</v>
      </c>
      <c r="F2787" s="1" t="str">
        <f t="shared" si="1"/>
        <v>RIVADAVIA </v>
      </c>
      <c r="G2787" s="1" t="str">
        <f t="shared" si="2"/>
        <v>Christian C.</v>
      </c>
      <c r="H2787" s="1" t="str">
        <f>IFERROR(__xludf.DUMMYFUNCTION("""COMPUTED_VALUE"""),"9/3/2023, 17:00:00")</f>
        <v>9/3/2023, 17:00:00</v>
      </c>
      <c r="I2787" s="1" t="str">
        <f>IFERROR(__xludf.DUMMYFUNCTION("""COMPUTED_VALUE"""),"Completado en SUCURSAL")</f>
        <v>Completado en SUCURSAL</v>
      </c>
      <c r="J2787" s="1">
        <f t="shared" si="3"/>
        <v>5</v>
      </c>
      <c r="K2787" s="1" t="str">
        <f t="shared" si="4"/>
        <v>Tus Lentes estan LISTAS PARA ENTREGAR, te esperamos.</v>
      </c>
    </row>
    <row r="2788">
      <c r="A2788" s="1">
        <f>IFERROR(__xludf.DUMMYFUNCTION("""COMPUTED_VALUE"""),87333.0)</f>
        <v>87333</v>
      </c>
      <c r="B2788" s="5">
        <f>IFERROR(__xludf.DUMMYFUNCTION("""COMPUTED_VALUE"""),44988.488030567125)</f>
        <v>44988.48803</v>
      </c>
      <c r="C2788" s="1" t="str">
        <f>IFERROR(__xludf.DUMMYFUNCTION("""COMPUTED_VALUE"""),"ASSAT ALDO ")</f>
        <v>ASSAT ALDO </v>
      </c>
      <c r="D2788" s="1" t="str">
        <f>IFERROR(__xludf.DUMMYFUNCTION("""COMPUTED_VALUE"""),"Reparaciones/Otros")</f>
        <v>Reparaciones/Otros</v>
      </c>
      <c r="E2788" s="1" t="str">
        <f>IFERROR(__xludf.DUMMYFUNCTION("""COMPUTED_VALUE"""),"RIVADAVIA Luciana")</f>
        <v>RIVADAVIA Luciana</v>
      </c>
      <c r="F2788" s="1" t="str">
        <f t="shared" si="1"/>
        <v>RIVADAVIA </v>
      </c>
      <c r="G2788" s="1" t="str">
        <f t="shared" si="2"/>
        <v>Luciana</v>
      </c>
      <c r="H2788" s="1" t="str">
        <f>IFERROR(__xludf.DUMMYFUNCTION("""COMPUTED_VALUE"""),"6/3/2023, 17:00:00")</f>
        <v>6/3/2023, 17:00:00</v>
      </c>
      <c r="I2788" s="1" t="str">
        <f>IFERROR(__xludf.DUMMYFUNCTION("""COMPUTED_VALUE"""),"Completado en SUCURSAL")</f>
        <v>Completado en SUCURSAL</v>
      </c>
      <c r="J2788" s="1">
        <f t="shared" si="3"/>
        <v>5</v>
      </c>
      <c r="K2788" s="1" t="str">
        <f t="shared" si="4"/>
        <v>Tus Lentes estan LISTAS PARA ENTREGAR, te esperamos.</v>
      </c>
    </row>
    <row r="2789">
      <c r="A2789" s="1">
        <f>IFERROR(__xludf.DUMMYFUNCTION("""COMPUTED_VALUE"""),87334.0)</f>
        <v>87334</v>
      </c>
      <c r="B2789" s="5">
        <f>IFERROR(__xludf.DUMMYFUNCTION("""COMPUTED_VALUE"""),44988.48933708333)</f>
        <v>44988.48934</v>
      </c>
      <c r="C2789" s="1" t="str">
        <f>IFERROR(__xludf.DUMMYFUNCTION("""COMPUTED_VALUE"""),"SORIA MARTA ANA")</f>
        <v>SORIA MARTA ANA</v>
      </c>
      <c r="D2789" s="1" t="str">
        <f>IFERROR(__xludf.DUMMYFUNCTION("""COMPUTED_VALUE"""),"Lentes de STOCK")</f>
        <v>Lentes de STOCK</v>
      </c>
      <c r="E2789" s="1" t="str">
        <f>IFERROR(__xludf.DUMMYFUNCTION("""COMPUTED_VALUE"""),"ARTIGAS Roció")</f>
        <v>ARTIGAS Roció</v>
      </c>
      <c r="F2789" s="1" t="str">
        <f t="shared" si="1"/>
        <v>ARTIGAS </v>
      </c>
      <c r="G2789" s="1" t="str">
        <f t="shared" si="2"/>
        <v>Roció</v>
      </c>
      <c r="H2789" s="1" t="str">
        <f>IFERROR(__xludf.DUMMYFUNCTION("""COMPUTED_VALUE"""),"13/3/2023, 17:00:00")</f>
        <v>13/3/2023, 17:00:00</v>
      </c>
      <c r="I2789" s="1" t="str">
        <f>IFERROR(__xludf.DUMMYFUNCTION("""COMPUTED_VALUE"""),"Completado en SUCURSAL")</f>
        <v>Completado en SUCURSAL</v>
      </c>
      <c r="J2789" s="1">
        <f t="shared" si="3"/>
        <v>5</v>
      </c>
      <c r="K2789" s="1" t="str">
        <f t="shared" si="4"/>
        <v>Tus Lentes estan LISTAS PARA ENTREGAR, te esperamos.</v>
      </c>
    </row>
    <row r="2790">
      <c r="A2790" s="1">
        <f>IFERROR(__xludf.DUMMYFUNCTION("""COMPUTED_VALUE"""),87335.0)</f>
        <v>87335</v>
      </c>
      <c r="B2790" s="5">
        <f>IFERROR(__xludf.DUMMYFUNCTION("""COMPUTED_VALUE"""),44988.48952898148)</f>
        <v>44988.48953</v>
      </c>
      <c r="C2790" s="1" t="str">
        <f>IFERROR(__xludf.DUMMYFUNCTION("""COMPUTED_VALUE"""),"AGUILERA MIA")</f>
        <v>AGUILERA MIA</v>
      </c>
      <c r="D2790" s="1" t="str">
        <f>IFERROR(__xludf.DUMMYFUNCTION("""COMPUTED_VALUE"""),"Lentes de STOCK")</f>
        <v>Lentes de STOCK</v>
      </c>
      <c r="E2790" s="1" t="str">
        <f>IFERROR(__xludf.DUMMYFUNCTION("""COMPUTED_VALUE"""),"RIVADAVIA Santiago LOPEZ")</f>
        <v>RIVADAVIA Santiago LOPEZ</v>
      </c>
      <c r="F2790" s="1" t="str">
        <f t="shared" si="1"/>
        <v>RIVADAVIA </v>
      </c>
      <c r="G2790" s="1" t="str">
        <f t="shared" si="2"/>
        <v>Santiago LOPEZ</v>
      </c>
      <c r="H2790" s="1" t="str">
        <f>IFERROR(__xludf.DUMMYFUNCTION("""COMPUTED_VALUE"""),"7/3/2023, 17:00:00")</f>
        <v>7/3/2023, 17:00:00</v>
      </c>
      <c r="I2790" s="1" t="str">
        <f>IFERROR(__xludf.DUMMYFUNCTION("""COMPUTED_VALUE"""),"Completado en SUCURSAL")</f>
        <v>Completado en SUCURSAL</v>
      </c>
      <c r="J2790" s="1">
        <f t="shared" si="3"/>
        <v>5</v>
      </c>
      <c r="K2790" s="1" t="str">
        <f t="shared" si="4"/>
        <v>Tus Lentes estan LISTAS PARA ENTREGAR, te esperamos.</v>
      </c>
    </row>
    <row r="2791">
      <c r="A2791" s="1">
        <f>IFERROR(__xludf.DUMMYFUNCTION("""COMPUTED_VALUE"""),87336.0)</f>
        <v>87336</v>
      </c>
      <c r="B2791" s="5">
        <f>IFERROR(__xludf.DUMMYFUNCTION("""COMPUTED_VALUE"""),44988.49586681713)</f>
        <v>44988.49587</v>
      </c>
      <c r="C2791" s="1" t="str">
        <f>IFERROR(__xludf.DUMMYFUNCTION("""COMPUTED_VALUE"""),"iglesias sanchez nahuel")</f>
        <v>iglesias sanchez nahuel</v>
      </c>
      <c r="D2791" s="1" t="str">
        <f>IFERROR(__xludf.DUMMYFUNCTION("""COMPUTED_VALUE"""),"Reparaciones/Otros")</f>
        <v>Reparaciones/Otros</v>
      </c>
      <c r="E2791" s="1" t="str">
        <f>IFERROR(__xludf.DUMMYFUNCTION("""COMPUTED_VALUE"""),"RIVADAVIA Santiago LOPEZ")</f>
        <v>RIVADAVIA Santiago LOPEZ</v>
      </c>
      <c r="F2791" s="1" t="str">
        <f t="shared" si="1"/>
        <v>RIVADAVIA </v>
      </c>
      <c r="G2791" s="1" t="str">
        <f t="shared" si="2"/>
        <v>Santiago LOPEZ</v>
      </c>
      <c r="H2791" s="1" t="str">
        <f>IFERROR(__xludf.DUMMYFUNCTION("""COMPUTED_VALUE"""),"4/3/2023, 17:00:00")</f>
        <v>4/3/2023, 17:00:00</v>
      </c>
      <c r="I2791" s="1" t="str">
        <f>IFERROR(__xludf.DUMMYFUNCTION("""COMPUTED_VALUE"""),"Completado en SUCURSAL")</f>
        <v>Completado en SUCURSAL</v>
      </c>
      <c r="J2791" s="1">
        <f t="shared" si="3"/>
        <v>5</v>
      </c>
      <c r="K2791" s="1" t="str">
        <f t="shared" si="4"/>
        <v>Tus Lentes estan LISTAS PARA ENTREGAR, te esperamos.</v>
      </c>
    </row>
    <row r="2792">
      <c r="A2792" s="1">
        <f>IFERROR(__xludf.DUMMYFUNCTION("""COMPUTED_VALUE"""),87337.0)</f>
        <v>87337</v>
      </c>
      <c r="B2792" s="5">
        <f>IFERROR(__xludf.DUMMYFUNCTION("""COMPUTED_VALUE"""),44988.496331111106)</f>
        <v>44988.49633</v>
      </c>
      <c r="C2792" s="1" t="str">
        <f>IFERROR(__xludf.DUMMYFUNCTION("""COMPUTED_VALUE"""),"CONTRERAS NOELIA")</f>
        <v>CONTRERAS NOELIA</v>
      </c>
      <c r="D2792" s="1" t="str">
        <f>IFERROR(__xludf.DUMMYFUNCTION("""COMPUTED_VALUE"""),"Lentes de STOCK")</f>
        <v>Lentes de STOCK</v>
      </c>
      <c r="E2792" s="1" t="str">
        <f>IFERROR(__xludf.DUMMYFUNCTION("""COMPUTED_VALUE"""),"RIVADAVIA Luciana")</f>
        <v>RIVADAVIA Luciana</v>
      </c>
      <c r="F2792" s="1" t="str">
        <f t="shared" si="1"/>
        <v>RIVADAVIA </v>
      </c>
      <c r="G2792" s="1" t="str">
        <f t="shared" si="2"/>
        <v>Luciana</v>
      </c>
      <c r="H2792" s="1" t="str">
        <f>IFERROR(__xludf.DUMMYFUNCTION("""COMPUTED_VALUE"""),"8/3/2023, 17:00:00")</f>
        <v>8/3/2023, 17:00:00</v>
      </c>
      <c r="I2792" s="1" t="str">
        <f>IFERROR(__xludf.DUMMYFUNCTION("""COMPUTED_VALUE"""),"Completado en SUCURSAL")</f>
        <v>Completado en SUCURSAL</v>
      </c>
      <c r="J2792" s="1">
        <f t="shared" si="3"/>
        <v>5</v>
      </c>
      <c r="K2792" s="1" t="str">
        <f t="shared" si="4"/>
        <v>Tus Lentes estan LISTAS PARA ENTREGAR, te esperamos.</v>
      </c>
    </row>
    <row r="2793">
      <c r="A2793" s="1">
        <f>IFERROR(__xludf.DUMMYFUNCTION("""COMPUTED_VALUE"""),87338.0)</f>
        <v>87338</v>
      </c>
      <c r="B2793" s="5">
        <f>IFERROR(__xludf.DUMMYFUNCTION("""COMPUTED_VALUE"""),44988.49947273148)</f>
        <v>44988.49947</v>
      </c>
      <c r="C2793" s="1" t="str">
        <f>IFERROR(__xludf.DUMMYFUNCTION("""COMPUTED_VALUE"""),"CONTRERAS NOELIA")</f>
        <v>CONTRERAS NOELIA</v>
      </c>
      <c r="D2793" s="1" t="str">
        <f>IFERROR(__xludf.DUMMYFUNCTION("""COMPUTED_VALUE"""),"Reparaciones/Otros")</f>
        <v>Reparaciones/Otros</v>
      </c>
      <c r="E2793" s="1" t="str">
        <f>IFERROR(__xludf.DUMMYFUNCTION("""COMPUTED_VALUE"""),"RIVADAVIA Luciana")</f>
        <v>RIVADAVIA Luciana</v>
      </c>
      <c r="F2793" s="1" t="str">
        <f t="shared" si="1"/>
        <v>RIVADAVIA </v>
      </c>
      <c r="G2793" s="1" t="str">
        <f t="shared" si="2"/>
        <v>Luciana</v>
      </c>
      <c r="H2793" s="1" t="str">
        <f>IFERROR(__xludf.DUMMYFUNCTION("""COMPUTED_VALUE"""),"6/3/2023, 17:00:00")</f>
        <v>6/3/2023, 17:00:00</v>
      </c>
      <c r="I2793" s="1" t="str">
        <f>IFERROR(__xludf.DUMMYFUNCTION("""COMPUTED_VALUE"""),"Completado en SUCURSAL")</f>
        <v>Completado en SUCURSAL</v>
      </c>
      <c r="J2793" s="1">
        <f t="shared" si="3"/>
        <v>5</v>
      </c>
      <c r="K2793" s="1" t="str">
        <f t="shared" si="4"/>
        <v>Tus Lentes estan LISTAS PARA ENTREGAR, te esperamos.</v>
      </c>
    </row>
    <row r="2794">
      <c r="A2794" s="1">
        <f>IFERROR(__xludf.DUMMYFUNCTION("""COMPUTED_VALUE"""),87339.0)</f>
        <v>87339</v>
      </c>
      <c r="B2794" s="5">
        <f>IFERROR(__xludf.DUMMYFUNCTION("""COMPUTED_VALUE"""),44988.50079627315)</f>
        <v>44988.5008</v>
      </c>
      <c r="C2794" s="1" t="str">
        <f>IFERROR(__xludf.DUMMYFUNCTION("""COMPUTED_VALUE"""),"NETTO CLAUDIA ALEJANDRA")</f>
        <v>NETTO CLAUDIA ALEJANDRA</v>
      </c>
      <c r="D2794" s="1" t="str">
        <f>IFERROR(__xludf.DUMMYFUNCTION("""COMPUTED_VALUE"""),"Lentes BIFOCALES")</f>
        <v>Lentes BIFOCALES</v>
      </c>
      <c r="E2794" s="1" t="str">
        <f>IFERROR(__xludf.DUMMYFUNCTION("""COMPUTED_VALUE"""),"ARTIGAS Roció")</f>
        <v>ARTIGAS Roció</v>
      </c>
      <c r="F2794" s="1" t="str">
        <f t="shared" si="1"/>
        <v>ARTIGAS </v>
      </c>
      <c r="G2794" s="1" t="str">
        <f t="shared" si="2"/>
        <v>Roció</v>
      </c>
      <c r="H2794" s="1" t="str">
        <f>IFERROR(__xludf.DUMMYFUNCTION("""COMPUTED_VALUE"""),"13/3/2023, 17:00:00")</f>
        <v>13/3/2023, 17:00:00</v>
      </c>
      <c r="I2794" s="1" t="str">
        <f>IFERROR(__xludf.DUMMYFUNCTION("""COMPUTED_VALUE"""),"Completado en SUCURSAL")</f>
        <v>Completado en SUCURSAL</v>
      </c>
      <c r="J2794" s="1">
        <f t="shared" si="3"/>
        <v>5</v>
      </c>
      <c r="K2794" s="1" t="str">
        <f t="shared" si="4"/>
        <v>Tus Lentes estan LISTAS PARA ENTREGAR, te esperamos.</v>
      </c>
    </row>
    <row r="2795">
      <c r="A2795" s="1">
        <f>IFERROR(__xludf.DUMMYFUNCTION("""COMPUTED_VALUE"""),87340.0)</f>
        <v>87340</v>
      </c>
      <c r="B2795" s="5">
        <f>IFERROR(__xludf.DUMMYFUNCTION("""COMPUTED_VALUE"""),44988.50643163195)</f>
        <v>44988.50643</v>
      </c>
      <c r="C2795" s="1" t="str">
        <f>IFERROR(__xludf.DUMMYFUNCTION("""COMPUTED_VALUE"""),"PONCE BENJAMIN")</f>
        <v>PONCE BENJAMIN</v>
      </c>
      <c r="D2795" s="1" t="str">
        <f>IFERROR(__xludf.DUMMYFUNCTION("""COMPUTED_VALUE"""),"Reparaciones/Otros")</f>
        <v>Reparaciones/Otros</v>
      </c>
      <c r="E2795" s="1" t="str">
        <f>IFERROR(__xludf.DUMMYFUNCTION("""COMPUTED_VALUE"""),"RIVADAVIA Daniel CM")</f>
        <v>RIVADAVIA Daniel CM</v>
      </c>
      <c r="F2795" s="1" t="str">
        <f t="shared" si="1"/>
        <v>RIVADAVIA </v>
      </c>
      <c r="G2795" s="1" t="str">
        <f t="shared" si="2"/>
        <v>Daniel CM</v>
      </c>
      <c r="H2795" s="1" t="str">
        <f>IFERROR(__xludf.DUMMYFUNCTION("""COMPUTED_VALUE"""),"4/3/2023, 17:00:00")</f>
        <v>4/3/2023, 17:00:00</v>
      </c>
      <c r="I2795" s="1" t="str">
        <f>IFERROR(__xludf.DUMMYFUNCTION("""COMPUTED_VALUE"""),"Completado en SUCURSAL")</f>
        <v>Completado en SUCURSAL</v>
      </c>
      <c r="J2795" s="1">
        <f t="shared" si="3"/>
        <v>5</v>
      </c>
      <c r="K2795" s="1" t="str">
        <f t="shared" si="4"/>
        <v>Tus Lentes estan LISTAS PARA ENTREGAR, te esperamos.</v>
      </c>
    </row>
    <row r="2796">
      <c r="A2796" s="1">
        <f>IFERROR(__xludf.DUMMYFUNCTION("""COMPUTED_VALUE"""),87341.0)</f>
        <v>87341</v>
      </c>
      <c r="B2796" s="5">
        <f>IFERROR(__xludf.DUMMYFUNCTION("""COMPUTED_VALUE"""),44988.507683125004)</f>
        <v>44988.50768</v>
      </c>
      <c r="C2796" s="1" t="str">
        <f>IFERROR(__xludf.DUMMYFUNCTION("""COMPUTED_VALUE"""),"gutierrez ana")</f>
        <v>gutierrez ana</v>
      </c>
      <c r="D2796" s="1" t="str">
        <f>IFERROR(__xludf.DUMMYFUNCTION("""COMPUTED_VALUE"""),"Lentes MULTIFOCALES")</f>
        <v>Lentes MULTIFOCALES</v>
      </c>
      <c r="E2796" s="1" t="str">
        <f>IFERROR(__xludf.DUMMYFUNCTION("""COMPUTED_VALUE"""),"RIVADAVIA Santiago N")</f>
        <v>RIVADAVIA Santiago N</v>
      </c>
      <c r="F2796" s="1" t="str">
        <f t="shared" si="1"/>
        <v>RIVADAVIA </v>
      </c>
      <c r="G2796" s="1" t="str">
        <f t="shared" si="2"/>
        <v>Santiago N</v>
      </c>
      <c r="H2796" s="1" t="str">
        <f>IFERROR(__xludf.DUMMYFUNCTION("""COMPUTED_VALUE"""),"25/3/2023, 17:00:00")</f>
        <v>25/3/2023, 17:00:00</v>
      </c>
      <c r="I2796" s="1" t="str">
        <f>IFERROR(__xludf.DUMMYFUNCTION("""COMPUTED_VALUE"""),"RETIRADO OK POR CLIENTE")</f>
        <v>RETIRADO OK POR CLIENTE</v>
      </c>
      <c r="J2796" s="1">
        <f t="shared" si="3"/>
        <v>6</v>
      </c>
      <c r="K2796" s="1" t="str">
        <f t="shared" si="4"/>
        <v>Entregamos tus lentes, que los disfrutes!</v>
      </c>
    </row>
    <row r="2797">
      <c r="A2797" s="1">
        <f>IFERROR(__xludf.DUMMYFUNCTION("""COMPUTED_VALUE"""),87342.0)</f>
        <v>87342</v>
      </c>
      <c r="B2797" s="5">
        <f>IFERROR(__xludf.DUMMYFUNCTION("""COMPUTED_VALUE"""),44988.515120069445)</f>
        <v>44988.51512</v>
      </c>
      <c r="C2797" s="1" t="str">
        <f>IFERROR(__xludf.DUMMYFUNCTION("""COMPUTED_VALUE"""),"AGUERO ROBLES MARAI DE LOS ANGELES ")</f>
        <v>AGUERO ROBLES MARAI DE LOS ANGELES </v>
      </c>
      <c r="D2797" s="1" t="str">
        <f>IFERROR(__xludf.DUMMYFUNCTION("""COMPUTED_VALUE"""),"Lentes de STOCK")</f>
        <v>Lentes de STOCK</v>
      </c>
      <c r="E2797" s="1" t="str">
        <f>IFERROR(__xludf.DUMMYFUNCTION("""COMPUTED_VALUE"""),"RIVADAVIA Christian C.")</f>
        <v>RIVADAVIA Christian C.</v>
      </c>
      <c r="F2797" s="1" t="str">
        <f t="shared" si="1"/>
        <v>RIVADAVIA </v>
      </c>
      <c r="G2797" s="1" t="str">
        <f t="shared" si="2"/>
        <v>Christian C.</v>
      </c>
      <c r="H2797" s="1" t="str">
        <f>IFERROR(__xludf.DUMMYFUNCTION("""COMPUTED_VALUE"""),"8/3/2023, 17:00:00")</f>
        <v>8/3/2023, 17:00:00</v>
      </c>
      <c r="I2797" s="1" t="str">
        <f>IFERROR(__xludf.DUMMYFUNCTION("""COMPUTED_VALUE"""),"Completado en SUCURSAL")</f>
        <v>Completado en SUCURSAL</v>
      </c>
      <c r="J2797" s="1">
        <f t="shared" si="3"/>
        <v>5</v>
      </c>
      <c r="K2797" s="1" t="str">
        <f t="shared" si="4"/>
        <v>Tus Lentes estan LISTAS PARA ENTREGAR, te esperamos.</v>
      </c>
    </row>
    <row r="2798">
      <c r="A2798" s="1">
        <f>IFERROR(__xludf.DUMMYFUNCTION("""COMPUTED_VALUE"""),87343.0)</f>
        <v>87343</v>
      </c>
      <c r="B2798" s="5">
        <f>IFERROR(__xludf.DUMMYFUNCTION("""COMPUTED_VALUE"""),44988.51812738426)</f>
        <v>44988.51813</v>
      </c>
      <c r="C2798" s="1" t="str">
        <f>IFERROR(__xludf.DUMMYFUNCTION("""COMPUTED_VALUE"""),"IRUSTA DANTE")</f>
        <v>IRUSTA DANTE</v>
      </c>
      <c r="D2798" s="1" t="str">
        <f>IFERROR(__xludf.DUMMYFUNCTION("""COMPUTED_VALUE"""),"Lentes de STOCK")</f>
        <v>Lentes de STOCK</v>
      </c>
      <c r="E2798" s="1" t="str">
        <f>IFERROR(__xludf.DUMMYFUNCTION("""COMPUTED_VALUE"""),"ARTIGAS Roció")</f>
        <v>ARTIGAS Roció</v>
      </c>
      <c r="F2798" s="1" t="str">
        <f t="shared" si="1"/>
        <v>ARTIGAS </v>
      </c>
      <c r="G2798" s="1" t="str">
        <f t="shared" si="2"/>
        <v>Roció</v>
      </c>
      <c r="H2798" s="1" t="str">
        <f>IFERROR(__xludf.DUMMYFUNCTION("""COMPUTED_VALUE"""),"10/3/2023, 17:00:00")</f>
        <v>10/3/2023, 17:00:00</v>
      </c>
      <c r="I2798" s="1" t="str">
        <f>IFERROR(__xludf.DUMMYFUNCTION("""COMPUTED_VALUE"""),"Completado en SUCURSAL")</f>
        <v>Completado en SUCURSAL</v>
      </c>
      <c r="J2798" s="1">
        <f t="shared" si="3"/>
        <v>5</v>
      </c>
      <c r="K2798" s="1" t="str">
        <f t="shared" si="4"/>
        <v>Tus Lentes estan LISTAS PARA ENTREGAR, te esperamos.</v>
      </c>
    </row>
    <row r="2799">
      <c r="A2799" s="1">
        <f>IFERROR(__xludf.DUMMYFUNCTION("""COMPUTED_VALUE"""),87344.0)</f>
        <v>87344</v>
      </c>
      <c r="B2799" s="5">
        <f>IFERROR(__xludf.DUMMYFUNCTION("""COMPUTED_VALUE"""),44988.51911811343)</f>
        <v>44988.51912</v>
      </c>
      <c r="C2799" s="1" t="str">
        <f>IFERROR(__xludf.DUMMYFUNCTION("""COMPUTED_VALUE"""),"ROBLES CLAUDIA ISABEL")</f>
        <v>ROBLES CLAUDIA ISABEL</v>
      </c>
      <c r="D2799" s="1" t="str">
        <f>IFERROR(__xludf.DUMMYFUNCTION("""COMPUTED_VALUE"""),"Lentes de STOCK")</f>
        <v>Lentes de STOCK</v>
      </c>
      <c r="E2799" s="1" t="str">
        <f>IFERROR(__xludf.DUMMYFUNCTION("""COMPUTED_VALUE"""),"RIVADAVIA Marcela L")</f>
        <v>RIVADAVIA Marcela L</v>
      </c>
      <c r="F2799" s="1" t="str">
        <f t="shared" si="1"/>
        <v>RIVADAVIA </v>
      </c>
      <c r="G2799" s="1" t="str">
        <f t="shared" si="2"/>
        <v>Marcela L</v>
      </c>
      <c r="H2799" s="1" t="str">
        <f>IFERROR(__xludf.DUMMYFUNCTION("""COMPUTED_VALUE"""),"7/3/2023, 17:00:00")</f>
        <v>7/3/2023, 17:00:00</v>
      </c>
      <c r="I2799" s="1" t="str">
        <f>IFERROR(__xludf.DUMMYFUNCTION("""COMPUTED_VALUE"""),"Completado en SUCURSAL")</f>
        <v>Completado en SUCURSAL</v>
      </c>
      <c r="J2799" s="1">
        <f t="shared" si="3"/>
        <v>5</v>
      </c>
      <c r="K2799" s="1" t="str">
        <f t="shared" si="4"/>
        <v>Tus Lentes estan LISTAS PARA ENTREGAR, te esperamos.</v>
      </c>
    </row>
    <row r="2800">
      <c r="A2800" s="1">
        <f>IFERROR(__xludf.DUMMYFUNCTION("""COMPUTED_VALUE"""),87345.0)</f>
        <v>87345</v>
      </c>
      <c r="B2800" s="5">
        <f>IFERROR(__xludf.DUMMYFUNCTION("""COMPUTED_VALUE"""),44988.5194928125)</f>
        <v>44988.51949</v>
      </c>
      <c r="C2800" s="1" t="str">
        <f>IFERROR(__xludf.DUMMYFUNCTION("""COMPUTED_VALUE"""),"GUZMAN BRENDA")</f>
        <v>GUZMAN BRENDA</v>
      </c>
      <c r="D2800" s="1" t="str">
        <f>IFERROR(__xludf.DUMMYFUNCTION("""COMPUTED_VALUE"""),"Lentes de STOCK")</f>
        <v>Lentes de STOCK</v>
      </c>
      <c r="E2800" s="1" t="str">
        <f>IFERROR(__xludf.DUMMYFUNCTION("""COMPUTED_VALUE"""),"ARTIGAS Roció")</f>
        <v>ARTIGAS Roció</v>
      </c>
      <c r="F2800" s="1" t="str">
        <f t="shared" si="1"/>
        <v>ARTIGAS </v>
      </c>
      <c r="G2800" s="1" t="str">
        <f t="shared" si="2"/>
        <v>Roció</v>
      </c>
      <c r="H2800" s="1" t="str">
        <f>IFERROR(__xludf.DUMMYFUNCTION("""COMPUTED_VALUE"""),"10/3/2023, 17:00:00")</f>
        <v>10/3/2023, 17:00:00</v>
      </c>
      <c r="I2800" s="1" t="str">
        <f>IFERROR(__xludf.DUMMYFUNCTION("""COMPUTED_VALUE"""),"Completado en SUCURSAL")</f>
        <v>Completado en SUCURSAL</v>
      </c>
      <c r="J2800" s="1">
        <f t="shared" si="3"/>
        <v>5</v>
      </c>
      <c r="K2800" s="1" t="str">
        <f t="shared" si="4"/>
        <v>Tus Lentes estan LISTAS PARA ENTREGAR, te esperamos.</v>
      </c>
    </row>
    <row r="2801">
      <c r="A2801" s="1">
        <f>IFERROR(__xludf.DUMMYFUNCTION("""COMPUTED_VALUE"""),87346.0)</f>
        <v>87346</v>
      </c>
      <c r="B2801" s="5">
        <f>IFERROR(__xludf.DUMMYFUNCTION("""COMPUTED_VALUE"""),44988.52090822917)</f>
        <v>44988.52091</v>
      </c>
      <c r="C2801" s="1" t="str">
        <f>IFERROR(__xludf.DUMMYFUNCTION("""COMPUTED_VALUE"""),"CORTEZ ISMAEL")</f>
        <v>CORTEZ ISMAEL</v>
      </c>
      <c r="D2801" s="1" t="str">
        <f>IFERROR(__xludf.DUMMYFUNCTION("""COMPUTED_VALUE"""),"Lentes de STOCK")</f>
        <v>Lentes de STOCK</v>
      </c>
      <c r="E2801" s="1" t="str">
        <f>IFERROR(__xludf.DUMMYFUNCTION("""COMPUTED_VALUE"""),"RIVADAVIA Luciana")</f>
        <v>RIVADAVIA Luciana</v>
      </c>
      <c r="F2801" s="1" t="str">
        <f t="shared" si="1"/>
        <v>RIVADAVIA </v>
      </c>
      <c r="G2801" s="1" t="str">
        <f t="shared" si="2"/>
        <v>Luciana</v>
      </c>
      <c r="H2801" s="1" t="str">
        <f>IFERROR(__xludf.DUMMYFUNCTION("""COMPUTED_VALUE"""),"9/3/2023, 17:00:00")</f>
        <v>9/3/2023, 17:00:00</v>
      </c>
      <c r="I2801" s="1" t="str">
        <f>IFERROR(__xludf.DUMMYFUNCTION("""COMPUTED_VALUE"""),"Completado en SUCURSAL")</f>
        <v>Completado en SUCURSAL</v>
      </c>
      <c r="J2801" s="1">
        <f t="shared" si="3"/>
        <v>5</v>
      </c>
      <c r="K2801" s="1" t="str">
        <f t="shared" si="4"/>
        <v>Tus Lentes estan LISTAS PARA ENTREGAR, te esperamos.</v>
      </c>
    </row>
    <row r="2802">
      <c r="A2802" s="1">
        <f>IFERROR(__xludf.DUMMYFUNCTION("""COMPUTED_VALUE"""),87347.0)</f>
        <v>87347</v>
      </c>
      <c r="B2802" s="5">
        <f>IFERROR(__xludf.DUMMYFUNCTION("""COMPUTED_VALUE"""),44988.52162665509)</f>
        <v>44988.52163</v>
      </c>
      <c r="C2802" s="1" t="str">
        <f>IFERROR(__xludf.DUMMYFUNCTION("""COMPUTED_VALUE"""),"MORAN SILVANA")</f>
        <v>MORAN SILVANA</v>
      </c>
      <c r="D2802" s="1" t="str">
        <f>IFERROR(__xludf.DUMMYFUNCTION("""COMPUTED_VALUE"""),"Lentes de STOCK")</f>
        <v>Lentes de STOCK</v>
      </c>
      <c r="E2802" s="1" t="str">
        <f>IFERROR(__xludf.DUMMYFUNCTION("""COMPUTED_VALUE"""),"RIVADAVIA Santiago N")</f>
        <v>RIVADAVIA Santiago N</v>
      </c>
      <c r="F2802" s="1" t="str">
        <f t="shared" si="1"/>
        <v>RIVADAVIA </v>
      </c>
      <c r="G2802" s="1" t="str">
        <f t="shared" si="2"/>
        <v>Santiago N</v>
      </c>
      <c r="H2802" s="1" t="str">
        <f>IFERROR(__xludf.DUMMYFUNCTION("""COMPUTED_VALUE"""),"6/3/2023, 17:00:00")</f>
        <v>6/3/2023, 17:00:00</v>
      </c>
      <c r="I2802" s="1" t="str">
        <f>IFERROR(__xludf.DUMMYFUNCTION("""COMPUTED_VALUE"""),"Completado en SUCURSAL")</f>
        <v>Completado en SUCURSAL</v>
      </c>
      <c r="J2802" s="1">
        <f t="shared" si="3"/>
        <v>5</v>
      </c>
      <c r="K2802" s="1" t="str">
        <f t="shared" si="4"/>
        <v>Tus Lentes estan LISTAS PARA ENTREGAR, te esperamos.</v>
      </c>
    </row>
    <row r="2803">
      <c r="A2803" s="1">
        <f>IFERROR(__xludf.DUMMYFUNCTION("""COMPUTED_VALUE"""),87348.0)</f>
        <v>87348</v>
      </c>
      <c r="B2803" s="5">
        <f>IFERROR(__xludf.DUMMYFUNCTION("""COMPUTED_VALUE"""),44988.53200929398)</f>
        <v>44988.53201</v>
      </c>
      <c r="C2803" s="1" t="str">
        <f>IFERROR(__xludf.DUMMYFUNCTION("""COMPUTED_VALUE"""),"CHAVERO YAMILA HILDA")</f>
        <v>CHAVERO YAMILA HILDA</v>
      </c>
      <c r="D2803" s="1" t="str">
        <f>IFERROR(__xludf.DUMMYFUNCTION("""COMPUTED_VALUE"""),"Lentes de STOCK")</f>
        <v>Lentes de STOCK</v>
      </c>
      <c r="E2803" s="1" t="str">
        <f>IFERROR(__xludf.DUMMYFUNCTION("""COMPUTED_VALUE"""),"RIVADAVIA Marcela L")</f>
        <v>RIVADAVIA Marcela L</v>
      </c>
      <c r="F2803" s="1" t="str">
        <f t="shared" si="1"/>
        <v>RIVADAVIA </v>
      </c>
      <c r="G2803" s="1" t="str">
        <f t="shared" si="2"/>
        <v>Marcela L</v>
      </c>
      <c r="H2803" s="1" t="str">
        <f>IFERROR(__xludf.DUMMYFUNCTION("""COMPUTED_VALUE"""),"7/3/2023, 17:00:00")</f>
        <v>7/3/2023, 17:00:00</v>
      </c>
      <c r="I2803" s="1" t="str">
        <f>IFERROR(__xludf.DUMMYFUNCTION("""COMPUTED_VALUE"""),"Completado en SUCURSAL")</f>
        <v>Completado en SUCURSAL</v>
      </c>
      <c r="J2803" s="1">
        <f t="shared" si="3"/>
        <v>5</v>
      </c>
      <c r="K2803" s="1" t="str">
        <f t="shared" si="4"/>
        <v>Tus Lentes estan LISTAS PARA ENTREGAR, te esperamos.</v>
      </c>
    </row>
    <row r="2804">
      <c r="A2804" s="1">
        <f>IFERROR(__xludf.DUMMYFUNCTION("""COMPUTED_VALUE"""),87349.0)</f>
        <v>87349</v>
      </c>
      <c r="B2804" s="5">
        <f>IFERROR(__xludf.DUMMYFUNCTION("""COMPUTED_VALUE"""),44988.53469853009)</f>
        <v>44988.5347</v>
      </c>
      <c r="C2804" s="1" t="str">
        <f>IFERROR(__xludf.DUMMYFUNCTION("""COMPUTED_VALUE"""),"ANDRADA JUAN CRUZ")</f>
        <v>ANDRADA JUAN CRUZ</v>
      </c>
      <c r="D2804" s="1" t="str">
        <f>IFERROR(__xludf.DUMMYFUNCTION("""COMPUTED_VALUE"""),"Lentes de STOCK")</f>
        <v>Lentes de STOCK</v>
      </c>
      <c r="E2804" s="1" t="str">
        <f>IFERROR(__xludf.DUMMYFUNCTION("""COMPUTED_VALUE"""),"ARTIGAS Roció")</f>
        <v>ARTIGAS Roció</v>
      </c>
      <c r="F2804" s="1" t="str">
        <f t="shared" si="1"/>
        <v>ARTIGAS </v>
      </c>
      <c r="G2804" s="1" t="str">
        <f t="shared" si="2"/>
        <v>Roció</v>
      </c>
      <c r="H2804" s="1" t="str">
        <f>IFERROR(__xludf.DUMMYFUNCTION("""COMPUTED_VALUE"""),"10/3/2023, 17:00:00")</f>
        <v>10/3/2023, 17:00:00</v>
      </c>
      <c r="I2804" s="1" t="str">
        <f>IFERROR(__xludf.DUMMYFUNCTION("""COMPUTED_VALUE"""),"Completado en SUCURSAL")</f>
        <v>Completado en SUCURSAL</v>
      </c>
      <c r="J2804" s="1">
        <f t="shared" si="3"/>
        <v>5</v>
      </c>
      <c r="K2804" s="1" t="str">
        <f t="shared" si="4"/>
        <v>Tus Lentes estan LISTAS PARA ENTREGAR, te esperamos.</v>
      </c>
    </row>
    <row r="2805">
      <c r="A2805" s="1">
        <f>IFERROR(__xludf.DUMMYFUNCTION("""COMPUTED_VALUE"""),87350.0)</f>
        <v>87350</v>
      </c>
      <c r="B2805" s="5">
        <f>IFERROR(__xludf.DUMMYFUNCTION("""COMPUTED_VALUE"""),44988.53780309028)</f>
        <v>44988.5378</v>
      </c>
      <c r="C2805" s="1" t="str">
        <f>IFERROR(__xludf.DUMMYFUNCTION("""COMPUTED_VALUE"""),"paola reta")</f>
        <v>paola reta</v>
      </c>
      <c r="D2805" s="1" t="str">
        <f>IFERROR(__xludf.DUMMYFUNCTION("""COMPUTED_VALUE"""),"Reparaciones/Otros")</f>
        <v>Reparaciones/Otros</v>
      </c>
      <c r="E2805" s="1" t="str">
        <f>IFERROR(__xludf.DUMMYFUNCTION("""COMPUTED_VALUE"""),"RIVADAVIA Daniel CM")</f>
        <v>RIVADAVIA Daniel CM</v>
      </c>
      <c r="F2805" s="1" t="str">
        <f t="shared" si="1"/>
        <v>RIVADAVIA </v>
      </c>
      <c r="G2805" s="1" t="str">
        <f t="shared" si="2"/>
        <v>Daniel CM</v>
      </c>
      <c r="H2805" s="1" t="str">
        <f>IFERROR(__xludf.DUMMYFUNCTION("""COMPUTED_VALUE"""),"4/3/2023, 17:00:00")</f>
        <v>4/3/2023, 17:00:00</v>
      </c>
      <c r="I2805" s="1"/>
      <c r="J2805" s="1">
        <f t="shared" si="3"/>
        <v>0</v>
      </c>
      <c r="K2805" s="1" t="str">
        <f t="shared" si="4"/>
        <v/>
      </c>
    </row>
    <row r="2806">
      <c r="A2806" s="1">
        <f>IFERROR(__xludf.DUMMYFUNCTION("""COMPUTED_VALUE"""),87351.0)</f>
        <v>87351</v>
      </c>
      <c r="B2806" s="5">
        <f>IFERROR(__xludf.DUMMYFUNCTION("""COMPUTED_VALUE"""),44988.53982752315)</f>
        <v>44988.53983</v>
      </c>
      <c r="C2806" s="1" t="str">
        <f>IFERROR(__xludf.DUMMYFUNCTION("""COMPUTED_VALUE"""),"CACERES SILVIA BEATRIZ")</f>
        <v>CACERES SILVIA BEATRIZ</v>
      </c>
      <c r="D2806" s="1" t="str">
        <f>IFERROR(__xludf.DUMMYFUNCTION("""COMPUTED_VALUE"""),"Lentes de STOCK")</f>
        <v>Lentes de STOCK</v>
      </c>
      <c r="E2806" s="1" t="str">
        <f>IFERROR(__xludf.DUMMYFUNCTION("""COMPUTED_VALUE"""),"ARTIGAS Roció")</f>
        <v>ARTIGAS Roció</v>
      </c>
      <c r="F2806" s="1" t="str">
        <f t="shared" si="1"/>
        <v>ARTIGAS </v>
      </c>
      <c r="G2806" s="1" t="str">
        <f t="shared" si="2"/>
        <v>Roció</v>
      </c>
      <c r="H2806" s="1" t="str">
        <f>IFERROR(__xludf.DUMMYFUNCTION("""COMPUTED_VALUE"""),"10/3/2023, 17:00:00")</f>
        <v>10/3/2023, 17:00:00</v>
      </c>
      <c r="I2806" s="1" t="str">
        <f>IFERROR(__xludf.DUMMYFUNCTION("""COMPUTED_VALUE"""),"Completado en SUCURSAL")</f>
        <v>Completado en SUCURSAL</v>
      </c>
      <c r="J2806" s="1">
        <f t="shared" si="3"/>
        <v>5</v>
      </c>
      <c r="K2806" s="1" t="str">
        <f t="shared" si="4"/>
        <v>Tus Lentes estan LISTAS PARA ENTREGAR, te esperamos.</v>
      </c>
    </row>
    <row r="2807">
      <c r="A2807" s="1">
        <f>IFERROR(__xludf.DUMMYFUNCTION("""COMPUTED_VALUE"""),87352.0)</f>
        <v>87352</v>
      </c>
      <c r="B2807" s="5">
        <f>IFERROR(__xludf.DUMMYFUNCTION("""COMPUTED_VALUE"""),44988.545062777775)</f>
        <v>44988.54506</v>
      </c>
      <c r="C2807" s="1" t="str">
        <f>IFERROR(__xludf.DUMMYFUNCTION("""COMPUTED_VALUE"""),"MEALCHIADO MARIA INES ")</f>
        <v>MEALCHIADO MARIA INES </v>
      </c>
      <c r="D2807" s="1" t="str">
        <f>IFERROR(__xludf.DUMMYFUNCTION("""COMPUTED_VALUE"""),"Lentes de STOCK")</f>
        <v>Lentes de STOCK</v>
      </c>
      <c r="E2807" s="1" t="str">
        <f>IFERROR(__xludf.DUMMYFUNCTION("""COMPUTED_VALUE"""),"RIVADAVIA Christian C.")</f>
        <v>RIVADAVIA Christian C.</v>
      </c>
      <c r="F2807" s="1" t="str">
        <f t="shared" si="1"/>
        <v>RIVADAVIA </v>
      </c>
      <c r="G2807" s="1" t="str">
        <f t="shared" si="2"/>
        <v>Christian C.</v>
      </c>
      <c r="H2807" s="1" t="str">
        <f>IFERROR(__xludf.DUMMYFUNCTION("""COMPUTED_VALUE"""),"10/3/2023, 17:00:00")</f>
        <v>10/3/2023, 17:00:00</v>
      </c>
      <c r="I2807" s="1" t="str">
        <f>IFERROR(__xludf.DUMMYFUNCTION("""COMPUTED_VALUE"""),"RETIRADO OK POR CLIENTE")</f>
        <v>RETIRADO OK POR CLIENTE</v>
      </c>
      <c r="J2807" s="1">
        <f t="shared" si="3"/>
        <v>6</v>
      </c>
      <c r="K2807" s="1" t="str">
        <f t="shared" si="4"/>
        <v>Entregamos tus lentes, que los disfrutes!</v>
      </c>
    </row>
    <row r="2808">
      <c r="A2808" s="1">
        <f>IFERROR(__xludf.DUMMYFUNCTION("""COMPUTED_VALUE"""),87353.0)</f>
        <v>87353</v>
      </c>
      <c r="B2808" s="5">
        <f>IFERROR(__xludf.DUMMYFUNCTION("""COMPUTED_VALUE"""),44988.5461252199)</f>
        <v>44988.54613</v>
      </c>
      <c r="C2808" s="1" t="str">
        <f>IFERROR(__xludf.DUMMYFUNCTION("""COMPUTED_VALUE"""),"MEALCHIADO MARIA INES ")</f>
        <v>MEALCHIADO MARIA INES </v>
      </c>
      <c r="D2808" s="1" t="str">
        <f>IFERROR(__xludf.DUMMYFUNCTION("""COMPUTED_VALUE"""),"Lentes de STOCK")</f>
        <v>Lentes de STOCK</v>
      </c>
      <c r="E2808" s="1" t="str">
        <f>IFERROR(__xludf.DUMMYFUNCTION("""COMPUTED_VALUE"""),"RIVADAVIA Christian C.")</f>
        <v>RIVADAVIA Christian C.</v>
      </c>
      <c r="F2808" s="1" t="str">
        <f t="shared" si="1"/>
        <v>RIVADAVIA </v>
      </c>
      <c r="G2808" s="1" t="str">
        <f t="shared" si="2"/>
        <v>Christian C.</v>
      </c>
      <c r="H2808" s="1" t="str">
        <f>IFERROR(__xludf.DUMMYFUNCTION("""COMPUTED_VALUE"""),"10/3/2023, 17:00:00")</f>
        <v>10/3/2023, 17:00:00</v>
      </c>
      <c r="I2808" s="1" t="str">
        <f>IFERROR(__xludf.DUMMYFUNCTION("""COMPUTED_VALUE"""),"Completado en SUCURSAL")</f>
        <v>Completado en SUCURSAL</v>
      </c>
      <c r="J2808" s="1">
        <f t="shared" si="3"/>
        <v>5</v>
      </c>
      <c r="K2808" s="1" t="str">
        <f t="shared" si="4"/>
        <v>Tus Lentes estan LISTAS PARA ENTREGAR, te esperamos.</v>
      </c>
    </row>
    <row r="2809">
      <c r="A2809" s="1">
        <f>IFERROR(__xludf.DUMMYFUNCTION("""COMPUTED_VALUE"""),87354.0)</f>
        <v>87354</v>
      </c>
      <c r="B2809" s="5">
        <f>IFERROR(__xludf.DUMMYFUNCTION("""COMPUTED_VALUE"""),44988.54710387731)</f>
        <v>44988.5471</v>
      </c>
      <c r="C2809" s="1" t="str">
        <f>IFERROR(__xludf.DUMMYFUNCTION("""COMPUTED_VALUE"""),"magallanes mercedes")</f>
        <v>magallanes mercedes</v>
      </c>
      <c r="D2809" s="1" t="str">
        <f>IFERROR(__xludf.DUMMYFUNCTION("""COMPUTED_VALUE"""),"Reparaciones/Otros")</f>
        <v>Reparaciones/Otros</v>
      </c>
      <c r="E2809" s="1" t="str">
        <f>IFERROR(__xludf.DUMMYFUNCTION("""COMPUTED_VALUE"""),"ARTIGAS Roció")</f>
        <v>ARTIGAS Roció</v>
      </c>
      <c r="F2809" s="1" t="str">
        <f t="shared" si="1"/>
        <v>ARTIGAS </v>
      </c>
      <c r="G2809" s="1" t="str">
        <f t="shared" si="2"/>
        <v>Roció</v>
      </c>
      <c r="H2809" s="1" t="str">
        <f>IFERROR(__xludf.DUMMYFUNCTION("""COMPUTED_VALUE"""),"6/3/2023, 17:00:00")</f>
        <v>6/3/2023, 17:00:00</v>
      </c>
      <c r="I2809" s="1" t="str">
        <f>IFERROR(__xludf.DUMMYFUNCTION("""COMPUTED_VALUE"""),"Completado en SUCURSAL")</f>
        <v>Completado en SUCURSAL</v>
      </c>
      <c r="J2809" s="1">
        <f t="shared" si="3"/>
        <v>5</v>
      </c>
      <c r="K2809" s="1" t="str">
        <f t="shared" si="4"/>
        <v>Tus Lentes estan LISTAS PARA ENTREGAR, te esperamos.</v>
      </c>
    </row>
    <row r="2810">
      <c r="A2810" s="1">
        <f>IFERROR(__xludf.DUMMYFUNCTION("""COMPUTED_VALUE"""),87355.0)</f>
        <v>87355</v>
      </c>
      <c r="B2810" s="5">
        <f>IFERROR(__xludf.DUMMYFUNCTION("""COMPUTED_VALUE"""),44988.54977143518)</f>
        <v>44988.54977</v>
      </c>
      <c r="C2810" s="1" t="str">
        <f>IFERROR(__xludf.DUMMYFUNCTION("""COMPUTED_VALUE"""),"MEALCHIADO MARIA INES")</f>
        <v>MEALCHIADO MARIA INES</v>
      </c>
      <c r="D2810" s="1" t="str">
        <f>IFERROR(__xludf.DUMMYFUNCTION("""COMPUTED_VALUE"""),"Reparaciones/Otros")</f>
        <v>Reparaciones/Otros</v>
      </c>
      <c r="E2810" s="1" t="str">
        <f>IFERROR(__xludf.DUMMYFUNCTION("""COMPUTED_VALUE"""),"RIVADAVIA Christian C.")</f>
        <v>RIVADAVIA Christian C.</v>
      </c>
      <c r="F2810" s="1" t="str">
        <f t="shared" si="1"/>
        <v>RIVADAVIA </v>
      </c>
      <c r="G2810" s="1" t="str">
        <f t="shared" si="2"/>
        <v>Christian C.</v>
      </c>
      <c r="H2810" s="1" t="str">
        <f>IFERROR(__xludf.DUMMYFUNCTION("""COMPUTED_VALUE"""),"10/3/2023, 17:00:00")</f>
        <v>10/3/2023, 17:00:00</v>
      </c>
      <c r="I2810" s="1" t="str">
        <f>IFERROR(__xludf.DUMMYFUNCTION("""COMPUTED_VALUE"""),"Recibido en Laboratorio")</f>
        <v>Recibido en Laboratorio</v>
      </c>
      <c r="J2810" s="1">
        <f t="shared" si="3"/>
        <v>2</v>
      </c>
      <c r="K2810" s="1" t="str">
        <f t="shared" si="4"/>
        <v>Nuestro Laboratorio esta trabajando en tus lentes, los entregaremos en la fecha acordada.</v>
      </c>
    </row>
    <row r="2811">
      <c r="A2811" s="1">
        <f>IFERROR(__xludf.DUMMYFUNCTION("""COMPUTED_VALUE"""),87356.0)</f>
        <v>87356</v>
      </c>
      <c r="B2811" s="5">
        <f>IFERROR(__xludf.DUMMYFUNCTION("""COMPUTED_VALUE"""),44988.550079513894)</f>
        <v>44988.55008</v>
      </c>
      <c r="C2811" s="1" t="str">
        <f>IFERROR(__xludf.DUMMYFUNCTION("""COMPUTED_VALUE"""),"bustos fara marcela")</f>
        <v>bustos fara marcela</v>
      </c>
      <c r="D2811" s="1" t="str">
        <f>IFERROR(__xludf.DUMMYFUNCTION("""COMPUTED_VALUE"""),"Lentes de STOCK")</f>
        <v>Lentes de STOCK</v>
      </c>
      <c r="E2811" s="1" t="str">
        <f>IFERROR(__xludf.DUMMYFUNCTION("""COMPUTED_VALUE"""),"RIVADAVIA Santiago N")</f>
        <v>RIVADAVIA Santiago N</v>
      </c>
      <c r="F2811" s="1" t="str">
        <f t="shared" si="1"/>
        <v>RIVADAVIA </v>
      </c>
      <c r="G2811" s="1" t="str">
        <f t="shared" si="2"/>
        <v>Santiago N</v>
      </c>
      <c r="H2811" s="1" t="str">
        <f>IFERROR(__xludf.DUMMYFUNCTION("""COMPUTED_VALUE"""),"9/3/2023, 17:00:00")</f>
        <v>9/3/2023, 17:00:00</v>
      </c>
      <c r="I2811" s="1" t="str">
        <f>IFERROR(__xludf.DUMMYFUNCTION("""COMPUTED_VALUE"""),"Completado en SUCURSAL")</f>
        <v>Completado en SUCURSAL</v>
      </c>
      <c r="J2811" s="1">
        <f t="shared" si="3"/>
        <v>5</v>
      </c>
      <c r="K2811" s="1" t="str">
        <f t="shared" si="4"/>
        <v>Tus Lentes estan LISTAS PARA ENTREGAR, te esperamos.</v>
      </c>
    </row>
    <row r="2812">
      <c r="A2812" s="1">
        <f>IFERROR(__xludf.DUMMYFUNCTION("""COMPUTED_VALUE"""),87357.0)</f>
        <v>87357</v>
      </c>
      <c r="B2812" s="5">
        <f>IFERROR(__xludf.DUMMYFUNCTION("""COMPUTED_VALUE"""),44988.55306510416)</f>
        <v>44988.55307</v>
      </c>
      <c r="C2812" s="1" t="str">
        <f>IFERROR(__xludf.DUMMYFUNCTION("""COMPUTED_VALUE"""),"DE MATTEO ZULEMA")</f>
        <v>DE MATTEO ZULEMA</v>
      </c>
      <c r="D2812" s="1" t="str">
        <f>IFERROR(__xludf.DUMMYFUNCTION("""COMPUTED_VALUE"""),"Lentes de STOCK")</f>
        <v>Lentes de STOCK</v>
      </c>
      <c r="E2812" s="1" t="str">
        <f>IFERROR(__xludf.DUMMYFUNCTION("""COMPUTED_VALUE"""),"ARTIGAS Ivana P.")</f>
        <v>ARTIGAS Ivana P.</v>
      </c>
      <c r="F2812" s="1" t="str">
        <f t="shared" si="1"/>
        <v>ARTIGAS </v>
      </c>
      <c r="G2812" s="1" t="str">
        <f t="shared" si="2"/>
        <v>Ivana P.</v>
      </c>
      <c r="H2812" s="1" t="str">
        <f>IFERROR(__xludf.DUMMYFUNCTION("""COMPUTED_VALUE"""),"8/3/2023, 17:00:00")</f>
        <v>8/3/2023, 17:00:00</v>
      </c>
      <c r="I2812" s="1" t="str">
        <f>IFERROR(__xludf.DUMMYFUNCTION("""COMPUTED_VALUE"""),"Completado en SUCURSAL")</f>
        <v>Completado en SUCURSAL</v>
      </c>
      <c r="J2812" s="1">
        <f t="shared" si="3"/>
        <v>5</v>
      </c>
      <c r="K2812" s="1" t="str">
        <f t="shared" si="4"/>
        <v>Tus Lentes estan LISTAS PARA ENTREGAR, te esperamos.</v>
      </c>
    </row>
    <row r="2813">
      <c r="A2813" s="1">
        <f>IFERROR(__xludf.DUMMYFUNCTION("""COMPUTED_VALUE"""),87358.0)</f>
        <v>87358</v>
      </c>
      <c r="B2813" s="5">
        <f>IFERROR(__xludf.DUMMYFUNCTION("""COMPUTED_VALUE"""),44988.55569414352)</f>
        <v>44988.55569</v>
      </c>
      <c r="C2813" s="1" t="str">
        <f>IFERROR(__xludf.DUMMYFUNCTION("""COMPUTED_VALUE"""),"VILLEGAS GUADALUPE")</f>
        <v>VILLEGAS GUADALUPE</v>
      </c>
      <c r="D2813" s="1" t="str">
        <f>IFERROR(__xludf.DUMMYFUNCTION("""COMPUTED_VALUE"""),"Lentes de STOCK")</f>
        <v>Lentes de STOCK</v>
      </c>
      <c r="E2813" s="1" t="str">
        <f>IFERROR(__xludf.DUMMYFUNCTION("""COMPUTED_VALUE"""),"RIVADAVIA Christian C.")</f>
        <v>RIVADAVIA Christian C.</v>
      </c>
      <c r="F2813" s="1" t="str">
        <f t="shared" si="1"/>
        <v>RIVADAVIA </v>
      </c>
      <c r="G2813" s="1" t="str">
        <f t="shared" si="2"/>
        <v>Christian C.</v>
      </c>
      <c r="H2813" s="1" t="str">
        <f>IFERROR(__xludf.DUMMYFUNCTION("""COMPUTED_VALUE"""),"9/3/2023, 17:00:00")</f>
        <v>9/3/2023, 17:00:00</v>
      </c>
      <c r="I2813" s="1" t="str">
        <f>IFERROR(__xludf.DUMMYFUNCTION("""COMPUTED_VALUE"""),"Completado en SUCURSAL")</f>
        <v>Completado en SUCURSAL</v>
      </c>
      <c r="J2813" s="1">
        <f t="shared" si="3"/>
        <v>5</v>
      </c>
      <c r="K2813" s="1" t="str">
        <f t="shared" si="4"/>
        <v>Tus Lentes estan LISTAS PARA ENTREGAR, te esperamos.</v>
      </c>
    </row>
    <row r="2814">
      <c r="A2814" s="1">
        <f>IFERROR(__xludf.DUMMYFUNCTION("""COMPUTED_VALUE"""),87359.0)</f>
        <v>87359</v>
      </c>
      <c r="B2814" s="5">
        <f>IFERROR(__xludf.DUMMYFUNCTION("""COMPUTED_VALUE"""),44988.56172454861)</f>
        <v>44988.56172</v>
      </c>
      <c r="C2814" s="1" t="str">
        <f>IFERROR(__xludf.DUMMYFUNCTION("""COMPUTED_VALUE"""),"IGLESIAS PAMELA ")</f>
        <v>IGLESIAS PAMELA </v>
      </c>
      <c r="D2814" s="1" t="str">
        <f>IFERROR(__xludf.DUMMYFUNCTION("""COMPUTED_VALUE"""),"Lentes de STOCK")</f>
        <v>Lentes de STOCK</v>
      </c>
      <c r="E2814" s="1" t="str">
        <f>IFERROR(__xludf.DUMMYFUNCTION("""COMPUTED_VALUE"""),"RIVADAVIA Luciana")</f>
        <v>RIVADAVIA Luciana</v>
      </c>
      <c r="F2814" s="1" t="str">
        <f t="shared" si="1"/>
        <v>RIVADAVIA </v>
      </c>
      <c r="G2814" s="1" t="str">
        <f t="shared" si="2"/>
        <v>Luciana</v>
      </c>
      <c r="H2814" s="1" t="str">
        <f>IFERROR(__xludf.DUMMYFUNCTION("""COMPUTED_VALUE"""),"8/3/2023, 17:00:00")</f>
        <v>8/3/2023, 17:00:00</v>
      </c>
      <c r="I2814" s="1" t="str">
        <f>IFERROR(__xludf.DUMMYFUNCTION("""COMPUTED_VALUE"""),"Completado en SUCURSAL")</f>
        <v>Completado en SUCURSAL</v>
      </c>
      <c r="J2814" s="1">
        <f t="shared" si="3"/>
        <v>5</v>
      </c>
      <c r="K2814" s="1" t="str">
        <f t="shared" si="4"/>
        <v>Tus Lentes estan LISTAS PARA ENTREGAR, te esperamos.</v>
      </c>
    </row>
    <row r="2815">
      <c r="A2815" s="1">
        <f>IFERROR(__xludf.DUMMYFUNCTION("""COMPUTED_VALUE"""),87360.0)</f>
        <v>87360</v>
      </c>
      <c r="B2815" s="5">
        <f>IFERROR(__xludf.DUMMYFUNCTION("""COMPUTED_VALUE"""),44988.56230138888)</f>
        <v>44988.5623</v>
      </c>
      <c r="C2815" s="1" t="str">
        <f>IFERROR(__xludf.DUMMYFUNCTION("""COMPUTED_VALUE"""),"DIAZ RAMON")</f>
        <v>DIAZ RAMON</v>
      </c>
      <c r="D2815" s="1" t="str">
        <f>IFERROR(__xludf.DUMMYFUNCTION("""COMPUTED_VALUE"""),"Lentes de STOCK")</f>
        <v>Lentes de STOCK</v>
      </c>
      <c r="E2815" s="1" t="str">
        <f>IFERROR(__xludf.DUMMYFUNCTION("""COMPUTED_VALUE"""),"ARTIGAS Ivana P.")</f>
        <v>ARTIGAS Ivana P.</v>
      </c>
      <c r="F2815" s="1" t="str">
        <f t="shared" si="1"/>
        <v>ARTIGAS </v>
      </c>
      <c r="G2815" s="1" t="str">
        <f t="shared" si="2"/>
        <v>Ivana P.</v>
      </c>
      <c r="H2815" s="1" t="str">
        <f>IFERROR(__xludf.DUMMYFUNCTION("""COMPUTED_VALUE"""),"8/3/2023, 17:00:00")</f>
        <v>8/3/2023, 17:00:00</v>
      </c>
      <c r="I2815" s="1" t="str">
        <f>IFERROR(__xludf.DUMMYFUNCTION("""COMPUTED_VALUE"""),"Completado en SUCURSAL")</f>
        <v>Completado en SUCURSAL</v>
      </c>
      <c r="J2815" s="1">
        <f t="shared" si="3"/>
        <v>5</v>
      </c>
      <c r="K2815" s="1" t="str">
        <f t="shared" si="4"/>
        <v>Tus Lentes estan LISTAS PARA ENTREGAR, te esperamos.</v>
      </c>
    </row>
    <row r="2816">
      <c r="A2816" s="1">
        <f>IFERROR(__xludf.DUMMYFUNCTION("""COMPUTED_VALUE"""),87361.0)</f>
        <v>87361</v>
      </c>
      <c r="B2816" s="5">
        <f>IFERROR(__xludf.DUMMYFUNCTION("""COMPUTED_VALUE"""),44988.564051759255)</f>
        <v>44988.56405</v>
      </c>
      <c r="C2816" s="1" t="str">
        <f>IFERROR(__xludf.DUMMYFUNCTION("""COMPUTED_VALUE"""),"TULA VICTOR")</f>
        <v>TULA VICTOR</v>
      </c>
      <c r="D2816" s="1" t="str">
        <f>IFERROR(__xludf.DUMMYFUNCTION("""COMPUTED_VALUE"""),"Lentes de STOCK")</f>
        <v>Lentes de STOCK</v>
      </c>
      <c r="E2816" s="1" t="str">
        <f>IFERROR(__xludf.DUMMYFUNCTION("""COMPUTED_VALUE"""),"RIVADAVIA Christian C.")</f>
        <v>RIVADAVIA Christian C.</v>
      </c>
      <c r="F2816" s="1" t="str">
        <f t="shared" si="1"/>
        <v>RIVADAVIA </v>
      </c>
      <c r="G2816" s="1" t="str">
        <f t="shared" si="2"/>
        <v>Christian C.</v>
      </c>
      <c r="H2816" s="1" t="str">
        <f>IFERROR(__xludf.DUMMYFUNCTION("""COMPUTED_VALUE"""),"7/3/2023, 17:00:00")</f>
        <v>7/3/2023, 17:00:00</v>
      </c>
      <c r="I2816" s="1" t="str">
        <f>IFERROR(__xludf.DUMMYFUNCTION("""COMPUTED_VALUE"""),"Completado en SUCURSAL")</f>
        <v>Completado en SUCURSAL</v>
      </c>
      <c r="J2816" s="1">
        <f t="shared" si="3"/>
        <v>5</v>
      </c>
      <c r="K2816" s="1" t="str">
        <f t="shared" si="4"/>
        <v>Tus Lentes estan LISTAS PARA ENTREGAR, te esperamos.</v>
      </c>
    </row>
    <row r="2817" hidden="1">
      <c r="A2817" s="1">
        <f>IFERROR(__xludf.DUMMYFUNCTION("""COMPUTED_VALUE"""),87362.0)</f>
        <v>87362</v>
      </c>
      <c r="B2817" s="5">
        <f>IFERROR(__xludf.DUMMYFUNCTION("""COMPUTED_VALUE"""),44988.70659336806)</f>
        <v>44988.70659</v>
      </c>
      <c r="C2817" s="1" t="str">
        <f>IFERROR(__xludf.DUMMYFUNCTION("""COMPUTED_VALUE"""),"ALTAMIRANO JOEL FRANCISCO")</f>
        <v>ALTAMIRANO JOEL FRANCISCO</v>
      </c>
      <c r="D2817" s="1" t="str">
        <f>IFERROR(__xludf.DUMMYFUNCTION("""COMPUTED_VALUE"""),"Lentes de STOCK")</f>
        <v>Lentes de STOCK</v>
      </c>
      <c r="E2817" s="1" t="str">
        <f>IFERROR(__xludf.DUMMYFUNCTION("""COMPUTED_VALUE"""),"ARTIGAS Ivana P.")</f>
        <v>ARTIGAS Ivana P.</v>
      </c>
      <c r="F2817" s="1" t="str">
        <f t="shared" si="1"/>
        <v>ARTIGAS </v>
      </c>
      <c r="G2817" s="1" t="str">
        <f t="shared" si="2"/>
        <v>Ivana P.</v>
      </c>
      <c r="H2817" s="1" t="str">
        <f>IFERROR(__xludf.DUMMYFUNCTION("""COMPUTED_VALUE"""),"6/3/2023, 17:00:00")</f>
        <v>6/3/2023, 17:00:00</v>
      </c>
      <c r="I2817" s="1" t="str">
        <f>IFERROR(__xludf.DUMMYFUNCTION("""COMPUTED_VALUE"""),"DEMORADO")</f>
        <v>DEMORADO</v>
      </c>
      <c r="J2817" s="1" t="str">
        <f t="shared" si="3"/>
        <v/>
      </c>
      <c r="K2817" s="1" t="str">
        <f t="shared" si="4"/>
        <v>Tuvimos una demora con tus lentes y no podremos entregarlo en las fecha acordada, estamos trabajando para terminarlos cuanto antes, te mantendremos al tanto, si es necesario contactanos via whatsapp.</v>
      </c>
    </row>
    <row r="2818">
      <c r="A2818" s="1">
        <f>IFERROR(__xludf.DUMMYFUNCTION("""COMPUTED_VALUE"""),87363.0)</f>
        <v>87363</v>
      </c>
      <c r="B2818" s="5">
        <f>IFERROR(__xludf.DUMMYFUNCTION("""COMPUTED_VALUE"""),44988.716772685184)</f>
        <v>44988.71677</v>
      </c>
      <c r="C2818" s="1" t="str">
        <f>IFERROR(__xludf.DUMMYFUNCTION("""COMPUTED_VALUE"""),"COCO SANTIAGO")</f>
        <v>COCO SANTIAGO</v>
      </c>
      <c r="D2818" s="1" t="str">
        <f>IFERROR(__xludf.DUMMYFUNCTION("""COMPUTED_VALUE"""),"Lentes de STOCK")</f>
        <v>Lentes de STOCK</v>
      </c>
      <c r="E2818" s="1" t="str">
        <f>IFERROR(__xludf.DUMMYFUNCTION("""COMPUTED_VALUE"""),"ARTIGAS Ivana P.")</f>
        <v>ARTIGAS Ivana P.</v>
      </c>
      <c r="F2818" s="1" t="str">
        <f t="shared" si="1"/>
        <v>ARTIGAS </v>
      </c>
      <c r="G2818" s="1" t="str">
        <f t="shared" si="2"/>
        <v>Ivana P.</v>
      </c>
      <c r="H2818" s="1" t="str">
        <f>IFERROR(__xludf.DUMMYFUNCTION("""COMPUTED_VALUE"""),"6/3/2023, 17:00:00")</f>
        <v>6/3/2023, 17:00:00</v>
      </c>
      <c r="I2818" s="1" t="str">
        <f>IFERROR(__xludf.DUMMYFUNCTION("""COMPUTED_VALUE"""),"Completado en SUCURSAL")</f>
        <v>Completado en SUCURSAL</v>
      </c>
      <c r="J2818" s="1">
        <f t="shared" si="3"/>
        <v>5</v>
      </c>
      <c r="K2818" s="1" t="str">
        <f t="shared" si="4"/>
        <v>Tus Lentes estan LISTAS PARA ENTREGAR, te esperamos.</v>
      </c>
    </row>
    <row r="2819">
      <c r="A2819" s="1">
        <f>IFERROR(__xludf.DUMMYFUNCTION("""COMPUTED_VALUE"""),87364.0)</f>
        <v>87364</v>
      </c>
      <c r="B2819" s="5">
        <f>IFERROR(__xludf.DUMMYFUNCTION("""COMPUTED_VALUE"""),44988.730035995366)</f>
        <v>44988.73004</v>
      </c>
      <c r="C2819" s="1" t="str">
        <f>IFERROR(__xludf.DUMMYFUNCTION("""COMPUTED_VALUE"""),"VILLEGAS ARIANA - DONACION")</f>
        <v>VILLEGAS ARIANA - DONACION</v>
      </c>
      <c r="D2819" s="1" t="str">
        <f>IFERROR(__xludf.DUMMYFUNCTION("""COMPUTED_VALUE"""),"Lentes de LABORATORIO")</f>
        <v>Lentes de LABORATORIO</v>
      </c>
      <c r="E2819" s="1" t="str">
        <f>IFERROR(__xludf.DUMMYFUNCTION("""COMPUTED_VALUE"""),"ARTIGAS Ivana P.")</f>
        <v>ARTIGAS Ivana P.</v>
      </c>
      <c r="F2819" s="1" t="str">
        <f t="shared" si="1"/>
        <v>ARTIGAS </v>
      </c>
      <c r="G2819" s="1" t="str">
        <f t="shared" si="2"/>
        <v>Ivana P.</v>
      </c>
      <c r="H2819" s="1" t="str">
        <f>IFERROR(__xludf.DUMMYFUNCTION("""COMPUTED_VALUE"""),"10/3/2023, 17:00:00")</f>
        <v>10/3/2023, 17:00:00</v>
      </c>
      <c r="I2819" s="1" t="str">
        <f>IFERROR(__xludf.DUMMYFUNCTION("""COMPUTED_VALUE"""),"Completado en SUCURSAL")</f>
        <v>Completado en SUCURSAL</v>
      </c>
      <c r="J2819" s="1">
        <f t="shared" si="3"/>
        <v>5</v>
      </c>
      <c r="K2819" s="1" t="str">
        <f t="shared" si="4"/>
        <v>Tus Lentes estan LISTAS PARA ENTREGAR, te esperamos.</v>
      </c>
    </row>
    <row r="2820">
      <c r="A2820" s="1">
        <f>IFERROR(__xludf.DUMMYFUNCTION("""COMPUTED_VALUE"""),87365.0)</f>
        <v>87365</v>
      </c>
      <c r="B2820" s="5">
        <f>IFERROR(__xludf.DUMMYFUNCTION("""COMPUTED_VALUE"""),44988.7446899537)</f>
        <v>44988.74469</v>
      </c>
      <c r="C2820" s="1" t="str">
        <f>IFERROR(__xludf.DUMMYFUNCTION("""COMPUTED_VALUE"""),"VELAZQUEZ RODRIGO")</f>
        <v>VELAZQUEZ RODRIGO</v>
      </c>
      <c r="D2820" s="1" t="str">
        <f>IFERROR(__xludf.DUMMYFUNCTION("""COMPUTED_VALUE"""),"Lentes de LABORATORIO")</f>
        <v>Lentes de LABORATORIO</v>
      </c>
      <c r="E2820" s="1" t="str">
        <f>IFERROR(__xludf.DUMMYFUNCTION("""COMPUTED_VALUE"""),"ARTIGAS Ivana P.")</f>
        <v>ARTIGAS Ivana P.</v>
      </c>
      <c r="F2820" s="1" t="str">
        <f t="shared" si="1"/>
        <v>ARTIGAS </v>
      </c>
      <c r="G2820" s="1" t="str">
        <f t="shared" si="2"/>
        <v>Ivana P.</v>
      </c>
      <c r="H2820" s="1" t="str">
        <f>IFERROR(__xludf.DUMMYFUNCTION("""COMPUTED_VALUE"""),"11/3/2023, 17:00:00")</f>
        <v>11/3/2023, 17:00:00</v>
      </c>
      <c r="I2820" s="1" t="str">
        <f>IFERROR(__xludf.DUMMYFUNCTION("""COMPUTED_VALUE"""),"Completado en SUCURSAL")</f>
        <v>Completado en SUCURSAL</v>
      </c>
      <c r="J2820" s="1">
        <f t="shared" si="3"/>
        <v>5</v>
      </c>
      <c r="K2820" s="1" t="str">
        <f t="shared" si="4"/>
        <v>Tus Lentes estan LISTAS PARA ENTREGAR, te esperamos.</v>
      </c>
    </row>
    <row r="2821">
      <c r="A2821" s="1">
        <f>IFERROR(__xludf.DUMMYFUNCTION("""COMPUTED_VALUE"""),87366.0)</f>
        <v>87366</v>
      </c>
      <c r="B2821" s="5">
        <f>IFERROR(__xludf.DUMMYFUNCTION("""COMPUTED_VALUE"""),44988.7510758912)</f>
        <v>44988.75108</v>
      </c>
      <c r="C2821" s="1" t="str">
        <f>IFERROR(__xludf.DUMMYFUNCTION("""COMPUTED_VALUE"""),"RODRIGUEZ KOZUR ALEJO ")</f>
        <v>RODRIGUEZ KOZUR ALEJO </v>
      </c>
      <c r="D2821" s="1" t="str">
        <f>IFERROR(__xludf.DUMMYFUNCTION("""COMPUTED_VALUE"""),"Lentes de STOCK")</f>
        <v>Lentes de STOCK</v>
      </c>
      <c r="E2821" s="1" t="str">
        <f>IFERROR(__xludf.DUMMYFUNCTION("""COMPUTED_VALUE"""),"RIVADAVIA Marcela L")</f>
        <v>RIVADAVIA Marcela L</v>
      </c>
      <c r="F2821" s="1" t="str">
        <f t="shared" si="1"/>
        <v>RIVADAVIA </v>
      </c>
      <c r="G2821" s="1" t="str">
        <f t="shared" si="2"/>
        <v>Marcela L</v>
      </c>
      <c r="H2821" s="1" t="str">
        <f>IFERROR(__xludf.DUMMYFUNCTION("""COMPUTED_VALUE"""),"7/3/2023, 17:00:00")</f>
        <v>7/3/2023, 17:00:00</v>
      </c>
      <c r="I2821" s="1" t="str">
        <f>IFERROR(__xludf.DUMMYFUNCTION("""COMPUTED_VALUE"""),"Completado en SUCURSAL")</f>
        <v>Completado en SUCURSAL</v>
      </c>
      <c r="J2821" s="1">
        <f t="shared" si="3"/>
        <v>5</v>
      </c>
      <c r="K2821" s="1" t="str">
        <f t="shared" si="4"/>
        <v>Tus Lentes estan LISTAS PARA ENTREGAR, te esperamos.</v>
      </c>
    </row>
    <row r="2822">
      <c r="A2822" s="1">
        <f>IFERROR(__xludf.DUMMYFUNCTION("""COMPUTED_VALUE"""),87367.0)</f>
        <v>87367</v>
      </c>
      <c r="B2822" s="5">
        <f>IFERROR(__xludf.DUMMYFUNCTION("""COMPUTED_VALUE"""),44988.75347053241)</f>
        <v>44988.75347</v>
      </c>
      <c r="C2822" s="1" t="str">
        <f>IFERROR(__xludf.DUMMYFUNCTION("""COMPUTED_VALUE"""),"SOSA VILCHES LUCIA")</f>
        <v>SOSA VILCHES LUCIA</v>
      </c>
      <c r="D2822" s="1" t="str">
        <f>IFERROR(__xludf.DUMMYFUNCTION("""COMPUTED_VALUE"""),"Lentes de STOCK")</f>
        <v>Lentes de STOCK</v>
      </c>
      <c r="E2822" s="1" t="str">
        <f>IFERROR(__xludf.DUMMYFUNCTION("""COMPUTED_VALUE"""),"RIVADAVIA Javier")</f>
        <v>RIVADAVIA Javier</v>
      </c>
      <c r="F2822" s="1" t="str">
        <f t="shared" si="1"/>
        <v>RIVADAVIA </v>
      </c>
      <c r="G2822" s="1" t="str">
        <f t="shared" si="2"/>
        <v>Javier</v>
      </c>
      <c r="H2822" s="1" t="str">
        <f>IFERROR(__xludf.DUMMYFUNCTION("""COMPUTED_VALUE"""),"9/3/2023, 17:00:00")</f>
        <v>9/3/2023, 17:00:00</v>
      </c>
      <c r="I2822" s="1" t="str">
        <f>IFERROR(__xludf.DUMMYFUNCTION("""COMPUTED_VALUE"""),"Completado en SUCURSAL")</f>
        <v>Completado en SUCURSAL</v>
      </c>
      <c r="J2822" s="1">
        <f t="shared" si="3"/>
        <v>5</v>
      </c>
      <c r="K2822" s="1" t="str">
        <f t="shared" si="4"/>
        <v>Tus Lentes estan LISTAS PARA ENTREGAR, te esperamos.</v>
      </c>
    </row>
    <row r="2823">
      <c r="A2823" s="1">
        <f>IFERROR(__xludf.DUMMYFUNCTION("""COMPUTED_VALUE"""),87368.0)</f>
        <v>87368</v>
      </c>
      <c r="B2823" s="5">
        <f>IFERROR(__xludf.DUMMYFUNCTION("""COMPUTED_VALUE"""),44988.7617346412)</f>
        <v>44988.76173</v>
      </c>
      <c r="C2823" s="1" t="str">
        <f>IFERROR(__xludf.DUMMYFUNCTION("""COMPUTED_VALUE"""),"IGLESIAS PRISCILA")</f>
        <v>IGLESIAS PRISCILA</v>
      </c>
      <c r="D2823" s="1" t="str">
        <f>IFERROR(__xludf.DUMMYFUNCTION("""COMPUTED_VALUE"""),"Lentes de STOCK")</f>
        <v>Lentes de STOCK</v>
      </c>
      <c r="E2823" s="1" t="str">
        <f>IFERROR(__xludf.DUMMYFUNCTION("""COMPUTED_VALUE"""),"ARTIGAS Ivana P.")</f>
        <v>ARTIGAS Ivana P.</v>
      </c>
      <c r="F2823" s="1" t="str">
        <f t="shared" si="1"/>
        <v>ARTIGAS </v>
      </c>
      <c r="G2823" s="1" t="str">
        <f t="shared" si="2"/>
        <v>Ivana P.</v>
      </c>
      <c r="H2823" s="1" t="str">
        <f>IFERROR(__xludf.DUMMYFUNCTION("""COMPUTED_VALUE"""),"8/3/2023, 17:00:00")</f>
        <v>8/3/2023, 17:00:00</v>
      </c>
      <c r="I2823" s="1" t="str">
        <f>IFERROR(__xludf.DUMMYFUNCTION("""COMPUTED_VALUE"""),"Recibido en Laboratorio")</f>
        <v>Recibido en Laboratorio</v>
      </c>
      <c r="J2823" s="1">
        <f t="shared" si="3"/>
        <v>2</v>
      </c>
      <c r="K2823" s="1" t="str">
        <f t="shared" si="4"/>
        <v>Nuestro Laboratorio esta trabajando en tus lentes, los entregaremos en la fecha acordada.</v>
      </c>
    </row>
    <row r="2824">
      <c r="A2824" s="1">
        <f>IFERROR(__xludf.DUMMYFUNCTION("""COMPUTED_VALUE"""),87369.0)</f>
        <v>87369</v>
      </c>
      <c r="B2824" s="5">
        <f>IFERROR(__xludf.DUMMYFUNCTION("""COMPUTED_VALUE"""),44988.76378559028)</f>
        <v>44988.76379</v>
      </c>
      <c r="C2824" s="1" t="str">
        <f>IFERROR(__xludf.DUMMYFUNCTION("""COMPUTED_VALUE"""),"JOFRE DOMINGO EDUARDO")</f>
        <v>JOFRE DOMINGO EDUARDO</v>
      </c>
      <c r="D2824" s="1" t="str">
        <f>IFERROR(__xludf.DUMMYFUNCTION("""COMPUTED_VALUE"""),"Lentes de STOCK")</f>
        <v>Lentes de STOCK</v>
      </c>
      <c r="E2824" s="1" t="str">
        <f>IFERROR(__xludf.DUMMYFUNCTION("""COMPUTED_VALUE"""),"ARTIGAS Roció")</f>
        <v>ARTIGAS Roció</v>
      </c>
      <c r="F2824" s="1" t="str">
        <f t="shared" si="1"/>
        <v>ARTIGAS </v>
      </c>
      <c r="G2824" s="1" t="str">
        <f t="shared" si="2"/>
        <v>Roció</v>
      </c>
      <c r="H2824" s="1" t="str">
        <f>IFERROR(__xludf.DUMMYFUNCTION("""COMPUTED_VALUE"""),"6/3/2023, 17:00:00")</f>
        <v>6/3/2023, 17:00:00</v>
      </c>
      <c r="I2824" s="1" t="str">
        <f>IFERROR(__xludf.DUMMYFUNCTION("""COMPUTED_VALUE"""),"Completado en SUCURSAL")</f>
        <v>Completado en SUCURSAL</v>
      </c>
      <c r="J2824" s="1">
        <f t="shared" si="3"/>
        <v>5</v>
      </c>
      <c r="K2824" s="1" t="str">
        <f t="shared" si="4"/>
        <v>Tus Lentes estan LISTAS PARA ENTREGAR, te esperamos.</v>
      </c>
    </row>
    <row r="2825">
      <c r="A2825" s="1">
        <f>IFERROR(__xludf.DUMMYFUNCTION("""COMPUTED_VALUE"""),87370.0)</f>
        <v>87370</v>
      </c>
      <c r="B2825" s="5">
        <f>IFERROR(__xludf.DUMMYFUNCTION("""COMPUTED_VALUE"""),44988.76427546296)</f>
        <v>44988.76428</v>
      </c>
      <c r="C2825" s="1" t="str">
        <f>IFERROR(__xludf.DUMMYFUNCTION("""COMPUTED_VALUE"""),"IGLESIAS ROBERTO")</f>
        <v>IGLESIAS ROBERTO</v>
      </c>
      <c r="D2825" s="1" t="str">
        <f>IFERROR(__xludf.DUMMYFUNCTION("""COMPUTED_VALUE"""),"Lentes de STOCK")</f>
        <v>Lentes de STOCK</v>
      </c>
      <c r="E2825" s="1" t="str">
        <f>IFERROR(__xludf.DUMMYFUNCTION("""COMPUTED_VALUE"""),"ARTIGAS Ivana P.")</f>
        <v>ARTIGAS Ivana P.</v>
      </c>
      <c r="F2825" s="1" t="str">
        <f t="shared" si="1"/>
        <v>ARTIGAS </v>
      </c>
      <c r="G2825" s="1" t="str">
        <f t="shared" si="2"/>
        <v>Ivana P.</v>
      </c>
      <c r="H2825" s="1" t="str">
        <f>IFERROR(__xludf.DUMMYFUNCTION("""COMPUTED_VALUE"""),"8/3/2023, 17:00:00")</f>
        <v>8/3/2023, 17:00:00</v>
      </c>
      <c r="I2825" s="1" t="str">
        <f>IFERROR(__xludf.DUMMYFUNCTION("""COMPUTED_VALUE"""),"Completado en SUCURSAL")</f>
        <v>Completado en SUCURSAL</v>
      </c>
      <c r="J2825" s="1">
        <f t="shared" si="3"/>
        <v>5</v>
      </c>
      <c r="K2825" s="1" t="str">
        <f t="shared" si="4"/>
        <v>Tus Lentes estan LISTAS PARA ENTREGAR, te esperamos.</v>
      </c>
    </row>
    <row r="2826">
      <c r="A2826" s="1">
        <f>IFERROR(__xludf.DUMMYFUNCTION("""COMPUTED_VALUE"""),87371.0)</f>
        <v>87371</v>
      </c>
      <c r="B2826" s="5">
        <f>IFERROR(__xludf.DUMMYFUNCTION("""COMPUTED_VALUE"""),44988.769116875)</f>
        <v>44988.76912</v>
      </c>
      <c r="C2826" s="1" t="str">
        <f>IFERROR(__xludf.DUMMYFUNCTION("""COMPUTED_VALUE"""),"RODRIGUEZ KOZUR TOMAS ")</f>
        <v>RODRIGUEZ KOZUR TOMAS </v>
      </c>
      <c r="D2826" s="1" t="str">
        <f>IFERROR(__xludf.DUMMYFUNCTION("""COMPUTED_VALUE"""),"Lentes de STOCK")</f>
        <v>Lentes de STOCK</v>
      </c>
      <c r="E2826" s="1" t="str">
        <f>IFERROR(__xludf.DUMMYFUNCTION("""COMPUTED_VALUE"""),"RIVADAVIA Marcela L")</f>
        <v>RIVADAVIA Marcela L</v>
      </c>
      <c r="F2826" s="1" t="str">
        <f t="shared" si="1"/>
        <v>RIVADAVIA </v>
      </c>
      <c r="G2826" s="1" t="str">
        <f t="shared" si="2"/>
        <v>Marcela L</v>
      </c>
      <c r="H2826" s="1" t="str">
        <f>IFERROR(__xludf.DUMMYFUNCTION("""COMPUTED_VALUE"""),"7/3/2023, 17:00:00")</f>
        <v>7/3/2023, 17:00:00</v>
      </c>
      <c r="I2826" s="1" t="str">
        <f>IFERROR(__xludf.DUMMYFUNCTION("""COMPUTED_VALUE"""),"Completado en SUCURSAL")</f>
        <v>Completado en SUCURSAL</v>
      </c>
      <c r="J2826" s="1">
        <f t="shared" si="3"/>
        <v>5</v>
      </c>
      <c r="K2826" s="1" t="str">
        <f t="shared" si="4"/>
        <v>Tus Lentes estan LISTAS PARA ENTREGAR, te esperamos.</v>
      </c>
    </row>
    <row r="2827">
      <c r="A2827" s="1">
        <f>IFERROR(__xludf.DUMMYFUNCTION("""COMPUTED_VALUE"""),87372.0)</f>
        <v>87372</v>
      </c>
      <c r="B2827" s="5">
        <f>IFERROR(__xludf.DUMMYFUNCTION("""COMPUTED_VALUE"""),44988.77095293981)</f>
        <v>44988.77095</v>
      </c>
      <c r="C2827" s="1" t="str">
        <f>IFERROR(__xludf.DUMMYFUNCTION("""COMPUTED_VALUE"""),"PAVISICH CELESTE")</f>
        <v>PAVISICH CELESTE</v>
      </c>
      <c r="D2827" s="1" t="str">
        <f>IFERROR(__xludf.DUMMYFUNCTION("""COMPUTED_VALUE"""),"Lentes de STOCK")</f>
        <v>Lentes de STOCK</v>
      </c>
      <c r="E2827" s="1" t="str">
        <f>IFERROR(__xludf.DUMMYFUNCTION("""COMPUTED_VALUE"""),"RIVADAVIA Santiago LOPEZ")</f>
        <v>RIVADAVIA Santiago LOPEZ</v>
      </c>
      <c r="F2827" s="1" t="str">
        <f t="shared" si="1"/>
        <v>RIVADAVIA </v>
      </c>
      <c r="G2827" s="1" t="str">
        <f t="shared" si="2"/>
        <v>Santiago LOPEZ</v>
      </c>
      <c r="H2827" s="1" t="str">
        <f>IFERROR(__xludf.DUMMYFUNCTION("""COMPUTED_VALUE"""),"7/3/2023, 17:00:00")</f>
        <v>7/3/2023, 17:00:00</v>
      </c>
      <c r="I2827" s="1" t="str">
        <f>IFERROR(__xludf.DUMMYFUNCTION("""COMPUTED_VALUE"""),"Completado en SUCURSAL")</f>
        <v>Completado en SUCURSAL</v>
      </c>
      <c r="J2827" s="1">
        <f t="shared" si="3"/>
        <v>5</v>
      </c>
      <c r="K2827" s="1" t="str">
        <f t="shared" si="4"/>
        <v>Tus Lentes estan LISTAS PARA ENTREGAR, te esperamos.</v>
      </c>
    </row>
    <row r="2828">
      <c r="A2828" s="1">
        <f>IFERROR(__xludf.DUMMYFUNCTION("""COMPUTED_VALUE"""),87373.0)</f>
        <v>87373</v>
      </c>
      <c r="B2828" s="5">
        <f>IFERROR(__xludf.DUMMYFUNCTION("""COMPUTED_VALUE"""),44988.771310358796)</f>
        <v>44988.77131</v>
      </c>
      <c r="C2828" s="1" t="str">
        <f>IFERROR(__xludf.DUMMYFUNCTION("""COMPUTED_VALUE"""),"RODRIGUEZ CRISTINA")</f>
        <v>RODRIGUEZ CRISTINA</v>
      </c>
      <c r="D2828" s="1" t="str">
        <f>IFERROR(__xludf.DUMMYFUNCTION("""COMPUTED_VALUE"""),"Lentes de STOCK")</f>
        <v>Lentes de STOCK</v>
      </c>
      <c r="E2828" s="1" t="str">
        <f>IFERROR(__xludf.DUMMYFUNCTION("""COMPUTED_VALUE"""),"RIVADAVIA Javier")</f>
        <v>RIVADAVIA Javier</v>
      </c>
      <c r="F2828" s="1" t="str">
        <f t="shared" si="1"/>
        <v>RIVADAVIA </v>
      </c>
      <c r="G2828" s="1" t="str">
        <f t="shared" si="2"/>
        <v>Javier</v>
      </c>
      <c r="H2828" s="1" t="str">
        <f>IFERROR(__xludf.DUMMYFUNCTION("""COMPUTED_VALUE"""),"8/3/2023, 17:00:00")</f>
        <v>8/3/2023, 17:00:00</v>
      </c>
      <c r="I2828" s="1" t="str">
        <f>IFERROR(__xludf.DUMMYFUNCTION("""COMPUTED_VALUE"""),"Completado en SUCURSAL")</f>
        <v>Completado en SUCURSAL</v>
      </c>
      <c r="J2828" s="1">
        <f t="shared" si="3"/>
        <v>5</v>
      </c>
      <c r="K2828" s="1" t="str">
        <f t="shared" si="4"/>
        <v>Tus Lentes estan LISTAS PARA ENTREGAR, te esperamos.</v>
      </c>
    </row>
    <row r="2829">
      <c r="A2829" s="1">
        <f>IFERROR(__xludf.DUMMYFUNCTION("""COMPUTED_VALUE"""),87374.0)</f>
        <v>87374</v>
      </c>
      <c r="B2829" s="5">
        <f>IFERROR(__xludf.DUMMYFUNCTION("""COMPUTED_VALUE"""),44988.771729942135)</f>
        <v>44988.77173</v>
      </c>
      <c r="C2829" s="1" t="str">
        <f>IFERROR(__xludf.DUMMYFUNCTION("""COMPUTED_VALUE"""),"KOZUR STELLA MARIS")</f>
        <v>KOZUR STELLA MARIS</v>
      </c>
      <c r="D2829" s="1" t="str">
        <f>IFERROR(__xludf.DUMMYFUNCTION("""COMPUTED_VALUE"""),"Lentes de STOCK")</f>
        <v>Lentes de STOCK</v>
      </c>
      <c r="E2829" s="1" t="str">
        <f>IFERROR(__xludf.DUMMYFUNCTION("""COMPUTED_VALUE"""),"RIVADAVIA Marcela L")</f>
        <v>RIVADAVIA Marcela L</v>
      </c>
      <c r="F2829" s="1" t="str">
        <f t="shared" si="1"/>
        <v>RIVADAVIA </v>
      </c>
      <c r="G2829" s="1" t="str">
        <f t="shared" si="2"/>
        <v>Marcela L</v>
      </c>
      <c r="H2829" s="1" t="str">
        <f>IFERROR(__xludf.DUMMYFUNCTION("""COMPUTED_VALUE"""),"10/3/2023, 17:00:00")</f>
        <v>10/3/2023, 17:00:00</v>
      </c>
      <c r="I2829" s="1" t="str">
        <f>IFERROR(__xludf.DUMMYFUNCTION("""COMPUTED_VALUE"""),"Completado en SUCURSAL")</f>
        <v>Completado en SUCURSAL</v>
      </c>
      <c r="J2829" s="1">
        <f t="shared" si="3"/>
        <v>5</v>
      </c>
      <c r="K2829" s="1" t="str">
        <f t="shared" si="4"/>
        <v>Tus Lentes estan LISTAS PARA ENTREGAR, te esperamos.</v>
      </c>
    </row>
    <row r="2830">
      <c r="A2830" s="1">
        <f>IFERROR(__xludf.DUMMYFUNCTION("""COMPUTED_VALUE"""),87375.0)</f>
        <v>87375</v>
      </c>
      <c r="B2830" s="5">
        <f>IFERROR(__xludf.DUMMYFUNCTION("""COMPUTED_VALUE"""),44988.77291699074)</f>
        <v>44988.77292</v>
      </c>
      <c r="C2830" s="1" t="str">
        <f>IFERROR(__xludf.DUMMYFUNCTION("""COMPUTED_VALUE"""),"OCAÑA RAQUEL")</f>
        <v>OCAÑA RAQUEL</v>
      </c>
      <c r="D2830" s="1" t="str">
        <f>IFERROR(__xludf.DUMMYFUNCTION("""COMPUTED_VALUE"""),"Lentes de STOCK")</f>
        <v>Lentes de STOCK</v>
      </c>
      <c r="E2830" s="1" t="str">
        <f>IFERROR(__xludf.DUMMYFUNCTION("""COMPUTED_VALUE"""),"ARTIGAS Ivana P.")</f>
        <v>ARTIGAS Ivana P.</v>
      </c>
      <c r="F2830" s="1" t="str">
        <f t="shared" si="1"/>
        <v>ARTIGAS </v>
      </c>
      <c r="G2830" s="1" t="str">
        <f t="shared" si="2"/>
        <v>Ivana P.</v>
      </c>
      <c r="H2830" s="1" t="str">
        <f>IFERROR(__xludf.DUMMYFUNCTION("""COMPUTED_VALUE"""),"6/3/2023, 17:00:00")</f>
        <v>6/3/2023, 17:00:00</v>
      </c>
      <c r="I2830" s="1" t="str">
        <f>IFERROR(__xludf.DUMMYFUNCTION("""COMPUTED_VALUE"""),"RETIRADO OK POR CLIENTE")</f>
        <v>RETIRADO OK POR CLIENTE</v>
      </c>
      <c r="J2830" s="1">
        <f t="shared" si="3"/>
        <v>6</v>
      </c>
      <c r="K2830" s="1" t="str">
        <f t="shared" si="4"/>
        <v>Entregamos tus lentes, que los disfrutes!</v>
      </c>
    </row>
    <row r="2831">
      <c r="A2831" s="1">
        <f>IFERROR(__xludf.DUMMYFUNCTION("""COMPUTED_VALUE"""),87376.0)</f>
        <v>87376</v>
      </c>
      <c r="B2831" s="5">
        <f>IFERROR(__xludf.DUMMYFUNCTION("""COMPUTED_VALUE"""),44988.78798072917)</f>
        <v>44988.78798</v>
      </c>
      <c r="C2831" s="1" t="str">
        <f>IFERROR(__xludf.DUMMYFUNCTION("""COMPUTED_VALUE"""),"FUNES ERIKA ")</f>
        <v>FUNES ERIKA </v>
      </c>
      <c r="D2831" s="1" t="str">
        <f>IFERROR(__xludf.DUMMYFUNCTION("""COMPUTED_VALUE"""),"Lentes MULTIFOCALES")</f>
        <v>Lentes MULTIFOCALES</v>
      </c>
      <c r="E2831" s="1" t="str">
        <f>IFERROR(__xludf.DUMMYFUNCTION("""COMPUTED_VALUE"""),"ARTIGAS Roció")</f>
        <v>ARTIGAS Roció</v>
      </c>
      <c r="F2831" s="1" t="str">
        <f t="shared" si="1"/>
        <v>ARTIGAS </v>
      </c>
      <c r="G2831" s="1" t="str">
        <f t="shared" si="2"/>
        <v>Roció</v>
      </c>
      <c r="H2831" s="1" t="str">
        <f>IFERROR(__xludf.DUMMYFUNCTION("""COMPUTED_VALUE"""),"16/3/2023, 17:00:00")</f>
        <v>16/3/2023, 17:00:00</v>
      </c>
      <c r="I2831" s="1"/>
      <c r="J2831" s="1">
        <f t="shared" si="3"/>
        <v>0</v>
      </c>
      <c r="K2831" s="1" t="str">
        <f t="shared" si="4"/>
        <v/>
      </c>
    </row>
    <row r="2832">
      <c r="A2832" s="1">
        <f>IFERROR(__xludf.DUMMYFUNCTION("""COMPUTED_VALUE"""),87377.0)</f>
        <v>87377</v>
      </c>
      <c r="B2832" s="5">
        <f>IFERROR(__xludf.DUMMYFUNCTION("""COMPUTED_VALUE"""),44988.78841127315)</f>
        <v>44988.78841</v>
      </c>
      <c r="C2832" s="1" t="str">
        <f>IFERROR(__xludf.DUMMYFUNCTION("""COMPUTED_VALUE"""),"lujan eluney")</f>
        <v>lujan eluney</v>
      </c>
      <c r="D2832" s="1" t="str">
        <f>IFERROR(__xludf.DUMMYFUNCTION("""COMPUTED_VALUE"""),"Lentes de STOCK")</f>
        <v>Lentes de STOCK</v>
      </c>
      <c r="E2832" s="1" t="str">
        <f>IFERROR(__xludf.DUMMYFUNCTION("""COMPUTED_VALUE"""),"RIVADAVIA Santiago N")</f>
        <v>RIVADAVIA Santiago N</v>
      </c>
      <c r="F2832" s="1" t="str">
        <f t="shared" si="1"/>
        <v>RIVADAVIA </v>
      </c>
      <c r="G2832" s="1" t="str">
        <f t="shared" si="2"/>
        <v>Santiago N</v>
      </c>
      <c r="H2832" s="1" t="str">
        <f>IFERROR(__xludf.DUMMYFUNCTION("""COMPUTED_VALUE"""),"6/3/2023, 17:00:00")</f>
        <v>6/3/2023, 17:00:00</v>
      </c>
      <c r="I2832" s="1" t="str">
        <f>IFERROR(__xludf.DUMMYFUNCTION("""COMPUTED_VALUE"""),"Completado en SUCURSAL")</f>
        <v>Completado en SUCURSAL</v>
      </c>
      <c r="J2832" s="1">
        <f t="shared" si="3"/>
        <v>5</v>
      </c>
      <c r="K2832" s="1" t="str">
        <f t="shared" si="4"/>
        <v>Tus Lentes estan LISTAS PARA ENTREGAR, te esperamos.</v>
      </c>
    </row>
    <row r="2833">
      <c r="A2833" s="1">
        <f>IFERROR(__xludf.DUMMYFUNCTION("""COMPUTED_VALUE"""),87378.0)</f>
        <v>87378</v>
      </c>
      <c r="B2833" s="5">
        <f>IFERROR(__xludf.DUMMYFUNCTION("""COMPUTED_VALUE"""),44988.791898298616)</f>
        <v>44988.7919</v>
      </c>
      <c r="C2833" s="1" t="str">
        <f>IFERROR(__xludf.DUMMYFUNCTION("""COMPUTED_VALUE"""),"AVACA PEDRO")</f>
        <v>AVACA PEDRO</v>
      </c>
      <c r="D2833" s="1" t="str">
        <f>IFERROR(__xludf.DUMMYFUNCTION("""COMPUTED_VALUE"""),"Lentes de STOCK")</f>
        <v>Lentes de STOCK</v>
      </c>
      <c r="E2833" s="1" t="str">
        <f>IFERROR(__xludf.DUMMYFUNCTION("""COMPUTED_VALUE"""),"ARTIGAS Ivana P.")</f>
        <v>ARTIGAS Ivana P.</v>
      </c>
      <c r="F2833" s="1" t="str">
        <f t="shared" si="1"/>
        <v>ARTIGAS </v>
      </c>
      <c r="G2833" s="1" t="str">
        <f t="shared" si="2"/>
        <v>Ivana P.</v>
      </c>
      <c r="H2833" s="1" t="str">
        <f>IFERROR(__xludf.DUMMYFUNCTION("""COMPUTED_VALUE"""),"8/3/2023, 17:00:00")</f>
        <v>8/3/2023, 17:00:00</v>
      </c>
      <c r="I2833" s="1" t="str">
        <f>IFERROR(__xludf.DUMMYFUNCTION("""COMPUTED_VALUE"""),"Completado en SUCURSAL")</f>
        <v>Completado en SUCURSAL</v>
      </c>
      <c r="J2833" s="1">
        <f t="shared" si="3"/>
        <v>5</v>
      </c>
      <c r="K2833" s="1" t="str">
        <f t="shared" si="4"/>
        <v>Tus Lentes estan LISTAS PARA ENTREGAR, te esperamos.</v>
      </c>
    </row>
    <row r="2834">
      <c r="A2834" s="1">
        <f>IFERROR(__xludf.DUMMYFUNCTION("""COMPUTED_VALUE"""),87379.0)</f>
        <v>87379</v>
      </c>
      <c r="B2834" s="5">
        <f>IFERROR(__xludf.DUMMYFUNCTION("""COMPUTED_VALUE"""),44988.79290579861)</f>
        <v>44988.79291</v>
      </c>
      <c r="C2834" s="1" t="str">
        <f>IFERROR(__xludf.DUMMYFUNCTION("""COMPUTED_VALUE"""),"GARCIA ROCIO")</f>
        <v>GARCIA ROCIO</v>
      </c>
      <c r="D2834" s="1" t="str">
        <f>IFERROR(__xludf.DUMMYFUNCTION("""COMPUTED_VALUE"""),"Lentes de STOCK")</f>
        <v>Lentes de STOCK</v>
      </c>
      <c r="E2834" s="1" t="str">
        <f>IFERROR(__xludf.DUMMYFUNCTION("""COMPUTED_VALUE"""),"RIVADAVIA Christian C.")</f>
        <v>RIVADAVIA Christian C.</v>
      </c>
      <c r="F2834" s="1" t="str">
        <f t="shared" si="1"/>
        <v>RIVADAVIA </v>
      </c>
      <c r="G2834" s="1" t="str">
        <f t="shared" si="2"/>
        <v>Christian C.</v>
      </c>
      <c r="H2834" s="1" t="str">
        <f>IFERROR(__xludf.DUMMYFUNCTION("""COMPUTED_VALUE"""),"10/3/2023, 17:00:00")</f>
        <v>10/3/2023, 17:00:00</v>
      </c>
      <c r="I2834" s="1" t="str">
        <f>IFERROR(__xludf.DUMMYFUNCTION("""COMPUTED_VALUE"""),"Recibido en Laboratorio")</f>
        <v>Recibido en Laboratorio</v>
      </c>
      <c r="J2834" s="1">
        <f t="shared" si="3"/>
        <v>2</v>
      </c>
      <c r="K2834" s="1" t="str">
        <f t="shared" si="4"/>
        <v>Nuestro Laboratorio esta trabajando en tus lentes, los entregaremos en la fecha acordada.</v>
      </c>
    </row>
    <row r="2835">
      <c r="A2835" s="1">
        <f>IFERROR(__xludf.DUMMYFUNCTION("""COMPUTED_VALUE"""),87380.0)</f>
        <v>87380</v>
      </c>
      <c r="B2835" s="5">
        <f>IFERROR(__xludf.DUMMYFUNCTION("""COMPUTED_VALUE"""),44988.793286851855)</f>
        <v>44988.79329</v>
      </c>
      <c r="C2835" s="1" t="str">
        <f>IFERROR(__xludf.DUMMYFUNCTION("""COMPUTED_VALUE"""),"ADAMEK ALEJANDRA MARIANA")</f>
        <v>ADAMEK ALEJANDRA MARIANA</v>
      </c>
      <c r="D2835" s="1" t="str">
        <f>IFERROR(__xludf.DUMMYFUNCTION("""COMPUTED_VALUE"""),"Lentes de STOCK")</f>
        <v>Lentes de STOCK</v>
      </c>
      <c r="E2835" s="1" t="str">
        <f>IFERROR(__xludf.DUMMYFUNCTION("""COMPUTED_VALUE"""),"ARTIGAS Roció")</f>
        <v>ARTIGAS Roció</v>
      </c>
      <c r="F2835" s="1" t="str">
        <f t="shared" si="1"/>
        <v>ARTIGAS </v>
      </c>
      <c r="G2835" s="1" t="str">
        <f t="shared" si="2"/>
        <v>Roció</v>
      </c>
      <c r="H2835" s="1" t="str">
        <f>IFERROR(__xludf.DUMMYFUNCTION("""COMPUTED_VALUE"""),"10/3/2023, 17:00:00")</f>
        <v>10/3/2023, 17:00:00</v>
      </c>
      <c r="I2835" s="1" t="str">
        <f>IFERROR(__xludf.DUMMYFUNCTION("""COMPUTED_VALUE"""),"Completado en SUCURSAL")</f>
        <v>Completado en SUCURSAL</v>
      </c>
      <c r="J2835" s="1">
        <f t="shared" si="3"/>
        <v>5</v>
      </c>
      <c r="K2835" s="1" t="str">
        <f t="shared" si="4"/>
        <v>Tus Lentes estan LISTAS PARA ENTREGAR, te esperamos.</v>
      </c>
    </row>
    <row r="2836">
      <c r="A2836" s="1">
        <f>IFERROR(__xludf.DUMMYFUNCTION("""COMPUTED_VALUE"""),87381.0)</f>
        <v>87381</v>
      </c>
      <c r="B2836" s="5">
        <f>IFERROR(__xludf.DUMMYFUNCTION("""COMPUTED_VALUE"""),44988.79690239583)</f>
        <v>44988.7969</v>
      </c>
      <c r="C2836" s="1" t="str">
        <f>IFERROR(__xludf.DUMMYFUNCTION("""COMPUTED_VALUE"""),"MARTIN MARINA")</f>
        <v>MARTIN MARINA</v>
      </c>
      <c r="D2836" s="1" t="str">
        <f>IFERROR(__xludf.DUMMYFUNCTION("""COMPUTED_VALUE"""),"Reparaciones/Otros")</f>
        <v>Reparaciones/Otros</v>
      </c>
      <c r="E2836" s="1" t="str">
        <f>IFERROR(__xludf.DUMMYFUNCTION("""COMPUTED_VALUE"""),"RIVADAVIA Christian C.")</f>
        <v>RIVADAVIA Christian C.</v>
      </c>
      <c r="F2836" s="1" t="str">
        <f t="shared" si="1"/>
        <v>RIVADAVIA </v>
      </c>
      <c r="G2836" s="1" t="str">
        <f t="shared" si="2"/>
        <v>Christian C.</v>
      </c>
      <c r="H2836" s="1" t="str">
        <f>IFERROR(__xludf.DUMMYFUNCTION("""COMPUTED_VALUE"""),"7/3/2023, 17:00:00")</f>
        <v>7/3/2023, 17:00:00</v>
      </c>
      <c r="I2836" s="1" t="str">
        <f>IFERROR(__xludf.DUMMYFUNCTION("""COMPUTED_VALUE"""),"Completado en SUCURSAL")</f>
        <v>Completado en SUCURSAL</v>
      </c>
      <c r="J2836" s="1">
        <f t="shared" si="3"/>
        <v>5</v>
      </c>
      <c r="K2836" s="1" t="str">
        <f t="shared" si="4"/>
        <v>Tus Lentes estan LISTAS PARA ENTREGAR, te esperamos.</v>
      </c>
    </row>
    <row r="2837">
      <c r="A2837" s="1">
        <f>IFERROR(__xludf.DUMMYFUNCTION("""COMPUTED_VALUE"""),87382.0)</f>
        <v>87382</v>
      </c>
      <c r="B2837" s="5">
        <f>IFERROR(__xludf.DUMMYFUNCTION("""COMPUTED_VALUE"""),44988.79712130787)</f>
        <v>44988.79712</v>
      </c>
      <c r="C2837" s="1" t="str">
        <f>IFERROR(__xludf.DUMMYFUNCTION("""COMPUTED_VALUE"""),"SAITUA HUGO")</f>
        <v>SAITUA HUGO</v>
      </c>
      <c r="D2837" s="1" t="str">
        <f>IFERROR(__xludf.DUMMYFUNCTION("""COMPUTED_VALUE"""),"Reparaciones/Otros")</f>
        <v>Reparaciones/Otros</v>
      </c>
      <c r="E2837" s="1" t="str">
        <f>IFERROR(__xludf.DUMMYFUNCTION("""COMPUTED_VALUE"""),"ARTIGAS Roció")</f>
        <v>ARTIGAS Roció</v>
      </c>
      <c r="F2837" s="1" t="str">
        <f t="shared" si="1"/>
        <v>ARTIGAS </v>
      </c>
      <c r="G2837" s="1" t="str">
        <f t="shared" si="2"/>
        <v>Roció</v>
      </c>
      <c r="H2837" s="1" t="str">
        <f>IFERROR(__xludf.DUMMYFUNCTION("""COMPUTED_VALUE"""),"6/3/2023, 17:00:00")</f>
        <v>6/3/2023, 17:00:00</v>
      </c>
      <c r="I2837" s="1" t="str">
        <f>IFERROR(__xludf.DUMMYFUNCTION("""COMPUTED_VALUE"""),"Completado en SUCURSAL")</f>
        <v>Completado en SUCURSAL</v>
      </c>
      <c r="J2837" s="1">
        <f t="shared" si="3"/>
        <v>5</v>
      </c>
      <c r="K2837" s="1" t="str">
        <f t="shared" si="4"/>
        <v>Tus Lentes estan LISTAS PARA ENTREGAR, te esperamos.</v>
      </c>
    </row>
    <row r="2838">
      <c r="A2838" s="1">
        <f>IFERROR(__xludf.DUMMYFUNCTION("""COMPUTED_VALUE"""),87383.0)</f>
        <v>87383</v>
      </c>
      <c r="B2838" s="5">
        <f>IFERROR(__xludf.DUMMYFUNCTION("""COMPUTED_VALUE"""),44988.80001415509)</f>
        <v>44988.80001</v>
      </c>
      <c r="C2838" s="1" t="str">
        <f>IFERROR(__xludf.DUMMYFUNCTION("""COMPUTED_VALUE"""),"JOFRE PAULINA")</f>
        <v>JOFRE PAULINA</v>
      </c>
      <c r="D2838" s="1" t="str">
        <f>IFERROR(__xludf.DUMMYFUNCTION("""COMPUTED_VALUE"""),"Lentes MULTIFOCALES")</f>
        <v>Lentes MULTIFOCALES</v>
      </c>
      <c r="E2838" s="1" t="str">
        <f>IFERROR(__xludf.DUMMYFUNCTION("""COMPUTED_VALUE"""),"RIVADAVIA Santiago LOPEZ")</f>
        <v>RIVADAVIA Santiago LOPEZ</v>
      </c>
      <c r="F2838" s="1" t="str">
        <f t="shared" si="1"/>
        <v>RIVADAVIA </v>
      </c>
      <c r="G2838" s="1" t="str">
        <f t="shared" si="2"/>
        <v>Santiago LOPEZ</v>
      </c>
      <c r="H2838" s="1" t="str">
        <f>IFERROR(__xludf.DUMMYFUNCTION("""COMPUTED_VALUE"""),"21/3/2023, 17:00:00")</f>
        <v>21/3/2023, 17:00:00</v>
      </c>
      <c r="I2838" s="1" t="str">
        <f>IFERROR(__xludf.DUMMYFUNCTION("""COMPUTED_VALUE"""),"Completado en SUCURSAL")</f>
        <v>Completado en SUCURSAL</v>
      </c>
      <c r="J2838" s="1">
        <f t="shared" si="3"/>
        <v>5</v>
      </c>
      <c r="K2838" s="1" t="str">
        <f t="shared" si="4"/>
        <v>Tus Lentes estan LISTAS PARA ENTREGAR, te esperamos.</v>
      </c>
    </row>
    <row r="2839">
      <c r="A2839" s="1">
        <f>IFERROR(__xludf.DUMMYFUNCTION("""COMPUTED_VALUE"""),87384.0)</f>
        <v>87384</v>
      </c>
      <c r="B2839" s="5">
        <f>IFERROR(__xludf.DUMMYFUNCTION("""COMPUTED_VALUE"""),44988.800544722224)</f>
        <v>44988.80054</v>
      </c>
      <c r="C2839" s="1" t="str">
        <f>IFERROR(__xludf.DUMMYFUNCTION("""COMPUTED_VALUE"""),"GARRO REGINA")</f>
        <v>GARRO REGINA</v>
      </c>
      <c r="D2839" s="1" t="str">
        <f>IFERROR(__xludf.DUMMYFUNCTION("""COMPUTED_VALUE"""),"Lentes de STOCK")</f>
        <v>Lentes de STOCK</v>
      </c>
      <c r="E2839" s="1" t="str">
        <f>IFERROR(__xludf.DUMMYFUNCTION("""COMPUTED_VALUE"""),"RIVADAVIA Javier")</f>
        <v>RIVADAVIA Javier</v>
      </c>
      <c r="F2839" s="1" t="str">
        <f t="shared" si="1"/>
        <v>RIVADAVIA </v>
      </c>
      <c r="G2839" s="1" t="str">
        <f t="shared" si="2"/>
        <v>Javier</v>
      </c>
      <c r="H2839" s="1" t="str">
        <f>IFERROR(__xludf.DUMMYFUNCTION("""COMPUTED_VALUE"""),"7/3/2023, 17:00:00")</f>
        <v>7/3/2023, 17:00:00</v>
      </c>
      <c r="I2839" s="1" t="str">
        <f>IFERROR(__xludf.DUMMYFUNCTION("""COMPUTED_VALUE"""),"Completado en SUCURSAL")</f>
        <v>Completado en SUCURSAL</v>
      </c>
      <c r="J2839" s="1">
        <f t="shared" si="3"/>
        <v>5</v>
      </c>
      <c r="K2839" s="1" t="str">
        <f t="shared" si="4"/>
        <v>Tus Lentes estan LISTAS PARA ENTREGAR, te esperamos.</v>
      </c>
    </row>
    <row r="2840">
      <c r="A2840" s="1">
        <f>IFERROR(__xludf.DUMMYFUNCTION("""COMPUTED_VALUE"""),87385.0)</f>
        <v>87385</v>
      </c>
      <c r="B2840" s="5">
        <f>IFERROR(__xludf.DUMMYFUNCTION("""COMPUTED_VALUE"""),44988.800741597224)</f>
        <v>44988.80074</v>
      </c>
      <c r="C2840" s="1" t="str">
        <f>IFERROR(__xludf.DUMMYFUNCTION("""COMPUTED_VALUE"""),"FAVIER ADRIANA")</f>
        <v>FAVIER ADRIANA</v>
      </c>
      <c r="D2840" s="1" t="str">
        <f>IFERROR(__xludf.DUMMYFUNCTION("""COMPUTED_VALUE"""),"Lentes de STOCK")</f>
        <v>Lentes de STOCK</v>
      </c>
      <c r="E2840" s="1" t="str">
        <f>IFERROR(__xludf.DUMMYFUNCTION("""COMPUTED_VALUE"""),"ARTIGAS Ivana P.")</f>
        <v>ARTIGAS Ivana P.</v>
      </c>
      <c r="F2840" s="1" t="str">
        <f t="shared" si="1"/>
        <v>ARTIGAS </v>
      </c>
      <c r="G2840" s="1" t="str">
        <f t="shared" si="2"/>
        <v>Ivana P.</v>
      </c>
      <c r="H2840" s="1" t="str">
        <f>IFERROR(__xludf.DUMMYFUNCTION("""COMPUTED_VALUE"""),"8/3/2023, 17:00:00")</f>
        <v>8/3/2023, 17:00:00</v>
      </c>
      <c r="I2840" s="1" t="str">
        <f>IFERROR(__xludf.DUMMYFUNCTION("""COMPUTED_VALUE"""),"Completado en SUCURSAL")</f>
        <v>Completado en SUCURSAL</v>
      </c>
      <c r="J2840" s="1">
        <f t="shared" si="3"/>
        <v>5</v>
      </c>
      <c r="K2840" s="1" t="str">
        <f t="shared" si="4"/>
        <v>Tus Lentes estan LISTAS PARA ENTREGAR, te esperamos.</v>
      </c>
    </row>
    <row r="2841">
      <c r="A2841" s="1">
        <f>IFERROR(__xludf.DUMMYFUNCTION("""COMPUTED_VALUE"""),87386.0)</f>
        <v>87386</v>
      </c>
      <c r="B2841" s="5">
        <f>IFERROR(__xludf.DUMMYFUNCTION("""COMPUTED_VALUE"""),44988.80500923611)</f>
        <v>44988.80501</v>
      </c>
      <c r="C2841" s="1" t="str">
        <f>IFERROR(__xludf.DUMMYFUNCTION("""COMPUTED_VALUE"""),"LOPEZ SANDRA NOEMI")</f>
        <v>LOPEZ SANDRA NOEMI</v>
      </c>
      <c r="D2841" s="1" t="str">
        <f>IFERROR(__xludf.DUMMYFUNCTION("""COMPUTED_VALUE"""),"Lentes de STOCK")</f>
        <v>Lentes de STOCK</v>
      </c>
      <c r="E2841" s="1" t="str">
        <f>IFERROR(__xludf.DUMMYFUNCTION("""COMPUTED_VALUE"""),"RIVADAVIA Marcela L")</f>
        <v>RIVADAVIA Marcela L</v>
      </c>
      <c r="F2841" s="1" t="str">
        <f t="shared" si="1"/>
        <v>RIVADAVIA </v>
      </c>
      <c r="G2841" s="1" t="str">
        <f t="shared" si="2"/>
        <v>Marcela L</v>
      </c>
      <c r="H2841" s="1" t="str">
        <f>IFERROR(__xludf.DUMMYFUNCTION("""COMPUTED_VALUE"""),"8/3/2023, 17:00:00")</f>
        <v>8/3/2023, 17:00:00</v>
      </c>
      <c r="I2841" s="1" t="str">
        <f>IFERROR(__xludf.DUMMYFUNCTION("""COMPUTED_VALUE"""),"Recibido en Laboratorio")</f>
        <v>Recibido en Laboratorio</v>
      </c>
      <c r="J2841" s="1">
        <f t="shared" si="3"/>
        <v>2</v>
      </c>
      <c r="K2841" s="1" t="str">
        <f t="shared" si="4"/>
        <v>Nuestro Laboratorio esta trabajando en tus lentes, los entregaremos en la fecha acordada.</v>
      </c>
    </row>
    <row r="2842">
      <c r="A2842" s="1">
        <f>IFERROR(__xludf.DUMMYFUNCTION("""COMPUTED_VALUE"""),87387.0)</f>
        <v>87387</v>
      </c>
      <c r="B2842" s="5">
        <f>IFERROR(__xludf.DUMMYFUNCTION("""COMPUTED_VALUE"""),44988.810931921296)</f>
        <v>44988.81093</v>
      </c>
      <c r="C2842" s="1" t="str">
        <f>IFERROR(__xludf.DUMMYFUNCTION("""COMPUTED_VALUE"""),"MITILLO ELIAS")</f>
        <v>MITILLO ELIAS</v>
      </c>
      <c r="D2842" s="1" t="str">
        <f>IFERROR(__xludf.DUMMYFUNCTION("""COMPUTED_VALUE"""),"Lentes de STOCK")</f>
        <v>Lentes de STOCK</v>
      </c>
      <c r="E2842" s="1" t="str">
        <f>IFERROR(__xludf.DUMMYFUNCTION("""COMPUTED_VALUE"""),"ARTIGAS Ivana P.")</f>
        <v>ARTIGAS Ivana P.</v>
      </c>
      <c r="F2842" s="1" t="str">
        <f t="shared" si="1"/>
        <v>ARTIGAS </v>
      </c>
      <c r="G2842" s="1" t="str">
        <f t="shared" si="2"/>
        <v>Ivana P.</v>
      </c>
      <c r="H2842" s="1" t="str">
        <f>IFERROR(__xludf.DUMMYFUNCTION("""COMPUTED_VALUE"""),"8/3/2023, 17:00:00")</f>
        <v>8/3/2023, 17:00:00</v>
      </c>
      <c r="I2842" s="1" t="str">
        <f>IFERROR(__xludf.DUMMYFUNCTION("""COMPUTED_VALUE"""),"Completado en SUCURSAL")</f>
        <v>Completado en SUCURSAL</v>
      </c>
      <c r="J2842" s="1">
        <f t="shared" si="3"/>
        <v>5</v>
      </c>
      <c r="K2842" s="1" t="str">
        <f t="shared" si="4"/>
        <v>Tus Lentes estan LISTAS PARA ENTREGAR, te esperamos.</v>
      </c>
    </row>
    <row r="2843">
      <c r="A2843" s="1">
        <f>IFERROR(__xludf.DUMMYFUNCTION("""COMPUTED_VALUE"""),87388.0)</f>
        <v>87388</v>
      </c>
      <c r="B2843" s="5">
        <f>IFERROR(__xludf.DUMMYFUNCTION("""COMPUTED_VALUE"""),44988.82640653935)</f>
        <v>44988.82641</v>
      </c>
      <c r="C2843" s="1" t="str">
        <f>IFERROR(__xludf.DUMMYFUNCTION("""COMPUTED_VALUE"""),"IBAÑEZ DANIEL CLAUDIO")</f>
        <v>IBAÑEZ DANIEL CLAUDIO</v>
      </c>
      <c r="D2843" s="1" t="str">
        <f>IFERROR(__xludf.DUMMYFUNCTION("""COMPUTED_VALUE"""),"Lentes de STOCK")</f>
        <v>Lentes de STOCK</v>
      </c>
      <c r="E2843" s="1" t="str">
        <f>IFERROR(__xludf.DUMMYFUNCTION("""COMPUTED_VALUE"""),"RIVADAVIA Christian C.")</f>
        <v>RIVADAVIA Christian C.</v>
      </c>
      <c r="F2843" s="1" t="str">
        <f t="shared" si="1"/>
        <v>RIVADAVIA </v>
      </c>
      <c r="G2843" s="1" t="str">
        <f t="shared" si="2"/>
        <v>Christian C.</v>
      </c>
      <c r="H2843" s="1" t="str">
        <f>IFERROR(__xludf.DUMMYFUNCTION("""COMPUTED_VALUE"""),"9/3/2023, 17:00:00")</f>
        <v>9/3/2023, 17:00:00</v>
      </c>
      <c r="I2843" s="1" t="str">
        <f>IFERROR(__xludf.DUMMYFUNCTION("""COMPUTED_VALUE"""),"Completado en SUCURSAL")</f>
        <v>Completado en SUCURSAL</v>
      </c>
      <c r="J2843" s="1">
        <f t="shared" si="3"/>
        <v>5</v>
      </c>
      <c r="K2843" s="1" t="str">
        <f t="shared" si="4"/>
        <v>Tus Lentes estan LISTAS PARA ENTREGAR, te esperamos.</v>
      </c>
    </row>
    <row r="2844">
      <c r="A2844" s="1">
        <f>IFERROR(__xludf.DUMMYFUNCTION("""COMPUTED_VALUE"""),87389.0)</f>
        <v>87389</v>
      </c>
      <c r="B2844" s="5">
        <f>IFERROR(__xludf.DUMMYFUNCTION("""COMPUTED_VALUE"""),44988.82660112268)</f>
        <v>44988.8266</v>
      </c>
      <c r="C2844" s="1" t="str">
        <f>IFERROR(__xludf.DUMMYFUNCTION("""COMPUTED_VALUE"""),"PALACIOS JORGE")</f>
        <v>PALACIOS JORGE</v>
      </c>
      <c r="D2844" s="1" t="str">
        <f>IFERROR(__xludf.DUMMYFUNCTION("""COMPUTED_VALUE"""),"Lentes BIFOCALES")</f>
        <v>Lentes BIFOCALES</v>
      </c>
      <c r="E2844" s="1" t="str">
        <f>IFERROR(__xludf.DUMMYFUNCTION("""COMPUTED_VALUE"""),"RIVADAVIA Javier")</f>
        <v>RIVADAVIA Javier</v>
      </c>
      <c r="F2844" s="1" t="str">
        <f t="shared" si="1"/>
        <v>RIVADAVIA </v>
      </c>
      <c r="G2844" s="1" t="str">
        <f t="shared" si="2"/>
        <v>Javier</v>
      </c>
      <c r="H2844" s="1" t="str">
        <f>IFERROR(__xludf.DUMMYFUNCTION("""COMPUTED_VALUE"""),"13/3/2023, 17:00:00")</f>
        <v>13/3/2023, 17:00:00</v>
      </c>
      <c r="I2844" s="1" t="str">
        <f>IFERROR(__xludf.DUMMYFUNCTION("""COMPUTED_VALUE"""),"Completado en SUCURSAL")</f>
        <v>Completado en SUCURSAL</v>
      </c>
      <c r="J2844" s="1">
        <f t="shared" si="3"/>
        <v>5</v>
      </c>
      <c r="K2844" s="1" t="str">
        <f t="shared" si="4"/>
        <v>Tus Lentes estan LISTAS PARA ENTREGAR, te esperamos.</v>
      </c>
    </row>
    <row r="2845">
      <c r="A2845" s="1">
        <f>IFERROR(__xludf.DUMMYFUNCTION("""COMPUTED_VALUE"""),87390.0)</f>
        <v>87390</v>
      </c>
      <c r="B2845" s="5">
        <f>IFERROR(__xludf.DUMMYFUNCTION("""COMPUTED_VALUE"""),44988.83041258102)</f>
        <v>44988.83041</v>
      </c>
      <c r="C2845" s="1" t="str">
        <f>IFERROR(__xludf.DUMMYFUNCTION("""COMPUTED_VALUE"""),"AGUERO YANINA")</f>
        <v>AGUERO YANINA</v>
      </c>
      <c r="D2845" s="1" t="str">
        <f>IFERROR(__xludf.DUMMYFUNCTION("""COMPUTED_VALUE"""),"Lentes de STOCK")</f>
        <v>Lentes de STOCK</v>
      </c>
      <c r="E2845" s="1" t="str">
        <f>IFERROR(__xludf.DUMMYFUNCTION("""COMPUTED_VALUE"""),"ARTIGAS Ivana P.")</f>
        <v>ARTIGAS Ivana P.</v>
      </c>
      <c r="F2845" s="1" t="str">
        <f t="shared" si="1"/>
        <v>ARTIGAS </v>
      </c>
      <c r="G2845" s="1" t="str">
        <f t="shared" si="2"/>
        <v>Ivana P.</v>
      </c>
      <c r="H2845" s="1" t="str">
        <f>IFERROR(__xludf.DUMMYFUNCTION("""COMPUTED_VALUE"""),"10/3/2023, 17:00:00")</f>
        <v>10/3/2023, 17:00:00</v>
      </c>
      <c r="I2845" s="1" t="str">
        <f>IFERROR(__xludf.DUMMYFUNCTION("""COMPUTED_VALUE"""),"Completado en SUCURSAL")</f>
        <v>Completado en SUCURSAL</v>
      </c>
      <c r="J2845" s="1">
        <f t="shared" si="3"/>
        <v>5</v>
      </c>
      <c r="K2845" s="1" t="str">
        <f t="shared" si="4"/>
        <v>Tus Lentes estan LISTAS PARA ENTREGAR, te esperamos.</v>
      </c>
    </row>
    <row r="2846">
      <c r="A2846" s="1">
        <f>IFERROR(__xludf.DUMMYFUNCTION("""COMPUTED_VALUE"""),87391.0)</f>
        <v>87391</v>
      </c>
      <c r="B2846" s="5">
        <f>IFERROR(__xludf.DUMMYFUNCTION("""COMPUTED_VALUE"""),44988.86912081018)</f>
        <v>44988.86912</v>
      </c>
      <c r="C2846" s="1" t="str">
        <f>IFERROR(__xludf.DUMMYFUNCTION("""COMPUTED_VALUE"""),"AMIEVA SAMUEL ")</f>
        <v>AMIEVA SAMUEL </v>
      </c>
      <c r="D2846" s="1" t="str">
        <f>IFERROR(__xludf.DUMMYFUNCTION("""COMPUTED_VALUE"""),"Lentes de LABORATORIO")</f>
        <v>Lentes de LABORATORIO</v>
      </c>
      <c r="E2846" s="1" t="str">
        <f>IFERROR(__xludf.DUMMYFUNCTION("""COMPUTED_VALUE"""),"RIVADAVIA Christian C.")</f>
        <v>RIVADAVIA Christian C.</v>
      </c>
      <c r="F2846" s="1" t="str">
        <f t="shared" si="1"/>
        <v>RIVADAVIA </v>
      </c>
      <c r="G2846" s="1" t="str">
        <f t="shared" si="2"/>
        <v>Christian C.</v>
      </c>
      <c r="H2846" s="1" t="str">
        <f>IFERROR(__xludf.DUMMYFUNCTION("""COMPUTED_VALUE"""),"15/3/2023, 17:00:00")</f>
        <v>15/3/2023, 17:00:00</v>
      </c>
      <c r="I2846" s="1" t="str">
        <f>IFERROR(__xludf.DUMMYFUNCTION("""COMPUTED_VALUE"""),"Completado en SUCURSAL")</f>
        <v>Completado en SUCURSAL</v>
      </c>
      <c r="J2846" s="1">
        <f t="shared" si="3"/>
        <v>5</v>
      </c>
      <c r="K2846" s="1" t="str">
        <f t="shared" si="4"/>
        <v>Tus Lentes estan LISTAS PARA ENTREGAR, te esperamos.</v>
      </c>
    </row>
    <row r="2847">
      <c r="A2847" s="1">
        <f>IFERROR(__xludf.DUMMYFUNCTION("""COMPUTED_VALUE"""),87392.0)</f>
        <v>87392</v>
      </c>
      <c r="B2847" s="5">
        <f>IFERROR(__xludf.DUMMYFUNCTION("""COMPUTED_VALUE"""),44989.38422959491)</f>
        <v>44989.38423</v>
      </c>
      <c r="C2847" s="1" t="str">
        <f>IFERROR(__xludf.DUMMYFUNCTION("""COMPUTED_VALUE"""),"TERRAZA DORA")</f>
        <v>TERRAZA DORA</v>
      </c>
      <c r="D2847" s="1" t="str">
        <f>IFERROR(__xludf.DUMMYFUNCTION("""COMPUTED_VALUE"""),"Lentes de STOCK")</f>
        <v>Lentes de STOCK</v>
      </c>
      <c r="E2847" s="1" t="str">
        <f>IFERROR(__xludf.DUMMYFUNCTION("""COMPUTED_VALUE"""),"RIVADAVIA Daniel CM")</f>
        <v>RIVADAVIA Daniel CM</v>
      </c>
      <c r="F2847" s="1" t="str">
        <f t="shared" si="1"/>
        <v>RIVADAVIA </v>
      </c>
      <c r="G2847" s="1" t="str">
        <f t="shared" si="2"/>
        <v>Daniel CM</v>
      </c>
      <c r="H2847" s="1" t="str">
        <f>IFERROR(__xludf.DUMMYFUNCTION("""COMPUTED_VALUE"""),"8/3/2023, 18:00:00")</f>
        <v>8/3/2023, 18:00:00</v>
      </c>
      <c r="I2847" s="1" t="str">
        <f>IFERROR(__xludf.DUMMYFUNCTION("""COMPUTED_VALUE"""),"Completado en SUCURSAL")</f>
        <v>Completado en SUCURSAL</v>
      </c>
      <c r="J2847" s="1">
        <f t="shared" si="3"/>
        <v>5</v>
      </c>
      <c r="K2847" s="1" t="str">
        <f t="shared" si="4"/>
        <v>Tus Lentes estan LISTAS PARA ENTREGAR, te esperamos.</v>
      </c>
    </row>
    <row r="2848">
      <c r="A2848" s="1">
        <f>IFERROR(__xludf.DUMMYFUNCTION("""COMPUTED_VALUE"""),87393.0)</f>
        <v>87393</v>
      </c>
      <c r="B2848" s="5">
        <f>IFERROR(__xludf.DUMMYFUNCTION("""COMPUTED_VALUE"""),44989.39757020833)</f>
        <v>44989.39757</v>
      </c>
      <c r="C2848" s="1" t="str">
        <f>IFERROR(__xludf.DUMMYFUNCTION("""COMPUTED_VALUE"""),"BARROSO CLAUDIA RAMONA")</f>
        <v>BARROSO CLAUDIA RAMONA</v>
      </c>
      <c r="D2848" s="1" t="str">
        <f>IFERROR(__xludf.DUMMYFUNCTION("""COMPUTED_VALUE"""),"Lentes de STOCK")</f>
        <v>Lentes de STOCK</v>
      </c>
      <c r="E2848" s="1" t="str">
        <f>IFERROR(__xludf.DUMMYFUNCTION("""COMPUTED_VALUE"""),"RIVADAVIA Javier")</f>
        <v>RIVADAVIA Javier</v>
      </c>
      <c r="F2848" s="1" t="str">
        <f t="shared" si="1"/>
        <v>RIVADAVIA </v>
      </c>
      <c r="G2848" s="1" t="str">
        <f t="shared" si="2"/>
        <v>Javier</v>
      </c>
      <c r="H2848" s="1" t="str">
        <f>IFERROR(__xludf.DUMMYFUNCTION("""COMPUTED_VALUE"""),"7/3/2023, 17:00:00")</f>
        <v>7/3/2023, 17:00:00</v>
      </c>
      <c r="I2848" s="1" t="str">
        <f>IFERROR(__xludf.DUMMYFUNCTION("""COMPUTED_VALUE"""),"Completado en SUCURSAL")</f>
        <v>Completado en SUCURSAL</v>
      </c>
      <c r="J2848" s="1">
        <f t="shared" si="3"/>
        <v>5</v>
      </c>
      <c r="K2848" s="1" t="str">
        <f t="shared" si="4"/>
        <v>Tus Lentes estan LISTAS PARA ENTREGAR, te esperamos.</v>
      </c>
    </row>
    <row r="2849">
      <c r="A2849" s="1">
        <f>IFERROR(__xludf.DUMMYFUNCTION("""COMPUTED_VALUE"""),87394.0)</f>
        <v>87394</v>
      </c>
      <c r="B2849" s="5">
        <f>IFERROR(__xludf.DUMMYFUNCTION("""COMPUTED_VALUE"""),44989.39768193287)</f>
        <v>44989.39768</v>
      </c>
      <c r="C2849" s="1" t="str">
        <f>IFERROR(__xludf.DUMMYFUNCTION("""COMPUTED_VALUE"""),"PEREYRA RITA")</f>
        <v>PEREYRA RITA</v>
      </c>
      <c r="D2849" s="1" t="str">
        <f>IFERROR(__xludf.DUMMYFUNCTION("""COMPUTED_VALUE"""),"Reparaciones/Otros")</f>
        <v>Reparaciones/Otros</v>
      </c>
      <c r="E2849" s="1" t="str">
        <f>IFERROR(__xludf.DUMMYFUNCTION("""COMPUTED_VALUE"""),"RIVADAVIA Christian C.")</f>
        <v>RIVADAVIA Christian C.</v>
      </c>
      <c r="F2849" s="1" t="str">
        <f t="shared" si="1"/>
        <v>RIVADAVIA </v>
      </c>
      <c r="G2849" s="1" t="str">
        <f t="shared" si="2"/>
        <v>Christian C.</v>
      </c>
      <c r="H2849" s="1" t="str">
        <f>IFERROR(__xludf.DUMMYFUNCTION("""COMPUTED_VALUE"""),"6/3/2023, 17:00:00")</f>
        <v>6/3/2023, 17:00:00</v>
      </c>
      <c r="I2849" s="1" t="str">
        <f>IFERROR(__xludf.DUMMYFUNCTION("""COMPUTED_VALUE"""),"Completado en SUCURSAL")</f>
        <v>Completado en SUCURSAL</v>
      </c>
      <c r="J2849" s="1">
        <f t="shared" si="3"/>
        <v>5</v>
      </c>
      <c r="K2849" s="1" t="str">
        <f t="shared" si="4"/>
        <v>Tus Lentes estan LISTAS PARA ENTREGAR, te esperamos.</v>
      </c>
    </row>
    <row r="2850">
      <c r="A2850" s="1">
        <f>IFERROR(__xludf.DUMMYFUNCTION("""COMPUTED_VALUE"""),87395.0)</f>
        <v>87395</v>
      </c>
      <c r="B2850" s="5">
        <f>IFERROR(__xludf.DUMMYFUNCTION("""COMPUTED_VALUE"""),44989.398366284724)</f>
        <v>44989.39837</v>
      </c>
      <c r="C2850" s="1" t="str">
        <f>IFERROR(__xludf.DUMMYFUNCTION("""COMPUTED_VALUE"""),"HORMAECHE CLARA")</f>
        <v>HORMAECHE CLARA</v>
      </c>
      <c r="D2850" s="1" t="str">
        <f>IFERROR(__xludf.DUMMYFUNCTION("""COMPUTED_VALUE"""),"Lentes BIFOCALES")</f>
        <v>Lentes BIFOCALES</v>
      </c>
      <c r="E2850" s="1" t="str">
        <f>IFERROR(__xludf.DUMMYFUNCTION("""COMPUTED_VALUE"""),"RIVADAVIA Luciana")</f>
        <v>RIVADAVIA Luciana</v>
      </c>
      <c r="F2850" s="1" t="str">
        <f t="shared" si="1"/>
        <v>RIVADAVIA </v>
      </c>
      <c r="G2850" s="1" t="str">
        <f t="shared" si="2"/>
        <v>Luciana</v>
      </c>
      <c r="H2850" s="1" t="str">
        <f>IFERROR(__xludf.DUMMYFUNCTION("""COMPUTED_VALUE"""),"20/3/2023, 17:00:00")</f>
        <v>20/3/2023, 17:00:00</v>
      </c>
      <c r="I2850" s="1" t="str">
        <f>IFERROR(__xludf.DUMMYFUNCTION("""COMPUTED_VALUE"""),"Completado en SUCURSAL")</f>
        <v>Completado en SUCURSAL</v>
      </c>
      <c r="J2850" s="1">
        <f t="shared" si="3"/>
        <v>5</v>
      </c>
      <c r="K2850" s="1" t="str">
        <f t="shared" si="4"/>
        <v>Tus Lentes estan LISTAS PARA ENTREGAR, te esperamos.</v>
      </c>
    </row>
    <row r="2851">
      <c r="A2851" s="1">
        <f>IFERROR(__xludf.DUMMYFUNCTION("""COMPUTED_VALUE"""),87396.0)</f>
        <v>87396</v>
      </c>
      <c r="B2851" s="5">
        <f>IFERROR(__xludf.DUMMYFUNCTION("""COMPUTED_VALUE"""),44989.41355207176)</f>
        <v>44989.41355</v>
      </c>
      <c r="C2851" s="1" t="str">
        <f>IFERROR(__xludf.DUMMYFUNCTION("""COMPUTED_VALUE"""),"SOSA ESTER PAULA")</f>
        <v>SOSA ESTER PAULA</v>
      </c>
      <c r="D2851" s="1" t="str">
        <f>IFERROR(__xludf.DUMMYFUNCTION("""COMPUTED_VALUE"""),"Lentes BIFOCALES")</f>
        <v>Lentes BIFOCALES</v>
      </c>
      <c r="E2851" s="1" t="str">
        <f>IFERROR(__xludf.DUMMYFUNCTION("""COMPUTED_VALUE"""),"RIVADAVIA Javier")</f>
        <v>RIVADAVIA Javier</v>
      </c>
      <c r="F2851" s="1" t="str">
        <f t="shared" si="1"/>
        <v>RIVADAVIA </v>
      </c>
      <c r="G2851" s="1" t="str">
        <f t="shared" si="2"/>
        <v>Javier</v>
      </c>
      <c r="H2851" s="1" t="str">
        <f>IFERROR(__xludf.DUMMYFUNCTION("""COMPUTED_VALUE"""),"10/3/2023, 17:00:00")</f>
        <v>10/3/2023, 17:00:00</v>
      </c>
      <c r="I2851" s="1" t="str">
        <f>IFERROR(__xludf.DUMMYFUNCTION("""COMPUTED_VALUE"""),"Completado en SUCURSAL")</f>
        <v>Completado en SUCURSAL</v>
      </c>
      <c r="J2851" s="1">
        <f t="shared" si="3"/>
        <v>5</v>
      </c>
      <c r="K2851" s="1" t="str">
        <f t="shared" si="4"/>
        <v>Tus Lentes estan LISTAS PARA ENTREGAR, te esperamos.</v>
      </c>
    </row>
    <row r="2852">
      <c r="A2852" s="1">
        <f>IFERROR(__xludf.DUMMYFUNCTION("""COMPUTED_VALUE"""),87397.0)</f>
        <v>87397</v>
      </c>
      <c r="B2852" s="5">
        <f>IFERROR(__xludf.DUMMYFUNCTION("""COMPUTED_VALUE"""),44989.41725258101)</f>
        <v>44989.41725</v>
      </c>
      <c r="C2852" s="1" t="str">
        <f>IFERROR(__xludf.DUMMYFUNCTION("""COMPUTED_VALUE"""),"SASLAVSKY CESAR ")</f>
        <v>SASLAVSKY CESAR </v>
      </c>
      <c r="D2852" s="1" t="str">
        <f>IFERROR(__xludf.DUMMYFUNCTION("""COMPUTED_VALUE"""),"Reparaciones/Otros")</f>
        <v>Reparaciones/Otros</v>
      </c>
      <c r="E2852" s="1" t="str">
        <f>IFERROR(__xludf.DUMMYFUNCTION("""COMPUTED_VALUE"""),"RIVADAVIA Christian C.")</f>
        <v>RIVADAVIA Christian C.</v>
      </c>
      <c r="F2852" s="1" t="str">
        <f t="shared" si="1"/>
        <v>RIVADAVIA </v>
      </c>
      <c r="G2852" s="1" t="str">
        <f t="shared" si="2"/>
        <v>Christian C.</v>
      </c>
      <c r="H2852" s="1" t="str">
        <f>IFERROR(__xludf.DUMMYFUNCTION("""COMPUTED_VALUE"""),"7/3/2023, 17:00:00")</f>
        <v>7/3/2023, 17:00:00</v>
      </c>
      <c r="I2852" s="1" t="str">
        <f>IFERROR(__xludf.DUMMYFUNCTION("""COMPUTED_VALUE"""),"Completado en SUCURSAL")</f>
        <v>Completado en SUCURSAL</v>
      </c>
      <c r="J2852" s="1">
        <f t="shared" si="3"/>
        <v>5</v>
      </c>
      <c r="K2852" s="1" t="str">
        <f t="shared" si="4"/>
        <v>Tus Lentes estan LISTAS PARA ENTREGAR, te esperamos.</v>
      </c>
    </row>
    <row r="2853">
      <c r="A2853" s="1">
        <f>IFERROR(__xludf.DUMMYFUNCTION("""COMPUTED_VALUE"""),87398.0)</f>
        <v>87398</v>
      </c>
      <c r="B2853" s="5">
        <f>IFERROR(__xludf.DUMMYFUNCTION("""COMPUTED_VALUE"""),44989.418701585644)</f>
        <v>44989.4187</v>
      </c>
      <c r="C2853" s="1" t="str">
        <f>IFERROR(__xludf.DUMMYFUNCTION("""COMPUTED_VALUE"""),"GONZALEZ LEONARDO")</f>
        <v>GONZALEZ LEONARDO</v>
      </c>
      <c r="D2853" s="1" t="str">
        <f>IFERROR(__xludf.DUMMYFUNCTION("""COMPUTED_VALUE"""),"Lentes de STOCK")</f>
        <v>Lentes de STOCK</v>
      </c>
      <c r="E2853" s="1" t="str">
        <f>IFERROR(__xludf.DUMMYFUNCTION("""COMPUTED_VALUE"""),"RIVADAVIA Luciana")</f>
        <v>RIVADAVIA Luciana</v>
      </c>
      <c r="F2853" s="1" t="str">
        <f t="shared" si="1"/>
        <v>RIVADAVIA </v>
      </c>
      <c r="G2853" s="1" t="str">
        <f t="shared" si="2"/>
        <v>Luciana</v>
      </c>
      <c r="H2853" s="1" t="str">
        <f>IFERROR(__xludf.DUMMYFUNCTION("""COMPUTED_VALUE"""),"9/3/2023, 17:00:00")</f>
        <v>9/3/2023, 17:00:00</v>
      </c>
      <c r="I2853" s="1" t="str">
        <f>IFERROR(__xludf.DUMMYFUNCTION("""COMPUTED_VALUE"""),"Completado en SUCURSAL")</f>
        <v>Completado en SUCURSAL</v>
      </c>
      <c r="J2853" s="1">
        <f t="shared" si="3"/>
        <v>5</v>
      </c>
      <c r="K2853" s="1" t="str">
        <f t="shared" si="4"/>
        <v>Tus Lentes estan LISTAS PARA ENTREGAR, te esperamos.</v>
      </c>
    </row>
    <row r="2854">
      <c r="A2854" s="1">
        <f>IFERROR(__xludf.DUMMYFUNCTION("""COMPUTED_VALUE"""),87399.0)</f>
        <v>87399</v>
      </c>
      <c r="B2854" s="5">
        <f>IFERROR(__xludf.DUMMYFUNCTION("""COMPUTED_VALUE"""),44989.42143840277)</f>
        <v>44989.42144</v>
      </c>
      <c r="C2854" s="1" t="str">
        <f>IFERROR(__xludf.DUMMYFUNCTION("""COMPUTED_VALUE"""),"KIARA ORQUERA")</f>
        <v>KIARA ORQUERA</v>
      </c>
      <c r="D2854" s="1" t="str">
        <f>IFERROR(__xludf.DUMMYFUNCTION("""COMPUTED_VALUE"""),"Lentes de STOCK")</f>
        <v>Lentes de STOCK</v>
      </c>
      <c r="E2854" s="1" t="str">
        <f>IFERROR(__xludf.DUMMYFUNCTION("""COMPUTED_VALUE"""),"RIVADAVIA Javier")</f>
        <v>RIVADAVIA Javier</v>
      </c>
      <c r="F2854" s="1" t="str">
        <f t="shared" si="1"/>
        <v>RIVADAVIA </v>
      </c>
      <c r="G2854" s="1" t="str">
        <f t="shared" si="2"/>
        <v>Javier</v>
      </c>
      <c r="H2854" s="1" t="str">
        <f>IFERROR(__xludf.DUMMYFUNCTION("""COMPUTED_VALUE"""),"10/3/2023, 17:00:00")</f>
        <v>10/3/2023, 17:00:00</v>
      </c>
      <c r="I2854" s="1"/>
      <c r="J2854" s="1">
        <f t="shared" si="3"/>
        <v>0</v>
      </c>
      <c r="K2854" s="1" t="str">
        <f t="shared" si="4"/>
        <v/>
      </c>
    </row>
    <row r="2855">
      <c r="A2855" s="1">
        <f>IFERROR(__xludf.DUMMYFUNCTION("""COMPUTED_VALUE"""),87400.0)</f>
        <v>87400</v>
      </c>
      <c r="B2855" s="5">
        <f>IFERROR(__xludf.DUMMYFUNCTION("""COMPUTED_VALUE"""),44989.42263630787)</f>
        <v>44989.42264</v>
      </c>
      <c r="C2855" s="1" t="str">
        <f>IFERROR(__xludf.DUMMYFUNCTION("""COMPUTED_VALUE"""),"KIARA ORQUERA")</f>
        <v>KIARA ORQUERA</v>
      </c>
      <c r="D2855" s="1" t="str">
        <f>IFERROR(__xludf.DUMMYFUNCTION("""COMPUTED_VALUE"""),"Lentes de STOCK")</f>
        <v>Lentes de STOCK</v>
      </c>
      <c r="E2855" s="1" t="str">
        <f>IFERROR(__xludf.DUMMYFUNCTION("""COMPUTED_VALUE"""),"RIVADAVIA Javier")</f>
        <v>RIVADAVIA Javier</v>
      </c>
      <c r="F2855" s="1" t="str">
        <f t="shared" si="1"/>
        <v>RIVADAVIA </v>
      </c>
      <c r="G2855" s="1" t="str">
        <f t="shared" si="2"/>
        <v>Javier</v>
      </c>
      <c r="H2855" s="1" t="str">
        <f>IFERROR(__xludf.DUMMYFUNCTION("""COMPUTED_VALUE"""),"9/3/2023, 17:00:00")</f>
        <v>9/3/2023, 17:00:00</v>
      </c>
      <c r="I2855" s="1" t="str">
        <f>IFERROR(__xludf.DUMMYFUNCTION("""COMPUTED_VALUE"""),"Completado en SUCURSAL")</f>
        <v>Completado en SUCURSAL</v>
      </c>
      <c r="J2855" s="1">
        <f t="shared" si="3"/>
        <v>5</v>
      </c>
      <c r="K2855" s="1" t="str">
        <f t="shared" si="4"/>
        <v>Tus Lentes estan LISTAS PARA ENTREGAR, te esperamos.</v>
      </c>
    </row>
    <row r="2856">
      <c r="A2856" s="1">
        <f>IFERROR(__xludf.DUMMYFUNCTION("""COMPUTED_VALUE"""),87401.0)</f>
        <v>87401</v>
      </c>
      <c r="B2856" s="5">
        <f>IFERROR(__xludf.DUMMYFUNCTION("""COMPUTED_VALUE"""),44989.432413159724)</f>
        <v>44989.43241</v>
      </c>
      <c r="C2856" s="1" t="str">
        <f>IFERROR(__xludf.DUMMYFUNCTION("""COMPUTED_VALUE"""),"LINDER CARLOS")</f>
        <v>LINDER CARLOS</v>
      </c>
      <c r="D2856" s="1" t="str">
        <f>IFERROR(__xludf.DUMMYFUNCTION("""COMPUTED_VALUE"""),"Lentes MULTIFOCALES")</f>
        <v>Lentes MULTIFOCALES</v>
      </c>
      <c r="E2856" s="1" t="str">
        <f>IFERROR(__xludf.DUMMYFUNCTION("""COMPUTED_VALUE"""),"ARTIGAS Ivana P.")</f>
        <v>ARTIGAS Ivana P.</v>
      </c>
      <c r="F2856" s="1" t="str">
        <f t="shared" si="1"/>
        <v>ARTIGAS </v>
      </c>
      <c r="G2856" s="1" t="str">
        <f t="shared" si="2"/>
        <v>Ivana P.</v>
      </c>
      <c r="H2856" s="1" t="str">
        <f>IFERROR(__xludf.DUMMYFUNCTION("""COMPUTED_VALUE"""),"17/3/2023, 17:00:00")</f>
        <v>17/3/2023, 17:00:00</v>
      </c>
      <c r="I2856" s="1" t="str">
        <f>IFERROR(__xludf.DUMMYFUNCTION("""COMPUTED_VALUE"""),"RETIRADO OK POR CLIENTE")</f>
        <v>RETIRADO OK POR CLIENTE</v>
      </c>
      <c r="J2856" s="1">
        <f t="shared" si="3"/>
        <v>6</v>
      </c>
      <c r="K2856" s="1" t="str">
        <f t="shared" si="4"/>
        <v>Entregamos tus lentes, que los disfrutes!</v>
      </c>
    </row>
    <row r="2857">
      <c r="A2857" s="1">
        <f>IFERROR(__xludf.DUMMYFUNCTION("""COMPUTED_VALUE"""),87402.0)</f>
        <v>87402</v>
      </c>
      <c r="B2857" s="5">
        <f>IFERROR(__xludf.DUMMYFUNCTION("""COMPUTED_VALUE"""),44989.435166875)</f>
        <v>44989.43517</v>
      </c>
      <c r="C2857" s="1" t="str">
        <f>IFERROR(__xludf.DUMMYFUNCTION("""COMPUTED_VALUE"""),"AGUILERA JULIO GERARDO")</f>
        <v>AGUILERA JULIO GERARDO</v>
      </c>
      <c r="D2857" s="1" t="str">
        <f>IFERROR(__xludf.DUMMYFUNCTION("""COMPUTED_VALUE"""),"Lentes de STOCK")</f>
        <v>Lentes de STOCK</v>
      </c>
      <c r="E2857" s="1" t="str">
        <f>IFERROR(__xludf.DUMMYFUNCTION("""COMPUTED_VALUE"""),"RIVADAVIA Luciana")</f>
        <v>RIVADAVIA Luciana</v>
      </c>
      <c r="F2857" s="1" t="str">
        <f t="shared" si="1"/>
        <v>RIVADAVIA </v>
      </c>
      <c r="G2857" s="1" t="str">
        <f t="shared" si="2"/>
        <v>Luciana</v>
      </c>
      <c r="H2857" s="1" t="str">
        <f>IFERROR(__xludf.DUMMYFUNCTION("""COMPUTED_VALUE"""),"8/3/2023, 17:00:00")</f>
        <v>8/3/2023, 17:00:00</v>
      </c>
      <c r="I2857" s="1" t="str">
        <f>IFERROR(__xludf.DUMMYFUNCTION("""COMPUTED_VALUE"""),"Completado en SUCURSAL")</f>
        <v>Completado en SUCURSAL</v>
      </c>
      <c r="J2857" s="1">
        <f t="shared" si="3"/>
        <v>5</v>
      </c>
      <c r="K2857" s="1" t="str">
        <f t="shared" si="4"/>
        <v>Tus Lentes estan LISTAS PARA ENTREGAR, te esperamos.</v>
      </c>
    </row>
    <row r="2858">
      <c r="A2858" s="1">
        <f>IFERROR(__xludf.DUMMYFUNCTION("""COMPUTED_VALUE"""),87403.0)</f>
        <v>87403</v>
      </c>
      <c r="B2858" s="5">
        <f>IFERROR(__xludf.DUMMYFUNCTION("""COMPUTED_VALUE"""),44989.43986488426)</f>
        <v>44989.43986</v>
      </c>
      <c r="C2858" s="1" t="str">
        <f>IFERROR(__xludf.DUMMYFUNCTION("""COMPUTED_VALUE"""),"VEGA MALENA")</f>
        <v>VEGA MALENA</v>
      </c>
      <c r="D2858" s="1" t="str">
        <f>IFERROR(__xludf.DUMMYFUNCTION("""COMPUTED_VALUE"""),"Lentes de LABORATORIO")</f>
        <v>Lentes de LABORATORIO</v>
      </c>
      <c r="E2858" s="1" t="str">
        <f>IFERROR(__xludf.DUMMYFUNCTION("""COMPUTED_VALUE"""),"ARTIGAS Roció")</f>
        <v>ARTIGAS Roció</v>
      </c>
      <c r="F2858" s="1" t="str">
        <f t="shared" si="1"/>
        <v>ARTIGAS </v>
      </c>
      <c r="G2858" s="1" t="str">
        <f t="shared" si="2"/>
        <v>Roció</v>
      </c>
      <c r="H2858" s="1" t="str">
        <f>IFERROR(__xludf.DUMMYFUNCTION("""COMPUTED_VALUE"""),"20/3/2023, 17:00:00")</f>
        <v>20/3/2023, 17:00:00</v>
      </c>
      <c r="I2858" s="1" t="str">
        <f>IFERROR(__xludf.DUMMYFUNCTION("""COMPUTED_VALUE"""),"Completado en SUCURSAL")</f>
        <v>Completado en SUCURSAL</v>
      </c>
      <c r="J2858" s="1">
        <f t="shared" si="3"/>
        <v>5</v>
      </c>
      <c r="K2858" s="1" t="str">
        <f t="shared" si="4"/>
        <v>Tus Lentes estan LISTAS PARA ENTREGAR, te esperamos.</v>
      </c>
    </row>
    <row r="2859">
      <c r="A2859" s="1">
        <f>IFERROR(__xludf.DUMMYFUNCTION("""COMPUTED_VALUE"""),87404.0)</f>
        <v>87404</v>
      </c>
      <c r="B2859" s="5">
        <f>IFERROR(__xludf.DUMMYFUNCTION("""COMPUTED_VALUE"""),44989.441453182866)</f>
        <v>44989.44145</v>
      </c>
      <c r="C2859" s="1" t="str">
        <f>IFERROR(__xludf.DUMMYFUNCTION("""COMPUTED_VALUE"""),"TARASCIO LAURA")</f>
        <v>TARASCIO LAURA</v>
      </c>
      <c r="D2859" s="1" t="str">
        <f>IFERROR(__xludf.DUMMYFUNCTION("""COMPUTED_VALUE"""),"Lentes de STOCK")</f>
        <v>Lentes de STOCK</v>
      </c>
      <c r="E2859" s="1" t="str">
        <f>IFERROR(__xludf.DUMMYFUNCTION("""COMPUTED_VALUE"""),"RIVADAVIA Javier")</f>
        <v>RIVADAVIA Javier</v>
      </c>
      <c r="F2859" s="1" t="str">
        <f t="shared" si="1"/>
        <v>RIVADAVIA </v>
      </c>
      <c r="G2859" s="1" t="str">
        <f t="shared" si="2"/>
        <v>Javier</v>
      </c>
      <c r="H2859" s="1" t="str">
        <f>IFERROR(__xludf.DUMMYFUNCTION("""COMPUTED_VALUE"""),"8/3/2023, 17:00:00")</f>
        <v>8/3/2023, 17:00:00</v>
      </c>
      <c r="I2859" s="1" t="str">
        <f>IFERROR(__xludf.DUMMYFUNCTION("""COMPUTED_VALUE"""),"Completado en SUCURSAL")</f>
        <v>Completado en SUCURSAL</v>
      </c>
      <c r="J2859" s="1">
        <f t="shared" si="3"/>
        <v>5</v>
      </c>
      <c r="K2859" s="1" t="str">
        <f t="shared" si="4"/>
        <v>Tus Lentes estan LISTAS PARA ENTREGAR, te esperamos.</v>
      </c>
    </row>
    <row r="2860">
      <c r="A2860" s="1">
        <f>IFERROR(__xludf.DUMMYFUNCTION("""COMPUTED_VALUE"""),87405.0)</f>
        <v>87405</v>
      </c>
      <c r="B2860" s="5">
        <f>IFERROR(__xludf.DUMMYFUNCTION("""COMPUTED_VALUE"""),44989.445385)</f>
        <v>44989.44539</v>
      </c>
      <c r="C2860" s="1" t="str">
        <f>IFERROR(__xludf.DUMMYFUNCTION("""COMPUTED_VALUE"""),"Godoy Juan Carlos")</f>
        <v>Godoy Juan Carlos</v>
      </c>
      <c r="D2860" s="1" t="str">
        <f>IFERROR(__xludf.DUMMYFUNCTION("""COMPUTED_VALUE"""),"Reparaciones/Otros")</f>
        <v>Reparaciones/Otros</v>
      </c>
      <c r="E2860" s="1" t="str">
        <f>IFERROR(__xludf.DUMMYFUNCTION("""COMPUTED_VALUE"""),"ARTIGAS Sandra G")</f>
        <v>ARTIGAS Sandra G</v>
      </c>
      <c r="F2860" s="1" t="str">
        <f t="shared" si="1"/>
        <v>ARTIGAS </v>
      </c>
      <c r="G2860" s="1" t="str">
        <f t="shared" si="2"/>
        <v>Sandra G</v>
      </c>
      <c r="H2860" s="1" t="str">
        <f>IFERROR(__xludf.DUMMYFUNCTION("""COMPUTED_VALUE"""),"6/3/2023, 17:00:00")</f>
        <v>6/3/2023, 17:00:00</v>
      </c>
      <c r="I2860" s="1" t="str">
        <f>IFERROR(__xludf.DUMMYFUNCTION("""COMPUTED_VALUE"""),"Completado en SUCURSAL")</f>
        <v>Completado en SUCURSAL</v>
      </c>
      <c r="J2860" s="1">
        <f t="shared" si="3"/>
        <v>5</v>
      </c>
      <c r="K2860" s="1" t="str">
        <f t="shared" si="4"/>
        <v>Tus Lentes estan LISTAS PARA ENTREGAR, te esperamos.</v>
      </c>
    </row>
    <row r="2861">
      <c r="A2861" s="1">
        <f>IFERROR(__xludf.DUMMYFUNCTION("""COMPUTED_VALUE"""),87406.0)</f>
        <v>87406</v>
      </c>
      <c r="B2861" s="5">
        <f>IFERROR(__xludf.DUMMYFUNCTION("""COMPUTED_VALUE"""),44989.448115057865)</f>
        <v>44989.44812</v>
      </c>
      <c r="C2861" s="1" t="str">
        <f>IFERROR(__xludf.DUMMYFUNCTION("""COMPUTED_VALUE"""),"RUOCCO MARIA")</f>
        <v>RUOCCO MARIA</v>
      </c>
      <c r="D2861" s="1" t="str">
        <f>IFERROR(__xludf.DUMMYFUNCTION("""COMPUTED_VALUE"""),"Lentes de LABORATORIO")</f>
        <v>Lentes de LABORATORIO</v>
      </c>
      <c r="E2861" s="1" t="str">
        <f>IFERROR(__xludf.DUMMYFUNCTION("""COMPUTED_VALUE"""),"ARTIGAS Ivana P.")</f>
        <v>ARTIGAS Ivana P.</v>
      </c>
      <c r="F2861" s="1" t="str">
        <f t="shared" si="1"/>
        <v>ARTIGAS </v>
      </c>
      <c r="G2861" s="1" t="str">
        <f t="shared" si="2"/>
        <v>Ivana P.</v>
      </c>
      <c r="H2861" s="1" t="str">
        <f>IFERROR(__xludf.DUMMYFUNCTION("""COMPUTED_VALUE"""),"13/3/2023, 17:00:00")</f>
        <v>13/3/2023, 17:00:00</v>
      </c>
      <c r="I2861" s="1" t="str">
        <f>IFERROR(__xludf.DUMMYFUNCTION("""COMPUTED_VALUE"""),"Completado en SUCURSAL")</f>
        <v>Completado en SUCURSAL</v>
      </c>
      <c r="J2861" s="1">
        <f t="shared" si="3"/>
        <v>5</v>
      </c>
      <c r="K2861" s="1" t="str">
        <f t="shared" si="4"/>
        <v>Tus Lentes estan LISTAS PARA ENTREGAR, te esperamos.</v>
      </c>
    </row>
    <row r="2862">
      <c r="A2862" s="1">
        <f>IFERROR(__xludf.DUMMYFUNCTION("""COMPUTED_VALUE"""),87407.0)</f>
        <v>87407</v>
      </c>
      <c r="B2862" s="5">
        <f>IFERROR(__xludf.DUMMYFUNCTION("""COMPUTED_VALUE"""),44989.45524751158)</f>
        <v>44989.45525</v>
      </c>
      <c r="C2862" s="1" t="str">
        <f>IFERROR(__xludf.DUMMYFUNCTION("""COMPUTED_VALUE"""),"AVACA SOFIA")</f>
        <v>AVACA SOFIA</v>
      </c>
      <c r="D2862" s="1" t="str">
        <f>IFERROR(__xludf.DUMMYFUNCTION("""COMPUTED_VALUE"""),"Lentes de STOCK")</f>
        <v>Lentes de STOCK</v>
      </c>
      <c r="E2862" s="1" t="str">
        <f>IFERROR(__xludf.DUMMYFUNCTION("""COMPUTED_VALUE"""),"ARTIGAS Ivana P.")</f>
        <v>ARTIGAS Ivana P.</v>
      </c>
      <c r="F2862" s="1" t="str">
        <f t="shared" si="1"/>
        <v>ARTIGAS </v>
      </c>
      <c r="G2862" s="1" t="str">
        <f t="shared" si="2"/>
        <v>Ivana P.</v>
      </c>
      <c r="H2862" s="1" t="str">
        <f>IFERROR(__xludf.DUMMYFUNCTION("""COMPUTED_VALUE"""),"7/3/2023, 17:00:00")</f>
        <v>7/3/2023, 17:00:00</v>
      </c>
      <c r="I2862" s="1" t="str">
        <f>IFERROR(__xludf.DUMMYFUNCTION("""COMPUTED_VALUE"""),"Completado en SUCURSAL")</f>
        <v>Completado en SUCURSAL</v>
      </c>
      <c r="J2862" s="1">
        <f t="shared" si="3"/>
        <v>5</v>
      </c>
      <c r="K2862" s="1" t="str">
        <f t="shared" si="4"/>
        <v>Tus Lentes estan LISTAS PARA ENTREGAR, te esperamos.</v>
      </c>
    </row>
    <row r="2863">
      <c r="A2863" s="1">
        <f>IFERROR(__xludf.DUMMYFUNCTION("""COMPUTED_VALUE"""),87408.0)</f>
        <v>87408</v>
      </c>
      <c r="B2863" s="5">
        <f>IFERROR(__xludf.DUMMYFUNCTION("""COMPUTED_VALUE"""),44989.46279467593)</f>
        <v>44989.46279</v>
      </c>
      <c r="C2863" s="1" t="str">
        <f>IFERROR(__xludf.DUMMYFUNCTION("""COMPUTED_VALUE"""),"VALDEZ PEDERNERA JORGE ALBERTO")</f>
        <v>VALDEZ PEDERNERA JORGE ALBERTO</v>
      </c>
      <c r="D2863" s="1" t="str">
        <f>IFERROR(__xludf.DUMMYFUNCTION("""COMPUTED_VALUE"""),"Lentes de STOCK")</f>
        <v>Lentes de STOCK</v>
      </c>
      <c r="E2863" s="1" t="str">
        <f>IFERROR(__xludf.DUMMYFUNCTION("""COMPUTED_VALUE"""),"RIVADAVIA Daniel CM")</f>
        <v>RIVADAVIA Daniel CM</v>
      </c>
      <c r="F2863" s="1" t="str">
        <f t="shared" si="1"/>
        <v>RIVADAVIA </v>
      </c>
      <c r="G2863" s="1" t="str">
        <f t="shared" si="2"/>
        <v>Daniel CM</v>
      </c>
      <c r="H2863" s="1" t="str">
        <f>IFERROR(__xludf.DUMMYFUNCTION("""COMPUTED_VALUE"""),"7/3/2023, 17:00:00")</f>
        <v>7/3/2023, 17:00:00</v>
      </c>
      <c r="I2863" s="1" t="str">
        <f>IFERROR(__xludf.DUMMYFUNCTION("""COMPUTED_VALUE"""),"Completado en SUCURSAL")</f>
        <v>Completado en SUCURSAL</v>
      </c>
      <c r="J2863" s="1">
        <f t="shared" si="3"/>
        <v>5</v>
      </c>
      <c r="K2863" s="1" t="str">
        <f t="shared" si="4"/>
        <v>Tus Lentes estan LISTAS PARA ENTREGAR, te esperamos.</v>
      </c>
    </row>
    <row r="2864">
      <c r="A2864" s="1">
        <f>IFERROR(__xludf.DUMMYFUNCTION("""COMPUTED_VALUE"""),87409.0)</f>
        <v>87409</v>
      </c>
      <c r="B2864" s="5">
        <f>IFERROR(__xludf.DUMMYFUNCTION("""COMPUTED_VALUE"""),44989.46631696759)</f>
        <v>44989.46632</v>
      </c>
      <c r="C2864" s="1" t="str">
        <f>IFERROR(__xludf.DUMMYFUNCTION("""COMPUTED_VALUE"""),"ABALLAY LORENA ")</f>
        <v>ABALLAY LORENA </v>
      </c>
      <c r="D2864" s="1" t="str">
        <f>IFERROR(__xludf.DUMMYFUNCTION("""COMPUTED_VALUE"""),"Lentes MULTIFOCALES")</f>
        <v>Lentes MULTIFOCALES</v>
      </c>
      <c r="E2864" s="1" t="str">
        <f>IFERROR(__xludf.DUMMYFUNCTION("""COMPUTED_VALUE"""),"RIVADAVIA Luciana")</f>
        <v>RIVADAVIA Luciana</v>
      </c>
      <c r="F2864" s="1" t="str">
        <f t="shared" si="1"/>
        <v>RIVADAVIA </v>
      </c>
      <c r="G2864" s="1" t="str">
        <f t="shared" si="2"/>
        <v>Luciana</v>
      </c>
      <c r="H2864" s="1" t="str">
        <f>IFERROR(__xludf.DUMMYFUNCTION("""COMPUTED_VALUE"""),"20/3/2023, 17:00:00")</f>
        <v>20/3/2023, 17:00:00</v>
      </c>
      <c r="I2864" s="1" t="str">
        <f>IFERROR(__xludf.DUMMYFUNCTION("""COMPUTED_VALUE"""),"Completado en SUCURSAL")</f>
        <v>Completado en SUCURSAL</v>
      </c>
      <c r="J2864" s="1">
        <f t="shared" si="3"/>
        <v>5</v>
      </c>
      <c r="K2864" s="1" t="str">
        <f t="shared" si="4"/>
        <v>Tus Lentes estan LISTAS PARA ENTREGAR, te esperamos.</v>
      </c>
    </row>
    <row r="2865">
      <c r="A2865" s="1">
        <f>IFERROR(__xludf.DUMMYFUNCTION("""COMPUTED_VALUE"""),87410.0)</f>
        <v>87410</v>
      </c>
      <c r="B2865" s="5">
        <f>IFERROR(__xludf.DUMMYFUNCTION("""COMPUTED_VALUE"""),44989.46650491898)</f>
        <v>44989.4665</v>
      </c>
      <c r="C2865" s="1" t="str">
        <f>IFERROR(__xludf.DUMMYFUNCTION("""COMPUTED_VALUE"""),"DRAGUERO EDITH MABEL")</f>
        <v>DRAGUERO EDITH MABEL</v>
      </c>
      <c r="D2865" s="1" t="str">
        <f>IFERROR(__xludf.DUMMYFUNCTION("""COMPUTED_VALUE"""),"Lentes de STOCK")</f>
        <v>Lentes de STOCK</v>
      </c>
      <c r="E2865" s="1" t="str">
        <f>IFERROR(__xludf.DUMMYFUNCTION("""COMPUTED_VALUE"""),"RIVADAVIA Christian C.")</f>
        <v>RIVADAVIA Christian C.</v>
      </c>
      <c r="F2865" s="1" t="str">
        <f t="shared" si="1"/>
        <v>RIVADAVIA </v>
      </c>
      <c r="G2865" s="1" t="str">
        <f t="shared" si="2"/>
        <v>Christian C.</v>
      </c>
      <c r="H2865" s="1" t="str">
        <f>IFERROR(__xludf.DUMMYFUNCTION("""COMPUTED_VALUE"""),"9/3/2023, 17:00:00")</f>
        <v>9/3/2023, 17:00:00</v>
      </c>
      <c r="I2865" s="1" t="str">
        <f>IFERROR(__xludf.DUMMYFUNCTION("""COMPUTED_VALUE"""),"Completado en SUCURSAL")</f>
        <v>Completado en SUCURSAL</v>
      </c>
      <c r="J2865" s="1">
        <f t="shared" si="3"/>
        <v>5</v>
      </c>
      <c r="K2865" s="1" t="str">
        <f t="shared" si="4"/>
        <v>Tus Lentes estan LISTAS PARA ENTREGAR, te esperamos.</v>
      </c>
    </row>
    <row r="2866">
      <c r="A2866" s="1">
        <f>IFERROR(__xludf.DUMMYFUNCTION("""COMPUTED_VALUE"""),87411.0)</f>
        <v>87411</v>
      </c>
      <c r="B2866" s="5">
        <f>IFERROR(__xludf.DUMMYFUNCTION("""COMPUTED_VALUE"""),44989.47738085648)</f>
        <v>44989.47738</v>
      </c>
      <c r="C2866" s="1" t="str">
        <f>IFERROR(__xludf.DUMMYFUNCTION("""COMPUTED_VALUE"""),"Tello Alejandra")</f>
        <v>Tello Alejandra</v>
      </c>
      <c r="D2866" s="1" t="str">
        <f>IFERROR(__xludf.DUMMYFUNCTION("""COMPUTED_VALUE"""),"Reparaciones/Otros")</f>
        <v>Reparaciones/Otros</v>
      </c>
      <c r="E2866" s="1" t="str">
        <f>IFERROR(__xludf.DUMMYFUNCTION("""COMPUTED_VALUE"""),"ARTIGAS Sandra G")</f>
        <v>ARTIGAS Sandra G</v>
      </c>
      <c r="F2866" s="1" t="str">
        <f t="shared" si="1"/>
        <v>ARTIGAS </v>
      </c>
      <c r="G2866" s="1" t="str">
        <f t="shared" si="2"/>
        <v>Sandra G</v>
      </c>
      <c r="H2866" s="1" t="str">
        <f>IFERROR(__xludf.DUMMYFUNCTION("""COMPUTED_VALUE"""),"6/3/2023, 17:00:00")</f>
        <v>6/3/2023, 17:00:00</v>
      </c>
      <c r="I2866" s="1" t="str">
        <f>IFERROR(__xludf.DUMMYFUNCTION("""COMPUTED_VALUE"""),"Completado en SUCURSAL")</f>
        <v>Completado en SUCURSAL</v>
      </c>
      <c r="J2866" s="1">
        <f t="shared" si="3"/>
        <v>5</v>
      </c>
      <c r="K2866" s="1" t="str">
        <f t="shared" si="4"/>
        <v>Tus Lentes estan LISTAS PARA ENTREGAR, te esperamos.</v>
      </c>
    </row>
    <row r="2867">
      <c r="A2867" s="1">
        <f>IFERROR(__xludf.DUMMYFUNCTION("""COMPUTED_VALUE"""),87412.0)</f>
        <v>87412</v>
      </c>
      <c r="B2867" s="5">
        <f>IFERROR(__xludf.DUMMYFUNCTION("""COMPUTED_VALUE"""),44989.47739451389)</f>
        <v>44989.47739</v>
      </c>
      <c r="C2867" s="1" t="str">
        <f>IFERROR(__xludf.DUMMYFUNCTION("""COMPUTED_VALUE"""),"CHIGUAY SILVINA")</f>
        <v>CHIGUAY SILVINA</v>
      </c>
      <c r="D2867" s="1" t="str">
        <f>IFERROR(__xludf.DUMMYFUNCTION("""COMPUTED_VALUE"""),"Lentes de STOCK")</f>
        <v>Lentes de STOCK</v>
      </c>
      <c r="E2867" s="1" t="str">
        <f>IFERROR(__xludf.DUMMYFUNCTION("""COMPUTED_VALUE"""),"RIVADAVIA Christian C.")</f>
        <v>RIVADAVIA Christian C.</v>
      </c>
      <c r="F2867" s="1" t="str">
        <f t="shared" si="1"/>
        <v>RIVADAVIA </v>
      </c>
      <c r="G2867" s="1" t="str">
        <f t="shared" si="2"/>
        <v>Christian C.</v>
      </c>
      <c r="H2867" s="1" t="str">
        <f>IFERROR(__xludf.DUMMYFUNCTION("""COMPUTED_VALUE"""),"10/3/2023, 17:00:00")</f>
        <v>10/3/2023, 17:00:00</v>
      </c>
      <c r="I2867" s="1" t="str">
        <f>IFERROR(__xludf.DUMMYFUNCTION("""COMPUTED_VALUE"""),"Completado en SUCURSAL")</f>
        <v>Completado en SUCURSAL</v>
      </c>
      <c r="J2867" s="1">
        <f t="shared" si="3"/>
        <v>5</v>
      </c>
      <c r="K2867" s="1" t="str">
        <f t="shared" si="4"/>
        <v>Tus Lentes estan LISTAS PARA ENTREGAR, te esperamos.</v>
      </c>
    </row>
    <row r="2868">
      <c r="A2868" s="1">
        <f>IFERROR(__xludf.DUMMYFUNCTION("""COMPUTED_VALUE"""),87413.0)</f>
        <v>87413</v>
      </c>
      <c r="B2868" s="5">
        <f>IFERROR(__xludf.DUMMYFUNCTION("""COMPUTED_VALUE"""),44989.47755041667)</f>
        <v>44989.47755</v>
      </c>
      <c r="C2868" s="1" t="str">
        <f>IFERROR(__xludf.DUMMYFUNCTION("""COMPUTED_VALUE"""),"PARIS ADOLFO")</f>
        <v>PARIS ADOLFO</v>
      </c>
      <c r="D2868" s="1" t="str">
        <f>IFERROR(__xludf.DUMMYFUNCTION("""COMPUTED_VALUE"""),"Lentes de STOCK")</f>
        <v>Lentes de STOCK</v>
      </c>
      <c r="E2868" s="1" t="str">
        <f>IFERROR(__xludf.DUMMYFUNCTION("""COMPUTED_VALUE"""),"ARTIGAS Roció")</f>
        <v>ARTIGAS Roció</v>
      </c>
      <c r="F2868" s="1" t="str">
        <f t="shared" si="1"/>
        <v>ARTIGAS </v>
      </c>
      <c r="G2868" s="1" t="str">
        <f t="shared" si="2"/>
        <v>Roció</v>
      </c>
      <c r="H2868" s="1" t="str">
        <f>IFERROR(__xludf.DUMMYFUNCTION("""COMPUTED_VALUE"""),"10/3/2023, 17:00:00")</f>
        <v>10/3/2023, 17:00:00</v>
      </c>
      <c r="I2868" s="1" t="str">
        <f>IFERROR(__xludf.DUMMYFUNCTION("""COMPUTED_VALUE"""),"Completado en SUCURSAL")</f>
        <v>Completado en SUCURSAL</v>
      </c>
      <c r="J2868" s="1">
        <f t="shared" si="3"/>
        <v>5</v>
      </c>
      <c r="K2868" s="1" t="str">
        <f t="shared" si="4"/>
        <v>Tus Lentes estan LISTAS PARA ENTREGAR, te esperamos.</v>
      </c>
    </row>
    <row r="2869">
      <c r="A2869" s="1">
        <f>IFERROR(__xludf.DUMMYFUNCTION("""COMPUTED_VALUE"""),87414.0)</f>
        <v>87414</v>
      </c>
      <c r="B2869" s="5">
        <f>IFERROR(__xludf.DUMMYFUNCTION("""COMPUTED_VALUE"""),44989.47926368055)</f>
        <v>44989.47926</v>
      </c>
      <c r="C2869" s="1" t="str">
        <f>IFERROR(__xludf.DUMMYFUNCTION("""COMPUTED_VALUE"""),"BALLATORE MARIA VIRGINIA")</f>
        <v>BALLATORE MARIA VIRGINIA</v>
      </c>
      <c r="D2869" s="1" t="str">
        <f>IFERROR(__xludf.DUMMYFUNCTION("""COMPUTED_VALUE"""),"Lentes de STOCK")</f>
        <v>Lentes de STOCK</v>
      </c>
      <c r="E2869" s="1" t="str">
        <f>IFERROR(__xludf.DUMMYFUNCTION("""COMPUTED_VALUE"""),"ARTIGAS Roció")</f>
        <v>ARTIGAS Roció</v>
      </c>
      <c r="F2869" s="1" t="str">
        <f t="shared" si="1"/>
        <v>ARTIGAS </v>
      </c>
      <c r="G2869" s="1" t="str">
        <f t="shared" si="2"/>
        <v>Roció</v>
      </c>
      <c r="H2869" s="1" t="str">
        <f>IFERROR(__xludf.DUMMYFUNCTION("""COMPUTED_VALUE"""),"10/3/2023, 17:00:00")</f>
        <v>10/3/2023, 17:00:00</v>
      </c>
      <c r="I2869" s="1" t="str">
        <f>IFERROR(__xludf.DUMMYFUNCTION("""COMPUTED_VALUE"""),"Completado en SUCURSAL")</f>
        <v>Completado en SUCURSAL</v>
      </c>
      <c r="J2869" s="1">
        <f t="shared" si="3"/>
        <v>5</v>
      </c>
      <c r="K2869" s="1" t="str">
        <f t="shared" si="4"/>
        <v>Tus Lentes estan LISTAS PARA ENTREGAR, te esperamos.</v>
      </c>
    </row>
    <row r="2870">
      <c r="A2870" s="1">
        <f>IFERROR(__xludf.DUMMYFUNCTION("""COMPUTED_VALUE"""),87415.0)</f>
        <v>87415</v>
      </c>
      <c r="B2870" s="5">
        <f>IFERROR(__xludf.DUMMYFUNCTION("""COMPUTED_VALUE"""),44989.482448333336)</f>
        <v>44989.48245</v>
      </c>
      <c r="C2870" s="1" t="str">
        <f>IFERROR(__xludf.DUMMYFUNCTION("""COMPUTED_VALUE"""),"TEMOLI NATALIA")</f>
        <v>TEMOLI NATALIA</v>
      </c>
      <c r="D2870" s="1" t="str">
        <f>IFERROR(__xludf.DUMMYFUNCTION("""COMPUTED_VALUE"""),"Lentes de STOCK")</f>
        <v>Lentes de STOCK</v>
      </c>
      <c r="E2870" s="1" t="str">
        <f>IFERROR(__xludf.DUMMYFUNCTION("""COMPUTED_VALUE"""),"RIVADAVIA Luciana")</f>
        <v>RIVADAVIA Luciana</v>
      </c>
      <c r="F2870" s="1" t="str">
        <f t="shared" si="1"/>
        <v>RIVADAVIA </v>
      </c>
      <c r="G2870" s="1" t="str">
        <f t="shared" si="2"/>
        <v>Luciana</v>
      </c>
      <c r="H2870" s="1" t="str">
        <f>IFERROR(__xludf.DUMMYFUNCTION("""COMPUTED_VALUE"""),"8/3/2023, 17:00:00")</f>
        <v>8/3/2023, 17:00:00</v>
      </c>
      <c r="I2870" s="1" t="str">
        <f>IFERROR(__xludf.DUMMYFUNCTION("""COMPUTED_VALUE"""),"Completado en SUCURSAL")</f>
        <v>Completado en SUCURSAL</v>
      </c>
      <c r="J2870" s="1">
        <f t="shared" si="3"/>
        <v>5</v>
      </c>
      <c r="K2870" s="1" t="str">
        <f t="shared" si="4"/>
        <v>Tus Lentes estan LISTAS PARA ENTREGAR, te esperamos.</v>
      </c>
    </row>
    <row r="2871">
      <c r="A2871" s="1">
        <f>IFERROR(__xludf.DUMMYFUNCTION("""COMPUTED_VALUE"""),87416.0)</f>
        <v>87416</v>
      </c>
      <c r="B2871" s="5">
        <f>IFERROR(__xludf.DUMMYFUNCTION("""COMPUTED_VALUE"""),44989.484442291665)</f>
        <v>44989.48444</v>
      </c>
      <c r="C2871" s="1" t="str">
        <f>IFERROR(__xludf.DUMMYFUNCTION("""COMPUTED_VALUE"""),"SARIO CLAUDIA ")</f>
        <v>SARIO CLAUDIA </v>
      </c>
      <c r="D2871" s="1" t="str">
        <f>IFERROR(__xludf.DUMMYFUNCTION("""COMPUTED_VALUE"""),"Lentes de STOCK")</f>
        <v>Lentes de STOCK</v>
      </c>
      <c r="E2871" s="1" t="str">
        <f>IFERROR(__xludf.DUMMYFUNCTION("""COMPUTED_VALUE"""),"RIVADAVIA Christian C.")</f>
        <v>RIVADAVIA Christian C.</v>
      </c>
      <c r="F2871" s="1" t="str">
        <f t="shared" si="1"/>
        <v>RIVADAVIA </v>
      </c>
      <c r="G2871" s="1" t="str">
        <f t="shared" si="2"/>
        <v>Christian C.</v>
      </c>
      <c r="H2871" s="1" t="str">
        <f>IFERROR(__xludf.DUMMYFUNCTION("""COMPUTED_VALUE"""),"10/3/2023, 17:00:00")</f>
        <v>10/3/2023, 17:00:00</v>
      </c>
      <c r="I2871" s="1"/>
      <c r="J2871" s="1">
        <f t="shared" si="3"/>
        <v>0</v>
      </c>
      <c r="K2871" s="1" t="str">
        <f t="shared" si="4"/>
        <v/>
      </c>
    </row>
    <row r="2872">
      <c r="A2872" s="1">
        <f>IFERROR(__xludf.DUMMYFUNCTION("""COMPUTED_VALUE"""),87417.0)</f>
        <v>87417</v>
      </c>
      <c r="B2872" s="5">
        <f>IFERROR(__xludf.DUMMYFUNCTION("""COMPUTED_VALUE"""),44989.484612939814)</f>
        <v>44989.48461</v>
      </c>
      <c r="C2872" s="1" t="str">
        <f>IFERROR(__xludf.DUMMYFUNCTION("""COMPUTED_VALUE"""),"ALVAREZ CAMILA")</f>
        <v>ALVAREZ CAMILA</v>
      </c>
      <c r="D2872" s="1" t="str">
        <f>IFERROR(__xludf.DUMMYFUNCTION("""COMPUTED_VALUE"""),"Lentes de STOCK")</f>
        <v>Lentes de STOCK</v>
      </c>
      <c r="E2872" s="1" t="str">
        <f>IFERROR(__xludf.DUMMYFUNCTION("""COMPUTED_VALUE"""),"ARTIGAS Ivana P.")</f>
        <v>ARTIGAS Ivana P.</v>
      </c>
      <c r="F2872" s="1" t="str">
        <f t="shared" si="1"/>
        <v>ARTIGAS </v>
      </c>
      <c r="G2872" s="1" t="str">
        <f t="shared" si="2"/>
        <v>Ivana P.</v>
      </c>
      <c r="H2872" s="1" t="str">
        <f>IFERROR(__xludf.DUMMYFUNCTION("""COMPUTED_VALUE"""),"7/3/2023, 17:00:00")</f>
        <v>7/3/2023, 17:00:00</v>
      </c>
      <c r="I2872" s="1" t="str">
        <f>IFERROR(__xludf.DUMMYFUNCTION("""COMPUTED_VALUE"""),"Completado en SUCURSAL")</f>
        <v>Completado en SUCURSAL</v>
      </c>
      <c r="J2872" s="1">
        <f t="shared" si="3"/>
        <v>5</v>
      </c>
      <c r="K2872" s="1" t="str">
        <f t="shared" si="4"/>
        <v>Tus Lentes estan LISTAS PARA ENTREGAR, te esperamos.</v>
      </c>
    </row>
    <row r="2873">
      <c r="A2873" s="1">
        <f>IFERROR(__xludf.DUMMYFUNCTION("""COMPUTED_VALUE"""),87418.0)</f>
        <v>87418</v>
      </c>
      <c r="B2873" s="5">
        <f>IFERROR(__xludf.DUMMYFUNCTION("""COMPUTED_VALUE"""),44989.4894169676)</f>
        <v>44989.48942</v>
      </c>
      <c r="C2873" s="1" t="str">
        <f>IFERROR(__xludf.DUMMYFUNCTION("""COMPUTED_VALUE"""),"TUNEZ ")</f>
        <v>TUNEZ </v>
      </c>
      <c r="D2873" s="1" t="str">
        <f>IFERROR(__xludf.DUMMYFUNCTION("""COMPUTED_VALUE"""),"Lentes de STOCK")</f>
        <v>Lentes de STOCK</v>
      </c>
      <c r="E2873" s="1" t="str">
        <f>IFERROR(__xludf.DUMMYFUNCTION("""COMPUTED_VALUE"""),"ARTIGAS Roció")</f>
        <v>ARTIGAS Roció</v>
      </c>
      <c r="F2873" s="1" t="str">
        <f t="shared" si="1"/>
        <v>ARTIGAS </v>
      </c>
      <c r="G2873" s="1" t="str">
        <f t="shared" si="2"/>
        <v>Roció</v>
      </c>
      <c r="H2873" s="1" t="str">
        <f>IFERROR(__xludf.DUMMYFUNCTION("""COMPUTED_VALUE"""),"10/3/2023, 17:00:00")</f>
        <v>10/3/2023, 17:00:00</v>
      </c>
      <c r="I2873" s="1" t="str">
        <f>IFERROR(__xludf.DUMMYFUNCTION("""COMPUTED_VALUE"""),"Completado en SUCURSAL")</f>
        <v>Completado en SUCURSAL</v>
      </c>
      <c r="J2873" s="1">
        <f t="shared" si="3"/>
        <v>5</v>
      </c>
      <c r="K2873" s="1" t="str">
        <f t="shared" si="4"/>
        <v>Tus Lentes estan LISTAS PARA ENTREGAR, te esperamos.</v>
      </c>
    </row>
    <row r="2874">
      <c r="A2874" s="1">
        <f>IFERROR(__xludf.DUMMYFUNCTION("""COMPUTED_VALUE"""),87419.0)</f>
        <v>87419</v>
      </c>
      <c r="B2874" s="5">
        <f>IFERROR(__xludf.DUMMYFUNCTION("""COMPUTED_VALUE"""),44989.49056486111)</f>
        <v>44989.49056</v>
      </c>
      <c r="C2874" s="1" t="str">
        <f>IFERROR(__xludf.DUMMYFUNCTION("""COMPUTED_VALUE"""),"TUNEZ GERMAN")</f>
        <v>TUNEZ GERMAN</v>
      </c>
      <c r="D2874" s="1" t="str">
        <f>IFERROR(__xludf.DUMMYFUNCTION("""COMPUTED_VALUE"""),"Lentes de LABORATORIO")</f>
        <v>Lentes de LABORATORIO</v>
      </c>
      <c r="E2874" s="1" t="str">
        <f>IFERROR(__xludf.DUMMYFUNCTION("""COMPUTED_VALUE"""),"ARTIGAS Roció")</f>
        <v>ARTIGAS Roció</v>
      </c>
      <c r="F2874" s="1" t="str">
        <f t="shared" si="1"/>
        <v>ARTIGAS </v>
      </c>
      <c r="G2874" s="1" t="str">
        <f t="shared" si="2"/>
        <v>Roció</v>
      </c>
      <c r="H2874" s="1" t="str">
        <f>IFERROR(__xludf.DUMMYFUNCTION("""COMPUTED_VALUE"""),"14/3/2023, 17:00:00")</f>
        <v>14/3/2023, 17:00:00</v>
      </c>
      <c r="I2874" s="1" t="str">
        <f>IFERROR(__xludf.DUMMYFUNCTION("""COMPUTED_VALUE"""),"Completado en SUCURSAL")</f>
        <v>Completado en SUCURSAL</v>
      </c>
      <c r="J2874" s="1">
        <f t="shared" si="3"/>
        <v>5</v>
      </c>
      <c r="K2874" s="1" t="str">
        <f t="shared" si="4"/>
        <v>Tus Lentes estan LISTAS PARA ENTREGAR, te esperamos.</v>
      </c>
    </row>
    <row r="2875">
      <c r="A2875" s="1">
        <f>IFERROR(__xludf.DUMMYFUNCTION("""COMPUTED_VALUE"""),87420.0)</f>
        <v>87420</v>
      </c>
      <c r="B2875" s="5">
        <f>IFERROR(__xludf.DUMMYFUNCTION("""COMPUTED_VALUE"""),44989.504881817134)</f>
        <v>44989.50488</v>
      </c>
      <c r="C2875" s="1" t="str">
        <f>IFERROR(__xludf.DUMMYFUNCTION("""COMPUTED_VALUE"""),"MUSSO RODRIGO MAHUEL")</f>
        <v>MUSSO RODRIGO MAHUEL</v>
      </c>
      <c r="D2875" s="1" t="str">
        <f>IFERROR(__xludf.DUMMYFUNCTION("""COMPUTED_VALUE"""),"Lentes de STOCK")</f>
        <v>Lentes de STOCK</v>
      </c>
      <c r="E2875" s="1" t="str">
        <f>IFERROR(__xludf.DUMMYFUNCTION("""COMPUTED_VALUE"""),"RIVADAVIA Christian C.")</f>
        <v>RIVADAVIA Christian C.</v>
      </c>
      <c r="F2875" s="1" t="str">
        <f t="shared" si="1"/>
        <v>RIVADAVIA </v>
      </c>
      <c r="G2875" s="1" t="str">
        <f t="shared" si="2"/>
        <v>Christian C.</v>
      </c>
      <c r="H2875" s="1" t="str">
        <f>IFERROR(__xludf.DUMMYFUNCTION("""COMPUTED_VALUE"""),"10/3/2023, 17:00:00")</f>
        <v>10/3/2023, 17:00:00</v>
      </c>
      <c r="I2875" s="1" t="str">
        <f>IFERROR(__xludf.DUMMYFUNCTION("""COMPUTED_VALUE"""),"Recibido en Laboratorio")</f>
        <v>Recibido en Laboratorio</v>
      </c>
      <c r="J2875" s="1">
        <f t="shared" si="3"/>
        <v>2</v>
      </c>
      <c r="K2875" s="1" t="str">
        <f t="shared" si="4"/>
        <v>Nuestro Laboratorio esta trabajando en tus lentes, los entregaremos en la fecha acordada.</v>
      </c>
    </row>
    <row r="2876">
      <c r="A2876" s="1">
        <f>IFERROR(__xludf.DUMMYFUNCTION("""COMPUTED_VALUE"""),87421.0)</f>
        <v>87421</v>
      </c>
      <c r="B2876" s="5">
        <f>IFERROR(__xludf.DUMMYFUNCTION("""COMPUTED_VALUE"""),44989.50698464121)</f>
        <v>44989.50698</v>
      </c>
      <c r="C2876" s="1" t="str">
        <f>IFERROR(__xludf.DUMMYFUNCTION("""COMPUTED_VALUE"""),"MORAN CLEMENTE RUBEN")</f>
        <v>MORAN CLEMENTE RUBEN</v>
      </c>
      <c r="D2876" s="1" t="str">
        <f>IFERROR(__xludf.DUMMYFUNCTION("""COMPUTED_VALUE"""),"Lentes de STOCK")</f>
        <v>Lentes de STOCK</v>
      </c>
      <c r="E2876" s="1" t="str">
        <f>IFERROR(__xludf.DUMMYFUNCTION("""COMPUTED_VALUE"""),"RIVADAVIA Luciana")</f>
        <v>RIVADAVIA Luciana</v>
      </c>
      <c r="F2876" s="1" t="str">
        <f t="shared" si="1"/>
        <v>RIVADAVIA </v>
      </c>
      <c r="G2876" s="1" t="str">
        <f t="shared" si="2"/>
        <v>Luciana</v>
      </c>
      <c r="H2876" s="1" t="str">
        <f>IFERROR(__xludf.DUMMYFUNCTION("""COMPUTED_VALUE"""),"8/3/2023, 17:00:00")</f>
        <v>8/3/2023, 17:00:00</v>
      </c>
      <c r="I2876" s="1" t="str">
        <f>IFERROR(__xludf.DUMMYFUNCTION("""COMPUTED_VALUE"""),"Recibido en Laboratorio")</f>
        <v>Recibido en Laboratorio</v>
      </c>
      <c r="J2876" s="1">
        <f t="shared" si="3"/>
        <v>2</v>
      </c>
      <c r="K2876" s="1" t="str">
        <f t="shared" si="4"/>
        <v>Nuestro Laboratorio esta trabajando en tus lentes, los entregaremos en la fecha acordada.</v>
      </c>
    </row>
    <row r="2877">
      <c r="A2877" s="1">
        <f>IFERROR(__xludf.DUMMYFUNCTION("""COMPUTED_VALUE"""),87422.0)</f>
        <v>87422</v>
      </c>
      <c r="B2877" s="5">
        <f>IFERROR(__xludf.DUMMYFUNCTION("""COMPUTED_VALUE"""),44989.50721344908)</f>
        <v>44989.50721</v>
      </c>
      <c r="C2877" s="1" t="str">
        <f>IFERROR(__xludf.DUMMYFUNCTION("""COMPUTED_VALUE"""),"VILLARREAL ANAHI")</f>
        <v>VILLARREAL ANAHI</v>
      </c>
      <c r="D2877" s="1" t="str">
        <f>IFERROR(__xludf.DUMMYFUNCTION("""COMPUTED_VALUE"""),"Lentes de STOCK")</f>
        <v>Lentes de STOCK</v>
      </c>
      <c r="E2877" s="1" t="str">
        <f>IFERROR(__xludf.DUMMYFUNCTION("""COMPUTED_VALUE"""),"ARTIGAS Ivana P.")</f>
        <v>ARTIGAS Ivana P.</v>
      </c>
      <c r="F2877" s="1" t="str">
        <f t="shared" si="1"/>
        <v>ARTIGAS </v>
      </c>
      <c r="G2877" s="1" t="str">
        <f t="shared" si="2"/>
        <v>Ivana P.</v>
      </c>
      <c r="H2877" s="1" t="str">
        <f>IFERROR(__xludf.DUMMYFUNCTION("""COMPUTED_VALUE"""),"8/3/2023, 17:00:00")</f>
        <v>8/3/2023, 17:00:00</v>
      </c>
      <c r="I2877" s="1" t="str">
        <f>IFERROR(__xludf.DUMMYFUNCTION("""COMPUTED_VALUE"""),"Completado en SUCURSAL")</f>
        <v>Completado en SUCURSAL</v>
      </c>
      <c r="J2877" s="1">
        <f t="shared" si="3"/>
        <v>5</v>
      </c>
      <c r="K2877" s="1" t="str">
        <f t="shared" si="4"/>
        <v>Tus Lentes estan LISTAS PARA ENTREGAR, te esperamos.</v>
      </c>
    </row>
    <row r="2878">
      <c r="A2878" s="1">
        <f>IFERROR(__xludf.DUMMYFUNCTION("""COMPUTED_VALUE"""),87423.0)</f>
        <v>87423</v>
      </c>
      <c r="B2878" s="5">
        <f>IFERROR(__xludf.DUMMYFUNCTION("""COMPUTED_VALUE"""),44989.515620289356)</f>
        <v>44989.51562</v>
      </c>
      <c r="C2878" s="1" t="str">
        <f>IFERROR(__xludf.DUMMYFUNCTION("""COMPUTED_VALUE"""),"BASCUR EDUARD")</f>
        <v>BASCUR EDUARD</v>
      </c>
      <c r="D2878" s="1" t="str">
        <f>IFERROR(__xludf.DUMMYFUNCTION("""COMPUTED_VALUE"""),"Lentes de LABORATORIO")</f>
        <v>Lentes de LABORATORIO</v>
      </c>
      <c r="E2878" s="1" t="str">
        <f>IFERROR(__xludf.DUMMYFUNCTION("""COMPUTED_VALUE"""),"ARTIGAS Roció")</f>
        <v>ARTIGAS Roció</v>
      </c>
      <c r="F2878" s="1" t="str">
        <f t="shared" si="1"/>
        <v>ARTIGAS </v>
      </c>
      <c r="G2878" s="1" t="str">
        <f t="shared" si="2"/>
        <v>Roció</v>
      </c>
      <c r="H2878" s="1" t="str">
        <f>IFERROR(__xludf.DUMMYFUNCTION("""COMPUTED_VALUE"""),"17/3/2023, 17:00:00")</f>
        <v>17/3/2023, 17:00:00</v>
      </c>
      <c r="I2878" s="1" t="str">
        <f>IFERROR(__xludf.DUMMYFUNCTION("""COMPUTED_VALUE"""),"Completado en SUCURSAL")</f>
        <v>Completado en SUCURSAL</v>
      </c>
      <c r="J2878" s="1">
        <f t="shared" si="3"/>
        <v>5</v>
      </c>
      <c r="K2878" s="1" t="str">
        <f t="shared" si="4"/>
        <v>Tus Lentes estan LISTAS PARA ENTREGAR, te esperamos.</v>
      </c>
    </row>
    <row r="2879">
      <c r="A2879" s="1">
        <f>IFERROR(__xludf.DUMMYFUNCTION("""COMPUTED_VALUE"""),87424.0)</f>
        <v>87424</v>
      </c>
      <c r="B2879" s="5">
        <f>IFERROR(__xludf.DUMMYFUNCTION("""COMPUTED_VALUE"""),44989.5203546875)</f>
        <v>44989.52035</v>
      </c>
      <c r="C2879" s="1" t="str">
        <f>IFERROR(__xludf.DUMMYFUNCTION("""COMPUTED_VALUE"""),"PASTENE EVA")</f>
        <v>PASTENE EVA</v>
      </c>
      <c r="D2879" s="1" t="str">
        <f>IFERROR(__xludf.DUMMYFUNCTION("""COMPUTED_VALUE"""),"Lentes BIFOCALES")</f>
        <v>Lentes BIFOCALES</v>
      </c>
      <c r="E2879" s="1" t="str">
        <f>IFERROR(__xludf.DUMMYFUNCTION("""COMPUTED_VALUE"""),"RIVADAVIA Luciana")</f>
        <v>RIVADAVIA Luciana</v>
      </c>
      <c r="F2879" s="1" t="str">
        <f t="shared" si="1"/>
        <v>RIVADAVIA </v>
      </c>
      <c r="G2879" s="1" t="str">
        <f t="shared" si="2"/>
        <v>Luciana</v>
      </c>
      <c r="H2879" s="1" t="str">
        <f>IFERROR(__xludf.DUMMYFUNCTION("""COMPUTED_VALUE"""),"8/3/2023, 17:00:00")</f>
        <v>8/3/2023, 17:00:00</v>
      </c>
      <c r="I2879" s="1" t="str">
        <f>IFERROR(__xludf.DUMMYFUNCTION("""COMPUTED_VALUE"""),"Completado en SUCURSAL")</f>
        <v>Completado en SUCURSAL</v>
      </c>
      <c r="J2879" s="1">
        <f t="shared" si="3"/>
        <v>5</v>
      </c>
      <c r="K2879" s="1" t="str">
        <f t="shared" si="4"/>
        <v>Tus Lentes estan LISTAS PARA ENTREGAR, te esperamos.</v>
      </c>
    </row>
    <row r="2880">
      <c r="A2880" s="1">
        <f>IFERROR(__xludf.DUMMYFUNCTION("""COMPUTED_VALUE"""),87425.0)</f>
        <v>87425</v>
      </c>
      <c r="B2880" s="5">
        <f>IFERROR(__xludf.DUMMYFUNCTION("""COMPUTED_VALUE"""),44989.5246879051)</f>
        <v>44989.52469</v>
      </c>
      <c r="C2880" s="1" t="str">
        <f>IFERROR(__xludf.DUMMYFUNCTION("""COMPUTED_VALUE"""),"CASELLA ROSARIO ")</f>
        <v>CASELLA ROSARIO </v>
      </c>
      <c r="D2880" s="1" t="str">
        <f>IFERROR(__xludf.DUMMYFUNCTION("""COMPUTED_VALUE"""),"Lentes de STOCK")</f>
        <v>Lentes de STOCK</v>
      </c>
      <c r="E2880" s="1" t="str">
        <f>IFERROR(__xludf.DUMMYFUNCTION("""COMPUTED_VALUE"""),"ARTIGAS Ivana P.")</f>
        <v>ARTIGAS Ivana P.</v>
      </c>
      <c r="F2880" s="1" t="str">
        <f t="shared" si="1"/>
        <v>ARTIGAS </v>
      </c>
      <c r="G2880" s="1" t="str">
        <f t="shared" si="2"/>
        <v>Ivana P.</v>
      </c>
      <c r="H2880" s="1" t="str">
        <f>IFERROR(__xludf.DUMMYFUNCTION("""COMPUTED_VALUE"""),"9/3/2023, 17:00:00")</f>
        <v>9/3/2023, 17:00:00</v>
      </c>
      <c r="I2880" s="1" t="str">
        <f>IFERROR(__xludf.DUMMYFUNCTION("""COMPUTED_VALUE"""),"Completado en SUCURSAL")</f>
        <v>Completado en SUCURSAL</v>
      </c>
      <c r="J2880" s="1">
        <f t="shared" si="3"/>
        <v>5</v>
      </c>
      <c r="K2880" s="1" t="str">
        <f t="shared" si="4"/>
        <v>Tus Lentes estan LISTAS PARA ENTREGAR, te esperamos.</v>
      </c>
    </row>
    <row r="2881">
      <c r="A2881" s="1">
        <f>IFERROR(__xludf.DUMMYFUNCTION("""COMPUTED_VALUE"""),87426.0)</f>
        <v>87426</v>
      </c>
      <c r="B2881" s="5">
        <f>IFERROR(__xludf.DUMMYFUNCTION("""COMPUTED_VALUE"""),44989.52483393518)</f>
        <v>44989.52483</v>
      </c>
      <c r="C2881" s="1" t="str">
        <f>IFERROR(__xludf.DUMMYFUNCTION("""COMPUTED_VALUE"""),"SANCHEZ EMILIANO")</f>
        <v>SANCHEZ EMILIANO</v>
      </c>
      <c r="D2881" s="1" t="str">
        <f>IFERROR(__xludf.DUMMYFUNCTION("""COMPUTED_VALUE"""),"Lentes de STOCK")</f>
        <v>Lentes de STOCK</v>
      </c>
      <c r="E2881" s="1" t="str">
        <f>IFERROR(__xludf.DUMMYFUNCTION("""COMPUTED_VALUE"""),"RIVADAVIA Javier")</f>
        <v>RIVADAVIA Javier</v>
      </c>
      <c r="F2881" s="1" t="str">
        <f t="shared" si="1"/>
        <v>RIVADAVIA </v>
      </c>
      <c r="G2881" s="1" t="str">
        <f t="shared" si="2"/>
        <v>Javier</v>
      </c>
      <c r="H2881" s="1" t="str">
        <f>IFERROR(__xludf.DUMMYFUNCTION("""COMPUTED_VALUE"""),"10/3/2023, 17:00:00")</f>
        <v>10/3/2023, 17:00:00</v>
      </c>
      <c r="I2881" s="1" t="str">
        <f>IFERROR(__xludf.DUMMYFUNCTION("""COMPUTED_VALUE"""),"Completado en SUCURSAL")</f>
        <v>Completado en SUCURSAL</v>
      </c>
      <c r="J2881" s="1">
        <f t="shared" si="3"/>
        <v>5</v>
      </c>
      <c r="K2881" s="1" t="str">
        <f t="shared" si="4"/>
        <v>Tus Lentes estan LISTAS PARA ENTREGAR, te esperamos.</v>
      </c>
    </row>
    <row r="2882">
      <c r="A2882" s="1">
        <f>IFERROR(__xludf.DUMMYFUNCTION("""COMPUTED_VALUE"""),87427.0)</f>
        <v>87427</v>
      </c>
      <c r="B2882" s="5">
        <f>IFERROR(__xludf.DUMMYFUNCTION("""COMPUTED_VALUE"""),44989.531024525466)</f>
        <v>44989.53102</v>
      </c>
      <c r="C2882" s="1" t="str">
        <f>IFERROR(__xludf.DUMMYFUNCTION("""COMPUTED_VALUE"""),"RODRIGUEZ ANDREA ")</f>
        <v>RODRIGUEZ ANDREA </v>
      </c>
      <c r="D2882" s="1" t="str">
        <f>IFERROR(__xludf.DUMMYFUNCTION("""COMPUTED_VALUE"""),"Lentes de STOCK")</f>
        <v>Lentes de STOCK</v>
      </c>
      <c r="E2882" s="1" t="str">
        <f>IFERROR(__xludf.DUMMYFUNCTION("""COMPUTED_VALUE"""),"RIVADAVIA Christian C.")</f>
        <v>RIVADAVIA Christian C.</v>
      </c>
      <c r="F2882" s="1" t="str">
        <f t="shared" si="1"/>
        <v>RIVADAVIA </v>
      </c>
      <c r="G2882" s="1" t="str">
        <f t="shared" si="2"/>
        <v>Christian C.</v>
      </c>
      <c r="H2882" s="1" t="str">
        <f>IFERROR(__xludf.DUMMYFUNCTION("""COMPUTED_VALUE"""),"9/3/2023, 17:00:00")</f>
        <v>9/3/2023, 17:00:00</v>
      </c>
      <c r="I2882" s="1" t="str">
        <f>IFERROR(__xludf.DUMMYFUNCTION("""COMPUTED_VALUE"""),"Completado en SUCURSAL")</f>
        <v>Completado en SUCURSAL</v>
      </c>
      <c r="J2882" s="1">
        <f t="shared" si="3"/>
        <v>5</v>
      </c>
      <c r="K2882" s="1" t="str">
        <f t="shared" si="4"/>
        <v>Tus Lentes estan LISTAS PARA ENTREGAR, te esperamos.</v>
      </c>
    </row>
    <row r="2883">
      <c r="A2883" s="1">
        <f>IFERROR(__xludf.DUMMYFUNCTION("""COMPUTED_VALUE"""),87428.0)</f>
        <v>87428</v>
      </c>
      <c r="B2883" s="5">
        <f>IFERROR(__xludf.DUMMYFUNCTION("""COMPUTED_VALUE"""),44989.539134375)</f>
        <v>44989.53913</v>
      </c>
      <c r="C2883" s="1" t="str">
        <f>IFERROR(__xludf.DUMMYFUNCTION("""COMPUTED_VALUE"""),"RODRIGUEZ LUIS")</f>
        <v>RODRIGUEZ LUIS</v>
      </c>
      <c r="D2883" s="1" t="str">
        <f>IFERROR(__xludf.DUMMYFUNCTION("""COMPUTED_VALUE"""),"Lentes de STOCK")</f>
        <v>Lentes de STOCK</v>
      </c>
      <c r="E2883" s="1" t="str">
        <f>IFERROR(__xludf.DUMMYFUNCTION("""COMPUTED_VALUE"""),"RIVADAVIA Javier")</f>
        <v>RIVADAVIA Javier</v>
      </c>
      <c r="F2883" s="1" t="str">
        <f t="shared" si="1"/>
        <v>RIVADAVIA </v>
      </c>
      <c r="G2883" s="1" t="str">
        <f t="shared" si="2"/>
        <v>Javier</v>
      </c>
      <c r="H2883" s="1" t="str">
        <f>IFERROR(__xludf.DUMMYFUNCTION("""COMPUTED_VALUE"""),"10/3/2023, 17:00:00")</f>
        <v>10/3/2023, 17:00:00</v>
      </c>
      <c r="I2883" s="1" t="str">
        <f>IFERROR(__xludf.DUMMYFUNCTION("""COMPUTED_VALUE"""),"Completado en SUCURSAL")</f>
        <v>Completado en SUCURSAL</v>
      </c>
      <c r="J2883" s="1">
        <f t="shared" si="3"/>
        <v>5</v>
      </c>
      <c r="K2883" s="1" t="str">
        <f t="shared" si="4"/>
        <v>Tus Lentes estan LISTAS PARA ENTREGAR, te esperamos.</v>
      </c>
    </row>
    <row r="2884">
      <c r="A2884" s="1">
        <f>IFERROR(__xludf.DUMMYFUNCTION("""COMPUTED_VALUE"""),87429.0)</f>
        <v>87429</v>
      </c>
      <c r="B2884" s="5">
        <f>IFERROR(__xludf.DUMMYFUNCTION("""COMPUTED_VALUE"""),44991.37743972222)</f>
        <v>44991.37744</v>
      </c>
      <c r="C2884" s="1" t="str">
        <f>IFERROR(__xludf.DUMMYFUNCTION("""COMPUTED_VALUE"""),"NEIRA CLAUDIO EMILIANO")</f>
        <v>NEIRA CLAUDIO EMILIANO</v>
      </c>
      <c r="D2884" s="1" t="str">
        <f>IFERROR(__xludf.DUMMYFUNCTION("""COMPUTED_VALUE"""),"Lentes de STOCK")</f>
        <v>Lentes de STOCK</v>
      </c>
      <c r="E2884" s="1" t="str">
        <f>IFERROR(__xludf.DUMMYFUNCTION("""COMPUTED_VALUE"""),"RIVADAVIA Marcela L")</f>
        <v>RIVADAVIA Marcela L</v>
      </c>
      <c r="F2884" s="1" t="str">
        <f t="shared" si="1"/>
        <v>RIVADAVIA </v>
      </c>
      <c r="G2884" s="1" t="str">
        <f t="shared" si="2"/>
        <v>Marcela L</v>
      </c>
      <c r="H2884" s="1" t="str">
        <f>IFERROR(__xludf.DUMMYFUNCTION("""COMPUTED_VALUE"""),"9/3/2023, 17:00:00")</f>
        <v>9/3/2023, 17:00:00</v>
      </c>
      <c r="I2884" s="1" t="str">
        <f>IFERROR(__xludf.DUMMYFUNCTION("""COMPUTED_VALUE"""),"Completado en SUCURSAL")</f>
        <v>Completado en SUCURSAL</v>
      </c>
      <c r="J2884" s="1">
        <f t="shared" si="3"/>
        <v>5</v>
      </c>
      <c r="K2884" s="1" t="str">
        <f t="shared" si="4"/>
        <v>Tus Lentes estan LISTAS PARA ENTREGAR, te esperamos.</v>
      </c>
    </row>
    <row r="2885">
      <c r="A2885" s="1">
        <f>IFERROR(__xludf.DUMMYFUNCTION("""COMPUTED_VALUE"""),87430.0)</f>
        <v>87430</v>
      </c>
      <c r="B2885" s="5">
        <f>IFERROR(__xludf.DUMMYFUNCTION("""COMPUTED_VALUE"""),44991.378345081015)</f>
        <v>44991.37835</v>
      </c>
      <c r="C2885" s="1" t="str">
        <f>IFERROR(__xludf.DUMMYFUNCTION("""COMPUTED_VALUE"""),"LUCERO ALEJANDRA")</f>
        <v>LUCERO ALEJANDRA</v>
      </c>
      <c r="D2885" s="1" t="str">
        <f>IFERROR(__xludf.DUMMYFUNCTION("""COMPUTED_VALUE"""),"Reparaciones/Otros")</f>
        <v>Reparaciones/Otros</v>
      </c>
      <c r="E2885" s="1" t="str">
        <f>IFERROR(__xludf.DUMMYFUNCTION("""COMPUTED_VALUE"""),"RIVADAVIA Christian C.")</f>
        <v>RIVADAVIA Christian C.</v>
      </c>
      <c r="F2885" s="1" t="str">
        <f t="shared" si="1"/>
        <v>RIVADAVIA </v>
      </c>
      <c r="G2885" s="1" t="str">
        <f t="shared" si="2"/>
        <v>Christian C.</v>
      </c>
      <c r="H2885" s="1" t="str">
        <f>IFERROR(__xludf.DUMMYFUNCTION("""COMPUTED_VALUE"""),"7/3/2023, 17:00:00")</f>
        <v>7/3/2023, 17:00:00</v>
      </c>
      <c r="I2885" s="1" t="str">
        <f>IFERROR(__xludf.DUMMYFUNCTION("""COMPUTED_VALUE"""),"Completado en SUCURSAL")</f>
        <v>Completado en SUCURSAL</v>
      </c>
      <c r="J2885" s="1">
        <f t="shared" si="3"/>
        <v>5</v>
      </c>
      <c r="K2885" s="1" t="str">
        <f t="shared" si="4"/>
        <v>Tus Lentes estan LISTAS PARA ENTREGAR, te esperamos.</v>
      </c>
    </row>
    <row r="2886">
      <c r="A2886" s="1">
        <f>IFERROR(__xludf.DUMMYFUNCTION("""COMPUTED_VALUE"""),87431.0)</f>
        <v>87431</v>
      </c>
      <c r="B2886" s="5">
        <f>IFERROR(__xludf.DUMMYFUNCTION("""COMPUTED_VALUE"""),44991.391108090276)</f>
        <v>44991.39111</v>
      </c>
      <c r="C2886" s="1" t="str">
        <f>IFERROR(__xludf.DUMMYFUNCTION("""COMPUTED_VALUE"""),"SOSA CARLOS")</f>
        <v>SOSA CARLOS</v>
      </c>
      <c r="D2886" s="1" t="str">
        <f>IFERROR(__xludf.DUMMYFUNCTION("""COMPUTED_VALUE"""),"Lentes BIFOCALES")</f>
        <v>Lentes BIFOCALES</v>
      </c>
      <c r="E2886" s="1" t="str">
        <f>IFERROR(__xludf.DUMMYFUNCTION("""COMPUTED_VALUE"""),"ARTIGAS Ivana P.")</f>
        <v>ARTIGAS Ivana P.</v>
      </c>
      <c r="F2886" s="1" t="str">
        <f t="shared" si="1"/>
        <v>ARTIGAS </v>
      </c>
      <c r="G2886" s="1" t="str">
        <f t="shared" si="2"/>
        <v>Ivana P.</v>
      </c>
      <c r="H2886" s="1" t="str">
        <f>IFERROR(__xludf.DUMMYFUNCTION("""COMPUTED_VALUE"""),"20/3/2023, 17:00:00")</f>
        <v>20/3/2023, 17:00:00</v>
      </c>
      <c r="I2886" s="1" t="str">
        <f>IFERROR(__xludf.DUMMYFUNCTION("""COMPUTED_VALUE"""),"Completado en SUCURSAL")</f>
        <v>Completado en SUCURSAL</v>
      </c>
      <c r="J2886" s="1">
        <f t="shared" si="3"/>
        <v>5</v>
      </c>
      <c r="K2886" s="1" t="str">
        <f t="shared" si="4"/>
        <v>Tus Lentes estan LISTAS PARA ENTREGAR, te esperamos.</v>
      </c>
    </row>
    <row r="2887">
      <c r="A2887" s="1">
        <f>IFERROR(__xludf.DUMMYFUNCTION("""COMPUTED_VALUE"""),87432.0)</f>
        <v>87432</v>
      </c>
      <c r="B2887" s="5">
        <f>IFERROR(__xludf.DUMMYFUNCTION("""COMPUTED_VALUE"""),44991.40009494213)</f>
        <v>44991.40009</v>
      </c>
      <c r="C2887" s="1" t="str">
        <f>IFERROR(__xludf.DUMMYFUNCTION("""COMPUTED_VALUE"""),"MOLINA EMILIANO")</f>
        <v>MOLINA EMILIANO</v>
      </c>
      <c r="D2887" s="1" t="str">
        <f>IFERROR(__xludf.DUMMYFUNCTION("""COMPUTED_VALUE"""),"Reparaciones/Otros")</f>
        <v>Reparaciones/Otros</v>
      </c>
      <c r="E2887" s="1" t="str">
        <f>IFERROR(__xludf.DUMMYFUNCTION("""COMPUTED_VALUE"""),"RIVADAVIA Daniel CM")</f>
        <v>RIVADAVIA Daniel CM</v>
      </c>
      <c r="F2887" s="1" t="str">
        <f t="shared" si="1"/>
        <v>RIVADAVIA </v>
      </c>
      <c r="G2887" s="1" t="str">
        <f t="shared" si="2"/>
        <v>Daniel CM</v>
      </c>
      <c r="H2887" s="1" t="str">
        <f>IFERROR(__xludf.DUMMYFUNCTION("""COMPUTED_VALUE"""),"7/3/2023, 17:00:00")</f>
        <v>7/3/2023, 17:00:00</v>
      </c>
      <c r="I2887" s="1" t="str">
        <f>IFERROR(__xludf.DUMMYFUNCTION("""COMPUTED_VALUE"""),"Completado en SUCURSAL")</f>
        <v>Completado en SUCURSAL</v>
      </c>
      <c r="J2887" s="1">
        <f t="shared" si="3"/>
        <v>5</v>
      </c>
      <c r="K2887" s="1" t="str">
        <f t="shared" si="4"/>
        <v>Tus Lentes estan LISTAS PARA ENTREGAR, te esperamos.</v>
      </c>
    </row>
    <row r="2888">
      <c r="A2888" s="1">
        <f>IFERROR(__xludf.DUMMYFUNCTION("""COMPUTED_VALUE"""),87433.0)</f>
        <v>87433</v>
      </c>
      <c r="B2888" s="5">
        <f>IFERROR(__xludf.DUMMYFUNCTION("""COMPUTED_VALUE"""),44991.40062861111)</f>
        <v>44991.40063</v>
      </c>
      <c r="C2888" s="1" t="str">
        <f>IFERROR(__xludf.DUMMYFUNCTION("""COMPUTED_VALUE"""),"DURAN THIAGO")</f>
        <v>DURAN THIAGO</v>
      </c>
      <c r="D2888" s="1" t="str">
        <f>IFERROR(__xludf.DUMMYFUNCTION("""COMPUTED_VALUE"""),"Reparaciones/Otros")</f>
        <v>Reparaciones/Otros</v>
      </c>
      <c r="E2888" s="1" t="str">
        <f>IFERROR(__xludf.DUMMYFUNCTION("""COMPUTED_VALUE"""),"ARTIGAS Ivana P.")</f>
        <v>ARTIGAS Ivana P.</v>
      </c>
      <c r="F2888" s="1" t="str">
        <f t="shared" si="1"/>
        <v>ARTIGAS </v>
      </c>
      <c r="G2888" s="1" t="str">
        <f t="shared" si="2"/>
        <v>Ivana P.</v>
      </c>
      <c r="H2888" s="1" t="str">
        <f>IFERROR(__xludf.DUMMYFUNCTION("""COMPUTED_VALUE"""),"7/3/2023, 17:00:00")</f>
        <v>7/3/2023, 17:00:00</v>
      </c>
      <c r="I2888" s="1" t="str">
        <f>IFERROR(__xludf.DUMMYFUNCTION("""COMPUTED_VALUE"""),"Completado en SUCURSAL")</f>
        <v>Completado en SUCURSAL</v>
      </c>
      <c r="J2888" s="1">
        <f t="shared" si="3"/>
        <v>5</v>
      </c>
      <c r="K2888" s="1" t="str">
        <f t="shared" si="4"/>
        <v>Tus Lentes estan LISTAS PARA ENTREGAR, te esperamos.</v>
      </c>
    </row>
    <row r="2889">
      <c r="A2889" s="1">
        <f>IFERROR(__xludf.DUMMYFUNCTION("""COMPUTED_VALUE"""),87434.0)</f>
        <v>87434</v>
      </c>
      <c r="B2889" s="5">
        <f>IFERROR(__xludf.DUMMYFUNCTION("""COMPUTED_VALUE"""),44991.40816162037)</f>
        <v>44991.40816</v>
      </c>
      <c r="C2889" s="1" t="str">
        <f>IFERROR(__xludf.DUMMYFUNCTION("""COMPUTED_VALUE"""),"Castro Jersica")</f>
        <v>Castro Jersica</v>
      </c>
      <c r="D2889" s="1" t="str">
        <f>IFERROR(__xludf.DUMMYFUNCTION("""COMPUTED_VALUE"""),"Reparaciones/Otros")</f>
        <v>Reparaciones/Otros</v>
      </c>
      <c r="E2889" s="1" t="str">
        <f>IFERROR(__xludf.DUMMYFUNCTION("""COMPUTED_VALUE"""),"ARTIGAS Sandra G")</f>
        <v>ARTIGAS Sandra G</v>
      </c>
      <c r="F2889" s="1" t="str">
        <f t="shared" si="1"/>
        <v>ARTIGAS </v>
      </c>
      <c r="G2889" s="1" t="str">
        <f t="shared" si="2"/>
        <v>Sandra G</v>
      </c>
      <c r="H2889" s="1" t="str">
        <f>IFERROR(__xludf.DUMMYFUNCTION("""COMPUTED_VALUE"""),"7/3/2023, 17:00:00")</f>
        <v>7/3/2023, 17:00:00</v>
      </c>
      <c r="I2889" s="1"/>
      <c r="J2889" s="1">
        <f t="shared" si="3"/>
        <v>0</v>
      </c>
      <c r="K2889" s="1" t="str">
        <f t="shared" si="4"/>
        <v/>
      </c>
    </row>
    <row r="2890">
      <c r="A2890" s="1">
        <f>IFERROR(__xludf.DUMMYFUNCTION("""COMPUTED_VALUE"""),87435.0)</f>
        <v>87435</v>
      </c>
      <c r="B2890" s="5">
        <f>IFERROR(__xludf.DUMMYFUNCTION("""COMPUTED_VALUE"""),44991.40822149305)</f>
        <v>44991.40822</v>
      </c>
      <c r="C2890" s="1" t="str">
        <f>IFERROR(__xludf.DUMMYFUNCTION("""COMPUTED_VALUE"""),"RIBAS MARISA")</f>
        <v>RIBAS MARISA</v>
      </c>
      <c r="D2890" s="1" t="str">
        <f>IFERROR(__xludf.DUMMYFUNCTION("""COMPUTED_VALUE"""),"Lentes de STOCK")</f>
        <v>Lentes de STOCK</v>
      </c>
      <c r="E2890" s="1" t="str">
        <f>IFERROR(__xludf.DUMMYFUNCTION("""COMPUTED_VALUE"""),"RIVADAVIA Santiago LOPEZ")</f>
        <v>RIVADAVIA Santiago LOPEZ</v>
      </c>
      <c r="F2890" s="1" t="str">
        <f t="shared" si="1"/>
        <v>RIVADAVIA </v>
      </c>
      <c r="G2890" s="1" t="str">
        <f t="shared" si="2"/>
        <v>Santiago LOPEZ</v>
      </c>
      <c r="H2890" s="1" t="str">
        <f>IFERROR(__xludf.DUMMYFUNCTION("""COMPUTED_VALUE"""),"10/3/2023, 17:00:00")</f>
        <v>10/3/2023, 17:00:00</v>
      </c>
      <c r="I2890" s="1" t="str">
        <f>IFERROR(__xludf.DUMMYFUNCTION("""COMPUTED_VALUE"""),"Completado en SUCURSAL")</f>
        <v>Completado en SUCURSAL</v>
      </c>
      <c r="J2890" s="1">
        <f t="shared" si="3"/>
        <v>5</v>
      </c>
      <c r="K2890" s="1" t="str">
        <f t="shared" si="4"/>
        <v>Tus Lentes estan LISTAS PARA ENTREGAR, te esperamos.</v>
      </c>
    </row>
    <row r="2891">
      <c r="A2891" s="1">
        <f>IFERROR(__xludf.DUMMYFUNCTION("""COMPUTED_VALUE"""),87436.0)</f>
        <v>87436</v>
      </c>
      <c r="B2891" s="5">
        <f>IFERROR(__xludf.DUMMYFUNCTION("""COMPUTED_VALUE"""),44991.412133460646)</f>
        <v>44991.41213</v>
      </c>
      <c r="C2891" s="1" t="str">
        <f>IFERROR(__xludf.DUMMYFUNCTION("""COMPUTED_VALUE"""),"Perez Erica")</f>
        <v>Perez Erica</v>
      </c>
      <c r="D2891" s="1" t="str">
        <f>IFERROR(__xludf.DUMMYFUNCTION("""COMPUTED_VALUE"""),"Reparaciones/Otros")</f>
        <v>Reparaciones/Otros</v>
      </c>
      <c r="E2891" s="1" t="str">
        <f>IFERROR(__xludf.DUMMYFUNCTION("""COMPUTED_VALUE"""),"ARTIGAS Sandra G")</f>
        <v>ARTIGAS Sandra G</v>
      </c>
      <c r="F2891" s="1" t="str">
        <f t="shared" si="1"/>
        <v>ARTIGAS </v>
      </c>
      <c r="G2891" s="1" t="str">
        <f t="shared" si="2"/>
        <v>Sandra G</v>
      </c>
      <c r="H2891" s="1" t="str">
        <f>IFERROR(__xludf.DUMMYFUNCTION("""COMPUTED_VALUE"""),"7/3/2023, 17:00:00")</f>
        <v>7/3/2023, 17:00:00</v>
      </c>
      <c r="I2891" s="1" t="str">
        <f>IFERROR(__xludf.DUMMYFUNCTION("""COMPUTED_VALUE"""),"Recibido en Laboratorio")</f>
        <v>Recibido en Laboratorio</v>
      </c>
      <c r="J2891" s="1">
        <f t="shared" si="3"/>
        <v>2</v>
      </c>
      <c r="K2891" s="1" t="str">
        <f t="shared" si="4"/>
        <v>Nuestro Laboratorio esta trabajando en tus lentes, los entregaremos en la fecha acordada.</v>
      </c>
    </row>
    <row r="2892">
      <c r="A2892" s="1">
        <f>IFERROR(__xludf.DUMMYFUNCTION("""COMPUTED_VALUE"""),87437.0)</f>
        <v>87437</v>
      </c>
      <c r="B2892" s="5">
        <f>IFERROR(__xludf.DUMMYFUNCTION("""COMPUTED_VALUE"""),44991.41641666667)</f>
        <v>44991.41642</v>
      </c>
      <c r="C2892" s="1" t="str">
        <f>IFERROR(__xludf.DUMMYFUNCTION("""COMPUTED_VALUE"""),"MUÑOZ HUGO MARTIN ")</f>
        <v>MUÑOZ HUGO MARTIN </v>
      </c>
      <c r="D2892" s="1" t="str">
        <f>IFERROR(__xludf.DUMMYFUNCTION("""COMPUTED_VALUE"""),"Lentes de STOCK")</f>
        <v>Lentes de STOCK</v>
      </c>
      <c r="E2892" s="1" t="str">
        <f>IFERROR(__xludf.DUMMYFUNCTION("""COMPUTED_VALUE"""),"RIVADAVIA Marcela L")</f>
        <v>RIVADAVIA Marcela L</v>
      </c>
      <c r="F2892" s="1" t="str">
        <f t="shared" si="1"/>
        <v>RIVADAVIA </v>
      </c>
      <c r="G2892" s="1" t="str">
        <f t="shared" si="2"/>
        <v>Marcela L</v>
      </c>
      <c r="H2892" s="1" t="str">
        <f>IFERROR(__xludf.DUMMYFUNCTION("""COMPUTED_VALUE"""),"8/3/2023, 17:00:00")</f>
        <v>8/3/2023, 17:00:00</v>
      </c>
      <c r="I2892" s="1" t="str">
        <f>IFERROR(__xludf.DUMMYFUNCTION("""COMPUTED_VALUE"""),"Completado en SUCURSAL")</f>
        <v>Completado en SUCURSAL</v>
      </c>
      <c r="J2892" s="1">
        <f t="shared" si="3"/>
        <v>5</v>
      </c>
      <c r="K2892" s="1" t="str">
        <f t="shared" si="4"/>
        <v>Tus Lentes estan LISTAS PARA ENTREGAR, te esperamos.</v>
      </c>
    </row>
    <row r="2893">
      <c r="A2893" s="1">
        <f>IFERROR(__xludf.DUMMYFUNCTION("""COMPUTED_VALUE"""),87438.0)</f>
        <v>87438</v>
      </c>
      <c r="B2893" s="5">
        <f>IFERROR(__xludf.DUMMYFUNCTION("""COMPUTED_VALUE"""),44991.41719508102)</f>
        <v>44991.4172</v>
      </c>
      <c r="C2893" s="1" t="str">
        <f>IFERROR(__xludf.DUMMYFUNCTION("""COMPUTED_VALUE"""),"MECIAS CARLOS")</f>
        <v>MECIAS CARLOS</v>
      </c>
      <c r="D2893" s="1" t="str">
        <f>IFERROR(__xludf.DUMMYFUNCTION("""COMPUTED_VALUE"""),"Lentes de STOCK")</f>
        <v>Lentes de STOCK</v>
      </c>
      <c r="E2893" s="1" t="str">
        <f>IFERROR(__xludf.DUMMYFUNCTION("""COMPUTED_VALUE"""),"RIVADAVIA Santiago N")</f>
        <v>RIVADAVIA Santiago N</v>
      </c>
      <c r="F2893" s="1" t="str">
        <f t="shared" si="1"/>
        <v>RIVADAVIA </v>
      </c>
      <c r="G2893" s="1" t="str">
        <f t="shared" si="2"/>
        <v>Santiago N</v>
      </c>
      <c r="H2893" s="1" t="str">
        <f>IFERROR(__xludf.DUMMYFUNCTION("""COMPUTED_VALUE"""),"11/3/2023, 17:00:00")</f>
        <v>11/3/2023, 17:00:00</v>
      </c>
      <c r="I2893" s="1" t="str">
        <f>IFERROR(__xludf.DUMMYFUNCTION("""COMPUTED_VALUE"""),"Completado en SUCURSAL")</f>
        <v>Completado en SUCURSAL</v>
      </c>
      <c r="J2893" s="1">
        <f t="shared" si="3"/>
        <v>5</v>
      </c>
      <c r="K2893" s="1" t="str">
        <f t="shared" si="4"/>
        <v>Tus Lentes estan LISTAS PARA ENTREGAR, te esperamos.</v>
      </c>
    </row>
    <row r="2894">
      <c r="A2894" s="1">
        <f>IFERROR(__xludf.DUMMYFUNCTION("""COMPUTED_VALUE"""),87439.0)</f>
        <v>87439</v>
      </c>
      <c r="B2894" s="5">
        <f>IFERROR(__xludf.DUMMYFUNCTION("""COMPUTED_VALUE"""),44991.41857711806)</f>
        <v>44991.41858</v>
      </c>
      <c r="C2894" s="1" t="str">
        <f>IFERROR(__xludf.DUMMYFUNCTION("""COMPUTED_VALUE"""),"ARAVENA FERRADA LUIS EDUARDO")</f>
        <v>ARAVENA FERRADA LUIS EDUARDO</v>
      </c>
      <c r="D2894" s="1" t="str">
        <f>IFERROR(__xludf.DUMMYFUNCTION("""COMPUTED_VALUE"""),"Lentes de STOCK")</f>
        <v>Lentes de STOCK</v>
      </c>
      <c r="E2894" s="1" t="str">
        <f>IFERROR(__xludf.DUMMYFUNCTION("""COMPUTED_VALUE"""),"ARTIGAS Roció")</f>
        <v>ARTIGAS Roció</v>
      </c>
      <c r="F2894" s="1" t="str">
        <f t="shared" si="1"/>
        <v>ARTIGAS </v>
      </c>
      <c r="G2894" s="1" t="str">
        <f t="shared" si="2"/>
        <v>Roció</v>
      </c>
      <c r="H2894" s="1" t="str">
        <f>IFERROR(__xludf.DUMMYFUNCTION("""COMPUTED_VALUE"""),"13/3/2023, 17:00:00")</f>
        <v>13/3/2023, 17:00:00</v>
      </c>
      <c r="I2894" s="1" t="str">
        <f>IFERROR(__xludf.DUMMYFUNCTION("""COMPUTED_VALUE"""),"Completado en SUCURSAL")</f>
        <v>Completado en SUCURSAL</v>
      </c>
      <c r="J2894" s="1">
        <f t="shared" si="3"/>
        <v>5</v>
      </c>
      <c r="K2894" s="1" t="str">
        <f t="shared" si="4"/>
        <v>Tus Lentes estan LISTAS PARA ENTREGAR, te esperamos.</v>
      </c>
    </row>
    <row r="2895">
      <c r="A2895" s="1">
        <f>IFERROR(__xludf.DUMMYFUNCTION("""COMPUTED_VALUE"""),87440.0)</f>
        <v>87440</v>
      </c>
      <c r="B2895" s="5">
        <f>IFERROR(__xludf.DUMMYFUNCTION("""COMPUTED_VALUE"""),44991.419446307875)</f>
        <v>44991.41945</v>
      </c>
      <c r="C2895" s="1" t="str">
        <f>IFERROR(__xludf.DUMMYFUNCTION("""COMPUTED_VALUE"""),"LUCERO MIRTA")</f>
        <v>LUCERO MIRTA</v>
      </c>
      <c r="D2895" s="1" t="str">
        <f>IFERROR(__xludf.DUMMYFUNCTION("""COMPUTED_VALUE"""),"Lentes de STOCK")</f>
        <v>Lentes de STOCK</v>
      </c>
      <c r="E2895" s="1" t="str">
        <f>IFERROR(__xludf.DUMMYFUNCTION("""COMPUTED_VALUE"""),"ARTIGAS Ivana P.")</f>
        <v>ARTIGAS Ivana P.</v>
      </c>
      <c r="F2895" s="1" t="str">
        <f t="shared" si="1"/>
        <v>ARTIGAS </v>
      </c>
      <c r="G2895" s="1" t="str">
        <f t="shared" si="2"/>
        <v>Ivana P.</v>
      </c>
      <c r="H2895" s="1" t="str">
        <f>IFERROR(__xludf.DUMMYFUNCTION("""COMPUTED_VALUE"""),"8/3/2023, 17:00:00")</f>
        <v>8/3/2023, 17:00:00</v>
      </c>
      <c r="I2895" s="1" t="str">
        <f>IFERROR(__xludf.DUMMYFUNCTION("""COMPUTED_VALUE"""),"Completado en SUCURSAL")</f>
        <v>Completado en SUCURSAL</v>
      </c>
      <c r="J2895" s="1">
        <f t="shared" si="3"/>
        <v>5</v>
      </c>
      <c r="K2895" s="1" t="str">
        <f t="shared" si="4"/>
        <v>Tus Lentes estan LISTAS PARA ENTREGAR, te esperamos.</v>
      </c>
    </row>
    <row r="2896">
      <c r="A2896" s="1">
        <f>IFERROR(__xludf.DUMMYFUNCTION("""COMPUTED_VALUE"""),87441.0)</f>
        <v>87441</v>
      </c>
      <c r="B2896" s="5">
        <f>IFERROR(__xludf.DUMMYFUNCTION("""COMPUTED_VALUE"""),44991.42155784722)</f>
        <v>44991.42156</v>
      </c>
      <c r="C2896" s="1" t="str">
        <f>IFERROR(__xludf.DUMMYFUNCTION("""COMPUTED_VALUE"""),"leyes olga")</f>
        <v>leyes olga</v>
      </c>
      <c r="D2896" s="1" t="str">
        <f>IFERROR(__xludf.DUMMYFUNCTION("""COMPUTED_VALUE"""),"Reparaciones/Otros")</f>
        <v>Reparaciones/Otros</v>
      </c>
      <c r="E2896" s="1" t="str">
        <f>IFERROR(__xludf.DUMMYFUNCTION("""COMPUTED_VALUE"""),"RIVADAVIA Daniel CM")</f>
        <v>RIVADAVIA Daniel CM</v>
      </c>
      <c r="F2896" s="1" t="str">
        <f t="shared" si="1"/>
        <v>RIVADAVIA </v>
      </c>
      <c r="G2896" s="1" t="str">
        <f t="shared" si="2"/>
        <v>Daniel CM</v>
      </c>
      <c r="H2896" s="1" t="str">
        <f>IFERROR(__xludf.DUMMYFUNCTION("""COMPUTED_VALUE"""),"7/3/2023, 17:00:00")</f>
        <v>7/3/2023, 17:00:00</v>
      </c>
      <c r="I2896" s="1" t="str">
        <f>IFERROR(__xludf.DUMMYFUNCTION("""COMPUTED_VALUE"""),"Completado en SUCURSAL")</f>
        <v>Completado en SUCURSAL</v>
      </c>
      <c r="J2896" s="1">
        <f t="shared" si="3"/>
        <v>5</v>
      </c>
      <c r="K2896" s="1" t="str">
        <f t="shared" si="4"/>
        <v>Tus Lentes estan LISTAS PARA ENTREGAR, te esperamos.</v>
      </c>
    </row>
    <row r="2897">
      <c r="A2897" s="1">
        <f>IFERROR(__xludf.DUMMYFUNCTION("""COMPUTED_VALUE"""),87442.0)</f>
        <v>87442</v>
      </c>
      <c r="B2897" s="5">
        <f>IFERROR(__xludf.DUMMYFUNCTION("""COMPUTED_VALUE"""),44991.42207688658)</f>
        <v>44991.42208</v>
      </c>
      <c r="C2897" s="1" t="str">
        <f>IFERROR(__xludf.DUMMYFUNCTION("""COMPUTED_VALUE"""),"MONESTEROLO PAOLA")</f>
        <v>MONESTEROLO PAOLA</v>
      </c>
      <c r="D2897" s="1" t="str">
        <f>IFERROR(__xludf.DUMMYFUNCTION("""COMPUTED_VALUE"""),"Reparaciones/Otros")</f>
        <v>Reparaciones/Otros</v>
      </c>
      <c r="E2897" s="1" t="str">
        <f>IFERROR(__xludf.DUMMYFUNCTION("""COMPUTED_VALUE"""),"RIVADAVIA Luciana")</f>
        <v>RIVADAVIA Luciana</v>
      </c>
      <c r="F2897" s="1" t="str">
        <f t="shared" si="1"/>
        <v>RIVADAVIA </v>
      </c>
      <c r="G2897" s="1" t="str">
        <f t="shared" si="2"/>
        <v>Luciana</v>
      </c>
      <c r="H2897" s="1" t="str">
        <f>IFERROR(__xludf.DUMMYFUNCTION("""COMPUTED_VALUE"""),"7/3/2023, 17:00:00")</f>
        <v>7/3/2023, 17:00:00</v>
      </c>
      <c r="I2897" s="1" t="str">
        <f>IFERROR(__xludf.DUMMYFUNCTION("""COMPUTED_VALUE"""),"Completado en SUCURSAL")</f>
        <v>Completado en SUCURSAL</v>
      </c>
      <c r="J2897" s="1">
        <f t="shared" si="3"/>
        <v>5</v>
      </c>
      <c r="K2897" s="1" t="str">
        <f t="shared" si="4"/>
        <v>Tus Lentes estan LISTAS PARA ENTREGAR, te esperamos.</v>
      </c>
    </row>
    <row r="2898">
      <c r="A2898" s="1">
        <f>IFERROR(__xludf.DUMMYFUNCTION("""COMPUTED_VALUE"""),87443.0)</f>
        <v>87443</v>
      </c>
      <c r="B2898" s="5">
        <f>IFERROR(__xludf.DUMMYFUNCTION("""COMPUTED_VALUE"""),44991.42500690972)</f>
        <v>44991.42501</v>
      </c>
      <c r="C2898" s="1" t="str">
        <f>IFERROR(__xludf.DUMMYFUNCTION("""COMPUTED_VALUE"""),"ABALLAY JUAN IGNACIO")</f>
        <v>ABALLAY JUAN IGNACIO</v>
      </c>
      <c r="D2898" s="1" t="str">
        <f>IFERROR(__xludf.DUMMYFUNCTION("""COMPUTED_VALUE"""),"Lentes de STOCK")</f>
        <v>Lentes de STOCK</v>
      </c>
      <c r="E2898" s="1" t="str">
        <f>IFERROR(__xludf.DUMMYFUNCTION("""COMPUTED_VALUE"""),"ARTIGAS Roció")</f>
        <v>ARTIGAS Roció</v>
      </c>
      <c r="F2898" s="1" t="str">
        <f t="shared" si="1"/>
        <v>ARTIGAS </v>
      </c>
      <c r="G2898" s="1" t="str">
        <f t="shared" si="2"/>
        <v>Roció</v>
      </c>
      <c r="H2898" s="1" t="str">
        <f>IFERROR(__xludf.DUMMYFUNCTION("""COMPUTED_VALUE"""),"14/3/2023, 17:00:00")</f>
        <v>14/3/2023, 17:00:00</v>
      </c>
      <c r="I2898" s="1" t="str">
        <f>IFERROR(__xludf.DUMMYFUNCTION("""COMPUTED_VALUE"""),"Completado en SUCURSAL")</f>
        <v>Completado en SUCURSAL</v>
      </c>
      <c r="J2898" s="1">
        <f t="shared" si="3"/>
        <v>5</v>
      </c>
      <c r="K2898" s="1" t="str">
        <f t="shared" si="4"/>
        <v>Tus Lentes estan LISTAS PARA ENTREGAR, te esperamos.</v>
      </c>
    </row>
    <row r="2899">
      <c r="A2899" s="1">
        <f>IFERROR(__xludf.DUMMYFUNCTION("""COMPUTED_VALUE"""),87444.0)</f>
        <v>87444</v>
      </c>
      <c r="B2899" s="5">
        <f>IFERROR(__xludf.DUMMYFUNCTION("""COMPUTED_VALUE"""),44991.42506193287)</f>
        <v>44991.42506</v>
      </c>
      <c r="C2899" s="1" t="str">
        <f>IFERROR(__xludf.DUMMYFUNCTION("""COMPUTED_VALUE"""),"GARCIA LORENA")</f>
        <v>GARCIA LORENA</v>
      </c>
      <c r="D2899" s="1" t="str">
        <f>IFERROR(__xludf.DUMMYFUNCTION("""COMPUTED_VALUE"""),"Lentes de STOCK")</f>
        <v>Lentes de STOCK</v>
      </c>
      <c r="E2899" s="1" t="str">
        <f>IFERROR(__xludf.DUMMYFUNCTION("""COMPUTED_VALUE"""),"RIVADAVIA Santiago N")</f>
        <v>RIVADAVIA Santiago N</v>
      </c>
      <c r="F2899" s="1" t="str">
        <f t="shared" si="1"/>
        <v>RIVADAVIA </v>
      </c>
      <c r="G2899" s="1" t="str">
        <f t="shared" si="2"/>
        <v>Santiago N</v>
      </c>
      <c r="H2899" s="1" t="str">
        <f>IFERROR(__xludf.DUMMYFUNCTION("""COMPUTED_VALUE"""),"8/3/2023, 17:00:00")</f>
        <v>8/3/2023, 17:00:00</v>
      </c>
      <c r="I2899" s="1" t="str">
        <f>IFERROR(__xludf.DUMMYFUNCTION("""COMPUTED_VALUE"""),"Completado en SUCURSAL")</f>
        <v>Completado en SUCURSAL</v>
      </c>
      <c r="J2899" s="1">
        <f t="shared" si="3"/>
        <v>5</v>
      </c>
      <c r="K2899" s="1" t="str">
        <f t="shared" si="4"/>
        <v>Tus Lentes estan LISTAS PARA ENTREGAR, te esperamos.</v>
      </c>
    </row>
    <row r="2900">
      <c r="A2900" s="1">
        <f>IFERROR(__xludf.DUMMYFUNCTION("""COMPUTED_VALUE"""),87445.0)</f>
        <v>87445</v>
      </c>
      <c r="B2900" s="5">
        <f>IFERROR(__xludf.DUMMYFUNCTION("""COMPUTED_VALUE"""),44991.425395625)</f>
        <v>44991.4254</v>
      </c>
      <c r="C2900" s="1" t="str">
        <f>IFERROR(__xludf.DUMMYFUNCTION("""COMPUTED_VALUE"""),"ANDRADA JOSE ")</f>
        <v>ANDRADA JOSE </v>
      </c>
      <c r="D2900" s="1" t="str">
        <f>IFERROR(__xludf.DUMMYFUNCTION("""COMPUTED_VALUE"""),"Lentes de STOCK")</f>
        <v>Lentes de STOCK</v>
      </c>
      <c r="E2900" s="1" t="str">
        <f>IFERROR(__xludf.DUMMYFUNCTION("""COMPUTED_VALUE"""),"RIVADAVIA Christian C.")</f>
        <v>RIVADAVIA Christian C.</v>
      </c>
      <c r="F2900" s="1" t="str">
        <f t="shared" si="1"/>
        <v>RIVADAVIA </v>
      </c>
      <c r="G2900" s="1" t="str">
        <f t="shared" si="2"/>
        <v>Christian C.</v>
      </c>
      <c r="H2900" s="1" t="str">
        <f>IFERROR(__xludf.DUMMYFUNCTION("""COMPUTED_VALUE"""),"13/3/2023, 17:00:00")</f>
        <v>13/3/2023, 17:00:00</v>
      </c>
      <c r="I2900" s="1" t="str">
        <f>IFERROR(__xludf.DUMMYFUNCTION("""COMPUTED_VALUE"""),"Completado en SUCURSAL")</f>
        <v>Completado en SUCURSAL</v>
      </c>
      <c r="J2900" s="1">
        <f t="shared" si="3"/>
        <v>5</v>
      </c>
      <c r="K2900" s="1" t="str">
        <f t="shared" si="4"/>
        <v>Tus Lentes estan LISTAS PARA ENTREGAR, te esperamos.</v>
      </c>
    </row>
    <row r="2901">
      <c r="A2901" s="1">
        <f>IFERROR(__xludf.DUMMYFUNCTION("""COMPUTED_VALUE"""),87446.0)</f>
        <v>87446</v>
      </c>
      <c r="B2901" s="5">
        <f>IFERROR(__xludf.DUMMYFUNCTION("""COMPUTED_VALUE"""),44991.42569982639)</f>
        <v>44991.4257</v>
      </c>
      <c r="C2901" s="1" t="str">
        <f>IFERROR(__xludf.DUMMYFUNCTION("""COMPUTED_VALUE"""),"MORENO ADRIANA")</f>
        <v>MORENO ADRIANA</v>
      </c>
      <c r="D2901" s="1" t="str">
        <f>IFERROR(__xludf.DUMMYFUNCTION("""COMPUTED_VALUE"""),"Lentes de STOCK")</f>
        <v>Lentes de STOCK</v>
      </c>
      <c r="E2901" s="1" t="str">
        <f>IFERROR(__xludf.DUMMYFUNCTION("""COMPUTED_VALUE"""),"ARTIGAS Ivana P.")</f>
        <v>ARTIGAS Ivana P.</v>
      </c>
      <c r="F2901" s="1" t="str">
        <f t="shared" si="1"/>
        <v>ARTIGAS </v>
      </c>
      <c r="G2901" s="1" t="str">
        <f t="shared" si="2"/>
        <v>Ivana P.</v>
      </c>
      <c r="H2901" s="1" t="str">
        <f>IFERROR(__xludf.DUMMYFUNCTION("""COMPUTED_VALUE"""),"9/3/2023, 17:00:00")</f>
        <v>9/3/2023, 17:00:00</v>
      </c>
      <c r="I2901" s="1" t="str">
        <f>IFERROR(__xludf.DUMMYFUNCTION("""COMPUTED_VALUE"""),"Completado en SUCURSAL")</f>
        <v>Completado en SUCURSAL</v>
      </c>
      <c r="J2901" s="1">
        <f t="shared" si="3"/>
        <v>5</v>
      </c>
      <c r="K2901" s="1" t="str">
        <f t="shared" si="4"/>
        <v>Tus Lentes estan LISTAS PARA ENTREGAR, te esperamos.</v>
      </c>
    </row>
    <row r="2902">
      <c r="A2902" s="1">
        <f>IFERROR(__xludf.DUMMYFUNCTION("""COMPUTED_VALUE"""),87447.0)</f>
        <v>87447</v>
      </c>
      <c r="B2902" s="5">
        <f>IFERROR(__xludf.DUMMYFUNCTION("""COMPUTED_VALUE"""),44991.429075)</f>
        <v>44991.42908</v>
      </c>
      <c r="C2902" s="1" t="str">
        <f>IFERROR(__xludf.DUMMYFUNCTION("""COMPUTED_VALUE"""),"PUERTO MARIANA")</f>
        <v>PUERTO MARIANA</v>
      </c>
      <c r="D2902" s="1" t="str">
        <f>IFERROR(__xludf.DUMMYFUNCTION("""COMPUTED_VALUE"""),"Lentes de STOCK")</f>
        <v>Lentes de STOCK</v>
      </c>
      <c r="E2902" s="1" t="str">
        <f>IFERROR(__xludf.DUMMYFUNCTION("""COMPUTED_VALUE"""),"RIVADAVIA Santiago N")</f>
        <v>RIVADAVIA Santiago N</v>
      </c>
      <c r="F2902" s="1" t="str">
        <f t="shared" si="1"/>
        <v>RIVADAVIA </v>
      </c>
      <c r="G2902" s="1" t="str">
        <f t="shared" si="2"/>
        <v>Santiago N</v>
      </c>
      <c r="H2902" s="1" t="str">
        <f>IFERROR(__xludf.DUMMYFUNCTION("""COMPUTED_VALUE"""),"9/3/2023, 17:00:00")</f>
        <v>9/3/2023, 17:00:00</v>
      </c>
      <c r="I2902" s="1" t="str">
        <f>IFERROR(__xludf.DUMMYFUNCTION("""COMPUTED_VALUE"""),"Completado en SUCURSAL")</f>
        <v>Completado en SUCURSAL</v>
      </c>
      <c r="J2902" s="1">
        <f t="shared" si="3"/>
        <v>5</v>
      </c>
      <c r="K2902" s="1" t="str">
        <f t="shared" si="4"/>
        <v>Tus Lentes estan LISTAS PARA ENTREGAR, te esperamos.</v>
      </c>
    </row>
    <row r="2903">
      <c r="A2903" s="1">
        <f>IFERROR(__xludf.DUMMYFUNCTION("""COMPUTED_VALUE"""),87448.0)</f>
        <v>87448</v>
      </c>
      <c r="B2903" s="5">
        <f>IFERROR(__xludf.DUMMYFUNCTION("""COMPUTED_VALUE"""),44991.429387662036)</f>
        <v>44991.42939</v>
      </c>
      <c r="C2903" s="1" t="str">
        <f>IFERROR(__xludf.DUMMYFUNCTION("""COMPUTED_VALUE"""),"BUSTOS RICARDO")</f>
        <v>BUSTOS RICARDO</v>
      </c>
      <c r="D2903" s="1" t="str">
        <f>IFERROR(__xludf.DUMMYFUNCTION("""COMPUTED_VALUE"""),"Reparaciones/Otros")</f>
        <v>Reparaciones/Otros</v>
      </c>
      <c r="E2903" s="1" t="str">
        <f>IFERROR(__xludf.DUMMYFUNCTION("""COMPUTED_VALUE"""),"ARTIGAS Ivana P.")</f>
        <v>ARTIGAS Ivana P.</v>
      </c>
      <c r="F2903" s="1" t="str">
        <f t="shared" si="1"/>
        <v>ARTIGAS </v>
      </c>
      <c r="G2903" s="1" t="str">
        <f t="shared" si="2"/>
        <v>Ivana P.</v>
      </c>
      <c r="H2903" s="1" t="str">
        <f>IFERROR(__xludf.DUMMYFUNCTION("""COMPUTED_VALUE"""),"7/3/2023, 17:00:00")</f>
        <v>7/3/2023, 17:00:00</v>
      </c>
      <c r="I2903" s="1" t="str">
        <f>IFERROR(__xludf.DUMMYFUNCTION("""COMPUTED_VALUE"""),"Recibido en Laboratorio")</f>
        <v>Recibido en Laboratorio</v>
      </c>
      <c r="J2903" s="1">
        <f t="shared" si="3"/>
        <v>2</v>
      </c>
      <c r="K2903" s="1" t="str">
        <f t="shared" si="4"/>
        <v>Nuestro Laboratorio esta trabajando en tus lentes, los entregaremos en la fecha acordada.</v>
      </c>
    </row>
    <row r="2904">
      <c r="A2904" s="1">
        <f>IFERROR(__xludf.DUMMYFUNCTION("""COMPUTED_VALUE"""),87449.0)</f>
        <v>87449</v>
      </c>
      <c r="B2904" s="5">
        <f>IFERROR(__xludf.DUMMYFUNCTION("""COMPUTED_VALUE"""),44991.43635400463)</f>
        <v>44991.43635</v>
      </c>
      <c r="C2904" s="1" t="str">
        <f>IFERROR(__xludf.DUMMYFUNCTION("""COMPUTED_VALUE"""),"SOSA ENRIQUETA GRASIELA")</f>
        <v>SOSA ENRIQUETA GRASIELA</v>
      </c>
      <c r="D2904" s="1" t="str">
        <f>IFERROR(__xludf.DUMMYFUNCTION("""COMPUTED_VALUE"""),"Lentes de STOCK")</f>
        <v>Lentes de STOCK</v>
      </c>
      <c r="E2904" s="1" t="str">
        <f>IFERROR(__xludf.DUMMYFUNCTION("""COMPUTED_VALUE"""),"RIVADAVIA Christian C.")</f>
        <v>RIVADAVIA Christian C.</v>
      </c>
      <c r="F2904" s="1" t="str">
        <f t="shared" si="1"/>
        <v>RIVADAVIA </v>
      </c>
      <c r="G2904" s="1" t="str">
        <f t="shared" si="2"/>
        <v>Christian C.</v>
      </c>
      <c r="H2904" s="1" t="str">
        <f>IFERROR(__xludf.DUMMYFUNCTION("""COMPUTED_VALUE"""),"16/3/2023, 17:00:00")</f>
        <v>16/3/2023, 17:00:00</v>
      </c>
      <c r="I2904" s="1" t="str">
        <f>IFERROR(__xludf.DUMMYFUNCTION("""COMPUTED_VALUE"""),"Completado en SUCURSAL")</f>
        <v>Completado en SUCURSAL</v>
      </c>
      <c r="J2904" s="1">
        <f t="shared" si="3"/>
        <v>5</v>
      </c>
      <c r="K2904" s="1" t="str">
        <f t="shared" si="4"/>
        <v>Tus Lentes estan LISTAS PARA ENTREGAR, te esperamos.</v>
      </c>
    </row>
    <row r="2905">
      <c r="A2905" s="1">
        <f>IFERROR(__xludf.DUMMYFUNCTION("""COMPUTED_VALUE"""),87450.0)</f>
        <v>87450</v>
      </c>
      <c r="B2905" s="5">
        <f>IFERROR(__xludf.DUMMYFUNCTION("""COMPUTED_VALUE"""),44991.436883483795)</f>
        <v>44991.43688</v>
      </c>
      <c r="C2905" s="1" t="str">
        <f>IFERROR(__xludf.DUMMYFUNCTION("""COMPUTED_VALUE"""),"GUEVARA NELIDA")</f>
        <v>GUEVARA NELIDA</v>
      </c>
      <c r="D2905" s="1" t="str">
        <f>IFERROR(__xludf.DUMMYFUNCTION("""COMPUTED_VALUE"""),"Lentes de STOCK")</f>
        <v>Lentes de STOCK</v>
      </c>
      <c r="E2905" s="1" t="str">
        <f>IFERROR(__xludf.DUMMYFUNCTION("""COMPUTED_VALUE"""),"ARTIGAS Ivana P.")</f>
        <v>ARTIGAS Ivana P.</v>
      </c>
      <c r="F2905" s="1" t="str">
        <f t="shared" si="1"/>
        <v>ARTIGAS </v>
      </c>
      <c r="G2905" s="1" t="str">
        <f t="shared" si="2"/>
        <v>Ivana P.</v>
      </c>
      <c r="H2905" s="1" t="str">
        <f>IFERROR(__xludf.DUMMYFUNCTION("""COMPUTED_VALUE"""),"8/3/2023, 17:00:00")</f>
        <v>8/3/2023, 17:00:00</v>
      </c>
      <c r="I2905" s="1" t="str">
        <f>IFERROR(__xludf.DUMMYFUNCTION("""COMPUTED_VALUE"""),"Completado en SUCURSAL")</f>
        <v>Completado en SUCURSAL</v>
      </c>
      <c r="J2905" s="1">
        <f t="shared" si="3"/>
        <v>5</v>
      </c>
      <c r="K2905" s="1" t="str">
        <f t="shared" si="4"/>
        <v>Tus Lentes estan LISTAS PARA ENTREGAR, te esperamos.</v>
      </c>
    </row>
    <row r="2906">
      <c r="A2906" s="1">
        <f>IFERROR(__xludf.DUMMYFUNCTION("""COMPUTED_VALUE"""),87451.0)</f>
        <v>87451</v>
      </c>
      <c r="B2906" s="5">
        <f>IFERROR(__xludf.DUMMYFUNCTION("""COMPUTED_VALUE"""),44991.437717569446)</f>
        <v>44991.43772</v>
      </c>
      <c r="C2906" s="1" t="str">
        <f>IFERROR(__xludf.DUMMYFUNCTION("""COMPUTED_VALUE"""),"VASQUEZ CINTIA")</f>
        <v>VASQUEZ CINTIA</v>
      </c>
      <c r="D2906" s="1" t="str">
        <f>IFERROR(__xludf.DUMMYFUNCTION("""COMPUTED_VALUE"""),"Reparaciones/Otros")</f>
        <v>Reparaciones/Otros</v>
      </c>
      <c r="E2906" s="1" t="str">
        <f>IFERROR(__xludf.DUMMYFUNCTION("""COMPUTED_VALUE"""),"ARTIGAS Roció")</f>
        <v>ARTIGAS Roció</v>
      </c>
      <c r="F2906" s="1" t="str">
        <f t="shared" si="1"/>
        <v>ARTIGAS </v>
      </c>
      <c r="G2906" s="1" t="str">
        <f t="shared" si="2"/>
        <v>Roció</v>
      </c>
      <c r="H2906" s="1" t="str">
        <f>IFERROR(__xludf.DUMMYFUNCTION("""COMPUTED_VALUE"""),"8/3/2023, 17:00:00")</f>
        <v>8/3/2023, 17:00:00</v>
      </c>
      <c r="I2906" s="1" t="str">
        <f>IFERROR(__xludf.DUMMYFUNCTION("""COMPUTED_VALUE"""),"Completado en SUCURSAL")</f>
        <v>Completado en SUCURSAL</v>
      </c>
      <c r="J2906" s="1">
        <f t="shared" si="3"/>
        <v>5</v>
      </c>
      <c r="K2906" s="1" t="str">
        <f t="shared" si="4"/>
        <v>Tus Lentes estan LISTAS PARA ENTREGAR, te esperamos.</v>
      </c>
    </row>
    <row r="2907">
      <c r="A2907" s="1">
        <f>IFERROR(__xludf.DUMMYFUNCTION("""COMPUTED_VALUE"""),87452.0)</f>
        <v>87452</v>
      </c>
      <c r="B2907" s="5">
        <f>IFERROR(__xludf.DUMMYFUNCTION("""COMPUTED_VALUE"""),44991.450743333335)</f>
        <v>44991.45074</v>
      </c>
      <c r="C2907" s="1" t="str">
        <f>IFERROR(__xludf.DUMMYFUNCTION("""COMPUTED_VALUE"""),"ARCE CARLOS")</f>
        <v>ARCE CARLOS</v>
      </c>
      <c r="D2907" s="1" t="str">
        <f>IFERROR(__xludf.DUMMYFUNCTION("""COMPUTED_VALUE"""),"Lentes de STOCK")</f>
        <v>Lentes de STOCK</v>
      </c>
      <c r="E2907" s="1" t="str">
        <f>IFERROR(__xludf.DUMMYFUNCTION("""COMPUTED_VALUE"""),"ARTIGAS Roció")</f>
        <v>ARTIGAS Roció</v>
      </c>
      <c r="F2907" s="1" t="str">
        <f t="shared" si="1"/>
        <v>ARTIGAS </v>
      </c>
      <c r="G2907" s="1" t="str">
        <f t="shared" si="2"/>
        <v>Roció</v>
      </c>
      <c r="H2907" s="1" t="str">
        <f>IFERROR(__xludf.DUMMYFUNCTION("""COMPUTED_VALUE"""),"9/3/2023, 17:00:00")</f>
        <v>9/3/2023, 17:00:00</v>
      </c>
      <c r="I2907" s="1" t="str">
        <f>IFERROR(__xludf.DUMMYFUNCTION("""COMPUTED_VALUE"""),"Completado en SUCURSAL")</f>
        <v>Completado en SUCURSAL</v>
      </c>
      <c r="J2907" s="1">
        <f t="shared" si="3"/>
        <v>5</v>
      </c>
      <c r="K2907" s="1" t="str">
        <f t="shared" si="4"/>
        <v>Tus Lentes estan LISTAS PARA ENTREGAR, te esperamos.</v>
      </c>
    </row>
    <row r="2908">
      <c r="A2908" s="1">
        <f>IFERROR(__xludf.DUMMYFUNCTION("""COMPUTED_VALUE"""),87453.0)</f>
        <v>87453</v>
      </c>
      <c r="B2908" s="5">
        <f>IFERROR(__xludf.DUMMYFUNCTION("""COMPUTED_VALUE"""),44991.451072881944)</f>
        <v>44991.45107</v>
      </c>
      <c r="C2908" s="1" t="str">
        <f>IFERROR(__xludf.DUMMYFUNCTION("""COMPUTED_VALUE"""),"PEREYRA RITA")</f>
        <v>PEREYRA RITA</v>
      </c>
      <c r="D2908" s="1" t="str">
        <f>IFERROR(__xludf.DUMMYFUNCTION("""COMPUTED_VALUE"""),"Lentes de STOCK")</f>
        <v>Lentes de STOCK</v>
      </c>
      <c r="E2908" s="1" t="str">
        <f>IFERROR(__xludf.DUMMYFUNCTION("""COMPUTED_VALUE"""),"ARTIGAS Ivana P.")</f>
        <v>ARTIGAS Ivana P.</v>
      </c>
      <c r="F2908" s="1" t="str">
        <f t="shared" si="1"/>
        <v>ARTIGAS </v>
      </c>
      <c r="G2908" s="1" t="str">
        <f t="shared" si="2"/>
        <v>Ivana P.</v>
      </c>
      <c r="H2908" s="1" t="str">
        <f>IFERROR(__xludf.DUMMYFUNCTION("""COMPUTED_VALUE"""),"9/3/2023, 17:00:00")</f>
        <v>9/3/2023, 17:00:00</v>
      </c>
      <c r="I2908" s="1" t="str">
        <f>IFERROR(__xludf.DUMMYFUNCTION("""COMPUTED_VALUE"""),"Completado en SUCURSAL")</f>
        <v>Completado en SUCURSAL</v>
      </c>
      <c r="J2908" s="1">
        <f t="shared" si="3"/>
        <v>5</v>
      </c>
      <c r="K2908" s="1" t="str">
        <f t="shared" si="4"/>
        <v>Tus Lentes estan LISTAS PARA ENTREGAR, te esperamos.</v>
      </c>
    </row>
    <row r="2909">
      <c r="A2909" s="1">
        <f>IFERROR(__xludf.DUMMYFUNCTION("""COMPUTED_VALUE"""),87454.0)</f>
        <v>87454</v>
      </c>
      <c r="B2909" s="5">
        <f>IFERROR(__xludf.DUMMYFUNCTION("""COMPUTED_VALUE"""),44991.45381310185)</f>
        <v>44991.45381</v>
      </c>
      <c r="C2909" s="1" t="str">
        <f>IFERROR(__xludf.DUMMYFUNCTION("""COMPUTED_VALUE"""),"MARTINEZ MARIA BELEN ")</f>
        <v>MARTINEZ MARIA BELEN </v>
      </c>
      <c r="D2909" s="1" t="str">
        <f>IFERROR(__xludf.DUMMYFUNCTION("""COMPUTED_VALUE"""),"Lentes de STOCK")</f>
        <v>Lentes de STOCK</v>
      </c>
      <c r="E2909" s="1" t="str">
        <f>IFERROR(__xludf.DUMMYFUNCTION("""COMPUTED_VALUE"""),"ARTIGAS Roció")</f>
        <v>ARTIGAS Roció</v>
      </c>
      <c r="F2909" s="1" t="str">
        <f t="shared" si="1"/>
        <v>ARTIGAS </v>
      </c>
      <c r="G2909" s="1" t="str">
        <f t="shared" si="2"/>
        <v>Roció</v>
      </c>
      <c r="H2909" s="1" t="str">
        <f>IFERROR(__xludf.DUMMYFUNCTION("""COMPUTED_VALUE"""),"13/3/2023, 17:00:00")</f>
        <v>13/3/2023, 17:00:00</v>
      </c>
      <c r="I2909" s="1" t="str">
        <f>IFERROR(__xludf.DUMMYFUNCTION("""COMPUTED_VALUE"""),"Completado en SUCURSAL")</f>
        <v>Completado en SUCURSAL</v>
      </c>
      <c r="J2909" s="1">
        <f t="shared" si="3"/>
        <v>5</v>
      </c>
      <c r="K2909" s="1" t="str">
        <f t="shared" si="4"/>
        <v>Tus Lentes estan LISTAS PARA ENTREGAR, te esperamos.</v>
      </c>
    </row>
    <row r="2910">
      <c r="A2910" s="1">
        <f>IFERROR(__xludf.DUMMYFUNCTION("""COMPUTED_VALUE"""),87455.0)</f>
        <v>87455</v>
      </c>
      <c r="B2910" s="5">
        <f>IFERROR(__xludf.DUMMYFUNCTION("""COMPUTED_VALUE"""),44991.45587415509)</f>
        <v>44991.45587</v>
      </c>
      <c r="C2910" s="1" t="str">
        <f>IFERROR(__xludf.DUMMYFUNCTION("""COMPUTED_VALUE"""),"SALOMON GLADYS")</f>
        <v>SALOMON GLADYS</v>
      </c>
      <c r="D2910" s="1" t="str">
        <f>IFERROR(__xludf.DUMMYFUNCTION("""COMPUTED_VALUE"""),"Lentes MULTIFOCALES")</f>
        <v>Lentes MULTIFOCALES</v>
      </c>
      <c r="E2910" s="1" t="str">
        <f>IFERROR(__xludf.DUMMYFUNCTION("""COMPUTED_VALUE"""),"RIVADAVIA Santiago LOPEZ")</f>
        <v>RIVADAVIA Santiago LOPEZ</v>
      </c>
      <c r="F2910" s="1" t="str">
        <f t="shared" si="1"/>
        <v>RIVADAVIA </v>
      </c>
      <c r="G2910" s="1" t="str">
        <f t="shared" si="2"/>
        <v>Santiago LOPEZ</v>
      </c>
      <c r="H2910" s="1" t="str">
        <f>IFERROR(__xludf.DUMMYFUNCTION("""COMPUTED_VALUE"""),"22/3/2023, 17:00:00")</f>
        <v>22/3/2023, 17:00:00</v>
      </c>
      <c r="I2910" s="1" t="str">
        <f>IFERROR(__xludf.DUMMYFUNCTION("""COMPUTED_VALUE"""),"RETIRADO OK POR CLIENTE")</f>
        <v>RETIRADO OK POR CLIENTE</v>
      </c>
      <c r="J2910" s="1">
        <f t="shared" si="3"/>
        <v>6</v>
      </c>
      <c r="K2910" s="1" t="str">
        <f t="shared" si="4"/>
        <v>Entregamos tus lentes, que los disfrutes!</v>
      </c>
    </row>
    <row r="2911">
      <c r="A2911" s="1">
        <f>IFERROR(__xludf.DUMMYFUNCTION("""COMPUTED_VALUE"""),87456.0)</f>
        <v>87456</v>
      </c>
      <c r="B2911" s="5">
        <f>IFERROR(__xludf.DUMMYFUNCTION("""COMPUTED_VALUE"""),44991.47564679398)</f>
        <v>44991.47565</v>
      </c>
      <c r="C2911" s="1" t="str">
        <f>IFERROR(__xludf.DUMMYFUNCTION("""COMPUTED_VALUE"""),"Pierri Omar")</f>
        <v>Pierri Omar</v>
      </c>
      <c r="D2911" s="1" t="str">
        <f>IFERROR(__xludf.DUMMYFUNCTION("""COMPUTED_VALUE"""),"Reparaciones/Otros")</f>
        <v>Reparaciones/Otros</v>
      </c>
      <c r="E2911" s="1" t="str">
        <f>IFERROR(__xludf.DUMMYFUNCTION("""COMPUTED_VALUE"""),"ARTIGAS Sandra G")</f>
        <v>ARTIGAS Sandra G</v>
      </c>
      <c r="F2911" s="1" t="str">
        <f t="shared" si="1"/>
        <v>ARTIGAS </v>
      </c>
      <c r="G2911" s="1" t="str">
        <f t="shared" si="2"/>
        <v>Sandra G</v>
      </c>
      <c r="H2911" s="1" t="str">
        <f>IFERROR(__xludf.DUMMYFUNCTION("""COMPUTED_VALUE"""),"7/3/2023, 17:00:00")</f>
        <v>7/3/2023, 17:00:00</v>
      </c>
      <c r="I2911" s="1" t="str">
        <f>IFERROR(__xludf.DUMMYFUNCTION("""COMPUTED_VALUE"""),"Recibido en Laboratorio")</f>
        <v>Recibido en Laboratorio</v>
      </c>
      <c r="J2911" s="1">
        <f t="shared" si="3"/>
        <v>2</v>
      </c>
      <c r="K2911" s="1" t="str">
        <f t="shared" si="4"/>
        <v>Nuestro Laboratorio esta trabajando en tus lentes, los entregaremos en la fecha acordada.</v>
      </c>
    </row>
    <row r="2912">
      <c r="A2912" s="1">
        <f>IFERROR(__xludf.DUMMYFUNCTION("""COMPUTED_VALUE"""),87457.0)</f>
        <v>87457</v>
      </c>
      <c r="B2912" s="5">
        <f>IFERROR(__xludf.DUMMYFUNCTION("""COMPUTED_VALUE"""),44991.47896570602)</f>
        <v>44991.47897</v>
      </c>
      <c r="C2912" s="1" t="str">
        <f>IFERROR(__xludf.DUMMYFUNCTION("""COMPUTED_VALUE"""),"garcia nelly")</f>
        <v>garcia nelly</v>
      </c>
      <c r="D2912" s="1" t="str">
        <f>IFERROR(__xludf.DUMMYFUNCTION("""COMPUTED_VALUE"""),"Lentes de STOCK")</f>
        <v>Lentes de STOCK</v>
      </c>
      <c r="E2912" s="1" t="str">
        <f>IFERROR(__xludf.DUMMYFUNCTION("""COMPUTED_VALUE"""),"RIVADAVIA Santiago N")</f>
        <v>RIVADAVIA Santiago N</v>
      </c>
      <c r="F2912" s="1" t="str">
        <f t="shared" si="1"/>
        <v>RIVADAVIA </v>
      </c>
      <c r="G2912" s="1" t="str">
        <f t="shared" si="2"/>
        <v>Santiago N</v>
      </c>
      <c r="H2912" s="1" t="str">
        <f>IFERROR(__xludf.DUMMYFUNCTION("""COMPUTED_VALUE"""),"8/3/2023, 17:00:00")</f>
        <v>8/3/2023, 17:00:00</v>
      </c>
      <c r="I2912" s="1" t="str">
        <f>IFERROR(__xludf.DUMMYFUNCTION("""COMPUTED_VALUE"""),"Completado en SUCURSAL")</f>
        <v>Completado en SUCURSAL</v>
      </c>
      <c r="J2912" s="1">
        <f t="shared" si="3"/>
        <v>5</v>
      </c>
      <c r="K2912" s="1" t="str">
        <f t="shared" si="4"/>
        <v>Tus Lentes estan LISTAS PARA ENTREGAR, te esperamos.</v>
      </c>
    </row>
    <row r="2913">
      <c r="A2913" s="1">
        <f>IFERROR(__xludf.DUMMYFUNCTION("""COMPUTED_VALUE"""),87458.0)</f>
        <v>87458</v>
      </c>
      <c r="B2913" s="5">
        <f>IFERROR(__xludf.DUMMYFUNCTION("""COMPUTED_VALUE"""),44991.4818039699)</f>
        <v>44991.4818</v>
      </c>
      <c r="C2913" s="1" t="str">
        <f>IFERROR(__xludf.DUMMYFUNCTION("""COMPUTED_VALUE"""),"DEL VELIZ MILTON GASTON")</f>
        <v>DEL VELIZ MILTON GASTON</v>
      </c>
      <c r="D2913" s="1" t="str">
        <f>IFERROR(__xludf.DUMMYFUNCTION("""COMPUTED_VALUE"""),"Lentes de LABORATORIO")</f>
        <v>Lentes de LABORATORIO</v>
      </c>
      <c r="E2913" s="1" t="str">
        <f>IFERROR(__xludf.DUMMYFUNCTION("""COMPUTED_VALUE"""),"ARTIGAS Ivana P.")</f>
        <v>ARTIGAS Ivana P.</v>
      </c>
      <c r="F2913" s="1" t="str">
        <f t="shared" si="1"/>
        <v>ARTIGAS </v>
      </c>
      <c r="G2913" s="1" t="str">
        <f t="shared" si="2"/>
        <v>Ivana P.</v>
      </c>
      <c r="H2913" s="1" t="str">
        <f>IFERROR(__xludf.DUMMYFUNCTION("""COMPUTED_VALUE"""),"16/3/2023, 17:00:00")</f>
        <v>16/3/2023, 17:00:00</v>
      </c>
      <c r="I2913" s="1" t="str">
        <f>IFERROR(__xludf.DUMMYFUNCTION("""COMPUTED_VALUE"""),"Completado en SUCURSAL")</f>
        <v>Completado en SUCURSAL</v>
      </c>
      <c r="J2913" s="1">
        <f t="shared" si="3"/>
        <v>5</v>
      </c>
      <c r="K2913" s="1" t="str">
        <f t="shared" si="4"/>
        <v>Tus Lentes estan LISTAS PARA ENTREGAR, te esperamos.</v>
      </c>
    </row>
    <row r="2914">
      <c r="A2914" s="1">
        <f>IFERROR(__xludf.DUMMYFUNCTION("""COMPUTED_VALUE"""),87459.0)</f>
        <v>87459</v>
      </c>
      <c r="B2914" s="5">
        <f>IFERROR(__xludf.DUMMYFUNCTION("""COMPUTED_VALUE"""),44991.489317893516)</f>
        <v>44991.48932</v>
      </c>
      <c r="C2914" s="1" t="str">
        <f>IFERROR(__xludf.DUMMYFUNCTION("""COMPUTED_VALUE"""),"LUCERO ROCIO VALENTINA")</f>
        <v>LUCERO ROCIO VALENTINA</v>
      </c>
      <c r="D2914" s="1" t="str">
        <f>IFERROR(__xludf.DUMMYFUNCTION("""COMPUTED_VALUE"""),"Lentes de STOCK")</f>
        <v>Lentes de STOCK</v>
      </c>
      <c r="E2914" s="1" t="str">
        <f>IFERROR(__xludf.DUMMYFUNCTION("""COMPUTED_VALUE"""),"ARTIGAS Roció")</f>
        <v>ARTIGAS Roció</v>
      </c>
      <c r="F2914" s="1" t="str">
        <f t="shared" si="1"/>
        <v>ARTIGAS </v>
      </c>
      <c r="G2914" s="1" t="str">
        <f t="shared" si="2"/>
        <v>Roció</v>
      </c>
      <c r="H2914" s="1" t="str">
        <f>IFERROR(__xludf.DUMMYFUNCTION("""COMPUTED_VALUE"""),"13/3/2023, 17:00:00")</f>
        <v>13/3/2023, 17:00:00</v>
      </c>
      <c r="I2914" s="1" t="str">
        <f>IFERROR(__xludf.DUMMYFUNCTION("""COMPUTED_VALUE"""),"Completado en SUCURSAL")</f>
        <v>Completado en SUCURSAL</v>
      </c>
      <c r="J2914" s="1">
        <f t="shared" si="3"/>
        <v>5</v>
      </c>
      <c r="K2914" s="1" t="str">
        <f t="shared" si="4"/>
        <v>Tus Lentes estan LISTAS PARA ENTREGAR, te esperamos.</v>
      </c>
    </row>
    <row r="2915">
      <c r="A2915" s="1">
        <f>IFERROR(__xludf.DUMMYFUNCTION("""COMPUTED_VALUE"""),87460.0)</f>
        <v>87460</v>
      </c>
      <c r="B2915" s="5">
        <f>IFERROR(__xludf.DUMMYFUNCTION("""COMPUTED_VALUE"""),44991.4923587963)</f>
        <v>44991.49236</v>
      </c>
      <c r="C2915" s="1" t="str">
        <f>IFERROR(__xludf.DUMMYFUNCTION("""COMPUTED_VALUE"""),"MORALA ANA MARIA")</f>
        <v>MORALA ANA MARIA</v>
      </c>
      <c r="D2915" s="1" t="str">
        <f>IFERROR(__xludf.DUMMYFUNCTION("""COMPUTED_VALUE"""),"Lentes de STOCK")</f>
        <v>Lentes de STOCK</v>
      </c>
      <c r="E2915" s="1" t="str">
        <f>IFERROR(__xludf.DUMMYFUNCTION("""COMPUTED_VALUE"""),"RIVADAVIA Daniel CM")</f>
        <v>RIVADAVIA Daniel CM</v>
      </c>
      <c r="F2915" s="1" t="str">
        <f t="shared" si="1"/>
        <v>RIVADAVIA </v>
      </c>
      <c r="G2915" s="1" t="str">
        <f t="shared" si="2"/>
        <v>Daniel CM</v>
      </c>
      <c r="H2915" s="1" t="str">
        <f>IFERROR(__xludf.DUMMYFUNCTION("""COMPUTED_VALUE"""),"9/3/2023, 17:00:00")</f>
        <v>9/3/2023, 17:00:00</v>
      </c>
      <c r="I2915" s="1" t="str">
        <f>IFERROR(__xludf.DUMMYFUNCTION("""COMPUTED_VALUE"""),"Completado en SUCURSAL")</f>
        <v>Completado en SUCURSAL</v>
      </c>
      <c r="J2915" s="1">
        <f t="shared" si="3"/>
        <v>5</v>
      </c>
      <c r="K2915" s="1" t="str">
        <f t="shared" si="4"/>
        <v>Tus Lentes estan LISTAS PARA ENTREGAR, te esperamos.</v>
      </c>
    </row>
    <row r="2916">
      <c r="A2916" s="1">
        <f>IFERROR(__xludf.DUMMYFUNCTION("""COMPUTED_VALUE"""),87461.0)</f>
        <v>87461</v>
      </c>
      <c r="B2916" s="5">
        <f>IFERROR(__xludf.DUMMYFUNCTION("""COMPUTED_VALUE"""),44991.495013865744)</f>
        <v>44991.49501</v>
      </c>
      <c r="C2916" s="1" t="str">
        <f>IFERROR(__xludf.DUMMYFUNCTION("""COMPUTED_VALUE"""),"MONTAÑEZ ALICIA DEL VALLE")</f>
        <v>MONTAÑEZ ALICIA DEL VALLE</v>
      </c>
      <c r="D2916" s="1" t="str">
        <f>IFERROR(__xludf.DUMMYFUNCTION("""COMPUTED_VALUE"""),"Lentes de STOCK")</f>
        <v>Lentes de STOCK</v>
      </c>
      <c r="E2916" s="1" t="str">
        <f>IFERROR(__xludf.DUMMYFUNCTION("""COMPUTED_VALUE"""),"RIVADAVIA Marcela L")</f>
        <v>RIVADAVIA Marcela L</v>
      </c>
      <c r="F2916" s="1" t="str">
        <f t="shared" si="1"/>
        <v>RIVADAVIA </v>
      </c>
      <c r="G2916" s="1" t="str">
        <f t="shared" si="2"/>
        <v>Marcela L</v>
      </c>
      <c r="H2916" s="1" t="str">
        <f>IFERROR(__xludf.DUMMYFUNCTION("""COMPUTED_VALUE"""),"13/3/2023, 17:00:00")</f>
        <v>13/3/2023, 17:00:00</v>
      </c>
      <c r="I2916" s="1" t="str">
        <f>IFERROR(__xludf.DUMMYFUNCTION("""COMPUTED_VALUE"""),"Completado en SUCURSAL")</f>
        <v>Completado en SUCURSAL</v>
      </c>
      <c r="J2916" s="1">
        <f t="shared" si="3"/>
        <v>5</v>
      </c>
      <c r="K2916" s="1" t="str">
        <f t="shared" si="4"/>
        <v>Tus Lentes estan LISTAS PARA ENTREGAR, te esperamos.</v>
      </c>
    </row>
    <row r="2917">
      <c r="A2917" s="1">
        <f>IFERROR(__xludf.DUMMYFUNCTION("""COMPUTED_VALUE"""),87462.0)</f>
        <v>87462</v>
      </c>
      <c r="B2917" s="5">
        <f>IFERROR(__xludf.DUMMYFUNCTION("""COMPUTED_VALUE"""),44991.49737803241)</f>
        <v>44991.49738</v>
      </c>
      <c r="C2917" s="1" t="str">
        <f>IFERROR(__xludf.DUMMYFUNCTION("""COMPUTED_VALUE"""),"PEDERNERA FEDERICO")</f>
        <v>PEDERNERA FEDERICO</v>
      </c>
      <c r="D2917" s="1" t="str">
        <f>IFERROR(__xludf.DUMMYFUNCTION("""COMPUTED_VALUE"""),"Lentes de STOCK")</f>
        <v>Lentes de STOCK</v>
      </c>
      <c r="E2917" s="1" t="str">
        <f>IFERROR(__xludf.DUMMYFUNCTION("""COMPUTED_VALUE"""),"RIVADAVIA Luciana")</f>
        <v>RIVADAVIA Luciana</v>
      </c>
      <c r="F2917" s="1" t="str">
        <f t="shared" si="1"/>
        <v>RIVADAVIA </v>
      </c>
      <c r="G2917" s="1" t="str">
        <f t="shared" si="2"/>
        <v>Luciana</v>
      </c>
      <c r="H2917" s="1" t="str">
        <f>IFERROR(__xludf.DUMMYFUNCTION("""COMPUTED_VALUE"""),"8/3/2023, 17:00:00")</f>
        <v>8/3/2023, 17:00:00</v>
      </c>
      <c r="I2917" s="1" t="str">
        <f>IFERROR(__xludf.DUMMYFUNCTION("""COMPUTED_VALUE"""),"Recibido en Laboratorio")</f>
        <v>Recibido en Laboratorio</v>
      </c>
      <c r="J2917" s="1">
        <f t="shared" si="3"/>
        <v>2</v>
      </c>
      <c r="K2917" s="1" t="str">
        <f t="shared" si="4"/>
        <v>Nuestro Laboratorio esta trabajando en tus lentes, los entregaremos en la fecha acordada.</v>
      </c>
    </row>
    <row r="2918">
      <c r="A2918" s="1">
        <f>IFERROR(__xludf.DUMMYFUNCTION("""COMPUTED_VALUE"""),87463.0)</f>
        <v>87463</v>
      </c>
      <c r="B2918" s="5">
        <f>IFERROR(__xludf.DUMMYFUNCTION("""COMPUTED_VALUE"""),44991.5068443287)</f>
        <v>44991.50684</v>
      </c>
      <c r="C2918" s="1" t="str">
        <f>IFERROR(__xludf.DUMMYFUNCTION("""COMPUTED_VALUE"""),"DANIELA SANTIA")</f>
        <v>DANIELA SANTIA</v>
      </c>
      <c r="D2918" s="1" t="str">
        <f>IFERROR(__xludf.DUMMYFUNCTION("""COMPUTED_VALUE"""),"Reparaciones/Otros")</f>
        <v>Reparaciones/Otros</v>
      </c>
      <c r="E2918" s="1" t="str">
        <f>IFERROR(__xludf.DUMMYFUNCTION("""COMPUTED_VALUE"""),"RIVADAVIA Santiago LOPEZ")</f>
        <v>RIVADAVIA Santiago LOPEZ</v>
      </c>
      <c r="F2918" s="1" t="str">
        <f t="shared" si="1"/>
        <v>RIVADAVIA </v>
      </c>
      <c r="G2918" s="1" t="str">
        <f t="shared" si="2"/>
        <v>Santiago LOPEZ</v>
      </c>
      <c r="H2918" s="1" t="str">
        <f>IFERROR(__xludf.DUMMYFUNCTION("""COMPUTED_VALUE"""),"8/3/2023, 17:00:00")</f>
        <v>8/3/2023, 17:00:00</v>
      </c>
      <c r="I2918" s="1" t="str">
        <f>IFERROR(__xludf.DUMMYFUNCTION("""COMPUTED_VALUE"""),"Completado en SUCURSAL")</f>
        <v>Completado en SUCURSAL</v>
      </c>
      <c r="J2918" s="1">
        <f t="shared" si="3"/>
        <v>5</v>
      </c>
      <c r="K2918" s="1" t="str">
        <f t="shared" si="4"/>
        <v>Tus Lentes estan LISTAS PARA ENTREGAR, te esperamos.</v>
      </c>
    </row>
    <row r="2919">
      <c r="A2919" s="1">
        <f>IFERROR(__xludf.DUMMYFUNCTION("""COMPUTED_VALUE"""),87464.0)</f>
        <v>87464</v>
      </c>
      <c r="B2919" s="5">
        <f>IFERROR(__xludf.DUMMYFUNCTION("""COMPUTED_VALUE"""),44991.50737103009)</f>
        <v>44991.50737</v>
      </c>
      <c r="C2919" s="1" t="str">
        <f>IFERROR(__xludf.DUMMYFUNCTION("""COMPUTED_VALUE"""),"ANDRADA VERONICA")</f>
        <v>ANDRADA VERONICA</v>
      </c>
      <c r="D2919" s="1" t="str">
        <f>IFERROR(__xludf.DUMMYFUNCTION("""COMPUTED_VALUE"""),"Lentes de STOCK")</f>
        <v>Lentes de STOCK</v>
      </c>
      <c r="E2919" s="1" t="str">
        <f>IFERROR(__xludf.DUMMYFUNCTION("""COMPUTED_VALUE"""),"ARTIGAS Ivana P.")</f>
        <v>ARTIGAS Ivana P.</v>
      </c>
      <c r="F2919" s="1" t="str">
        <f t="shared" si="1"/>
        <v>ARTIGAS </v>
      </c>
      <c r="G2919" s="1" t="str">
        <f t="shared" si="2"/>
        <v>Ivana P.</v>
      </c>
      <c r="H2919" s="1" t="str">
        <f>IFERROR(__xludf.DUMMYFUNCTION("""COMPUTED_VALUE"""),"8/3/2023, 17:00:00")</f>
        <v>8/3/2023, 17:00:00</v>
      </c>
      <c r="I2919" s="1" t="str">
        <f>IFERROR(__xludf.DUMMYFUNCTION("""COMPUTED_VALUE"""),"Recibido en Laboratorio")</f>
        <v>Recibido en Laboratorio</v>
      </c>
      <c r="J2919" s="1">
        <f t="shared" si="3"/>
        <v>2</v>
      </c>
      <c r="K2919" s="1" t="str">
        <f t="shared" si="4"/>
        <v>Nuestro Laboratorio esta trabajando en tus lentes, los entregaremos en la fecha acordada.</v>
      </c>
    </row>
    <row r="2920">
      <c r="A2920" s="1">
        <f>IFERROR(__xludf.DUMMYFUNCTION("""COMPUTED_VALUE"""),87465.0)</f>
        <v>87465</v>
      </c>
      <c r="B2920" s="5">
        <f>IFERROR(__xludf.DUMMYFUNCTION("""COMPUTED_VALUE"""),44991.50836111111)</f>
        <v>44991.50836</v>
      </c>
      <c r="C2920" s="1" t="str">
        <f>IFERROR(__xludf.DUMMYFUNCTION("""COMPUTED_VALUE"""),"ROBLEDO MARIELA")</f>
        <v>ROBLEDO MARIELA</v>
      </c>
      <c r="D2920" s="1" t="str">
        <f>IFERROR(__xludf.DUMMYFUNCTION("""COMPUTED_VALUE"""),"Lentes de STOCK")</f>
        <v>Lentes de STOCK</v>
      </c>
      <c r="E2920" s="1" t="str">
        <f>IFERROR(__xludf.DUMMYFUNCTION("""COMPUTED_VALUE"""),"RIVADAVIA Santiago N")</f>
        <v>RIVADAVIA Santiago N</v>
      </c>
      <c r="F2920" s="1" t="str">
        <f t="shared" si="1"/>
        <v>RIVADAVIA </v>
      </c>
      <c r="G2920" s="1" t="str">
        <f t="shared" si="2"/>
        <v>Santiago N</v>
      </c>
      <c r="H2920" s="1" t="str">
        <f>IFERROR(__xludf.DUMMYFUNCTION("""COMPUTED_VALUE"""),"9/3/2023, 17:00:00")</f>
        <v>9/3/2023, 17:00:00</v>
      </c>
      <c r="I2920" s="1" t="str">
        <f>IFERROR(__xludf.DUMMYFUNCTION("""COMPUTED_VALUE"""),"Completado en SUCURSAL")</f>
        <v>Completado en SUCURSAL</v>
      </c>
      <c r="J2920" s="1">
        <f t="shared" si="3"/>
        <v>5</v>
      </c>
      <c r="K2920" s="1" t="str">
        <f t="shared" si="4"/>
        <v>Tus Lentes estan LISTAS PARA ENTREGAR, te esperamos.</v>
      </c>
    </row>
    <row r="2921">
      <c r="A2921" s="1">
        <f>IFERROR(__xludf.DUMMYFUNCTION("""COMPUTED_VALUE"""),87466.0)</f>
        <v>87466</v>
      </c>
      <c r="B2921" s="5">
        <f>IFERROR(__xludf.DUMMYFUNCTION("""COMPUTED_VALUE"""),44991.55556409722)</f>
        <v>44991.55556</v>
      </c>
      <c r="C2921" s="1" t="str">
        <f>IFERROR(__xludf.DUMMYFUNCTION("""COMPUTED_VALUE"""),"carrizo juana ")</f>
        <v>carrizo juana </v>
      </c>
      <c r="D2921" s="1" t="str">
        <f>IFERROR(__xludf.DUMMYFUNCTION("""COMPUTED_VALUE"""),"Lentes de STOCK")</f>
        <v>Lentes de STOCK</v>
      </c>
      <c r="E2921" s="1" t="str">
        <f>IFERROR(__xludf.DUMMYFUNCTION("""COMPUTED_VALUE"""),"ARTIGAS Roció")</f>
        <v>ARTIGAS Roció</v>
      </c>
      <c r="F2921" s="1" t="str">
        <f t="shared" si="1"/>
        <v>ARTIGAS </v>
      </c>
      <c r="G2921" s="1" t="str">
        <f t="shared" si="2"/>
        <v>Roció</v>
      </c>
      <c r="H2921" s="1" t="str">
        <f>IFERROR(__xludf.DUMMYFUNCTION("""COMPUTED_VALUE"""),"13/3/2023, 17:00:00")</f>
        <v>13/3/2023, 17:00:00</v>
      </c>
      <c r="I2921" s="1" t="str">
        <f>IFERROR(__xludf.DUMMYFUNCTION("""COMPUTED_VALUE"""),"Completado en SUCURSAL")</f>
        <v>Completado en SUCURSAL</v>
      </c>
      <c r="J2921" s="1">
        <f t="shared" si="3"/>
        <v>5</v>
      </c>
      <c r="K2921" s="1" t="str">
        <f t="shared" si="4"/>
        <v>Tus Lentes estan LISTAS PARA ENTREGAR, te esperamos.</v>
      </c>
    </row>
    <row r="2922">
      <c r="A2922" s="1">
        <f>IFERROR(__xludf.DUMMYFUNCTION("""COMPUTED_VALUE"""),87467.0)</f>
        <v>87467</v>
      </c>
      <c r="B2922" s="5">
        <f>IFERROR(__xludf.DUMMYFUNCTION("""COMPUTED_VALUE"""),44991.55851884259)</f>
        <v>44991.55852</v>
      </c>
      <c r="C2922" s="1" t="str">
        <f>IFERROR(__xludf.DUMMYFUNCTION("""COMPUTED_VALUE"""),"ARAYA AMANCAY IRUPE")</f>
        <v>ARAYA AMANCAY IRUPE</v>
      </c>
      <c r="D2922" s="1" t="str">
        <f>IFERROR(__xludf.DUMMYFUNCTION("""COMPUTED_VALUE"""),"Lentes de STOCK")</f>
        <v>Lentes de STOCK</v>
      </c>
      <c r="E2922" s="1" t="str">
        <f>IFERROR(__xludf.DUMMYFUNCTION("""COMPUTED_VALUE"""),"RIVADAVIA Marcela L")</f>
        <v>RIVADAVIA Marcela L</v>
      </c>
      <c r="F2922" s="1" t="str">
        <f t="shared" si="1"/>
        <v>RIVADAVIA </v>
      </c>
      <c r="G2922" s="1" t="str">
        <f t="shared" si="2"/>
        <v>Marcela L</v>
      </c>
      <c r="H2922" s="1" t="str">
        <f>IFERROR(__xludf.DUMMYFUNCTION("""COMPUTED_VALUE"""),"8/3/2023, 17:00:00")</f>
        <v>8/3/2023, 17:00:00</v>
      </c>
      <c r="I2922" s="1" t="str">
        <f>IFERROR(__xludf.DUMMYFUNCTION("""COMPUTED_VALUE"""),"Completado en SUCURSAL")</f>
        <v>Completado en SUCURSAL</v>
      </c>
      <c r="J2922" s="1">
        <f t="shared" si="3"/>
        <v>5</v>
      </c>
      <c r="K2922" s="1" t="str">
        <f t="shared" si="4"/>
        <v>Tus Lentes estan LISTAS PARA ENTREGAR, te esperamos.</v>
      </c>
    </row>
    <row r="2923">
      <c r="A2923" s="1">
        <f>IFERROR(__xludf.DUMMYFUNCTION("""COMPUTED_VALUE"""),87468.0)</f>
        <v>87468</v>
      </c>
      <c r="B2923" s="5">
        <f>IFERROR(__xludf.DUMMYFUNCTION("""COMPUTED_VALUE"""),44991.587029664355)</f>
        <v>44991.58703</v>
      </c>
      <c r="C2923" s="1" t="str">
        <f>IFERROR(__xludf.DUMMYFUNCTION("""COMPUTED_VALUE"""),"PAREJA / POLIMETAL")</f>
        <v>PAREJA / POLIMETAL</v>
      </c>
      <c r="D2923" s="1" t="str">
        <f>IFERROR(__xludf.DUMMYFUNCTION("""COMPUTED_VALUE"""),"Lentes BIFOCALES")</f>
        <v>Lentes BIFOCALES</v>
      </c>
      <c r="E2923" s="1" t="str">
        <f>IFERROR(__xludf.DUMMYFUNCTION("""COMPUTED_VALUE"""),"ARTIGAS Ivana P.")</f>
        <v>ARTIGAS Ivana P.</v>
      </c>
      <c r="F2923" s="1" t="str">
        <f t="shared" si="1"/>
        <v>ARTIGAS </v>
      </c>
      <c r="G2923" s="1" t="str">
        <f t="shared" si="2"/>
        <v>Ivana P.</v>
      </c>
      <c r="H2923" s="1" t="str">
        <f>IFERROR(__xludf.DUMMYFUNCTION("""COMPUTED_VALUE"""),"20/3/2023, 17:00:00")</f>
        <v>20/3/2023, 17:00:00</v>
      </c>
      <c r="I2923" s="1" t="str">
        <f>IFERROR(__xludf.DUMMYFUNCTION("""COMPUTED_VALUE"""),"Completado en SUCURSAL")</f>
        <v>Completado en SUCURSAL</v>
      </c>
      <c r="J2923" s="1">
        <f t="shared" si="3"/>
        <v>5</v>
      </c>
      <c r="K2923" s="1" t="str">
        <f t="shared" si="4"/>
        <v>Tus Lentes estan LISTAS PARA ENTREGAR, te esperamos.</v>
      </c>
    </row>
    <row r="2924">
      <c r="A2924" s="1">
        <f>IFERROR(__xludf.DUMMYFUNCTION("""COMPUTED_VALUE"""),87469.0)</f>
        <v>87469</v>
      </c>
      <c r="B2924" s="5">
        <f>IFERROR(__xludf.DUMMYFUNCTION("""COMPUTED_VALUE"""),44991.721645474536)</f>
        <v>44991.72165</v>
      </c>
      <c r="C2924" s="1" t="str">
        <f>IFERROR(__xludf.DUMMYFUNCTION("""COMPUTED_VALUE"""),"GIMENEZ BENICIO LUCAS")</f>
        <v>GIMENEZ BENICIO LUCAS</v>
      </c>
      <c r="D2924" s="1" t="str">
        <f>IFERROR(__xludf.DUMMYFUNCTION("""COMPUTED_VALUE"""),"Lentes BIFOCALES")</f>
        <v>Lentes BIFOCALES</v>
      </c>
      <c r="E2924" s="1" t="str">
        <f>IFERROR(__xludf.DUMMYFUNCTION("""COMPUTED_VALUE"""),"RIVADAVIA Daniel CM")</f>
        <v>RIVADAVIA Daniel CM</v>
      </c>
      <c r="F2924" s="1" t="str">
        <f t="shared" si="1"/>
        <v>RIVADAVIA </v>
      </c>
      <c r="G2924" s="1" t="str">
        <f t="shared" si="2"/>
        <v>Daniel CM</v>
      </c>
      <c r="H2924" s="1" t="str">
        <f>IFERROR(__xludf.DUMMYFUNCTION("""COMPUTED_VALUE"""),"10/3/2023, 17:00:00")</f>
        <v>10/3/2023, 17:00:00</v>
      </c>
      <c r="I2924" s="1" t="str">
        <f>IFERROR(__xludf.DUMMYFUNCTION("""COMPUTED_VALUE"""),"Completado en SUCURSAL")</f>
        <v>Completado en SUCURSAL</v>
      </c>
      <c r="J2924" s="1">
        <f t="shared" si="3"/>
        <v>5</v>
      </c>
      <c r="K2924" s="1" t="str">
        <f t="shared" si="4"/>
        <v>Tus Lentes estan LISTAS PARA ENTREGAR, te esperamos.</v>
      </c>
    </row>
    <row r="2925">
      <c r="A2925" s="1">
        <f>IFERROR(__xludf.DUMMYFUNCTION("""COMPUTED_VALUE"""),87470.0)</f>
        <v>87470</v>
      </c>
      <c r="B2925" s="5">
        <f>IFERROR(__xludf.DUMMYFUNCTION("""COMPUTED_VALUE"""),44991.72350486111)</f>
        <v>44991.7235</v>
      </c>
      <c r="C2925" s="1" t="str">
        <f>IFERROR(__xludf.DUMMYFUNCTION("""COMPUTED_VALUE"""),"GALLARDO DANIELA")</f>
        <v>GALLARDO DANIELA</v>
      </c>
      <c r="D2925" s="1" t="str">
        <f>IFERROR(__xludf.DUMMYFUNCTION("""COMPUTED_VALUE"""),"Lentes de STOCK")</f>
        <v>Lentes de STOCK</v>
      </c>
      <c r="E2925" s="1" t="str">
        <f>IFERROR(__xludf.DUMMYFUNCTION("""COMPUTED_VALUE"""),"RIVADAVIA Santiago N")</f>
        <v>RIVADAVIA Santiago N</v>
      </c>
      <c r="F2925" s="1" t="str">
        <f t="shared" si="1"/>
        <v>RIVADAVIA </v>
      </c>
      <c r="G2925" s="1" t="str">
        <f t="shared" si="2"/>
        <v>Santiago N</v>
      </c>
      <c r="H2925" s="1" t="str">
        <f>IFERROR(__xludf.DUMMYFUNCTION("""COMPUTED_VALUE"""),"9/3/2023, 17:00:00")</f>
        <v>9/3/2023, 17:00:00</v>
      </c>
      <c r="I2925" s="1" t="str">
        <f>IFERROR(__xludf.DUMMYFUNCTION("""COMPUTED_VALUE"""),"Completado en SUCURSAL")</f>
        <v>Completado en SUCURSAL</v>
      </c>
      <c r="J2925" s="1">
        <f t="shared" si="3"/>
        <v>5</v>
      </c>
      <c r="K2925" s="1" t="str">
        <f t="shared" si="4"/>
        <v>Tus Lentes estan LISTAS PARA ENTREGAR, te esperamos.</v>
      </c>
    </row>
    <row r="2926">
      <c r="A2926" s="1">
        <f>IFERROR(__xludf.DUMMYFUNCTION("""COMPUTED_VALUE"""),87471.0)</f>
        <v>87471</v>
      </c>
      <c r="B2926" s="5">
        <f>IFERROR(__xludf.DUMMYFUNCTION("""COMPUTED_VALUE"""),44991.72554388889)</f>
        <v>44991.72554</v>
      </c>
      <c r="C2926" s="1" t="str">
        <f>IFERROR(__xludf.DUMMYFUNCTION("""COMPUTED_VALUE"""),"MARTIN NORMA")</f>
        <v>MARTIN NORMA</v>
      </c>
      <c r="D2926" s="1" t="str">
        <f>IFERROR(__xludf.DUMMYFUNCTION("""COMPUTED_VALUE"""),"Lentes BIFOCALES")</f>
        <v>Lentes BIFOCALES</v>
      </c>
      <c r="E2926" s="1" t="str">
        <f>IFERROR(__xludf.DUMMYFUNCTION("""COMPUTED_VALUE"""),"ARTIGAS Roció")</f>
        <v>ARTIGAS Roció</v>
      </c>
      <c r="F2926" s="1" t="str">
        <f t="shared" si="1"/>
        <v>ARTIGAS </v>
      </c>
      <c r="G2926" s="1" t="str">
        <f t="shared" si="2"/>
        <v>Roció</v>
      </c>
      <c r="H2926" s="1" t="str">
        <f>IFERROR(__xludf.DUMMYFUNCTION("""COMPUTED_VALUE"""),"17/3/2023, 17:00:00")</f>
        <v>17/3/2023, 17:00:00</v>
      </c>
      <c r="I2926" s="1" t="str">
        <f>IFERROR(__xludf.DUMMYFUNCTION("""COMPUTED_VALUE"""),"Completado en SUCURSAL")</f>
        <v>Completado en SUCURSAL</v>
      </c>
      <c r="J2926" s="1">
        <f t="shared" si="3"/>
        <v>5</v>
      </c>
      <c r="K2926" s="1" t="str">
        <f t="shared" si="4"/>
        <v>Tus Lentes estan LISTAS PARA ENTREGAR, te esperamos.</v>
      </c>
    </row>
    <row r="2927">
      <c r="A2927" s="1">
        <f>IFERROR(__xludf.DUMMYFUNCTION("""COMPUTED_VALUE"""),87472.0)</f>
        <v>87472</v>
      </c>
      <c r="B2927" s="5">
        <f>IFERROR(__xludf.DUMMYFUNCTION("""COMPUTED_VALUE"""),44991.72618158565)</f>
        <v>44991.72618</v>
      </c>
      <c r="C2927" s="1" t="str">
        <f>IFERROR(__xludf.DUMMYFUNCTION("""COMPUTED_VALUE"""),"QUIROGA RAMONA ELBA")</f>
        <v>QUIROGA RAMONA ELBA</v>
      </c>
      <c r="D2927" s="1" t="str">
        <f>IFERROR(__xludf.DUMMYFUNCTION("""COMPUTED_VALUE"""),"Lentes de STOCK")</f>
        <v>Lentes de STOCK</v>
      </c>
      <c r="E2927" s="1" t="str">
        <f>IFERROR(__xludf.DUMMYFUNCTION("""COMPUTED_VALUE"""),"RIVADAVIA Javier")</f>
        <v>RIVADAVIA Javier</v>
      </c>
      <c r="F2927" s="1" t="str">
        <f t="shared" si="1"/>
        <v>RIVADAVIA </v>
      </c>
      <c r="G2927" s="1" t="str">
        <f t="shared" si="2"/>
        <v>Javier</v>
      </c>
      <c r="H2927" s="1" t="str">
        <f>IFERROR(__xludf.DUMMYFUNCTION("""COMPUTED_VALUE"""),"10/3/2023, 17:00:00")</f>
        <v>10/3/2023, 17:00:00</v>
      </c>
      <c r="I2927" s="1" t="str">
        <f>IFERROR(__xludf.DUMMYFUNCTION("""COMPUTED_VALUE"""),"Recibido en Laboratorio")</f>
        <v>Recibido en Laboratorio</v>
      </c>
      <c r="J2927" s="1">
        <f t="shared" si="3"/>
        <v>2</v>
      </c>
      <c r="K2927" s="1" t="str">
        <f t="shared" si="4"/>
        <v>Nuestro Laboratorio esta trabajando en tus lentes, los entregaremos en la fecha acordada.</v>
      </c>
    </row>
    <row r="2928">
      <c r="A2928" s="1">
        <f>IFERROR(__xludf.DUMMYFUNCTION("""COMPUTED_VALUE"""),87473.0)</f>
        <v>87473</v>
      </c>
      <c r="B2928" s="5">
        <f>IFERROR(__xludf.DUMMYFUNCTION("""COMPUTED_VALUE"""),44991.738322743055)</f>
        <v>44991.73832</v>
      </c>
      <c r="C2928" s="1" t="str">
        <f>IFERROR(__xludf.DUMMYFUNCTION("""COMPUTED_VALUE"""),"KUBITZ CINTHIA")</f>
        <v>KUBITZ CINTHIA</v>
      </c>
      <c r="D2928" s="1" t="str">
        <f>IFERROR(__xludf.DUMMYFUNCTION("""COMPUTED_VALUE"""),"Lentes de STOCK")</f>
        <v>Lentes de STOCK</v>
      </c>
      <c r="E2928" s="1" t="str">
        <f>IFERROR(__xludf.DUMMYFUNCTION("""COMPUTED_VALUE"""),"RIVADAVIA Santiago LOPEZ")</f>
        <v>RIVADAVIA Santiago LOPEZ</v>
      </c>
      <c r="F2928" s="1" t="str">
        <f t="shared" si="1"/>
        <v>RIVADAVIA </v>
      </c>
      <c r="G2928" s="1" t="str">
        <f t="shared" si="2"/>
        <v>Santiago LOPEZ</v>
      </c>
      <c r="H2928" s="1" t="str">
        <f>IFERROR(__xludf.DUMMYFUNCTION("""COMPUTED_VALUE"""),"10/3/2023, 17:00:00")</f>
        <v>10/3/2023, 17:00:00</v>
      </c>
      <c r="I2928" s="1" t="str">
        <f>IFERROR(__xludf.DUMMYFUNCTION("""COMPUTED_VALUE"""),"Completado en SUCURSAL")</f>
        <v>Completado en SUCURSAL</v>
      </c>
      <c r="J2928" s="1">
        <f t="shared" si="3"/>
        <v>5</v>
      </c>
      <c r="K2928" s="1" t="str">
        <f t="shared" si="4"/>
        <v>Tus Lentes estan LISTAS PARA ENTREGAR, te esperamos.</v>
      </c>
    </row>
    <row r="2929">
      <c r="A2929" s="1">
        <f>IFERROR(__xludf.DUMMYFUNCTION("""COMPUTED_VALUE"""),87474.0)</f>
        <v>87474</v>
      </c>
      <c r="B2929" s="5">
        <f>IFERROR(__xludf.DUMMYFUNCTION("""COMPUTED_VALUE"""),44991.73933789352)</f>
        <v>44991.73934</v>
      </c>
      <c r="C2929" s="1" t="str">
        <f>IFERROR(__xludf.DUMMYFUNCTION("""COMPUTED_VALUE"""),"DELGADO GAMBOA LUZ AURORA")</f>
        <v>DELGADO GAMBOA LUZ AURORA</v>
      </c>
      <c r="D2929" s="1" t="str">
        <f>IFERROR(__xludf.DUMMYFUNCTION("""COMPUTED_VALUE"""),"Lentes MULTIFOCALES")</f>
        <v>Lentes MULTIFOCALES</v>
      </c>
      <c r="E2929" s="1" t="str">
        <f>IFERROR(__xludf.DUMMYFUNCTION("""COMPUTED_VALUE"""),"RIVADAVIA Santiago N")</f>
        <v>RIVADAVIA Santiago N</v>
      </c>
      <c r="F2929" s="1" t="str">
        <f t="shared" si="1"/>
        <v>RIVADAVIA </v>
      </c>
      <c r="G2929" s="1" t="str">
        <f t="shared" si="2"/>
        <v>Santiago N</v>
      </c>
      <c r="H2929" s="1" t="str">
        <f>IFERROR(__xludf.DUMMYFUNCTION("""COMPUTED_VALUE"""),"20/3/2023, 17:00:00")</f>
        <v>20/3/2023, 17:00:00</v>
      </c>
      <c r="I2929" s="1" t="str">
        <f>IFERROR(__xludf.DUMMYFUNCTION("""COMPUTED_VALUE"""),"Recibido en Laboratorio")</f>
        <v>Recibido en Laboratorio</v>
      </c>
      <c r="J2929" s="1">
        <f t="shared" si="3"/>
        <v>2</v>
      </c>
      <c r="K2929" s="1" t="str">
        <f t="shared" si="4"/>
        <v>Nuestro Laboratorio esta trabajando en tus lentes, los entregaremos en la fecha acordada.</v>
      </c>
    </row>
    <row r="2930">
      <c r="A2930" s="1">
        <f>IFERROR(__xludf.DUMMYFUNCTION("""COMPUTED_VALUE"""),87475.0)</f>
        <v>87475</v>
      </c>
      <c r="B2930" s="5">
        <f>IFERROR(__xludf.DUMMYFUNCTION("""COMPUTED_VALUE"""),44991.74138232639)</f>
        <v>44991.74138</v>
      </c>
      <c r="C2930" s="1" t="str">
        <f>IFERROR(__xludf.DUMMYFUNCTION("""COMPUTED_VALUE"""),"RAUSCHEMBERGUE ALEJANDRA")</f>
        <v>RAUSCHEMBERGUE ALEJANDRA</v>
      </c>
      <c r="D2930" s="1" t="str">
        <f>IFERROR(__xludf.DUMMYFUNCTION("""COMPUTED_VALUE"""),"Lentes MULTIFOCALES")</f>
        <v>Lentes MULTIFOCALES</v>
      </c>
      <c r="E2930" s="1" t="str">
        <f>IFERROR(__xludf.DUMMYFUNCTION("""COMPUTED_VALUE"""),"ARTIGAS Ivana P.")</f>
        <v>ARTIGAS Ivana P.</v>
      </c>
      <c r="F2930" s="1" t="str">
        <f t="shared" si="1"/>
        <v>ARTIGAS </v>
      </c>
      <c r="G2930" s="1" t="str">
        <f t="shared" si="2"/>
        <v>Ivana P.</v>
      </c>
      <c r="H2930" s="1" t="str">
        <f>IFERROR(__xludf.DUMMYFUNCTION("""COMPUTED_VALUE"""),"20/3/2023, 17:00:00")</f>
        <v>20/3/2023, 17:00:00</v>
      </c>
      <c r="I2930" s="1" t="str">
        <f>IFERROR(__xludf.DUMMYFUNCTION("""COMPUTED_VALUE"""),"Completado en SUCURSAL")</f>
        <v>Completado en SUCURSAL</v>
      </c>
      <c r="J2930" s="1">
        <f t="shared" si="3"/>
        <v>5</v>
      </c>
      <c r="K2930" s="1" t="str">
        <f t="shared" si="4"/>
        <v>Tus Lentes estan LISTAS PARA ENTREGAR, te esperamos.</v>
      </c>
    </row>
    <row r="2931">
      <c r="A2931" s="1">
        <f>IFERROR(__xludf.DUMMYFUNCTION("""COMPUTED_VALUE"""),87476.0)</f>
        <v>87476</v>
      </c>
      <c r="B2931" s="5">
        <f>IFERROR(__xludf.DUMMYFUNCTION("""COMPUTED_VALUE"""),44991.745997465274)</f>
        <v>44991.746</v>
      </c>
      <c r="C2931" s="1" t="str">
        <f>IFERROR(__xludf.DUMMYFUNCTION("""COMPUTED_VALUE"""),"PUEBLA RICARDO HECTOR")</f>
        <v>PUEBLA RICARDO HECTOR</v>
      </c>
      <c r="D2931" s="1" t="str">
        <f>IFERROR(__xludf.DUMMYFUNCTION("""COMPUTED_VALUE"""),"Lentes de STOCK")</f>
        <v>Lentes de STOCK</v>
      </c>
      <c r="E2931" s="1" t="str">
        <f>IFERROR(__xludf.DUMMYFUNCTION("""COMPUTED_VALUE"""),"RIVADAVIA Christian C.")</f>
        <v>RIVADAVIA Christian C.</v>
      </c>
      <c r="F2931" s="1" t="str">
        <f t="shared" si="1"/>
        <v>RIVADAVIA </v>
      </c>
      <c r="G2931" s="1" t="str">
        <f t="shared" si="2"/>
        <v>Christian C.</v>
      </c>
      <c r="H2931" s="1" t="str">
        <f>IFERROR(__xludf.DUMMYFUNCTION("""COMPUTED_VALUE"""),"15/3/2023, 17:00:00")</f>
        <v>15/3/2023, 17:00:00</v>
      </c>
      <c r="I2931" s="1" t="str">
        <f>IFERROR(__xludf.DUMMYFUNCTION("""COMPUTED_VALUE"""),"Completado en SUCURSAL")</f>
        <v>Completado en SUCURSAL</v>
      </c>
      <c r="J2931" s="1">
        <f t="shared" si="3"/>
        <v>5</v>
      </c>
      <c r="K2931" s="1" t="str">
        <f t="shared" si="4"/>
        <v>Tus Lentes estan LISTAS PARA ENTREGAR, te esperamos.</v>
      </c>
    </row>
    <row r="2932">
      <c r="A2932" s="1">
        <f>IFERROR(__xludf.DUMMYFUNCTION("""COMPUTED_VALUE"""),87477.0)</f>
        <v>87477</v>
      </c>
      <c r="B2932" s="5">
        <f>IFERROR(__xludf.DUMMYFUNCTION("""COMPUTED_VALUE"""),44991.75114112269)</f>
        <v>44991.75114</v>
      </c>
      <c r="C2932" s="1" t="str">
        <f>IFERROR(__xludf.DUMMYFUNCTION("""COMPUTED_VALUE"""),"RODRIGUEZ CESAR ")</f>
        <v>RODRIGUEZ CESAR </v>
      </c>
      <c r="D2932" s="1" t="str">
        <f>IFERROR(__xludf.DUMMYFUNCTION("""COMPUTED_VALUE"""),"Reparaciones/Otros")</f>
        <v>Reparaciones/Otros</v>
      </c>
      <c r="E2932" s="1" t="str">
        <f>IFERROR(__xludf.DUMMYFUNCTION("""COMPUTED_VALUE"""),"RIVADAVIA Christian C.")</f>
        <v>RIVADAVIA Christian C.</v>
      </c>
      <c r="F2932" s="1" t="str">
        <f t="shared" si="1"/>
        <v>RIVADAVIA </v>
      </c>
      <c r="G2932" s="1" t="str">
        <f t="shared" si="2"/>
        <v>Christian C.</v>
      </c>
      <c r="H2932" s="1" t="str">
        <f>IFERROR(__xludf.DUMMYFUNCTION("""COMPUTED_VALUE"""),"9/3/2023, 17:00:00")</f>
        <v>9/3/2023, 17:00:00</v>
      </c>
      <c r="I2932" s="1" t="str">
        <f>IFERROR(__xludf.DUMMYFUNCTION("""COMPUTED_VALUE"""),"Recibido en Laboratorio")</f>
        <v>Recibido en Laboratorio</v>
      </c>
      <c r="J2932" s="1">
        <f t="shared" si="3"/>
        <v>2</v>
      </c>
      <c r="K2932" s="1" t="str">
        <f t="shared" si="4"/>
        <v>Nuestro Laboratorio esta trabajando en tus lentes, los entregaremos en la fecha acordada.</v>
      </c>
    </row>
    <row r="2933">
      <c r="A2933" s="1">
        <f>IFERROR(__xludf.DUMMYFUNCTION("""COMPUTED_VALUE"""),87478.0)</f>
        <v>87478</v>
      </c>
      <c r="B2933" s="5">
        <f>IFERROR(__xludf.DUMMYFUNCTION("""COMPUTED_VALUE"""),44991.7555128588)</f>
        <v>44991.75551</v>
      </c>
      <c r="C2933" s="1" t="str">
        <f>IFERROR(__xludf.DUMMYFUNCTION("""COMPUTED_VALUE"""),"SALINAS INES")</f>
        <v>SALINAS INES</v>
      </c>
      <c r="D2933" s="1" t="str">
        <f>IFERROR(__xludf.DUMMYFUNCTION("""COMPUTED_VALUE"""),"Lentes MULTIFOCALES")</f>
        <v>Lentes MULTIFOCALES</v>
      </c>
      <c r="E2933" s="1" t="str">
        <f>IFERROR(__xludf.DUMMYFUNCTION("""COMPUTED_VALUE"""),"ARTIGAS Ivana P.")</f>
        <v>ARTIGAS Ivana P.</v>
      </c>
      <c r="F2933" s="1" t="str">
        <f t="shared" si="1"/>
        <v>ARTIGAS </v>
      </c>
      <c r="G2933" s="1" t="str">
        <f t="shared" si="2"/>
        <v>Ivana P.</v>
      </c>
      <c r="H2933" s="1" t="str">
        <f>IFERROR(__xludf.DUMMYFUNCTION("""COMPUTED_VALUE"""),"20/3/2023, 17:00:00")</f>
        <v>20/3/2023, 17:00:00</v>
      </c>
      <c r="I2933" s="1" t="str">
        <f>IFERROR(__xludf.DUMMYFUNCTION("""COMPUTED_VALUE"""),"Recibido en Laboratorio")</f>
        <v>Recibido en Laboratorio</v>
      </c>
      <c r="J2933" s="1">
        <f t="shared" si="3"/>
        <v>2</v>
      </c>
      <c r="K2933" s="1" t="str">
        <f t="shared" si="4"/>
        <v>Nuestro Laboratorio esta trabajando en tus lentes, los entregaremos en la fecha acordada.</v>
      </c>
    </row>
    <row r="2934">
      <c r="A2934" s="1">
        <f>IFERROR(__xludf.DUMMYFUNCTION("""COMPUTED_VALUE"""),87479.0)</f>
        <v>87479</v>
      </c>
      <c r="B2934" s="5">
        <f>IFERROR(__xludf.DUMMYFUNCTION("""COMPUTED_VALUE"""),44991.75874892361)</f>
        <v>44991.75875</v>
      </c>
      <c r="C2934" s="1" t="str">
        <f>IFERROR(__xludf.DUMMYFUNCTION("""COMPUTED_VALUE"""),"mitchell quiroga jorge")</f>
        <v>mitchell quiroga jorge</v>
      </c>
      <c r="D2934" s="1" t="str">
        <f>IFERROR(__xludf.DUMMYFUNCTION("""COMPUTED_VALUE"""),"Lentes de STOCK")</f>
        <v>Lentes de STOCK</v>
      </c>
      <c r="E2934" s="1" t="str">
        <f>IFERROR(__xludf.DUMMYFUNCTION("""COMPUTED_VALUE"""),"RIVADAVIA Daniel CM")</f>
        <v>RIVADAVIA Daniel CM</v>
      </c>
      <c r="F2934" s="1" t="str">
        <f t="shared" si="1"/>
        <v>RIVADAVIA </v>
      </c>
      <c r="G2934" s="1" t="str">
        <f t="shared" si="2"/>
        <v>Daniel CM</v>
      </c>
      <c r="H2934" s="1" t="str">
        <f>IFERROR(__xludf.DUMMYFUNCTION("""COMPUTED_VALUE"""),"10/3/2023, 17:00:00")</f>
        <v>10/3/2023, 17:00:00</v>
      </c>
      <c r="I2934" s="1" t="str">
        <f>IFERROR(__xludf.DUMMYFUNCTION("""COMPUTED_VALUE"""),"Completado en SUCURSAL")</f>
        <v>Completado en SUCURSAL</v>
      </c>
      <c r="J2934" s="1">
        <f t="shared" si="3"/>
        <v>5</v>
      </c>
      <c r="K2934" s="1" t="str">
        <f t="shared" si="4"/>
        <v>Tus Lentes estan LISTAS PARA ENTREGAR, te esperamos.</v>
      </c>
    </row>
    <row r="2935">
      <c r="A2935" s="1">
        <f>IFERROR(__xludf.DUMMYFUNCTION("""COMPUTED_VALUE"""),87480.0)</f>
        <v>87480</v>
      </c>
      <c r="B2935" s="5">
        <f>IFERROR(__xludf.DUMMYFUNCTION("""COMPUTED_VALUE"""),44991.76500575231)</f>
        <v>44991.76501</v>
      </c>
      <c r="C2935" s="1" t="str">
        <f>IFERROR(__xludf.DUMMYFUNCTION("""COMPUTED_VALUE"""),"SANCHEZ ANGEL")</f>
        <v>SANCHEZ ANGEL</v>
      </c>
      <c r="D2935" s="1" t="str">
        <f>IFERROR(__xludf.DUMMYFUNCTION("""COMPUTED_VALUE"""),"Lentes de STOCK")</f>
        <v>Lentes de STOCK</v>
      </c>
      <c r="E2935" s="1" t="str">
        <f>IFERROR(__xludf.DUMMYFUNCTION("""COMPUTED_VALUE"""),"ARTIGAS Roció")</f>
        <v>ARTIGAS Roció</v>
      </c>
      <c r="F2935" s="1" t="str">
        <f t="shared" si="1"/>
        <v>ARTIGAS </v>
      </c>
      <c r="G2935" s="1" t="str">
        <f t="shared" si="2"/>
        <v>Roció</v>
      </c>
      <c r="H2935" s="1" t="str">
        <f>IFERROR(__xludf.DUMMYFUNCTION("""COMPUTED_VALUE"""),"16/3/2023, 17:00:00")</f>
        <v>16/3/2023, 17:00:00</v>
      </c>
      <c r="I2935" s="1" t="str">
        <f>IFERROR(__xludf.DUMMYFUNCTION("""COMPUTED_VALUE"""),"Completado en SUCURSAL")</f>
        <v>Completado en SUCURSAL</v>
      </c>
      <c r="J2935" s="1">
        <f t="shared" si="3"/>
        <v>5</v>
      </c>
      <c r="K2935" s="1" t="str">
        <f t="shared" si="4"/>
        <v>Tus Lentes estan LISTAS PARA ENTREGAR, te esperamos.</v>
      </c>
    </row>
    <row r="2936">
      <c r="A2936" s="1">
        <f>IFERROR(__xludf.DUMMYFUNCTION("""COMPUTED_VALUE"""),87481.0)</f>
        <v>87481</v>
      </c>
      <c r="B2936" s="5">
        <f>IFERROR(__xludf.DUMMYFUNCTION("""COMPUTED_VALUE"""),44991.765033668984)</f>
        <v>44991.76503</v>
      </c>
      <c r="C2936" s="1" t="str">
        <f>IFERROR(__xludf.DUMMYFUNCTION("""COMPUTED_VALUE"""),"AMAN JUAN MANUEL ")</f>
        <v>AMAN JUAN MANUEL </v>
      </c>
      <c r="D2936" s="1" t="str">
        <f>IFERROR(__xludf.DUMMYFUNCTION("""COMPUTED_VALUE"""),"Reparaciones/Otros")</f>
        <v>Reparaciones/Otros</v>
      </c>
      <c r="E2936" s="1" t="str">
        <f>IFERROR(__xludf.DUMMYFUNCTION("""COMPUTED_VALUE"""),"RIVADAVIA Christian C.")</f>
        <v>RIVADAVIA Christian C.</v>
      </c>
      <c r="F2936" s="1" t="str">
        <f t="shared" si="1"/>
        <v>RIVADAVIA </v>
      </c>
      <c r="G2936" s="1" t="str">
        <f t="shared" si="2"/>
        <v>Christian C.</v>
      </c>
      <c r="H2936" s="1" t="str">
        <f>IFERROR(__xludf.DUMMYFUNCTION("""COMPUTED_VALUE"""),"9/3/2023, 17:00:00")</f>
        <v>9/3/2023, 17:00:00</v>
      </c>
      <c r="I2936" s="1" t="str">
        <f>IFERROR(__xludf.DUMMYFUNCTION("""COMPUTED_VALUE"""),"Completado en SUCURSAL")</f>
        <v>Completado en SUCURSAL</v>
      </c>
      <c r="J2936" s="1">
        <f t="shared" si="3"/>
        <v>5</v>
      </c>
      <c r="K2936" s="1" t="str">
        <f t="shared" si="4"/>
        <v>Tus Lentes estan LISTAS PARA ENTREGAR, te esperamos.</v>
      </c>
    </row>
    <row r="2937">
      <c r="A2937" s="1">
        <f>IFERROR(__xludf.DUMMYFUNCTION("""COMPUTED_VALUE"""),87482.0)</f>
        <v>87482</v>
      </c>
      <c r="B2937" s="5">
        <f>IFERROR(__xludf.DUMMYFUNCTION("""COMPUTED_VALUE"""),44991.76562821759)</f>
        <v>44991.76563</v>
      </c>
      <c r="C2937" s="1" t="str">
        <f>IFERROR(__xludf.DUMMYFUNCTION("""COMPUTED_VALUE"""),"VALLEJOS SILVIA")</f>
        <v>VALLEJOS SILVIA</v>
      </c>
      <c r="D2937" s="1" t="str">
        <f>IFERROR(__xludf.DUMMYFUNCTION("""COMPUTED_VALUE"""),"Reparaciones/Otros")</f>
        <v>Reparaciones/Otros</v>
      </c>
      <c r="E2937" s="1" t="str">
        <f>IFERROR(__xludf.DUMMYFUNCTION("""COMPUTED_VALUE"""),"RIVADAVIA Javier")</f>
        <v>RIVADAVIA Javier</v>
      </c>
      <c r="F2937" s="1" t="str">
        <f t="shared" si="1"/>
        <v>RIVADAVIA </v>
      </c>
      <c r="G2937" s="1" t="str">
        <f t="shared" si="2"/>
        <v>Javier</v>
      </c>
      <c r="H2937" s="1" t="str">
        <f>IFERROR(__xludf.DUMMYFUNCTION("""COMPUTED_VALUE"""),"7/3/2023, 17:00:00")</f>
        <v>7/3/2023, 17:00:00</v>
      </c>
      <c r="I2937" s="1"/>
      <c r="J2937" s="1">
        <f t="shared" si="3"/>
        <v>0</v>
      </c>
      <c r="K2937" s="1" t="str">
        <f t="shared" si="4"/>
        <v/>
      </c>
    </row>
    <row r="2938">
      <c r="A2938" s="1">
        <f>IFERROR(__xludf.DUMMYFUNCTION("""COMPUTED_VALUE"""),87483.0)</f>
        <v>87483</v>
      </c>
      <c r="B2938" s="5">
        <f>IFERROR(__xludf.DUMMYFUNCTION("""COMPUTED_VALUE"""),44991.77370130787)</f>
        <v>44991.7737</v>
      </c>
      <c r="C2938" s="1" t="str">
        <f>IFERROR(__xludf.DUMMYFUNCTION("""COMPUTED_VALUE"""),"CANIZO GRIOTTI JULIA")</f>
        <v>CANIZO GRIOTTI JULIA</v>
      </c>
      <c r="D2938" s="1" t="str">
        <f>IFERROR(__xludf.DUMMYFUNCTION("""COMPUTED_VALUE"""),"Reparaciones/Otros")</f>
        <v>Reparaciones/Otros</v>
      </c>
      <c r="E2938" s="1" t="str">
        <f>IFERROR(__xludf.DUMMYFUNCTION("""COMPUTED_VALUE"""),"ARTIGAS Roció")</f>
        <v>ARTIGAS Roció</v>
      </c>
      <c r="F2938" s="1" t="str">
        <f t="shared" si="1"/>
        <v>ARTIGAS </v>
      </c>
      <c r="G2938" s="1" t="str">
        <f t="shared" si="2"/>
        <v>Roció</v>
      </c>
      <c r="H2938" s="1" t="str">
        <f>IFERROR(__xludf.DUMMYFUNCTION("""COMPUTED_VALUE"""),"7/3/2023, 17:00:00")</f>
        <v>7/3/2023, 17:00:00</v>
      </c>
      <c r="I2938" s="1" t="str">
        <f>IFERROR(__xludf.DUMMYFUNCTION("""COMPUTED_VALUE"""),"Recibido en Laboratorio")</f>
        <v>Recibido en Laboratorio</v>
      </c>
      <c r="J2938" s="1">
        <f t="shared" si="3"/>
        <v>2</v>
      </c>
      <c r="K2938" s="1" t="str">
        <f t="shared" si="4"/>
        <v>Nuestro Laboratorio esta trabajando en tus lentes, los entregaremos en la fecha acordada.</v>
      </c>
    </row>
    <row r="2939">
      <c r="A2939" s="1">
        <f>IFERROR(__xludf.DUMMYFUNCTION("""COMPUTED_VALUE"""),87484.0)</f>
        <v>87484</v>
      </c>
      <c r="B2939" s="5">
        <f>IFERROR(__xludf.DUMMYFUNCTION("""COMPUTED_VALUE"""),44991.77545857639)</f>
        <v>44991.77546</v>
      </c>
      <c r="C2939" s="1" t="str">
        <f>IFERROR(__xludf.DUMMYFUNCTION("""COMPUTED_VALUE"""),"Diego Garro")</f>
        <v>Diego Garro</v>
      </c>
      <c r="D2939" s="1" t="str">
        <f>IFERROR(__xludf.DUMMYFUNCTION("""COMPUTED_VALUE"""),"Reparaciones/Otros")</f>
        <v>Reparaciones/Otros</v>
      </c>
      <c r="E2939" s="1" t="str">
        <f>IFERROR(__xludf.DUMMYFUNCTION("""COMPUTED_VALUE"""),"ARTIGAS Micaela")</f>
        <v>ARTIGAS Micaela</v>
      </c>
      <c r="F2939" s="1" t="str">
        <f t="shared" si="1"/>
        <v>ARTIGAS </v>
      </c>
      <c r="G2939" s="1" t="str">
        <f t="shared" si="2"/>
        <v>Micaela</v>
      </c>
      <c r="H2939" s="1" t="str">
        <f>IFERROR(__xludf.DUMMYFUNCTION("""COMPUTED_VALUE"""),"8/3/2023, 17:00:00")</f>
        <v>8/3/2023, 17:00:00</v>
      </c>
      <c r="I2939" s="1" t="str">
        <f>IFERROR(__xludf.DUMMYFUNCTION("""COMPUTED_VALUE"""),"Completado en SUCURSAL")</f>
        <v>Completado en SUCURSAL</v>
      </c>
      <c r="J2939" s="1">
        <f t="shared" si="3"/>
        <v>5</v>
      </c>
      <c r="K2939" s="1" t="str">
        <f t="shared" si="4"/>
        <v>Tus Lentes estan LISTAS PARA ENTREGAR, te esperamos.</v>
      </c>
    </row>
    <row r="2940">
      <c r="A2940" s="1">
        <f>IFERROR(__xludf.DUMMYFUNCTION("""COMPUTED_VALUE"""),87485.0)</f>
        <v>87485</v>
      </c>
      <c r="B2940" s="5">
        <f>IFERROR(__xludf.DUMMYFUNCTION("""COMPUTED_VALUE"""),44991.782456064815)</f>
        <v>44991.78246</v>
      </c>
      <c r="C2940" s="1" t="str">
        <f>IFERROR(__xludf.DUMMYFUNCTION("""COMPUTED_VALUE"""),"CASTILLO ROJAS MICHELL")</f>
        <v>CASTILLO ROJAS MICHELL</v>
      </c>
      <c r="D2940" s="1" t="str">
        <f>IFERROR(__xludf.DUMMYFUNCTION("""COMPUTED_VALUE"""),"Reparaciones/Otros")</f>
        <v>Reparaciones/Otros</v>
      </c>
      <c r="E2940" s="1" t="str">
        <f>IFERROR(__xludf.DUMMYFUNCTION("""COMPUTED_VALUE"""),"RIVADAVIA Santiago N")</f>
        <v>RIVADAVIA Santiago N</v>
      </c>
      <c r="F2940" s="1" t="str">
        <f t="shared" si="1"/>
        <v>RIVADAVIA </v>
      </c>
      <c r="G2940" s="1" t="str">
        <f t="shared" si="2"/>
        <v>Santiago N</v>
      </c>
      <c r="H2940" s="1" t="str">
        <f>IFERROR(__xludf.DUMMYFUNCTION("""COMPUTED_VALUE"""),"7/3/2023, 17:00:00")</f>
        <v>7/3/2023, 17:00:00</v>
      </c>
      <c r="I2940" s="1" t="str">
        <f>IFERROR(__xludf.DUMMYFUNCTION("""COMPUTED_VALUE"""),"Completado en SUCURSAL")</f>
        <v>Completado en SUCURSAL</v>
      </c>
      <c r="J2940" s="1">
        <f t="shared" si="3"/>
        <v>5</v>
      </c>
      <c r="K2940" s="1" t="str">
        <f t="shared" si="4"/>
        <v>Tus Lentes estan LISTAS PARA ENTREGAR, te esperamos.</v>
      </c>
    </row>
    <row r="2941">
      <c r="A2941" s="1">
        <f>IFERROR(__xludf.DUMMYFUNCTION("""COMPUTED_VALUE"""),87486.0)</f>
        <v>87486</v>
      </c>
      <c r="B2941" s="5">
        <f>IFERROR(__xludf.DUMMYFUNCTION("""COMPUTED_VALUE"""),44991.78735903935)</f>
        <v>44991.78736</v>
      </c>
      <c r="C2941" s="1" t="str">
        <f>IFERROR(__xludf.DUMMYFUNCTION("""COMPUTED_VALUE"""),"URSUA MIRTHA LIDIA")</f>
        <v>URSUA MIRTHA LIDIA</v>
      </c>
      <c r="D2941" s="1" t="str">
        <f>IFERROR(__xludf.DUMMYFUNCTION("""COMPUTED_VALUE"""),"Lentes de STOCK")</f>
        <v>Lentes de STOCK</v>
      </c>
      <c r="E2941" s="1" t="str">
        <f>IFERROR(__xludf.DUMMYFUNCTION("""COMPUTED_VALUE"""),"RIVADAVIA Christian C.")</f>
        <v>RIVADAVIA Christian C.</v>
      </c>
      <c r="F2941" s="1" t="str">
        <f t="shared" si="1"/>
        <v>RIVADAVIA </v>
      </c>
      <c r="G2941" s="1" t="str">
        <f t="shared" si="2"/>
        <v>Christian C.</v>
      </c>
      <c r="H2941" s="1" t="str">
        <f>IFERROR(__xludf.DUMMYFUNCTION("""COMPUTED_VALUE"""),"10/3/2023, 17:00:00")</f>
        <v>10/3/2023, 17:00:00</v>
      </c>
      <c r="I2941" s="1" t="str">
        <f>IFERROR(__xludf.DUMMYFUNCTION("""COMPUTED_VALUE"""),"Recibido en Laboratorio")</f>
        <v>Recibido en Laboratorio</v>
      </c>
      <c r="J2941" s="1">
        <f t="shared" si="3"/>
        <v>2</v>
      </c>
      <c r="K2941" s="1" t="str">
        <f t="shared" si="4"/>
        <v>Nuestro Laboratorio esta trabajando en tus lentes, los entregaremos en la fecha acordada.</v>
      </c>
    </row>
    <row r="2942">
      <c r="A2942" s="1">
        <f>IFERROR(__xludf.DUMMYFUNCTION("""COMPUTED_VALUE"""),87487.0)</f>
        <v>87487</v>
      </c>
      <c r="B2942" s="5">
        <f>IFERROR(__xludf.DUMMYFUNCTION("""COMPUTED_VALUE"""),44991.78828671297)</f>
        <v>44991.78829</v>
      </c>
      <c r="C2942" s="1" t="str">
        <f>IFERROR(__xludf.DUMMYFUNCTION("""COMPUTED_VALUE"""),"ROSALES TERESA")</f>
        <v>ROSALES TERESA</v>
      </c>
      <c r="D2942" s="1" t="str">
        <f>IFERROR(__xludf.DUMMYFUNCTION("""COMPUTED_VALUE"""),"Lentes de STOCK")</f>
        <v>Lentes de STOCK</v>
      </c>
      <c r="E2942" s="1" t="str">
        <f>IFERROR(__xludf.DUMMYFUNCTION("""COMPUTED_VALUE"""),"RIVADAVIA Javier")</f>
        <v>RIVADAVIA Javier</v>
      </c>
      <c r="F2942" s="1" t="str">
        <f t="shared" si="1"/>
        <v>RIVADAVIA </v>
      </c>
      <c r="G2942" s="1" t="str">
        <f t="shared" si="2"/>
        <v>Javier</v>
      </c>
      <c r="H2942" s="1" t="str">
        <f>IFERROR(__xludf.DUMMYFUNCTION("""COMPUTED_VALUE"""),"10/3/2023, 17:00:00")</f>
        <v>10/3/2023, 17:00:00</v>
      </c>
      <c r="I2942" s="1" t="str">
        <f>IFERROR(__xludf.DUMMYFUNCTION("""COMPUTED_VALUE"""),"Completado en SUCURSAL")</f>
        <v>Completado en SUCURSAL</v>
      </c>
      <c r="J2942" s="1">
        <f t="shared" si="3"/>
        <v>5</v>
      </c>
      <c r="K2942" s="1" t="str">
        <f t="shared" si="4"/>
        <v>Tus Lentes estan LISTAS PARA ENTREGAR, te esperamos.</v>
      </c>
    </row>
    <row r="2943">
      <c r="A2943" s="1">
        <f>IFERROR(__xludf.DUMMYFUNCTION("""COMPUTED_VALUE"""),87488.0)</f>
        <v>87488</v>
      </c>
      <c r="B2943" s="5">
        <f>IFERROR(__xludf.DUMMYFUNCTION("""COMPUTED_VALUE"""),44991.78881940972)</f>
        <v>44991.78882</v>
      </c>
      <c r="C2943" s="1" t="str">
        <f>IFERROR(__xludf.DUMMYFUNCTION("""COMPUTED_VALUE"""),"APARICIO SOFIA")</f>
        <v>APARICIO SOFIA</v>
      </c>
      <c r="D2943" s="1" t="str">
        <f>IFERROR(__xludf.DUMMYFUNCTION("""COMPUTED_VALUE"""),"Lentes de STOCK")</f>
        <v>Lentes de STOCK</v>
      </c>
      <c r="E2943" s="1" t="str">
        <f>IFERROR(__xludf.DUMMYFUNCTION("""COMPUTED_VALUE"""),"RIVADAVIA Santiago LOPEZ")</f>
        <v>RIVADAVIA Santiago LOPEZ</v>
      </c>
      <c r="F2943" s="1" t="str">
        <f t="shared" si="1"/>
        <v>RIVADAVIA </v>
      </c>
      <c r="G2943" s="1" t="str">
        <f t="shared" si="2"/>
        <v>Santiago LOPEZ</v>
      </c>
      <c r="H2943" s="1" t="str">
        <f>IFERROR(__xludf.DUMMYFUNCTION("""COMPUTED_VALUE"""),"9/3/2023, 17:00:00")</f>
        <v>9/3/2023, 17:00:00</v>
      </c>
      <c r="I2943" s="1" t="str">
        <f>IFERROR(__xludf.DUMMYFUNCTION("""COMPUTED_VALUE"""),"Completado en SUCURSAL")</f>
        <v>Completado en SUCURSAL</v>
      </c>
      <c r="J2943" s="1">
        <f t="shared" si="3"/>
        <v>5</v>
      </c>
      <c r="K2943" s="1" t="str">
        <f t="shared" si="4"/>
        <v>Tus Lentes estan LISTAS PARA ENTREGAR, te esperamos.</v>
      </c>
    </row>
    <row r="2944">
      <c r="A2944" s="1">
        <f>IFERROR(__xludf.DUMMYFUNCTION("""COMPUTED_VALUE"""),87489.0)</f>
        <v>87489</v>
      </c>
      <c r="B2944" s="5">
        <f>IFERROR(__xludf.DUMMYFUNCTION("""COMPUTED_VALUE"""),44991.789957719906)</f>
        <v>44991.78996</v>
      </c>
      <c r="C2944" s="1" t="str">
        <f>IFERROR(__xludf.DUMMYFUNCTION("""COMPUTED_VALUE"""),"GAMBLUCH MARISA")</f>
        <v>GAMBLUCH MARISA</v>
      </c>
      <c r="D2944" s="1" t="str">
        <f>IFERROR(__xludf.DUMMYFUNCTION("""COMPUTED_VALUE"""),"Lentes MULTIFOCALES")</f>
        <v>Lentes MULTIFOCALES</v>
      </c>
      <c r="E2944" s="1" t="str">
        <f>IFERROR(__xludf.DUMMYFUNCTION("""COMPUTED_VALUE"""),"ARTIGAS Roció")</f>
        <v>ARTIGAS Roció</v>
      </c>
      <c r="F2944" s="1" t="str">
        <f t="shared" si="1"/>
        <v>ARTIGAS </v>
      </c>
      <c r="G2944" s="1" t="str">
        <f t="shared" si="2"/>
        <v>Roció</v>
      </c>
      <c r="H2944" s="1" t="str">
        <f>IFERROR(__xludf.DUMMYFUNCTION("""COMPUTED_VALUE"""),"23/3/2023, 17:00:00")</f>
        <v>23/3/2023, 17:00:00</v>
      </c>
      <c r="I2944" s="1" t="str">
        <f>IFERROR(__xludf.DUMMYFUNCTION("""COMPUTED_VALUE"""),"Completado en SUCURSAL")</f>
        <v>Completado en SUCURSAL</v>
      </c>
      <c r="J2944" s="1">
        <f t="shared" si="3"/>
        <v>5</v>
      </c>
      <c r="K2944" s="1" t="str">
        <f t="shared" si="4"/>
        <v>Tus Lentes estan LISTAS PARA ENTREGAR, te esperamos.</v>
      </c>
    </row>
    <row r="2945">
      <c r="A2945" s="1">
        <f>IFERROR(__xludf.DUMMYFUNCTION("""COMPUTED_VALUE"""),87490.0)</f>
        <v>87490</v>
      </c>
      <c r="B2945" s="5">
        <f>IFERROR(__xludf.DUMMYFUNCTION("""COMPUTED_VALUE"""),44991.79433564815)</f>
        <v>44991.79434</v>
      </c>
      <c r="C2945" s="1" t="str">
        <f>IFERROR(__xludf.DUMMYFUNCTION("""COMPUTED_VALUE"""),"Gabriela widmer")</f>
        <v>Gabriela widmer</v>
      </c>
      <c r="D2945" s="1" t="str">
        <f>IFERROR(__xludf.DUMMYFUNCTION("""COMPUTED_VALUE"""),"Reparaciones/Otros")</f>
        <v>Reparaciones/Otros</v>
      </c>
      <c r="E2945" s="1" t="str">
        <f>IFERROR(__xludf.DUMMYFUNCTION("""COMPUTED_VALUE"""),"ARTIGAS Micaela")</f>
        <v>ARTIGAS Micaela</v>
      </c>
      <c r="F2945" s="1" t="str">
        <f t="shared" si="1"/>
        <v>ARTIGAS </v>
      </c>
      <c r="G2945" s="1" t="str">
        <f t="shared" si="2"/>
        <v>Micaela</v>
      </c>
      <c r="H2945" s="1" t="str">
        <f>IFERROR(__xludf.DUMMYFUNCTION("""COMPUTED_VALUE"""),"8/3/2023, 17:00:00")</f>
        <v>8/3/2023, 17:00:00</v>
      </c>
      <c r="I2945" s="1" t="str">
        <f>IFERROR(__xludf.DUMMYFUNCTION("""COMPUTED_VALUE"""),"Completado en SUCURSAL")</f>
        <v>Completado en SUCURSAL</v>
      </c>
      <c r="J2945" s="1">
        <f t="shared" si="3"/>
        <v>5</v>
      </c>
      <c r="K2945" s="1" t="str">
        <f t="shared" si="4"/>
        <v>Tus Lentes estan LISTAS PARA ENTREGAR, te esperamos.</v>
      </c>
    </row>
    <row r="2946">
      <c r="A2946" s="1">
        <f>IFERROR(__xludf.DUMMYFUNCTION("""COMPUTED_VALUE"""),87491.0)</f>
        <v>87491</v>
      </c>
      <c r="B2946" s="5">
        <f>IFERROR(__xludf.DUMMYFUNCTION("""COMPUTED_VALUE"""),44991.796821412034)</f>
        <v>44991.79682</v>
      </c>
      <c r="C2946" s="1" t="str">
        <f>IFERROR(__xludf.DUMMYFUNCTION("""COMPUTED_VALUE"""),"CASTRO ISAIAS")</f>
        <v>CASTRO ISAIAS</v>
      </c>
      <c r="D2946" s="1" t="str">
        <f>IFERROR(__xludf.DUMMYFUNCTION("""COMPUTED_VALUE"""),"Lentes de STOCK")</f>
        <v>Lentes de STOCK</v>
      </c>
      <c r="E2946" s="1" t="str">
        <f>IFERROR(__xludf.DUMMYFUNCTION("""COMPUTED_VALUE"""),"RIVADAVIA Christian C.")</f>
        <v>RIVADAVIA Christian C.</v>
      </c>
      <c r="F2946" s="1" t="str">
        <f t="shared" si="1"/>
        <v>RIVADAVIA </v>
      </c>
      <c r="G2946" s="1" t="str">
        <f t="shared" si="2"/>
        <v>Christian C.</v>
      </c>
      <c r="H2946" s="1" t="str">
        <f>IFERROR(__xludf.DUMMYFUNCTION("""COMPUTED_VALUE"""),"13/3/2023, 17:00:00")</f>
        <v>13/3/2023, 17:00:00</v>
      </c>
      <c r="I2946" s="1" t="str">
        <f>IFERROR(__xludf.DUMMYFUNCTION("""COMPUTED_VALUE"""),"Completado en SUCURSAL")</f>
        <v>Completado en SUCURSAL</v>
      </c>
      <c r="J2946" s="1">
        <f t="shared" si="3"/>
        <v>5</v>
      </c>
      <c r="K2946" s="1" t="str">
        <f t="shared" si="4"/>
        <v>Tus Lentes estan LISTAS PARA ENTREGAR, te esperamos.</v>
      </c>
    </row>
    <row r="2947">
      <c r="A2947" s="1">
        <f>IFERROR(__xludf.DUMMYFUNCTION("""COMPUTED_VALUE"""),87492.0)</f>
        <v>87492</v>
      </c>
      <c r="B2947" s="5">
        <f>IFERROR(__xludf.DUMMYFUNCTION("""COMPUTED_VALUE"""),44991.807331006945)</f>
        <v>44991.80733</v>
      </c>
      <c r="C2947" s="1" t="str">
        <f>IFERROR(__xludf.DUMMYFUNCTION("""COMPUTED_VALUE"""),"BENITEZ NILDA")</f>
        <v>BENITEZ NILDA</v>
      </c>
      <c r="D2947" s="1" t="str">
        <f>IFERROR(__xludf.DUMMYFUNCTION("""COMPUTED_VALUE"""),"Lentes de STOCK")</f>
        <v>Lentes de STOCK</v>
      </c>
      <c r="E2947" s="1" t="str">
        <f>IFERROR(__xludf.DUMMYFUNCTION("""COMPUTED_VALUE"""),"ARTIGAS Roció")</f>
        <v>ARTIGAS Roció</v>
      </c>
      <c r="F2947" s="1" t="str">
        <f t="shared" si="1"/>
        <v>ARTIGAS </v>
      </c>
      <c r="G2947" s="1" t="str">
        <f t="shared" si="2"/>
        <v>Roció</v>
      </c>
      <c r="H2947" s="1" t="str">
        <f>IFERROR(__xludf.DUMMYFUNCTION("""COMPUTED_VALUE"""),"13/3/2023, 17:00:00")</f>
        <v>13/3/2023, 17:00:00</v>
      </c>
      <c r="I2947" s="1" t="str">
        <f>IFERROR(__xludf.DUMMYFUNCTION("""COMPUTED_VALUE"""),"Completado en SUCURSAL")</f>
        <v>Completado en SUCURSAL</v>
      </c>
      <c r="J2947" s="1">
        <f t="shared" si="3"/>
        <v>5</v>
      </c>
      <c r="K2947" s="1" t="str">
        <f t="shared" si="4"/>
        <v>Tus Lentes estan LISTAS PARA ENTREGAR, te esperamos.</v>
      </c>
    </row>
    <row r="2948">
      <c r="A2948" s="1">
        <f>IFERROR(__xludf.DUMMYFUNCTION("""COMPUTED_VALUE"""),87493.0)</f>
        <v>87493</v>
      </c>
      <c r="B2948" s="5">
        <f>IFERROR(__xludf.DUMMYFUNCTION("""COMPUTED_VALUE"""),44991.81400265046)</f>
        <v>44991.814</v>
      </c>
      <c r="C2948" s="1" t="str">
        <f>IFERROR(__xludf.DUMMYFUNCTION("""COMPUTED_VALUE"""),"Benavidez Maria Viviana")</f>
        <v>Benavidez Maria Viviana</v>
      </c>
      <c r="D2948" s="1" t="str">
        <f>IFERROR(__xludf.DUMMYFUNCTION("""COMPUTED_VALUE"""),"Lentes de STOCK")</f>
        <v>Lentes de STOCK</v>
      </c>
      <c r="E2948" s="1" t="str">
        <f>IFERROR(__xludf.DUMMYFUNCTION("""COMPUTED_VALUE"""),"ARTIGAS Ivana P.")</f>
        <v>ARTIGAS Ivana P.</v>
      </c>
      <c r="F2948" s="1" t="str">
        <f t="shared" si="1"/>
        <v>ARTIGAS </v>
      </c>
      <c r="G2948" s="1" t="str">
        <f t="shared" si="2"/>
        <v>Ivana P.</v>
      </c>
      <c r="H2948" s="1" t="str">
        <f>IFERROR(__xludf.DUMMYFUNCTION("""COMPUTED_VALUE"""),"8/3/2023, 17:00:00")</f>
        <v>8/3/2023, 17:00:00</v>
      </c>
      <c r="I2948" s="1" t="str">
        <f>IFERROR(__xludf.DUMMYFUNCTION("""COMPUTED_VALUE"""),"Completado en SUCURSAL")</f>
        <v>Completado en SUCURSAL</v>
      </c>
      <c r="J2948" s="1">
        <f t="shared" si="3"/>
        <v>5</v>
      </c>
      <c r="K2948" s="1" t="str">
        <f t="shared" si="4"/>
        <v>Tus Lentes estan LISTAS PARA ENTREGAR, te esperamos.</v>
      </c>
    </row>
    <row r="2949">
      <c r="A2949" s="1">
        <f>IFERROR(__xludf.DUMMYFUNCTION("""COMPUTED_VALUE"""),87494.0)</f>
        <v>87494</v>
      </c>
      <c r="B2949" s="5">
        <f>IFERROR(__xludf.DUMMYFUNCTION("""COMPUTED_VALUE"""),44991.815271087966)</f>
        <v>44991.81527</v>
      </c>
      <c r="C2949" s="1" t="str">
        <f>IFERROR(__xludf.DUMMYFUNCTION("""COMPUTED_VALUE"""),"GONZALEZ ALBERTO")</f>
        <v>GONZALEZ ALBERTO</v>
      </c>
      <c r="D2949" s="1" t="str">
        <f>IFERROR(__xludf.DUMMYFUNCTION("""COMPUTED_VALUE"""),"Lentes de STOCK")</f>
        <v>Lentes de STOCK</v>
      </c>
      <c r="E2949" s="1" t="str">
        <f>IFERROR(__xludf.DUMMYFUNCTION("""COMPUTED_VALUE"""),"RIVADAVIA Santiago LOPEZ")</f>
        <v>RIVADAVIA Santiago LOPEZ</v>
      </c>
      <c r="F2949" s="1" t="str">
        <f t="shared" si="1"/>
        <v>RIVADAVIA </v>
      </c>
      <c r="G2949" s="1" t="str">
        <f t="shared" si="2"/>
        <v>Santiago LOPEZ</v>
      </c>
      <c r="H2949" s="1" t="str">
        <f>IFERROR(__xludf.DUMMYFUNCTION("""COMPUTED_VALUE"""),"8/3/2023, 17:00:00")</f>
        <v>8/3/2023, 17:00:00</v>
      </c>
      <c r="I2949" s="1" t="str">
        <f>IFERROR(__xludf.DUMMYFUNCTION("""COMPUTED_VALUE"""),"Completado en SUCURSAL")</f>
        <v>Completado en SUCURSAL</v>
      </c>
      <c r="J2949" s="1">
        <f t="shared" si="3"/>
        <v>5</v>
      </c>
      <c r="K2949" s="1" t="str">
        <f t="shared" si="4"/>
        <v>Tus Lentes estan LISTAS PARA ENTREGAR, te esperamos.</v>
      </c>
    </row>
    <row r="2950">
      <c r="A2950" s="1">
        <f>IFERROR(__xludf.DUMMYFUNCTION("""COMPUTED_VALUE"""),87495.0)</f>
        <v>87495</v>
      </c>
      <c r="B2950" s="5">
        <f>IFERROR(__xludf.DUMMYFUNCTION("""COMPUTED_VALUE"""),44991.816681516204)</f>
        <v>44991.81668</v>
      </c>
      <c r="C2950" s="1" t="str">
        <f>IFERROR(__xludf.DUMMYFUNCTION("""COMPUTED_VALUE"""),"RUIZ MARIA VERONICA")</f>
        <v>RUIZ MARIA VERONICA</v>
      </c>
      <c r="D2950" s="1" t="str">
        <f>IFERROR(__xludf.DUMMYFUNCTION("""COMPUTED_VALUE"""),"Lentes de STOCK")</f>
        <v>Lentes de STOCK</v>
      </c>
      <c r="E2950" s="1" t="str">
        <f>IFERROR(__xludf.DUMMYFUNCTION("""COMPUTED_VALUE"""),"RIVADAVIA Santiago N")</f>
        <v>RIVADAVIA Santiago N</v>
      </c>
      <c r="F2950" s="1" t="str">
        <f t="shared" si="1"/>
        <v>RIVADAVIA </v>
      </c>
      <c r="G2950" s="1" t="str">
        <f t="shared" si="2"/>
        <v>Santiago N</v>
      </c>
      <c r="H2950" s="1" t="str">
        <f>IFERROR(__xludf.DUMMYFUNCTION("""COMPUTED_VALUE"""),"9/3/2023, 17:00:00")</f>
        <v>9/3/2023, 17:00:00</v>
      </c>
      <c r="I2950" s="1" t="str">
        <f>IFERROR(__xludf.DUMMYFUNCTION("""COMPUTED_VALUE"""),"Completado en SUCURSAL")</f>
        <v>Completado en SUCURSAL</v>
      </c>
      <c r="J2950" s="1">
        <f t="shared" si="3"/>
        <v>5</v>
      </c>
      <c r="K2950" s="1" t="str">
        <f t="shared" si="4"/>
        <v>Tus Lentes estan LISTAS PARA ENTREGAR, te esperamos.</v>
      </c>
    </row>
    <row r="2951">
      <c r="A2951" s="1">
        <f>IFERROR(__xludf.DUMMYFUNCTION("""COMPUTED_VALUE"""),87496.0)</f>
        <v>87496</v>
      </c>
      <c r="B2951" s="5">
        <f>IFERROR(__xludf.DUMMYFUNCTION("""COMPUTED_VALUE"""),44991.817807071755)</f>
        <v>44991.81781</v>
      </c>
      <c r="C2951" s="1" t="str">
        <f>IFERROR(__xludf.DUMMYFUNCTION("""COMPUTED_VALUE"""),"PEREYRA SALINAS TIZIANO TOMAS")</f>
        <v>PEREYRA SALINAS TIZIANO TOMAS</v>
      </c>
      <c r="D2951" s="1" t="str">
        <f>IFERROR(__xludf.DUMMYFUNCTION("""COMPUTED_VALUE"""),"Lentes de STOCK")</f>
        <v>Lentes de STOCK</v>
      </c>
      <c r="E2951" s="1" t="str">
        <f>IFERROR(__xludf.DUMMYFUNCTION("""COMPUTED_VALUE"""),"ARTIGAS Roció")</f>
        <v>ARTIGAS Roció</v>
      </c>
      <c r="F2951" s="1" t="str">
        <f t="shared" si="1"/>
        <v>ARTIGAS </v>
      </c>
      <c r="G2951" s="1" t="str">
        <f t="shared" si="2"/>
        <v>Roció</v>
      </c>
      <c r="H2951" s="1" t="str">
        <f>IFERROR(__xludf.DUMMYFUNCTION("""COMPUTED_VALUE"""),"13/3/2023, 17:00:00")</f>
        <v>13/3/2023, 17:00:00</v>
      </c>
      <c r="I2951" s="1" t="str">
        <f>IFERROR(__xludf.DUMMYFUNCTION("""COMPUTED_VALUE"""),"Recibido en Laboratorio")</f>
        <v>Recibido en Laboratorio</v>
      </c>
      <c r="J2951" s="1">
        <f t="shared" si="3"/>
        <v>2</v>
      </c>
      <c r="K2951" s="1" t="str">
        <f t="shared" si="4"/>
        <v>Nuestro Laboratorio esta trabajando en tus lentes, los entregaremos en la fecha acordada.</v>
      </c>
    </row>
    <row r="2952">
      <c r="A2952" s="1">
        <f>IFERROR(__xludf.DUMMYFUNCTION("""COMPUTED_VALUE"""),87497.0)</f>
        <v>87497</v>
      </c>
      <c r="B2952" s="5">
        <f>IFERROR(__xludf.DUMMYFUNCTION("""COMPUTED_VALUE"""),44991.82201383101)</f>
        <v>44991.82201</v>
      </c>
      <c r="C2952" s="1" t="str">
        <f>IFERROR(__xludf.DUMMYFUNCTION("""COMPUTED_VALUE"""),"GOMEZ ROMINA")</f>
        <v>GOMEZ ROMINA</v>
      </c>
      <c r="D2952" s="1" t="str">
        <f>IFERROR(__xludf.DUMMYFUNCTION("""COMPUTED_VALUE"""),"Reparaciones/Otros")</f>
        <v>Reparaciones/Otros</v>
      </c>
      <c r="E2952" s="1" t="str">
        <f>IFERROR(__xludf.DUMMYFUNCTION("""COMPUTED_VALUE"""),"RIVADAVIA Daniel CM")</f>
        <v>RIVADAVIA Daniel CM</v>
      </c>
      <c r="F2952" s="1" t="str">
        <f t="shared" si="1"/>
        <v>RIVADAVIA </v>
      </c>
      <c r="G2952" s="1" t="str">
        <f t="shared" si="2"/>
        <v>Daniel CM</v>
      </c>
      <c r="H2952" s="1" t="str">
        <f>IFERROR(__xludf.DUMMYFUNCTION("""COMPUTED_VALUE"""),"7/3/2023, 17:00:00")</f>
        <v>7/3/2023, 17:00:00</v>
      </c>
      <c r="I2952" s="1" t="str">
        <f>IFERROR(__xludf.DUMMYFUNCTION("""COMPUTED_VALUE"""),"Completado en SUCURSAL")</f>
        <v>Completado en SUCURSAL</v>
      </c>
      <c r="J2952" s="1">
        <f t="shared" si="3"/>
        <v>5</v>
      </c>
      <c r="K2952" s="1" t="str">
        <f t="shared" si="4"/>
        <v>Tus Lentes estan LISTAS PARA ENTREGAR, te esperamos.</v>
      </c>
    </row>
    <row r="2953">
      <c r="A2953" s="1">
        <f>IFERROR(__xludf.DUMMYFUNCTION("""COMPUTED_VALUE"""),87498.0)</f>
        <v>87498</v>
      </c>
      <c r="B2953" s="5">
        <f>IFERROR(__xludf.DUMMYFUNCTION("""COMPUTED_VALUE"""),44991.8228222801)</f>
        <v>44991.82282</v>
      </c>
      <c r="C2953" s="1" t="str">
        <f>IFERROR(__xludf.DUMMYFUNCTION("""COMPUTED_VALUE"""),"GODOY HIPOLITA")</f>
        <v>GODOY HIPOLITA</v>
      </c>
      <c r="D2953" s="1" t="str">
        <f>IFERROR(__xludf.DUMMYFUNCTION("""COMPUTED_VALUE"""),"Reparaciones/Otros")</f>
        <v>Reparaciones/Otros</v>
      </c>
      <c r="E2953" s="1" t="str">
        <f>IFERROR(__xludf.DUMMYFUNCTION("""COMPUTED_VALUE"""),"RIVADAVIA Javier")</f>
        <v>RIVADAVIA Javier</v>
      </c>
      <c r="F2953" s="1" t="str">
        <f t="shared" si="1"/>
        <v>RIVADAVIA </v>
      </c>
      <c r="G2953" s="1" t="str">
        <f t="shared" si="2"/>
        <v>Javier</v>
      </c>
      <c r="H2953" s="1" t="str">
        <f>IFERROR(__xludf.DUMMYFUNCTION("""COMPUTED_VALUE"""),"7/3/2023, 17:00:00")</f>
        <v>7/3/2023, 17:00:00</v>
      </c>
      <c r="I2953" s="1" t="str">
        <f>IFERROR(__xludf.DUMMYFUNCTION("""COMPUTED_VALUE"""),"Completado en SUCURSAL")</f>
        <v>Completado en SUCURSAL</v>
      </c>
      <c r="J2953" s="1">
        <f t="shared" si="3"/>
        <v>5</v>
      </c>
      <c r="K2953" s="1" t="str">
        <f t="shared" si="4"/>
        <v>Tus Lentes estan LISTAS PARA ENTREGAR, te esperamos.</v>
      </c>
    </row>
    <row r="2954">
      <c r="A2954" s="1">
        <f>IFERROR(__xludf.DUMMYFUNCTION("""COMPUTED_VALUE"""),87499.0)</f>
        <v>87499</v>
      </c>
      <c r="B2954" s="5">
        <f>IFERROR(__xludf.DUMMYFUNCTION("""COMPUTED_VALUE"""),44991.825312546294)</f>
        <v>44991.82531</v>
      </c>
      <c r="C2954" s="1" t="str">
        <f>IFERROR(__xludf.DUMMYFUNCTION("""COMPUTED_VALUE"""),"BASUALDO VALDEZ ALMA")</f>
        <v>BASUALDO VALDEZ ALMA</v>
      </c>
      <c r="D2954" s="1" t="str">
        <f>IFERROR(__xludf.DUMMYFUNCTION("""COMPUTED_VALUE"""),"Lentes de LABORATORIO")</f>
        <v>Lentes de LABORATORIO</v>
      </c>
      <c r="E2954" s="1" t="str">
        <f>IFERROR(__xludf.DUMMYFUNCTION("""COMPUTED_VALUE"""),"RIVADAVIA Luciana")</f>
        <v>RIVADAVIA Luciana</v>
      </c>
      <c r="F2954" s="1" t="str">
        <f t="shared" si="1"/>
        <v>RIVADAVIA </v>
      </c>
      <c r="G2954" s="1" t="str">
        <f t="shared" si="2"/>
        <v>Luciana</v>
      </c>
      <c r="H2954" s="1" t="str">
        <f>IFERROR(__xludf.DUMMYFUNCTION("""COMPUTED_VALUE"""),"13/3/2023, 17:00:00")</f>
        <v>13/3/2023, 17:00:00</v>
      </c>
      <c r="I2954" s="1" t="str">
        <f>IFERROR(__xludf.DUMMYFUNCTION("""COMPUTED_VALUE"""),"Completado en SUCURSAL")</f>
        <v>Completado en SUCURSAL</v>
      </c>
      <c r="J2954" s="1">
        <f t="shared" si="3"/>
        <v>5</v>
      </c>
      <c r="K2954" s="1" t="str">
        <f t="shared" si="4"/>
        <v>Tus Lentes estan LISTAS PARA ENTREGAR, te esperamos.</v>
      </c>
    </row>
    <row r="2955">
      <c r="A2955" s="1">
        <f>IFERROR(__xludf.DUMMYFUNCTION("""COMPUTED_VALUE"""),87500.0)</f>
        <v>87500</v>
      </c>
      <c r="B2955" s="5">
        <f>IFERROR(__xludf.DUMMYFUNCTION("""COMPUTED_VALUE"""),44991.8315734375)</f>
        <v>44991.83157</v>
      </c>
      <c r="C2955" s="1" t="str">
        <f>IFERROR(__xludf.DUMMYFUNCTION("""COMPUTED_VALUE"""),"AMIEVA ALEJANDRO")</f>
        <v>AMIEVA ALEJANDRO</v>
      </c>
      <c r="D2955" s="1" t="str">
        <f>IFERROR(__xludf.DUMMYFUNCTION("""COMPUTED_VALUE"""),"Lentes de LABORATORIO")</f>
        <v>Lentes de LABORATORIO</v>
      </c>
      <c r="E2955" s="1" t="str">
        <f>IFERROR(__xludf.DUMMYFUNCTION("""COMPUTED_VALUE"""),"ARTIGAS Roció")</f>
        <v>ARTIGAS Roció</v>
      </c>
      <c r="F2955" s="1" t="str">
        <f t="shared" si="1"/>
        <v>ARTIGAS </v>
      </c>
      <c r="G2955" s="1" t="str">
        <f t="shared" si="2"/>
        <v>Roció</v>
      </c>
      <c r="H2955" s="1" t="str">
        <f>IFERROR(__xludf.DUMMYFUNCTION("""COMPUTED_VALUE"""),"13/3/2023, 17:00:00")</f>
        <v>13/3/2023, 17:00:00</v>
      </c>
      <c r="I2955" s="1" t="str">
        <f>IFERROR(__xludf.DUMMYFUNCTION("""COMPUTED_VALUE"""),"Completado en SUCURSAL")</f>
        <v>Completado en SUCURSAL</v>
      </c>
      <c r="J2955" s="1">
        <f t="shared" si="3"/>
        <v>5</v>
      </c>
      <c r="K2955" s="1" t="str">
        <f t="shared" si="4"/>
        <v>Tus Lentes estan LISTAS PARA ENTREGAR, te esperamos.</v>
      </c>
    </row>
    <row r="2956">
      <c r="A2956" s="1">
        <f>IFERROR(__xludf.DUMMYFUNCTION("""COMPUTED_VALUE"""),87501.0)</f>
        <v>87501</v>
      </c>
      <c r="B2956" s="5">
        <f>IFERROR(__xludf.DUMMYFUNCTION("""COMPUTED_VALUE"""),44991.85474232639)</f>
        <v>44991.85474</v>
      </c>
      <c r="C2956" s="1" t="str">
        <f>IFERROR(__xludf.DUMMYFUNCTION("""COMPUTED_VALUE"""),"MORALES TIAGO")</f>
        <v>MORALES TIAGO</v>
      </c>
      <c r="D2956" s="1" t="str">
        <f>IFERROR(__xludf.DUMMYFUNCTION("""COMPUTED_VALUE"""),"Reparaciones/Otros")</f>
        <v>Reparaciones/Otros</v>
      </c>
      <c r="E2956" s="1" t="str">
        <f>IFERROR(__xludf.DUMMYFUNCTION("""COMPUTED_VALUE"""),"RIVADAVIA Daniel CM")</f>
        <v>RIVADAVIA Daniel CM</v>
      </c>
      <c r="F2956" s="1" t="str">
        <f t="shared" si="1"/>
        <v>RIVADAVIA </v>
      </c>
      <c r="G2956" s="1" t="str">
        <f t="shared" si="2"/>
        <v>Daniel CM</v>
      </c>
      <c r="H2956" s="1" t="str">
        <f>IFERROR(__xludf.DUMMYFUNCTION("""COMPUTED_VALUE"""),"7/3/2023, 17:00:00")</f>
        <v>7/3/2023, 17:00:00</v>
      </c>
      <c r="I2956" s="1" t="str">
        <f>IFERROR(__xludf.DUMMYFUNCTION("""COMPUTED_VALUE"""),"Recibido en Laboratorio")</f>
        <v>Recibido en Laboratorio</v>
      </c>
      <c r="J2956" s="1">
        <f t="shared" si="3"/>
        <v>2</v>
      </c>
      <c r="K2956" s="1" t="str">
        <f t="shared" si="4"/>
        <v>Nuestro Laboratorio esta trabajando en tus lentes, los entregaremos en la fecha acordada.</v>
      </c>
    </row>
    <row r="2957">
      <c r="A2957" s="1">
        <f>IFERROR(__xludf.DUMMYFUNCTION("""COMPUTED_VALUE"""),87502.0)</f>
        <v>87502</v>
      </c>
      <c r="B2957" s="5">
        <f>IFERROR(__xludf.DUMMYFUNCTION("""COMPUTED_VALUE"""),44991.86300766203)</f>
        <v>44991.86301</v>
      </c>
      <c r="C2957" s="1" t="str">
        <f>IFERROR(__xludf.DUMMYFUNCTION("""COMPUTED_VALUE"""),"LUCERO GABRIELA")</f>
        <v>LUCERO GABRIELA</v>
      </c>
      <c r="D2957" s="1" t="str">
        <f>IFERROR(__xludf.DUMMYFUNCTION("""COMPUTED_VALUE"""),"Lentes de STOCK")</f>
        <v>Lentes de STOCK</v>
      </c>
      <c r="E2957" s="1" t="str">
        <f>IFERROR(__xludf.DUMMYFUNCTION("""COMPUTED_VALUE"""),"RIVADAVIA Luciana")</f>
        <v>RIVADAVIA Luciana</v>
      </c>
      <c r="F2957" s="1" t="str">
        <f t="shared" si="1"/>
        <v>RIVADAVIA </v>
      </c>
      <c r="G2957" s="1" t="str">
        <f t="shared" si="2"/>
        <v>Luciana</v>
      </c>
      <c r="H2957" s="1" t="str">
        <f>IFERROR(__xludf.DUMMYFUNCTION("""COMPUTED_VALUE"""),"9/3/2023, 17:00:00")</f>
        <v>9/3/2023, 17:00:00</v>
      </c>
      <c r="I2957" s="1" t="str">
        <f>IFERROR(__xludf.DUMMYFUNCTION("""COMPUTED_VALUE"""),"Completado en SUCURSAL")</f>
        <v>Completado en SUCURSAL</v>
      </c>
      <c r="J2957" s="1">
        <f t="shared" si="3"/>
        <v>5</v>
      </c>
      <c r="K2957" s="1" t="str">
        <f t="shared" si="4"/>
        <v>Tus Lentes estan LISTAS PARA ENTREGAR, te esperamos.</v>
      </c>
    </row>
    <row r="2958">
      <c r="A2958" s="1">
        <f>IFERROR(__xludf.DUMMYFUNCTION("""COMPUTED_VALUE"""),87503.0)</f>
        <v>87503</v>
      </c>
      <c r="B2958" s="5">
        <f>IFERROR(__xludf.DUMMYFUNCTION("""COMPUTED_VALUE"""),44992.38054193287)</f>
        <v>44992.38054</v>
      </c>
      <c r="C2958" s="1" t="str">
        <f>IFERROR(__xludf.DUMMYFUNCTION("""COMPUTED_VALUE"""),"QUIROGA CINFOROSA")</f>
        <v>QUIROGA CINFOROSA</v>
      </c>
      <c r="D2958" s="1" t="str">
        <f>IFERROR(__xludf.DUMMYFUNCTION("""COMPUTED_VALUE"""),"Reparaciones/Otros")</f>
        <v>Reparaciones/Otros</v>
      </c>
      <c r="E2958" s="1" t="str">
        <f>IFERROR(__xludf.DUMMYFUNCTION("""COMPUTED_VALUE"""),"ARTIGAS Roció")</f>
        <v>ARTIGAS Roció</v>
      </c>
      <c r="F2958" s="1" t="str">
        <f t="shared" si="1"/>
        <v>ARTIGAS </v>
      </c>
      <c r="G2958" s="1" t="str">
        <f t="shared" si="2"/>
        <v>Roció</v>
      </c>
      <c r="H2958" s="1" t="str">
        <f>IFERROR(__xludf.DUMMYFUNCTION("""COMPUTED_VALUE"""),"8/3/2023, 17:00:00")</f>
        <v>8/3/2023, 17:00:00</v>
      </c>
      <c r="I2958" s="1" t="str">
        <f>IFERROR(__xludf.DUMMYFUNCTION("""COMPUTED_VALUE"""),"Recibido en Laboratorio")</f>
        <v>Recibido en Laboratorio</v>
      </c>
      <c r="J2958" s="1">
        <f t="shared" si="3"/>
        <v>2</v>
      </c>
      <c r="K2958" s="1" t="str">
        <f t="shared" si="4"/>
        <v>Nuestro Laboratorio esta trabajando en tus lentes, los entregaremos en la fecha acordada.</v>
      </c>
    </row>
    <row r="2959">
      <c r="A2959" s="1">
        <f>IFERROR(__xludf.DUMMYFUNCTION("""COMPUTED_VALUE"""),87504.0)</f>
        <v>87504</v>
      </c>
      <c r="B2959" s="5">
        <f>IFERROR(__xludf.DUMMYFUNCTION("""COMPUTED_VALUE"""),44992.381516967595)</f>
        <v>44992.38152</v>
      </c>
      <c r="C2959" s="1" t="str">
        <f>IFERROR(__xludf.DUMMYFUNCTION("""COMPUTED_VALUE"""),"CAMARGO SERGIO HUGO")</f>
        <v>CAMARGO SERGIO HUGO</v>
      </c>
      <c r="D2959" s="1" t="str">
        <f>IFERROR(__xludf.DUMMYFUNCTION("""COMPUTED_VALUE"""),"Lentes de STOCK")</f>
        <v>Lentes de STOCK</v>
      </c>
      <c r="E2959" s="1" t="str">
        <f>IFERROR(__xludf.DUMMYFUNCTION("""COMPUTED_VALUE"""),"RIVADAVIA Marcela L")</f>
        <v>RIVADAVIA Marcela L</v>
      </c>
      <c r="F2959" s="1" t="str">
        <f t="shared" si="1"/>
        <v>RIVADAVIA </v>
      </c>
      <c r="G2959" s="1" t="str">
        <f t="shared" si="2"/>
        <v>Marcela L</v>
      </c>
      <c r="H2959" s="1" t="str">
        <f>IFERROR(__xludf.DUMMYFUNCTION("""COMPUTED_VALUE"""),"14/3/2023, 17:00:00")</f>
        <v>14/3/2023, 17:00:00</v>
      </c>
      <c r="I2959" s="1" t="str">
        <f>IFERROR(__xludf.DUMMYFUNCTION("""COMPUTED_VALUE"""),"Completado en SUCURSAL")</f>
        <v>Completado en SUCURSAL</v>
      </c>
      <c r="J2959" s="1">
        <f t="shared" si="3"/>
        <v>5</v>
      </c>
      <c r="K2959" s="1" t="str">
        <f t="shared" si="4"/>
        <v>Tus Lentes estan LISTAS PARA ENTREGAR, te esperamos.</v>
      </c>
    </row>
    <row r="2960">
      <c r="A2960" s="1">
        <f>IFERROR(__xludf.DUMMYFUNCTION("""COMPUTED_VALUE"""),87505.0)</f>
        <v>87505</v>
      </c>
      <c r="B2960" s="5">
        <f>IFERROR(__xludf.DUMMYFUNCTION("""COMPUTED_VALUE"""),44992.3852229051)</f>
        <v>44992.38522</v>
      </c>
      <c r="C2960" s="1" t="str">
        <f>IFERROR(__xludf.DUMMYFUNCTION("""COMPUTED_VALUE"""),"Biaggio Luis")</f>
        <v>Biaggio Luis</v>
      </c>
      <c r="D2960" s="1" t="str">
        <f>IFERROR(__xludf.DUMMYFUNCTION("""COMPUTED_VALUE"""),"Reparaciones/Otros")</f>
        <v>Reparaciones/Otros</v>
      </c>
      <c r="E2960" s="1" t="str">
        <f>IFERROR(__xludf.DUMMYFUNCTION("""COMPUTED_VALUE"""),"ARTIGAS Sandra G")</f>
        <v>ARTIGAS Sandra G</v>
      </c>
      <c r="F2960" s="1" t="str">
        <f t="shared" si="1"/>
        <v>ARTIGAS </v>
      </c>
      <c r="G2960" s="1" t="str">
        <f t="shared" si="2"/>
        <v>Sandra G</v>
      </c>
      <c r="H2960" s="1" t="str">
        <f>IFERROR(__xludf.DUMMYFUNCTION("""COMPUTED_VALUE"""),"14/3/2023, 17:00:00")</f>
        <v>14/3/2023, 17:00:00</v>
      </c>
      <c r="I2960" s="1" t="str">
        <f>IFERROR(__xludf.DUMMYFUNCTION("""COMPUTED_VALUE"""),"Completado en SUCURSAL")</f>
        <v>Completado en SUCURSAL</v>
      </c>
      <c r="J2960" s="1">
        <f t="shared" si="3"/>
        <v>5</v>
      </c>
      <c r="K2960" s="1" t="str">
        <f t="shared" si="4"/>
        <v>Tus Lentes estan LISTAS PARA ENTREGAR, te esperamos.</v>
      </c>
    </row>
    <row r="2961">
      <c r="A2961" s="1">
        <f>IFERROR(__xludf.DUMMYFUNCTION("""COMPUTED_VALUE"""),87506.0)</f>
        <v>87506</v>
      </c>
      <c r="B2961" s="5">
        <f>IFERROR(__xludf.DUMMYFUNCTION("""COMPUTED_VALUE"""),44992.398914537036)</f>
        <v>44992.39891</v>
      </c>
      <c r="C2961" s="1" t="str">
        <f>IFERROR(__xludf.DUMMYFUNCTION("""COMPUTED_VALUE"""),"LOZANO VIVIANA ")</f>
        <v>LOZANO VIVIANA </v>
      </c>
      <c r="D2961" s="1" t="str">
        <f>IFERROR(__xludf.DUMMYFUNCTION("""COMPUTED_VALUE"""),"Lentes de STOCK")</f>
        <v>Lentes de STOCK</v>
      </c>
      <c r="E2961" s="1" t="str">
        <f>IFERROR(__xludf.DUMMYFUNCTION("""COMPUTED_VALUE"""),"RIVADAVIA Luciana")</f>
        <v>RIVADAVIA Luciana</v>
      </c>
      <c r="F2961" s="1" t="str">
        <f t="shared" si="1"/>
        <v>RIVADAVIA </v>
      </c>
      <c r="G2961" s="1" t="str">
        <f t="shared" si="2"/>
        <v>Luciana</v>
      </c>
      <c r="H2961" s="1" t="str">
        <f>IFERROR(__xludf.DUMMYFUNCTION("""COMPUTED_VALUE"""),"13/3/2023, 17:00:00")</f>
        <v>13/3/2023, 17:00:00</v>
      </c>
      <c r="I2961" s="1" t="str">
        <f>IFERROR(__xludf.DUMMYFUNCTION("""COMPUTED_VALUE"""),"Completado en SUCURSAL")</f>
        <v>Completado en SUCURSAL</v>
      </c>
      <c r="J2961" s="1">
        <f t="shared" si="3"/>
        <v>5</v>
      </c>
      <c r="K2961" s="1" t="str">
        <f t="shared" si="4"/>
        <v>Tus Lentes estan LISTAS PARA ENTREGAR, te esperamos.</v>
      </c>
    </row>
    <row r="2962">
      <c r="A2962" s="1">
        <f>IFERROR(__xludf.DUMMYFUNCTION("""COMPUTED_VALUE"""),87507.0)</f>
        <v>87507</v>
      </c>
      <c r="B2962" s="5">
        <f>IFERROR(__xludf.DUMMYFUNCTION("""COMPUTED_VALUE"""),44992.39922773148)</f>
        <v>44992.39923</v>
      </c>
      <c r="C2962" s="1" t="str">
        <f>IFERROR(__xludf.DUMMYFUNCTION("""COMPUTED_VALUE"""),"AGUERO LUIS")</f>
        <v>AGUERO LUIS</v>
      </c>
      <c r="D2962" s="1" t="str">
        <f>IFERROR(__xludf.DUMMYFUNCTION("""COMPUTED_VALUE"""),"Lentes de STOCK")</f>
        <v>Lentes de STOCK</v>
      </c>
      <c r="E2962" s="1" t="str">
        <f>IFERROR(__xludf.DUMMYFUNCTION("""COMPUTED_VALUE"""),"RIVADAVIA Christian C.")</f>
        <v>RIVADAVIA Christian C.</v>
      </c>
      <c r="F2962" s="1" t="str">
        <f t="shared" si="1"/>
        <v>RIVADAVIA </v>
      </c>
      <c r="G2962" s="1" t="str">
        <f t="shared" si="2"/>
        <v>Christian C.</v>
      </c>
      <c r="H2962" s="1" t="str">
        <f>IFERROR(__xludf.DUMMYFUNCTION("""COMPUTED_VALUE"""),"10/3/2023, 17:00:00")</f>
        <v>10/3/2023, 17:00:00</v>
      </c>
      <c r="I2962" s="1" t="str">
        <f>IFERROR(__xludf.DUMMYFUNCTION("""COMPUTED_VALUE"""),"Completado en SUCURSAL")</f>
        <v>Completado en SUCURSAL</v>
      </c>
      <c r="J2962" s="1">
        <f t="shared" si="3"/>
        <v>5</v>
      </c>
      <c r="K2962" s="1" t="str">
        <f t="shared" si="4"/>
        <v>Tus Lentes estan LISTAS PARA ENTREGAR, te esperamos.</v>
      </c>
    </row>
    <row r="2963">
      <c r="A2963" s="1">
        <f>IFERROR(__xludf.DUMMYFUNCTION("""COMPUTED_VALUE"""),87508.0)</f>
        <v>87508</v>
      </c>
      <c r="B2963" s="5">
        <f>IFERROR(__xludf.DUMMYFUNCTION("""COMPUTED_VALUE"""),44992.402302083334)</f>
        <v>44992.4023</v>
      </c>
      <c r="C2963" s="1" t="str">
        <f>IFERROR(__xludf.DUMMYFUNCTION("""COMPUTED_VALUE"""),"TORO VEGA IVONE")</f>
        <v>TORO VEGA IVONE</v>
      </c>
      <c r="D2963" s="1" t="str">
        <f>IFERROR(__xludf.DUMMYFUNCTION("""COMPUTED_VALUE"""),"Lentes BIFOCALES")</f>
        <v>Lentes BIFOCALES</v>
      </c>
      <c r="E2963" s="1" t="str">
        <f>IFERROR(__xludf.DUMMYFUNCTION("""COMPUTED_VALUE"""),"ARTIGAS Roció")</f>
        <v>ARTIGAS Roció</v>
      </c>
      <c r="F2963" s="1" t="str">
        <f t="shared" si="1"/>
        <v>ARTIGAS </v>
      </c>
      <c r="G2963" s="1" t="str">
        <f t="shared" si="2"/>
        <v>Roció</v>
      </c>
      <c r="H2963" s="1" t="str">
        <f>IFERROR(__xludf.DUMMYFUNCTION("""COMPUTED_VALUE"""),"20/3/2023, 17:00:00")</f>
        <v>20/3/2023, 17:00:00</v>
      </c>
      <c r="I2963" s="1" t="str">
        <f>IFERROR(__xludf.DUMMYFUNCTION("""COMPUTED_VALUE"""),"RETIRADO OK POR CLIENTE")</f>
        <v>RETIRADO OK POR CLIENTE</v>
      </c>
      <c r="J2963" s="1">
        <f t="shared" si="3"/>
        <v>6</v>
      </c>
      <c r="K2963" s="1" t="str">
        <f t="shared" si="4"/>
        <v>Entregamos tus lentes, que los disfrutes!</v>
      </c>
    </row>
    <row r="2964">
      <c r="A2964" s="1">
        <f>IFERROR(__xludf.DUMMYFUNCTION("""COMPUTED_VALUE"""),87509.0)</f>
        <v>87509</v>
      </c>
      <c r="B2964" s="5">
        <f>IFERROR(__xludf.DUMMYFUNCTION("""COMPUTED_VALUE"""),44992.40766134259)</f>
        <v>44992.40766</v>
      </c>
      <c r="C2964" s="1" t="str">
        <f>IFERROR(__xludf.DUMMYFUNCTION("""COMPUTED_VALUE"""),"MARCHEVSKY EDUARDO")</f>
        <v>MARCHEVSKY EDUARDO</v>
      </c>
      <c r="D2964" s="1" t="str">
        <f>IFERROR(__xludf.DUMMYFUNCTION("""COMPUTED_VALUE"""),"Lentes de LABORATORIO")</f>
        <v>Lentes de LABORATORIO</v>
      </c>
      <c r="E2964" s="1" t="str">
        <f>IFERROR(__xludf.DUMMYFUNCTION("""COMPUTED_VALUE"""),"ARTIGAS Roció")</f>
        <v>ARTIGAS Roció</v>
      </c>
      <c r="F2964" s="1" t="str">
        <f t="shared" si="1"/>
        <v>ARTIGAS </v>
      </c>
      <c r="G2964" s="1" t="str">
        <f t="shared" si="2"/>
        <v>Roció</v>
      </c>
      <c r="H2964" s="1" t="str">
        <f>IFERROR(__xludf.DUMMYFUNCTION("""COMPUTED_VALUE"""),"20/3/2023, 17:00:00")</f>
        <v>20/3/2023, 17:00:00</v>
      </c>
      <c r="I2964" s="1" t="str">
        <f>IFERROR(__xludf.DUMMYFUNCTION("""COMPUTED_VALUE"""),"Completado en SUCURSAL")</f>
        <v>Completado en SUCURSAL</v>
      </c>
      <c r="J2964" s="1">
        <f t="shared" si="3"/>
        <v>5</v>
      </c>
      <c r="K2964" s="1" t="str">
        <f t="shared" si="4"/>
        <v>Tus Lentes estan LISTAS PARA ENTREGAR, te esperamos.</v>
      </c>
    </row>
    <row r="2965">
      <c r="A2965" s="1">
        <f>IFERROR(__xludf.DUMMYFUNCTION("""COMPUTED_VALUE"""),87510.0)</f>
        <v>87510</v>
      </c>
      <c r="B2965" s="5">
        <f>IFERROR(__xludf.DUMMYFUNCTION("""COMPUTED_VALUE"""),44992.41148577546)</f>
        <v>44992.41149</v>
      </c>
      <c r="C2965" s="1" t="str">
        <f>IFERROR(__xludf.DUMMYFUNCTION("""COMPUTED_VALUE"""),"QUVEDO NORMA")</f>
        <v>QUVEDO NORMA</v>
      </c>
      <c r="D2965" s="1" t="str">
        <f>IFERROR(__xludf.DUMMYFUNCTION("""COMPUTED_VALUE"""),"Lentes de STOCK")</f>
        <v>Lentes de STOCK</v>
      </c>
      <c r="E2965" s="1" t="str">
        <f>IFERROR(__xludf.DUMMYFUNCTION("""COMPUTED_VALUE"""),"ARTIGAS Ivana P.")</f>
        <v>ARTIGAS Ivana P.</v>
      </c>
      <c r="F2965" s="1" t="str">
        <f t="shared" si="1"/>
        <v>ARTIGAS </v>
      </c>
      <c r="G2965" s="1" t="str">
        <f t="shared" si="2"/>
        <v>Ivana P.</v>
      </c>
      <c r="H2965" s="1" t="str">
        <f>IFERROR(__xludf.DUMMYFUNCTION("""COMPUTED_VALUE"""),"9/3/2023, 17:00:00")</f>
        <v>9/3/2023, 17:00:00</v>
      </c>
      <c r="I2965" s="1" t="str">
        <f>IFERROR(__xludf.DUMMYFUNCTION("""COMPUTED_VALUE"""),"Completado en SUCURSAL")</f>
        <v>Completado en SUCURSAL</v>
      </c>
      <c r="J2965" s="1">
        <f t="shared" si="3"/>
        <v>5</v>
      </c>
      <c r="K2965" s="1" t="str">
        <f t="shared" si="4"/>
        <v>Tus Lentes estan LISTAS PARA ENTREGAR, te esperamos.</v>
      </c>
    </row>
    <row r="2966">
      <c r="A2966" s="1">
        <f>IFERROR(__xludf.DUMMYFUNCTION("""COMPUTED_VALUE"""),87511.0)</f>
        <v>87511</v>
      </c>
      <c r="B2966" s="5">
        <f>IFERROR(__xludf.DUMMYFUNCTION("""COMPUTED_VALUE"""),44992.41199832176)</f>
        <v>44992.412</v>
      </c>
      <c r="C2966" s="1" t="str">
        <f>IFERROR(__xludf.DUMMYFUNCTION("""COMPUTED_VALUE"""),"VERA CLARA ")</f>
        <v>VERA CLARA </v>
      </c>
      <c r="D2966" s="1" t="str">
        <f>IFERROR(__xludf.DUMMYFUNCTION("""COMPUTED_VALUE"""),"Lentes de STOCK")</f>
        <v>Lentes de STOCK</v>
      </c>
      <c r="E2966" s="1" t="str">
        <f>IFERROR(__xludf.DUMMYFUNCTION("""COMPUTED_VALUE"""),"RIVADAVIA Christian C.")</f>
        <v>RIVADAVIA Christian C.</v>
      </c>
      <c r="F2966" s="1" t="str">
        <f t="shared" si="1"/>
        <v>RIVADAVIA </v>
      </c>
      <c r="G2966" s="1" t="str">
        <f t="shared" si="2"/>
        <v>Christian C.</v>
      </c>
      <c r="H2966" s="1" t="str">
        <f>IFERROR(__xludf.DUMMYFUNCTION("""COMPUTED_VALUE"""),"13/3/2023, 17:00:00")</f>
        <v>13/3/2023, 17:00:00</v>
      </c>
      <c r="I2966" s="1" t="str">
        <f>IFERROR(__xludf.DUMMYFUNCTION("""COMPUTED_VALUE"""),"Completado en SUCURSAL")</f>
        <v>Completado en SUCURSAL</v>
      </c>
      <c r="J2966" s="1">
        <f t="shared" si="3"/>
        <v>5</v>
      </c>
      <c r="K2966" s="1" t="str">
        <f t="shared" si="4"/>
        <v>Tus Lentes estan LISTAS PARA ENTREGAR, te esperamos.</v>
      </c>
    </row>
    <row r="2967">
      <c r="A2967" s="1">
        <f>IFERROR(__xludf.DUMMYFUNCTION("""COMPUTED_VALUE"""),87512.0)</f>
        <v>87512</v>
      </c>
      <c r="B2967" s="5">
        <f>IFERROR(__xludf.DUMMYFUNCTION("""COMPUTED_VALUE"""),44992.41361150463)</f>
        <v>44992.41361</v>
      </c>
      <c r="C2967" s="1" t="str">
        <f>IFERROR(__xludf.DUMMYFUNCTION("""COMPUTED_VALUE"""),"QUIROGA ABRIL")</f>
        <v>QUIROGA ABRIL</v>
      </c>
      <c r="D2967" s="1" t="str">
        <f>IFERROR(__xludf.DUMMYFUNCTION("""COMPUTED_VALUE"""),"Lentes de STOCK")</f>
        <v>Lentes de STOCK</v>
      </c>
      <c r="E2967" s="1" t="str">
        <f>IFERROR(__xludf.DUMMYFUNCTION("""COMPUTED_VALUE"""),"RIVADAVIA Santiago LOPEZ")</f>
        <v>RIVADAVIA Santiago LOPEZ</v>
      </c>
      <c r="F2967" s="1" t="str">
        <f t="shared" si="1"/>
        <v>RIVADAVIA </v>
      </c>
      <c r="G2967" s="1" t="str">
        <f t="shared" si="2"/>
        <v>Santiago LOPEZ</v>
      </c>
      <c r="H2967" s="1" t="str">
        <f>IFERROR(__xludf.DUMMYFUNCTION("""COMPUTED_VALUE"""),"10/3/2023, 17:00:00")</f>
        <v>10/3/2023, 17:00:00</v>
      </c>
      <c r="I2967" s="1" t="str">
        <f>IFERROR(__xludf.DUMMYFUNCTION("""COMPUTED_VALUE"""),"Completado en SUCURSAL")</f>
        <v>Completado en SUCURSAL</v>
      </c>
      <c r="J2967" s="1">
        <f t="shared" si="3"/>
        <v>5</v>
      </c>
      <c r="K2967" s="1" t="str">
        <f t="shared" si="4"/>
        <v>Tus Lentes estan LISTAS PARA ENTREGAR, te esperamos.</v>
      </c>
    </row>
    <row r="2968">
      <c r="A2968" s="1">
        <f>IFERROR(__xludf.DUMMYFUNCTION("""COMPUTED_VALUE"""),87513.0)</f>
        <v>87513</v>
      </c>
      <c r="B2968" s="5">
        <f>IFERROR(__xludf.DUMMYFUNCTION("""COMPUTED_VALUE"""),44992.41618223379)</f>
        <v>44992.41618</v>
      </c>
      <c r="C2968" s="1" t="str">
        <f>IFERROR(__xludf.DUMMYFUNCTION("""COMPUTED_VALUE"""),"ESCUDERO ELSA")</f>
        <v>ESCUDERO ELSA</v>
      </c>
      <c r="D2968" s="1" t="str">
        <f>IFERROR(__xludf.DUMMYFUNCTION("""COMPUTED_VALUE"""),"Lentes de STOCK")</f>
        <v>Lentes de STOCK</v>
      </c>
      <c r="E2968" s="1" t="str">
        <f>IFERROR(__xludf.DUMMYFUNCTION("""COMPUTED_VALUE"""),"RIVADAVIA Santiago N")</f>
        <v>RIVADAVIA Santiago N</v>
      </c>
      <c r="F2968" s="1" t="str">
        <f t="shared" si="1"/>
        <v>RIVADAVIA </v>
      </c>
      <c r="G2968" s="1" t="str">
        <f t="shared" si="2"/>
        <v>Santiago N</v>
      </c>
      <c r="H2968" s="1" t="str">
        <f>IFERROR(__xludf.DUMMYFUNCTION("""COMPUTED_VALUE"""),"9/3/2023, 17:00:00")</f>
        <v>9/3/2023, 17:00:00</v>
      </c>
      <c r="I2968" s="1" t="str">
        <f>IFERROR(__xludf.DUMMYFUNCTION("""COMPUTED_VALUE"""),"Completado en SUCURSAL")</f>
        <v>Completado en SUCURSAL</v>
      </c>
      <c r="J2968" s="1">
        <f t="shared" si="3"/>
        <v>5</v>
      </c>
      <c r="K2968" s="1" t="str">
        <f t="shared" si="4"/>
        <v>Tus Lentes estan LISTAS PARA ENTREGAR, te esperamos.</v>
      </c>
    </row>
    <row r="2969">
      <c r="A2969" s="1">
        <f>IFERROR(__xludf.DUMMYFUNCTION("""COMPUTED_VALUE"""),87514.0)</f>
        <v>87514</v>
      </c>
      <c r="B2969" s="5">
        <f>IFERROR(__xludf.DUMMYFUNCTION("""COMPUTED_VALUE"""),44992.421565625)</f>
        <v>44992.42157</v>
      </c>
      <c r="C2969" s="1" t="str">
        <f>IFERROR(__xludf.DUMMYFUNCTION("""COMPUTED_VALUE"""),"DIVIZA MENDOZA MARIA JAZMIN")</f>
        <v>DIVIZA MENDOZA MARIA JAZMIN</v>
      </c>
      <c r="D2969" s="1" t="str">
        <f>IFERROR(__xludf.DUMMYFUNCTION("""COMPUTED_VALUE"""),"Lentes de STOCK")</f>
        <v>Lentes de STOCK</v>
      </c>
      <c r="E2969" s="1" t="str">
        <f>IFERROR(__xludf.DUMMYFUNCTION("""COMPUTED_VALUE"""),"RIVADAVIA Santiago LOPEZ")</f>
        <v>RIVADAVIA Santiago LOPEZ</v>
      </c>
      <c r="F2969" s="1" t="str">
        <f t="shared" si="1"/>
        <v>RIVADAVIA </v>
      </c>
      <c r="G2969" s="1" t="str">
        <f t="shared" si="2"/>
        <v>Santiago LOPEZ</v>
      </c>
      <c r="H2969" s="1" t="str">
        <f>IFERROR(__xludf.DUMMYFUNCTION("""COMPUTED_VALUE"""),"10/3/2023, 17:00:00")</f>
        <v>10/3/2023, 17:00:00</v>
      </c>
      <c r="I2969" s="1" t="str">
        <f>IFERROR(__xludf.DUMMYFUNCTION("""COMPUTED_VALUE"""),"Completado en SUCURSAL")</f>
        <v>Completado en SUCURSAL</v>
      </c>
      <c r="J2969" s="1">
        <f t="shared" si="3"/>
        <v>5</v>
      </c>
      <c r="K2969" s="1" t="str">
        <f t="shared" si="4"/>
        <v>Tus Lentes estan LISTAS PARA ENTREGAR, te esperamos.</v>
      </c>
    </row>
    <row r="2970">
      <c r="A2970" s="1">
        <f>IFERROR(__xludf.DUMMYFUNCTION("""COMPUTED_VALUE"""),87515.0)</f>
        <v>87515</v>
      </c>
      <c r="B2970" s="5">
        <f>IFERROR(__xludf.DUMMYFUNCTION("""COMPUTED_VALUE"""),44992.42327733796)</f>
        <v>44992.42328</v>
      </c>
      <c r="C2970" s="1" t="str">
        <f>IFERROR(__xludf.DUMMYFUNCTION("""COMPUTED_VALUE"""),"BULJAN ANTONIO")</f>
        <v>BULJAN ANTONIO</v>
      </c>
      <c r="D2970" s="1" t="str">
        <f>IFERROR(__xludf.DUMMYFUNCTION("""COMPUTED_VALUE"""),"Lentes de STOCK")</f>
        <v>Lentes de STOCK</v>
      </c>
      <c r="E2970" s="1" t="str">
        <f>IFERROR(__xludf.DUMMYFUNCTION("""COMPUTED_VALUE"""),"RIVADAVIA Christian C.")</f>
        <v>RIVADAVIA Christian C.</v>
      </c>
      <c r="F2970" s="1" t="str">
        <f t="shared" si="1"/>
        <v>RIVADAVIA </v>
      </c>
      <c r="G2970" s="1" t="str">
        <f t="shared" si="2"/>
        <v>Christian C.</v>
      </c>
      <c r="H2970" s="1" t="str">
        <f>IFERROR(__xludf.DUMMYFUNCTION("""COMPUTED_VALUE"""),"10/3/2023, 17:00:00")</f>
        <v>10/3/2023, 17:00:00</v>
      </c>
      <c r="I2970" s="1" t="str">
        <f>IFERROR(__xludf.DUMMYFUNCTION("""COMPUTED_VALUE"""),"Completado en SUCURSAL")</f>
        <v>Completado en SUCURSAL</v>
      </c>
      <c r="J2970" s="1">
        <f t="shared" si="3"/>
        <v>5</v>
      </c>
      <c r="K2970" s="1" t="str">
        <f t="shared" si="4"/>
        <v>Tus Lentes estan LISTAS PARA ENTREGAR, te esperamos.</v>
      </c>
    </row>
    <row r="2971">
      <c r="A2971" s="1">
        <f>IFERROR(__xludf.DUMMYFUNCTION("""COMPUTED_VALUE"""),87516.0)</f>
        <v>87516</v>
      </c>
      <c r="B2971" s="5">
        <f>IFERROR(__xludf.DUMMYFUNCTION("""COMPUTED_VALUE"""),44992.43060868056)</f>
        <v>44992.43061</v>
      </c>
      <c r="C2971" s="1" t="str">
        <f>IFERROR(__xludf.DUMMYFUNCTION("""COMPUTED_VALUE"""),"BUSTOS ELENA")</f>
        <v>BUSTOS ELENA</v>
      </c>
      <c r="D2971" s="1" t="str">
        <f>IFERROR(__xludf.DUMMYFUNCTION("""COMPUTED_VALUE"""),"Lentes de STOCK")</f>
        <v>Lentes de STOCK</v>
      </c>
      <c r="E2971" s="1" t="str">
        <f>IFERROR(__xludf.DUMMYFUNCTION("""COMPUTED_VALUE"""),"ARTIGAS Roció")</f>
        <v>ARTIGAS Roció</v>
      </c>
      <c r="F2971" s="1" t="str">
        <f t="shared" si="1"/>
        <v>ARTIGAS </v>
      </c>
      <c r="G2971" s="1" t="str">
        <f t="shared" si="2"/>
        <v>Roció</v>
      </c>
      <c r="H2971" s="1" t="str">
        <f>IFERROR(__xludf.DUMMYFUNCTION("""COMPUTED_VALUE"""),"17/3/2023, 17:00:00")</f>
        <v>17/3/2023, 17:00:00</v>
      </c>
      <c r="I2971" s="1" t="str">
        <f>IFERROR(__xludf.DUMMYFUNCTION("""COMPUTED_VALUE"""),"Completado en SUCURSAL")</f>
        <v>Completado en SUCURSAL</v>
      </c>
      <c r="J2971" s="1">
        <f t="shared" si="3"/>
        <v>5</v>
      </c>
      <c r="K2971" s="1" t="str">
        <f t="shared" si="4"/>
        <v>Tus Lentes estan LISTAS PARA ENTREGAR, te esperamos.</v>
      </c>
    </row>
    <row r="2972">
      <c r="A2972" s="1">
        <f>IFERROR(__xludf.DUMMYFUNCTION("""COMPUTED_VALUE"""),87517.0)</f>
        <v>87517</v>
      </c>
      <c r="B2972" s="5">
        <f>IFERROR(__xludf.DUMMYFUNCTION("""COMPUTED_VALUE"""),44992.431305335645)</f>
        <v>44992.43131</v>
      </c>
      <c r="C2972" s="1" t="str">
        <f>IFERROR(__xludf.DUMMYFUNCTION("""COMPUTED_VALUE"""),"OROZCO MARIA ESTER")</f>
        <v>OROZCO MARIA ESTER</v>
      </c>
      <c r="D2972" s="1" t="str">
        <f>IFERROR(__xludf.DUMMYFUNCTION("""COMPUTED_VALUE"""),"Lentes de STOCK")</f>
        <v>Lentes de STOCK</v>
      </c>
      <c r="E2972" s="1" t="str">
        <f>IFERROR(__xludf.DUMMYFUNCTION("""COMPUTED_VALUE"""),"RIVADAVIA Luciana")</f>
        <v>RIVADAVIA Luciana</v>
      </c>
      <c r="F2972" s="1" t="str">
        <f t="shared" si="1"/>
        <v>RIVADAVIA </v>
      </c>
      <c r="G2972" s="1" t="str">
        <f t="shared" si="2"/>
        <v>Luciana</v>
      </c>
      <c r="H2972" s="1" t="str">
        <f>IFERROR(__xludf.DUMMYFUNCTION("""COMPUTED_VALUE"""),"9/3/2023, 17:00:00")</f>
        <v>9/3/2023, 17:00:00</v>
      </c>
      <c r="I2972" s="1" t="str">
        <f>IFERROR(__xludf.DUMMYFUNCTION("""COMPUTED_VALUE"""),"Completado en SUCURSAL")</f>
        <v>Completado en SUCURSAL</v>
      </c>
      <c r="J2972" s="1">
        <f t="shared" si="3"/>
        <v>5</v>
      </c>
      <c r="K2972" s="1" t="str">
        <f t="shared" si="4"/>
        <v>Tus Lentes estan LISTAS PARA ENTREGAR, te esperamos.</v>
      </c>
    </row>
    <row r="2973">
      <c r="A2973" s="1">
        <f>IFERROR(__xludf.DUMMYFUNCTION("""COMPUTED_VALUE"""),87518.0)</f>
        <v>87518</v>
      </c>
      <c r="B2973" s="5">
        <f>IFERROR(__xludf.DUMMYFUNCTION("""COMPUTED_VALUE"""),44992.43137082176)</f>
        <v>44992.43137</v>
      </c>
      <c r="C2973" s="1" t="str">
        <f>IFERROR(__xludf.DUMMYFUNCTION("""COMPUTED_VALUE"""),"VIDELA BRANDON")</f>
        <v>VIDELA BRANDON</v>
      </c>
      <c r="D2973" s="1" t="str">
        <f>IFERROR(__xludf.DUMMYFUNCTION("""COMPUTED_VALUE"""),"Lentes de LABORATORIO")</f>
        <v>Lentes de LABORATORIO</v>
      </c>
      <c r="E2973" s="1" t="str">
        <f>IFERROR(__xludf.DUMMYFUNCTION("""COMPUTED_VALUE"""),"ARTIGAS Ivana P.")</f>
        <v>ARTIGAS Ivana P.</v>
      </c>
      <c r="F2973" s="1" t="str">
        <f t="shared" si="1"/>
        <v>ARTIGAS </v>
      </c>
      <c r="G2973" s="1" t="str">
        <f t="shared" si="2"/>
        <v>Ivana P.</v>
      </c>
      <c r="H2973" s="1" t="str">
        <f>IFERROR(__xludf.DUMMYFUNCTION("""COMPUTED_VALUE"""),"17/3/2023, 17:00:00")</f>
        <v>17/3/2023, 17:00:00</v>
      </c>
      <c r="I2973" s="1" t="str">
        <f>IFERROR(__xludf.DUMMYFUNCTION("""COMPUTED_VALUE"""),"Completado en SUCURSAL")</f>
        <v>Completado en SUCURSAL</v>
      </c>
      <c r="J2973" s="1">
        <f t="shared" si="3"/>
        <v>5</v>
      </c>
      <c r="K2973" s="1" t="str">
        <f t="shared" si="4"/>
        <v>Tus Lentes estan LISTAS PARA ENTREGAR, te esperamos.</v>
      </c>
    </row>
    <row r="2974">
      <c r="A2974" s="1">
        <f>IFERROR(__xludf.DUMMYFUNCTION("""COMPUTED_VALUE"""),87519.0)</f>
        <v>87519</v>
      </c>
      <c r="B2974" s="5">
        <f>IFERROR(__xludf.DUMMYFUNCTION("""COMPUTED_VALUE"""),44992.433992465274)</f>
        <v>44992.43399</v>
      </c>
      <c r="C2974" s="1" t="str">
        <f>IFERROR(__xludf.DUMMYFUNCTION("""COMPUTED_VALUE"""),"carnelli gabriel")</f>
        <v>carnelli gabriel</v>
      </c>
      <c r="D2974" s="1" t="str">
        <f>IFERROR(__xludf.DUMMYFUNCTION("""COMPUTED_VALUE"""),"Reparaciones/Otros")</f>
        <v>Reparaciones/Otros</v>
      </c>
      <c r="E2974" s="1" t="str">
        <f>IFERROR(__xludf.DUMMYFUNCTION("""COMPUTED_VALUE"""),"RIVADAVIA Christian C.")</f>
        <v>RIVADAVIA Christian C.</v>
      </c>
      <c r="F2974" s="1" t="str">
        <f t="shared" si="1"/>
        <v>RIVADAVIA </v>
      </c>
      <c r="G2974" s="1" t="str">
        <f t="shared" si="2"/>
        <v>Christian C.</v>
      </c>
      <c r="H2974" s="1" t="str">
        <f>IFERROR(__xludf.DUMMYFUNCTION("""COMPUTED_VALUE"""),"9/3/2023, 17:00:00")</f>
        <v>9/3/2023, 17:00:00</v>
      </c>
      <c r="I2974" s="1" t="str">
        <f>IFERROR(__xludf.DUMMYFUNCTION("""COMPUTED_VALUE"""),"Completado en SUCURSAL")</f>
        <v>Completado en SUCURSAL</v>
      </c>
      <c r="J2974" s="1">
        <f t="shared" si="3"/>
        <v>5</v>
      </c>
      <c r="K2974" s="1" t="str">
        <f t="shared" si="4"/>
        <v>Tus Lentes estan LISTAS PARA ENTREGAR, te esperamos.</v>
      </c>
    </row>
    <row r="2975">
      <c r="A2975" s="1">
        <f>IFERROR(__xludf.DUMMYFUNCTION("""COMPUTED_VALUE"""),87520.0)</f>
        <v>87520</v>
      </c>
      <c r="B2975" s="5">
        <f>IFERROR(__xludf.DUMMYFUNCTION("""COMPUTED_VALUE"""),44992.43402777778)</f>
        <v>44992.43403</v>
      </c>
      <c r="C2975" s="1" t="str">
        <f>IFERROR(__xludf.DUMMYFUNCTION("""COMPUTED_VALUE"""),"Gonzalez Mirta")</f>
        <v>Gonzalez Mirta</v>
      </c>
      <c r="D2975" s="1" t="str">
        <f>IFERROR(__xludf.DUMMYFUNCTION("""COMPUTED_VALUE"""),"Reparaciones/Otros")</f>
        <v>Reparaciones/Otros</v>
      </c>
      <c r="E2975" s="1" t="str">
        <f>IFERROR(__xludf.DUMMYFUNCTION("""COMPUTED_VALUE"""),"ARTIGAS Sandra G")</f>
        <v>ARTIGAS Sandra G</v>
      </c>
      <c r="F2975" s="1" t="str">
        <f t="shared" si="1"/>
        <v>ARTIGAS </v>
      </c>
      <c r="G2975" s="1" t="str">
        <f t="shared" si="2"/>
        <v>Sandra G</v>
      </c>
      <c r="H2975" s="1" t="str">
        <f>IFERROR(__xludf.DUMMYFUNCTION("""COMPUTED_VALUE"""),"10/3/2023, 17:00:00")</f>
        <v>10/3/2023, 17:00:00</v>
      </c>
      <c r="I2975" s="1" t="str">
        <f>IFERROR(__xludf.DUMMYFUNCTION("""COMPUTED_VALUE"""),"Completado en SUCURSAL")</f>
        <v>Completado en SUCURSAL</v>
      </c>
      <c r="J2975" s="1">
        <f t="shared" si="3"/>
        <v>5</v>
      </c>
      <c r="K2975" s="1" t="str">
        <f t="shared" si="4"/>
        <v>Tus Lentes estan LISTAS PARA ENTREGAR, te esperamos.</v>
      </c>
    </row>
    <row r="2976">
      <c r="A2976" s="1">
        <f>IFERROR(__xludf.DUMMYFUNCTION("""COMPUTED_VALUE"""),87521.0)</f>
        <v>87521</v>
      </c>
      <c r="B2976" s="5">
        <f>IFERROR(__xludf.DUMMYFUNCTION("""COMPUTED_VALUE"""),44992.4390112963)</f>
        <v>44992.43901</v>
      </c>
      <c r="C2976" s="1" t="str">
        <f>IFERROR(__xludf.DUMMYFUNCTION("""COMPUTED_VALUE""")," ESQUIVEL RAMON OLEGARIO")</f>
        <v> ESQUIVEL RAMON OLEGARIO</v>
      </c>
      <c r="D2976" s="1" t="str">
        <f>IFERROR(__xludf.DUMMYFUNCTION("""COMPUTED_VALUE"""),"Lentes de STOCK")</f>
        <v>Lentes de STOCK</v>
      </c>
      <c r="E2976" s="1" t="str">
        <f>IFERROR(__xludf.DUMMYFUNCTION("""COMPUTED_VALUE"""),"ARTIGAS Roció")</f>
        <v>ARTIGAS Roció</v>
      </c>
      <c r="F2976" s="1" t="str">
        <f t="shared" si="1"/>
        <v>ARTIGAS </v>
      </c>
      <c r="G2976" s="1" t="str">
        <f t="shared" si="2"/>
        <v>Roció</v>
      </c>
      <c r="H2976" s="1" t="str">
        <f>IFERROR(__xludf.DUMMYFUNCTION("""COMPUTED_VALUE"""),"13/3/2023, 17:00:00")</f>
        <v>13/3/2023, 17:00:00</v>
      </c>
      <c r="I2976" s="1" t="str">
        <f>IFERROR(__xludf.DUMMYFUNCTION("""COMPUTED_VALUE"""),"Completado en SUCURSAL")</f>
        <v>Completado en SUCURSAL</v>
      </c>
      <c r="J2976" s="1">
        <f t="shared" si="3"/>
        <v>5</v>
      </c>
      <c r="K2976" s="1" t="str">
        <f t="shared" si="4"/>
        <v>Tus Lentes estan LISTAS PARA ENTREGAR, te esperamos.</v>
      </c>
    </row>
    <row r="2977">
      <c r="A2977" s="1">
        <f>IFERROR(__xludf.DUMMYFUNCTION("""COMPUTED_VALUE"""),87522.0)</f>
        <v>87522</v>
      </c>
      <c r="B2977" s="5">
        <f>IFERROR(__xludf.DUMMYFUNCTION("""COMPUTED_VALUE"""),44992.43960758102)</f>
        <v>44992.43961</v>
      </c>
      <c r="C2977" s="1" t="str">
        <f>IFERROR(__xludf.DUMMYFUNCTION("""COMPUTED_VALUE"""),"MORENO RODRIGO EXEQUIEL")</f>
        <v>MORENO RODRIGO EXEQUIEL</v>
      </c>
      <c r="D2977" s="1" t="str">
        <f>IFERROR(__xludf.DUMMYFUNCTION("""COMPUTED_VALUE"""),"Lentes de STOCK")</f>
        <v>Lentes de STOCK</v>
      </c>
      <c r="E2977" s="1" t="str">
        <f>IFERROR(__xludf.DUMMYFUNCTION("""COMPUTED_VALUE"""),"RIVADAVIA Santiago N")</f>
        <v>RIVADAVIA Santiago N</v>
      </c>
      <c r="F2977" s="1" t="str">
        <f t="shared" si="1"/>
        <v>RIVADAVIA </v>
      </c>
      <c r="G2977" s="1" t="str">
        <f t="shared" si="2"/>
        <v>Santiago N</v>
      </c>
      <c r="H2977" s="1" t="str">
        <f>IFERROR(__xludf.DUMMYFUNCTION("""COMPUTED_VALUE"""),"13/3/2023, 17:00:00")</f>
        <v>13/3/2023, 17:00:00</v>
      </c>
      <c r="I2977" s="1" t="str">
        <f>IFERROR(__xludf.DUMMYFUNCTION("""COMPUTED_VALUE"""),"Completado en SUCURSAL")</f>
        <v>Completado en SUCURSAL</v>
      </c>
      <c r="J2977" s="1">
        <f t="shared" si="3"/>
        <v>5</v>
      </c>
      <c r="K2977" s="1" t="str">
        <f t="shared" si="4"/>
        <v>Tus Lentes estan LISTAS PARA ENTREGAR, te esperamos.</v>
      </c>
    </row>
    <row r="2978">
      <c r="A2978" s="1">
        <f>IFERROR(__xludf.DUMMYFUNCTION("""COMPUTED_VALUE"""),87523.0)</f>
        <v>87523</v>
      </c>
      <c r="B2978" s="5">
        <f>IFERROR(__xludf.DUMMYFUNCTION("""COMPUTED_VALUE"""),44992.44178630787)</f>
        <v>44992.44179</v>
      </c>
      <c r="C2978" s="1" t="str">
        <f>IFERROR(__xludf.DUMMYFUNCTION("""COMPUTED_VALUE"""),"PEREIRA SERGIO FABIAN")</f>
        <v>PEREIRA SERGIO FABIAN</v>
      </c>
      <c r="D2978" s="1" t="str">
        <f>IFERROR(__xludf.DUMMYFUNCTION("""COMPUTED_VALUE"""),"Lentes BIFOCALES")</f>
        <v>Lentes BIFOCALES</v>
      </c>
      <c r="E2978" s="1" t="str">
        <f>IFERROR(__xludf.DUMMYFUNCTION("""COMPUTED_VALUE"""),"RIVADAVIA Marcela L")</f>
        <v>RIVADAVIA Marcela L</v>
      </c>
      <c r="F2978" s="1" t="str">
        <f t="shared" si="1"/>
        <v>RIVADAVIA </v>
      </c>
      <c r="G2978" s="1" t="str">
        <f t="shared" si="2"/>
        <v>Marcela L</v>
      </c>
      <c r="H2978" s="1" t="str">
        <f>IFERROR(__xludf.DUMMYFUNCTION("""COMPUTED_VALUE"""),"10/3/2023, 17:00:00")</f>
        <v>10/3/2023, 17:00:00</v>
      </c>
      <c r="I2978" s="1" t="str">
        <f>IFERROR(__xludf.DUMMYFUNCTION("""COMPUTED_VALUE"""),"Completado en SUCURSAL")</f>
        <v>Completado en SUCURSAL</v>
      </c>
      <c r="J2978" s="1">
        <f t="shared" si="3"/>
        <v>5</v>
      </c>
      <c r="K2978" s="1" t="str">
        <f t="shared" si="4"/>
        <v>Tus Lentes estan LISTAS PARA ENTREGAR, te esperamos.</v>
      </c>
    </row>
    <row r="2979">
      <c r="A2979" s="1">
        <f>IFERROR(__xludf.DUMMYFUNCTION("""COMPUTED_VALUE"""),87524.0)</f>
        <v>87524</v>
      </c>
      <c r="B2979" s="5">
        <f>IFERROR(__xludf.DUMMYFUNCTION("""COMPUTED_VALUE"""),44992.442400115746)</f>
        <v>44992.4424</v>
      </c>
      <c r="C2979" s="1" t="str">
        <f>IFERROR(__xludf.DUMMYFUNCTION("""COMPUTED_VALUE"""),"LACASE FRANCA")</f>
        <v>LACASE FRANCA</v>
      </c>
      <c r="D2979" s="1" t="str">
        <f>IFERROR(__xludf.DUMMYFUNCTION("""COMPUTED_VALUE"""),"Lentes de STOCK")</f>
        <v>Lentes de STOCK</v>
      </c>
      <c r="E2979" s="1" t="str">
        <f>IFERROR(__xludf.DUMMYFUNCTION("""COMPUTED_VALUE"""),"ARTIGAS Ivana P.")</f>
        <v>ARTIGAS Ivana P.</v>
      </c>
      <c r="F2979" s="1" t="str">
        <f t="shared" si="1"/>
        <v>ARTIGAS </v>
      </c>
      <c r="G2979" s="1" t="str">
        <f t="shared" si="2"/>
        <v>Ivana P.</v>
      </c>
      <c r="H2979" s="1" t="str">
        <f>IFERROR(__xludf.DUMMYFUNCTION("""COMPUTED_VALUE"""),"14/3/2023, 17:00:00")</f>
        <v>14/3/2023, 17:00:00</v>
      </c>
      <c r="I2979" s="1" t="str">
        <f>IFERROR(__xludf.DUMMYFUNCTION("""COMPUTED_VALUE"""),"Completado en SUCURSAL")</f>
        <v>Completado en SUCURSAL</v>
      </c>
      <c r="J2979" s="1">
        <f t="shared" si="3"/>
        <v>5</v>
      </c>
      <c r="K2979" s="1" t="str">
        <f t="shared" si="4"/>
        <v>Tus Lentes estan LISTAS PARA ENTREGAR, te esperamos.</v>
      </c>
    </row>
    <row r="2980">
      <c r="A2980" s="1">
        <f>IFERROR(__xludf.DUMMYFUNCTION("""COMPUTED_VALUE"""),87525.0)</f>
        <v>87525</v>
      </c>
      <c r="B2980" s="5">
        <f>IFERROR(__xludf.DUMMYFUNCTION("""COMPUTED_VALUE"""),44992.444789988425)</f>
        <v>44992.44479</v>
      </c>
      <c r="C2980" s="1" t="str">
        <f>IFERROR(__xludf.DUMMYFUNCTION("""COMPUTED_VALUE"""),"HERNANDEZ JUANA BEATRIZ")</f>
        <v>HERNANDEZ JUANA BEATRIZ</v>
      </c>
      <c r="D2980" s="1" t="str">
        <f>IFERROR(__xludf.DUMMYFUNCTION("""COMPUTED_VALUE"""),"Lentes BIFOCALES")</f>
        <v>Lentes BIFOCALES</v>
      </c>
      <c r="E2980" s="1" t="str">
        <f>IFERROR(__xludf.DUMMYFUNCTION("""COMPUTED_VALUE"""),"ARTIGAS Roció")</f>
        <v>ARTIGAS Roció</v>
      </c>
      <c r="F2980" s="1" t="str">
        <f t="shared" si="1"/>
        <v>ARTIGAS </v>
      </c>
      <c r="G2980" s="1" t="str">
        <f t="shared" si="2"/>
        <v>Roció</v>
      </c>
      <c r="H2980" s="1" t="str">
        <f>IFERROR(__xludf.DUMMYFUNCTION("""COMPUTED_VALUE"""),"17/3/2023, 17:00:00")</f>
        <v>17/3/2023, 17:00:00</v>
      </c>
      <c r="I2980" s="1" t="str">
        <f>IFERROR(__xludf.DUMMYFUNCTION("""COMPUTED_VALUE"""),"Completado en SUCURSAL")</f>
        <v>Completado en SUCURSAL</v>
      </c>
      <c r="J2980" s="1">
        <f t="shared" si="3"/>
        <v>5</v>
      </c>
      <c r="K2980" s="1" t="str">
        <f t="shared" si="4"/>
        <v>Tus Lentes estan LISTAS PARA ENTREGAR, te esperamos.</v>
      </c>
    </row>
    <row r="2981">
      <c r="A2981" s="1">
        <f>IFERROR(__xludf.DUMMYFUNCTION("""COMPUTED_VALUE"""),87526.0)</f>
        <v>87526</v>
      </c>
      <c r="B2981" s="5">
        <f>IFERROR(__xludf.DUMMYFUNCTION("""COMPUTED_VALUE"""),44992.44500305556)</f>
        <v>44992.445</v>
      </c>
      <c r="C2981" s="1" t="str">
        <f>IFERROR(__xludf.DUMMYFUNCTION("""COMPUTED_VALUE"""),"Barreiro Teresita Carmen")</f>
        <v>Barreiro Teresita Carmen</v>
      </c>
      <c r="D2981" s="1" t="str">
        <f>IFERROR(__xludf.DUMMYFUNCTION("""COMPUTED_VALUE"""),"Lentes de STOCK")</f>
        <v>Lentes de STOCK</v>
      </c>
      <c r="E2981" s="1" t="str">
        <f>IFERROR(__xludf.DUMMYFUNCTION("""COMPUTED_VALUE"""),"RIVADAVIA Santiago N")</f>
        <v>RIVADAVIA Santiago N</v>
      </c>
      <c r="F2981" s="1" t="str">
        <f t="shared" si="1"/>
        <v>RIVADAVIA </v>
      </c>
      <c r="G2981" s="1" t="str">
        <f t="shared" si="2"/>
        <v>Santiago N</v>
      </c>
      <c r="H2981" s="1" t="str">
        <f>IFERROR(__xludf.DUMMYFUNCTION("""COMPUTED_VALUE"""),"9/3/2023, 17:00:00")</f>
        <v>9/3/2023, 17:00:00</v>
      </c>
      <c r="I2981" s="1" t="str">
        <f>IFERROR(__xludf.DUMMYFUNCTION("""COMPUTED_VALUE"""),"Completado en SUCURSAL")</f>
        <v>Completado en SUCURSAL</v>
      </c>
      <c r="J2981" s="1">
        <f t="shared" si="3"/>
        <v>5</v>
      </c>
      <c r="K2981" s="1" t="str">
        <f t="shared" si="4"/>
        <v>Tus Lentes estan LISTAS PARA ENTREGAR, te esperamos.</v>
      </c>
    </row>
    <row r="2982">
      <c r="A2982" s="1">
        <f>IFERROR(__xludf.DUMMYFUNCTION("""COMPUTED_VALUE"""),87527.0)</f>
        <v>87527</v>
      </c>
      <c r="B2982" s="5">
        <f>IFERROR(__xludf.DUMMYFUNCTION("""COMPUTED_VALUE"""),44992.44709556713)</f>
        <v>44992.4471</v>
      </c>
      <c r="C2982" s="1" t="str">
        <f>IFERROR(__xludf.DUMMYFUNCTION("""COMPUTED_VALUE"""),"ANDRADA VALERIA")</f>
        <v>ANDRADA VALERIA</v>
      </c>
      <c r="D2982" s="1" t="str">
        <f>IFERROR(__xludf.DUMMYFUNCTION("""COMPUTED_VALUE"""),"Lentes de STOCK")</f>
        <v>Lentes de STOCK</v>
      </c>
      <c r="E2982" s="1" t="str">
        <f>IFERROR(__xludf.DUMMYFUNCTION("""COMPUTED_VALUE"""),"RIVADAVIA Santiago LOPEZ")</f>
        <v>RIVADAVIA Santiago LOPEZ</v>
      </c>
      <c r="F2982" s="1" t="str">
        <f t="shared" si="1"/>
        <v>RIVADAVIA </v>
      </c>
      <c r="G2982" s="1" t="str">
        <f t="shared" si="2"/>
        <v>Santiago LOPEZ</v>
      </c>
      <c r="H2982" s="1" t="str">
        <f>IFERROR(__xludf.DUMMYFUNCTION("""COMPUTED_VALUE"""),"9/3/2023, 17:00:00")</f>
        <v>9/3/2023, 17:00:00</v>
      </c>
      <c r="I2982" s="1" t="str">
        <f>IFERROR(__xludf.DUMMYFUNCTION("""COMPUTED_VALUE"""),"Completado en SUCURSAL")</f>
        <v>Completado en SUCURSAL</v>
      </c>
      <c r="J2982" s="1">
        <f t="shared" si="3"/>
        <v>5</v>
      </c>
      <c r="K2982" s="1" t="str">
        <f t="shared" si="4"/>
        <v>Tus Lentes estan LISTAS PARA ENTREGAR, te esperamos.</v>
      </c>
    </row>
    <row r="2983">
      <c r="A2983" s="1">
        <f>IFERROR(__xludf.DUMMYFUNCTION("""COMPUTED_VALUE"""),87528.0)</f>
        <v>87528</v>
      </c>
      <c r="B2983" s="5">
        <f>IFERROR(__xludf.DUMMYFUNCTION("""COMPUTED_VALUE"""),44992.44937288194)</f>
        <v>44992.44937</v>
      </c>
      <c r="C2983" s="1" t="str">
        <f>IFERROR(__xludf.DUMMYFUNCTION("""COMPUTED_VALUE"""),"TORRES JESUS NATIVIDAD")</f>
        <v>TORRES JESUS NATIVIDAD</v>
      </c>
      <c r="D2983" s="1" t="str">
        <f>IFERROR(__xludf.DUMMYFUNCTION("""COMPUTED_VALUE"""),"Lentes de STOCK")</f>
        <v>Lentes de STOCK</v>
      </c>
      <c r="E2983" s="1" t="str">
        <f>IFERROR(__xludf.DUMMYFUNCTION("""COMPUTED_VALUE"""),"RIVADAVIA Luciana")</f>
        <v>RIVADAVIA Luciana</v>
      </c>
      <c r="F2983" s="1" t="str">
        <f t="shared" si="1"/>
        <v>RIVADAVIA </v>
      </c>
      <c r="G2983" s="1" t="str">
        <f t="shared" si="2"/>
        <v>Luciana</v>
      </c>
      <c r="H2983" s="1" t="str">
        <f>IFERROR(__xludf.DUMMYFUNCTION("""COMPUTED_VALUE"""),"10/3/2023, 17:00:00")</f>
        <v>10/3/2023, 17:00:00</v>
      </c>
      <c r="I2983" s="1" t="str">
        <f>IFERROR(__xludf.DUMMYFUNCTION("""COMPUTED_VALUE"""),"Completado en SUCURSAL")</f>
        <v>Completado en SUCURSAL</v>
      </c>
      <c r="J2983" s="1">
        <f t="shared" si="3"/>
        <v>5</v>
      </c>
      <c r="K2983" s="1" t="str">
        <f t="shared" si="4"/>
        <v>Tus Lentes estan LISTAS PARA ENTREGAR, te esperamos.</v>
      </c>
    </row>
    <row r="2984">
      <c r="A2984" s="1">
        <f>IFERROR(__xludf.DUMMYFUNCTION("""COMPUTED_VALUE"""),87529.0)</f>
        <v>87529</v>
      </c>
      <c r="B2984" s="5">
        <f>IFERROR(__xludf.DUMMYFUNCTION("""COMPUTED_VALUE"""),44992.450685)</f>
        <v>44992.45069</v>
      </c>
      <c r="C2984" s="1" t="str">
        <f>IFERROR(__xludf.DUMMYFUNCTION("""COMPUTED_VALUE"""),"LUCERO NICOMEDES NICOLAS")</f>
        <v>LUCERO NICOMEDES NICOLAS</v>
      </c>
      <c r="D2984" s="1" t="str">
        <f>IFERROR(__xludf.DUMMYFUNCTION("""COMPUTED_VALUE"""),"Lentes de STOCK")</f>
        <v>Lentes de STOCK</v>
      </c>
      <c r="E2984" s="1" t="str">
        <f>IFERROR(__xludf.DUMMYFUNCTION("""COMPUTED_VALUE"""),"ARTIGAS Roció")</f>
        <v>ARTIGAS Roció</v>
      </c>
      <c r="F2984" s="1" t="str">
        <f t="shared" si="1"/>
        <v>ARTIGAS </v>
      </c>
      <c r="G2984" s="1" t="str">
        <f t="shared" si="2"/>
        <v>Roció</v>
      </c>
      <c r="H2984" s="1" t="str">
        <f>IFERROR(__xludf.DUMMYFUNCTION("""COMPUTED_VALUE"""),"13/3/2023, 17:00:00")</f>
        <v>13/3/2023, 17:00:00</v>
      </c>
      <c r="I2984" s="1" t="str">
        <f>IFERROR(__xludf.DUMMYFUNCTION("""COMPUTED_VALUE"""),"Completado en SUCURSAL")</f>
        <v>Completado en SUCURSAL</v>
      </c>
      <c r="J2984" s="1">
        <f t="shared" si="3"/>
        <v>5</v>
      </c>
      <c r="K2984" s="1" t="str">
        <f t="shared" si="4"/>
        <v>Tus Lentes estan LISTAS PARA ENTREGAR, te esperamos.</v>
      </c>
    </row>
    <row r="2985">
      <c r="A2985" s="1">
        <f>IFERROR(__xludf.DUMMYFUNCTION("""COMPUTED_VALUE"""),87530.0)</f>
        <v>87530</v>
      </c>
      <c r="B2985" s="5">
        <f>IFERROR(__xludf.DUMMYFUNCTION("""COMPUTED_VALUE"""),44992.45223226852)</f>
        <v>44992.45223</v>
      </c>
      <c r="C2985" s="1" t="str">
        <f>IFERROR(__xludf.DUMMYFUNCTION("""COMPUTED_VALUE"""),"JINEPRO LAURA")</f>
        <v>JINEPRO LAURA</v>
      </c>
      <c r="D2985" s="1" t="str">
        <f>IFERROR(__xludf.DUMMYFUNCTION("""COMPUTED_VALUE"""),"Reparaciones/Otros")</f>
        <v>Reparaciones/Otros</v>
      </c>
      <c r="E2985" s="1" t="str">
        <f>IFERROR(__xludf.DUMMYFUNCTION("""COMPUTED_VALUE"""),"RIVADAVIA Daniel CM")</f>
        <v>RIVADAVIA Daniel CM</v>
      </c>
      <c r="F2985" s="1" t="str">
        <f t="shared" si="1"/>
        <v>RIVADAVIA </v>
      </c>
      <c r="G2985" s="1" t="str">
        <f t="shared" si="2"/>
        <v>Daniel CM</v>
      </c>
      <c r="H2985" s="1" t="str">
        <f>IFERROR(__xludf.DUMMYFUNCTION("""COMPUTED_VALUE"""),"8/3/2023, 17:00:00")</f>
        <v>8/3/2023, 17:00:00</v>
      </c>
      <c r="I2985" s="1" t="str">
        <f>IFERROR(__xludf.DUMMYFUNCTION("""COMPUTED_VALUE"""),"Completado en SUCURSAL")</f>
        <v>Completado en SUCURSAL</v>
      </c>
      <c r="J2985" s="1">
        <f t="shared" si="3"/>
        <v>5</v>
      </c>
      <c r="K2985" s="1" t="str">
        <f t="shared" si="4"/>
        <v>Tus Lentes estan LISTAS PARA ENTREGAR, te esperamos.</v>
      </c>
    </row>
    <row r="2986">
      <c r="A2986" s="1">
        <f>IFERROR(__xludf.DUMMYFUNCTION("""COMPUTED_VALUE"""),87531.0)</f>
        <v>87531</v>
      </c>
      <c r="B2986" s="5">
        <f>IFERROR(__xludf.DUMMYFUNCTION("""COMPUTED_VALUE"""),44992.45331684028)</f>
        <v>44992.45332</v>
      </c>
      <c r="C2986" s="1" t="str">
        <f>IFERROR(__xludf.DUMMYFUNCTION("""COMPUTED_VALUE"""),"ORDOÑES DELIA")</f>
        <v>ORDOÑES DELIA</v>
      </c>
      <c r="D2986" s="1" t="str">
        <f>IFERROR(__xludf.DUMMYFUNCTION("""COMPUTED_VALUE"""),"Reparaciones/Otros")</f>
        <v>Reparaciones/Otros</v>
      </c>
      <c r="E2986" s="1" t="str">
        <f>IFERROR(__xludf.DUMMYFUNCTION("""COMPUTED_VALUE"""),"RIVADAVIA Marcela L")</f>
        <v>RIVADAVIA Marcela L</v>
      </c>
      <c r="F2986" s="1" t="str">
        <f t="shared" si="1"/>
        <v>RIVADAVIA </v>
      </c>
      <c r="G2986" s="1" t="str">
        <f t="shared" si="2"/>
        <v>Marcela L</v>
      </c>
      <c r="H2986" s="1" t="str">
        <f>IFERROR(__xludf.DUMMYFUNCTION("""COMPUTED_VALUE"""),"8/3/2023, 17:00:00")</f>
        <v>8/3/2023, 17:00:00</v>
      </c>
      <c r="I2986" s="1" t="str">
        <f>IFERROR(__xludf.DUMMYFUNCTION("""COMPUTED_VALUE"""),"Recibido en Laboratorio")</f>
        <v>Recibido en Laboratorio</v>
      </c>
      <c r="J2986" s="1">
        <f t="shared" si="3"/>
        <v>2</v>
      </c>
      <c r="K2986" s="1" t="str">
        <f t="shared" si="4"/>
        <v>Nuestro Laboratorio esta trabajando en tus lentes, los entregaremos en la fecha acordada.</v>
      </c>
    </row>
    <row r="2987">
      <c r="A2987" s="1">
        <f>IFERROR(__xludf.DUMMYFUNCTION("""COMPUTED_VALUE"""),87532.0)</f>
        <v>87532</v>
      </c>
      <c r="B2987" s="5">
        <f>IFERROR(__xludf.DUMMYFUNCTION("""COMPUTED_VALUE"""),44992.457125671295)</f>
        <v>44992.45713</v>
      </c>
      <c r="C2987" s="1" t="str">
        <f>IFERROR(__xludf.DUMMYFUNCTION("""COMPUTED_VALUE"""),"MAURE CARLOS ANTONIO")</f>
        <v>MAURE CARLOS ANTONIO</v>
      </c>
      <c r="D2987" s="1" t="str">
        <f>IFERROR(__xludf.DUMMYFUNCTION("""COMPUTED_VALUE"""),"Reparaciones/Otros")</f>
        <v>Reparaciones/Otros</v>
      </c>
      <c r="E2987" s="1" t="str">
        <f>IFERROR(__xludf.DUMMYFUNCTION("""COMPUTED_VALUE"""),"ARTIGAS Sandra G")</f>
        <v>ARTIGAS Sandra G</v>
      </c>
      <c r="F2987" s="1" t="str">
        <f t="shared" si="1"/>
        <v>ARTIGAS </v>
      </c>
      <c r="G2987" s="1" t="str">
        <f t="shared" si="2"/>
        <v>Sandra G</v>
      </c>
      <c r="H2987" s="1" t="str">
        <f>IFERROR(__xludf.DUMMYFUNCTION("""COMPUTED_VALUE"""),"9/3/2023, 17:00:00")</f>
        <v>9/3/2023, 17:00:00</v>
      </c>
      <c r="I2987" s="1" t="str">
        <f>IFERROR(__xludf.DUMMYFUNCTION("""COMPUTED_VALUE"""),"Completado en SUCURSAL")</f>
        <v>Completado en SUCURSAL</v>
      </c>
      <c r="J2987" s="1">
        <f t="shared" si="3"/>
        <v>5</v>
      </c>
      <c r="K2987" s="1" t="str">
        <f t="shared" si="4"/>
        <v>Tus Lentes estan LISTAS PARA ENTREGAR, te esperamos.</v>
      </c>
    </row>
    <row r="2988">
      <c r="A2988" s="1">
        <f>IFERROR(__xludf.DUMMYFUNCTION("""COMPUTED_VALUE"""),87533.0)</f>
        <v>87533</v>
      </c>
      <c r="B2988" s="5">
        <f>IFERROR(__xludf.DUMMYFUNCTION("""COMPUTED_VALUE"""),44992.459426331014)</f>
        <v>44992.45943</v>
      </c>
      <c r="C2988" s="1" t="str">
        <f>IFERROR(__xludf.DUMMYFUNCTION("""COMPUTED_VALUE"""),"GUILLAR GABRIEL")</f>
        <v>GUILLAR GABRIEL</v>
      </c>
      <c r="D2988" s="1" t="str">
        <f>IFERROR(__xludf.DUMMYFUNCTION("""COMPUTED_VALUE"""),"Lentes de LABORATORIO")</f>
        <v>Lentes de LABORATORIO</v>
      </c>
      <c r="E2988" s="1" t="str">
        <f>IFERROR(__xludf.DUMMYFUNCTION("""COMPUTED_VALUE"""),"RIVADAVIA Santiago N")</f>
        <v>RIVADAVIA Santiago N</v>
      </c>
      <c r="F2988" s="1" t="str">
        <f t="shared" si="1"/>
        <v>RIVADAVIA </v>
      </c>
      <c r="G2988" s="1" t="str">
        <f t="shared" si="2"/>
        <v>Santiago N</v>
      </c>
      <c r="H2988" s="1" t="str">
        <f>IFERROR(__xludf.DUMMYFUNCTION("""COMPUTED_VALUE"""),"14/3/2023, 17:00:00")</f>
        <v>14/3/2023, 17:00:00</v>
      </c>
      <c r="I2988" s="1" t="str">
        <f>IFERROR(__xludf.DUMMYFUNCTION("""COMPUTED_VALUE"""),"Completado en SUCURSAL")</f>
        <v>Completado en SUCURSAL</v>
      </c>
      <c r="J2988" s="1">
        <f t="shared" si="3"/>
        <v>5</v>
      </c>
      <c r="K2988" s="1" t="str">
        <f t="shared" si="4"/>
        <v>Tus Lentes estan LISTAS PARA ENTREGAR, te esperamos.</v>
      </c>
    </row>
    <row r="2989">
      <c r="A2989" s="1">
        <f>IFERROR(__xludf.DUMMYFUNCTION("""COMPUTED_VALUE"""),87534.0)</f>
        <v>87534</v>
      </c>
      <c r="B2989" s="5">
        <f>IFERROR(__xludf.DUMMYFUNCTION("""COMPUTED_VALUE"""),44992.46424902778)</f>
        <v>44992.46425</v>
      </c>
      <c r="C2989" s="1" t="str">
        <f>IFERROR(__xludf.DUMMYFUNCTION("""COMPUTED_VALUE"""),"BENINATO NOEMI")</f>
        <v>BENINATO NOEMI</v>
      </c>
      <c r="D2989" s="1" t="str">
        <f>IFERROR(__xludf.DUMMYFUNCTION("""COMPUTED_VALUE"""),"Lentes de STOCK")</f>
        <v>Lentes de STOCK</v>
      </c>
      <c r="E2989" s="1" t="str">
        <f>IFERROR(__xludf.DUMMYFUNCTION("""COMPUTED_VALUE"""),"ARTIGAS Ivana P.")</f>
        <v>ARTIGAS Ivana P.</v>
      </c>
      <c r="F2989" s="1" t="str">
        <f t="shared" si="1"/>
        <v>ARTIGAS </v>
      </c>
      <c r="G2989" s="1" t="str">
        <f t="shared" si="2"/>
        <v>Ivana P.</v>
      </c>
      <c r="H2989" s="1" t="str">
        <f>IFERROR(__xludf.DUMMYFUNCTION("""COMPUTED_VALUE"""),"10/3/2023, 17:00:00")</f>
        <v>10/3/2023, 17:00:00</v>
      </c>
      <c r="I2989" s="1" t="str">
        <f>IFERROR(__xludf.DUMMYFUNCTION("""COMPUTED_VALUE"""),"Completado en SUCURSAL")</f>
        <v>Completado en SUCURSAL</v>
      </c>
      <c r="J2989" s="1">
        <f t="shared" si="3"/>
        <v>5</v>
      </c>
      <c r="K2989" s="1" t="str">
        <f t="shared" si="4"/>
        <v>Tus Lentes estan LISTAS PARA ENTREGAR, te esperamos.</v>
      </c>
    </row>
    <row r="2990">
      <c r="A2990" s="1">
        <f>IFERROR(__xludf.DUMMYFUNCTION("""COMPUTED_VALUE"""),87535.0)</f>
        <v>87535</v>
      </c>
      <c r="B2990" s="5">
        <f>IFERROR(__xludf.DUMMYFUNCTION("""COMPUTED_VALUE"""),44992.46786362269)</f>
        <v>44992.46786</v>
      </c>
      <c r="C2990" s="1" t="str">
        <f>IFERROR(__xludf.DUMMYFUNCTION("""COMPUTED_VALUE"""),"alcaraz sinner kendrick jefferson thaiel")</f>
        <v>alcaraz sinner kendrick jefferson thaiel</v>
      </c>
      <c r="D2990" s="1" t="str">
        <f>IFERROR(__xludf.DUMMYFUNCTION("""COMPUTED_VALUE"""),"Reparaciones/Otros")</f>
        <v>Reparaciones/Otros</v>
      </c>
      <c r="E2990" s="1" t="str">
        <f>IFERROR(__xludf.DUMMYFUNCTION("""COMPUTED_VALUE"""),"RIVADAVIA Christian C.")</f>
        <v>RIVADAVIA Christian C.</v>
      </c>
      <c r="F2990" s="1" t="str">
        <f t="shared" si="1"/>
        <v>RIVADAVIA </v>
      </c>
      <c r="G2990" s="1" t="str">
        <f t="shared" si="2"/>
        <v>Christian C.</v>
      </c>
      <c r="H2990" s="1" t="str">
        <f>IFERROR(__xludf.DUMMYFUNCTION("""COMPUTED_VALUE"""),"9/3/2023, 17:00:00")</f>
        <v>9/3/2023, 17:00:00</v>
      </c>
      <c r="I2990" s="1" t="str">
        <f>IFERROR(__xludf.DUMMYFUNCTION("""COMPUTED_VALUE"""),"Completado en SUCURSAL")</f>
        <v>Completado en SUCURSAL</v>
      </c>
      <c r="J2990" s="1">
        <f t="shared" si="3"/>
        <v>5</v>
      </c>
      <c r="K2990" s="1" t="str">
        <f t="shared" si="4"/>
        <v>Tus Lentes estan LISTAS PARA ENTREGAR, te esperamos.</v>
      </c>
    </row>
    <row r="2991">
      <c r="A2991" s="1">
        <f>IFERROR(__xludf.DUMMYFUNCTION("""COMPUTED_VALUE"""),87536.0)</f>
        <v>87536</v>
      </c>
      <c r="B2991" s="5">
        <f>IFERROR(__xludf.DUMMYFUNCTION("""COMPUTED_VALUE"""),44992.4774707176)</f>
        <v>44992.47747</v>
      </c>
      <c r="C2991" s="1" t="str">
        <f>IFERROR(__xludf.DUMMYFUNCTION("""COMPUTED_VALUE"""),"DELUPI ABIGAIL")</f>
        <v>DELUPI ABIGAIL</v>
      </c>
      <c r="D2991" s="1" t="str">
        <f>IFERROR(__xludf.DUMMYFUNCTION("""COMPUTED_VALUE"""),"Lentes de STOCK")</f>
        <v>Lentes de STOCK</v>
      </c>
      <c r="E2991" s="1" t="str">
        <f>IFERROR(__xludf.DUMMYFUNCTION("""COMPUTED_VALUE"""),"ARTIGAS Ivana P.")</f>
        <v>ARTIGAS Ivana P.</v>
      </c>
      <c r="F2991" s="1" t="str">
        <f t="shared" si="1"/>
        <v>ARTIGAS </v>
      </c>
      <c r="G2991" s="1" t="str">
        <f t="shared" si="2"/>
        <v>Ivana P.</v>
      </c>
      <c r="H2991" s="1" t="str">
        <f>IFERROR(__xludf.DUMMYFUNCTION("""COMPUTED_VALUE"""),"13/3/2023, 17:00:00")</f>
        <v>13/3/2023, 17:00:00</v>
      </c>
      <c r="I2991" s="1" t="str">
        <f>IFERROR(__xludf.DUMMYFUNCTION("""COMPUTED_VALUE"""),"Completado en SUCURSAL")</f>
        <v>Completado en SUCURSAL</v>
      </c>
      <c r="J2991" s="1">
        <f t="shared" si="3"/>
        <v>5</v>
      </c>
      <c r="K2991" s="1" t="str">
        <f t="shared" si="4"/>
        <v>Tus Lentes estan LISTAS PARA ENTREGAR, te esperamos.</v>
      </c>
    </row>
    <row r="2992">
      <c r="A2992" s="1">
        <f>IFERROR(__xludf.DUMMYFUNCTION("""COMPUTED_VALUE"""),87537.0)</f>
        <v>87537</v>
      </c>
      <c r="B2992" s="5">
        <f>IFERROR(__xludf.DUMMYFUNCTION("""COMPUTED_VALUE"""),44992.479283692126)</f>
        <v>44992.47928</v>
      </c>
      <c r="C2992" s="1" t="str">
        <f>IFERROR(__xludf.DUMMYFUNCTION("""COMPUTED_VALUE"""),"SOSA STELLA MARIS")</f>
        <v>SOSA STELLA MARIS</v>
      </c>
      <c r="D2992" s="1" t="str">
        <f>IFERROR(__xludf.DUMMYFUNCTION("""COMPUTED_VALUE"""),"Reparaciones/Otros")</f>
        <v>Reparaciones/Otros</v>
      </c>
      <c r="E2992" s="1" t="str">
        <f>IFERROR(__xludf.DUMMYFUNCTION("""COMPUTED_VALUE"""),"RIVADAVIA Santiago LOPEZ")</f>
        <v>RIVADAVIA Santiago LOPEZ</v>
      </c>
      <c r="F2992" s="1" t="str">
        <f t="shared" si="1"/>
        <v>RIVADAVIA </v>
      </c>
      <c r="G2992" s="1" t="str">
        <f t="shared" si="2"/>
        <v>Santiago LOPEZ</v>
      </c>
      <c r="H2992" s="1" t="str">
        <f>IFERROR(__xludf.DUMMYFUNCTION("""COMPUTED_VALUE"""),"8/3/2023, 17:00:00")</f>
        <v>8/3/2023, 17:00:00</v>
      </c>
      <c r="I2992" s="1" t="str">
        <f>IFERROR(__xludf.DUMMYFUNCTION("""COMPUTED_VALUE"""),"Recibido en Laboratorio")</f>
        <v>Recibido en Laboratorio</v>
      </c>
      <c r="J2992" s="1">
        <f t="shared" si="3"/>
        <v>2</v>
      </c>
      <c r="K2992" s="1" t="str">
        <f t="shared" si="4"/>
        <v>Nuestro Laboratorio esta trabajando en tus lentes, los entregaremos en la fecha acordada.</v>
      </c>
    </row>
    <row r="2993">
      <c r="A2993" s="1">
        <f>IFERROR(__xludf.DUMMYFUNCTION("""COMPUTED_VALUE"""),87538.0)</f>
        <v>87538</v>
      </c>
      <c r="B2993" s="5">
        <f>IFERROR(__xludf.DUMMYFUNCTION("""COMPUTED_VALUE"""),44992.48499385417)</f>
        <v>44992.48499</v>
      </c>
      <c r="C2993" s="1" t="str">
        <f>IFERROR(__xludf.DUMMYFUNCTION("""COMPUTED_VALUE"""),"NUÑEZ LORENZO")</f>
        <v>NUÑEZ LORENZO</v>
      </c>
      <c r="D2993" s="1" t="str">
        <f>IFERROR(__xludf.DUMMYFUNCTION("""COMPUTED_VALUE"""),"Lentes de STOCK")</f>
        <v>Lentes de STOCK</v>
      </c>
      <c r="E2993" s="1" t="str">
        <f>IFERROR(__xludf.DUMMYFUNCTION("""COMPUTED_VALUE"""),"ARTIGAS Roció")</f>
        <v>ARTIGAS Roció</v>
      </c>
      <c r="F2993" s="1" t="str">
        <f t="shared" si="1"/>
        <v>ARTIGAS </v>
      </c>
      <c r="G2993" s="1" t="str">
        <f t="shared" si="2"/>
        <v>Roció</v>
      </c>
      <c r="H2993" s="1" t="str">
        <f>IFERROR(__xludf.DUMMYFUNCTION("""COMPUTED_VALUE"""),"14/3/2023, 17:00:00")</f>
        <v>14/3/2023, 17:00:00</v>
      </c>
      <c r="I2993" s="1" t="str">
        <f>IFERROR(__xludf.DUMMYFUNCTION("""COMPUTED_VALUE"""),"Completado en SUCURSAL")</f>
        <v>Completado en SUCURSAL</v>
      </c>
      <c r="J2993" s="1">
        <f t="shared" si="3"/>
        <v>5</v>
      </c>
      <c r="K2993" s="1" t="str">
        <f t="shared" si="4"/>
        <v>Tus Lentes estan LISTAS PARA ENTREGAR, te esperamos.</v>
      </c>
    </row>
    <row r="2994">
      <c r="A2994" s="1">
        <f>IFERROR(__xludf.DUMMYFUNCTION("""COMPUTED_VALUE"""),87539.0)</f>
        <v>87539</v>
      </c>
      <c r="B2994" s="5">
        <f>IFERROR(__xludf.DUMMYFUNCTION("""COMPUTED_VALUE"""),44992.48660222223)</f>
        <v>44992.4866</v>
      </c>
      <c r="C2994" s="1" t="str">
        <f>IFERROR(__xludf.DUMMYFUNCTION("""COMPUTED_VALUE"""),"MAJUL JORGE OMAR")</f>
        <v>MAJUL JORGE OMAR</v>
      </c>
      <c r="D2994" s="1" t="str">
        <f>IFERROR(__xludf.DUMMYFUNCTION("""COMPUTED_VALUE"""),"Lentes MULTIFOCALES")</f>
        <v>Lentes MULTIFOCALES</v>
      </c>
      <c r="E2994" s="1" t="str">
        <f>IFERROR(__xludf.DUMMYFUNCTION("""COMPUTED_VALUE"""),"RIVADAVIA Marcela L")</f>
        <v>RIVADAVIA Marcela L</v>
      </c>
      <c r="F2994" s="1" t="str">
        <f t="shared" si="1"/>
        <v>RIVADAVIA </v>
      </c>
      <c r="G2994" s="1" t="str">
        <f t="shared" si="2"/>
        <v>Marcela L</v>
      </c>
      <c r="H2994" s="1" t="str">
        <f>IFERROR(__xludf.DUMMYFUNCTION("""COMPUTED_VALUE"""),"23/3/2023, 17:00:00")</f>
        <v>23/3/2023, 17:00:00</v>
      </c>
      <c r="I2994" s="1" t="str">
        <f>IFERROR(__xludf.DUMMYFUNCTION("""COMPUTED_VALUE"""),"RETIRADO OK POR CLIENTE")</f>
        <v>RETIRADO OK POR CLIENTE</v>
      </c>
      <c r="J2994" s="1">
        <f t="shared" si="3"/>
        <v>6</v>
      </c>
      <c r="K2994" s="1" t="str">
        <f t="shared" si="4"/>
        <v>Entregamos tus lentes, que los disfrutes!</v>
      </c>
    </row>
    <row r="2995">
      <c r="A2995" s="1">
        <f>IFERROR(__xludf.DUMMYFUNCTION("""COMPUTED_VALUE"""),87540.0)</f>
        <v>87540</v>
      </c>
      <c r="B2995" s="5">
        <f>IFERROR(__xludf.DUMMYFUNCTION("""COMPUTED_VALUE"""),44992.48993438657)</f>
        <v>44992.48993</v>
      </c>
      <c r="C2995" s="1" t="str">
        <f>IFERROR(__xludf.DUMMYFUNCTION("""COMPUTED_VALUE"""),"AGUERO MAYRA")</f>
        <v>AGUERO MAYRA</v>
      </c>
      <c r="D2995" s="1" t="str">
        <f>IFERROR(__xludf.DUMMYFUNCTION("""COMPUTED_VALUE"""),"Lentes de STOCK")</f>
        <v>Lentes de STOCK</v>
      </c>
      <c r="E2995" s="1" t="str">
        <f>IFERROR(__xludf.DUMMYFUNCTION("""COMPUTED_VALUE"""),"RIVADAVIA Santiago LOPEZ")</f>
        <v>RIVADAVIA Santiago LOPEZ</v>
      </c>
      <c r="F2995" s="1" t="str">
        <f t="shared" si="1"/>
        <v>RIVADAVIA </v>
      </c>
      <c r="G2995" s="1" t="str">
        <f t="shared" si="2"/>
        <v>Santiago LOPEZ</v>
      </c>
      <c r="H2995" s="1" t="str">
        <f>IFERROR(__xludf.DUMMYFUNCTION("""COMPUTED_VALUE"""),"10/3/2023, 17:00:00")</f>
        <v>10/3/2023, 17:00:00</v>
      </c>
      <c r="I2995" s="1" t="str">
        <f>IFERROR(__xludf.DUMMYFUNCTION("""COMPUTED_VALUE"""),"Completado en SUCURSAL")</f>
        <v>Completado en SUCURSAL</v>
      </c>
      <c r="J2995" s="1">
        <f t="shared" si="3"/>
        <v>5</v>
      </c>
      <c r="K2995" s="1" t="str">
        <f t="shared" si="4"/>
        <v>Tus Lentes estan LISTAS PARA ENTREGAR, te esperamos.</v>
      </c>
    </row>
    <row r="2996">
      <c r="A2996" s="1">
        <f>IFERROR(__xludf.DUMMYFUNCTION("""COMPUTED_VALUE"""),87541.0)</f>
        <v>87541</v>
      </c>
      <c r="B2996" s="5">
        <f>IFERROR(__xludf.DUMMYFUNCTION("""COMPUTED_VALUE"""),44992.49212498842)</f>
        <v>44992.49212</v>
      </c>
      <c r="C2996" s="1" t="str">
        <f>IFERROR(__xludf.DUMMYFUNCTION("""COMPUTED_VALUE"""),"GOMEZ ROLANDO")</f>
        <v>GOMEZ ROLANDO</v>
      </c>
      <c r="D2996" s="1" t="str">
        <f>IFERROR(__xludf.DUMMYFUNCTION("""COMPUTED_VALUE"""),"Lentes de STOCK")</f>
        <v>Lentes de STOCK</v>
      </c>
      <c r="E2996" s="1" t="str">
        <f>IFERROR(__xludf.DUMMYFUNCTION("""COMPUTED_VALUE"""),"RIVADAVIA Daniel CM")</f>
        <v>RIVADAVIA Daniel CM</v>
      </c>
      <c r="F2996" s="1" t="str">
        <f t="shared" si="1"/>
        <v>RIVADAVIA </v>
      </c>
      <c r="G2996" s="1" t="str">
        <f t="shared" si="2"/>
        <v>Daniel CM</v>
      </c>
      <c r="H2996" s="1" t="str">
        <f>IFERROR(__xludf.DUMMYFUNCTION("""COMPUTED_VALUE"""),"10/3/2023, 17:00:00")</f>
        <v>10/3/2023, 17:00:00</v>
      </c>
      <c r="I2996" s="1" t="str">
        <f>IFERROR(__xludf.DUMMYFUNCTION("""COMPUTED_VALUE"""),"Completado en SUCURSAL")</f>
        <v>Completado en SUCURSAL</v>
      </c>
      <c r="J2996" s="1">
        <f t="shared" si="3"/>
        <v>5</v>
      </c>
      <c r="K2996" s="1" t="str">
        <f t="shared" si="4"/>
        <v>Tus Lentes estan LISTAS PARA ENTREGAR, te esperamos.</v>
      </c>
    </row>
    <row r="2997">
      <c r="A2997" s="1">
        <f>IFERROR(__xludf.DUMMYFUNCTION("""COMPUTED_VALUE"""),87542.0)</f>
        <v>87542</v>
      </c>
      <c r="B2997" s="5">
        <f>IFERROR(__xludf.DUMMYFUNCTION("""COMPUTED_VALUE"""),44992.493773842594)</f>
        <v>44992.49377</v>
      </c>
      <c r="C2997" s="1" t="str">
        <f>IFERROR(__xludf.DUMMYFUNCTION("""COMPUTED_VALUE"""),"DIAMANTE DENISE")</f>
        <v>DIAMANTE DENISE</v>
      </c>
      <c r="D2997" s="1" t="str">
        <f>IFERROR(__xludf.DUMMYFUNCTION("""COMPUTED_VALUE"""),"Reparaciones/Otros")</f>
        <v>Reparaciones/Otros</v>
      </c>
      <c r="E2997" s="1" t="str">
        <f>IFERROR(__xludf.DUMMYFUNCTION("""COMPUTED_VALUE"""),"ARTIGAS Roció")</f>
        <v>ARTIGAS Roció</v>
      </c>
      <c r="F2997" s="1" t="str">
        <f t="shared" si="1"/>
        <v>ARTIGAS </v>
      </c>
      <c r="G2997" s="1" t="str">
        <f t="shared" si="2"/>
        <v>Roció</v>
      </c>
      <c r="H2997" s="1" t="str">
        <f>IFERROR(__xludf.DUMMYFUNCTION("""COMPUTED_VALUE"""),"8/3/2023, 17:00:00")</f>
        <v>8/3/2023, 17:00:00</v>
      </c>
      <c r="I2997" s="1"/>
      <c r="J2997" s="1">
        <f t="shared" si="3"/>
        <v>0</v>
      </c>
      <c r="K2997" s="1" t="str">
        <f t="shared" si="4"/>
        <v/>
      </c>
    </row>
    <row r="2998">
      <c r="A2998" s="1">
        <f>IFERROR(__xludf.DUMMYFUNCTION("""COMPUTED_VALUE"""),87543.0)</f>
        <v>87543</v>
      </c>
      <c r="B2998" s="5">
        <f>IFERROR(__xludf.DUMMYFUNCTION("""COMPUTED_VALUE"""),44992.49665724537)</f>
        <v>44992.49666</v>
      </c>
      <c r="C2998" s="1" t="str">
        <f>IFERROR(__xludf.DUMMYFUNCTION("""COMPUTED_VALUE"""),"LAVANDEIRA RUBEN RICARDO")</f>
        <v>LAVANDEIRA RUBEN RICARDO</v>
      </c>
      <c r="D2998" s="1" t="str">
        <f>IFERROR(__xludf.DUMMYFUNCTION("""COMPUTED_VALUE"""),"Lentes BIFOCALES")</f>
        <v>Lentes BIFOCALES</v>
      </c>
      <c r="E2998" s="1" t="str">
        <f>IFERROR(__xludf.DUMMYFUNCTION("""COMPUTED_VALUE"""),"RIVADAVIA Santiago N")</f>
        <v>RIVADAVIA Santiago N</v>
      </c>
      <c r="F2998" s="1" t="str">
        <f t="shared" si="1"/>
        <v>RIVADAVIA </v>
      </c>
      <c r="G2998" s="1" t="str">
        <f t="shared" si="2"/>
        <v>Santiago N</v>
      </c>
      <c r="H2998" s="1" t="str">
        <f>IFERROR(__xludf.DUMMYFUNCTION("""COMPUTED_VALUE"""),"10/3/2023, 17:00:00")</f>
        <v>10/3/2023, 17:00:00</v>
      </c>
      <c r="I2998" s="1" t="str">
        <f>IFERROR(__xludf.DUMMYFUNCTION("""COMPUTED_VALUE"""),"Completado en SUCURSAL")</f>
        <v>Completado en SUCURSAL</v>
      </c>
      <c r="J2998" s="1">
        <f t="shared" si="3"/>
        <v>5</v>
      </c>
      <c r="K2998" s="1" t="str">
        <f t="shared" si="4"/>
        <v>Tus Lentes estan LISTAS PARA ENTREGAR, te esperamos.</v>
      </c>
    </row>
    <row r="2999">
      <c r="A2999" s="1">
        <f>IFERROR(__xludf.DUMMYFUNCTION("""COMPUTED_VALUE"""),87544.0)</f>
        <v>87544</v>
      </c>
      <c r="B2999" s="5">
        <f>IFERROR(__xludf.DUMMYFUNCTION("""COMPUTED_VALUE"""),44992.49762591435)</f>
        <v>44992.49763</v>
      </c>
      <c r="C2999" s="1" t="str">
        <f>IFERROR(__xludf.DUMMYFUNCTION("""COMPUTED_VALUE"""),"CANDELA PATRICIA NOEMI")</f>
        <v>CANDELA PATRICIA NOEMI</v>
      </c>
      <c r="D2999" s="1" t="str">
        <f>IFERROR(__xludf.DUMMYFUNCTION("""COMPUTED_VALUE"""),"Lentes de STOCK")</f>
        <v>Lentes de STOCK</v>
      </c>
      <c r="E2999" s="1" t="str">
        <f>IFERROR(__xludf.DUMMYFUNCTION("""COMPUTED_VALUE"""),"RIVADAVIA Marcela L")</f>
        <v>RIVADAVIA Marcela L</v>
      </c>
      <c r="F2999" s="1" t="str">
        <f t="shared" si="1"/>
        <v>RIVADAVIA </v>
      </c>
      <c r="G2999" s="1" t="str">
        <f t="shared" si="2"/>
        <v>Marcela L</v>
      </c>
      <c r="H2999" s="1" t="str">
        <f>IFERROR(__xludf.DUMMYFUNCTION("""COMPUTED_VALUE"""),"9/3/2023, 17:00:00")</f>
        <v>9/3/2023, 17:00:00</v>
      </c>
      <c r="I2999" s="1" t="str">
        <f>IFERROR(__xludf.DUMMYFUNCTION("""COMPUTED_VALUE"""),"RETIRADO OK POR CLIENTE")</f>
        <v>RETIRADO OK POR CLIENTE</v>
      </c>
      <c r="J2999" s="1">
        <f t="shared" si="3"/>
        <v>6</v>
      </c>
      <c r="K2999" s="1" t="str">
        <f t="shared" si="4"/>
        <v>Entregamos tus lentes, que los disfrutes!</v>
      </c>
    </row>
    <row r="3000">
      <c r="A3000" s="1">
        <f>IFERROR(__xludf.DUMMYFUNCTION("""COMPUTED_VALUE"""),87545.0)</f>
        <v>87545</v>
      </c>
      <c r="B3000" s="5">
        <f>IFERROR(__xludf.DUMMYFUNCTION("""COMPUTED_VALUE"""),44992.50373108796)</f>
        <v>44992.50373</v>
      </c>
      <c r="C3000" s="1" t="str">
        <f>IFERROR(__xludf.DUMMYFUNCTION("""COMPUTED_VALUE"""),"MONTENEGRO RICARDO RAFAEL")</f>
        <v>MONTENEGRO RICARDO RAFAEL</v>
      </c>
      <c r="D3000" s="1" t="str">
        <f>IFERROR(__xludf.DUMMYFUNCTION("""COMPUTED_VALUE"""),"Lentes BIFOCALES")</f>
        <v>Lentes BIFOCALES</v>
      </c>
      <c r="E3000" s="1" t="str">
        <f>IFERROR(__xludf.DUMMYFUNCTION("""COMPUTED_VALUE"""),"ARTIGAS Roció")</f>
        <v>ARTIGAS Roció</v>
      </c>
      <c r="F3000" s="1" t="str">
        <f t="shared" si="1"/>
        <v>ARTIGAS </v>
      </c>
      <c r="G3000" s="1" t="str">
        <f t="shared" si="2"/>
        <v>Roció</v>
      </c>
      <c r="H3000" s="1" t="str">
        <f>IFERROR(__xludf.DUMMYFUNCTION("""COMPUTED_VALUE"""),"15/3/2023, 17:00:00")</f>
        <v>15/3/2023, 17:00:00</v>
      </c>
      <c r="I3000" s="1" t="str">
        <f>IFERROR(__xludf.DUMMYFUNCTION("""COMPUTED_VALUE"""),"Completado en SUCURSAL")</f>
        <v>Completado en SUCURSAL</v>
      </c>
      <c r="J3000" s="1">
        <f t="shared" si="3"/>
        <v>5</v>
      </c>
      <c r="K3000" s="1" t="str">
        <f t="shared" si="4"/>
        <v>Tus Lentes estan LISTAS PARA ENTREGAR, te esperamos.</v>
      </c>
    </row>
    <row r="3001">
      <c r="A3001" s="1">
        <f>IFERROR(__xludf.DUMMYFUNCTION("""COMPUTED_VALUE"""),87546.0)</f>
        <v>87546</v>
      </c>
      <c r="B3001" s="5">
        <f>IFERROR(__xludf.DUMMYFUNCTION("""COMPUTED_VALUE"""),44992.51308146991)</f>
        <v>44992.51308</v>
      </c>
      <c r="C3001" s="1" t="str">
        <f>IFERROR(__xludf.DUMMYFUNCTION("""COMPUTED_VALUE"""),"PALACIOS MARIA ELENA")</f>
        <v>PALACIOS MARIA ELENA</v>
      </c>
      <c r="D3001" s="1" t="str">
        <f>IFERROR(__xludf.DUMMYFUNCTION("""COMPUTED_VALUE"""),"Lentes BIFOCALES")</f>
        <v>Lentes BIFOCALES</v>
      </c>
      <c r="E3001" s="1" t="str">
        <f>IFERROR(__xludf.DUMMYFUNCTION("""COMPUTED_VALUE"""),"ARTIGAS Roció")</f>
        <v>ARTIGAS Roció</v>
      </c>
      <c r="F3001" s="1" t="str">
        <f t="shared" si="1"/>
        <v>ARTIGAS </v>
      </c>
      <c r="G3001" s="1" t="str">
        <f t="shared" si="2"/>
        <v>Roció</v>
      </c>
      <c r="H3001" s="1" t="str">
        <f>IFERROR(__xludf.DUMMYFUNCTION("""COMPUTED_VALUE"""),"15/3/2023, 17:00:00")</f>
        <v>15/3/2023, 17:00:00</v>
      </c>
      <c r="I3001" s="1" t="str">
        <f>IFERROR(__xludf.DUMMYFUNCTION("""COMPUTED_VALUE"""),"Completado en SUCURSAL")</f>
        <v>Completado en SUCURSAL</v>
      </c>
      <c r="J3001" s="1">
        <f t="shared" si="3"/>
        <v>5</v>
      </c>
      <c r="K3001" s="1" t="str">
        <f t="shared" si="4"/>
        <v>Tus Lentes estan LISTAS PARA ENTREGAR, te esperamos.</v>
      </c>
    </row>
    <row r="3002">
      <c r="A3002" s="1">
        <f>IFERROR(__xludf.DUMMYFUNCTION("""COMPUTED_VALUE"""),87547.0)</f>
        <v>87547</v>
      </c>
      <c r="B3002" s="5">
        <f>IFERROR(__xludf.DUMMYFUNCTION("""COMPUTED_VALUE"""),44992.51991210648)</f>
        <v>44992.51991</v>
      </c>
      <c r="C3002" s="1" t="str">
        <f>IFERROR(__xludf.DUMMYFUNCTION("""COMPUTED_VALUE"""),"SILVA ORTEGA MARIO")</f>
        <v>SILVA ORTEGA MARIO</v>
      </c>
      <c r="D3002" s="1" t="str">
        <f>IFERROR(__xludf.DUMMYFUNCTION("""COMPUTED_VALUE"""),"Lentes de STOCK")</f>
        <v>Lentes de STOCK</v>
      </c>
      <c r="E3002" s="1" t="str">
        <f>IFERROR(__xludf.DUMMYFUNCTION("""COMPUTED_VALUE"""),"RIVADAVIA Christian C.")</f>
        <v>RIVADAVIA Christian C.</v>
      </c>
      <c r="F3002" s="1" t="str">
        <f t="shared" si="1"/>
        <v>RIVADAVIA </v>
      </c>
      <c r="G3002" s="1" t="str">
        <f t="shared" si="2"/>
        <v>Christian C.</v>
      </c>
      <c r="H3002" s="1" t="str">
        <f>IFERROR(__xludf.DUMMYFUNCTION("""COMPUTED_VALUE"""),"15/3/2023, 17:00:00")</f>
        <v>15/3/2023, 17:00:00</v>
      </c>
      <c r="I3002" s="1" t="str">
        <f>IFERROR(__xludf.DUMMYFUNCTION("""COMPUTED_VALUE"""),"Completado en SUCURSAL")</f>
        <v>Completado en SUCURSAL</v>
      </c>
      <c r="J3002" s="1">
        <f t="shared" si="3"/>
        <v>5</v>
      </c>
      <c r="K3002" s="1" t="str">
        <f t="shared" si="4"/>
        <v>Tus Lentes estan LISTAS PARA ENTREGAR, te esperamos.</v>
      </c>
    </row>
    <row r="3003">
      <c r="A3003" s="1">
        <f>IFERROR(__xludf.DUMMYFUNCTION("""COMPUTED_VALUE"""),87548.0)</f>
        <v>87548</v>
      </c>
      <c r="B3003" s="5">
        <f>IFERROR(__xludf.DUMMYFUNCTION("""COMPUTED_VALUE"""),44992.52059627315)</f>
        <v>44992.5206</v>
      </c>
      <c r="C3003" s="1" t="str">
        <f>IFERROR(__xludf.DUMMYFUNCTION("""COMPUTED_VALUE"""),"villagra maximiliano")</f>
        <v>villagra maximiliano</v>
      </c>
      <c r="D3003" s="1" t="str">
        <f>IFERROR(__xludf.DUMMYFUNCTION("""COMPUTED_VALUE"""),"Reparaciones/Otros")</f>
        <v>Reparaciones/Otros</v>
      </c>
      <c r="E3003" s="1" t="str">
        <f>IFERROR(__xludf.DUMMYFUNCTION("""COMPUTED_VALUE"""),"ARTIGAS Roció")</f>
        <v>ARTIGAS Roció</v>
      </c>
      <c r="F3003" s="1" t="str">
        <f t="shared" si="1"/>
        <v>ARTIGAS </v>
      </c>
      <c r="G3003" s="1" t="str">
        <f t="shared" si="2"/>
        <v>Roció</v>
      </c>
      <c r="H3003" s="1" t="str">
        <f>IFERROR(__xludf.DUMMYFUNCTION("""COMPUTED_VALUE"""),"8/3/2023, 17:00:00")</f>
        <v>8/3/2023, 17:00:00</v>
      </c>
      <c r="I3003" s="1" t="str">
        <f>IFERROR(__xludf.DUMMYFUNCTION("""COMPUTED_VALUE"""),"Completado en SUCURSAL")</f>
        <v>Completado en SUCURSAL</v>
      </c>
      <c r="J3003" s="1">
        <f t="shared" si="3"/>
        <v>5</v>
      </c>
      <c r="K3003" s="1" t="str">
        <f t="shared" si="4"/>
        <v>Tus Lentes estan LISTAS PARA ENTREGAR, te esperamos.</v>
      </c>
    </row>
    <row r="3004">
      <c r="A3004" s="1">
        <f>IFERROR(__xludf.DUMMYFUNCTION("""COMPUTED_VALUE"""),87549.0)</f>
        <v>87549</v>
      </c>
      <c r="B3004" s="5">
        <f>IFERROR(__xludf.DUMMYFUNCTION("""COMPUTED_VALUE"""),44992.522566597225)</f>
        <v>44992.52257</v>
      </c>
      <c r="C3004" s="1" t="str">
        <f>IFERROR(__xludf.DUMMYFUNCTION("""COMPUTED_VALUE"""),"FLORES JOHANA")</f>
        <v>FLORES JOHANA</v>
      </c>
      <c r="D3004" s="1" t="str">
        <f>IFERROR(__xludf.DUMMYFUNCTION("""COMPUTED_VALUE"""),"Reparaciones/Otros")</f>
        <v>Reparaciones/Otros</v>
      </c>
      <c r="E3004" s="1" t="str">
        <f>IFERROR(__xludf.DUMMYFUNCTION("""COMPUTED_VALUE"""),"ARTIGAS Roció")</f>
        <v>ARTIGAS Roció</v>
      </c>
      <c r="F3004" s="1" t="str">
        <f t="shared" si="1"/>
        <v>ARTIGAS </v>
      </c>
      <c r="G3004" s="1" t="str">
        <f t="shared" si="2"/>
        <v>Roció</v>
      </c>
      <c r="H3004" s="1" t="str">
        <f>IFERROR(__xludf.DUMMYFUNCTION("""COMPUTED_VALUE"""),"8/3/2023, 17:00:00")</f>
        <v>8/3/2023, 17:00:00</v>
      </c>
      <c r="I3004" s="1"/>
      <c r="J3004" s="1">
        <f t="shared" si="3"/>
        <v>0</v>
      </c>
      <c r="K3004" s="1" t="str">
        <f t="shared" si="4"/>
        <v/>
      </c>
    </row>
    <row r="3005">
      <c r="A3005" s="1">
        <f>IFERROR(__xludf.DUMMYFUNCTION("""COMPUTED_VALUE"""),87550.0)</f>
        <v>87550</v>
      </c>
      <c r="B3005" s="5">
        <f>IFERROR(__xludf.DUMMYFUNCTION("""COMPUTED_VALUE"""),44992.52447724537)</f>
        <v>44992.52448</v>
      </c>
      <c r="C3005" s="1" t="str">
        <f>IFERROR(__xludf.DUMMYFUNCTION("""COMPUTED_VALUE"""),"WANZO LOURDES")</f>
        <v>WANZO LOURDES</v>
      </c>
      <c r="D3005" s="1" t="str">
        <f>IFERROR(__xludf.DUMMYFUNCTION("""COMPUTED_VALUE"""),"Reparaciones/Otros")</f>
        <v>Reparaciones/Otros</v>
      </c>
      <c r="E3005" s="1" t="str">
        <f>IFERROR(__xludf.DUMMYFUNCTION("""COMPUTED_VALUE"""),"ARTIGAS Ivana P.")</f>
        <v>ARTIGAS Ivana P.</v>
      </c>
      <c r="F3005" s="1" t="str">
        <f t="shared" si="1"/>
        <v>ARTIGAS </v>
      </c>
      <c r="G3005" s="1" t="str">
        <f t="shared" si="2"/>
        <v>Ivana P.</v>
      </c>
      <c r="H3005" s="1" t="str">
        <f>IFERROR(__xludf.DUMMYFUNCTION("""COMPUTED_VALUE"""),"8/3/2023, 17:00:00")</f>
        <v>8/3/2023, 17:00:00</v>
      </c>
      <c r="I3005" s="1" t="str">
        <f>IFERROR(__xludf.DUMMYFUNCTION("""COMPUTED_VALUE"""),"Completado en SUCURSAL")</f>
        <v>Completado en SUCURSAL</v>
      </c>
      <c r="J3005" s="1">
        <f t="shared" si="3"/>
        <v>5</v>
      </c>
      <c r="K3005" s="1" t="str">
        <f t="shared" si="4"/>
        <v>Tus Lentes estan LISTAS PARA ENTREGAR, te esperamos.</v>
      </c>
    </row>
    <row r="3006">
      <c r="A3006" s="1">
        <f>IFERROR(__xludf.DUMMYFUNCTION("""COMPUTED_VALUE"""),87551.0)</f>
        <v>87551</v>
      </c>
      <c r="B3006" s="5">
        <f>IFERROR(__xludf.DUMMYFUNCTION("""COMPUTED_VALUE"""),44992.52495868056)</f>
        <v>44992.52496</v>
      </c>
      <c r="C3006" s="1" t="str">
        <f>IFERROR(__xludf.DUMMYFUNCTION("""COMPUTED_VALUE"""),"ZAMBRANO WALDO")</f>
        <v>ZAMBRANO WALDO</v>
      </c>
      <c r="D3006" s="1" t="str">
        <f>IFERROR(__xludf.DUMMYFUNCTION("""COMPUTED_VALUE"""),"Reparaciones/Otros")</f>
        <v>Reparaciones/Otros</v>
      </c>
      <c r="E3006" s="1" t="str">
        <f>IFERROR(__xludf.DUMMYFUNCTION("""COMPUTED_VALUE"""),"ARTIGAS Sandra G")</f>
        <v>ARTIGAS Sandra G</v>
      </c>
      <c r="F3006" s="1" t="str">
        <f t="shared" si="1"/>
        <v>ARTIGAS </v>
      </c>
      <c r="G3006" s="1" t="str">
        <f t="shared" si="2"/>
        <v>Sandra G</v>
      </c>
      <c r="H3006" s="1" t="str">
        <f>IFERROR(__xludf.DUMMYFUNCTION("""COMPUTED_VALUE"""),"8/3/2023, 17:00:00")</f>
        <v>8/3/2023, 17:00:00</v>
      </c>
      <c r="I3006" s="1" t="str">
        <f>IFERROR(__xludf.DUMMYFUNCTION("""COMPUTED_VALUE"""),"Recibido en Laboratorio")</f>
        <v>Recibido en Laboratorio</v>
      </c>
      <c r="J3006" s="1">
        <f t="shared" si="3"/>
        <v>2</v>
      </c>
      <c r="K3006" s="1" t="str">
        <f t="shared" si="4"/>
        <v>Nuestro Laboratorio esta trabajando en tus lentes, los entregaremos en la fecha acordada.</v>
      </c>
    </row>
    <row r="3007">
      <c r="A3007" s="1">
        <f>IFERROR(__xludf.DUMMYFUNCTION("""COMPUTED_VALUE"""),87552.0)</f>
        <v>87552</v>
      </c>
      <c r="B3007" s="5">
        <f>IFERROR(__xludf.DUMMYFUNCTION("""COMPUTED_VALUE"""),44992.5313600463)</f>
        <v>44992.53136</v>
      </c>
      <c r="C3007" s="1" t="str">
        <f>IFERROR(__xludf.DUMMYFUNCTION("""COMPUTED_VALUE"""),"PEREZ MARGARITA")</f>
        <v>PEREZ MARGARITA</v>
      </c>
      <c r="D3007" s="1" t="str">
        <f>IFERROR(__xludf.DUMMYFUNCTION("""COMPUTED_VALUE"""),"Reparaciones/Otros")</f>
        <v>Reparaciones/Otros</v>
      </c>
      <c r="E3007" s="1" t="str">
        <f>IFERROR(__xludf.DUMMYFUNCTION("""COMPUTED_VALUE"""),"RIVADAVIA Marcela L")</f>
        <v>RIVADAVIA Marcela L</v>
      </c>
      <c r="F3007" s="1" t="str">
        <f t="shared" si="1"/>
        <v>RIVADAVIA </v>
      </c>
      <c r="G3007" s="1" t="str">
        <f t="shared" si="2"/>
        <v>Marcela L</v>
      </c>
      <c r="H3007" s="1" t="str">
        <f>IFERROR(__xludf.DUMMYFUNCTION("""COMPUTED_VALUE"""),"8/3/2023, 17:00:00")</f>
        <v>8/3/2023, 17:00:00</v>
      </c>
      <c r="I3007" s="1"/>
      <c r="J3007" s="1">
        <f t="shared" si="3"/>
        <v>0</v>
      </c>
      <c r="K3007" s="1" t="str">
        <f t="shared" si="4"/>
        <v/>
      </c>
    </row>
    <row r="3008">
      <c r="A3008" s="1">
        <f>IFERROR(__xludf.DUMMYFUNCTION("""COMPUTED_VALUE"""),87553.0)</f>
        <v>87553</v>
      </c>
      <c r="B3008" s="5">
        <f>IFERROR(__xludf.DUMMYFUNCTION("""COMPUTED_VALUE"""),44992.53279932871)</f>
        <v>44992.5328</v>
      </c>
      <c r="C3008" s="1" t="str">
        <f>IFERROR(__xludf.DUMMYFUNCTION("""COMPUTED_VALUE"""),"PEREYRA RENEE")</f>
        <v>PEREYRA RENEE</v>
      </c>
      <c r="D3008" s="1" t="str">
        <f>IFERROR(__xludf.DUMMYFUNCTION("""COMPUTED_VALUE"""),"Lentes de STOCK")</f>
        <v>Lentes de STOCK</v>
      </c>
      <c r="E3008" s="1" t="str">
        <f>IFERROR(__xludf.DUMMYFUNCTION("""COMPUTED_VALUE"""),"RIVADAVIA Santiago N")</f>
        <v>RIVADAVIA Santiago N</v>
      </c>
      <c r="F3008" s="1" t="str">
        <f t="shared" si="1"/>
        <v>RIVADAVIA </v>
      </c>
      <c r="G3008" s="1" t="str">
        <f t="shared" si="2"/>
        <v>Santiago N</v>
      </c>
      <c r="H3008" s="1" t="str">
        <f>IFERROR(__xludf.DUMMYFUNCTION("""COMPUTED_VALUE"""),"9/3/2023, 17:00:00")</f>
        <v>9/3/2023, 17:00:00</v>
      </c>
      <c r="I3008" s="1" t="str">
        <f>IFERROR(__xludf.DUMMYFUNCTION("""COMPUTED_VALUE"""),"Completado en SUCURSAL")</f>
        <v>Completado en SUCURSAL</v>
      </c>
      <c r="J3008" s="1">
        <f t="shared" si="3"/>
        <v>5</v>
      </c>
      <c r="K3008" s="1" t="str">
        <f t="shared" si="4"/>
        <v>Tus Lentes estan LISTAS PARA ENTREGAR, te esperamos.</v>
      </c>
    </row>
    <row r="3009">
      <c r="A3009" s="1">
        <f>IFERROR(__xludf.DUMMYFUNCTION("""COMPUTED_VALUE"""),87554.0)</f>
        <v>87554</v>
      </c>
      <c r="B3009" s="5">
        <f>IFERROR(__xludf.DUMMYFUNCTION("""COMPUTED_VALUE"""),44992.541590925925)</f>
        <v>44992.54159</v>
      </c>
      <c r="C3009" s="1" t="str">
        <f>IFERROR(__xludf.DUMMYFUNCTION("""COMPUTED_VALUE"""),"GOMEZ ALEXIS")</f>
        <v>GOMEZ ALEXIS</v>
      </c>
      <c r="D3009" s="1" t="str">
        <f>IFERROR(__xludf.DUMMYFUNCTION("""COMPUTED_VALUE"""),"Lentes de LABORATORIO")</f>
        <v>Lentes de LABORATORIO</v>
      </c>
      <c r="E3009" s="1" t="str">
        <f>IFERROR(__xludf.DUMMYFUNCTION("""COMPUTED_VALUE"""),"RIVADAVIA Santiago N")</f>
        <v>RIVADAVIA Santiago N</v>
      </c>
      <c r="F3009" s="1" t="str">
        <f t="shared" si="1"/>
        <v>RIVADAVIA </v>
      </c>
      <c r="G3009" s="1" t="str">
        <f t="shared" si="2"/>
        <v>Santiago N</v>
      </c>
      <c r="H3009" s="1" t="str">
        <f>IFERROR(__xludf.DUMMYFUNCTION("""COMPUTED_VALUE"""),"14/3/2023, 17:00:00")</f>
        <v>14/3/2023, 17:00:00</v>
      </c>
      <c r="I3009" s="1" t="str">
        <f>IFERROR(__xludf.DUMMYFUNCTION("""COMPUTED_VALUE"""),"Completado en SUCURSAL")</f>
        <v>Completado en SUCURSAL</v>
      </c>
      <c r="J3009" s="1">
        <f t="shared" si="3"/>
        <v>5</v>
      </c>
      <c r="K3009" s="1" t="str">
        <f t="shared" si="4"/>
        <v>Tus Lentes estan LISTAS PARA ENTREGAR, te esperamos.</v>
      </c>
    </row>
    <row r="3010">
      <c r="A3010" s="1">
        <f>IFERROR(__xludf.DUMMYFUNCTION("""COMPUTED_VALUE"""),87555.0)</f>
        <v>87555</v>
      </c>
      <c r="B3010" s="5">
        <f>IFERROR(__xludf.DUMMYFUNCTION("""COMPUTED_VALUE"""),44992.5484416088)</f>
        <v>44992.54844</v>
      </c>
      <c r="C3010" s="1" t="str">
        <f>IFERROR(__xludf.DUMMYFUNCTION("""COMPUTED_VALUE"""),"VILLEGAS CAMILA")</f>
        <v>VILLEGAS CAMILA</v>
      </c>
      <c r="D3010" s="1" t="str">
        <f>IFERROR(__xludf.DUMMYFUNCTION("""COMPUTED_VALUE"""),"Lentes de STOCK")</f>
        <v>Lentes de STOCK</v>
      </c>
      <c r="E3010" s="1" t="str">
        <f>IFERROR(__xludf.DUMMYFUNCTION("""COMPUTED_VALUE"""),"RIVADAVIA Christian C.")</f>
        <v>RIVADAVIA Christian C.</v>
      </c>
      <c r="F3010" s="1" t="str">
        <f t="shared" si="1"/>
        <v>RIVADAVIA </v>
      </c>
      <c r="G3010" s="1" t="str">
        <f t="shared" si="2"/>
        <v>Christian C.</v>
      </c>
      <c r="H3010" s="1" t="str">
        <f>IFERROR(__xludf.DUMMYFUNCTION("""COMPUTED_VALUE"""),"10/3/2023, 17:00:00")</f>
        <v>10/3/2023, 17:00:00</v>
      </c>
      <c r="I3010" s="1" t="str">
        <f>IFERROR(__xludf.DUMMYFUNCTION("""COMPUTED_VALUE"""),"Completado en SUCURSAL")</f>
        <v>Completado en SUCURSAL</v>
      </c>
      <c r="J3010" s="1">
        <f t="shared" si="3"/>
        <v>5</v>
      </c>
      <c r="K3010" s="1" t="str">
        <f t="shared" si="4"/>
        <v>Tus Lentes estan LISTAS PARA ENTREGAR, te esperamos.</v>
      </c>
    </row>
    <row r="3011">
      <c r="A3011" s="1">
        <f>IFERROR(__xludf.DUMMYFUNCTION("""COMPUTED_VALUE"""),87556.0)</f>
        <v>87556</v>
      </c>
      <c r="B3011" s="5">
        <f>IFERROR(__xludf.DUMMYFUNCTION("""COMPUTED_VALUE"""),44992.555652766205)</f>
        <v>44992.55565</v>
      </c>
      <c r="C3011" s="1" t="str">
        <f>IFERROR(__xludf.DUMMYFUNCTION("""COMPUTED_VALUE"""),"ILLA NANCY SUSANA")</f>
        <v>ILLA NANCY SUSANA</v>
      </c>
      <c r="D3011" s="1" t="str">
        <f>IFERROR(__xludf.DUMMYFUNCTION("""COMPUTED_VALUE"""),"Lentes de STOCK")</f>
        <v>Lentes de STOCK</v>
      </c>
      <c r="E3011" s="1" t="str">
        <f>IFERROR(__xludf.DUMMYFUNCTION("""COMPUTED_VALUE"""),"RIVADAVIA Luciana")</f>
        <v>RIVADAVIA Luciana</v>
      </c>
      <c r="F3011" s="1" t="str">
        <f t="shared" si="1"/>
        <v>RIVADAVIA </v>
      </c>
      <c r="G3011" s="1" t="str">
        <f t="shared" si="2"/>
        <v>Luciana</v>
      </c>
      <c r="H3011" s="1" t="str">
        <f>IFERROR(__xludf.DUMMYFUNCTION("""COMPUTED_VALUE"""),"10/3/2023, 17:00:00")</f>
        <v>10/3/2023, 17:00:00</v>
      </c>
      <c r="I3011" s="1" t="str">
        <f>IFERROR(__xludf.DUMMYFUNCTION("""COMPUTED_VALUE"""),"Recibido en Laboratorio")</f>
        <v>Recibido en Laboratorio</v>
      </c>
      <c r="J3011" s="1">
        <f t="shared" si="3"/>
        <v>2</v>
      </c>
      <c r="K3011" s="1" t="str">
        <f t="shared" si="4"/>
        <v>Nuestro Laboratorio esta trabajando en tus lentes, los entregaremos en la fecha acordada.</v>
      </c>
    </row>
    <row r="3012">
      <c r="A3012" s="1">
        <f>IFERROR(__xludf.DUMMYFUNCTION("""COMPUTED_VALUE"""),87557.0)</f>
        <v>87557</v>
      </c>
      <c r="B3012" s="5">
        <f>IFERROR(__xludf.DUMMYFUNCTION("""COMPUTED_VALUE"""),44992.71445221065)</f>
        <v>44992.71445</v>
      </c>
      <c r="C3012" s="1" t="str">
        <f>IFERROR(__xludf.DUMMYFUNCTION("""COMPUTED_VALUE"""),"ALVAREZ BENJAMIN")</f>
        <v>ALVAREZ BENJAMIN</v>
      </c>
      <c r="D3012" s="1" t="str">
        <f>IFERROR(__xludf.DUMMYFUNCTION("""COMPUTED_VALUE"""),"Reparaciones/Otros")</f>
        <v>Reparaciones/Otros</v>
      </c>
      <c r="E3012" s="1" t="str">
        <f>IFERROR(__xludf.DUMMYFUNCTION("""COMPUTED_VALUE"""),"RIVADAVIA Santiago LOPEZ")</f>
        <v>RIVADAVIA Santiago LOPEZ</v>
      </c>
      <c r="F3012" s="1" t="str">
        <f t="shared" si="1"/>
        <v>RIVADAVIA </v>
      </c>
      <c r="G3012" s="1" t="str">
        <f t="shared" si="2"/>
        <v>Santiago LOPEZ</v>
      </c>
      <c r="H3012" s="1" t="str">
        <f>IFERROR(__xludf.DUMMYFUNCTION("""COMPUTED_VALUE"""),"8/3/2023, 17:00:00")</f>
        <v>8/3/2023, 17:00:00</v>
      </c>
      <c r="I3012" s="1"/>
      <c r="J3012" s="1">
        <f t="shared" si="3"/>
        <v>0</v>
      </c>
      <c r="K3012" s="1" t="str">
        <f t="shared" si="4"/>
        <v/>
      </c>
    </row>
    <row r="3013">
      <c r="A3013" s="1">
        <f>IFERROR(__xludf.DUMMYFUNCTION("""COMPUTED_VALUE"""),87558.0)</f>
        <v>87558</v>
      </c>
      <c r="B3013" s="5">
        <f>IFERROR(__xludf.DUMMYFUNCTION("""COMPUTED_VALUE"""),44992.71500314814)</f>
        <v>44992.715</v>
      </c>
      <c r="C3013" s="1" t="str">
        <f>IFERROR(__xludf.DUMMYFUNCTION("""COMPUTED_VALUE"""),"BODOC NEIL")</f>
        <v>BODOC NEIL</v>
      </c>
      <c r="D3013" s="1" t="str">
        <f>IFERROR(__xludf.DUMMYFUNCTION("""COMPUTED_VALUE"""),"Lentes de STOCK")</f>
        <v>Lentes de STOCK</v>
      </c>
      <c r="E3013" s="1" t="str">
        <f>IFERROR(__xludf.DUMMYFUNCTION("""COMPUTED_VALUE"""),"RIVADAVIA Santiago N")</f>
        <v>RIVADAVIA Santiago N</v>
      </c>
      <c r="F3013" s="1" t="str">
        <f t="shared" si="1"/>
        <v>RIVADAVIA </v>
      </c>
      <c r="G3013" s="1" t="str">
        <f t="shared" si="2"/>
        <v>Santiago N</v>
      </c>
      <c r="H3013" s="1" t="str">
        <f>IFERROR(__xludf.DUMMYFUNCTION("""COMPUTED_VALUE"""),"10/3/2023, 17:00:00")</f>
        <v>10/3/2023, 17:00:00</v>
      </c>
      <c r="I3013" s="1" t="str">
        <f>IFERROR(__xludf.DUMMYFUNCTION("""COMPUTED_VALUE"""),"Recibido en Laboratorio")</f>
        <v>Recibido en Laboratorio</v>
      </c>
      <c r="J3013" s="1">
        <f t="shared" si="3"/>
        <v>2</v>
      </c>
      <c r="K3013" s="1" t="str">
        <f t="shared" si="4"/>
        <v>Nuestro Laboratorio esta trabajando en tus lentes, los entregaremos en la fecha acordada.</v>
      </c>
    </row>
    <row r="3014">
      <c r="A3014" s="1">
        <f>IFERROR(__xludf.DUMMYFUNCTION("""COMPUTED_VALUE"""),87559.0)</f>
        <v>87559</v>
      </c>
      <c r="B3014" s="5">
        <f>IFERROR(__xludf.DUMMYFUNCTION("""COMPUTED_VALUE"""),44992.74553431713)</f>
        <v>44992.74553</v>
      </c>
      <c r="C3014" s="1" t="str">
        <f>IFERROR(__xludf.DUMMYFUNCTION("""COMPUTED_VALUE"""),"ROMERO MARIA")</f>
        <v>ROMERO MARIA</v>
      </c>
      <c r="D3014" s="1" t="str">
        <f>IFERROR(__xludf.DUMMYFUNCTION("""COMPUTED_VALUE"""),"Lentes de STOCK")</f>
        <v>Lentes de STOCK</v>
      </c>
      <c r="E3014" s="1" t="str">
        <f>IFERROR(__xludf.DUMMYFUNCTION("""COMPUTED_VALUE"""),"ARTIGAS Ivana P.")</f>
        <v>ARTIGAS Ivana P.</v>
      </c>
      <c r="F3014" s="1" t="str">
        <f t="shared" si="1"/>
        <v>ARTIGAS </v>
      </c>
      <c r="G3014" s="1" t="str">
        <f t="shared" si="2"/>
        <v>Ivana P.</v>
      </c>
      <c r="H3014" s="1" t="str">
        <f>IFERROR(__xludf.DUMMYFUNCTION("""COMPUTED_VALUE"""),"10/3/2023, 17:00:00")</f>
        <v>10/3/2023, 17:00:00</v>
      </c>
      <c r="I3014" s="1" t="str">
        <f>IFERROR(__xludf.DUMMYFUNCTION("""COMPUTED_VALUE"""),"Completado en SUCURSAL")</f>
        <v>Completado en SUCURSAL</v>
      </c>
      <c r="J3014" s="1">
        <f t="shared" si="3"/>
        <v>5</v>
      </c>
      <c r="K3014" s="1" t="str">
        <f t="shared" si="4"/>
        <v>Tus Lentes estan LISTAS PARA ENTREGAR, te esperamos.</v>
      </c>
    </row>
    <row r="3015">
      <c r="A3015" s="1">
        <f>IFERROR(__xludf.DUMMYFUNCTION("""COMPUTED_VALUE"""),87560.0)</f>
        <v>87560</v>
      </c>
      <c r="B3015" s="5">
        <f>IFERROR(__xludf.DUMMYFUNCTION("""COMPUTED_VALUE"""),44992.75198052083)</f>
        <v>44992.75198</v>
      </c>
      <c r="C3015" s="1" t="str">
        <f>IFERROR(__xludf.DUMMYFUNCTION("""COMPUTED_VALUE"""),"ORELLANO MIA")</f>
        <v>ORELLANO MIA</v>
      </c>
      <c r="D3015" s="1" t="str">
        <f>IFERROR(__xludf.DUMMYFUNCTION("""COMPUTED_VALUE"""),"Lentes de LABORATORIO")</f>
        <v>Lentes de LABORATORIO</v>
      </c>
      <c r="E3015" s="1" t="str">
        <f>IFERROR(__xludf.DUMMYFUNCTION("""COMPUTED_VALUE"""),"RIVADAVIA Santiago N")</f>
        <v>RIVADAVIA Santiago N</v>
      </c>
      <c r="F3015" s="1" t="str">
        <f t="shared" si="1"/>
        <v>RIVADAVIA </v>
      </c>
      <c r="G3015" s="1" t="str">
        <f t="shared" si="2"/>
        <v>Santiago N</v>
      </c>
      <c r="H3015" s="1" t="str">
        <f>IFERROR(__xludf.DUMMYFUNCTION("""COMPUTED_VALUE"""),"22/3/2023, 17:00:00")</f>
        <v>22/3/2023, 17:00:00</v>
      </c>
      <c r="I3015" s="1" t="str">
        <f>IFERROR(__xludf.DUMMYFUNCTION("""COMPUTED_VALUE"""),"Completado en SUCURSAL")</f>
        <v>Completado en SUCURSAL</v>
      </c>
      <c r="J3015" s="1">
        <f t="shared" si="3"/>
        <v>5</v>
      </c>
      <c r="K3015" s="1" t="str">
        <f t="shared" si="4"/>
        <v>Tus Lentes estan LISTAS PARA ENTREGAR, te esperamos.</v>
      </c>
    </row>
    <row r="3016">
      <c r="A3016" s="1">
        <f>IFERROR(__xludf.DUMMYFUNCTION("""COMPUTED_VALUE"""),87561.0)</f>
        <v>87561</v>
      </c>
      <c r="B3016" s="5">
        <f>IFERROR(__xludf.DUMMYFUNCTION("""COMPUTED_VALUE"""),44992.75543065972)</f>
        <v>44992.75543</v>
      </c>
      <c r="C3016" s="1" t="str">
        <f>IFERROR(__xludf.DUMMYFUNCTION("""COMPUTED_VALUE"""),"GONELLA JOSE MIGUEL")</f>
        <v>GONELLA JOSE MIGUEL</v>
      </c>
      <c r="D3016" s="1" t="str">
        <f>IFERROR(__xludf.DUMMYFUNCTION("""COMPUTED_VALUE"""),"Reparaciones/Otros")</f>
        <v>Reparaciones/Otros</v>
      </c>
      <c r="E3016" s="1" t="str">
        <f>IFERROR(__xludf.DUMMYFUNCTION("""COMPUTED_VALUE"""),"RIVADAVIA Daniel CM")</f>
        <v>RIVADAVIA Daniel CM</v>
      </c>
      <c r="F3016" s="1" t="str">
        <f t="shared" si="1"/>
        <v>RIVADAVIA </v>
      </c>
      <c r="G3016" s="1" t="str">
        <f t="shared" si="2"/>
        <v>Daniel CM</v>
      </c>
      <c r="H3016" s="1" t="str">
        <f>IFERROR(__xludf.DUMMYFUNCTION("""COMPUTED_VALUE"""),"8/3/2023, 17:00:00")</f>
        <v>8/3/2023, 17:00:00</v>
      </c>
      <c r="I3016" s="1" t="str">
        <f>IFERROR(__xludf.DUMMYFUNCTION("""COMPUTED_VALUE"""),"Completado en SUCURSAL")</f>
        <v>Completado en SUCURSAL</v>
      </c>
      <c r="J3016" s="1">
        <f t="shared" si="3"/>
        <v>5</v>
      </c>
      <c r="K3016" s="1" t="str">
        <f t="shared" si="4"/>
        <v>Tus Lentes estan LISTAS PARA ENTREGAR, te esperamos.</v>
      </c>
    </row>
    <row r="3017">
      <c r="A3017" s="1">
        <f>IFERROR(__xludf.DUMMYFUNCTION("""COMPUTED_VALUE"""),87562.0)</f>
        <v>87562</v>
      </c>
      <c r="B3017" s="5">
        <f>IFERROR(__xludf.DUMMYFUNCTION("""COMPUTED_VALUE"""),44992.76598494213)</f>
        <v>44992.76598</v>
      </c>
      <c r="C3017" s="1" t="str">
        <f>IFERROR(__xludf.DUMMYFUNCTION("""COMPUTED_VALUE"""),"GIANTINOTTO MARIA IRENE")</f>
        <v>GIANTINOTTO MARIA IRENE</v>
      </c>
      <c r="D3017" s="1" t="str">
        <f>IFERROR(__xludf.DUMMYFUNCTION("""COMPUTED_VALUE"""),"Lentes de STOCK")</f>
        <v>Lentes de STOCK</v>
      </c>
      <c r="E3017" s="1" t="str">
        <f>IFERROR(__xludf.DUMMYFUNCTION("""COMPUTED_VALUE"""),"ARTIGAS Roció")</f>
        <v>ARTIGAS Roció</v>
      </c>
      <c r="F3017" s="1" t="str">
        <f t="shared" si="1"/>
        <v>ARTIGAS </v>
      </c>
      <c r="G3017" s="1" t="str">
        <f t="shared" si="2"/>
        <v>Roció</v>
      </c>
      <c r="H3017" s="1" t="str">
        <f>IFERROR(__xludf.DUMMYFUNCTION("""COMPUTED_VALUE"""),"14/3/2023, 17:00:00")</f>
        <v>14/3/2023, 17:00:00</v>
      </c>
      <c r="I3017" s="1" t="str">
        <f>IFERROR(__xludf.DUMMYFUNCTION("""COMPUTED_VALUE"""),"Completado en SUCURSAL")</f>
        <v>Completado en SUCURSAL</v>
      </c>
      <c r="J3017" s="1">
        <f t="shared" si="3"/>
        <v>5</v>
      </c>
      <c r="K3017" s="1" t="str">
        <f t="shared" si="4"/>
        <v>Tus Lentes estan LISTAS PARA ENTREGAR, te esperamos.</v>
      </c>
    </row>
    <row r="3018">
      <c r="A3018" s="1">
        <f>IFERROR(__xludf.DUMMYFUNCTION("""COMPUTED_VALUE"""),87563.0)</f>
        <v>87563</v>
      </c>
      <c r="B3018" s="5">
        <f>IFERROR(__xludf.DUMMYFUNCTION("""COMPUTED_VALUE"""),44992.77111392361)</f>
        <v>44992.77111</v>
      </c>
      <c r="C3018" s="1" t="str">
        <f>IFERROR(__xludf.DUMMYFUNCTION("""COMPUTED_VALUE"""),"POMA DE OTAEGUI SOLEDAD")</f>
        <v>POMA DE OTAEGUI SOLEDAD</v>
      </c>
      <c r="D3018" s="1" t="str">
        <f>IFERROR(__xludf.DUMMYFUNCTION("""COMPUTED_VALUE"""),"Lentes de STOCK")</f>
        <v>Lentes de STOCK</v>
      </c>
      <c r="E3018" s="1" t="str">
        <f>IFERROR(__xludf.DUMMYFUNCTION("""COMPUTED_VALUE"""),"ARTIGAS Ivana P.")</f>
        <v>ARTIGAS Ivana P.</v>
      </c>
      <c r="F3018" s="1" t="str">
        <f t="shared" si="1"/>
        <v>ARTIGAS </v>
      </c>
      <c r="G3018" s="1" t="str">
        <f t="shared" si="2"/>
        <v>Ivana P.</v>
      </c>
      <c r="H3018" s="1" t="str">
        <f>IFERROR(__xludf.DUMMYFUNCTION("""COMPUTED_VALUE"""),"14/3/2023, 17:00:00")</f>
        <v>14/3/2023, 17:00:00</v>
      </c>
      <c r="I3018" s="1" t="str">
        <f>IFERROR(__xludf.DUMMYFUNCTION("""COMPUTED_VALUE"""),"Completado en SUCURSAL")</f>
        <v>Completado en SUCURSAL</v>
      </c>
      <c r="J3018" s="1">
        <f t="shared" si="3"/>
        <v>5</v>
      </c>
      <c r="K3018" s="1" t="str">
        <f t="shared" si="4"/>
        <v>Tus Lentes estan LISTAS PARA ENTREGAR, te esperamos.</v>
      </c>
    </row>
    <row r="3019">
      <c r="A3019" s="1">
        <f>IFERROR(__xludf.DUMMYFUNCTION("""COMPUTED_VALUE"""),87564.0)</f>
        <v>87564</v>
      </c>
      <c r="B3019" s="5">
        <f>IFERROR(__xludf.DUMMYFUNCTION("""COMPUTED_VALUE"""),44992.78358232639)</f>
        <v>44992.78358</v>
      </c>
      <c r="C3019" s="1" t="str">
        <f>IFERROR(__xludf.DUMMYFUNCTION("""COMPUTED_VALUE"""),"HUARTE JOAQUIN ")</f>
        <v>HUARTE JOAQUIN </v>
      </c>
      <c r="D3019" s="1" t="str">
        <f>IFERROR(__xludf.DUMMYFUNCTION("""COMPUTED_VALUE"""),"Lentes de STOCK")</f>
        <v>Lentes de STOCK</v>
      </c>
      <c r="E3019" s="1" t="str">
        <f>IFERROR(__xludf.DUMMYFUNCTION("""COMPUTED_VALUE"""),"RIVADAVIA Luciana")</f>
        <v>RIVADAVIA Luciana</v>
      </c>
      <c r="F3019" s="1" t="str">
        <f t="shared" si="1"/>
        <v>RIVADAVIA </v>
      </c>
      <c r="G3019" s="1" t="str">
        <f t="shared" si="2"/>
        <v>Luciana</v>
      </c>
      <c r="H3019" s="1" t="str">
        <f>IFERROR(__xludf.DUMMYFUNCTION("""COMPUTED_VALUE"""),"13/3/2023, 17:00:00")</f>
        <v>13/3/2023, 17:00:00</v>
      </c>
      <c r="I3019" s="1" t="str">
        <f>IFERROR(__xludf.DUMMYFUNCTION("""COMPUTED_VALUE"""),"Completado en SUCURSAL")</f>
        <v>Completado en SUCURSAL</v>
      </c>
      <c r="J3019" s="1">
        <f t="shared" si="3"/>
        <v>5</v>
      </c>
      <c r="K3019" s="1" t="str">
        <f t="shared" si="4"/>
        <v>Tus Lentes estan LISTAS PARA ENTREGAR, te esperamos.</v>
      </c>
    </row>
    <row r="3020">
      <c r="A3020" s="1">
        <f>IFERROR(__xludf.DUMMYFUNCTION("""COMPUTED_VALUE"""),87565.0)</f>
        <v>87565</v>
      </c>
      <c r="B3020" s="5">
        <f>IFERROR(__xludf.DUMMYFUNCTION("""COMPUTED_VALUE"""),44992.78595341435)</f>
        <v>44992.78595</v>
      </c>
      <c r="C3020" s="1" t="str">
        <f>IFERROR(__xludf.DUMMYFUNCTION("""COMPUTED_VALUE"""),"MOYANO GISELLA")</f>
        <v>MOYANO GISELLA</v>
      </c>
      <c r="D3020" s="1" t="str">
        <f>IFERROR(__xludf.DUMMYFUNCTION("""COMPUTED_VALUE"""),"Lentes de STOCK")</f>
        <v>Lentes de STOCK</v>
      </c>
      <c r="E3020" s="1" t="str">
        <f>IFERROR(__xludf.DUMMYFUNCTION("""COMPUTED_VALUE"""),"ARTIGAS Ivana P.")</f>
        <v>ARTIGAS Ivana P.</v>
      </c>
      <c r="F3020" s="1" t="str">
        <f t="shared" si="1"/>
        <v>ARTIGAS </v>
      </c>
      <c r="G3020" s="1" t="str">
        <f t="shared" si="2"/>
        <v>Ivana P.</v>
      </c>
      <c r="H3020" s="1" t="str">
        <f>IFERROR(__xludf.DUMMYFUNCTION("""COMPUTED_VALUE"""),"10/3/2023, 17:00:00")</f>
        <v>10/3/2023, 17:00:00</v>
      </c>
      <c r="I3020" s="1" t="str">
        <f>IFERROR(__xludf.DUMMYFUNCTION("""COMPUTED_VALUE"""),"Completado en SUCURSAL")</f>
        <v>Completado en SUCURSAL</v>
      </c>
      <c r="J3020" s="1">
        <f t="shared" si="3"/>
        <v>5</v>
      </c>
      <c r="K3020" s="1" t="str">
        <f t="shared" si="4"/>
        <v>Tus Lentes estan LISTAS PARA ENTREGAR, te esperamos.</v>
      </c>
    </row>
    <row r="3021">
      <c r="A3021" s="1">
        <f>IFERROR(__xludf.DUMMYFUNCTION("""COMPUTED_VALUE"""),87566.0)</f>
        <v>87566</v>
      </c>
      <c r="B3021" s="5">
        <f>IFERROR(__xludf.DUMMYFUNCTION("""COMPUTED_VALUE"""),44992.78661189815)</f>
        <v>44992.78661</v>
      </c>
      <c r="C3021" s="1" t="str">
        <f>IFERROR(__xludf.DUMMYFUNCTION("""COMPUTED_VALUE"""),"MITCHELL QUIROGA BRENDA")</f>
        <v>MITCHELL QUIROGA BRENDA</v>
      </c>
      <c r="D3021" s="1" t="str">
        <f>IFERROR(__xludf.DUMMYFUNCTION("""COMPUTED_VALUE"""),"Lentes de STOCK")</f>
        <v>Lentes de STOCK</v>
      </c>
      <c r="E3021" s="1" t="str">
        <f>IFERROR(__xludf.DUMMYFUNCTION("""COMPUTED_VALUE"""),"RIVADAVIA Daniel CM")</f>
        <v>RIVADAVIA Daniel CM</v>
      </c>
      <c r="F3021" s="1" t="str">
        <f t="shared" si="1"/>
        <v>RIVADAVIA </v>
      </c>
      <c r="G3021" s="1" t="str">
        <f t="shared" si="2"/>
        <v>Daniel CM</v>
      </c>
      <c r="H3021" s="1" t="str">
        <f>IFERROR(__xludf.DUMMYFUNCTION("""COMPUTED_VALUE"""),"10/3/2023, 17:00:00")</f>
        <v>10/3/2023, 17:00:00</v>
      </c>
      <c r="I3021" s="1" t="str">
        <f>IFERROR(__xludf.DUMMYFUNCTION("""COMPUTED_VALUE"""),"Recibido en Laboratorio")</f>
        <v>Recibido en Laboratorio</v>
      </c>
      <c r="J3021" s="1">
        <f t="shared" si="3"/>
        <v>2</v>
      </c>
      <c r="K3021" s="1" t="str">
        <f t="shared" si="4"/>
        <v>Nuestro Laboratorio esta trabajando en tus lentes, los entregaremos en la fecha acordada.</v>
      </c>
    </row>
    <row r="3022">
      <c r="A3022" s="1">
        <f>IFERROR(__xludf.DUMMYFUNCTION("""COMPUTED_VALUE"""),87567.0)</f>
        <v>87567</v>
      </c>
      <c r="B3022" s="5">
        <f>IFERROR(__xludf.DUMMYFUNCTION("""COMPUTED_VALUE"""),44992.78833324074)</f>
        <v>44992.78833</v>
      </c>
      <c r="C3022" s="1" t="str">
        <f>IFERROR(__xludf.DUMMYFUNCTION("""COMPUTED_VALUE"""),"MELGAREJO NORMA")</f>
        <v>MELGAREJO NORMA</v>
      </c>
      <c r="D3022" s="1" t="str">
        <f>IFERROR(__xludf.DUMMYFUNCTION("""COMPUTED_VALUE"""),"Lentes de STOCK")</f>
        <v>Lentes de STOCK</v>
      </c>
      <c r="E3022" s="1" t="str">
        <f>IFERROR(__xludf.DUMMYFUNCTION("""COMPUTED_VALUE"""),"RIVADAVIA Luciana")</f>
        <v>RIVADAVIA Luciana</v>
      </c>
      <c r="F3022" s="1" t="str">
        <f t="shared" si="1"/>
        <v>RIVADAVIA </v>
      </c>
      <c r="G3022" s="1" t="str">
        <f t="shared" si="2"/>
        <v>Luciana</v>
      </c>
      <c r="H3022" s="1" t="str">
        <f>IFERROR(__xludf.DUMMYFUNCTION("""COMPUTED_VALUE"""),"10/3/2023, 17:00:00")</f>
        <v>10/3/2023, 17:00:00</v>
      </c>
      <c r="I3022" s="1" t="str">
        <f>IFERROR(__xludf.DUMMYFUNCTION("""COMPUTED_VALUE"""),"Completado en SUCURSAL")</f>
        <v>Completado en SUCURSAL</v>
      </c>
      <c r="J3022" s="1">
        <f t="shared" si="3"/>
        <v>5</v>
      </c>
      <c r="K3022" s="1" t="str">
        <f t="shared" si="4"/>
        <v>Tus Lentes estan LISTAS PARA ENTREGAR, te esperamos.</v>
      </c>
    </row>
    <row r="3023">
      <c r="A3023" s="1">
        <f>IFERROR(__xludf.DUMMYFUNCTION("""COMPUTED_VALUE"""),87568.0)</f>
        <v>87568</v>
      </c>
      <c r="B3023" s="5">
        <f>IFERROR(__xludf.DUMMYFUNCTION("""COMPUTED_VALUE"""),44992.79080608796)</f>
        <v>44992.79081</v>
      </c>
      <c r="C3023" s="1" t="str">
        <f>IFERROR(__xludf.DUMMYFUNCTION("""COMPUTED_VALUE"""),"Alcaraz federico ariel ")</f>
        <v>Alcaraz federico ariel </v>
      </c>
      <c r="D3023" s="1" t="str">
        <f>IFERROR(__xludf.DUMMYFUNCTION("""COMPUTED_VALUE"""),"Reparaciones/Otros")</f>
        <v>Reparaciones/Otros</v>
      </c>
      <c r="E3023" s="1" t="str">
        <f>IFERROR(__xludf.DUMMYFUNCTION("""COMPUTED_VALUE"""),"ARTIGAS Micaela")</f>
        <v>ARTIGAS Micaela</v>
      </c>
      <c r="F3023" s="1" t="str">
        <f t="shared" si="1"/>
        <v>ARTIGAS </v>
      </c>
      <c r="G3023" s="1" t="str">
        <f t="shared" si="2"/>
        <v>Micaela</v>
      </c>
      <c r="H3023" s="1" t="str">
        <f>IFERROR(__xludf.DUMMYFUNCTION("""COMPUTED_VALUE"""),"8/3/2023, 17:00:00")</f>
        <v>8/3/2023, 17:00:00</v>
      </c>
      <c r="I3023" s="1" t="str">
        <f>IFERROR(__xludf.DUMMYFUNCTION("""COMPUTED_VALUE"""),"Completado en SUCURSAL")</f>
        <v>Completado en SUCURSAL</v>
      </c>
      <c r="J3023" s="1">
        <f t="shared" si="3"/>
        <v>5</v>
      </c>
      <c r="K3023" s="1" t="str">
        <f t="shared" si="4"/>
        <v>Tus Lentes estan LISTAS PARA ENTREGAR, te esperamos.</v>
      </c>
    </row>
    <row r="3024">
      <c r="A3024" s="1">
        <f>IFERROR(__xludf.DUMMYFUNCTION("""COMPUTED_VALUE"""),87569.0)</f>
        <v>87569</v>
      </c>
      <c r="B3024" s="5">
        <f>IFERROR(__xludf.DUMMYFUNCTION("""COMPUTED_VALUE"""),44992.797058993056)</f>
        <v>44992.79706</v>
      </c>
      <c r="C3024" s="1" t="str">
        <f>IFERROR(__xludf.DUMMYFUNCTION("""COMPUTED_VALUE"""),"Ojeda Hilda")</f>
        <v>Ojeda Hilda</v>
      </c>
      <c r="D3024" s="1" t="str">
        <f>IFERROR(__xludf.DUMMYFUNCTION("""COMPUTED_VALUE"""),"Reparaciones/Otros")</f>
        <v>Reparaciones/Otros</v>
      </c>
      <c r="E3024" s="1" t="str">
        <f>IFERROR(__xludf.DUMMYFUNCTION("""COMPUTED_VALUE"""),"ARTIGAS Micaela")</f>
        <v>ARTIGAS Micaela</v>
      </c>
      <c r="F3024" s="1" t="str">
        <f t="shared" si="1"/>
        <v>ARTIGAS </v>
      </c>
      <c r="G3024" s="1" t="str">
        <f t="shared" si="2"/>
        <v>Micaela</v>
      </c>
      <c r="H3024" s="1" t="str">
        <f>IFERROR(__xludf.DUMMYFUNCTION("""COMPUTED_VALUE"""),"8/3/2023, 17:00:00")</f>
        <v>8/3/2023, 17:00:00</v>
      </c>
      <c r="I3024" s="1" t="str">
        <f>IFERROR(__xludf.DUMMYFUNCTION("""COMPUTED_VALUE"""),"Completado en SUCURSAL")</f>
        <v>Completado en SUCURSAL</v>
      </c>
      <c r="J3024" s="1">
        <f t="shared" si="3"/>
        <v>5</v>
      </c>
      <c r="K3024" s="1" t="str">
        <f t="shared" si="4"/>
        <v>Tus Lentes estan LISTAS PARA ENTREGAR, te esperamos.</v>
      </c>
    </row>
    <row r="3025">
      <c r="A3025" s="1">
        <f>IFERROR(__xludf.DUMMYFUNCTION("""COMPUTED_VALUE"""),87570.0)</f>
        <v>87570</v>
      </c>
      <c r="B3025" s="5">
        <f>IFERROR(__xludf.DUMMYFUNCTION("""COMPUTED_VALUE"""),44992.79787394676)</f>
        <v>44992.79787</v>
      </c>
      <c r="C3025" s="1" t="str">
        <f>IFERROR(__xludf.DUMMYFUNCTION("""COMPUTED_VALUE"""),"ZANIN LAURA ANA")</f>
        <v>ZANIN LAURA ANA</v>
      </c>
      <c r="D3025" s="1" t="str">
        <f>IFERROR(__xludf.DUMMYFUNCTION("""COMPUTED_VALUE"""),"Reparaciones/Otros")</f>
        <v>Reparaciones/Otros</v>
      </c>
      <c r="E3025" s="1" t="str">
        <f>IFERROR(__xludf.DUMMYFUNCTION("""COMPUTED_VALUE"""),"RIVADAVIA Santiago N")</f>
        <v>RIVADAVIA Santiago N</v>
      </c>
      <c r="F3025" s="1" t="str">
        <f t="shared" si="1"/>
        <v>RIVADAVIA </v>
      </c>
      <c r="G3025" s="1" t="str">
        <f t="shared" si="2"/>
        <v>Santiago N</v>
      </c>
      <c r="H3025" s="1" t="str">
        <f>IFERROR(__xludf.DUMMYFUNCTION("""COMPUTED_VALUE"""),"8/3/2023, 17:00:00")</f>
        <v>8/3/2023, 17:00:00</v>
      </c>
      <c r="I3025" s="1" t="str">
        <f>IFERROR(__xludf.DUMMYFUNCTION("""COMPUTED_VALUE"""),"Completado en SUCURSAL")</f>
        <v>Completado en SUCURSAL</v>
      </c>
      <c r="J3025" s="1">
        <f t="shared" si="3"/>
        <v>5</v>
      </c>
      <c r="K3025" s="1" t="str">
        <f t="shared" si="4"/>
        <v>Tus Lentes estan LISTAS PARA ENTREGAR, te esperamos.</v>
      </c>
    </row>
    <row r="3026">
      <c r="A3026" s="1">
        <f>IFERROR(__xludf.DUMMYFUNCTION("""COMPUTED_VALUE"""),87571.0)</f>
        <v>87571</v>
      </c>
      <c r="B3026" s="5">
        <f>IFERROR(__xludf.DUMMYFUNCTION("""COMPUTED_VALUE"""),44992.800104016205)</f>
        <v>44992.8001</v>
      </c>
      <c r="C3026" s="1" t="str">
        <f>IFERROR(__xludf.DUMMYFUNCTION("""COMPUTED_VALUE"""),"CALDERON ANA")</f>
        <v>CALDERON ANA</v>
      </c>
      <c r="D3026" s="1" t="str">
        <f>IFERROR(__xludf.DUMMYFUNCTION("""COMPUTED_VALUE"""),"Lentes de STOCK")</f>
        <v>Lentes de STOCK</v>
      </c>
      <c r="E3026" s="1" t="str">
        <f>IFERROR(__xludf.DUMMYFUNCTION("""COMPUTED_VALUE"""),"ARTIGAS Ivana P.")</f>
        <v>ARTIGAS Ivana P.</v>
      </c>
      <c r="F3026" s="1" t="str">
        <f t="shared" si="1"/>
        <v>ARTIGAS </v>
      </c>
      <c r="G3026" s="1" t="str">
        <f t="shared" si="2"/>
        <v>Ivana P.</v>
      </c>
      <c r="H3026" s="1" t="str">
        <f>IFERROR(__xludf.DUMMYFUNCTION("""COMPUTED_VALUE"""),"10/3/2023, 17:00:00")</f>
        <v>10/3/2023, 17:00:00</v>
      </c>
      <c r="I3026" s="1" t="str">
        <f>IFERROR(__xludf.DUMMYFUNCTION("""COMPUTED_VALUE"""),"Recibido en Laboratorio")</f>
        <v>Recibido en Laboratorio</v>
      </c>
      <c r="J3026" s="1">
        <f t="shared" si="3"/>
        <v>2</v>
      </c>
      <c r="K3026" s="1" t="str">
        <f t="shared" si="4"/>
        <v>Nuestro Laboratorio esta trabajando en tus lentes, los entregaremos en la fecha acordada.</v>
      </c>
    </row>
    <row r="3027">
      <c r="A3027" s="1">
        <f>IFERROR(__xludf.DUMMYFUNCTION("""COMPUTED_VALUE"""),87572.0)</f>
        <v>87572</v>
      </c>
      <c r="B3027" s="5">
        <f>IFERROR(__xludf.DUMMYFUNCTION("""COMPUTED_VALUE"""),44992.80423701389)</f>
        <v>44992.80424</v>
      </c>
      <c r="C3027" s="1" t="str">
        <f>IFERROR(__xludf.DUMMYFUNCTION("""COMPUTED_VALUE"""),"Tello Alejandra")</f>
        <v>Tello Alejandra</v>
      </c>
      <c r="D3027" s="1" t="str">
        <f>IFERROR(__xludf.DUMMYFUNCTION("""COMPUTED_VALUE"""),"Reparaciones/Otros")</f>
        <v>Reparaciones/Otros</v>
      </c>
      <c r="E3027" s="1" t="str">
        <f>IFERROR(__xludf.DUMMYFUNCTION("""COMPUTED_VALUE"""),"ARTIGAS Micaela")</f>
        <v>ARTIGAS Micaela</v>
      </c>
      <c r="F3027" s="1" t="str">
        <f t="shared" si="1"/>
        <v>ARTIGAS </v>
      </c>
      <c r="G3027" s="1" t="str">
        <f t="shared" si="2"/>
        <v>Micaela</v>
      </c>
      <c r="H3027" s="1" t="str">
        <f>IFERROR(__xludf.DUMMYFUNCTION("""COMPUTED_VALUE"""),"9/3/2023, 17:00:00")</f>
        <v>9/3/2023, 17:00:00</v>
      </c>
      <c r="I3027" s="1" t="str">
        <f>IFERROR(__xludf.DUMMYFUNCTION("""COMPUTED_VALUE"""),"Completado en SUCURSAL")</f>
        <v>Completado en SUCURSAL</v>
      </c>
      <c r="J3027" s="1">
        <f t="shared" si="3"/>
        <v>5</v>
      </c>
      <c r="K3027" s="1" t="str">
        <f t="shared" si="4"/>
        <v>Tus Lentes estan LISTAS PARA ENTREGAR, te esperamos.</v>
      </c>
    </row>
    <row r="3028">
      <c r="A3028" s="1">
        <f>IFERROR(__xludf.DUMMYFUNCTION("""COMPUTED_VALUE"""),87573.0)</f>
        <v>87573</v>
      </c>
      <c r="B3028" s="5">
        <f>IFERROR(__xludf.DUMMYFUNCTION("""COMPUTED_VALUE"""),44992.807083541666)</f>
        <v>44992.80708</v>
      </c>
      <c r="C3028" s="1" t="str">
        <f>IFERROR(__xludf.DUMMYFUNCTION("""COMPUTED_VALUE"""),"MARTINEZ GUADALUPE")</f>
        <v>MARTINEZ GUADALUPE</v>
      </c>
      <c r="D3028" s="1" t="str">
        <f>IFERROR(__xludf.DUMMYFUNCTION("""COMPUTED_VALUE"""),"Lentes de STOCK")</f>
        <v>Lentes de STOCK</v>
      </c>
      <c r="E3028" s="1" t="str">
        <f>IFERROR(__xludf.DUMMYFUNCTION("""COMPUTED_VALUE"""),"ARTIGAS Roció")</f>
        <v>ARTIGAS Roció</v>
      </c>
      <c r="F3028" s="1" t="str">
        <f t="shared" si="1"/>
        <v>ARTIGAS </v>
      </c>
      <c r="G3028" s="1" t="str">
        <f t="shared" si="2"/>
        <v>Roció</v>
      </c>
      <c r="H3028" s="1" t="str">
        <f>IFERROR(__xludf.DUMMYFUNCTION("""COMPUTED_VALUE"""),"14/3/2023, 17:00:00")</f>
        <v>14/3/2023, 17:00:00</v>
      </c>
      <c r="I3028" s="1" t="str">
        <f>IFERROR(__xludf.DUMMYFUNCTION("""COMPUTED_VALUE"""),"Recibido en Laboratorio")</f>
        <v>Recibido en Laboratorio</v>
      </c>
      <c r="J3028" s="1">
        <f t="shared" si="3"/>
        <v>2</v>
      </c>
      <c r="K3028" s="1" t="str">
        <f t="shared" si="4"/>
        <v>Nuestro Laboratorio esta trabajando en tus lentes, los entregaremos en la fecha acordada.</v>
      </c>
    </row>
    <row r="3029">
      <c r="A3029" s="1">
        <f>IFERROR(__xludf.DUMMYFUNCTION("""COMPUTED_VALUE"""),87574.0)</f>
        <v>87574</v>
      </c>
      <c r="B3029" s="5">
        <f>IFERROR(__xludf.DUMMYFUNCTION("""COMPUTED_VALUE"""),44992.807639108796)</f>
        <v>44992.80764</v>
      </c>
      <c r="C3029" s="1" t="str">
        <f>IFERROR(__xludf.DUMMYFUNCTION("""COMPUTED_VALUE"""),"GIMENEZ RICARDO JAVIER")</f>
        <v>GIMENEZ RICARDO JAVIER</v>
      </c>
      <c r="D3029" s="1" t="str">
        <f>IFERROR(__xludf.DUMMYFUNCTION("""COMPUTED_VALUE"""),"Lentes de STOCK")</f>
        <v>Lentes de STOCK</v>
      </c>
      <c r="E3029" s="1" t="str">
        <f>IFERROR(__xludf.DUMMYFUNCTION("""COMPUTED_VALUE"""),"RIVADAVIA Santiago N")</f>
        <v>RIVADAVIA Santiago N</v>
      </c>
      <c r="F3029" s="1" t="str">
        <f t="shared" si="1"/>
        <v>RIVADAVIA </v>
      </c>
      <c r="G3029" s="1" t="str">
        <f t="shared" si="2"/>
        <v>Santiago N</v>
      </c>
      <c r="H3029" s="1" t="str">
        <f>IFERROR(__xludf.DUMMYFUNCTION("""COMPUTED_VALUE"""),"10/3/2023, 17:00:00")</f>
        <v>10/3/2023, 17:00:00</v>
      </c>
      <c r="I3029" s="1" t="str">
        <f>IFERROR(__xludf.DUMMYFUNCTION("""COMPUTED_VALUE"""),"Completado en SUCURSAL")</f>
        <v>Completado en SUCURSAL</v>
      </c>
      <c r="J3029" s="1">
        <f t="shared" si="3"/>
        <v>5</v>
      </c>
      <c r="K3029" s="1" t="str">
        <f t="shared" si="4"/>
        <v>Tus Lentes estan LISTAS PARA ENTREGAR, te esperamos.</v>
      </c>
    </row>
    <row r="3030">
      <c r="A3030" s="1">
        <f>IFERROR(__xludf.DUMMYFUNCTION("""COMPUTED_VALUE"""),87575.0)</f>
        <v>87575</v>
      </c>
      <c r="B3030" s="5">
        <f>IFERROR(__xludf.DUMMYFUNCTION("""COMPUTED_VALUE"""),44992.80884300926)</f>
        <v>44992.80884</v>
      </c>
      <c r="C3030" s="1" t="str">
        <f>IFERROR(__xludf.DUMMYFUNCTION("""COMPUTED_VALUE"""),"escudero celina")</f>
        <v>escudero celina</v>
      </c>
      <c r="D3030" s="1" t="str">
        <f>IFERROR(__xludf.DUMMYFUNCTION("""COMPUTED_VALUE"""),"Reparaciones/Otros")</f>
        <v>Reparaciones/Otros</v>
      </c>
      <c r="E3030" s="1" t="str">
        <f>IFERROR(__xludf.DUMMYFUNCTION("""COMPUTED_VALUE"""),"ARTIGAS Roció")</f>
        <v>ARTIGAS Roció</v>
      </c>
      <c r="F3030" s="1" t="str">
        <f t="shared" si="1"/>
        <v>ARTIGAS </v>
      </c>
      <c r="G3030" s="1" t="str">
        <f t="shared" si="2"/>
        <v>Roció</v>
      </c>
      <c r="H3030" s="1" t="str">
        <f>IFERROR(__xludf.DUMMYFUNCTION("""COMPUTED_VALUE"""),"8/3/2023, 17:00:00")</f>
        <v>8/3/2023, 17:00:00</v>
      </c>
      <c r="I3030" s="1" t="str">
        <f>IFERROR(__xludf.DUMMYFUNCTION("""COMPUTED_VALUE"""),"Completado en SUCURSAL")</f>
        <v>Completado en SUCURSAL</v>
      </c>
      <c r="J3030" s="1">
        <f t="shared" si="3"/>
        <v>5</v>
      </c>
      <c r="K3030" s="1" t="str">
        <f t="shared" si="4"/>
        <v>Tus Lentes estan LISTAS PARA ENTREGAR, te esperamos.</v>
      </c>
    </row>
    <row r="3031">
      <c r="A3031" s="1">
        <f>IFERROR(__xludf.DUMMYFUNCTION("""COMPUTED_VALUE"""),87576.0)</f>
        <v>87576</v>
      </c>
      <c r="B3031" s="5">
        <f>IFERROR(__xludf.DUMMYFUNCTION("""COMPUTED_VALUE"""),44992.809969305556)</f>
        <v>44992.80997</v>
      </c>
      <c r="C3031" s="1" t="str">
        <f>IFERROR(__xludf.DUMMYFUNCTION("""COMPUTED_VALUE"""),"ALVAREZ ALMA")</f>
        <v>ALVAREZ ALMA</v>
      </c>
      <c r="D3031" s="1" t="str">
        <f>IFERROR(__xludf.DUMMYFUNCTION("""COMPUTED_VALUE"""),"Lentes de STOCK")</f>
        <v>Lentes de STOCK</v>
      </c>
      <c r="E3031" s="1" t="str">
        <f>IFERROR(__xludf.DUMMYFUNCTION("""COMPUTED_VALUE"""),"RIVADAVIA Santiago LOPEZ")</f>
        <v>RIVADAVIA Santiago LOPEZ</v>
      </c>
      <c r="F3031" s="1" t="str">
        <f t="shared" si="1"/>
        <v>RIVADAVIA </v>
      </c>
      <c r="G3031" s="1" t="str">
        <f t="shared" si="2"/>
        <v>Santiago LOPEZ</v>
      </c>
      <c r="H3031" s="1" t="str">
        <f>IFERROR(__xludf.DUMMYFUNCTION("""COMPUTED_VALUE"""),"14/3/2023, 17:00:00")</f>
        <v>14/3/2023, 17:00:00</v>
      </c>
      <c r="I3031" s="1" t="str">
        <f>IFERROR(__xludf.DUMMYFUNCTION("""COMPUTED_VALUE"""),"Completado en SUCURSAL")</f>
        <v>Completado en SUCURSAL</v>
      </c>
      <c r="J3031" s="1">
        <f t="shared" si="3"/>
        <v>5</v>
      </c>
      <c r="K3031" s="1" t="str">
        <f t="shared" si="4"/>
        <v>Tus Lentes estan LISTAS PARA ENTREGAR, te esperamos.</v>
      </c>
    </row>
    <row r="3032">
      <c r="A3032" s="1">
        <f>IFERROR(__xludf.DUMMYFUNCTION("""COMPUTED_VALUE"""),87577.0)</f>
        <v>87577</v>
      </c>
      <c r="B3032" s="5">
        <f>IFERROR(__xludf.DUMMYFUNCTION("""COMPUTED_VALUE"""),44992.81928783565)</f>
        <v>44992.81929</v>
      </c>
      <c r="C3032" s="1" t="str">
        <f>IFERROR(__xludf.DUMMYFUNCTION("""COMPUTED_VALUE"""),"VIDALES ANA ")</f>
        <v>VIDALES ANA </v>
      </c>
      <c r="D3032" s="1" t="str">
        <f>IFERROR(__xludf.DUMMYFUNCTION("""COMPUTED_VALUE"""),"Lentes MULTIFOCALES")</f>
        <v>Lentes MULTIFOCALES</v>
      </c>
      <c r="E3032" s="1" t="str">
        <f>IFERROR(__xludf.DUMMYFUNCTION("""COMPUTED_VALUE"""),"RIVADAVIA Luciana")</f>
        <v>RIVADAVIA Luciana</v>
      </c>
      <c r="F3032" s="1" t="str">
        <f t="shared" si="1"/>
        <v>RIVADAVIA </v>
      </c>
      <c r="G3032" s="1" t="str">
        <f t="shared" si="2"/>
        <v>Luciana</v>
      </c>
      <c r="H3032" s="1" t="str">
        <f>IFERROR(__xludf.DUMMYFUNCTION("""COMPUTED_VALUE"""),"23/3/2023, 17:00:00")</f>
        <v>23/3/2023, 17:00:00</v>
      </c>
      <c r="I3032" s="1" t="str">
        <f>IFERROR(__xludf.DUMMYFUNCTION("""COMPUTED_VALUE"""),"Completado en SUCURSAL")</f>
        <v>Completado en SUCURSAL</v>
      </c>
      <c r="J3032" s="1">
        <f t="shared" si="3"/>
        <v>5</v>
      </c>
      <c r="K3032" s="1" t="str">
        <f t="shared" si="4"/>
        <v>Tus Lentes estan LISTAS PARA ENTREGAR, te esperamos.</v>
      </c>
    </row>
    <row r="3033">
      <c r="A3033" s="1">
        <f>IFERROR(__xludf.DUMMYFUNCTION("""COMPUTED_VALUE"""),87578.0)</f>
        <v>87578</v>
      </c>
      <c r="B3033" s="5">
        <f>IFERROR(__xludf.DUMMYFUNCTION("""COMPUTED_VALUE"""),44992.82021693287)</f>
        <v>44992.82022</v>
      </c>
      <c r="C3033" s="1" t="str">
        <f>IFERROR(__xludf.DUMMYFUNCTION("""COMPUTED_VALUE"""),"FERREIRA VERONICA")</f>
        <v>FERREIRA VERONICA</v>
      </c>
      <c r="D3033" s="1" t="str">
        <f>IFERROR(__xludf.DUMMYFUNCTION("""COMPUTED_VALUE"""),"Reparaciones/Otros")</f>
        <v>Reparaciones/Otros</v>
      </c>
      <c r="E3033" s="1" t="str">
        <f>IFERROR(__xludf.DUMMYFUNCTION("""COMPUTED_VALUE"""),"RIVADAVIA Christian C.")</f>
        <v>RIVADAVIA Christian C.</v>
      </c>
      <c r="F3033" s="1" t="str">
        <f t="shared" si="1"/>
        <v>RIVADAVIA </v>
      </c>
      <c r="G3033" s="1" t="str">
        <f t="shared" si="2"/>
        <v>Christian C.</v>
      </c>
      <c r="H3033" s="1" t="str">
        <f>IFERROR(__xludf.DUMMYFUNCTION("""COMPUTED_VALUE"""),"9/3/2023, 17:00:00")</f>
        <v>9/3/2023, 17:00:00</v>
      </c>
      <c r="I3033" s="1" t="str">
        <f>IFERROR(__xludf.DUMMYFUNCTION("""COMPUTED_VALUE"""),"Completado en SUCURSAL")</f>
        <v>Completado en SUCURSAL</v>
      </c>
      <c r="J3033" s="1">
        <f t="shared" si="3"/>
        <v>5</v>
      </c>
      <c r="K3033" s="1" t="str">
        <f t="shared" si="4"/>
        <v>Tus Lentes estan LISTAS PARA ENTREGAR, te esperamos.</v>
      </c>
    </row>
    <row r="3034">
      <c r="A3034" s="1">
        <f>IFERROR(__xludf.DUMMYFUNCTION("""COMPUTED_VALUE"""),87579.0)</f>
        <v>87579</v>
      </c>
      <c r="B3034" s="5">
        <f>IFERROR(__xludf.DUMMYFUNCTION("""COMPUTED_VALUE"""),44992.831554143515)</f>
        <v>44992.83155</v>
      </c>
      <c r="C3034" s="1" t="str">
        <f>IFERROR(__xludf.DUMMYFUNCTION("""COMPUTED_VALUE"""),"BAIGORRIA IRMA")</f>
        <v>BAIGORRIA IRMA</v>
      </c>
      <c r="D3034" s="1" t="str">
        <f>IFERROR(__xludf.DUMMYFUNCTION("""COMPUTED_VALUE"""),"Lentes de STOCK")</f>
        <v>Lentes de STOCK</v>
      </c>
      <c r="E3034" s="1" t="str">
        <f>IFERROR(__xludf.DUMMYFUNCTION("""COMPUTED_VALUE"""),"RIVADAVIA Santiago LOPEZ")</f>
        <v>RIVADAVIA Santiago LOPEZ</v>
      </c>
      <c r="F3034" s="1" t="str">
        <f t="shared" si="1"/>
        <v>RIVADAVIA </v>
      </c>
      <c r="G3034" s="1" t="str">
        <f t="shared" si="2"/>
        <v>Santiago LOPEZ</v>
      </c>
      <c r="H3034" s="1" t="str">
        <f>IFERROR(__xludf.DUMMYFUNCTION("""COMPUTED_VALUE"""),"9/3/2023, 17:00:00")</f>
        <v>9/3/2023, 17:00:00</v>
      </c>
      <c r="I3034" s="1" t="str">
        <f>IFERROR(__xludf.DUMMYFUNCTION("""COMPUTED_VALUE"""),"Completado en SUCURSAL")</f>
        <v>Completado en SUCURSAL</v>
      </c>
      <c r="J3034" s="1">
        <f t="shared" si="3"/>
        <v>5</v>
      </c>
      <c r="K3034" s="1" t="str">
        <f t="shared" si="4"/>
        <v>Tus Lentes estan LISTAS PARA ENTREGAR, te esperamos.</v>
      </c>
    </row>
    <row r="3035">
      <c r="A3035" s="1">
        <f>IFERROR(__xludf.DUMMYFUNCTION("""COMPUTED_VALUE"""),87580.0)</f>
        <v>87580</v>
      </c>
      <c r="B3035" s="5">
        <f>IFERROR(__xludf.DUMMYFUNCTION("""COMPUTED_VALUE"""),44992.83628364583)</f>
        <v>44992.83628</v>
      </c>
      <c r="C3035" s="1" t="str">
        <f>IFERROR(__xludf.DUMMYFUNCTION("""COMPUTED_VALUE"""),"PAEZ PABLO")</f>
        <v>PAEZ PABLO</v>
      </c>
      <c r="D3035" s="1" t="str">
        <f>IFERROR(__xludf.DUMMYFUNCTION("""COMPUTED_VALUE"""),"Lentes de STOCK")</f>
        <v>Lentes de STOCK</v>
      </c>
      <c r="E3035" s="1" t="str">
        <f>IFERROR(__xludf.DUMMYFUNCTION("""COMPUTED_VALUE"""),"ARTIGAS Ivana P.")</f>
        <v>ARTIGAS Ivana P.</v>
      </c>
      <c r="F3035" s="1" t="str">
        <f t="shared" si="1"/>
        <v>ARTIGAS </v>
      </c>
      <c r="G3035" s="1" t="str">
        <f t="shared" si="2"/>
        <v>Ivana P.</v>
      </c>
      <c r="H3035" s="1" t="str">
        <f>IFERROR(__xludf.DUMMYFUNCTION("""COMPUTED_VALUE"""),"10/3/2023, 17:00:00")</f>
        <v>10/3/2023, 17:00:00</v>
      </c>
      <c r="I3035" s="1" t="str">
        <f>IFERROR(__xludf.DUMMYFUNCTION("""COMPUTED_VALUE"""),"Completado en SUCURSAL")</f>
        <v>Completado en SUCURSAL</v>
      </c>
      <c r="J3035" s="1">
        <f t="shared" si="3"/>
        <v>5</v>
      </c>
      <c r="K3035" s="1" t="str">
        <f t="shared" si="4"/>
        <v>Tus Lentes estan LISTAS PARA ENTREGAR, te esperamos.</v>
      </c>
    </row>
    <row r="3036">
      <c r="A3036" s="1">
        <f>IFERROR(__xludf.DUMMYFUNCTION("""COMPUTED_VALUE"""),87581.0)</f>
        <v>87581</v>
      </c>
      <c r="B3036" s="5">
        <f>IFERROR(__xludf.DUMMYFUNCTION("""COMPUTED_VALUE"""),44992.83651849537)</f>
        <v>44992.83652</v>
      </c>
      <c r="C3036" s="1" t="str">
        <f>IFERROR(__xludf.DUMMYFUNCTION("""COMPUTED_VALUE"""),"BARRIONUEVO ARIEL")</f>
        <v>BARRIONUEVO ARIEL</v>
      </c>
      <c r="D3036" s="1" t="str">
        <f>IFERROR(__xludf.DUMMYFUNCTION("""COMPUTED_VALUE"""),"Reparaciones/Otros")</f>
        <v>Reparaciones/Otros</v>
      </c>
      <c r="E3036" s="1" t="str">
        <f>IFERROR(__xludf.DUMMYFUNCTION("""COMPUTED_VALUE"""),"RIVADAVIA Luciana")</f>
        <v>RIVADAVIA Luciana</v>
      </c>
      <c r="F3036" s="1" t="str">
        <f t="shared" si="1"/>
        <v>RIVADAVIA </v>
      </c>
      <c r="G3036" s="1" t="str">
        <f t="shared" si="2"/>
        <v>Luciana</v>
      </c>
      <c r="H3036" s="1" t="str">
        <f>IFERROR(__xludf.DUMMYFUNCTION("""COMPUTED_VALUE"""),"9/3/2023, 17:00:00")</f>
        <v>9/3/2023, 17:00:00</v>
      </c>
      <c r="I3036" s="1" t="str">
        <f>IFERROR(__xludf.DUMMYFUNCTION("""COMPUTED_VALUE"""),"Completado en SUCURSAL")</f>
        <v>Completado en SUCURSAL</v>
      </c>
      <c r="J3036" s="1">
        <f t="shared" si="3"/>
        <v>5</v>
      </c>
      <c r="K3036" s="1" t="str">
        <f t="shared" si="4"/>
        <v>Tus Lentes estan LISTAS PARA ENTREGAR, te esperamos.</v>
      </c>
    </row>
    <row r="3037">
      <c r="A3037" s="1">
        <f>IFERROR(__xludf.DUMMYFUNCTION("""COMPUTED_VALUE"""),87582.0)</f>
        <v>87582</v>
      </c>
      <c r="B3037" s="5">
        <f>IFERROR(__xludf.DUMMYFUNCTION("""COMPUTED_VALUE"""),44992.842460625005)</f>
        <v>44992.84246</v>
      </c>
      <c r="C3037" s="1" t="str">
        <f>IFERROR(__xludf.DUMMYFUNCTION("""COMPUTED_VALUE"""),"OLGUIN ANTONIA")</f>
        <v>OLGUIN ANTONIA</v>
      </c>
      <c r="D3037" s="1" t="str">
        <f>IFERROR(__xludf.DUMMYFUNCTION("""COMPUTED_VALUE"""),"Lentes de STOCK")</f>
        <v>Lentes de STOCK</v>
      </c>
      <c r="E3037" s="1" t="str">
        <f>IFERROR(__xludf.DUMMYFUNCTION("""COMPUTED_VALUE"""),"RIVADAVIA Luciana")</f>
        <v>RIVADAVIA Luciana</v>
      </c>
      <c r="F3037" s="1" t="str">
        <f t="shared" si="1"/>
        <v>RIVADAVIA </v>
      </c>
      <c r="G3037" s="1" t="str">
        <f t="shared" si="2"/>
        <v>Luciana</v>
      </c>
      <c r="H3037" s="1" t="str">
        <f>IFERROR(__xludf.DUMMYFUNCTION("""COMPUTED_VALUE"""),"10/3/2023, 17:00:00")</f>
        <v>10/3/2023, 17:00:00</v>
      </c>
      <c r="I3037" s="1" t="str">
        <f>IFERROR(__xludf.DUMMYFUNCTION("""COMPUTED_VALUE"""),"Recibido en Laboratorio")</f>
        <v>Recibido en Laboratorio</v>
      </c>
      <c r="J3037" s="1">
        <f t="shared" si="3"/>
        <v>2</v>
      </c>
      <c r="K3037" s="1" t="str">
        <f t="shared" si="4"/>
        <v>Nuestro Laboratorio esta trabajando en tus lentes, los entregaremos en la fecha acordada.</v>
      </c>
    </row>
    <row r="3038">
      <c r="A3038" s="1">
        <f>IFERROR(__xludf.DUMMYFUNCTION("""COMPUTED_VALUE"""),87583.0)</f>
        <v>87583</v>
      </c>
      <c r="B3038" s="5">
        <f>IFERROR(__xludf.DUMMYFUNCTION("""COMPUTED_VALUE"""),44992.84334270834)</f>
        <v>44992.84334</v>
      </c>
      <c r="C3038" s="1" t="str">
        <f>IFERROR(__xludf.DUMMYFUNCTION("""COMPUTED_VALUE"""),"TOLEDO ADRIANA")</f>
        <v>TOLEDO ADRIANA</v>
      </c>
      <c r="D3038" s="1" t="str">
        <f>IFERROR(__xludf.DUMMYFUNCTION("""COMPUTED_VALUE"""),"Lentes de STOCK")</f>
        <v>Lentes de STOCK</v>
      </c>
      <c r="E3038" s="1" t="str">
        <f>IFERROR(__xludf.DUMMYFUNCTION("""COMPUTED_VALUE"""),"RIVADAVIA Santiago LOPEZ")</f>
        <v>RIVADAVIA Santiago LOPEZ</v>
      </c>
      <c r="F3038" s="1" t="str">
        <f t="shared" si="1"/>
        <v>RIVADAVIA </v>
      </c>
      <c r="G3038" s="1" t="str">
        <f t="shared" si="2"/>
        <v>Santiago LOPEZ</v>
      </c>
      <c r="H3038" s="1" t="str">
        <f>IFERROR(__xludf.DUMMYFUNCTION("""COMPUTED_VALUE"""),"10/3/2023, 17:00:00")</f>
        <v>10/3/2023, 17:00:00</v>
      </c>
      <c r="I3038" s="1" t="str">
        <f>IFERROR(__xludf.DUMMYFUNCTION("""COMPUTED_VALUE"""),"Completado en SUCURSAL")</f>
        <v>Completado en SUCURSAL</v>
      </c>
      <c r="J3038" s="1">
        <f t="shared" si="3"/>
        <v>5</v>
      </c>
      <c r="K3038" s="1" t="str">
        <f t="shared" si="4"/>
        <v>Tus Lentes estan LISTAS PARA ENTREGAR, te esperamos.</v>
      </c>
    </row>
    <row r="3039">
      <c r="A3039" s="1">
        <f>IFERROR(__xludf.DUMMYFUNCTION("""COMPUTED_VALUE"""),87584.0)</f>
        <v>87584</v>
      </c>
      <c r="B3039" s="5">
        <f>IFERROR(__xludf.DUMMYFUNCTION("""COMPUTED_VALUE"""),44992.845967430556)</f>
        <v>44992.84597</v>
      </c>
      <c r="C3039" s="1" t="str">
        <f>IFERROR(__xludf.DUMMYFUNCTION("""COMPUTED_VALUE"""),"MUÑOS ANALIA MARCELA")</f>
        <v>MUÑOS ANALIA MARCELA</v>
      </c>
      <c r="D3039" s="1" t="str">
        <f>IFERROR(__xludf.DUMMYFUNCTION("""COMPUTED_VALUE"""),"Lentes de STOCK")</f>
        <v>Lentes de STOCK</v>
      </c>
      <c r="E3039" s="1" t="str">
        <f>IFERROR(__xludf.DUMMYFUNCTION("""COMPUTED_VALUE"""),"RIVADAVIA Daniel CM")</f>
        <v>RIVADAVIA Daniel CM</v>
      </c>
      <c r="F3039" s="1" t="str">
        <f t="shared" si="1"/>
        <v>RIVADAVIA </v>
      </c>
      <c r="G3039" s="1" t="str">
        <f t="shared" si="2"/>
        <v>Daniel CM</v>
      </c>
      <c r="H3039" s="1" t="str">
        <f>IFERROR(__xludf.DUMMYFUNCTION("""COMPUTED_VALUE"""),"10/3/2023, 17:00:00")</f>
        <v>10/3/2023, 17:00:00</v>
      </c>
      <c r="I3039" s="1" t="str">
        <f>IFERROR(__xludf.DUMMYFUNCTION("""COMPUTED_VALUE"""),"RETIRADO OK POR CLIENTE")</f>
        <v>RETIRADO OK POR CLIENTE</v>
      </c>
      <c r="J3039" s="1">
        <f t="shared" si="3"/>
        <v>6</v>
      </c>
      <c r="K3039" s="1" t="str">
        <f t="shared" si="4"/>
        <v>Entregamos tus lentes, que los disfrutes!</v>
      </c>
    </row>
    <row r="3040">
      <c r="A3040" s="1">
        <f>IFERROR(__xludf.DUMMYFUNCTION("""COMPUTED_VALUE"""),87585.0)</f>
        <v>87585</v>
      </c>
      <c r="B3040" s="5">
        <f>IFERROR(__xludf.DUMMYFUNCTION("""COMPUTED_VALUE"""),44992.85322592592)</f>
        <v>44992.85323</v>
      </c>
      <c r="C3040" s="1" t="str">
        <f>IFERROR(__xludf.DUMMYFUNCTION("""COMPUTED_VALUE"""),"CARELLO JORGE")</f>
        <v>CARELLO JORGE</v>
      </c>
      <c r="D3040" s="1" t="str">
        <f>IFERROR(__xludf.DUMMYFUNCTION("""COMPUTED_VALUE"""),"Lentes de STOCK")</f>
        <v>Lentes de STOCK</v>
      </c>
      <c r="E3040" s="1" t="str">
        <f>IFERROR(__xludf.DUMMYFUNCTION("""COMPUTED_VALUE"""),"RIVADAVIA Santiago LOPEZ")</f>
        <v>RIVADAVIA Santiago LOPEZ</v>
      </c>
      <c r="F3040" s="1" t="str">
        <f t="shared" si="1"/>
        <v>RIVADAVIA </v>
      </c>
      <c r="G3040" s="1" t="str">
        <f t="shared" si="2"/>
        <v>Santiago LOPEZ</v>
      </c>
      <c r="H3040" s="1" t="str">
        <f>IFERROR(__xludf.DUMMYFUNCTION("""COMPUTED_VALUE"""),"10/3/2023, 17:00:00")</f>
        <v>10/3/2023, 17:00:00</v>
      </c>
      <c r="I3040" s="1" t="str">
        <f>IFERROR(__xludf.DUMMYFUNCTION("""COMPUTED_VALUE"""),"Completado en SUCURSAL")</f>
        <v>Completado en SUCURSAL</v>
      </c>
      <c r="J3040" s="1">
        <f t="shared" si="3"/>
        <v>5</v>
      </c>
      <c r="K3040" s="1" t="str">
        <f t="shared" si="4"/>
        <v>Tus Lentes estan LISTAS PARA ENTREGAR, te esperamos.</v>
      </c>
    </row>
    <row r="3041">
      <c r="A3041" s="1">
        <f>IFERROR(__xludf.DUMMYFUNCTION("""COMPUTED_VALUE"""),87586.0)</f>
        <v>87586</v>
      </c>
      <c r="B3041" s="5">
        <f>IFERROR(__xludf.DUMMYFUNCTION("""COMPUTED_VALUE"""),44992.85566783565)</f>
        <v>44992.85567</v>
      </c>
      <c r="C3041" s="1" t="str">
        <f>IFERROR(__xludf.DUMMYFUNCTION("""COMPUTED_VALUE"""),"FERREIRA MARIANO ")</f>
        <v>FERREIRA MARIANO </v>
      </c>
      <c r="D3041" s="1" t="str">
        <f>IFERROR(__xludf.DUMMYFUNCTION("""COMPUTED_VALUE"""),"Lentes de STOCK")</f>
        <v>Lentes de STOCK</v>
      </c>
      <c r="E3041" s="1" t="str">
        <f>IFERROR(__xludf.DUMMYFUNCTION("""COMPUTED_VALUE"""),"RIVADAVIA Luciana")</f>
        <v>RIVADAVIA Luciana</v>
      </c>
      <c r="F3041" s="1" t="str">
        <f t="shared" si="1"/>
        <v>RIVADAVIA </v>
      </c>
      <c r="G3041" s="1" t="str">
        <f t="shared" si="2"/>
        <v>Luciana</v>
      </c>
      <c r="H3041" s="1" t="str">
        <f>IFERROR(__xludf.DUMMYFUNCTION("""COMPUTED_VALUE"""),"13/3/2023, 17:00:00")</f>
        <v>13/3/2023, 17:00:00</v>
      </c>
      <c r="I3041" s="1" t="str">
        <f>IFERROR(__xludf.DUMMYFUNCTION("""COMPUTED_VALUE"""),"Recibido en Laboratorio")</f>
        <v>Recibido en Laboratorio</v>
      </c>
      <c r="J3041" s="1">
        <f t="shared" si="3"/>
        <v>2</v>
      </c>
      <c r="K3041" s="1" t="str">
        <f t="shared" si="4"/>
        <v>Nuestro Laboratorio esta trabajando en tus lentes, los entregaremos en la fecha acordada.</v>
      </c>
    </row>
    <row r="3042">
      <c r="A3042" s="1">
        <f>IFERROR(__xludf.DUMMYFUNCTION("""COMPUTED_VALUE"""),87587.0)</f>
        <v>87587</v>
      </c>
      <c r="B3042" s="5">
        <f>IFERROR(__xludf.DUMMYFUNCTION("""COMPUTED_VALUE"""),44993.370222638885)</f>
        <v>44993.37022</v>
      </c>
      <c r="C3042" s="1" t="str">
        <f>IFERROR(__xludf.DUMMYFUNCTION("""COMPUTED_VALUE"""),"ONLINE")</f>
        <v>ONLINE</v>
      </c>
      <c r="D3042" s="1" t="str">
        <f>IFERROR(__xludf.DUMMYFUNCTION("""COMPUTED_VALUE"""),"Reparaciones/Otros")</f>
        <v>Reparaciones/Otros</v>
      </c>
      <c r="E3042" s="1" t="str">
        <f>IFERROR(__xludf.DUMMYFUNCTION("""COMPUTED_VALUE"""),"Online ADMIN.")</f>
        <v>Online ADMIN.</v>
      </c>
      <c r="F3042" s="1" t="str">
        <f t="shared" si="1"/>
        <v>Online </v>
      </c>
      <c r="G3042" s="1" t="str">
        <f t="shared" si="2"/>
        <v>ADMIN.</v>
      </c>
      <c r="H3042" s="1" t="str">
        <f>IFERROR(__xludf.DUMMYFUNCTION("""COMPUTED_VALUE"""),"9/3/2023, 17:00:00")</f>
        <v>9/3/2023, 17:00:00</v>
      </c>
      <c r="I3042" s="1" t="str">
        <f>IFERROR(__xludf.DUMMYFUNCTION("""COMPUTED_VALUE"""),"Recibido en Laboratorio")</f>
        <v>Recibido en Laboratorio</v>
      </c>
      <c r="J3042" s="1">
        <f t="shared" si="3"/>
        <v>2</v>
      </c>
      <c r="K3042" s="1" t="str">
        <f t="shared" si="4"/>
        <v>Nuestro Laboratorio esta trabajando en tus lentes, los entregaremos en la fecha acordada.</v>
      </c>
    </row>
    <row r="3043">
      <c r="A3043" s="1">
        <f>IFERROR(__xludf.DUMMYFUNCTION("""COMPUTED_VALUE"""),87588.0)</f>
        <v>87588</v>
      </c>
      <c r="B3043" s="5">
        <f>IFERROR(__xludf.DUMMYFUNCTION("""COMPUTED_VALUE"""),44993.38139363426)</f>
        <v>44993.38139</v>
      </c>
      <c r="C3043" s="1" t="str">
        <f>IFERROR(__xludf.DUMMYFUNCTION("""COMPUTED_VALUE"""),"LAHORA OLGA")</f>
        <v>LAHORA OLGA</v>
      </c>
      <c r="D3043" s="1" t="str">
        <f>IFERROR(__xludf.DUMMYFUNCTION("""COMPUTED_VALUE"""),"Lentes de STOCK")</f>
        <v>Lentes de STOCK</v>
      </c>
      <c r="E3043" s="1" t="str">
        <f>IFERROR(__xludf.DUMMYFUNCTION("""COMPUTED_VALUE"""),"ARTIGAS Ivana P.")</f>
        <v>ARTIGAS Ivana P.</v>
      </c>
      <c r="F3043" s="1" t="str">
        <f t="shared" si="1"/>
        <v>ARTIGAS </v>
      </c>
      <c r="G3043" s="1" t="str">
        <f t="shared" si="2"/>
        <v>Ivana P.</v>
      </c>
      <c r="H3043" s="1" t="str">
        <f>IFERROR(__xludf.DUMMYFUNCTION("""COMPUTED_VALUE"""),"13/3/2023, 17:00:00")</f>
        <v>13/3/2023, 17:00:00</v>
      </c>
      <c r="I3043" s="1" t="str">
        <f>IFERROR(__xludf.DUMMYFUNCTION("""COMPUTED_VALUE"""),"Completado en SUCURSAL")</f>
        <v>Completado en SUCURSAL</v>
      </c>
      <c r="J3043" s="1">
        <f t="shared" si="3"/>
        <v>5</v>
      </c>
      <c r="K3043" s="1" t="str">
        <f t="shared" si="4"/>
        <v>Tus Lentes estan LISTAS PARA ENTREGAR, te esperamos.</v>
      </c>
    </row>
    <row r="3044">
      <c r="A3044" s="1">
        <f>IFERROR(__xludf.DUMMYFUNCTION("""COMPUTED_VALUE"""),87589.0)</f>
        <v>87589</v>
      </c>
      <c r="B3044" s="5">
        <f>IFERROR(__xludf.DUMMYFUNCTION("""COMPUTED_VALUE"""),44993.38281362268)</f>
        <v>44993.38281</v>
      </c>
      <c r="C3044" s="1" t="str">
        <f>IFERROR(__xludf.DUMMYFUNCTION("""COMPUTED_VALUE"""),"BERRIDY LAURA ")</f>
        <v>BERRIDY LAURA </v>
      </c>
      <c r="D3044" s="1" t="str">
        <f>IFERROR(__xludf.DUMMYFUNCTION("""COMPUTED_VALUE"""),"Lentes de STOCK")</f>
        <v>Lentes de STOCK</v>
      </c>
      <c r="E3044" s="1" t="str">
        <f>IFERROR(__xludf.DUMMYFUNCTION("""COMPUTED_VALUE"""),"RIVADAVIA Christian C.")</f>
        <v>RIVADAVIA Christian C.</v>
      </c>
      <c r="F3044" s="1" t="str">
        <f t="shared" si="1"/>
        <v>RIVADAVIA </v>
      </c>
      <c r="G3044" s="1" t="str">
        <f t="shared" si="2"/>
        <v>Christian C.</v>
      </c>
      <c r="H3044" s="1" t="str">
        <f>IFERROR(__xludf.DUMMYFUNCTION("""COMPUTED_VALUE"""),"14/3/2023, 17:00:00")</f>
        <v>14/3/2023, 17:00:00</v>
      </c>
      <c r="I3044" s="1" t="str">
        <f>IFERROR(__xludf.DUMMYFUNCTION("""COMPUTED_VALUE"""),"Completado en SUCURSAL")</f>
        <v>Completado en SUCURSAL</v>
      </c>
      <c r="J3044" s="1">
        <f t="shared" si="3"/>
        <v>5</v>
      </c>
      <c r="K3044" s="1" t="str">
        <f t="shared" si="4"/>
        <v>Tus Lentes estan LISTAS PARA ENTREGAR, te esperamos.</v>
      </c>
    </row>
    <row r="3045">
      <c r="A3045" s="1">
        <f>IFERROR(__xludf.DUMMYFUNCTION("""COMPUTED_VALUE"""),87590.0)</f>
        <v>87590</v>
      </c>
      <c r="B3045" s="5">
        <f>IFERROR(__xludf.DUMMYFUNCTION("""COMPUTED_VALUE"""),44993.384827291666)</f>
        <v>44993.38483</v>
      </c>
      <c r="C3045" s="1" t="str">
        <f>IFERROR(__xludf.DUMMYFUNCTION("""COMPUTED_VALUE"""),"LOPEZ ADRIANA DEL CARMEN")</f>
        <v>LOPEZ ADRIANA DEL CARMEN</v>
      </c>
      <c r="D3045" s="1" t="str">
        <f>IFERROR(__xludf.DUMMYFUNCTION("""COMPUTED_VALUE"""),"Lentes de STOCK")</f>
        <v>Lentes de STOCK</v>
      </c>
      <c r="E3045" s="1" t="str">
        <f>IFERROR(__xludf.DUMMYFUNCTION("""COMPUTED_VALUE"""),"RIVADAVIA Marcela L")</f>
        <v>RIVADAVIA Marcela L</v>
      </c>
      <c r="F3045" s="1" t="str">
        <f t="shared" si="1"/>
        <v>RIVADAVIA </v>
      </c>
      <c r="G3045" s="1" t="str">
        <f t="shared" si="2"/>
        <v>Marcela L</v>
      </c>
      <c r="H3045" s="1" t="str">
        <f>IFERROR(__xludf.DUMMYFUNCTION("""COMPUTED_VALUE"""),"13/3/2023, 17:00:00")</f>
        <v>13/3/2023, 17:00:00</v>
      </c>
      <c r="I3045" s="1" t="str">
        <f>IFERROR(__xludf.DUMMYFUNCTION("""COMPUTED_VALUE"""),"Completado en SUCURSAL")</f>
        <v>Completado en SUCURSAL</v>
      </c>
      <c r="J3045" s="1">
        <f t="shared" si="3"/>
        <v>5</v>
      </c>
      <c r="K3045" s="1" t="str">
        <f t="shared" si="4"/>
        <v>Tus Lentes estan LISTAS PARA ENTREGAR, te esperamos.</v>
      </c>
    </row>
    <row r="3046">
      <c r="A3046" s="1">
        <f>IFERROR(__xludf.DUMMYFUNCTION("""COMPUTED_VALUE"""),87591.0)</f>
        <v>87591</v>
      </c>
      <c r="B3046" s="5">
        <f>IFERROR(__xludf.DUMMYFUNCTION("""COMPUTED_VALUE"""),44993.387137812504)</f>
        <v>44993.38714</v>
      </c>
      <c r="C3046" s="1" t="str">
        <f>IFERROR(__xludf.DUMMYFUNCTION("""COMPUTED_VALUE"""),"miranda marta")</f>
        <v>miranda marta</v>
      </c>
      <c r="D3046" s="1" t="str">
        <f>IFERROR(__xludf.DUMMYFUNCTION("""COMPUTED_VALUE"""),"Lentes de STOCK")</f>
        <v>Lentes de STOCK</v>
      </c>
      <c r="E3046" s="1" t="str">
        <f>IFERROR(__xludf.DUMMYFUNCTION("""COMPUTED_VALUE"""),"ARTIGAS Roció")</f>
        <v>ARTIGAS Roció</v>
      </c>
      <c r="F3046" s="1" t="str">
        <f t="shared" si="1"/>
        <v>ARTIGAS </v>
      </c>
      <c r="G3046" s="1" t="str">
        <f t="shared" si="2"/>
        <v>Roció</v>
      </c>
      <c r="H3046" s="1" t="str">
        <f>IFERROR(__xludf.DUMMYFUNCTION("""COMPUTED_VALUE"""),"15/3/2023, 17:00:00")</f>
        <v>15/3/2023, 17:00:00</v>
      </c>
      <c r="I3046" s="1" t="str">
        <f>IFERROR(__xludf.DUMMYFUNCTION("""COMPUTED_VALUE"""),"Completado en SUCURSAL")</f>
        <v>Completado en SUCURSAL</v>
      </c>
      <c r="J3046" s="1">
        <f t="shared" si="3"/>
        <v>5</v>
      </c>
      <c r="K3046" s="1" t="str">
        <f t="shared" si="4"/>
        <v>Tus Lentes estan LISTAS PARA ENTREGAR, te esperamos.</v>
      </c>
    </row>
    <row r="3047">
      <c r="A3047" s="1">
        <f>IFERROR(__xludf.DUMMYFUNCTION("""COMPUTED_VALUE"""),87592.0)</f>
        <v>87592</v>
      </c>
      <c r="B3047" s="5">
        <f>IFERROR(__xludf.DUMMYFUNCTION("""COMPUTED_VALUE"""),44993.38902989583)</f>
        <v>44993.38903</v>
      </c>
      <c r="C3047" s="1" t="str">
        <f>IFERROR(__xludf.DUMMYFUNCTION("""COMPUTED_VALUE"""),"VELAZQUEZ LUIS")</f>
        <v>VELAZQUEZ LUIS</v>
      </c>
      <c r="D3047" s="1" t="str">
        <f>IFERROR(__xludf.DUMMYFUNCTION("""COMPUTED_VALUE"""),"Lentes de STOCK")</f>
        <v>Lentes de STOCK</v>
      </c>
      <c r="E3047" s="1" t="str">
        <f>IFERROR(__xludf.DUMMYFUNCTION("""COMPUTED_VALUE"""),"ARTIGAS Ivana P.")</f>
        <v>ARTIGAS Ivana P.</v>
      </c>
      <c r="F3047" s="1" t="str">
        <f t="shared" si="1"/>
        <v>ARTIGAS </v>
      </c>
      <c r="G3047" s="1" t="str">
        <f t="shared" si="2"/>
        <v>Ivana P.</v>
      </c>
      <c r="H3047" s="1" t="str">
        <f>IFERROR(__xludf.DUMMYFUNCTION("""COMPUTED_VALUE"""),"13/3/2023, 17:00:00")</f>
        <v>13/3/2023, 17:00:00</v>
      </c>
      <c r="I3047" s="1" t="str">
        <f>IFERROR(__xludf.DUMMYFUNCTION("""COMPUTED_VALUE"""),"Completado en SUCURSAL")</f>
        <v>Completado en SUCURSAL</v>
      </c>
      <c r="J3047" s="1">
        <f t="shared" si="3"/>
        <v>5</v>
      </c>
      <c r="K3047" s="1" t="str">
        <f t="shared" si="4"/>
        <v>Tus Lentes estan LISTAS PARA ENTREGAR, te esperamos.</v>
      </c>
    </row>
    <row r="3048">
      <c r="A3048" s="1">
        <f>IFERROR(__xludf.DUMMYFUNCTION("""COMPUTED_VALUE"""),87593.0)</f>
        <v>87593</v>
      </c>
      <c r="B3048" s="5">
        <f>IFERROR(__xludf.DUMMYFUNCTION("""COMPUTED_VALUE"""),44993.38949361111)</f>
        <v>44993.38949</v>
      </c>
      <c r="C3048" s="1" t="str">
        <f>IFERROR(__xludf.DUMMYFUNCTION("""COMPUTED_VALUE"""),"DOMINGUEZ DIEGO")</f>
        <v>DOMINGUEZ DIEGO</v>
      </c>
      <c r="D3048" s="1" t="str">
        <f>IFERROR(__xludf.DUMMYFUNCTION("""COMPUTED_VALUE"""),"Lentes de STOCK")</f>
        <v>Lentes de STOCK</v>
      </c>
      <c r="E3048" s="1" t="str">
        <f>IFERROR(__xludf.DUMMYFUNCTION("""COMPUTED_VALUE"""),"RIVADAVIA Santiago N")</f>
        <v>RIVADAVIA Santiago N</v>
      </c>
      <c r="F3048" s="1" t="str">
        <f t="shared" si="1"/>
        <v>RIVADAVIA </v>
      </c>
      <c r="G3048" s="1" t="str">
        <f t="shared" si="2"/>
        <v>Santiago N</v>
      </c>
      <c r="H3048" s="1" t="str">
        <f>IFERROR(__xludf.DUMMYFUNCTION("""COMPUTED_VALUE"""),"11/3/2023, 17:00:00")</f>
        <v>11/3/2023, 17:00:00</v>
      </c>
      <c r="I3048" s="1" t="str">
        <f>IFERROR(__xludf.DUMMYFUNCTION("""COMPUTED_VALUE"""),"Recibido en Laboratorio")</f>
        <v>Recibido en Laboratorio</v>
      </c>
      <c r="J3048" s="1">
        <f t="shared" si="3"/>
        <v>2</v>
      </c>
      <c r="K3048" s="1" t="str">
        <f t="shared" si="4"/>
        <v>Nuestro Laboratorio esta trabajando en tus lentes, los entregaremos en la fecha acordada.</v>
      </c>
    </row>
    <row r="3049">
      <c r="A3049" s="1">
        <f>IFERROR(__xludf.DUMMYFUNCTION("""COMPUTED_VALUE"""),87594.0)</f>
        <v>87594</v>
      </c>
      <c r="B3049" s="5">
        <f>IFERROR(__xludf.DUMMYFUNCTION("""COMPUTED_VALUE"""),44993.40059068287)</f>
        <v>44993.40059</v>
      </c>
      <c r="C3049" s="1" t="str">
        <f>IFERROR(__xludf.DUMMYFUNCTION("""COMPUTED_VALUE"""),"GARRO HECTOR ")</f>
        <v>GARRO HECTOR </v>
      </c>
      <c r="D3049" s="1" t="str">
        <f>IFERROR(__xludf.DUMMYFUNCTION("""COMPUTED_VALUE"""),"Reparaciones/Otros")</f>
        <v>Reparaciones/Otros</v>
      </c>
      <c r="E3049" s="1" t="str">
        <f>IFERROR(__xludf.DUMMYFUNCTION("""COMPUTED_VALUE"""),"RIVADAVIA Christian C.")</f>
        <v>RIVADAVIA Christian C.</v>
      </c>
      <c r="F3049" s="1" t="str">
        <f t="shared" si="1"/>
        <v>RIVADAVIA </v>
      </c>
      <c r="G3049" s="1" t="str">
        <f t="shared" si="2"/>
        <v>Christian C.</v>
      </c>
      <c r="H3049" s="1" t="str">
        <f>IFERROR(__xludf.DUMMYFUNCTION("""COMPUTED_VALUE"""),"10/3/2023, 17:00:00")</f>
        <v>10/3/2023, 17:00:00</v>
      </c>
      <c r="I3049" s="1" t="str">
        <f>IFERROR(__xludf.DUMMYFUNCTION("""COMPUTED_VALUE"""),"Completado en SUCURSAL")</f>
        <v>Completado en SUCURSAL</v>
      </c>
      <c r="J3049" s="1">
        <f t="shared" si="3"/>
        <v>5</v>
      </c>
      <c r="K3049" s="1" t="str">
        <f t="shared" si="4"/>
        <v>Tus Lentes estan LISTAS PARA ENTREGAR, te esperamos.</v>
      </c>
    </row>
    <row r="3050">
      <c r="A3050" s="1">
        <f>IFERROR(__xludf.DUMMYFUNCTION("""COMPUTED_VALUE"""),87595.0)</f>
        <v>87595</v>
      </c>
      <c r="B3050" s="5">
        <f>IFERROR(__xludf.DUMMYFUNCTION("""COMPUTED_VALUE"""),44993.404858298614)</f>
        <v>44993.40486</v>
      </c>
      <c r="C3050" s="1" t="str">
        <f>IFERROR(__xludf.DUMMYFUNCTION("""COMPUTED_VALUE"""),"ordoñez alejo")</f>
        <v>ordoñez alejo</v>
      </c>
      <c r="D3050" s="1" t="str">
        <f>IFERROR(__xludf.DUMMYFUNCTION("""COMPUTED_VALUE"""),"Lentes de STOCK")</f>
        <v>Lentes de STOCK</v>
      </c>
      <c r="E3050" s="1" t="str">
        <f>IFERROR(__xludf.DUMMYFUNCTION("""COMPUTED_VALUE"""),"RIVADAVIA Santiago N")</f>
        <v>RIVADAVIA Santiago N</v>
      </c>
      <c r="F3050" s="1" t="str">
        <f t="shared" si="1"/>
        <v>RIVADAVIA </v>
      </c>
      <c r="G3050" s="1" t="str">
        <f t="shared" si="2"/>
        <v>Santiago N</v>
      </c>
      <c r="H3050" s="1" t="str">
        <f>IFERROR(__xludf.DUMMYFUNCTION("""COMPUTED_VALUE"""),"11/3/2023, 17:00:00")</f>
        <v>11/3/2023, 17:00:00</v>
      </c>
      <c r="I3050" s="1"/>
      <c r="J3050" s="1">
        <f t="shared" si="3"/>
        <v>0</v>
      </c>
      <c r="K3050" s="1" t="str">
        <f t="shared" si="4"/>
        <v/>
      </c>
    </row>
    <row r="3051">
      <c r="A3051" s="1">
        <f>IFERROR(__xludf.DUMMYFUNCTION("""COMPUTED_VALUE"""),87596.0)</f>
        <v>87596</v>
      </c>
      <c r="B3051" s="5">
        <f>IFERROR(__xludf.DUMMYFUNCTION("""COMPUTED_VALUE"""),44993.4054368287)</f>
        <v>44993.40544</v>
      </c>
      <c r="C3051" s="1" t="str">
        <f>IFERROR(__xludf.DUMMYFUNCTION("""COMPUTED_VALUE"""),"GARRO HECTOR")</f>
        <v>GARRO HECTOR</v>
      </c>
      <c r="D3051" s="1" t="str">
        <f>IFERROR(__xludf.DUMMYFUNCTION("""COMPUTED_VALUE"""),"Lentes de STOCK")</f>
        <v>Lentes de STOCK</v>
      </c>
      <c r="E3051" s="1" t="str">
        <f>IFERROR(__xludf.DUMMYFUNCTION("""COMPUTED_VALUE"""),"RIVADAVIA Christian C.")</f>
        <v>RIVADAVIA Christian C.</v>
      </c>
      <c r="F3051" s="1" t="str">
        <f t="shared" si="1"/>
        <v>RIVADAVIA </v>
      </c>
      <c r="G3051" s="1" t="str">
        <f t="shared" si="2"/>
        <v>Christian C.</v>
      </c>
      <c r="H3051" s="1" t="str">
        <f>IFERROR(__xludf.DUMMYFUNCTION("""COMPUTED_VALUE"""),"15/3/2023, 17:00:00")</f>
        <v>15/3/2023, 17:00:00</v>
      </c>
      <c r="I3051" s="1" t="str">
        <f>IFERROR(__xludf.DUMMYFUNCTION("""COMPUTED_VALUE"""),"Completado en SUCURSAL")</f>
        <v>Completado en SUCURSAL</v>
      </c>
      <c r="J3051" s="1">
        <f t="shared" si="3"/>
        <v>5</v>
      </c>
      <c r="K3051" s="1" t="str">
        <f t="shared" si="4"/>
        <v>Tus Lentes estan LISTAS PARA ENTREGAR, te esperamos.</v>
      </c>
    </row>
    <row r="3052">
      <c r="A3052" s="1">
        <f>IFERROR(__xludf.DUMMYFUNCTION("""COMPUTED_VALUE"""),87597.0)</f>
        <v>87597</v>
      </c>
      <c r="B3052" s="5">
        <f>IFERROR(__xludf.DUMMYFUNCTION("""COMPUTED_VALUE"""),44993.407850578704)</f>
        <v>44993.40785</v>
      </c>
      <c r="C3052" s="1" t="str">
        <f>IFERROR(__xludf.DUMMYFUNCTION("""COMPUTED_VALUE"""),"ALBORNOZ ESTELA MARIA")</f>
        <v>ALBORNOZ ESTELA MARIA</v>
      </c>
      <c r="D3052" s="1" t="str">
        <f>IFERROR(__xludf.DUMMYFUNCTION("""COMPUTED_VALUE"""),"Lentes de STOCK")</f>
        <v>Lentes de STOCK</v>
      </c>
      <c r="E3052" s="1" t="str">
        <f>IFERROR(__xludf.DUMMYFUNCTION("""COMPUTED_VALUE"""),"RIVADAVIA Santiago LOPEZ")</f>
        <v>RIVADAVIA Santiago LOPEZ</v>
      </c>
      <c r="F3052" s="1" t="str">
        <f t="shared" si="1"/>
        <v>RIVADAVIA </v>
      </c>
      <c r="G3052" s="1" t="str">
        <f t="shared" si="2"/>
        <v>Santiago LOPEZ</v>
      </c>
      <c r="H3052" s="1" t="str">
        <f>IFERROR(__xludf.DUMMYFUNCTION("""COMPUTED_VALUE"""),"14/3/2023, 17:00:00")</f>
        <v>14/3/2023, 17:00:00</v>
      </c>
      <c r="I3052" s="1" t="str">
        <f>IFERROR(__xludf.DUMMYFUNCTION("""COMPUTED_VALUE"""),"Completado en SUCURSAL")</f>
        <v>Completado en SUCURSAL</v>
      </c>
      <c r="J3052" s="1">
        <f t="shared" si="3"/>
        <v>5</v>
      </c>
      <c r="K3052" s="1" t="str">
        <f t="shared" si="4"/>
        <v>Tus Lentes estan LISTAS PARA ENTREGAR, te esperamos.</v>
      </c>
    </row>
    <row r="3053">
      <c r="A3053" s="1">
        <f>IFERROR(__xludf.DUMMYFUNCTION("""COMPUTED_VALUE"""),87598.0)</f>
        <v>87598</v>
      </c>
      <c r="B3053" s="5">
        <f>IFERROR(__xludf.DUMMYFUNCTION("""COMPUTED_VALUE"""),44993.409068761575)</f>
        <v>44993.40907</v>
      </c>
      <c r="C3053" s="1" t="str">
        <f>IFERROR(__xludf.DUMMYFUNCTION("""COMPUTED_VALUE"""),"ORONAÑ LUJAN ")</f>
        <v>ORONAÑ LUJAN </v>
      </c>
      <c r="D3053" s="1" t="str">
        <f>IFERROR(__xludf.DUMMYFUNCTION("""COMPUTED_VALUE"""),"Lentes de STOCK")</f>
        <v>Lentes de STOCK</v>
      </c>
      <c r="E3053" s="1" t="str">
        <f>IFERROR(__xludf.DUMMYFUNCTION("""COMPUTED_VALUE"""),"RIVADAVIA Luciana")</f>
        <v>RIVADAVIA Luciana</v>
      </c>
      <c r="F3053" s="1" t="str">
        <f t="shared" si="1"/>
        <v>RIVADAVIA </v>
      </c>
      <c r="G3053" s="1" t="str">
        <f t="shared" si="2"/>
        <v>Luciana</v>
      </c>
      <c r="H3053" s="1" t="str">
        <f>IFERROR(__xludf.DUMMYFUNCTION("""COMPUTED_VALUE"""),"13/3/2023, 17:00:00")</f>
        <v>13/3/2023, 17:00:00</v>
      </c>
      <c r="I3053" s="1" t="str">
        <f>IFERROR(__xludf.DUMMYFUNCTION("""COMPUTED_VALUE"""),"Completado en SUCURSAL")</f>
        <v>Completado en SUCURSAL</v>
      </c>
      <c r="J3053" s="1">
        <f t="shared" si="3"/>
        <v>5</v>
      </c>
      <c r="K3053" s="1" t="str">
        <f t="shared" si="4"/>
        <v>Tus Lentes estan LISTAS PARA ENTREGAR, te esperamos.</v>
      </c>
    </row>
    <row r="3054">
      <c r="A3054" s="1">
        <f>IFERROR(__xludf.DUMMYFUNCTION("""COMPUTED_VALUE"""),87599.0)</f>
        <v>87599</v>
      </c>
      <c r="B3054" s="5">
        <f>IFERROR(__xludf.DUMMYFUNCTION("""COMPUTED_VALUE"""),44993.40926315972)</f>
        <v>44993.40926</v>
      </c>
      <c r="C3054" s="1" t="str">
        <f>IFERROR(__xludf.DUMMYFUNCTION("""COMPUTED_VALUE"""),"ABALLAY VALENTINA EMILIA")</f>
        <v>ABALLAY VALENTINA EMILIA</v>
      </c>
      <c r="D3054" s="1" t="str">
        <f>IFERROR(__xludf.DUMMYFUNCTION("""COMPUTED_VALUE"""),"Lentes de STOCK")</f>
        <v>Lentes de STOCK</v>
      </c>
      <c r="E3054" s="1" t="str">
        <f>IFERROR(__xludf.DUMMYFUNCTION("""COMPUTED_VALUE"""),"ARTIGAS Ivana P.")</f>
        <v>ARTIGAS Ivana P.</v>
      </c>
      <c r="F3054" s="1" t="str">
        <f t="shared" si="1"/>
        <v>ARTIGAS </v>
      </c>
      <c r="G3054" s="1" t="str">
        <f t="shared" si="2"/>
        <v>Ivana P.</v>
      </c>
      <c r="H3054" s="1" t="str">
        <f>IFERROR(__xludf.DUMMYFUNCTION("""COMPUTED_VALUE"""),"11/3/2023, 17:00:00")</f>
        <v>11/3/2023, 17:00:00</v>
      </c>
      <c r="I3054" s="1" t="str">
        <f>IFERROR(__xludf.DUMMYFUNCTION("""COMPUTED_VALUE"""),"Completado en SUCURSAL")</f>
        <v>Completado en SUCURSAL</v>
      </c>
      <c r="J3054" s="1">
        <f t="shared" si="3"/>
        <v>5</v>
      </c>
      <c r="K3054" s="1" t="str">
        <f t="shared" si="4"/>
        <v>Tus Lentes estan LISTAS PARA ENTREGAR, te esperamos.</v>
      </c>
    </row>
    <row r="3055">
      <c r="A3055" s="1">
        <f>IFERROR(__xludf.DUMMYFUNCTION("""COMPUTED_VALUE"""),87600.0)</f>
        <v>87600</v>
      </c>
      <c r="B3055" s="5">
        <f>IFERROR(__xludf.DUMMYFUNCTION("""COMPUTED_VALUE"""),44993.41532832176)</f>
        <v>44993.41533</v>
      </c>
      <c r="C3055" s="1" t="str">
        <f>IFERROR(__xludf.DUMMYFUNCTION("""COMPUTED_VALUE"""),"RANDAZZO AMELIA ESTHER")</f>
        <v>RANDAZZO AMELIA ESTHER</v>
      </c>
      <c r="D3055" s="1" t="str">
        <f>IFERROR(__xludf.DUMMYFUNCTION("""COMPUTED_VALUE"""),"Lentes de STOCK")</f>
        <v>Lentes de STOCK</v>
      </c>
      <c r="E3055" s="1" t="str">
        <f>IFERROR(__xludf.DUMMYFUNCTION("""COMPUTED_VALUE"""),"RIVADAVIA Marcela L")</f>
        <v>RIVADAVIA Marcela L</v>
      </c>
      <c r="F3055" s="1" t="str">
        <f t="shared" si="1"/>
        <v>RIVADAVIA </v>
      </c>
      <c r="G3055" s="1" t="str">
        <f t="shared" si="2"/>
        <v>Marcela L</v>
      </c>
      <c r="H3055" s="1" t="str">
        <f>IFERROR(__xludf.DUMMYFUNCTION("""COMPUTED_VALUE"""),"13/3/2023, 17:00:00")</f>
        <v>13/3/2023, 17:00:00</v>
      </c>
      <c r="I3055" s="1" t="str">
        <f>IFERROR(__xludf.DUMMYFUNCTION("""COMPUTED_VALUE"""),"Completado en SUCURSAL")</f>
        <v>Completado en SUCURSAL</v>
      </c>
      <c r="J3055" s="1">
        <f t="shared" si="3"/>
        <v>5</v>
      </c>
      <c r="K3055" s="1" t="str">
        <f t="shared" si="4"/>
        <v>Tus Lentes estan LISTAS PARA ENTREGAR, te esperamos.</v>
      </c>
    </row>
    <row r="3056">
      <c r="A3056" s="1">
        <f>IFERROR(__xludf.DUMMYFUNCTION("""COMPUTED_VALUE"""),87601.0)</f>
        <v>87601</v>
      </c>
      <c r="B3056" s="5">
        <f>IFERROR(__xludf.DUMMYFUNCTION("""COMPUTED_VALUE"""),44993.423182812505)</f>
        <v>44993.42318</v>
      </c>
      <c r="C3056" s="1" t="str">
        <f>IFERROR(__xludf.DUMMYFUNCTION("""COMPUTED_VALUE"""),"MARTINEZ YESICA")</f>
        <v>MARTINEZ YESICA</v>
      </c>
      <c r="D3056" s="1" t="str">
        <f>IFERROR(__xludf.DUMMYFUNCTION("""COMPUTED_VALUE"""),"Reparaciones/Otros")</f>
        <v>Reparaciones/Otros</v>
      </c>
      <c r="E3056" s="1" t="str">
        <f>IFERROR(__xludf.DUMMYFUNCTION("""COMPUTED_VALUE"""),"RIVADAVIA Christian C.")</f>
        <v>RIVADAVIA Christian C.</v>
      </c>
      <c r="F3056" s="1" t="str">
        <f t="shared" si="1"/>
        <v>RIVADAVIA </v>
      </c>
      <c r="G3056" s="1" t="str">
        <f t="shared" si="2"/>
        <v>Christian C.</v>
      </c>
      <c r="H3056" s="1" t="str">
        <f>IFERROR(__xludf.DUMMYFUNCTION("""COMPUTED_VALUE"""),"9/3/2023, 17:00:00")</f>
        <v>9/3/2023, 17:00:00</v>
      </c>
      <c r="I3056" s="1" t="str">
        <f>IFERROR(__xludf.DUMMYFUNCTION("""COMPUTED_VALUE"""),"Completado en SUCURSAL")</f>
        <v>Completado en SUCURSAL</v>
      </c>
      <c r="J3056" s="1">
        <f t="shared" si="3"/>
        <v>5</v>
      </c>
      <c r="K3056" s="1" t="str">
        <f t="shared" si="4"/>
        <v>Tus Lentes estan LISTAS PARA ENTREGAR, te esperamos.</v>
      </c>
    </row>
    <row r="3057">
      <c r="A3057" s="1">
        <f>IFERROR(__xludf.DUMMYFUNCTION("""COMPUTED_VALUE"""),87602.0)</f>
        <v>87602</v>
      </c>
      <c r="B3057" s="5">
        <f>IFERROR(__xludf.DUMMYFUNCTION("""COMPUTED_VALUE"""),44993.43273222222)</f>
        <v>44993.43273</v>
      </c>
      <c r="C3057" s="1" t="str">
        <f>IFERROR(__xludf.DUMMYFUNCTION("""COMPUTED_VALUE"""),"CARRASCO MARTIN")</f>
        <v>CARRASCO MARTIN</v>
      </c>
      <c r="D3057" s="1" t="str">
        <f>IFERROR(__xludf.DUMMYFUNCTION("""COMPUTED_VALUE"""),"Lentes MULTIFOCALES")</f>
        <v>Lentes MULTIFOCALES</v>
      </c>
      <c r="E3057" s="1" t="str">
        <f>IFERROR(__xludf.DUMMYFUNCTION("""COMPUTED_VALUE"""),"ARTIGAS Roció")</f>
        <v>ARTIGAS Roció</v>
      </c>
      <c r="F3057" s="1" t="str">
        <f t="shared" si="1"/>
        <v>ARTIGAS </v>
      </c>
      <c r="G3057" s="1" t="str">
        <f t="shared" si="2"/>
        <v>Roció</v>
      </c>
      <c r="H3057" s="1" t="str">
        <f>IFERROR(__xludf.DUMMYFUNCTION("""COMPUTED_VALUE"""),"27/3/2023, 17:00:00")</f>
        <v>27/3/2023, 17:00:00</v>
      </c>
      <c r="I3057" s="1" t="str">
        <f>IFERROR(__xludf.DUMMYFUNCTION("""COMPUTED_VALUE"""),"RETIRADO OK POR CLIENTE")</f>
        <v>RETIRADO OK POR CLIENTE</v>
      </c>
      <c r="J3057" s="1">
        <f t="shared" si="3"/>
        <v>6</v>
      </c>
      <c r="K3057" s="1" t="str">
        <f t="shared" si="4"/>
        <v>Entregamos tus lentes, que los disfrutes!</v>
      </c>
    </row>
    <row r="3058">
      <c r="A3058" s="1">
        <f>IFERROR(__xludf.DUMMYFUNCTION("""COMPUTED_VALUE"""),87603.0)</f>
        <v>87603</v>
      </c>
      <c r="B3058" s="5">
        <f>IFERROR(__xludf.DUMMYFUNCTION("""COMPUTED_VALUE"""),44993.436983472224)</f>
        <v>44993.43698</v>
      </c>
      <c r="C3058" s="1" t="str">
        <f>IFERROR(__xludf.DUMMYFUNCTION("""COMPUTED_VALUE"""),"FORSINI ANALIA SOLEAD")</f>
        <v>FORSINI ANALIA SOLEAD</v>
      </c>
      <c r="D3058" s="1" t="str">
        <f>IFERROR(__xludf.DUMMYFUNCTION("""COMPUTED_VALUE"""),"Lentes de STOCK")</f>
        <v>Lentes de STOCK</v>
      </c>
      <c r="E3058" s="1" t="str">
        <f>IFERROR(__xludf.DUMMYFUNCTION("""COMPUTED_VALUE"""),"RIVADAVIA Santiago N")</f>
        <v>RIVADAVIA Santiago N</v>
      </c>
      <c r="F3058" s="1" t="str">
        <f t="shared" si="1"/>
        <v>RIVADAVIA </v>
      </c>
      <c r="G3058" s="1" t="str">
        <f t="shared" si="2"/>
        <v>Santiago N</v>
      </c>
      <c r="H3058" s="1" t="str">
        <f>IFERROR(__xludf.DUMMYFUNCTION("""COMPUTED_VALUE"""),"11/3/2023, 17:00:00")</f>
        <v>11/3/2023, 17:00:00</v>
      </c>
      <c r="I3058" s="1" t="str">
        <f>IFERROR(__xludf.DUMMYFUNCTION("""COMPUTED_VALUE"""),"Recibido en Laboratorio")</f>
        <v>Recibido en Laboratorio</v>
      </c>
      <c r="J3058" s="1">
        <f t="shared" si="3"/>
        <v>2</v>
      </c>
      <c r="K3058" s="1" t="str">
        <f t="shared" si="4"/>
        <v>Nuestro Laboratorio esta trabajando en tus lentes, los entregaremos en la fecha acordada.</v>
      </c>
    </row>
    <row r="3059">
      <c r="A3059" s="1">
        <f>IFERROR(__xludf.DUMMYFUNCTION("""COMPUTED_VALUE"""),87604.0)</f>
        <v>87604</v>
      </c>
      <c r="B3059" s="5">
        <f>IFERROR(__xludf.DUMMYFUNCTION("""COMPUTED_VALUE"""),44993.43760045139)</f>
        <v>44993.4376</v>
      </c>
      <c r="C3059" s="1" t="str">
        <f>IFERROR(__xludf.DUMMYFUNCTION("""COMPUTED_VALUE"""),"FERRARI ANDREA")</f>
        <v>FERRARI ANDREA</v>
      </c>
      <c r="D3059" s="1" t="str">
        <f>IFERROR(__xludf.DUMMYFUNCTION("""COMPUTED_VALUE"""),"Lentes de STOCK")</f>
        <v>Lentes de STOCK</v>
      </c>
      <c r="E3059" s="1" t="str">
        <f>IFERROR(__xludf.DUMMYFUNCTION("""COMPUTED_VALUE"""),"ARTIGAS Roció")</f>
        <v>ARTIGAS Roció</v>
      </c>
      <c r="F3059" s="1" t="str">
        <f t="shared" si="1"/>
        <v>ARTIGAS </v>
      </c>
      <c r="G3059" s="1" t="str">
        <f t="shared" si="2"/>
        <v>Roció</v>
      </c>
      <c r="H3059" s="1" t="str">
        <f>IFERROR(__xludf.DUMMYFUNCTION("""COMPUTED_VALUE"""),"15/3/2023, 17:00:00")</f>
        <v>15/3/2023, 17:00:00</v>
      </c>
      <c r="I3059" s="1" t="str">
        <f>IFERROR(__xludf.DUMMYFUNCTION("""COMPUTED_VALUE"""),"Recibido en Laboratorio")</f>
        <v>Recibido en Laboratorio</v>
      </c>
      <c r="J3059" s="1">
        <f t="shared" si="3"/>
        <v>2</v>
      </c>
      <c r="K3059" s="1" t="str">
        <f t="shared" si="4"/>
        <v>Nuestro Laboratorio esta trabajando en tus lentes, los entregaremos en la fecha acordada.</v>
      </c>
    </row>
    <row r="3060">
      <c r="A3060" s="1">
        <f>IFERROR(__xludf.DUMMYFUNCTION("""COMPUTED_VALUE"""),87605.0)</f>
        <v>87605</v>
      </c>
      <c r="B3060" s="5">
        <f>IFERROR(__xludf.DUMMYFUNCTION("""COMPUTED_VALUE"""),44993.442074108796)</f>
        <v>44993.44207</v>
      </c>
      <c r="C3060" s="1" t="str">
        <f>IFERROR(__xludf.DUMMYFUNCTION("""COMPUTED_VALUE"""),"GONZALEZ NORMA SILVIA")</f>
        <v>GONZALEZ NORMA SILVIA</v>
      </c>
      <c r="D3060" s="1" t="str">
        <f>IFERROR(__xludf.DUMMYFUNCTION("""COMPUTED_VALUE"""),"Lentes de STOCK")</f>
        <v>Lentes de STOCK</v>
      </c>
      <c r="E3060" s="1" t="str">
        <f>IFERROR(__xludf.DUMMYFUNCTION("""COMPUTED_VALUE"""),"RIVADAVIA Santiago LOPEZ")</f>
        <v>RIVADAVIA Santiago LOPEZ</v>
      </c>
      <c r="F3060" s="1" t="str">
        <f t="shared" si="1"/>
        <v>RIVADAVIA </v>
      </c>
      <c r="G3060" s="1" t="str">
        <f t="shared" si="2"/>
        <v>Santiago LOPEZ</v>
      </c>
      <c r="H3060" s="1" t="str">
        <f>IFERROR(__xludf.DUMMYFUNCTION("""COMPUTED_VALUE"""),"10/3/2023, 17:00:00")</f>
        <v>10/3/2023, 17:00:00</v>
      </c>
      <c r="I3060" s="1" t="str">
        <f>IFERROR(__xludf.DUMMYFUNCTION("""COMPUTED_VALUE"""),"Recibido en Laboratorio")</f>
        <v>Recibido en Laboratorio</v>
      </c>
      <c r="J3060" s="1">
        <f t="shared" si="3"/>
        <v>2</v>
      </c>
      <c r="K3060" s="1" t="str">
        <f t="shared" si="4"/>
        <v>Nuestro Laboratorio esta trabajando en tus lentes, los entregaremos en la fecha acordada.</v>
      </c>
    </row>
    <row r="3061">
      <c r="A3061" s="1">
        <f>IFERROR(__xludf.DUMMYFUNCTION("""COMPUTED_VALUE"""),87606.0)</f>
        <v>87606</v>
      </c>
      <c r="B3061" s="5">
        <f>IFERROR(__xludf.DUMMYFUNCTION("""COMPUTED_VALUE"""),44993.445628657406)</f>
        <v>44993.44563</v>
      </c>
      <c r="C3061" s="1" t="str">
        <f>IFERROR(__xludf.DUMMYFUNCTION("""COMPUTED_VALUE"""),"ROCCO BLANCA")</f>
        <v>ROCCO BLANCA</v>
      </c>
      <c r="D3061" s="1" t="str">
        <f>IFERROR(__xludf.DUMMYFUNCTION("""COMPUTED_VALUE"""),"Lentes de STOCK")</f>
        <v>Lentes de STOCK</v>
      </c>
      <c r="E3061" s="1" t="str">
        <f>IFERROR(__xludf.DUMMYFUNCTION("""COMPUTED_VALUE"""),"RIVADAVIA Santiago N")</f>
        <v>RIVADAVIA Santiago N</v>
      </c>
      <c r="F3061" s="1" t="str">
        <f t="shared" si="1"/>
        <v>RIVADAVIA </v>
      </c>
      <c r="G3061" s="1" t="str">
        <f t="shared" si="2"/>
        <v>Santiago N</v>
      </c>
      <c r="H3061" s="1" t="str">
        <f>IFERROR(__xludf.DUMMYFUNCTION("""COMPUTED_VALUE"""),"14/3/2023, 17:00:00")</f>
        <v>14/3/2023, 17:00:00</v>
      </c>
      <c r="I3061" s="1" t="str">
        <f>IFERROR(__xludf.DUMMYFUNCTION("""COMPUTED_VALUE"""),"Completado en SUCURSAL")</f>
        <v>Completado en SUCURSAL</v>
      </c>
      <c r="J3061" s="1">
        <f t="shared" si="3"/>
        <v>5</v>
      </c>
      <c r="K3061" s="1" t="str">
        <f t="shared" si="4"/>
        <v>Tus Lentes estan LISTAS PARA ENTREGAR, te esperamos.</v>
      </c>
    </row>
    <row r="3062">
      <c r="A3062" s="1">
        <f>IFERROR(__xludf.DUMMYFUNCTION("""COMPUTED_VALUE"""),87607.0)</f>
        <v>87607</v>
      </c>
      <c r="B3062" s="5">
        <f>IFERROR(__xludf.DUMMYFUNCTION("""COMPUTED_VALUE"""),44993.44729489583)</f>
        <v>44993.44729</v>
      </c>
      <c r="C3062" s="1" t="str">
        <f>IFERROR(__xludf.DUMMYFUNCTION("""COMPUTED_VALUE"""),"LUCERO MARIA ESTHER ")</f>
        <v>LUCERO MARIA ESTHER </v>
      </c>
      <c r="D3062" s="1" t="str">
        <f>IFERROR(__xludf.DUMMYFUNCTION("""COMPUTED_VALUE"""),"Reparaciones/Otros")</f>
        <v>Reparaciones/Otros</v>
      </c>
      <c r="E3062" s="1" t="str">
        <f>IFERROR(__xludf.DUMMYFUNCTION("""COMPUTED_VALUE"""),"RIVADAVIA Luciana")</f>
        <v>RIVADAVIA Luciana</v>
      </c>
      <c r="F3062" s="1" t="str">
        <f t="shared" si="1"/>
        <v>RIVADAVIA </v>
      </c>
      <c r="G3062" s="1" t="str">
        <f t="shared" si="2"/>
        <v>Luciana</v>
      </c>
      <c r="H3062" s="1" t="str">
        <f>IFERROR(__xludf.DUMMYFUNCTION("""COMPUTED_VALUE"""),"9/3/2023, 17:00:00")</f>
        <v>9/3/2023, 17:00:00</v>
      </c>
      <c r="I3062" s="1" t="str">
        <f>IFERROR(__xludf.DUMMYFUNCTION("""COMPUTED_VALUE"""),"Completado en SUCURSAL")</f>
        <v>Completado en SUCURSAL</v>
      </c>
      <c r="J3062" s="1">
        <f t="shared" si="3"/>
        <v>5</v>
      </c>
      <c r="K3062" s="1" t="str">
        <f t="shared" si="4"/>
        <v>Tus Lentes estan LISTAS PARA ENTREGAR, te esperamos.</v>
      </c>
    </row>
    <row r="3063">
      <c r="A3063" s="1">
        <f>IFERROR(__xludf.DUMMYFUNCTION("""COMPUTED_VALUE"""),87608.0)</f>
        <v>87608</v>
      </c>
      <c r="B3063" s="5">
        <f>IFERROR(__xludf.DUMMYFUNCTION("""COMPUTED_VALUE"""),44993.452137037035)</f>
        <v>44993.45214</v>
      </c>
      <c r="C3063" s="1" t="str">
        <f>IFERROR(__xludf.DUMMYFUNCTION("""COMPUTED_VALUE"""),"PEREIRA SONIA EDITH")</f>
        <v>PEREIRA SONIA EDITH</v>
      </c>
      <c r="D3063" s="1" t="str">
        <f>IFERROR(__xludf.DUMMYFUNCTION("""COMPUTED_VALUE"""),"Lentes de STOCK")</f>
        <v>Lentes de STOCK</v>
      </c>
      <c r="E3063" s="1" t="str">
        <f>IFERROR(__xludf.DUMMYFUNCTION("""COMPUTED_VALUE"""),"RIVADAVIA Marcela L")</f>
        <v>RIVADAVIA Marcela L</v>
      </c>
      <c r="F3063" s="1" t="str">
        <f t="shared" si="1"/>
        <v>RIVADAVIA </v>
      </c>
      <c r="G3063" s="1" t="str">
        <f t="shared" si="2"/>
        <v>Marcela L</v>
      </c>
      <c r="H3063" s="1" t="str">
        <f>IFERROR(__xludf.DUMMYFUNCTION("""COMPUTED_VALUE"""),"13/3/2023, 17:00:00")</f>
        <v>13/3/2023, 17:00:00</v>
      </c>
      <c r="I3063" s="1" t="str">
        <f>IFERROR(__xludf.DUMMYFUNCTION("""COMPUTED_VALUE"""),"Recibido en Laboratorio")</f>
        <v>Recibido en Laboratorio</v>
      </c>
      <c r="J3063" s="1">
        <f t="shared" si="3"/>
        <v>2</v>
      </c>
      <c r="K3063" s="1" t="str">
        <f t="shared" si="4"/>
        <v>Nuestro Laboratorio esta trabajando en tus lentes, los entregaremos en la fecha acordada.</v>
      </c>
    </row>
    <row r="3064">
      <c r="A3064" s="1">
        <f>IFERROR(__xludf.DUMMYFUNCTION("""COMPUTED_VALUE"""),87609.0)</f>
        <v>87609</v>
      </c>
      <c r="B3064" s="5">
        <f>IFERROR(__xludf.DUMMYFUNCTION("""COMPUTED_VALUE"""),44993.454238900464)</f>
        <v>44993.45424</v>
      </c>
      <c r="C3064" s="1" t="str">
        <f>IFERROR(__xludf.DUMMYFUNCTION("""COMPUTED_VALUE"""),"LUCERO RICARDO EUSEBIO")</f>
        <v>LUCERO RICARDO EUSEBIO</v>
      </c>
      <c r="D3064" s="1" t="str">
        <f>IFERROR(__xludf.DUMMYFUNCTION("""COMPUTED_VALUE"""),"Lentes de STOCK")</f>
        <v>Lentes de STOCK</v>
      </c>
      <c r="E3064" s="1" t="str">
        <f>IFERROR(__xludf.DUMMYFUNCTION("""COMPUTED_VALUE"""),"ARTIGAS Roció")</f>
        <v>ARTIGAS Roció</v>
      </c>
      <c r="F3064" s="1" t="str">
        <f t="shared" si="1"/>
        <v>ARTIGAS </v>
      </c>
      <c r="G3064" s="1" t="str">
        <f t="shared" si="2"/>
        <v>Roció</v>
      </c>
      <c r="H3064" s="1" t="str">
        <f>IFERROR(__xludf.DUMMYFUNCTION("""COMPUTED_VALUE"""),"10/3/2023, 17:00:00")</f>
        <v>10/3/2023, 17:00:00</v>
      </c>
      <c r="I3064" s="1" t="str">
        <f>IFERROR(__xludf.DUMMYFUNCTION("""COMPUTED_VALUE"""),"Completado en SUCURSAL")</f>
        <v>Completado en SUCURSAL</v>
      </c>
      <c r="J3064" s="1">
        <f t="shared" si="3"/>
        <v>5</v>
      </c>
      <c r="K3064" s="1" t="str">
        <f t="shared" si="4"/>
        <v>Tus Lentes estan LISTAS PARA ENTREGAR, te esperamos.</v>
      </c>
    </row>
    <row r="3065">
      <c r="A3065" s="1">
        <f>IFERROR(__xludf.DUMMYFUNCTION("""COMPUTED_VALUE"""),87610.0)</f>
        <v>87610</v>
      </c>
      <c r="B3065" s="5">
        <f>IFERROR(__xludf.DUMMYFUNCTION("""COMPUTED_VALUE"""),44993.46085179398)</f>
        <v>44993.46085</v>
      </c>
      <c r="C3065" s="1" t="str">
        <f>IFERROR(__xludf.DUMMYFUNCTION("""COMPUTED_VALUE"""),"CIRICA ALEXIS JONATHAN")</f>
        <v>CIRICA ALEXIS JONATHAN</v>
      </c>
      <c r="D3065" s="1" t="str">
        <f>IFERROR(__xludf.DUMMYFUNCTION("""COMPUTED_VALUE"""),"Lentes de STOCK")</f>
        <v>Lentes de STOCK</v>
      </c>
      <c r="E3065" s="1" t="str">
        <f>IFERROR(__xludf.DUMMYFUNCTION("""COMPUTED_VALUE"""),"RIVADAVIA Christian C.")</f>
        <v>RIVADAVIA Christian C.</v>
      </c>
      <c r="F3065" s="1" t="str">
        <f t="shared" si="1"/>
        <v>RIVADAVIA </v>
      </c>
      <c r="G3065" s="1" t="str">
        <f t="shared" si="2"/>
        <v>Christian C.</v>
      </c>
      <c r="H3065" s="1" t="str">
        <f>IFERROR(__xludf.DUMMYFUNCTION("""COMPUTED_VALUE"""),"16/3/2023, 17:00:00")</f>
        <v>16/3/2023, 17:00:00</v>
      </c>
      <c r="I3065" s="1" t="str">
        <f>IFERROR(__xludf.DUMMYFUNCTION("""COMPUTED_VALUE"""),"Completado en SUCURSAL")</f>
        <v>Completado en SUCURSAL</v>
      </c>
      <c r="J3065" s="1">
        <f t="shared" si="3"/>
        <v>5</v>
      </c>
      <c r="K3065" s="1" t="str">
        <f t="shared" si="4"/>
        <v>Tus Lentes estan LISTAS PARA ENTREGAR, te esperamos.</v>
      </c>
    </row>
    <row r="3066">
      <c r="A3066" s="1">
        <f>IFERROR(__xludf.DUMMYFUNCTION("""COMPUTED_VALUE"""),87611.0)</f>
        <v>87611</v>
      </c>
      <c r="B3066" s="5">
        <f>IFERROR(__xludf.DUMMYFUNCTION("""COMPUTED_VALUE"""),44993.462142488424)</f>
        <v>44993.46214</v>
      </c>
      <c r="C3066" s="1" t="str">
        <f>IFERROR(__xludf.DUMMYFUNCTION("""COMPUTED_VALUE"""),"vega nora elena")</f>
        <v>vega nora elena</v>
      </c>
      <c r="D3066" s="1" t="str">
        <f>IFERROR(__xludf.DUMMYFUNCTION("""COMPUTED_VALUE"""),"Lentes BIFOCALES")</f>
        <v>Lentes BIFOCALES</v>
      </c>
      <c r="E3066" s="1" t="str">
        <f>IFERROR(__xludf.DUMMYFUNCTION("""COMPUTED_VALUE"""),"ARTIGAS Roció")</f>
        <v>ARTIGAS Roció</v>
      </c>
      <c r="F3066" s="1" t="str">
        <f t="shared" si="1"/>
        <v>ARTIGAS </v>
      </c>
      <c r="G3066" s="1" t="str">
        <f t="shared" si="2"/>
        <v>Roció</v>
      </c>
      <c r="H3066" s="1" t="str">
        <f>IFERROR(__xludf.DUMMYFUNCTION("""COMPUTED_VALUE"""),"16/3/2023, 17:00:00")</f>
        <v>16/3/2023, 17:00:00</v>
      </c>
      <c r="I3066" s="1" t="str">
        <f>IFERROR(__xludf.DUMMYFUNCTION("""COMPUTED_VALUE"""),"Completado en SUCURSAL")</f>
        <v>Completado en SUCURSAL</v>
      </c>
      <c r="J3066" s="1">
        <f t="shared" si="3"/>
        <v>5</v>
      </c>
      <c r="K3066" s="1" t="str">
        <f t="shared" si="4"/>
        <v>Tus Lentes estan LISTAS PARA ENTREGAR, te esperamos.</v>
      </c>
    </row>
    <row r="3067">
      <c r="A3067" s="1">
        <f>IFERROR(__xludf.DUMMYFUNCTION("""COMPUTED_VALUE"""),87612.0)</f>
        <v>87612</v>
      </c>
      <c r="B3067" s="5">
        <f>IFERROR(__xludf.DUMMYFUNCTION("""COMPUTED_VALUE"""),44993.462458078706)</f>
        <v>44993.46246</v>
      </c>
      <c r="C3067" s="1" t="str">
        <f>IFERROR(__xludf.DUMMYFUNCTION("""COMPUTED_VALUE"""),"ESCUDERO KAREN MARCELA")</f>
        <v>ESCUDERO KAREN MARCELA</v>
      </c>
      <c r="D3067" s="1" t="str">
        <f>IFERROR(__xludf.DUMMYFUNCTION("""COMPUTED_VALUE"""),"Lentes de STOCK")</f>
        <v>Lentes de STOCK</v>
      </c>
      <c r="E3067" s="1" t="str">
        <f>IFERROR(__xludf.DUMMYFUNCTION("""COMPUTED_VALUE"""),"RIVADAVIA Christian C.")</f>
        <v>RIVADAVIA Christian C.</v>
      </c>
      <c r="F3067" s="1" t="str">
        <f t="shared" si="1"/>
        <v>RIVADAVIA </v>
      </c>
      <c r="G3067" s="1" t="str">
        <f t="shared" si="2"/>
        <v>Christian C.</v>
      </c>
      <c r="H3067" s="1" t="str">
        <f>IFERROR(__xludf.DUMMYFUNCTION("""COMPUTED_VALUE"""),"16/3/2023, 17:00:00")</f>
        <v>16/3/2023, 17:00:00</v>
      </c>
      <c r="I3067" s="1" t="str">
        <f>IFERROR(__xludf.DUMMYFUNCTION("""COMPUTED_VALUE"""),"Completado en SUCURSAL")</f>
        <v>Completado en SUCURSAL</v>
      </c>
      <c r="J3067" s="1">
        <f t="shared" si="3"/>
        <v>5</v>
      </c>
      <c r="K3067" s="1" t="str">
        <f t="shared" si="4"/>
        <v>Tus Lentes estan LISTAS PARA ENTREGAR, te esperamos.</v>
      </c>
    </row>
    <row r="3068">
      <c r="A3068" s="1">
        <f>IFERROR(__xludf.DUMMYFUNCTION("""COMPUTED_VALUE"""),87613.0)</f>
        <v>87613</v>
      </c>
      <c r="B3068" s="5">
        <f>IFERROR(__xludf.DUMMYFUNCTION("""COMPUTED_VALUE"""),44993.46247758102)</f>
        <v>44993.46248</v>
      </c>
      <c r="C3068" s="1" t="str">
        <f>IFERROR(__xludf.DUMMYFUNCTION("""COMPUTED_VALUE"""),"SOSA ROSA GRACIELA")</f>
        <v>SOSA ROSA GRACIELA</v>
      </c>
      <c r="D3068" s="1" t="str">
        <f>IFERROR(__xludf.DUMMYFUNCTION("""COMPUTED_VALUE"""),"Lentes BIFOCALES")</f>
        <v>Lentes BIFOCALES</v>
      </c>
      <c r="E3068" s="1" t="str">
        <f>IFERROR(__xludf.DUMMYFUNCTION("""COMPUTED_VALUE"""),"ARTIGAS Ivana P.")</f>
        <v>ARTIGAS Ivana P.</v>
      </c>
      <c r="F3068" s="1" t="str">
        <f t="shared" si="1"/>
        <v>ARTIGAS </v>
      </c>
      <c r="G3068" s="1" t="str">
        <f t="shared" si="2"/>
        <v>Ivana P.</v>
      </c>
      <c r="H3068" s="1" t="str">
        <f>IFERROR(__xludf.DUMMYFUNCTION("""COMPUTED_VALUE"""),"14/3/2023, 17:00:00")</f>
        <v>14/3/2023, 17:00:00</v>
      </c>
      <c r="I3068" s="1" t="str">
        <f>IFERROR(__xludf.DUMMYFUNCTION("""COMPUTED_VALUE"""),"Completado en SUCURSAL")</f>
        <v>Completado en SUCURSAL</v>
      </c>
      <c r="J3068" s="1">
        <f t="shared" si="3"/>
        <v>5</v>
      </c>
      <c r="K3068" s="1" t="str">
        <f t="shared" si="4"/>
        <v>Tus Lentes estan LISTAS PARA ENTREGAR, te esperamos.</v>
      </c>
    </row>
    <row r="3069">
      <c r="A3069" s="1">
        <f>IFERROR(__xludf.DUMMYFUNCTION("""COMPUTED_VALUE"""),87614.0)</f>
        <v>87614</v>
      </c>
      <c r="B3069" s="5">
        <f>IFERROR(__xludf.DUMMYFUNCTION("""COMPUTED_VALUE"""),44993.467285694445)</f>
        <v>44993.46729</v>
      </c>
      <c r="C3069" s="1" t="str">
        <f>IFERROR(__xludf.DUMMYFUNCTION("""COMPUTED_VALUE"""),"COREA TEODORA")</f>
        <v>COREA TEODORA</v>
      </c>
      <c r="D3069" s="1" t="str">
        <f>IFERROR(__xludf.DUMMYFUNCTION("""COMPUTED_VALUE"""),"Reparaciones/Otros")</f>
        <v>Reparaciones/Otros</v>
      </c>
      <c r="E3069" s="1" t="str">
        <f>IFERROR(__xludf.DUMMYFUNCTION("""COMPUTED_VALUE"""),"RIVADAVIA Luciana")</f>
        <v>RIVADAVIA Luciana</v>
      </c>
      <c r="F3069" s="1" t="str">
        <f t="shared" si="1"/>
        <v>RIVADAVIA </v>
      </c>
      <c r="G3069" s="1" t="str">
        <f t="shared" si="2"/>
        <v>Luciana</v>
      </c>
      <c r="H3069" s="1" t="str">
        <f>IFERROR(__xludf.DUMMYFUNCTION("""COMPUTED_VALUE"""),"9/3/2023, 17:00:00")</f>
        <v>9/3/2023, 17:00:00</v>
      </c>
      <c r="I3069" s="1" t="str">
        <f>IFERROR(__xludf.DUMMYFUNCTION("""COMPUTED_VALUE"""),"Completado en SUCURSAL")</f>
        <v>Completado en SUCURSAL</v>
      </c>
      <c r="J3069" s="1">
        <f t="shared" si="3"/>
        <v>5</v>
      </c>
      <c r="K3069" s="1" t="str">
        <f t="shared" si="4"/>
        <v>Tus Lentes estan LISTAS PARA ENTREGAR, te esperamos.</v>
      </c>
    </row>
    <row r="3070">
      <c r="A3070" s="1">
        <f>IFERROR(__xludf.DUMMYFUNCTION("""COMPUTED_VALUE"""),87615.0)</f>
        <v>87615</v>
      </c>
      <c r="B3070" s="5">
        <f>IFERROR(__xludf.DUMMYFUNCTION("""COMPUTED_VALUE"""),44993.46895847222)</f>
        <v>44993.46896</v>
      </c>
      <c r="C3070" s="1" t="str">
        <f>IFERROR(__xludf.DUMMYFUNCTION("""COMPUTED_VALUE"""),"CORIA JOSE GILBERTO")</f>
        <v>CORIA JOSE GILBERTO</v>
      </c>
      <c r="D3070" s="1" t="str">
        <f>IFERROR(__xludf.DUMMYFUNCTION("""COMPUTED_VALUE"""),"Lentes de STOCK")</f>
        <v>Lentes de STOCK</v>
      </c>
      <c r="E3070" s="1" t="str">
        <f>IFERROR(__xludf.DUMMYFUNCTION("""COMPUTED_VALUE"""),"ARTIGAS Roció")</f>
        <v>ARTIGAS Roció</v>
      </c>
      <c r="F3070" s="1" t="str">
        <f t="shared" si="1"/>
        <v>ARTIGAS </v>
      </c>
      <c r="G3070" s="1" t="str">
        <f t="shared" si="2"/>
        <v>Roció</v>
      </c>
      <c r="H3070" s="1" t="str">
        <f>IFERROR(__xludf.DUMMYFUNCTION("""COMPUTED_VALUE"""),"15/3/2023, 17:00:00")</f>
        <v>15/3/2023, 17:00:00</v>
      </c>
      <c r="I3070" s="1" t="str">
        <f>IFERROR(__xludf.DUMMYFUNCTION("""COMPUTED_VALUE"""),"Completado en SUCURSAL")</f>
        <v>Completado en SUCURSAL</v>
      </c>
      <c r="J3070" s="1">
        <f t="shared" si="3"/>
        <v>5</v>
      </c>
      <c r="K3070" s="1" t="str">
        <f t="shared" si="4"/>
        <v>Tus Lentes estan LISTAS PARA ENTREGAR, te esperamos.</v>
      </c>
    </row>
    <row r="3071">
      <c r="A3071" s="1">
        <f>IFERROR(__xludf.DUMMYFUNCTION("""COMPUTED_VALUE"""),87616.0)</f>
        <v>87616</v>
      </c>
      <c r="B3071" s="5">
        <f>IFERROR(__xludf.DUMMYFUNCTION("""COMPUTED_VALUE"""),44993.47132254629)</f>
        <v>44993.47132</v>
      </c>
      <c r="C3071" s="1" t="str">
        <f>IFERROR(__xludf.DUMMYFUNCTION("""COMPUTED_VALUE"""),"PIGUILLEN, ANDRES FERNANDO ")</f>
        <v>PIGUILLEN, ANDRES FERNANDO </v>
      </c>
      <c r="D3071" s="1" t="str">
        <f>IFERROR(__xludf.DUMMYFUNCTION("""COMPUTED_VALUE"""),"Lentes de STOCK")</f>
        <v>Lentes de STOCK</v>
      </c>
      <c r="E3071" s="1" t="str">
        <f>IFERROR(__xludf.DUMMYFUNCTION("""COMPUTED_VALUE"""),"RIVADAVIA Santiago LOPEZ")</f>
        <v>RIVADAVIA Santiago LOPEZ</v>
      </c>
      <c r="F3071" s="1" t="str">
        <f t="shared" si="1"/>
        <v>RIVADAVIA </v>
      </c>
      <c r="G3071" s="1" t="str">
        <f t="shared" si="2"/>
        <v>Santiago LOPEZ</v>
      </c>
      <c r="H3071" s="1" t="str">
        <f>IFERROR(__xludf.DUMMYFUNCTION("""COMPUTED_VALUE"""),"10/3/2023, 17:00:00")</f>
        <v>10/3/2023, 17:00:00</v>
      </c>
      <c r="I3071" s="1" t="str">
        <f>IFERROR(__xludf.DUMMYFUNCTION("""COMPUTED_VALUE"""),"Completado en SUCURSAL")</f>
        <v>Completado en SUCURSAL</v>
      </c>
      <c r="J3071" s="1">
        <f t="shared" si="3"/>
        <v>5</v>
      </c>
      <c r="K3071" s="1" t="str">
        <f t="shared" si="4"/>
        <v>Tus Lentes estan LISTAS PARA ENTREGAR, te esperamos.</v>
      </c>
    </row>
    <row r="3072">
      <c r="A3072" s="1">
        <f>IFERROR(__xludf.DUMMYFUNCTION("""COMPUTED_VALUE"""),87617.0)</f>
        <v>87617</v>
      </c>
      <c r="B3072" s="5">
        <f>IFERROR(__xludf.DUMMYFUNCTION("""COMPUTED_VALUE"""),44993.472437592594)</f>
        <v>44993.47244</v>
      </c>
      <c r="C3072" s="1" t="str">
        <f>IFERROR(__xludf.DUMMYFUNCTION("""COMPUTED_VALUE"""),"PAEZ VANESA")</f>
        <v>PAEZ VANESA</v>
      </c>
      <c r="D3072" s="1" t="str">
        <f>IFERROR(__xludf.DUMMYFUNCTION("""COMPUTED_VALUE"""),"Lentes de STOCK")</f>
        <v>Lentes de STOCK</v>
      </c>
      <c r="E3072" s="1" t="str">
        <f>IFERROR(__xludf.DUMMYFUNCTION("""COMPUTED_VALUE"""),"ARTIGAS Ivana P.")</f>
        <v>ARTIGAS Ivana P.</v>
      </c>
      <c r="F3072" s="1" t="str">
        <f t="shared" si="1"/>
        <v>ARTIGAS </v>
      </c>
      <c r="G3072" s="1" t="str">
        <f t="shared" si="2"/>
        <v>Ivana P.</v>
      </c>
      <c r="H3072" s="1" t="str">
        <f>IFERROR(__xludf.DUMMYFUNCTION("""COMPUTED_VALUE"""),"11/3/2023, 17:00:00")</f>
        <v>11/3/2023, 17:00:00</v>
      </c>
      <c r="I3072" s="1" t="str">
        <f>IFERROR(__xludf.DUMMYFUNCTION("""COMPUTED_VALUE"""),"Completado en SUCURSAL")</f>
        <v>Completado en SUCURSAL</v>
      </c>
      <c r="J3072" s="1">
        <f t="shared" si="3"/>
        <v>5</v>
      </c>
      <c r="K3072" s="1" t="str">
        <f t="shared" si="4"/>
        <v>Tus Lentes estan LISTAS PARA ENTREGAR, te esperamos.</v>
      </c>
    </row>
    <row r="3073">
      <c r="A3073" s="1">
        <f>IFERROR(__xludf.DUMMYFUNCTION("""COMPUTED_VALUE"""),87618.0)</f>
        <v>87618</v>
      </c>
      <c r="B3073" s="5">
        <f>IFERROR(__xludf.DUMMYFUNCTION("""COMPUTED_VALUE"""),44993.47299784722)</f>
        <v>44993.473</v>
      </c>
      <c r="C3073" s="1" t="str">
        <f>IFERROR(__xludf.DUMMYFUNCTION("""COMPUTED_VALUE"""),"ALCARAZ EDUARDO ANTONIO")</f>
        <v>ALCARAZ EDUARDO ANTONIO</v>
      </c>
      <c r="D3073" s="1" t="str">
        <f>IFERROR(__xludf.DUMMYFUNCTION("""COMPUTED_VALUE"""),"Lentes de STOCK")</f>
        <v>Lentes de STOCK</v>
      </c>
      <c r="E3073" s="1" t="str">
        <f>IFERROR(__xludf.DUMMYFUNCTION("""COMPUTED_VALUE"""),"ARTIGAS Roció")</f>
        <v>ARTIGAS Roció</v>
      </c>
      <c r="F3073" s="1" t="str">
        <f t="shared" si="1"/>
        <v>ARTIGAS </v>
      </c>
      <c r="G3073" s="1" t="str">
        <f t="shared" si="2"/>
        <v>Roció</v>
      </c>
      <c r="H3073" s="1" t="str">
        <f>IFERROR(__xludf.DUMMYFUNCTION("""COMPUTED_VALUE"""),"15/3/2023, 17:00:00")</f>
        <v>15/3/2023, 17:00:00</v>
      </c>
      <c r="I3073" s="1" t="str">
        <f>IFERROR(__xludf.DUMMYFUNCTION("""COMPUTED_VALUE"""),"Completado en SUCURSAL")</f>
        <v>Completado en SUCURSAL</v>
      </c>
      <c r="J3073" s="1">
        <f t="shared" si="3"/>
        <v>5</v>
      </c>
      <c r="K3073" s="1" t="str">
        <f t="shared" si="4"/>
        <v>Tus Lentes estan LISTAS PARA ENTREGAR, te esperamos.</v>
      </c>
    </row>
    <row r="3074">
      <c r="A3074" s="1">
        <f>IFERROR(__xludf.DUMMYFUNCTION("""COMPUTED_VALUE"""),87619.0)</f>
        <v>87619</v>
      </c>
      <c r="B3074" s="5">
        <f>IFERROR(__xludf.DUMMYFUNCTION("""COMPUTED_VALUE"""),44993.476061608795)</f>
        <v>44993.47606</v>
      </c>
      <c r="C3074" s="1" t="str">
        <f>IFERROR(__xludf.DUMMYFUNCTION("""COMPUTED_VALUE"""),"TULA VICTOR")</f>
        <v>TULA VICTOR</v>
      </c>
      <c r="D3074" s="1" t="str">
        <f>IFERROR(__xludf.DUMMYFUNCTION("""COMPUTED_VALUE"""),"Lentes de STOCK")</f>
        <v>Lentes de STOCK</v>
      </c>
      <c r="E3074" s="1" t="str">
        <f>IFERROR(__xludf.DUMMYFUNCTION("""COMPUTED_VALUE"""),"RIVADAVIA Christian C.")</f>
        <v>RIVADAVIA Christian C.</v>
      </c>
      <c r="F3074" s="1" t="str">
        <f t="shared" si="1"/>
        <v>RIVADAVIA </v>
      </c>
      <c r="G3074" s="1" t="str">
        <f t="shared" si="2"/>
        <v>Christian C.</v>
      </c>
      <c r="H3074" s="1" t="str">
        <f>IFERROR(__xludf.DUMMYFUNCTION("""COMPUTED_VALUE"""),"10/3/2023, 17:00:00")</f>
        <v>10/3/2023, 17:00:00</v>
      </c>
      <c r="I3074" s="1" t="str">
        <f>IFERROR(__xludf.DUMMYFUNCTION("""COMPUTED_VALUE"""),"Completado en SUCURSAL")</f>
        <v>Completado en SUCURSAL</v>
      </c>
      <c r="J3074" s="1">
        <f t="shared" si="3"/>
        <v>5</v>
      </c>
      <c r="K3074" s="1" t="str">
        <f t="shared" si="4"/>
        <v>Tus Lentes estan LISTAS PARA ENTREGAR, te esperamos.</v>
      </c>
    </row>
    <row r="3075" hidden="1">
      <c r="A3075" s="1">
        <f>IFERROR(__xludf.DUMMYFUNCTION("""COMPUTED_VALUE"""),87620.0)</f>
        <v>87620</v>
      </c>
      <c r="B3075" s="5">
        <f>IFERROR(__xludf.DUMMYFUNCTION("""COMPUTED_VALUE"""),44993.47758363426)</f>
        <v>44993.47758</v>
      </c>
      <c r="C3075" s="1" t="str">
        <f>IFERROR(__xludf.DUMMYFUNCTION("""COMPUTED_VALUE"""),"PONCE NORMA MABEL")</f>
        <v>PONCE NORMA MABEL</v>
      </c>
      <c r="D3075" s="1" t="str">
        <f>IFERROR(__xludf.DUMMYFUNCTION("""COMPUTED_VALUE"""),"Lentes de STOCK")</f>
        <v>Lentes de STOCK</v>
      </c>
      <c r="E3075" s="1" t="str">
        <f>IFERROR(__xludf.DUMMYFUNCTION("""COMPUTED_VALUE"""),"RIVADAVIA Santiago LOPEZ")</f>
        <v>RIVADAVIA Santiago LOPEZ</v>
      </c>
      <c r="F3075" s="1" t="str">
        <f t="shared" si="1"/>
        <v>RIVADAVIA </v>
      </c>
      <c r="G3075" s="1" t="str">
        <f t="shared" si="2"/>
        <v>Santiago LOPEZ</v>
      </c>
      <c r="H3075" s="1" t="str">
        <f>IFERROR(__xludf.DUMMYFUNCTION("""COMPUTED_VALUE"""),"10/3/2023, 17:00:00")</f>
        <v>10/3/2023, 17:00:00</v>
      </c>
      <c r="I3075" s="1" t="str">
        <f>IFERROR(__xludf.DUMMYFUNCTION("""COMPUTED_VALUE"""),"DEMORADO")</f>
        <v>DEMORADO</v>
      </c>
      <c r="J3075" s="1" t="str">
        <f t="shared" si="3"/>
        <v/>
      </c>
      <c r="K3075" s="1" t="str">
        <f t="shared" si="4"/>
        <v>Tuvimos una demora con tus lentes y no podremos entregarlo en las fecha acordada, estamos trabajando para terminarlos cuanto antes, te mantendremos al tanto, si es necesario contactanos via whatsapp.</v>
      </c>
    </row>
    <row r="3076">
      <c r="A3076" s="1">
        <f>IFERROR(__xludf.DUMMYFUNCTION("""COMPUTED_VALUE"""),87621.0)</f>
        <v>87621</v>
      </c>
      <c r="B3076" s="5">
        <f>IFERROR(__xludf.DUMMYFUNCTION("""COMPUTED_VALUE"""),44993.479960173616)</f>
        <v>44993.47996</v>
      </c>
      <c r="C3076" s="1" t="str">
        <f>IFERROR(__xludf.DUMMYFUNCTION("""COMPUTED_VALUE"""),"CORIA ELBA SILVEIRA")</f>
        <v>CORIA ELBA SILVEIRA</v>
      </c>
      <c r="D3076" s="1" t="str">
        <f>IFERROR(__xludf.DUMMYFUNCTION("""COMPUTED_VALUE"""),"Lentes de STOCK")</f>
        <v>Lentes de STOCK</v>
      </c>
      <c r="E3076" s="1" t="str">
        <f>IFERROR(__xludf.DUMMYFUNCTION("""COMPUTED_VALUE"""),"ARTIGAS Roció")</f>
        <v>ARTIGAS Roció</v>
      </c>
      <c r="F3076" s="1" t="str">
        <f t="shared" si="1"/>
        <v>ARTIGAS </v>
      </c>
      <c r="G3076" s="1" t="str">
        <f t="shared" si="2"/>
        <v>Roció</v>
      </c>
      <c r="H3076" s="1" t="str">
        <f>IFERROR(__xludf.DUMMYFUNCTION("""COMPUTED_VALUE"""),"15/3/2023, 17:00:00")</f>
        <v>15/3/2023, 17:00:00</v>
      </c>
      <c r="I3076" s="1" t="str">
        <f>IFERROR(__xludf.DUMMYFUNCTION("""COMPUTED_VALUE"""),"Recibido en Laboratorio")</f>
        <v>Recibido en Laboratorio</v>
      </c>
      <c r="J3076" s="1">
        <f t="shared" si="3"/>
        <v>2</v>
      </c>
      <c r="K3076" s="1" t="str">
        <f t="shared" si="4"/>
        <v>Nuestro Laboratorio esta trabajando en tus lentes, los entregaremos en la fecha acordada.</v>
      </c>
    </row>
    <row r="3077">
      <c r="A3077" s="1">
        <f>IFERROR(__xludf.DUMMYFUNCTION("""COMPUTED_VALUE"""),87622.0)</f>
        <v>87622</v>
      </c>
      <c r="B3077" s="5">
        <f>IFERROR(__xludf.DUMMYFUNCTION("""COMPUTED_VALUE"""),44993.4799852662)</f>
        <v>44993.47999</v>
      </c>
      <c r="C3077" s="1" t="str">
        <f>IFERROR(__xludf.DUMMYFUNCTION("""COMPUTED_VALUE"""),"LEDESMA MARIELA ")</f>
        <v>LEDESMA MARIELA </v>
      </c>
      <c r="D3077" s="1" t="str">
        <f>IFERROR(__xludf.DUMMYFUNCTION("""COMPUTED_VALUE"""),"Lentes de STOCK")</f>
        <v>Lentes de STOCK</v>
      </c>
      <c r="E3077" s="1" t="str">
        <f>IFERROR(__xludf.DUMMYFUNCTION("""COMPUTED_VALUE"""),"RIVADAVIA Santiago N")</f>
        <v>RIVADAVIA Santiago N</v>
      </c>
      <c r="F3077" s="1" t="str">
        <f t="shared" si="1"/>
        <v>RIVADAVIA </v>
      </c>
      <c r="G3077" s="1" t="str">
        <f t="shared" si="2"/>
        <v>Santiago N</v>
      </c>
      <c r="H3077" s="1" t="str">
        <f>IFERROR(__xludf.DUMMYFUNCTION("""COMPUTED_VALUE"""),"10/3/2023, 17:00:00")</f>
        <v>10/3/2023, 17:00:00</v>
      </c>
      <c r="I3077" s="1" t="str">
        <f>IFERROR(__xludf.DUMMYFUNCTION("""COMPUTED_VALUE"""),"Completado en SUCURSAL")</f>
        <v>Completado en SUCURSAL</v>
      </c>
      <c r="J3077" s="1">
        <f t="shared" si="3"/>
        <v>5</v>
      </c>
      <c r="K3077" s="1" t="str">
        <f t="shared" si="4"/>
        <v>Tus Lentes estan LISTAS PARA ENTREGAR, te esperamos.</v>
      </c>
    </row>
    <row r="3078">
      <c r="A3078" s="1">
        <f>IFERROR(__xludf.DUMMYFUNCTION("""COMPUTED_VALUE"""),87623.0)</f>
        <v>87623</v>
      </c>
      <c r="B3078" s="5">
        <f>IFERROR(__xludf.DUMMYFUNCTION("""COMPUTED_VALUE"""),44993.485627974536)</f>
        <v>44993.48563</v>
      </c>
      <c r="C3078" s="1" t="str">
        <f>IFERROR(__xludf.DUMMYFUNCTION("""COMPUTED_VALUE"""),"PARDO BERTA")</f>
        <v>PARDO BERTA</v>
      </c>
      <c r="D3078" s="1" t="str">
        <f>IFERROR(__xludf.DUMMYFUNCTION("""COMPUTED_VALUE"""),"Lentes de STOCK")</f>
        <v>Lentes de STOCK</v>
      </c>
      <c r="E3078" s="1" t="str">
        <f>IFERROR(__xludf.DUMMYFUNCTION("""COMPUTED_VALUE"""),"ARTIGAS Ivana P.")</f>
        <v>ARTIGAS Ivana P.</v>
      </c>
      <c r="F3078" s="1" t="str">
        <f t="shared" si="1"/>
        <v>ARTIGAS </v>
      </c>
      <c r="G3078" s="1" t="str">
        <f t="shared" si="2"/>
        <v>Ivana P.</v>
      </c>
      <c r="H3078" s="1" t="str">
        <f>IFERROR(__xludf.DUMMYFUNCTION("""COMPUTED_VALUE"""),"11/3/2023, 17:00:00")</f>
        <v>11/3/2023, 17:00:00</v>
      </c>
      <c r="I3078" s="1" t="str">
        <f>IFERROR(__xludf.DUMMYFUNCTION("""COMPUTED_VALUE"""),"Recibido en Laboratorio")</f>
        <v>Recibido en Laboratorio</v>
      </c>
      <c r="J3078" s="1">
        <f t="shared" si="3"/>
        <v>2</v>
      </c>
      <c r="K3078" s="1" t="str">
        <f t="shared" si="4"/>
        <v>Nuestro Laboratorio esta trabajando en tus lentes, los entregaremos en la fecha acordada.</v>
      </c>
    </row>
    <row r="3079">
      <c r="A3079" s="1">
        <f>IFERROR(__xludf.DUMMYFUNCTION("""COMPUTED_VALUE"""),87624.0)</f>
        <v>87624</v>
      </c>
      <c r="B3079" s="5">
        <f>IFERROR(__xludf.DUMMYFUNCTION("""COMPUTED_VALUE"""),44993.48607505787)</f>
        <v>44993.48608</v>
      </c>
      <c r="C3079" s="1" t="str">
        <f>IFERROR(__xludf.DUMMYFUNCTION("""COMPUTED_VALUE"""),"DUARTE GRACIELA ")</f>
        <v>DUARTE GRACIELA </v>
      </c>
      <c r="D3079" s="1" t="str">
        <f>IFERROR(__xludf.DUMMYFUNCTION("""COMPUTED_VALUE"""),"Lentes de STOCK")</f>
        <v>Lentes de STOCK</v>
      </c>
      <c r="E3079" s="1" t="str">
        <f>IFERROR(__xludf.DUMMYFUNCTION("""COMPUTED_VALUE"""),"RIVADAVIA Luciana")</f>
        <v>RIVADAVIA Luciana</v>
      </c>
      <c r="F3079" s="1" t="str">
        <f t="shared" si="1"/>
        <v>RIVADAVIA </v>
      </c>
      <c r="G3079" s="1" t="str">
        <f t="shared" si="2"/>
        <v>Luciana</v>
      </c>
      <c r="H3079" s="1" t="str">
        <f>IFERROR(__xludf.DUMMYFUNCTION("""COMPUTED_VALUE"""),"13/3/2023, 17:00:00")</f>
        <v>13/3/2023, 17:00:00</v>
      </c>
      <c r="I3079" s="1" t="str">
        <f>IFERROR(__xludf.DUMMYFUNCTION("""COMPUTED_VALUE"""),"Completado en SUCURSAL")</f>
        <v>Completado en SUCURSAL</v>
      </c>
      <c r="J3079" s="1">
        <f t="shared" si="3"/>
        <v>5</v>
      </c>
      <c r="K3079" s="1" t="str">
        <f t="shared" si="4"/>
        <v>Tus Lentes estan LISTAS PARA ENTREGAR, te esperamos.</v>
      </c>
    </row>
    <row r="3080">
      <c r="A3080" s="1">
        <f>IFERROR(__xludf.DUMMYFUNCTION("""COMPUTED_VALUE"""),87625.0)</f>
        <v>87625</v>
      </c>
      <c r="B3080" s="5">
        <f>IFERROR(__xludf.DUMMYFUNCTION("""COMPUTED_VALUE"""),44993.49314677084)</f>
        <v>44993.49315</v>
      </c>
      <c r="C3080" s="1" t="str">
        <f>IFERROR(__xludf.DUMMYFUNCTION("""COMPUTED_VALUE"""),"AURIOL NELIDA")</f>
        <v>AURIOL NELIDA</v>
      </c>
      <c r="D3080" s="1" t="str">
        <f>IFERROR(__xludf.DUMMYFUNCTION("""COMPUTED_VALUE"""),"Lentes de STOCK")</f>
        <v>Lentes de STOCK</v>
      </c>
      <c r="E3080" s="1" t="str">
        <f>IFERROR(__xludf.DUMMYFUNCTION("""COMPUTED_VALUE"""),"RIVADAVIA Santiago N")</f>
        <v>RIVADAVIA Santiago N</v>
      </c>
      <c r="F3080" s="1" t="str">
        <f t="shared" si="1"/>
        <v>RIVADAVIA </v>
      </c>
      <c r="G3080" s="1" t="str">
        <f t="shared" si="2"/>
        <v>Santiago N</v>
      </c>
      <c r="H3080" s="1" t="str">
        <f>IFERROR(__xludf.DUMMYFUNCTION("""COMPUTED_VALUE"""),"11/3/2023, 17:00:00")</f>
        <v>11/3/2023, 17:00:00</v>
      </c>
      <c r="I3080" s="1" t="str">
        <f>IFERROR(__xludf.DUMMYFUNCTION("""COMPUTED_VALUE"""),"Completado en SUCURSAL")</f>
        <v>Completado en SUCURSAL</v>
      </c>
      <c r="J3080" s="1">
        <f t="shared" si="3"/>
        <v>5</v>
      </c>
      <c r="K3080" s="1" t="str">
        <f t="shared" si="4"/>
        <v>Tus Lentes estan LISTAS PARA ENTREGAR, te esperamos.</v>
      </c>
    </row>
    <row r="3081">
      <c r="A3081" s="1">
        <f>IFERROR(__xludf.DUMMYFUNCTION("""COMPUTED_VALUE"""),87626.0)</f>
        <v>87626</v>
      </c>
      <c r="B3081" s="5">
        <f>IFERROR(__xludf.DUMMYFUNCTION("""COMPUTED_VALUE"""),44993.495836435184)</f>
        <v>44993.49584</v>
      </c>
      <c r="C3081" s="1" t="str">
        <f>IFERROR(__xludf.DUMMYFUNCTION("""COMPUTED_VALUE"""),"ALBA DANIEL GERONIMO")</f>
        <v>ALBA DANIEL GERONIMO</v>
      </c>
      <c r="D3081" s="1" t="str">
        <f>IFERROR(__xludf.DUMMYFUNCTION("""COMPUTED_VALUE"""),"Lentes BIFOCALES")</f>
        <v>Lentes BIFOCALES</v>
      </c>
      <c r="E3081" s="1" t="str">
        <f>IFERROR(__xludf.DUMMYFUNCTION("""COMPUTED_VALUE"""),"RIVADAVIA Marcela L")</f>
        <v>RIVADAVIA Marcela L</v>
      </c>
      <c r="F3081" s="1" t="str">
        <f t="shared" si="1"/>
        <v>RIVADAVIA </v>
      </c>
      <c r="G3081" s="1" t="str">
        <f t="shared" si="2"/>
        <v>Marcela L</v>
      </c>
      <c r="H3081" s="1" t="str">
        <f>IFERROR(__xludf.DUMMYFUNCTION("""COMPUTED_VALUE"""),"14/3/2023, 17:00:00")</f>
        <v>14/3/2023, 17:00:00</v>
      </c>
      <c r="I3081" s="1" t="str">
        <f>IFERROR(__xludf.DUMMYFUNCTION("""COMPUTED_VALUE"""),"Completado en SUCURSAL")</f>
        <v>Completado en SUCURSAL</v>
      </c>
      <c r="J3081" s="1">
        <f t="shared" si="3"/>
        <v>5</v>
      </c>
      <c r="K3081" s="1" t="str">
        <f t="shared" si="4"/>
        <v>Tus Lentes estan LISTAS PARA ENTREGAR, te esperamos.</v>
      </c>
    </row>
    <row r="3082">
      <c r="A3082" s="1">
        <f>IFERROR(__xludf.DUMMYFUNCTION("""COMPUTED_VALUE"""),87627.0)</f>
        <v>87627</v>
      </c>
      <c r="B3082" s="5">
        <f>IFERROR(__xludf.DUMMYFUNCTION("""COMPUTED_VALUE"""),44993.49781987269)</f>
        <v>44993.49782</v>
      </c>
      <c r="C3082" s="1" t="str">
        <f>IFERROR(__xludf.DUMMYFUNCTION("""COMPUTED_VALUE"""),"JOFRE HELGA")</f>
        <v>JOFRE HELGA</v>
      </c>
      <c r="D3082" s="1" t="str">
        <f>IFERROR(__xludf.DUMMYFUNCTION("""COMPUTED_VALUE"""),"Lentes de STOCK")</f>
        <v>Lentes de STOCK</v>
      </c>
      <c r="E3082" s="1" t="str">
        <f>IFERROR(__xludf.DUMMYFUNCTION("""COMPUTED_VALUE"""),"ARTIGAS Ivana P.")</f>
        <v>ARTIGAS Ivana P.</v>
      </c>
      <c r="F3082" s="1" t="str">
        <f t="shared" si="1"/>
        <v>ARTIGAS </v>
      </c>
      <c r="G3082" s="1" t="str">
        <f t="shared" si="2"/>
        <v>Ivana P.</v>
      </c>
      <c r="H3082" s="1" t="str">
        <f>IFERROR(__xludf.DUMMYFUNCTION("""COMPUTED_VALUE"""),"13/3/2023, 17:00:00")</f>
        <v>13/3/2023, 17:00:00</v>
      </c>
      <c r="I3082" s="1" t="str">
        <f>IFERROR(__xludf.DUMMYFUNCTION("""COMPUTED_VALUE"""),"Completado en SUCURSAL")</f>
        <v>Completado en SUCURSAL</v>
      </c>
      <c r="J3082" s="1">
        <f t="shared" si="3"/>
        <v>5</v>
      </c>
      <c r="K3082" s="1" t="str">
        <f t="shared" si="4"/>
        <v>Tus Lentes estan LISTAS PARA ENTREGAR, te esperamos.</v>
      </c>
    </row>
    <row r="3083">
      <c r="A3083" s="1">
        <f>IFERROR(__xludf.DUMMYFUNCTION("""COMPUTED_VALUE"""),87628.0)</f>
        <v>87628</v>
      </c>
      <c r="B3083" s="5">
        <f>IFERROR(__xludf.DUMMYFUNCTION("""COMPUTED_VALUE"""),44993.49876086805)</f>
        <v>44993.49876</v>
      </c>
      <c r="C3083" s="1" t="str">
        <f>IFERROR(__xludf.DUMMYFUNCTION("""COMPUTED_VALUE"""),"garro ana maria")</f>
        <v>garro ana maria</v>
      </c>
      <c r="D3083" s="1" t="str">
        <f>IFERROR(__xludf.DUMMYFUNCTION("""COMPUTED_VALUE"""),"Lentes de STOCK")</f>
        <v>Lentes de STOCK</v>
      </c>
      <c r="E3083" s="1" t="str">
        <f>IFERROR(__xludf.DUMMYFUNCTION("""COMPUTED_VALUE"""),"ARTIGAS Roció")</f>
        <v>ARTIGAS Roció</v>
      </c>
      <c r="F3083" s="1" t="str">
        <f t="shared" si="1"/>
        <v>ARTIGAS </v>
      </c>
      <c r="G3083" s="1" t="str">
        <f t="shared" si="2"/>
        <v>Roció</v>
      </c>
      <c r="H3083" s="1" t="str">
        <f>IFERROR(__xludf.DUMMYFUNCTION("""COMPUTED_VALUE"""),"15/3/2023, 17:00:00")</f>
        <v>15/3/2023, 17:00:00</v>
      </c>
      <c r="I3083" s="1" t="str">
        <f>IFERROR(__xludf.DUMMYFUNCTION("""COMPUTED_VALUE"""),"Completado en SUCURSAL")</f>
        <v>Completado en SUCURSAL</v>
      </c>
      <c r="J3083" s="1">
        <f t="shared" si="3"/>
        <v>5</v>
      </c>
      <c r="K3083" s="1" t="str">
        <f t="shared" si="4"/>
        <v>Tus Lentes estan LISTAS PARA ENTREGAR, te esperamos.</v>
      </c>
    </row>
    <row r="3084">
      <c r="A3084" s="1">
        <f>IFERROR(__xludf.DUMMYFUNCTION("""COMPUTED_VALUE"""),87629.0)</f>
        <v>87629</v>
      </c>
      <c r="B3084" s="5">
        <f>IFERROR(__xludf.DUMMYFUNCTION("""COMPUTED_VALUE"""),44993.50191464121)</f>
        <v>44993.50191</v>
      </c>
      <c r="C3084" s="1" t="str">
        <f>IFERROR(__xludf.DUMMYFUNCTION("""COMPUTED_VALUE"""),"isquierdo julieta")</f>
        <v>isquierdo julieta</v>
      </c>
      <c r="D3084" s="1" t="str">
        <f>IFERROR(__xludf.DUMMYFUNCTION("""COMPUTED_VALUE"""),"Lentes de STOCK")</f>
        <v>Lentes de STOCK</v>
      </c>
      <c r="E3084" s="1" t="str">
        <f>IFERROR(__xludf.DUMMYFUNCTION("""COMPUTED_VALUE"""),"ARTIGAS Roció")</f>
        <v>ARTIGAS Roció</v>
      </c>
      <c r="F3084" s="1" t="str">
        <f t="shared" si="1"/>
        <v>ARTIGAS </v>
      </c>
      <c r="G3084" s="1" t="str">
        <f t="shared" si="2"/>
        <v>Roció</v>
      </c>
      <c r="H3084" s="1" t="str">
        <f>IFERROR(__xludf.DUMMYFUNCTION("""COMPUTED_VALUE"""),"17/3/2023, 17:00:00")</f>
        <v>17/3/2023, 17:00:00</v>
      </c>
      <c r="I3084" s="1" t="str">
        <f>IFERROR(__xludf.DUMMYFUNCTION("""COMPUTED_VALUE"""),"Completado en SUCURSAL")</f>
        <v>Completado en SUCURSAL</v>
      </c>
      <c r="J3084" s="1">
        <f t="shared" si="3"/>
        <v>5</v>
      </c>
      <c r="K3084" s="1" t="str">
        <f t="shared" si="4"/>
        <v>Tus Lentes estan LISTAS PARA ENTREGAR, te esperamos.</v>
      </c>
    </row>
    <row r="3085">
      <c r="A3085" s="1">
        <f>IFERROR(__xludf.DUMMYFUNCTION("""COMPUTED_VALUE"""),87630.0)</f>
        <v>87630</v>
      </c>
      <c r="B3085" s="5">
        <f>IFERROR(__xludf.DUMMYFUNCTION("""COMPUTED_VALUE"""),44993.50324685185)</f>
        <v>44993.50325</v>
      </c>
      <c r="C3085" s="1" t="str">
        <f>IFERROR(__xludf.DUMMYFUNCTION("""COMPUTED_VALUE"""),"isquierdo julieta")</f>
        <v>isquierdo julieta</v>
      </c>
      <c r="D3085" s="1" t="str">
        <f>IFERROR(__xludf.DUMMYFUNCTION("""COMPUTED_VALUE"""),"Reparaciones/Otros")</f>
        <v>Reparaciones/Otros</v>
      </c>
      <c r="E3085" s="1" t="str">
        <f>IFERROR(__xludf.DUMMYFUNCTION("""COMPUTED_VALUE"""),"ARTIGAS Roció")</f>
        <v>ARTIGAS Roció</v>
      </c>
      <c r="F3085" s="1" t="str">
        <f t="shared" si="1"/>
        <v>ARTIGAS </v>
      </c>
      <c r="G3085" s="1" t="str">
        <f t="shared" si="2"/>
        <v>Roció</v>
      </c>
      <c r="H3085" s="1" t="str">
        <f>IFERROR(__xludf.DUMMYFUNCTION("""COMPUTED_VALUE"""),"17/3/2023, 17:00:00")</f>
        <v>17/3/2023, 17:00:00</v>
      </c>
      <c r="I3085" s="1" t="str">
        <f>IFERROR(__xludf.DUMMYFUNCTION("""COMPUTED_VALUE"""),"Recibido en Laboratorio")</f>
        <v>Recibido en Laboratorio</v>
      </c>
      <c r="J3085" s="1">
        <f t="shared" si="3"/>
        <v>2</v>
      </c>
      <c r="K3085" s="1" t="str">
        <f t="shared" si="4"/>
        <v>Nuestro Laboratorio esta trabajando en tus lentes, los entregaremos en la fecha acordada.</v>
      </c>
    </row>
    <row r="3086">
      <c r="A3086" s="1">
        <f>IFERROR(__xludf.DUMMYFUNCTION("""COMPUTED_VALUE"""),87631.0)</f>
        <v>87631</v>
      </c>
      <c r="B3086" s="5">
        <f>IFERROR(__xludf.DUMMYFUNCTION("""COMPUTED_VALUE"""),44993.50407241898)</f>
        <v>44993.50407</v>
      </c>
      <c r="C3086" s="1" t="str">
        <f>IFERROR(__xludf.DUMMYFUNCTION("""COMPUTED_VALUE"""),"GALERA JUAN PABLO")</f>
        <v>GALERA JUAN PABLO</v>
      </c>
      <c r="D3086" s="1" t="str">
        <f>IFERROR(__xludf.DUMMYFUNCTION("""COMPUTED_VALUE"""),"Lentes de STOCK")</f>
        <v>Lentes de STOCK</v>
      </c>
      <c r="E3086" s="1" t="str">
        <f>IFERROR(__xludf.DUMMYFUNCTION("""COMPUTED_VALUE"""),"RIVADAVIA Marcela L")</f>
        <v>RIVADAVIA Marcela L</v>
      </c>
      <c r="F3086" s="1" t="str">
        <f t="shared" si="1"/>
        <v>RIVADAVIA </v>
      </c>
      <c r="G3086" s="1" t="str">
        <f t="shared" si="2"/>
        <v>Marcela L</v>
      </c>
      <c r="H3086" s="1" t="str">
        <f>IFERROR(__xludf.DUMMYFUNCTION("""COMPUTED_VALUE"""),"10/3/2023, 17:00:00")</f>
        <v>10/3/2023, 17:00:00</v>
      </c>
      <c r="I3086" s="1" t="str">
        <f>IFERROR(__xludf.DUMMYFUNCTION("""COMPUTED_VALUE"""),"Completado en SUCURSAL")</f>
        <v>Completado en SUCURSAL</v>
      </c>
      <c r="J3086" s="1">
        <f t="shared" si="3"/>
        <v>5</v>
      </c>
      <c r="K3086" s="1" t="str">
        <f t="shared" si="4"/>
        <v>Tus Lentes estan LISTAS PARA ENTREGAR, te esperamos.</v>
      </c>
    </row>
    <row r="3087">
      <c r="A3087" s="1">
        <f>IFERROR(__xludf.DUMMYFUNCTION("""COMPUTED_VALUE"""),87632.0)</f>
        <v>87632</v>
      </c>
      <c r="B3087" s="5">
        <f>IFERROR(__xludf.DUMMYFUNCTION("""COMPUTED_VALUE"""),44993.50476391204)</f>
        <v>44993.50476</v>
      </c>
      <c r="C3087" s="1" t="str">
        <f>IFERROR(__xludf.DUMMYFUNCTION("""COMPUTED_VALUE"""),"GOMEZ ABRIL")</f>
        <v>GOMEZ ABRIL</v>
      </c>
      <c r="D3087" s="1" t="str">
        <f>IFERROR(__xludf.DUMMYFUNCTION("""COMPUTED_VALUE"""),"Reparaciones/Otros")</f>
        <v>Reparaciones/Otros</v>
      </c>
      <c r="E3087" s="1" t="str">
        <f>IFERROR(__xludf.DUMMYFUNCTION("""COMPUTED_VALUE"""),"ARTIGAS Ivana P.")</f>
        <v>ARTIGAS Ivana P.</v>
      </c>
      <c r="F3087" s="1" t="str">
        <f t="shared" si="1"/>
        <v>ARTIGAS </v>
      </c>
      <c r="G3087" s="1" t="str">
        <f t="shared" si="2"/>
        <v>Ivana P.</v>
      </c>
      <c r="H3087" s="1" t="str">
        <f>IFERROR(__xludf.DUMMYFUNCTION("""COMPUTED_VALUE"""),"9/3/2023, 17:00:00")</f>
        <v>9/3/2023, 17:00:00</v>
      </c>
      <c r="I3087" s="1" t="str">
        <f>IFERROR(__xludf.DUMMYFUNCTION("""COMPUTED_VALUE"""),"Recibido en Laboratorio")</f>
        <v>Recibido en Laboratorio</v>
      </c>
      <c r="J3087" s="1">
        <f t="shared" si="3"/>
        <v>2</v>
      </c>
      <c r="K3087" s="1" t="str">
        <f t="shared" si="4"/>
        <v>Nuestro Laboratorio esta trabajando en tus lentes, los entregaremos en la fecha acordada.</v>
      </c>
    </row>
    <row r="3088">
      <c r="A3088" s="1">
        <f>IFERROR(__xludf.DUMMYFUNCTION("""COMPUTED_VALUE"""),87633.0)</f>
        <v>87633</v>
      </c>
      <c r="B3088" s="5">
        <f>IFERROR(__xludf.DUMMYFUNCTION("""COMPUTED_VALUE"""),44993.50510422453)</f>
        <v>44993.5051</v>
      </c>
      <c r="C3088" s="1" t="str">
        <f>IFERROR(__xludf.DUMMYFUNCTION("""COMPUTED_VALUE"""),"STANDIGER IVANA")</f>
        <v>STANDIGER IVANA</v>
      </c>
      <c r="D3088" s="1" t="str">
        <f>IFERROR(__xludf.DUMMYFUNCTION("""COMPUTED_VALUE"""),"Lentes de STOCK")</f>
        <v>Lentes de STOCK</v>
      </c>
      <c r="E3088" s="1" t="str">
        <f>IFERROR(__xludf.DUMMYFUNCTION("""COMPUTED_VALUE"""),"RIVADAVIA Luciana")</f>
        <v>RIVADAVIA Luciana</v>
      </c>
      <c r="F3088" s="1" t="str">
        <f t="shared" si="1"/>
        <v>RIVADAVIA </v>
      </c>
      <c r="G3088" s="1" t="str">
        <f t="shared" si="2"/>
        <v>Luciana</v>
      </c>
      <c r="H3088" s="1" t="str">
        <f>IFERROR(__xludf.DUMMYFUNCTION("""COMPUTED_VALUE"""),"15/3/2023, 17:00:00")</f>
        <v>15/3/2023, 17:00:00</v>
      </c>
      <c r="I3088" s="1" t="str">
        <f>IFERROR(__xludf.DUMMYFUNCTION("""COMPUTED_VALUE"""),"Completado en SUCURSAL")</f>
        <v>Completado en SUCURSAL</v>
      </c>
      <c r="J3088" s="1">
        <f t="shared" si="3"/>
        <v>5</v>
      </c>
      <c r="K3088" s="1" t="str">
        <f t="shared" si="4"/>
        <v>Tus Lentes estan LISTAS PARA ENTREGAR, te esperamos.</v>
      </c>
    </row>
    <row r="3089">
      <c r="A3089" s="1">
        <f>IFERROR(__xludf.DUMMYFUNCTION("""COMPUTED_VALUE"""),87634.0)</f>
        <v>87634</v>
      </c>
      <c r="B3089" s="5">
        <f>IFERROR(__xludf.DUMMYFUNCTION("""COMPUTED_VALUE"""),44993.507734363426)</f>
        <v>44993.50773</v>
      </c>
      <c r="C3089" s="1" t="str">
        <f>IFERROR(__xludf.DUMMYFUNCTION("""COMPUTED_VALUE"""),"GARAY GISELA")</f>
        <v>GARAY GISELA</v>
      </c>
      <c r="D3089" s="1" t="str">
        <f>IFERROR(__xludf.DUMMYFUNCTION("""COMPUTED_VALUE"""),"Reparaciones/Otros")</f>
        <v>Reparaciones/Otros</v>
      </c>
      <c r="E3089" s="1" t="str">
        <f>IFERROR(__xludf.DUMMYFUNCTION("""COMPUTED_VALUE"""),"RIVADAVIA Christian C.")</f>
        <v>RIVADAVIA Christian C.</v>
      </c>
      <c r="F3089" s="1" t="str">
        <f t="shared" si="1"/>
        <v>RIVADAVIA </v>
      </c>
      <c r="G3089" s="1" t="str">
        <f t="shared" si="2"/>
        <v>Christian C.</v>
      </c>
      <c r="H3089" s="1" t="str">
        <f>IFERROR(__xludf.DUMMYFUNCTION("""COMPUTED_VALUE"""),"10/3/2023, 17:00:00")</f>
        <v>10/3/2023, 17:00:00</v>
      </c>
      <c r="I3089" s="1" t="str">
        <f>IFERROR(__xludf.DUMMYFUNCTION("""COMPUTED_VALUE"""),"Completado en SUCURSAL")</f>
        <v>Completado en SUCURSAL</v>
      </c>
      <c r="J3089" s="1">
        <f t="shared" si="3"/>
        <v>5</v>
      </c>
      <c r="K3089" s="1" t="str">
        <f t="shared" si="4"/>
        <v>Tus Lentes estan LISTAS PARA ENTREGAR, te esperamos.</v>
      </c>
    </row>
    <row r="3090">
      <c r="A3090" s="1">
        <f>IFERROR(__xludf.DUMMYFUNCTION("""COMPUTED_VALUE"""),87635.0)</f>
        <v>87635</v>
      </c>
      <c r="B3090" s="5">
        <f>IFERROR(__xludf.DUMMYFUNCTION("""COMPUTED_VALUE"""),44993.50863140046)</f>
        <v>44993.50863</v>
      </c>
      <c r="C3090" s="1" t="str">
        <f>IFERROR(__xludf.DUMMYFUNCTION("""COMPUTED_VALUE"""),"ESCUDERO CYNTIA")</f>
        <v>ESCUDERO CYNTIA</v>
      </c>
      <c r="D3090" s="1" t="str">
        <f>IFERROR(__xludf.DUMMYFUNCTION("""COMPUTED_VALUE"""),"Lentes de STOCK")</f>
        <v>Lentes de STOCK</v>
      </c>
      <c r="E3090" s="1" t="str">
        <f>IFERROR(__xludf.DUMMYFUNCTION("""COMPUTED_VALUE"""),"RIVADAVIA Santiago LOPEZ")</f>
        <v>RIVADAVIA Santiago LOPEZ</v>
      </c>
      <c r="F3090" s="1" t="str">
        <f t="shared" si="1"/>
        <v>RIVADAVIA </v>
      </c>
      <c r="G3090" s="1" t="str">
        <f t="shared" si="2"/>
        <v>Santiago LOPEZ</v>
      </c>
      <c r="H3090" s="1" t="str">
        <f>IFERROR(__xludf.DUMMYFUNCTION("""COMPUTED_VALUE"""),"11/3/2023, 17:00:00")</f>
        <v>11/3/2023, 17:00:00</v>
      </c>
      <c r="I3090" s="1" t="str">
        <f>IFERROR(__xludf.DUMMYFUNCTION("""COMPUTED_VALUE"""),"Recibido en Laboratorio")</f>
        <v>Recibido en Laboratorio</v>
      </c>
      <c r="J3090" s="1">
        <f t="shared" si="3"/>
        <v>2</v>
      </c>
      <c r="K3090" s="1" t="str">
        <f t="shared" si="4"/>
        <v>Nuestro Laboratorio esta trabajando en tus lentes, los entregaremos en la fecha acordada.</v>
      </c>
    </row>
    <row r="3091">
      <c r="A3091" s="1">
        <f>IFERROR(__xludf.DUMMYFUNCTION("""COMPUTED_VALUE"""),87636.0)</f>
        <v>87636</v>
      </c>
      <c r="B3091" s="5">
        <f>IFERROR(__xludf.DUMMYFUNCTION("""COMPUTED_VALUE"""),44993.50871559027)</f>
        <v>44993.50872</v>
      </c>
      <c r="C3091" s="1" t="str">
        <f>IFERROR(__xludf.DUMMYFUNCTION("""COMPUTED_VALUE"""),"GIANFORMAGGIO IVAN")</f>
        <v>GIANFORMAGGIO IVAN</v>
      </c>
      <c r="D3091" s="1" t="str">
        <f>IFERROR(__xludf.DUMMYFUNCTION("""COMPUTED_VALUE"""),"Lentes de STOCK")</f>
        <v>Lentes de STOCK</v>
      </c>
      <c r="E3091" s="1" t="str">
        <f>IFERROR(__xludf.DUMMYFUNCTION("""COMPUTED_VALUE"""),"ARTIGAS Roció")</f>
        <v>ARTIGAS Roció</v>
      </c>
      <c r="F3091" s="1" t="str">
        <f t="shared" si="1"/>
        <v>ARTIGAS </v>
      </c>
      <c r="G3091" s="1" t="str">
        <f t="shared" si="2"/>
        <v>Roció</v>
      </c>
      <c r="H3091" s="1" t="str">
        <f>IFERROR(__xludf.DUMMYFUNCTION("""COMPUTED_VALUE"""),"17/3/2023, 17:00:00")</f>
        <v>17/3/2023, 17:00:00</v>
      </c>
      <c r="I3091" s="1" t="str">
        <f>IFERROR(__xludf.DUMMYFUNCTION("""COMPUTED_VALUE"""),"Completado en SUCURSAL")</f>
        <v>Completado en SUCURSAL</v>
      </c>
      <c r="J3091" s="1">
        <f t="shared" si="3"/>
        <v>5</v>
      </c>
      <c r="K3091" s="1" t="str">
        <f t="shared" si="4"/>
        <v>Tus Lentes estan LISTAS PARA ENTREGAR, te esperamos.</v>
      </c>
    </row>
    <row r="3092">
      <c r="A3092" s="1">
        <f>IFERROR(__xludf.DUMMYFUNCTION("""COMPUTED_VALUE"""),87637.0)</f>
        <v>87637</v>
      </c>
      <c r="B3092" s="5">
        <f>IFERROR(__xludf.DUMMYFUNCTION("""COMPUTED_VALUE"""),44993.51058880787)</f>
        <v>44993.51059</v>
      </c>
      <c r="C3092" s="1" t="str">
        <f>IFERROR(__xludf.DUMMYFUNCTION("""COMPUTED_VALUE"""),"MIRANDA PABLO ")</f>
        <v>MIRANDA PABLO </v>
      </c>
      <c r="D3092" s="1" t="str">
        <f>IFERROR(__xludf.DUMMYFUNCTION("""COMPUTED_VALUE"""),"Lentes de STOCK")</f>
        <v>Lentes de STOCK</v>
      </c>
      <c r="E3092" s="1" t="str">
        <f>IFERROR(__xludf.DUMMYFUNCTION("""COMPUTED_VALUE"""),"RIVADAVIA Luciana")</f>
        <v>RIVADAVIA Luciana</v>
      </c>
      <c r="F3092" s="1" t="str">
        <f t="shared" si="1"/>
        <v>RIVADAVIA </v>
      </c>
      <c r="G3092" s="1" t="str">
        <f t="shared" si="2"/>
        <v>Luciana</v>
      </c>
      <c r="H3092" s="1" t="str">
        <f>IFERROR(__xludf.DUMMYFUNCTION("""COMPUTED_VALUE"""),"13/3/2023, 17:00:00")</f>
        <v>13/3/2023, 17:00:00</v>
      </c>
      <c r="I3092" s="1" t="str">
        <f>IFERROR(__xludf.DUMMYFUNCTION("""COMPUTED_VALUE"""),"Recibido en Laboratorio")</f>
        <v>Recibido en Laboratorio</v>
      </c>
      <c r="J3092" s="1">
        <f t="shared" si="3"/>
        <v>2</v>
      </c>
      <c r="K3092" s="1" t="str">
        <f t="shared" si="4"/>
        <v>Nuestro Laboratorio esta trabajando en tus lentes, los entregaremos en la fecha acordada.</v>
      </c>
    </row>
    <row r="3093">
      <c r="A3093" s="1">
        <f>IFERROR(__xludf.DUMMYFUNCTION("""COMPUTED_VALUE"""),87638.0)</f>
        <v>87638</v>
      </c>
      <c r="B3093" s="5">
        <f>IFERROR(__xludf.DUMMYFUNCTION("""COMPUTED_VALUE"""),44993.51388990741)</f>
        <v>44993.51389</v>
      </c>
      <c r="C3093" s="1" t="str">
        <f>IFERROR(__xludf.DUMMYFUNCTION("""COMPUTED_VALUE"""),"MORALES SONIA")</f>
        <v>MORALES SONIA</v>
      </c>
      <c r="D3093" s="1" t="str">
        <f>IFERROR(__xludf.DUMMYFUNCTION("""COMPUTED_VALUE"""),"Lentes de STOCK")</f>
        <v>Lentes de STOCK</v>
      </c>
      <c r="E3093" s="1" t="str">
        <f>IFERROR(__xludf.DUMMYFUNCTION("""COMPUTED_VALUE"""),"RIVADAVIA Santiago LOPEZ")</f>
        <v>RIVADAVIA Santiago LOPEZ</v>
      </c>
      <c r="F3093" s="1" t="str">
        <f t="shared" si="1"/>
        <v>RIVADAVIA </v>
      </c>
      <c r="G3093" s="1" t="str">
        <f t="shared" si="2"/>
        <v>Santiago LOPEZ</v>
      </c>
      <c r="H3093" s="1" t="str">
        <f>IFERROR(__xludf.DUMMYFUNCTION("""COMPUTED_VALUE"""),"10/3/2023, 17:00:00")</f>
        <v>10/3/2023, 17:00:00</v>
      </c>
      <c r="I3093" s="1" t="str">
        <f>IFERROR(__xludf.DUMMYFUNCTION("""COMPUTED_VALUE"""),"Completado en SUCURSAL")</f>
        <v>Completado en SUCURSAL</v>
      </c>
      <c r="J3093" s="1">
        <f t="shared" si="3"/>
        <v>5</v>
      </c>
      <c r="K3093" s="1" t="str">
        <f t="shared" si="4"/>
        <v>Tus Lentes estan LISTAS PARA ENTREGAR, te esperamos.</v>
      </c>
    </row>
    <row r="3094">
      <c r="A3094" s="1">
        <f>IFERROR(__xludf.DUMMYFUNCTION("""COMPUTED_VALUE"""),87639.0)</f>
        <v>87639</v>
      </c>
      <c r="B3094" s="5">
        <f>IFERROR(__xludf.DUMMYFUNCTION("""COMPUTED_VALUE"""),44993.522097650464)</f>
        <v>44993.5221</v>
      </c>
      <c r="C3094" s="1" t="str">
        <f>IFERROR(__xludf.DUMMYFUNCTION("""COMPUTED_VALUE"""),"BISIATTI SOL")</f>
        <v>BISIATTI SOL</v>
      </c>
      <c r="D3094" s="1" t="str">
        <f>IFERROR(__xludf.DUMMYFUNCTION("""COMPUTED_VALUE"""),"Lentes de LABORATORIO")</f>
        <v>Lentes de LABORATORIO</v>
      </c>
      <c r="E3094" s="1" t="str">
        <f>IFERROR(__xludf.DUMMYFUNCTION("""COMPUTED_VALUE"""),"ARTIGAS Ivana P.")</f>
        <v>ARTIGAS Ivana P.</v>
      </c>
      <c r="F3094" s="1" t="str">
        <f t="shared" si="1"/>
        <v>ARTIGAS </v>
      </c>
      <c r="G3094" s="1" t="str">
        <f t="shared" si="2"/>
        <v>Ivana P.</v>
      </c>
      <c r="H3094" s="1" t="str">
        <f>IFERROR(__xludf.DUMMYFUNCTION("""COMPUTED_VALUE"""),"18/3/2023, 17:00:00")</f>
        <v>18/3/2023, 17:00:00</v>
      </c>
      <c r="I3094" s="1" t="str">
        <f>IFERROR(__xludf.DUMMYFUNCTION("""COMPUTED_VALUE"""),"Completado en SUCURSAL")</f>
        <v>Completado en SUCURSAL</v>
      </c>
      <c r="J3094" s="1">
        <f t="shared" si="3"/>
        <v>5</v>
      </c>
      <c r="K3094" s="1" t="str">
        <f t="shared" si="4"/>
        <v>Tus Lentes estan LISTAS PARA ENTREGAR, te esperamos.</v>
      </c>
    </row>
    <row r="3095">
      <c r="A3095" s="1">
        <f>IFERROR(__xludf.DUMMYFUNCTION("""COMPUTED_VALUE"""),87640.0)</f>
        <v>87640</v>
      </c>
      <c r="B3095" s="5">
        <f>IFERROR(__xludf.DUMMYFUNCTION("""COMPUTED_VALUE"""),44993.5302246412)</f>
        <v>44993.53022</v>
      </c>
      <c r="C3095" s="1" t="str">
        <f>IFERROR(__xludf.DUMMYFUNCTION("""COMPUTED_VALUE"""),"molina juan cruz")</f>
        <v>molina juan cruz</v>
      </c>
      <c r="D3095" s="1" t="str">
        <f>IFERROR(__xludf.DUMMYFUNCTION("""COMPUTED_VALUE"""),"Reparaciones/Otros")</f>
        <v>Reparaciones/Otros</v>
      </c>
      <c r="E3095" s="1" t="str">
        <f>IFERROR(__xludf.DUMMYFUNCTION("""COMPUTED_VALUE"""),"ARTIGAS Roció")</f>
        <v>ARTIGAS Roció</v>
      </c>
      <c r="F3095" s="1" t="str">
        <f t="shared" si="1"/>
        <v>ARTIGAS </v>
      </c>
      <c r="G3095" s="1" t="str">
        <f t="shared" si="2"/>
        <v>Roció</v>
      </c>
      <c r="H3095" s="1" t="str">
        <f>IFERROR(__xludf.DUMMYFUNCTION("""COMPUTED_VALUE"""),"9/3/2023, 17:00:00")</f>
        <v>9/3/2023, 17:00:00</v>
      </c>
      <c r="I3095" s="1" t="str">
        <f>IFERROR(__xludf.DUMMYFUNCTION("""COMPUTED_VALUE"""),"Completado en SUCURSAL")</f>
        <v>Completado en SUCURSAL</v>
      </c>
      <c r="J3095" s="1">
        <f t="shared" si="3"/>
        <v>5</v>
      </c>
      <c r="K3095" s="1" t="str">
        <f t="shared" si="4"/>
        <v>Tus Lentes estan LISTAS PARA ENTREGAR, te esperamos.</v>
      </c>
    </row>
    <row r="3096">
      <c r="A3096" s="1">
        <f>IFERROR(__xludf.DUMMYFUNCTION("""COMPUTED_VALUE"""),87641.0)</f>
        <v>87641</v>
      </c>
      <c r="B3096" s="5">
        <f>IFERROR(__xludf.DUMMYFUNCTION("""COMPUTED_VALUE"""),44993.53159925926)</f>
        <v>44993.5316</v>
      </c>
      <c r="C3096" s="1" t="str">
        <f>IFERROR(__xludf.DUMMYFUNCTION("""COMPUTED_VALUE"""),"QUINZIO  BERNARDO ")</f>
        <v>QUINZIO  BERNARDO </v>
      </c>
      <c r="D3096" s="1" t="str">
        <f>IFERROR(__xludf.DUMMYFUNCTION("""COMPUTED_VALUE"""),"Lentes de STOCK")</f>
        <v>Lentes de STOCK</v>
      </c>
      <c r="E3096" s="1" t="str">
        <f>IFERROR(__xludf.DUMMYFUNCTION("""COMPUTED_VALUE"""),"RIVADAVIA Christian C.")</f>
        <v>RIVADAVIA Christian C.</v>
      </c>
      <c r="F3096" s="1" t="str">
        <f t="shared" si="1"/>
        <v>RIVADAVIA </v>
      </c>
      <c r="G3096" s="1" t="str">
        <f t="shared" si="2"/>
        <v>Christian C.</v>
      </c>
      <c r="H3096" s="1" t="str">
        <f>IFERROR(__xludf.DUMMYFUNCTION("""COMPUTED_VALUE"""),"13/3/2023, 17:00:00")</f>
        <v>13/3/2023, 17:00:00</v>
      </c>
      <c r="I3096" s="1" t="str">
        <f>IFERROR(__xludf.DUMMYFUNCTION("""COMPUTED_VALUE"""),"Completado en SUCURSAL")</f>
        <v>Completado en SUCURSAL</v>
      </c>
      <c r="J3096" s="1">
        <f t="shared" si="3"/>
        <v>5</v>
      </c>
      <c r="K3096" s="1" t="str">
        <f t="shared" si="4"/>
        <v>Tus Lentes estan LISTAS PARA ENTREGAR, te esperamos.</v>
      </c>
    </row>
    <row r="3097">
      <c r="A3097" s="1">
        <f>IFERROR(__xludf.DUMMYFUNCTION("""COMPUTED_VALUE"""),87642.0)</f>
        <v>87642</v>
      </c>
      <c r="B3097" s="5">
        <f>IFERROR(__xludf.DUMMYFUNCTION("""COMPUTED_VALUE"""),44993.53867230324)</f>
        <v>44993.53867</v>
      </c>
      <c r="C3097" s="1" t="str">
        <f>IFERROR(__xludf.DUMMYFUNCTION("""COMPUTED_VALUE"""),"AMIEVA BERTA")</f>
        <v>AMIEVA BERTA</v>
      </c>
      <c r="D3097" s="1" t="str">
        <f>IFERROR(__xludf.DUMMYFUNCTION("""COMPUTED_VALUE"""),"Lentes de STOCK")</f>
        <v>Lentes de STOCK</v>
      </c>
      <c r="E3097" s="1" t="str">
        <f>IFERROR(__xludf.DUMMYFUNCTION("""COMPUTED_VALUE"""),"ARTIGAS Ivana P.")</f>
        <v>ARTIGAS Ivana P.</v>
      </c>
      <c r="F3097" s="1" t="str">
        <f t="shared" si="1"/>
        <v>ARTIGAS </v>
      </c>
      <c r="G3097" s="1" t="str">
        <f t="shared" si="2"/>
        <v>Ivana P.</v>
      </c>
      <c r="H3097" s="1" t="str">
        <f>IFERROR(__xludf.DUMMYFUNCTION("""COMPUTED_VALUE"""),"13/3/2023, 17:00:00")</f>
        <v>13/3/2023, 17:00:00</v>
      </c>
      <c r="I3097" s="1" t="str">
        <f>IFERROR(__xludf.DUMMYFUNCTION("""COMPUTED_VALUE"""),"Recibido en Laboratorio")</f>
        <v>Recibido en Laboratorio</v>
      </c>
      <c r="J3097" s="1">
        <f t="shared" si="3"/>
        <v>2</v>
      </c>
      <c r="K3097" s="1" t="str">
        <f t="shared" si="4"/>
        <v>Nuestro Laboratorio esta trabajando en tus lentes, los entregaremos en la fecha acordada.</v>
      </c>
    </row>
    <row r="3098">
      <c r="A3098" s="1">
        <f>IFERROR(__xludf.DUMMYFUNCTION("""COMPUTED_VALUE"""),87643.0)</f>
        <v>87643</v>
      </c>
      <c r="B3098" s="5">
        <f>IFERROR(__xludf.DUMMYFUNCTION("""COMPUTED_VALUE"""),44993.5416965162)</f>
        <v>44993.5417</v>
      </c>
      <c r="C3098" s="1" t="str">
        <f>IFERROR(__xludf.DUMMYFUNCTION("""COMPUTED_VALUE"""),"PONCE MISAEL PATRICIO")</f>
        <v>PONCE MISAEL PATRICIO</v>
      </c>
      <c r="D3098" s="1" t="str">
        <f>IFERROR(__xludf.DUMMYFUNCTION("""COMPUTED_VALUE"""),"Lentes de STOCK")</f>
        <v>Lentes de STOCK</v>
      </c>
      <c r="E3098" s="1" t="str">
        <f>IFERROR(__xludf.DUMMYFUNCTION("""COMPUTED_VALUE"""),"ARTIGAS Roció")</f>
        <v>ARTIGAS Roció</v>
      </c>
      <c r="F3098" s="1" t="str">
        <f t="shared" si="1"/>
        <v>ARTIGAS </v>
      </c>
      <c r="G3098" s="1" t="str">
        <f t="shared" si="2"/>
        <v>Roció</v>
      </c>
      <c r="H3098" s="1" t="str">
        <f>IFERROR(__xludf.DUMMYFUNCTION("""COMPUTED_VALUE"""),"17/3/2023, 17:00:00")</f>
        <v>17/3/2023, 17:00:00</v>
      </c>
      <c r="I3098" s="1" t="str">
        <f>IFERROR(__xludf.DUMMYFUNCTION("""COMPUTED_VALUE"""),"Recibido en Laboratorio")</f>
        <v>Recibido en Laboratorio</v>
      </c>
      <c r="J3098" s="1">
        <f t="shared" si="3"/>
        <v>2</v>
      </c>
      <c r="K3098" s="1" t="str">
        <f t="shared" si="4"/>
        <v>Nuestro Laboratorio esta trabajando en tus lentes, los entregaremos en la fecha acordada.</v>
      </c>
    </row>
    <row r="3099">
      <c r="A3099" s="1">
        <f>IFERROR(__xludf.DUMMYFUNCTION("""COMPUTED_VALUE"""),87644.0)</f>
        <v>87644</v>
      </c>
      <c r="B3099" s="5">
        <f>IFERROR(__xludf.DUMMYFUNCTION("""COMPUTED_VALUE"""),44993.54982934028)</f>
        <v>44993.54983</v>
      </c>
      <c r="C3099" s="1" t="str">
        <f>IFERROR(__xludf.DUMMYFUNCTION("""COMPUTED_VALUE"""),"BENITEZ DORA ANGELICA")</f>
        <v>BENITEZ DORA ANGELICA</v>
      </c>
      <c r="D3099" s="1" t="str">
        <f>IFERROR(__xludf.DUMMYFUNCTION("""COMPUTED_VALUE"""),"Lentes de STOCK")</f>
        <v>Lentes de STOCK</v>
      </c>
      <c r="E3099" s="1" t="str">
        <f>IFERROR(__xludf.DUMMYFUNCTION("""COMPUTED_VALUE"""),"RIVADAVIA Santiago LOPEZ")</f>
        <v>RIVADAVIA Santiago LOPEZ</v>
      </c>
      <c r="F3099" s="1" t="str">
        <f t="shared" si="1"/>
        <v>RIVADAVIA </v>
      </c>
      <c r="G3099" s="1" t="str">
        <f t="shared" si="2"/>
        <v>Santiago LOPEZ</v>
      </c>
      <c r="H3099" s="1" t="str">
        <f>IFERROR(__xludf.DUMMYFUNCTION("""COMPUTED_VALUE"""),"14/3/2023, 17:00:00")</f>
        <v>14/3/2023, 17:00:00</v>
      </c>
      <c r="I3099" s="1" t="str">
        <f>IFERROR(__xludf.DUMMYFUNCTION("""COMPUTED_VALUE"""),"Recibido en Laboratorio")</f>
        <v>Recibido en Laboratorio</v>
      </c>
      <c r="J3099" s="1">
        <f t="shared" si="3"/>
        <v>2</v>
      </c>
      <c r="K3099" s="1" t="str">
        <f t="shared" si="4"/>
        <v>Nuestro Laboratorio esta trabajando en tus lentes, los entregaremos en la fecha acordada.</v>
      </c>
    </row>
    <row r="3100">
      <c r="A3100" s="1">
        <f>IFERROR(__xludf.DUMMYFUNCTION("""COMPUTED_VALUE"""),87645.0)</f>
        <v>87645</v>
      </c>
      <c r="B3100" s="5">
        <f>IFERROR(__xludf.DUMMYFUNCTION("""COMPUTED_VALUE"""),44993.55187354167)</f>
        <v>44993.55187</v>
      </c>
      <c r="C3100" s="1" t="str">
        <f>IFERROR(__xludf.DUMMYFUNCTION("""COMPUTED_VALUE"""),"ZELIKSON ANDREA SUSANA")</f>
        <v>ZELIKSON ANDREA SUSANA</v>
      </c>
      <c r="D3100" s="1" t="str">
        <f>IFERROR(__xludf.DUMMYFUNCTION("""COMPUTED_VALUE"""),"Reparaciones/Otros")</f>
        <v>Reparaciones/Otros</v>
      </c>
      <c r="E3100" s="1" t="str">
        <f>IFERROR(__xludf.DUMMYFUNCTION("""COMPUTED_VALUE"""),"RIVADAVIA Marcela L")</f>
        <v>RIVADAVIA Marcela L</v>
      </c>
      <c r="F3100" s="1" t="str">
        <f t="shared" si="1"/>
        <v>RIVADAVIA </v>
      </c>
      <c r="G3100" s="1" t="str">
        <f t="shared" si="2"/>
        <v>Marcela L</v>
      </c>
      <c r="H3100" s="1" t="str">
        <f>IFERROR(__xludf.DUMMYFUNCTION("""COMPUTED_VALUE"""),"9/3/2023, 17:00:00")</f>
        <v>9/3/2023, 17:00:00</v>
      </c>
      <c r="I3100" s="1" t="str">
        <f>IFERROR(__xludf.DUMMYFUNCTION("""COMPUTED_VALUE"""),"Completado en SUCURSAL")</f>
        <v>Completado en SUCURSAL</v>
      </c>
      <c r="J3100" s="1">
        <f t="shared" si="3"/>
        <v>5</v>
      </c>
      <c r="K3100" s="1" t="str">
        <f t="shared" si="4"/>
        <v>Tus Lentes estan LISTAS PARA ENTREGAR, te esperamos.</v>
      </c>
    </row>
    <row r="3101">
      <c r="A3101" s="1">
        <f>IFERROR(__xludf.DUMMYFUNCTION("""COMPUTED_VALUE"""),87646.0)</f>
        <v>87646</v>
      </c>
      <c r="B3101" s="5">
        <f>IFERROR(__xludf.DUMMYFUNCTION("""COMPUTED_VALUE"""),44993.55520229167)</f>
        <v>44993.5552</v>
      </c>
      <c r="C3101" s="1" t="str">
        <f>IFERROR(__xludf.DUMMYFUNCTION("""COMPUTED_VALUE"""),"SORIA MARIA FERNANDA  ")</f>
        <v>SORIA MARIA FERNANDA  </v>
      </c>
      <c r="D3101" s="1" t="str">
        <f>IFERROR(__xludf.DUMMYFUNCTION("""COMPUTED_VALUE"""),"Lentes de STOCK")</f>
        <v>Lentes de STOCK</v>
      </c>
      <c r="E3101" s="1" t="str">
        <f>IFERROR(__xludf.DUMMYFUNCTION("""COMPUTED_VALUE"""),"ARTIGAS Ivana P.")</f>
        <v>ARTIGAS Ivana P.</v>
      </c>
      <c r="F3101" s="1" t="str">
        <f t="shared" si="1"/>
        <v>ARTIGAS </v>
      </c>
      <c r="G3101" s="1" t="str">
        <f t="shared" si="2"/>
        <v>Ivana P.</v>
      </c>
      <c r="H3101" s="1" t="str">
        <f>IFERROR(__xludf.DUMMYFUNCTION("""COMPUTED_VALUE"""),"13/3/2023, 17:00:00")</f>
        <v>13/3/2023, 17:00:00</v>
      </c>
      <c r="I3101" s="1" t="str">
        <f>IFERROR(__xludf.DUMMYFUNCTION("""COMPUTED_VALUE"""),"Completado en SUCURSAL")</f>
        <v>Completado en SUCURSAL</v>
      </c>
      <c r="J3101" s="1">
        <f t="shared" si="3"/>
        <v>5</v>
      </c>
      <c r="K3101" s="1" t="str">
        <f t="shared" si="4"/>
        <v>Tus Lentes estan LISTAS PARA ENTREGAR, te esperamos.</v>
      </c>
    </row>
    <row r="3102">
      <c r="A3102" s="1">
        <f>IFERROR(__xludf.DUMMYFUNCTION("""COMPUTED_VALUE"""),87647.0)</f>
        <v>87647</v>
      </c>
      <c r="B3102" s="5">
        <f>IFERROR(__xludf.DUMMYFUNCTION("""COMPUTED_VALUE"""),44993.5701769213)</f>
        <v>44993.57018</v>
      </c>
      <c r="C3102" s="1" t="str">
        <f>IFERROR(__xludf.DUMMYFUNCTION("""COMPUTED_VALUE"""),"CALVO EDUARDO")</f>
        <v>CALVO EDUARDO</v>
      </c>
      <c r="D3102" s="1" t="str">
        <f>IFERROR(__xludf.DUMMYFUNCTION("""COMPUTED_VALUE"""),"Lentes de STOCK")</f>
        <v>Lentes de STOCK</v>
      </c>
      <c r="E3102" s="1" t="str">
        <f>IFERROR(__xludf.DUMMYFUNCTION("""COMPUTED_VALUE"""),"ARTIGAS Ivana P.")</f>
        <v>ARTIGAS Ivana P.</v>
      </c>
      <c r="F3102" s="1" t="str">
        <f t="shared" si="1"/>
        <v>ARTIGAS </v>
      </c>
      <c r="G3102" s="1" t="str">
        <f t="shared" si="2"/>
        <v>Ivana P.</v>
      </c>
      <c r="H3102" s="1" t="str">
        <f>IFERROR(__xludf.DUMMYFUNCTION("""COMPUTED_VALUE"""),"10/3/2023, 17:00:00")</f>
        <v>10/3/2023, 17:00:00</v>
      </c>
      <c r="I3102" s="1" t="str">
        <f>IFERROR(__xludf.DUMMYFUNCTION("""COMPUTED_VALUE"""),"Completado en SUCURSAL")</f>
        <v>Completado en SUCURSAL</v>
      </c>
      <c r="J3102" s="1">
        <f t="shared" si="3"/>
        <v>5</v>
      </c>
      <c r="K3102" s="1" t="str">
        <f t="shared" si="4"/>
        <v>Tus Lentes estan LISTAS PARA ENTREGAR, te esperamos.</v>
      </c>
    </row>
    <row r="3103">
      <c r="A3103" s="1">
        <f>IFERROR(__xludf.DUMMYFUNCTION("""COMPUTED_VALUE"""),87648.0)</f>
        <v>87648</v>
      </c>
      <c r="B3103" s="5">
        <f>IFERROR(__xludf.DUMMYFUNCTION("""COMPUTED_VALUE"""),44993.60391731482)</f>
        <v>44993.60392</v>
      </c>
      <c r="C3103" s="1" t="str">
        <f>IFERROR(__xludf.DUMMYFUNCTION("""COMPUTED_VALUE"""),"RICKARD MELINA")</f>
        <v>RICKARD MELINA</v>
      </c>
      <c r="D3103" s="1" t="str">
        <f>IFERROR(__xludf.DUMMYFUNCTION("""COMPUTED_VALUE"""),"Lentes de STOCK")</f>
        <v>Lentes de STOCK</v>
      </c>
      <c r="E3103" s="1" t="str">
        <f>IFERROR(__xludf.DUMMYFUNCTION("""COMPUTED_VALUE"""),"ARTIGAS Ivana P.")</f>
        <v>ARTIGAS Ivana P.</v>
      </c>
      <c r="F3103" s="1" t="str">
        <f t="shared" si="1"/>
        <v>ARTIGAS </v>
      </c>
      <c r="G3103" s="1" t="str">
        <f t="shared" si="2"/>
        <v>Ivana P.</v>
      </c>
      <c r="H3103" s="1" t="str">
        <f>IFERROR(__xludf.DUMMYFUNCTION("""COMPUTED_VALUE"""),"13/3/2023, 17:00:00")</f>
        <v>13/3/2023, 17:00:00</v>
      </c>
      <c r="I3103" s="1" t="str">
        <f>IFERROR(__xludf.DUMMYFUNCTION("""COMPUTED_VALUE"""),"Completado en SUCURSAL")</f>
        <v>Completado en SUCURSAL</v>
      </c>
      <c r="J3103" s="1">
        <f t="shared" si="3"/>
        <v>5</v>
      </c>
      <c r="K3103" s="1" t="str">
        <f t="shared" si="4"/>
        <v>Tus Lentes estan LISTAS PARA ENTREGAR, te esperamos.</v>
      </c>
    </row>
    <row r="3104">
      <c r="A3104" s="1">
        <f>IFERROR(__xludf.DUMMYFUNCTION("""COMPUTED_VALUE"""),87649.0)</f>
        <v>87649</v>
      </c>
      <c r="B3104" s="5">
        <f>IFERROR(__xludf.DUMMYFUNCTION("""COMPUTED_VALUE"""),44993.7339016551)</f>
        <v>44993.7339</v>
      </c>
      <c r="C3104" s="1" t="str">
        <f>IFERROR(__xludf.DUMMYFUNCTION("""COMPUTED_VALUE"""),"TRINIDAD PABLINO")</f>
        <v>TRINIDAD PABLINO</v>
      </c>
      <c r="D3104" s="1" t="str">
        <f>IFERROR(__xludf.DUMMYFUNCTION("""COMPUTED_VALUE"""),"Lentes de STOCK")</f>
        <v>Lentes de STOCK</v>
      </c>
      <c r="E3104" s="1" t="str">
        <f>IFERROR(__xludf.DUMMYFUNCTION("""COMPUTED_VALUE"""),"ARTIGAS Roció")</f>
        <v>ARTIGAS Roció</v>
      </c>
      <c r="F3104" s="1" t="str">
        <f t="shared" si="1"/>
        <v>ARTIGAS </v>
      </c>
      <c r="G3104" s="1" t="str">
        <f t="shared" si="2"/>
        <v>Roció</v>
      </c>
      <c r="H3104" s="1" t="str">
        <f>IFERROR(__xludf.DUMMYFUNCTION("""COMPUTED_VALUE"""),"20/3/2023, 17:00:00")</f>
        <v>20/3/2023, 17:00:00</v>
      </c>
      <c r="I3104" s="1" t="str">
        <f>IFERROR(__xludf.DUMMYFUNCTION("""COMPUTED_VALUE"""),"Completado en SUCURSAL")</f>
        <v>Completado en SUCURSAL</v>
      </c>
      <c r="J3104" s="1">
        <f t="shared" si="3"/>
        <v>5</v>
      </c>
      <c r="K3104" s="1" t="str">
        <f t="shared" si="4"/>
        <v>Tus Lentes estan LISTAS PARA ENTREGAR, te esperamos.</v>
      </c>
    </row>
    <row r="3105">
      <c r="A3105" s="1">
        <f>IFERROR(__xludf.DUMMYFUNCTION("""COMPUTED_VALUE"""),87650.0)</f>
        <v>87650</v>
      </c>
      <c r="B3105" s="5">
        <f>IFERROR(__xludf.DUMMYFUNCTION("""COMPUTED_VALUE"""),44993.74147306713)</f>
        <v>44993.74147</v>
      </c>
      <c r="C3105" s="1" t="str">
        <f>IFERROR(__xludf.DUMMYFUNCTION("""COMPUTED_VALUE"""),"comoglio sabrina")</f>
        <v>comoglio sabrina</v>
      </c>
      <c r="D3105" s="1" t="str">
        <f>IFERROR(__xludf.DUMMYFUNCTION("""COMPUTED_VALUE"""),"Lentes de STOCK")</f>
        <v>Lentes de STOCK</v>
      </c>
      <c r="E3105" s="1" t="str">
        <f>IFERROR(__xludf.DUMMYFUNCTION("""COMPUTED_VALUE"""),"RIVADAVIA Santiago LOPEZ")</f>
        <v>RIVADAVIA Santiago LOPEZ</v>
      </c>
      <c r="F3105" s="1" t="str">
        <f t="shared" si="1"/>
        <v>RIVADAVIA </v>
      </c>
      <c r="G3105" s="1" t="str">
        <f t="shared" si="2"/>
        <v>Santiago LOPEZ</v>
      </c>
      <c r="H3105" s="1" t="str">
        <f>IFERROR(__xludf.DUMMYFUNCTION("""COMPUTED_VALUE"""),"10/3/2023, 17:00:00")</f>
        <v>10/3/2023, 17:00:00</v>
      </c>
      <c r="I3105" s="1" t="str">
        <f>IFERROR(__xludf.DUMMYFUNCTION("""COMPUTED_VALUE"""),"Completado en SUCURSAL")</f>
        <v>Completado en SUCURSAL</v>
      </c>
      <c r="J3105" s="1">
        <f t="shared" si="3"/>
        <v>5</v>
      </c>
      <c r="K3105" s="1" t="str">
        <f t="shared" si="4"/>
        <v>Tus Lentes estan LISTAS PARA ENTREGAR, te esperamos.</v>
      </c>
    </row>
    <row r="3106">
      <c r="A3106" s="1">
        <f>IFERROR(__xludf.DUMMYFUNCTION("""COMPUTED_VALUE"""),87651.0)</f>
        <v>87651</v>
      </c>
      <c r="B3106" s="5">
        <f>IFERROR(__xludf.DUMMYFUNCTION("""COMPUTED_VALUE"""),44993.74304563657)</f>
        <v>44993.74305</v>
      </c>
      <c r="C3106" s="1" t="str">
        <f>IFERROR(__xludf.DUMMYFUNCTION("""COMPUTED_VALUE"""),"funes erica")</f>
        <v>funes erica</v>
      </c>
      <c r="D3106" s="1" t="str">
        <f>IFERROR(__xludf.DUMMYFUNCTION("""COMPUTED_VALUE"""),"Lentes MULTIFOCALES")</f>
        <v>Lentes MULTIFOCALES</v>
      </c>
      <c r="E3106" s="1" t="str">
        <f>IFERROR(__xludf.DUMMYFUNCTION("""COMPUTED_VALUE"""),"ARTIGAS Roció")</f>
        <v>ARTIGAS Roció</v>
      </c>
      <c r="F3106" s="1" t="str">
        <f t="shared" si="1"/>
        <v>ARTIGAS </v>
      </c>
      <c r="G3106" s="1" t="str">
        <f t="shared" si="2"/>
        <v>Roció</v>
      </c>
      <c r="H3106" s="1" t="str">
        <f>IFERROR(__xludf.DUMMYFUNCTION("""COMPUTED_VALUE"""),"23/3/2023, 17:00:00")</f>
        <v>23/3/2023, 17:00:00</v>
      </c>
      <c r="I3106" s="1" t="str">
        <f>IFERROR(__xludf.DUMMYFUNCTION("""COMPUTED_VALUE"""),"RETIRADO OK POR CLIENTE")</f>
        <v>RETIRADO OK POR CLIENTE</v>
      </c>
      <c r="J3106" s="1">
        <f t="shared" si="3"/>
        <v>6</v>
      </c>
      <c r="K3106" s="1" t="str">
        <f t="shared" si="4"/>
        <v>Entregamos tus lentes, que los disfrutes!</v>
      </c>
    </row>
    <row r="3107">
      <c r="A3107" s="1">
        <f>IFERROR(__xludf.DUMMYFUNCTION("""COMPUTED_VALUE"""),87652.0)</f>
        <v>87652</v>
      </c>
      <c r="B3107" s="5">
        <f>IFERROR(__xludf.DUMMYFUNCTION("""COMPUTED_VALUE"""),44993.751789918984)</f>
        <v>44993.75179</v>
      </c>
      <c r="C3107" s="1" t="str">
        <f>IFERROR(__xludf.DUMMYFUNCTION("""COMPUTED_VALUE"""),"SOSA NAHIR")</f>
        <v>SOSA NAHIR</v>
      </c>
      <c r="D3107" s="1" t="str">
        <f>IFERROR(__xludf.DUMMYFUNCTION("""COMPUTED_VALUE"""),"Lentes de STOCK")</f>
        <v>Lentes de STOCK</v>
      </c>
      <c r="E3107" s="1" t="str">
        <f>IFERROR(__xludf.DUMMYFUNCTION("""COMPUTED_VALUE"""),"RIVADAVIA Javier")</f>
        <v>RIVADAVIA Javier</v>
      </c>
      <c r="F3107" s="1" t="str">
        <f t="shared" si="1"/>
        <v>RIVADAVIA </v>
      </c>
      <c r="G3107" s="1" t="str">
        <f t="shared" si="2"/>
        <v>Javier</v>
      </c>
      <c r="H3107" s="1" t="str">
        <f>IFERROR(__xludf.DUMMYFUNCTION("""COMPUTED_VALUE"""),"13/3/2023, 17:00:00")</f>
        <v>13/3/2023, 17:00:00</v>
      </c>
      <c r="I3107" s="1" t="str">
        <f>IFERROR(__xludf.DUMMYFUNCTION("""COMPUTED_VALUE"""),"Completado en SUCURSAL")</f>
        <v>Completado en SUCURSAL</v>
      </c>
      <c r="J3107" s="1">
        <f t="shared" si="3"/>
        <v>5</v>
      </c>
      <c r="K3107" s="1" t="str">
        <f t="shared" si="4"/>
        <v>Tus Lentes estan LISTAS PARA ENTREGAR, te esperamos.</v>
      </c>
    </row>
    <row r="3108">
      <c r="A3108" s="1">
        <f>IFERROR(__xludf.DUMMYFUNCTION("""COMPUTED_VALUE"""),87653.0)</f>
        <v>87653</v>
      </c>
      <c r="B3108" s="5">
        <f>IFERROR(__xludf.DUMMYFUNCTION("""COMPUTED_VALUE"""),44993.76480457176)</f>
        <v>44993.7648</v>
      </c>
      <c r="C3108" s="1" t="str">
        <f>IFERROR(__xludf.DUMMYFUNCTION("""COMPUTED_VALUE"""),"VELAZQUEZ RAMON / POLIMETAL")</f>
        <v>VELAZQUEZ RAMON / POLIMETAL</v>
      </c>
      <c r="D3108" s="1" t="str">
        <f>IFERROR(__xludf.DUMMYFUNCTION("""COMPUTED_VALUE"""),"Lentes de LABORATORIO")</f>
        <v>Lentes de LABORATORIO</v>
      </c>
      <c r="E3108" s="1" t="str">
        <f>IFERROR(__xludf.DUMMYFUNCTION("""COMPUTED_VALUE"""),"ARTIGAS Ivana P.")</f>
        <v>ARTIGAS Ivana P.</v>
      </c>
      <c r="F3108" s="1" t="str">
        <f t="shared" si="1"/>
        <v>ARTIGAS </v>
      </c>
      <c r="G3108" s="1" t="str">
        <f t="shared" si="2"/>
        <v>Ivana P.</v>
      </c>
      <c r="H3108" s="1" t="str">
        <f>IFERROR(__xludf.DUMMYFUNCTION("""COMPUTED_VALUE"""),"18/3/2023, 17:00:00")</f>
        <v>18/3/2023, 17:00:00</v>
      </c>
      <c r="I3108" s="1" t="str">
        <f>IFERROR(__xludf.DUMMYFUNCTION("""COMPUTED_VALUE"""),"RETIRADO OK POR CLIENTE")</f>
        <v>RETIRADO OK POR CLIENTE</v>
      </c>
      <c r="J3108" s="1">
        <f t="shared" si="3"/>
        <v>6</v>
      </c>
      <c r="K3108" s="1" t="str">
        <f t="shared" si="4"/>
        <v>Entregamos tus lentes, que los disfrutes!</v>
      </c>
    </row>
    <row r="3109">
      <c r="A3109" s="1">
        <f>IFERROR(__xludf.DUMMYFUNCTION("""COMPUTED_VALUE"""),87654.0)</f>
        <v>87654</v>
      </c>
      <c r="B3109" s="5">
        <f>IFERROR(__xludf.DUMMYFUNCTION("""COMPUTED_VALUE"""),44993.76637167824)</f>
        <v>44993.76637</v>
      </c>
      <c r="C3109" s="1" t="str">
        <f>IFERROR(__xludf.DUMMYFUNCTION("""COMPUTED_VALUE"""),"LAZARTE CERATO LUCIA")</f>
        <v>LAZARTE CERATO LUCIA</v>
      </c>
      <c r="D3109" s="1" t="str">
        <f>IFERROR(__xludf.DUMMYFUNCTION("""COMPUTED_VALUE"""),"Lentes de STOCK")</f>
        <v>Lentes de STOCK</v>
      </c>
      <c r="E3109" s="1" t="str">
        <f>IFERROR(__xludf.DUMMYFUNCTION("""COMPUTED_VALUE"""),"RIVADAVIA Christian C.")</f>
        <v>RIVADAVIA Christian C.</v>
      </c>
      <c r="F3109" s="1" t="str">
        <f t="shared" si="1"/>
        <v>RIVADAVIA </v>
      </c>
      <c r="G3109" s="1" t="str">
        <f t="shared" si="2"/>
        <v>Christian C.</v>
      </c>
      <c r="H3109" s="1" t="str">
        <f>IFERROR(__xludf.DUMMYFUNCTION("""COMPUTED_VALUE"""),"15/3/2023, 17:00:00")</f>
        <v>15/3/2023, 17:00:00</v>
      </c>
      <c r="I3109" s="1" t="str">
        <f>IFERROR(__xludf.DUMMYFUNCTION("""COMPUTED_VALUE"""),"Completado en SUCURSAL")</f>
        <v>Completado en SUCURSAL</v>
      </c>
      <c r="J3109" s="1">
        <f t="shared" si="3"/>
        <v>5</v>
      </c>
      <c r="K3109" s="1" t="str">
        <f t="shared" si="4"/>
        <v>Tus Lentes estan LISTAS PARA ENTREGAR, te esperamos.</v>
      </c>
    </row>
    <row r="3110">
      <c r="A3110" s="1">
        <f>IFERROR(__xludf.DUMMYFUNCTION("""COMPUTED_VALUE"""),87655.0)</f>
        <v>87655</v>
      </c>
      <c r="B3110" s="5">
        <f>IFERROR(__xludf.DUMMYFUNCTION("""COMPUTED_VALUE"""),44993.76787084491)</f>
        <v>44993.76787</v>
      </c>
      <c r="C3110" s="1" t="str">
        <f>IFERROR(__xludf.DUMMYFUNCTION("""COMPUTED_VALUE"""),"PELEGRINA JUAN ALBERTO")</f>
        <v>PELEGRINA JUAN ALBERTO</v>
      </c>
      <c r="D3110" s="1" t="str">
        <f>IFERROR(__xludf.DUMMYFUNCTION("""COMPUTED_VALUE"""),"Lentes BIFOCALES")</f>
        <v>Lentes BIFOCALES</v>
      </c>
      <c r="E3110" s="1" t="str">
        <f>IFERROR(__xludf.DUMMYFUNCTION("""COMPUTED_VALUE"""),"RIVADAVIA Javier")</f>
        <v>RIVADAVIA Javier</v>
      </c>
      <c r="F3110" s="1" t="str">
        <f t="shared" si="1"/>
        <v>RIVADAVIA </v>
      </c>
      <c r="G3110" s="1" t="str">
        <f t="shared" si="2"/>
        <v>Javier</v>
      </c>
      <c r="H3110" s="1" t="str">
        <f>IFERROR(__xludf.DUMMYFUNCTION("""COMPUTED_VALUE"""),"14/3/2023, 17:00:00")</f>
        <v>14/3/2023, 17:00:00</v>
      </c>
      <c r="I3110" s="1" t="str">
        <f>IFERROR(__xludf.DUMMYFUNCTION("""COMPUTED_VALUE"""),"Completado en SUCURSAL")</f>
        <v>Completado en SUCURSAL</v>
      </c>
      <c r="J3110" s="1">
        <f t="shared" si="3"/>
        <v>5</v>
      </c>
      <c r="K3110" s="1" t="str">
        <f t="shared" si="4"/>
        <v>Tus Lentes estan LISTAS PARA ENTREGAR, te esperamos.</v>
      </c>
    </row>
    <row r="3111">
      <c r="A3111" s="1">
        <f>IFERROR(__xludf.DUMMYFUNCTION("""COMPUTED_VALUE"""),87656.0)</f>
        <v>87656</v>
      </c>
      <c r="B3111" s="5">
        <f>IFERROR(__xludf.DUMMYFUNCTION("""COMPUTED_VALUE"""),44993.773106759254)</f>
        <v>44993.77311</v>
      </c>
      <c r="C3111" s="1" t="str">
        <f>IFERROR(__xludf.DUMMYFUNCTION("""COMPUTED_VALUE"""),"MAYORGA MARINA")</f>
        <v>MAYORGA MARINA</v>
      </c>
      <c r="D3111" s="1" t="str">
        <f>IFERROR(__xludf.DUMMYFUNCTION("""COMPUTED_VALUE"""),"Reparaciones/Otros")</f>
        <v>Reparaciones/Otros</v>
      </c>
      <c r="E3111" s="1" t="str">
        <f>IFERROR(__xludf.DUMMYFUNCTION("""COMPUTED_VALUE"""),"ARTIGAS Ivana P.")</f>
        <v>ARTIGAS Ivana P.</v>
      </c>
      <c r="F3111" s="1" t="str">
        <f t="shared" si="1"/>
        <v>ARTIGAS </v>
      </c>
      <c r="G3111" s="1" t="str">
        <f t="shared" si="2"/>
        <v>Ivana P.</v>
      </c>
      <c r="H3111" s="1" t="str">
        <f>IFERROR(__xludf.DUMMYFUNCTION("""COMPUTED_VALUE"""),"13/3/2023, 17:00:00")</f>
        <v>13/3/2023, 17:00:00</v>
      </c>
      <c r="I3111" s="1" t="str">
        <f>IFERROR(__xludf.DUMMYFUNCTION("""COMPUTED_VALUE"""),"Completado en SUCURSAL")</f>
        <v>Completado en SUCURSAL</v>
      </c>
      <c r="J3111" s="1">
        <f t="shared" si="3"/>
        <v>5</v>
      </c>
      <c r="K3111" s="1" t="str">
        <f t="shared" si="4"/>
        <v>Tus Lentes estan LISTAS PARA ENTREGAR, te esperamos.</v>
      </c>
    </row>
    <row r="3112">
      <c r="A3112" s="1">
        <f>IFERROR(__xludf.DUMMYFUNCTION("""COMPUTED_VALUE"""),87657.0)</f>
        <v>87657</v>
      </c>
      <c r="B3112" s="5">
        <f>IFERROR(__xludf.DUMMYFUNCTION("""COMPUTED_VALUE"""),44993.778471412035)</f>
        <v>44993.77847</v>
      </c>
      <c r="C3112" s="1" t="str">
        <f>IFERROR(__xludf.DUMMYFUNCTION("""COMPUTED_VALUE"""),"piastrelini Luis ")</f>
        <v>piastrelini Luis </v>
      </c>
      <c r="D3112" s="1" t="str">
        <f>IFERROR(__xludf.DUMMYFUNCTION("""COMPUTED_VALUE"""),"Lentes BIFOCALES")</f>
        <v>Lentes BIFOCALES</v>
      </c>
      <c r="E3112" s="1" t="str">
        <f>IFERROR(__xludf.DUMMYFUNCTION("""COMPUTED_VALUE"""),"ARTIGAS Roció")</f>
        <v>ARTIGAS Roció</v>
      </c>
      <c r="F3112" s="1" t="str">
        <f t="shared" si="1"/>
        <v>ARTIGAS </v>
      </c>
      <c r="G3112" s="1" t="str">
        <f t="shared" si="2"/>
        <v>Roció</v>
      </c>
      <c r="H3112" s="1" t="str">
        <f>IFERROR(__xludf.DUMMYFUNCTION("""COMPUTED_VALUE"""),"27/3/2023, 17:00:00")</f>
        <v>27/3/2023, 17:00:00</v>
      </c>
      <c r="I3112" s="1" t="str">
        <f>IFERROR(__xludf.DUMMYFUNCTION("""COMPUTED_VALUE"""),"RETIRADO OK POR CLIENTE")</f>
        <v>RETIRADO OK POR CLIENTE</v>
      </c>
      <c r="J3112" s="1">
        <f t="shared" si="3"/>
        <v>6</v>
      </c>
      <c r="K3112" s="1" t="str">
        <f t="shared" si="4"/>
        <v>Entregamos tus lentes, que los disfrutes!</v>
      </c>
    </row>
    <row r="3113">
      <c r="A3113" s="1">
        <f>IFERROR(__xludf.DUMMYFUNCTION("""COMPUTED_VALUE"""),87658.0)</f>
        <v>87658</v>
      </c>
      <c r="B3113" s="5">
        <f>IFERROR(__xludf.DUMMYFUNCTION("""COMPUTED_VALUE"""),44993.77929148148)</f>
        <v>44993.77929</v>
      </c>
      <c r="C3113" s="1" t="str">
        <f>IFERROR(__xludf.DUMMYFUNCTION("""COMPUTED_VALUE"""),"Suarez Juan Jesus ")</f>
        <v>Suarez Juan Jesus </v>
      </c>
      <c r="D3113" s="1" t="str">
        <f>IFERROR(__xludf.DUMMYFUNCTION("""COMPUTED_VALUE"""),"Reparaciones/Otros")</f>
        <v>Reparaciones/Otros</v>
      </c>
      <c r="E3113" s="1" t="str">
        <f>IFERROR(__xludf.DUMMYFUNCTION("""COMPUTED_VALUE"""),"ARTIGAS Micaela")</f>
        <v>ARTIGAS Micaela</v>
      </c>
      <c r="F3113" s="1" t="str">
        <f t="shared" si="1"/>
        <v>ARTIGAS </v>
      </c>
      <c r="G3113" s="1" t="str">
        <f t="shared" si="2"/>
        <v>Micaela</v>
      </c>
      <c r="H3113" s="1" t="str">
        <f>IFERROR(__xludf.DUMMYFUNCTION("""COMPUTED_VALUE"""),"10/3/2023, 17:00:00")</f>
        <v>10/3/2023, 17:00:00</v>
      </c>
      <c r="I3113" s="1" t="str">
        <f>IFERROR(__xludf.DUMMYFUNCTION("""COMPUTED_VALUE"""),"Completado en SUCURSAL")</f>
        <v>Completado en SUCURSAL</v>
      </c>
      <c r="J3113" s="1">
        <f t="shared" si="3"/>
        <v>5</v>
      </c>
      <c r="K3113" s="1" t="str">
        <f t="shared" si="4"/>
        <v>Tus Lentes estan LISTAS PARA ENTREGAR, te esperamos.</v>
      </c>
    </row>
    <row r="3114">
      <c r="A3114" s="1">
        <f>IFERROR(__xludf.DUMMYFUNCTION("""COMPUTED_VALUE"""),87659.0)</f>
        <v>87659</v>
      </c>
      <c r="B3114" s="5">
        <f>IFERROR(__xludf.DUMMYFUNCTION("""COMPUTED_VALUE"""),44993.78148417824)</f>
        <v>44993.78148</v>
      </c>
      <c r="C3114" s="1" t="str">
        <f>IFERROR(__xludf.DUMMYFUNCTION("""COMPUTED_VALUE"""),"GARRO MIA")</f>
        <v>GARRO MIA</v>
      </c>
      <c r="D3114" s="1" t="str">
        <f>IFERROR(__xludf.DUMMYFUNCTION("""COMPUTED_VALUE"""),"Lentes de STOCK")</f>
        <v>Lentes de STOCK</v>
      </c>
      <c r="E3114" s="1" t="str">
        <f>IFERROR(__xludf.DUMMYFUNCTION("""COMPUTED_VALUE"""),"ARTIGAS Roció")</f>
        <v>ARTIGAS Roció</v>
      </c>
      <c r="F3114" s="1" t="str">
        <f t="shared" si="1"/>
        <v>ARTIGAS </v>
      </c>
      <c r="G3114" s="1" t="str">
        <f t="shared" si="2"/>
        <v>Roció</v>
      </c>
      <c r="H3114" s="1" t="str">
        <f>IFERROR(__xludf.DUMMYFUNCTION("""COMPUTED_VALUE"""),"15/3/2023, 17:00:00")</f>
        <v>15/3/2023, 17:00:00</v>
      </c>
      <c r="I3114" s="1" t="str">
        <f>IFERROR(__xludf.DUMMYFUNCTION("""COMPUTED_VALUE"""),"Completado en SUCURSAL")</f>
        <v>Completado en SUCURSAL</v>
      </c>
      <c r="J3114" s="1">
        <f t="shared" si="3"/>
        <v>5</v>
      </c>
      <c r="K3114" s="1" t="str">
        <f t="shared" si="4"/>
        <v>Tus Lentes estan LISTAS PARA ENTREGAR, te esperamos.</v>
      </c>
    </row>
    <row r="3115">
      <c r="A3115" s="1">
        <f>IFERROR(__xludf.DUMMYFUNCTION("""COMPUTED_VALUE"""),87660.0)</f>
        <v>87660</v>
      </c>
      <c r="B3115" s="5">
        <f>IFERROR(__xludf.DUMMYFUNCTION("""COMPUTED_VALUE"""),44993.78247615741)</f>
        <v>44993.78248</v>
      </c>
      <c r="C3115" s="1" t="str">
        <f>IFERROR(__xludf.DUMMYFUNCTION("""COMPUTED_VALUE"""),"LUCERO AHIDA ")</f>
        <v>LUCERO AHIDA </v>
      </c>
      <c r="D3115" s="1" t="str">
        <f>IFERROR(__xludf.DUMMYFUNCTION("""COMPUTED_VALUE"""),"Reparaciones/Otros")</f>
        <v>Reparaciones/Otros</v>
      </c>
      <c r="E3115" s="1" t="str">
        <f>IFERROR(__xludf.DUMMYFUNCTION("""COMPUTED_VALUE"""),"RIVADAVIA Javier")</f>
        <v>RIVADAVIA Javier</v>
      </c>
      <c r="F3115" s="1" t="str">
        <f t="shared" si="1"/>
        <v>RIVADAVIA </v>
      </c>
      <c r="G3115" s="1" t="str">
        <f t="shared" si="2"/>
        <v>Javier</v>
      </c>
      <c r="H3115" s="1" t="str">
        <f>IFERROR(__xludf.DUMMYFUNCTION("""COMPUTED_VALUE"""),"9/3/2023, 17:00:00")</f>
        <v>9/3/2023, 17:00:00</v>
      </c>
      <c r="I3115" s="1" t="str">
        <f>IFERROR(__xludf.DUMMYFUNCTION("""COMPUTED_VALUE"""),"Completado en SUCURSAL")</f>
        <v>Completado en SUCURSAL</v>
      </c>
      <c r="J3115" s="1">
        <f t="shared" si="3"/>
        <v>5</v>
      </c>
      <c r="K3115" s="1" t="str">
        <f t="shared" si="4"/>
        <v>Tus Lentes estan LISTAS PARA ENTREGAR, te esperamos.</v>
      </c>
    </row>
    <row r="3116">
      <c r="A3116" s="1">
        <f>IFERROR(__xludf.DUMMYFUNCTION("""COMPUTED_VALUE"""),87661.0)</f>
        <v>87661</v>
      </c>
      <c r="B3116" s="5">
        <f>IFERROR(__xludf.DUMMYFUNCTION("""COMPUTED_VALUE"""),44993.790721446756)</f>
        <v>44993.79072</v>
      </c>
      <c r="C3116" s="1" t="str">
        <f>IFERROR(__xludf.DUMMYFUNCTION("""COMPUTED_VALUE"""),"CAMARGO MIRTA")</f>
        <v>CAMARGO MIRTA</v>
      </c>
      <c r="D3116" s="1" t="str">
        <f>IFERROR(__xludf.DUMMYFUNCTION("""COMPUTED_VALUE"""),"Lentes de STOCK")</f>
        <v>Lentes de STOCK</v>
      </c>
      <c r="E3116" s="1" t="str">
        <f>IFERROR(__xludf.DUMMYFUNCTION("""COMPUTED_VALUE"""),"RIVADAVIA Luciana")</f>
        <v>RIVADAVIA Luciana</v>
      </c>
      <c r="F3116" s="1" t="str">
        <f t="shared" si="1"/>
        <v>RIVADAVIA </v>
      </c>
      <c r="G3116" s="1" t="str">
        <f t="shared" si="2"/>
        <v>Luciana</v>
      </c>
      <c r="H3116" s="1" t="str">
        <f>IFERROR(__xludf.DUMMYFUNCTION("""COMPUTED_VALUE"""),"13/3/2023, 17:00:00")</f>
        <v>13/3/2023, 17:00:00</v>
      </c>
      <c r="I3116" s="1" t="str">
        <f>IFERROR(__xludf.DUMMYFUNCTION("""COMPUTED_VALUE"""),"Completado en SUCURSAL")</f>
        <v>Completado en SUCURSAL</v>
      </c>
      <c r="J3116" s="1">
        <f t="shared" si="3"/>
        <v>5</v>
      </c>
      <c r="K3116" s="1" t="str">
        <f t="shared" si="4"/>
        <v>Tus Lentes estan LISTAS PARA ENTREGAR, te esperamos.</v>
      </c>
    </row>
    <row r="3117">
      <c r="A3117" s="1">
        <f>IFERROR(__xludf.DUMMYFUNCTION("""COMPUTED_VALUE"""),87662.0)</f>
        <v>87662</v>
      </c>
      <c r="B3117" s="5">
        <f>IFERROR(__xludf.DUMMYFUNCTION("""COMPUTED_VALUE"""),44993.793150011574)</f>
        <v>44993.79315</v>
      </c>
      <c r="C3117" s="1" t="str">
        <f>IFERROR(__xludf.DUMMYFUNCTION("""COMPUTED_VALUE"""),"SINDONI LIDIA ISABEL")</f>
        <v>SINDONI LIDIA ISABEL</v>
      </c>
      <c r="D3117" s="1" t="str">
        <f>IFERROR(__xludf.DUMMYFUNCTION("""COMPUTED_VALUE"""),"Lentes de STOCK")</f>
        <v>Lentes de STOCK</v>
      </c>
      <c r="E3117" s="1" t="str">
        <f>IFERROR(__xludf.DUMMYFUNCTION("""COMPUTED_VALUE"""),"ARTIGAS Roció")</f>
        <v>ARTIGAS Roció</v>
      </c>
      <c r="F3117" s="1" t="str">
        <f t="shared" si="1"/>
        <v>ARTIGAS </v>
      </c>
      <c r="G3117" s="1" t="str">
        <f t="shared" si="2"/>
        <v>Roció</v>
      </c>
      <c r="H3117" s="1" t="str">
        <f>IFERROR(__xludf.DUMMYFUNCTION("""COMPUTED_VALUE"""),"10/3/2023, 17:00:00")</f>
        <v>10/3/2023, 17:00:00</v>
      </c>
      <c r="I3117" s="1" t="str">
        <f>IFERROR(__xludf.DUMMYFUNCTION("""COMPUTED_VALUE"""),"Completado en SUCURSAL")</f>
        <v>Completado en SUCURSAL</v>
      </c>
      <c r="J3117" s="1">
        <f t="shared" si="3"/>
        <v>5</v>
      </c>
      <c r="K3117" s="1" t="str">
        <f t="shared" si="4"/>
        <v>Tus Lentes estan LISTAS PARA ENTREGAR, te esperamos.</v>
      </c>
    </row>
    <row r="3118">
      <c r="A3118" s="1">
        <f>IFERROR(__xludf.DUMMYFUNCTION("""COMPUTED_VALUE"""),87663.0)</f>
        <v>87663</v>
      </c>
      <c r="B3118" s="5">
        <f>IFERROR(__xludf.DUMMYFUNCTION("""COMPUTED_VALUE"""),44993.80149462963)</f>
        <v>44993.80149</v>
      </c>
      <c r="C3118" s="1" t="str">
        <f>IFERROR(__xludf.DUMMYFUNCTION("""COMPUTED_VALUE"""),"LUCIANO DE BELVA")</f>
        <v>LUCIANO DE BELVA</v>
      </c>
      <c r="D3118" s="1" t="str">
        <f>IFERROR(__xludf.DUMMYFUNCTION("""COMPUTED_VALUE"""),"Lentes de STOCK")</f>
        <v>Lentes de STOCK</v>
      </c>
      <c r="E3118" s="1" t="str">
        <f>IFERROR(__xludf.DUMMYFUNCTION("""COMPUTED_VALUE"""),"RIVADAVIA Javier")</f>
        <v>RIVADAVIA Javier</v>
      </c>
      <c r="F3118" s="1" t="str">
        <f t="shared" si="1"/>
        <v>RIVADAVIA </v>
      </c>
      <c r="G3118" s="1" t="str">
        <f t="shared" si="2"/>
        <v>Javier</v>
      </c>
      <c r="H3118" s="1" t="str">
        <f>IFERROR(__xludf.DUMMYFUNCTION("""COMPUTED_VALUE"""),"13/3/2023, 17:00:00")</f>
        <v>13/3/2023, 17:00:00</v>
      </c>
      <c r="I3118" s="1" t="str">
        <f>IFERROR(__xludf.DUMMYFUNCTION("""COMPUTED_VALUE"""),"Completado en SUCURSAL")</f>
        <v>Completado en SUCURSAL</v>
      </c>
      <c r="J3118" s="1">
        <f t="shared" si="3"/>
        <v>5</v>
      </c>
      <c r="K3118" s="1" t="str">
        <f t="shared" si="4"/>
        <v>Tus Lentes estan LISTAS PARA ENTREGAR, te esperamos.</v>
      </c>
    </row>
    <row r="3119">
      <c r="A3119" s="1">
        <f>IFERROR(__xludf.DUMMYFUNCTION("""COMPUTED_VALUE"""),87664.0)</f>
        <v>87664</v>
      </c>
      <c r="B3119" s="5">
        <f>IFERROR(__xludf.DUMMYFUNCTION("""COMPUTED_VALUE"""),44993.80327456018)</f>
        <v>44993.80327</v>
      </c>
      <c r="C3119" s="1" t="str">
        <f>IFERROR(__xludf.DUMMYFUNCTION("""COMPUTED_VALUE"""),"HERRERA ANGIE")</f>
        <v>HERRERA ANGIE</v>
      </c>
      <c r="D3119" s="1" t="str">
        <f>IFERROR(__xludf.DUMMYFUNCTION("""COMPUTED_VALUE"""),"Reparaciones/Otros")</f>
        <v>Reparaciones/Otros</v>
      </c>
      <c r="E3119" s="1" t="str">
        <f>IFERROR(__xludf.DUMMYFUNCTION("""COMPUTED_VALUE"""),"RIVADAVIA Luciana")</f>
        <v>RIVADAVIA Luciana</v>
      </c>
      <c r="F3119" s="1" t="str">
        <f t="shared" si="1"/>
        <v>RIVADAVIA </v>
      </c>
      <c r="G3119" s="1" t="str">
        <f t="shared" si="2"/>
        <v>Luciana</v>
      </c>
      <c r="H3119" s="1" t="str">
        <f>IFERROR(__xludf.DUMMYFUNCTION("""COMPUTED_VALUE"""),"9/3/2023, 17:00:00")</f>
        <v>9/3/2023, 17:00:00</v>
      </c>
      <c r="I3119" s="1" t="str">
        <f>IFERROR(__xludf.DUMMYFUNCTION("""COMPUTED_VALUE"""),"Completado en SUCURSAL")</f>
        <v>Completado en SUCURSAL</v>
      </c>
      <c r="J3119" s="1">
        <f t="shared" si="3"/>
        <v>5</v>
      </c>
      <c r="K3119" s="1" t="str">
        <f t="shared" si="4"/>
        <v>Tus Lentes estan LISTAS PARA ENTREGAR, te esperamos.</v>
      </c>
    </row>
    <row r="3120">
      <c r="A3120" s="1">
        <f>IFERROR(__xludf.DUMMYFUNCTION("""COMPUTED_VALUE"""),87665.0)</f>
        <v>87665</v>
      </c>
      <c r="B3120" s="5">
        <f>IFERROR(__xludf.DUMMYFUNCTION("""COMPUTED_VALUE"""),44993.809674097225)</f>
        <v>44993.80967</v>
      </c>
      <c r="C3120" s="1" t="str">
        <f>IFERROR(__xludf.DUMMYFUNCTION("""COMPUTED_VALUE"""),"TAMAYO BAUZA CAMILA")</f>
        <v>TAMAYO BAUZA CAMILA</v>
      </c>
      <c r="D3120" s="1" t="str">
        <f>IFERROR(__xludf.DUMMYFUNCTION("""COMPUTED_VALUE"""),"Lentes de STOCK")</f>
        <v>Lentes de STOCK</v>
      </c>
      <c r="E3120" s="1" t="str">
        <f>IFERROR(__xludf.DUMMYFUNCTION("""COMPUTED_VALUE"""),"RIVADAVIA Luciana")</f>
        <v>RIVADAVIA Luciana</v>
      </c>
      <c r="F3120" s="1" t="str">
        <f t="shared" si="1"/>
        <v>RIVADAVIA </v>
      </c>
      <c r="G3120" s="1" t="str">
        <f t="shared" si="2"/>
        <v>Luciana</v>
      </c>
      <c r="H3120" s="1" t="str">
        <f>IFERROR(__xludf.DUMMYFUNCTION("""COMPUTED_VALUE"""),"13/3/2023, 17:00:00")</f>
        <v>13/3/2023, 17:00:00</v>
      </c>
      <c r="I3120" s="1" t="str">
        <f>IFERROR(__xludf.DUMMYFUNCTION("""COMPUTED_VALUE"""),"Completado en SUCURSAL")</f>
        <v>Completado en SUCURSAL</v>
      </c>
      <c r="J3120" s="1">
        <f t="shared" si="3"/>
        <v>5</v>
      </c>
      <c r="K3120" s="1" t="str">
        <f t="shared" si="4"/>
        <v>Tus Lentes estan LISTAS PARA ENTREGAR, te esperamos.</v>
      </c>
    </row>
    <row r="3121">
      <c r="A3121" s="1">
        <f>IFERROR(__xludf.DUMMYFUNCTION("""COMPUTED_VALUE"""),87666.0)</f>
        <v>87666</v>
      </c>
      <c r="B3121" s="5">
        <f>IFERROR(__xludf.DUMMYFUNCTION("""COMPUTED_VALUE"""),44993.813250879626)</f>
        <v>44993.81325</v>
      </c>
      <c r="C3121" s="1" t="str">
        <f>IFERROR(__xludf.DUMMYFUNCTION("""COMPUTED_VALUE"""),"BAUTA GLORIA")</f>
        <v>BAUTA GLORIA</v>
      </c>
      <c r="D3121" s="1" t="str">
        <f>IFERROR(__xludf.DUMMYFUNCTION("""COMPUTED_VALUE"""),"Lentes de STOCK")</f>
        <v>Lentes de STOCK</v>
      </c>
      <c r="E3121" s="1" t="str">
        <f>IFERROR(__xludf.DUMMYFUNCTION("""COMPUTED_VALUE"""),"RIVADAVIA Luciana")</f>
        <v>RIVADAVIA Luciana</v>
      </c>
      <c r="F3121" s="1" t="str">
        <f t="shared" si="1"/>
        <v>RIVADAVIA </v>
      </c>
      <c r="G3121" s="1" t="str">
        <f t="shared" si="2"/>
        <v>Luciana</v>
      </c>
      <c r="H3121" s="1" t="str">
        <f>IFERROR(__xludf.DUMMYFUNCTION("""COMPUTED_VALUE"""),"13/3/2023, 17:00:00")</f>
        <v>13/3/2023, 17:00:00</v>
      </c>
      <c r="I3121" s="1" t="str">
        <f>IFERROR(__xludf.DUMMYFUNCTION("""COMPUTED_VALUE"""),"Completado en SUCURSAL")</f>
        <v>Completado en SUCURSAL</v>
      </c>
      <c r="J3121" s="1">
        <f t="shared" si="3"/>
        <v>5</v>
      </c>
      <c r="K3121" s="1" t="str">
        <f t="shared" si="4"/>
        <v>Tus Lentes estan LISTAS PARA ENTREGAR, te esperamos.</v>
      </c>
    </row>
    <row r="3122">
      <c r="A3122" s="1">
        <f>IFERROR(__xludf.DUMMYFUNCTION("""COMPUTED_VALUE"""),87667.0)</f>
        <v>87667</v>
      </c>
      <c r="B3122" s="5">
        <f>IFERROR(__xludf.DUMMYFUNCTION("""COMPUTED_VALUE"""),44993.81761614583)</f>
        <v>44993.81762</v>
      </c>
      <c r="C3122" s="1" t="str">
        <f>IFERROR(__xludf.DUMMYFUNCTION("""COMPUTED_VALUE"""),"RIVAS IRENE")</f>
        <v>RIVAS IRENE</v>
      </c>
      <c r="D3122" s="1" t="str">
        <f>IFERROR(__xludf.DUMMYFUNCTION("""COMPUTED_VALUE"""),"Lentes BIFOCALES")</f>
        <v>Lentes BIFOCALES</v>
      </c>
      <c r="E3122" s="1" t="str">
        <f>IFERROR(__xludf.DUMMYFUNCTION("""COMPUTED_VALUE"""),"RIVADAVIA Santiago N")</f>
        <v>RIVADAVIA Santiago N</v>
      </c>
      <c r="F3122" s="1" t="str">
        <f t="shared" si="1"/>
        <v>RIVADAVIA </v>
      </c>
      <c r="G3122" s="1" t="str">
        <f t="shared" si="2"/>
        <v>Santiago N</v>
      </c>
      <c r="H3122" s="1" t="str">
        <f>IFERROR(__xludf.DUMMYFUNCTION("""COMPUTED_VALUE"""),"11/3/2023, 17:00:00")</f>
        <v>11/3/2023, 17:00:00</v>
      </c>
      <c r="I3122" s="1" t="str">
        <f>IFERROR(__xludf.DUMMYFUNCTION("""COMPUTED_VALUE"""),"Completado en SUCURSAL")</f>
        <v>Completado en SUCURSAL</v>
      </c>
      <c r="J3122" s="1">
        <f t="shared" si="3"/>
        <v>5</v>
      </c>
      <c r="K3122" s="1" t="str">
        <f t="shared" si="4"/>
        <v>Tus Lentes estan LISTAS PARA ENTREGAR, te esperamos.</v>
      </c>
    </row>
    <row r="3123">
      <c r="A3123" s="1">
        <f>IFERROR(__xludf.DUMMYFUNCTION("""COMPUTED_VALUE"""),87668.0)</f>
        <v>87668</v>
      </c>
      <c r="B3123" s="5">
        <f>IFERROR(__xludf.DUMMYFUNCTION("""COMPUTED_VALUE"""),44993.82073229167)</f>
        <v>44993.82073</v>
      </c>
      <c r="C3123" s="1" t="str">
        <f>IFERROR(__xludf.DUMMYFUNCTION("""COMPUTED_VALUE"""),"ZABALA ROMEO SANTINO")</f>
        <v>ZABALA ROMEO SANTINO</v>
      </c>
      <c r="D3123" s="1" t="str">
        <f>IFERROR(__xludf.DUMMYFUNCTION("""COMPUTED_VALUE"""),"Lentes de STOCK")</f>
        <v>Lentes de STOCK</v>
      </c>
      <c r="E3123" s="1" t="str">
        <f>IFERROR(__xludf.DUMMYFUNCTION("""COMPUTED_VALUE"""),"RIVADAVIA Javier")</f>
        <v>RIVADAVIA Javier</v>
      </c>
      <c r="F3123" s="1" t="str">
        <f t="shared" si="1"/>
        <v>RIVADAVIA </v>
      </c>
      <c r="G3123" s="1" t="str">
        <f t="shared" si="2"/>
        <v>Javier</v>
      </c>
      <c r="H3123" s="1" t="str">
        <f>IFERROR(__xludf.DUMMYFUNCTION("""COMPUTED_VALUE"""),"10/3/2023, 17:00:00")</f>
        <v>10/3/2023, 17:00:00</v>
      </c>
      <c r="I3123" s="1" t="str">
        <f>IFERROR(__xludf.DUMMYFUNCTION("""COMPUTED_VALUE"""),"Completado en SUCURSAL")</f>
        <v>Completado en SUCURSAL</v>
      </c>
      <c r="J3123" s="1">
        <f t="shared" si="3"/>
        <v>5</v>
      </c>
      <c r="K3123" s="1" t="str">
        <f t="shared" si="4"/>
        <v>Tus Lentes estan LISTAS PARA ENTREGAR, te esperamos.</v>
      </c>
    </row>
    <row r="3124">
      <c r="A3124" s="1">
        <f>IFERROR(__xludf.DUMMYFUNCTION("""COMPUTED_VALUE"""),87669.0)</f>
        <v>87669</v>
      </c>
      <c r="B3124" s="5">
        <f>IFERROR(__xludf.DUMMYFUNCTION("""COMPUTED_VALUE"""),44993.82422123842)</f>
        <v>44993.82422</v>
      </c>
      <c r="C3124" s="1" t="str">
        <f>IFERROR(__xludf.DUMMYFUNCTION("""COMPUTED_VALUE"""),"DIAZ SOSA SILVIA")</f>
        <v>DIAZ SOSA SILVIA</v>
      </c>
      <c r="D3124" s="1" t="str">
        <f>IFERROR(__xludf.DUMMYFUNCTION("""COMPUTED_VALUE"""),"Lentes de STOCK")</f>
        <v>Lentes de STOCK</v>
      </c>
      <c r="E3124" s="1" t="str">
        <f>IFERROR(__xludf.DUMMYFUNCTION("""COMPUTED_VALUE"""),"ARTIGAS Ivana P.")</f>
        <v>ARTIGAS Ivana P.</v>
      </c>
      <c r="F3124" s="1" t="str">
        <f t="shared" si="1"/>
        <v>ARTIGAS </v>
      </c>
      <c r="G3124" s="1" t="str">
        <f t="shared" si="2"/>
        <v>Ivana P.</v>
      </c>
      <c r="H3124" s="1" t="str">
        <f>IFERROR(__xludf.DUMMYFUNCTION("""COMPUTED_VALUE"""),"11/3/2023, 17:00:00")</f>
        <v>11/3/2023, 17:00:00</v>
      </c>
      <c r="I3124" s="1" t="str">
        <f>IFERROR(__xludf.DUMMYFUNCTION("""COMPUTED_VALUE"""),"Completado en SUCURSAL")</f>
        <v>Completado en SUCURSAL</v>
      </c>
      <c r="J3124" s="1">
        <f t="shared" si="3"/>
        <v>5</v>
      </c>
      <c r="K3124" s="1" t="str">
        <f t="shared" si="4"/>
        <v>Tus Lentes estan LISTAS PARA ENTREGAR, te esperamos.</v>
      </c>
    </row>
    <row r="3125">
      <c r="A3125" s="1">
        <f>IFERROR(__xludf.DUMMYFUNCTION("""COMPUTED_VALUE"""),87670.0)</f>
        <v>87670</v>
      </c>
      <c r="B3125" s="5">
        <f>IFERROR(__xludf.DUMMYFUNCTION("""COMPUTED_VALUE"""),44993.851700914354)</f>
        <v>44993.8517</v>
      </c>
      <c r="C3125" s="1" t="str">
        <f>IFERROR(__xludf.DUMMYFUNCTION("""COMPUTED_VALUE"""),"CHOCR LEYLA")</f>
        <v>CHOCR LEYLA</v>
      </c>
      <c r="D3125" s="1" t="str">
        <f>IFERROR(__xludf.DUMMYFUNCTION("""COMPUTED_VALUE"""),"Lentes de STOCK")</f>
        <v>Lentes de STOCK</v>
      </c>
      <c r="E3125" s="1" t="str">
        <f>IFERROR(__xludf.DUMMYFUNCTION("""COMPUTED_VALUE"""),"RIVADAVIA Luciana")</f>
        <v>RIVADAVIA Luciana</v>
      </c>
      <c r="F3125" s="1" t="str">
        <f t="shared" si="1"/>
        <v>RIVADAVIA </v>
      </c>
      <c r="G3125" s="1" t="str">
        <f t="shared" si="2"/>
        <v>Luciana</v>
      </c>
      <c r="H3125" s="1" t="str">
        <f>IFERROR(__xludf.DUMMYFUNCTION("""COMPUTED_VALUE"""),"20/3/2023, 17:00:00")</f>
        <v>20/3/2023, 17:00:00</v>
      </c>
      <c r="I3125" s="1" t="str">
        <f>IFERROR(__xludf.DUMMYFUNCTION("""COMPUTED_VALUE"""),"RETIRADO OK POR CLIENTE")</f>
        <v>RETIRADO OK POR CLIENTE</v>
      </c>
      <c r="J3125" s="1">
        <f t="shared" si="3"/>
        <v>6</v>
      </c>
      <c r="K3125" s="1" t="str">
        <f t="shared" si="4"/>
        <v>Entregamos tus lentes, que los disfrutes!</v>
      </c>
    </row>
    <row r="3126">
      <c r="A3126" s="1">
        <f>IFERROR(__xludf.DUMMYFUNCTION("""COMPUTED_VALUE"""),87671.0)</f>
        <v>87671</v>
      </c>
      <c r="B3126" s="5">
        <f>IFERROR(__xludf.DUMMYFUNCTION("""COMPUTED_VALUE"""),44994.37634394676)</f>
        <v>44994.37634</v>
      </c>
      <c r="C3126" s="1" t="str">
        <f>IFERROR(__xludf.DUMMYFUNCTION("""COMPUTED_VALUE"""),"BAIGORRIA CARLOS / COLGATE")</f>
        <v>BAIGORRIA CARLOS / COLGATE</v>
      </c>
      <c r="D3126" s="1" t="str">
        <f>IFERROR(__xludf.DUMMYFUNCTION("""COMPUTED_VALUE"""),"Lentes MULTIFOCALES")</f>
        <v>Lentes MULTIFOCALES</v>
      </c>
      <c r="E3126" s="1" t="str">
        <f>IFERROR(__xludf.DUMMYFUNCTION("""COMPUTED_VALUE"""),"ARTIGAS Ivana P.")</f>
        <v>ARTIGAS Ivana P.</v>
      </c>
      <c r="F3126" s="1" t="str">
        <f t="shared" si="1"/>
        <v>ARTIGAS </v>
      </c>
      <c r="G3126" s="1" t="str">
        <f t="shared" si="2"/>
        <v>Ivana P.</v>
      </c>
      <c r="H3126" s="1" t="str">
        <f>IFERROR(__xludf.DUMMYFUNCTION("""COMPUTED_VALUE"""),"15/3/2023, 17:00:00")</f>
        <v>15/3/2023, 17:00:00</v>
      </c>
      <c r="I3126" s="1" t="str">
        <f>IFERROR(__xludf.DUMMYFUNCTION("""COMPUTED_VALUE"""),"Completado en SUCURSAL")</f>
        <v>Completado en SUCURSAL</v>
      </c>
      <c r="J3126" s="1">
        <f t="shared" si="3"/>
        <v>5</v>
      </c>
      <c r="K3126" s="1" t="str">
        <f t="shared" si="4"/>
        <v>Tus Lentes estan LISTAS PARA ENTREGAR, te esperamos.</v>
      </c>
    </row>
    <row r="3127">
      <c r="A3127" s="1">
        <f>IFERROR(__xludf.DUMMYFUNCTION("""COMPUTED_VALUE"""),87672.0)</f>
        <v>87672</v>
      </c>
      <c r="B3127" s="5">
        <f>IFERROR(__xludf.DUMMYFUNCTION("""COMPUTED_VALUE"""),44994.3786003125)</f>
        <v>44994.3786</v>
      </c>
      <c r="C3127" s="1" t="str">
        <f>IFERROR(__xludf.DUMMYFUNCTION("""COMPUTED_VALUE"""),"ALCARAZ CELESTE")</f>
        <v>ALCARAZ CELESTE</v>
      </c>
      <c r="D3127" s="1" t="str">
        <f>IFERROR(__xludf.DUMMYFUNCTION("""COMPUTED_VALUE"""),"Lentes de STOCK")</f>
        <v>Lentes de STOCK</v>
      </c>
      <c r="E3127" s="1" t="str">
        <f>IFERROR(__xludf.DUMMYFUNCTION("""COMPUTED_VALUE"""),"RIVADAVIA Daniel CM")</f>
        <v>RIVADAVIA Daniel CM</v>
      </c>
      <c r="F3127" s="1" t="str">
        <f t="shared" si="1"/>
        <v>RIVADAVIA </v>
      </c>
      <c r="G3127" s="1" t="str">
        <f t="shared" si="2"/>
        <v>Daniel CM</v>
      </c>
      <c r="H3127" s="1" t="str">
        <f>IFERROR(__xludf.DUMMYFUNCTION("""COMPUTED_VALUE"""),"13/3/2023, 17:00:00")</f>
        <v>13/3/2023, 17:00:00</v>
      </c>
      <c r="I3127" s="1" t="str">
        <f>IFERROR(__xludf.DUMMYFUNCTION("""COMPUTED_VALUE"""),"Completado en SUCURSAL")</f>
        <v>Completado en SUCURSAL</v>
      </c>
      <c r="J3127" s="1">
        <f t="shared" si="3"/>
        <v>5</v>
      </c>
      <c r="K3127" s="1" t="str">
        <f t="shared" si="4"/>
        <v>Tus Lentes estan LISTAS PARA ENTREGAR, te esperamos.</v>
      </c>
    </row>
    <row r="3128">
      <c r="A3128" s="1">
        <f>IFERROR(__xludf.DUMMYFUNCTION("""COMPUTED_VALUE"""),87673.0)</f>
        <v>87673</v>
      </c>
      <c r="B3128" s="5">
        <f>IFERROR(__xludf.DUMMYFUNCTION("""COMPUTED_VALUE"""),44994.38816837963)</f>
        <v>44994.38817</v>
      </c>
      <c r="C3128" s="1" t="str">
        <f>IFERROR(__xludf.DUMMYFUNCTION("""COMPUTED_VALUE"""),"FERRIERES NATALIA")</f>
        <v>FERRIERES NATALIA</v>
      </c>
      <c r="D3128" s="1" t="str">
        <f>IFERROR(__xludf.DUMMYFUNCTION("""COMPUTED_VALUE"""),"Lentes de STOCK")</f>
        <v>Lentes de STOCK</v>
      </c>
      <c r="E3128" s="1" t="str">
        <f>IFERROR(__xludf.DUMMYFUNCTION("""COMPUTED_VALUE"""),"RIVADAVIA Santiago N")</f>
        <v>RIVADAVIA Santiago N</v>
      </c>
      <c r="F3128" s="1" t="str">
        <f t="shared" si="1"/>
        <v>RIVADAVIA </v>
      </c>
      <c r="G3128" s="1" t="str">
        <f t="shared" si="2"/>
        <v>Santiago N</v>
      </c>
      <c r="H3128" s="1" t="str">
        <f>IFERROR(__xludf.DUMMYFUNCTION("""COMPUTED_VALUE"""),"11/3/2023, 17:00:00")</f>
        <v>11/3/2023, 17:00:00</v>
      </c>
      <c r="I3128" s="1" t="str">
        <f>IFERROR(__xludf.DUMMYFUNCTION("""COMPUTED_VALUE"""),"Completado en SUCURSAL")</f>
        <v>Completado en SUCURSAL</v>
      </c>
      <c r="J3128" s="1">
        <f t="shared" si="3"/>
        <v>5</v>
      </c>
      <c r="K3128" s="1" t="str">
        <f t="shared" si="4"/>
        <v>Tus Lentes estan LISTAS PARA ENTREGAR, te esperamos.</v>
      </c>
    </row>
    <row r="3129">
      <c r="A3129" s="1">
        <f>IFERROR(__xludf.DUMMYFUNCTION("""COMPUTED_VALUE"""),87674.0)</f>
        <v>87674</v>
      </c>
      <c r="B3129" s="5">
        <f>IFERROR(__xludf.DUMMYFUNCTION("""COMPUTED_VALUE"""),44994.40270460648)</f>
        <v>44994.4027</v>
      </c>
      <c r="C3129" s="1" t="str">
        <f>IFERROR(__xludf.DUMMYFUNCTION("""COMPUTED_VALUE"""),"BUSS MARIA VALERIA")</f>
        <v>BUSS MARIA VALERIA</v>
      </c>
      <c r="D3129" s="1" t="str">
        <f>IFERROR(__xludf.DUMMYFUNCTION("""COMPUTED_VALUE"""),"Lentes de STOCK")</f>
        <v>Lentes de STOCK</v>
      </c>
      <c r="E3129" s="1" t="str">
        <f>IFERROR(__xludf.DUMMYFUNCTION("""COMPUTED_VALUE"""),"RIVADAVIA Marcela L")</f>
        <v>RIVADAVIA Marcela L</v>
      </c>
      <c r="F3129" s="1" t="str">
        <f t="shared" si="1"/>
        <v>RIVADAVIA </v>
      </c>
      <c r="G3129" s="1" t="str">
        <f t="shared" si="2"/>
        <v>Marcela L</v>
      </c>
      <c r="H3129" s="1" t="str">
        <f>IFERROR(__xludf.DUMMYFUNCTION("""COMPUTED_VALUE"""),"15/3/2023, 17:00:00")</f>
        <v>15/3/2023, 17:00:00</v>
      </c>
      <c r="I3129" s="1" t="str">
        <f>IFERROR(__xludf.DUMMYFUNCTION("""COMPUTED_VALUE"""),"Completado en SUCURSAL")</f>
        <v>Completado en SUCURSAL</v>
      </c>
      <c r="J3129" s="1">
        <f t="shared" si="3"/>
        <v>5</v>
      </c>
      <c r="K3129" s="1" t="str">
        <f t="shared" si="4"/>
        <v>Tus Lentes estan LISTAS PARA ENTREGAR, te esperamos.</v>
      </c>
    </row>
    <row r="3130">
      <c r="A3130" s="1">
        <f>IFERROR(__xludf.DUMMYFUNCTION("""COMPUTED_VALUE"""),87675.0)</f>
        <v>87675</v>
      </c>
      <c r="B3130" s="5">
        <f>IFERROR(__xludf.DUMMYFUNCTION("""COMPUTED_VALUE"""),44994.4061234375)</f>
        <v>44994.40612</v>
      </c>
      <c r="C3130" s="1" t="str">
        <f>IFERROR(__xludf.DUMMYFUNCTION("""COMPUTED_VALUE"""),"CORNELIS SABINA CAROLA")</f>
        <v>CORNELIS SABINA CAROLA</v>
      </c>
      <c r="D3130" s="1" t="str">
        <f>IFERROR(__xludf.DUMMYFUNCTION("""COMPUTED_VALUE"""),"Lentes de STOCK")</f>
        <v>Lentes de STOCK</v>
      </c>
      <c r="E3130" s="1" t="str">
        <f>IFERROR(__xludf.DUMMYFUNCTION("""COMPUTED_VALUE"""),"RIVADAVIA Christian C.")</f>
        <v>RIVADAVIA Christian C.</v>
      </c>
      <c r="F3130" s="1" t="str">
        <f t="shared" si="1"/>
        <v>RIVADAVIA </v>
      </c>
      <c r="G3130" s="1" t="str">
        <f t="shared" si="2"/>
        <v>Christian C.</v>
      </c>
      <c r="H3130" s="1" t="str">
        <f>IFERROR(__xludf.DUMMYFUNCTION("""COMPUTED_VALUE"""),"14/3/2023, 17:00:00")</f>
        <v>14/3/2023, 17:00:00</v>
      </c>
      <c r="I3130" s="1" t="str">
        <f>IFERROR(__xludf.DUMMYFUNCTION("""COMPUTED_VALUE"""),"Completado en SUCURSAL")</f>
        <v>Completado en SUCURSAL</v>
      </c>
      <c r="J3130" s="1">
        <f t="shared" si="3"/>
        <v>5</v>
      </c>
      <c r="K3130" s="1" t="str">
        <f t="shared" si="4"/>
        <v>Tus Lentes estan LISTAS PARA ENTREGAR, te esperamos.</v>
      </c>
    </row>
    <row r="3131">
      <c r="A3131" s="1">
        <f>IFERROR(__xludf.DUMMYFUNCTION("""COMPUTED_VALUE"""),87676.0)</f>
        <v>87676</v>
      </c>
      <c r="B3131" s="5">
        <f>IFERROR(__xludf.DUMMYFUNCTION("""COMPUTED_VALUE"""),44994.40633726852)</f>
        <v>44994.40634</v>
      </c>
      <c r="C3131" s="1" t="str">
        <f>IFERROR(__xludf.DUMMYFUNCTION("""COMPUTED_VALUE"""),"SOLFATE AMADA")</f>
        <v>SOLFATE AMADA</v>
      </c>
      <c r="D3131" s="1" t="str">
        <f>IFERROR(__xludf.DUMMYFUNCTION("""COMPUTED_VALUE"""),"Lentes de STOCK")</f>
        <v>Lentes de STOCK</v>
      </c>
      <c r="E3131" s="1" t="str">
        <f>IFERROR(__xludf.DUMMYFUNCTION("""COMPUTED_VALUE"""),"RIVADAVIA Santiago N")</f>
        <v>RIVADAVIA Santiago N</v>
      </c>
      <c r="F3131" s="1" t="str">
        <f t="shared" si="1"/>
        <v>RIVADAVIA </v>
      </c>
      <c r="G3131" s="1" t="str">
        <f t="shared" si="2"/>
        <v>Santiago N</v>
      </c>
      <c r="H3131" s="1" t="str">
        <f>IFERROR(__xludf.DUMMYFUNCTION("""COMPUTED_VALUE"""),"13/3/2023, 17:00:00")</f>
        <v>13/3/2023, 17:00:00</v>
      </c>
      <c r="I3131" s="1" t="str">
        <f>IFERROR(__xludf.DUMMYFUNCTION("""COMPUTED_VALUE"""),"Completado en SUCURSAL")</f>
        <v>Completado en SUCURSAL</v>
      </c>
      <c r="J3131" s="1">
        <f t="shared" si="3"/>
        <v>5</v>
      </c>
      <c r="K3131" s="1" t="str">
        <f t="shared" si="4"/>
        <v>Tus Lentes estan LISTAS PARA ENTREGAR, te esperamos.</v>
      </c>
    </row>
    <row r="3132">
      <c r="A3132" s="1">
        <f>IFERROR(__xludf.DUMMYFUNCTION("""COMPUTED_VALUE"""),87677.0)</f>
        <v>87677</v>
      </c>
      <c r="B3132" s="5">
        <f>IFERROR(__xludf.DUMMYFUNCTION("""COMPUTED_VALUE"""),44994.407909155096)</f>
        <v>44994.40791</v>
      </c>
      <c r="C3132" s="1" t="str">
        <f>IFERROR(__xludf.DUMMYFUNCTION("""COMPUTED_VALUE"""),"BUSTO EDUARDO")</f>
        <v>BUSTO EDUARDO</v>
      </c>
      <c r="D3132" s="1" t="str">
        <f>IFERROR(__xludf.DUMMYFUNCTION("""COMPUTED_VALUE"""),"Lentes de LABORATORIO")</f>
        <v>Lentes de LABORATORIO</v>
      </c>
      <c r="E3132" s="1" t="str">
        <f>IFERROR(__xludf.DUMMYFUNCTION("""COMPUTED_VALUE"""),"ARTIGAS Roció")</f>
        <v>ARTIGAS Roció</v>
      </c>
      <c r="F3132" s="1" t="str">
        <f t="shared" si="1"/>
        <v>ARTIGAS </v>
      </c>
      <c r="G3132" s="1" t="str">
        <f t="shared" si="2"/>
        <v>Roció</v>
      </c>
      <c r="H3132" s="1" t="str">
        <f>IFERROR(__xludf.DUMMYFUNCTION("""COMPUTED_VALUE"""),"17/3/2023, 17:00:00")</f>
        <v>17/3/2023, 17:00:00</v>
      </c>
      <c r="I3132" s="1"/>
      <c r="J3132" s="1">
        <f t="shared" si="3"/>
        <v>0</v>
      </c>
      <c r="K3132" s="1" t="str">
        <f t="shared" si="4"/>
        <v/>
      </c>
    </row>
    <row r="3133">
      <c r="A3133" s="1">
        <f>IFERROR(__xludf.DUMMYFUNCTION("""COMPUTED_VALUE"""),87678.0)</f>
        <v>87678</v>
      </c>
      <c r="B3133" s="5">
        <f>IFERROR(__xludf.DUMMYFUNCTION("""COMPUTED_VALUE"""),44994.41236996528)</f>
        <v>44994.41237</v>
      </c>
      <c r="C3133" s="1" t="str">
        <f>IFERROR(__xludf.DUMMYFUNCTION("""COMPUTED_VALUE"""),"RUSCONI MERCEDES ALICIA")</f>
        <v>RUSCONI MERCEDES ALICIA</v>
      </c>
      <c r="D3133" s="1" t="str">
        <f>IFERROR(__xludf.DUMMYFUNCTION("""COMPUTED_VALUE"""),"Lentes BIFOCALES")</f>
        <v>Lentes BIFOCALES</v>
      </c>
      <c r="E3133" s="1" t="str">
        <f>IFERROR(__xludf.DUMMYFUNCTION("""COMPUTED_VALUE"""),"RIVADAVIA Santiago LOPEZ")</f>
        <v>RIVADAVIA Santiago LOPEZ</v>
      </c>
      <c r="F3133" s="1" t="str">
        <f t="shared" si="1"/>
        <v>RIVADAVIA </v>
      </c>
      <c r="G3133" s="1" t="str">
        <f t="shared" si="2"/>
        <v>Santiago LOPEZ</v>
      </c>
      <c r="H3133" s="1" t="str">
        <f>IFERROR(__xludf.DUMMYFUNCTION("""COMPUTED_VALUE"""),"14/3/2023, 17:00:00")</f>
        <v>14/3/2023, 17:00:00</v>
      </c>
      <c r="I3133" s="1" t="str">
        <f>IFERROR(__xludf.DUMMYFUNCTION("""COMPUTED_VALUE"""),"Completado en SUCURSAL")</f>
        <v>Completado en SUCURSAL</v>
      </c>
      <c r="J3133" s="1">
        <f t="shared" si="3"/>
        <v>5</v>
      </c>
      <c r="K3133" s="1" t="str">
        <f t="shared" si="4"/>
        <v>Tus Lentes estan LISTAS PARA ENTREGAR, te esperamos.</v>
      </c>
    </row>
    <row r="3134">
      <c r="A3134" s="1">
        <f>IFERROR(__xludf.DUMMYFUNCTION("""COMPUTED_VALUE"""),87679.0)</f>
        <v>87679</v>
      </c>
      <c r="B3134" s="5">
        <f>IFERROR(__xludf.DUMMYFUNCTION("""COMPUTED_VALUE"""),44994.41266233796)</f>
        <v>44994.41266</v>
      </c>
      <c r="C3134" s="1" t="str">
        <f>IFERROR(__xludf.DUMMYFUNCTION("""COMPUTED_VALUE"""),"BUSTO EDUARDO")</f>
        <v>BUSTO EDUARDO</v>
      </c>
      <c r="D3134" s="1" t="str">
        <f>IFERROR(__xludf.DUMMYFUNCTION("""COMPUTED_VALUE"""),"Lentes de LABORATORIO")</f>
        <v>Lentes de LABORATORIO</v>
      </c>
      <c r="E3134" s="1" t="str">
        <f>IFERROR(__xludf.DUMMYFUNCTION("""COMPUTED_VALUE"""),"ARTIGAS Roció")</f>
        <v>ARTIGAS Roció</v>
      </c>
      <c r="F3134" s="1" t="str">
        <f t="shared" si="1"/>
        <v>ARTIGAS </v>
      </c>
      <c r="G3134" s="1" t="str">
        <f t="shared" si="2"/>
        <v>Roció</v>
      </c>
      <c r="H3134" s="1" t="str">
        <f>IFERROR(__xludf.DUMMYFUNCTION("""COMPUTED_VALUE"""),"27/3/2023, 17:00:00")</f>
        <v>27/3/2023, 17:00:00</v>
      </c>
      <c r="I3134" s="1" t="str">
        <f>IFERROR(__xludf.DUMMYFUNCTION("""COMPUTED_VALUE"""),"RETIRADO OK POR CLIENTE")</f>
        <v>RETIRADO OK POR CLIENTE</v>
      </c>
      <c r="J3134" s="1">
        <f t="shared" si="3"/>
        <v>6</v>
      </c>
      <c r="K3134" s="1" t="str">
        <f t="shared" si="4"/>
        <v>Entregamos tus lentes, que los disfrutes!</v>
      </c>
    </row>
    <row r="3135">
      <c r="A3135" s="1">
        <f>IFERROR(__xludf.DUMMYFUNCTION("""COMPUTED_VALUE"""),87680.0)</f>
        <v>87680</v>
      </c>
      <c r="B3135" s="5">
        <f>IFERROR(__xludf.DUMMYFUNCTION("""COMPUTED_VALUE"""),44994.41460024306)</f>
        <v>44994.4146</v>
      </c>
      <c r="C3135" s="1" t="str">
        <f>IFERROR(__xludf.DUMMYFUNCTION("""COMPUTED_VALUE"""),"LOPEZ SAIRA")</f>
        <v>LOPEZ SAIRA</v>
      </c>
      <c r="D3135" s="1" t="str">
        <f>IFERROR(__xludf.DUMMYFUNCTION("""COMPUTED_VALUE"""),"Lentes de STOCK")</f>
        <v>Lentes de STOCK</v>
      </c>
      <c r="E3135" s="1" t="str">
        <f>IFERROR(__xludf.DUMMYFUNCTION("""COMPUTED_VALUE"""),"ARTIGAS Ivana P.")</f>
        <v>ARTIGAS Ivana P.</v>
      </c>
      <c r="F3135" s="1" t="str">
        <f t="shared" si="1"/>
        <v>ARTIGAS </v>
      </c>
      <c r="G3135" s="1" t="str">
        <f t="shared" si="2"/>
        <v>Ivana P.</v>
      </c>
      <c r="H3135" s="1" t="str">
        <f>IFERROR(__xludf.DUMMYFUNCTION("""COMPUTED_VALUE"""),"14/3/2023, 17:00:00")</f>
        <v>14/3/2023, 17:00:00</v>
      </c>
      <c r="I3135" s="1" t="str">
        <f>IFERROR(__xludf.DUMMYFUNCTION("""COMPUTED_VALUE"""),"Completado en SUCURSAL")</f>
        <v>Completado en SUCURSAL</v>
      </c>
      <c r="J3135" s="1">
        <f t="shared" si="3"/>
        <v>5</v>
      </c>
      <c r="K3135" s="1" t="str">
        <f t="shared" si="4"/>
        <v>Tus Lentes estan LISTAS PARA ENTREGAR, te esperamos.</v>
      </c>
    </row>
    <row r="3136">
      <c r="A3136" s="1">
        <f>IFERROR(__xludf.DUMMYFUNCTION("""COMPUTED_VALUE"""),87681.0)</f>
        <v>87681</v>
      </c>
      <c r="B3136" s="5">
        <f>IFERROR(__xludf.DUMMYFUNCTION("""COMPUTED_VALUE"""),44994.41870275463)</f>
        <v>44994.4187</v>
      </c>
      <c r="C3136" s="1" t="str">
        <f>IFERROR(__xludf.DUMMYFUNCTION("""COMPUTED_VALUE"""),"VILLALVA HORACIO EDUARDO")</f>
        <v>VILLALVA HORACIO EDUARDO</v>
      </c>
      <c r="D3136" s="1" t="str">
        <f>IFERROR(__xludf.DUMMYFUNCTION("""COMPUTED_VALUE"""),"Lentes de STOCK")</f>
        <v>Lentes de STOCK</v>
      </c>
      <c r="E3136" s="1" t="str">
        <f>IFERROR(__xludf.DUMMYFUNCTION("""COMPUTED_VALUE"""),"RIVADAVIA Santiago N")</f>
        <v>RIVADAVIA Santiago N</v>
      </c>
      <c r="F3136" s="1" t="str">
        <f t="shared" si="1"/>
        <v>RIVADAVIA </v>
      </c>
      <c r="G3136" s="1" t="str">
        <f t="shared" si="2"/>
        <v>Santiago N</v>
      </c>
      <c r="H3136" s="1" t="str">
        <f>IFERROR(__xludf.DUMMYFUNCTION("""COMPUTED_VALUE"""),"11/3/2023, 17:00:00")</f>
        <v>11/3/2023, 17:00:00</v>
      </c>
      <c r="I3136" s="1" t="str">
        <f>IFERROR(__xludf.DUMMYFUNCTION("""COMPUTED_VALUE"""),"Completado en SUCURSAL")</f>
        <v>Completado en SUCURSAL</v>
      </c>
      <c r="J3136" s="1">
        <f t="shared" si="3"/>
        <v>5</v>
      </c>
      <c r="K3136" s="1" t="str">
        <f t="shared" si="4"/>
        <v>Tus Lentes estan LISTAS PARA ENTREGAR, te esperamos.</v>
      </c>
    </row>
    <row r="3137">
      <c r="A3137" s="1">
        <f>IFERROR(__xludf.DUMMYFUNCTION("""COMPUTED_VALUE"""),87682.0)</f>
        <v>87682</v>
      </c>
      <c r="B3137" s="5">
        <f>IFERROR(__xludf.DUMMYFUNCTION("""COMPUTED_VALUE"""),44994.4234684838)</f>
        <v>44994.42347</v>
      </c>
      <c r="C3137" s="1" t="str">
        <f>IFERROR(__xludf.DUMMYFUNCTION("""COMPUTED_VALUE"""),"Miranda Hemir")</f>
        <v>Miranda Hemir</v>
      </c>
      <c r="D3137" s="1" t="str">
        <f>IFERROR(__xludf.DUMMYFUNCTION("""COMPUTED_VALUE"""),"Reparaciones/Otros")</f>
        <v>Reparaciones/Otros</v>
      </c>
      <c r="E3137" s="1" t="str">
        <f>IFERROR(__xludf.DUMMYFUNCTION("""COMPUTED_VALUE"""),"ARTIGAS Sandra G")</f>
        <v>ARTIGAS Sandra G</v>
      </c>
      <c r="F3137" s="1" t="str">
        <f t="shared" si="1"/>
        <v>ARTIGAS </v>
      </c>
      <c r="G3137" s="1" t="str">
        <f t="shared" si="2"/>
        <v>Sandra G</v>
      </c>
      <c r="H3137" s="1" t="str">
        <f>IFERROR(__xludf.DUMMYFUNCTION("""COMPUTED_VALUE"""),"10/3/2023, 17:00:00")</f>
        <v>10/3/2023, 17:00:00</v>
      </c>
      <c r="I3137" s="1" t="str">
        <f>IFERROR(__xludf.DUMMYFUNCTION("""COMPUTED_VALUE"""),"Recibido en Laboratorio")</f>
        <v>Recibido en Laboratorio</v>
      </c>
      <c r="J3137" s="1">
        <f t="shared" si="3"/>
        <v>2</v>
      </c>
      <c r="K3137" s="1" t="str">
        <f t="shared" si="4"/>
        <v>Nuestro Laboratorio esta trabajando en tus lentes, los entregaremos en la fecha acordada.</v>
      </c>
    </row>
    <row r="3138">
      <c r="A3138" s="1">
        <f>IFERROR(__xludf.DUMMYFUNCTION("""COMPUTED_VALUE"""),87683.0)</f>
        <v>87683</v>
      </c>
      <c r="B3138" s="5">
        <f>IFERROR(__xludf.DUMMYFUNCTION("""COMPUTED_VALUE"""),44994.424308263886)</f>
        <v>44994.42431</v>
      </c>
      <c r="C3138" s="1" t="str">
        <f>IFERROR(__xludf.DUMMYFUNCTION("""COMPUTED_VALUE"""),"CABAÑEZ MARIA ALICIA")</f>
        <v>CABAÑEZ MARIA ALICIA</v>
      </c>
      <c r="D3138" s="1" t="str">
        <f>IFERROR(__xludf.DUMMYFUNCTION("""COMPUTED_VALUE"""),"Lentes BIFOCALES")</f>
        <v>Lentes BIFOCALES</v>
      </c>
      <c r="E3138" s="1" t="str">
        <f>IFERROR(__xludf.DUMMYFUNCTION("""COMPUTED_VALUE"""),"ARTIGAS Roció")</f>
        <v>ARTIGAS Roció</v>
      </c>
      <c r="F3138" s="1" t="str">
        <f t="shared" si="1"/>
        <v>ARTIGAS </v>
      </c>
      <c r="G3138" s="1" t="str">
        <f t="shared" si="2"/>
        <v>Roció</v>
      </c>
      <c r="H3138" s="1" t="str">
        <f>IFERROR(__xludf.DUMMYFUNCTION("""COMPUTED_VALUE"""),"20/3/2023, 17:00:00")</f>
        <v>20/3/2023, 17:00:00</v>
      </c>
      <c r="I3138" s="1" t="str">
        <f>IFERROR(__xludf.DUMMYFUNCTION("""COMPUTED_VALUE"""),"Completado en SUCURSAL")</f>
        <v>Completado en SUCURSAL</v>
      </c>
      <c r="J3138" s="1">
        <f t="shared" si="3"/>
        <v>5</v>
      </c>
      <c r="K3138" s="1" t="str">
        <f t="shared" si="4"/>
        <v>Tus Lentes estan LISTAS PARA ENTREGAR, te esperamos.</v>
      </c>
    </row>
    <row r="3139">
      <c r="A3139" s="1">
        <f>IFERROR(__xludf.DUMMYFUNCTION("""COMPUTED_VALUE"""),87684.0)</f>
        <v>87684</v>
      </c>
      <c r="B3139" s="5">
        <f>IFERROR(__xludf.DUMMYFUNCTION("""COMPUTED_VALUE"""),44994.42771675926)</f>
        <v>44994.42772</v>
      </c>
      <c r="C3139" s="1" t="str">
        <f>IFERROR(__xludf.DUMMYFUNCTION("""COMPUTED_VALUE"""),"GARRO MARTA ANGELINA")</f>
        <v>GARRO MARTA ANGELINA</v>
      </c>
      <c r="D3139" s="1" t="str">
        <f>IFERROR(__xludf.DUMMYFUNCTION("""COMPUTED_VALUE"""),"Reparaciones/Otros")</f>
        <v>Reparaciones/Otros</v>
      </c>
      <c r="E3139" s="1" t="str">
        <f>IFERROR(__xludf.DUMMYFUNCTION("""COMPUTED_VALUE"""),"RIVADAVIA Marcela L")</f>
        <v>RIVADAVIA Marcela L</v>
      </c>
      <c r="F3139" s="1" t="str">
        <f t="shared" si="1"/>
        <v>RIVADAVIA </v>
      </c>
      <c r="G3139" s="1" t="str">
        <f t="shared" si="2"/>
        <v>Marcela L</v>
      </c>
      <c r="H3139" s="1" t="str">
        <f>IFERROR(__xludf.DUMMYFUNCTION("""COMPUTED_VALUE"""),"10/3/2023, 17:00:00")</f>
        <v>10/3/2023, 17:00:00</v>
      </c>
      <c r="I3139" s="1" t="str">
        <f>IFERROR(__xludf.DUMMYFUNCTION("""COMPUTED_VALUE"""),"Completado en SUCURSAL")</f>
        <v>Completado en SUCURSAL</v>
      </c>
      <c r="J3139" s="1">
        <f t="shared" si="3"/>
        <v>5</v>
      </c>
      <c r="K3139" s="1" t="str">
        <f t="shared" si="4"/>
        <v>Tus Lentes estan LISTAS PARA ENTREGAR, te esperamos.</v>
      </c>
    </row>
    <row r="3140">
      <c r="A3140" s="1">
        <f>IFERROR(__xludf.DUMMYFUNCTION("""COMPUTED_VALUE"""),87685.0)</f>
        <v>87685</v>
      </c>
      <c r="B3140" s="5">
        <f>IFERROR(__xludf.DUMMYFUNCTION("""COMPUTED_VALUE"""),44994.43085234954)</f>
        <v>44994.43085</v>
      </c>
      <c r="C3140" s="1" t="str">
        <f>IFERROR(__xludf.DUMMYFUNCTION("""COMPUTED_VALUE"""),"BARRETO GISELA")</f>
        <v>BARRETO GISELA</v>
      </c>
      <c r="D3140" s="1" t="str">
        <f>IFERROR(__xludf.DUMMYFUNCTION("""COMPUTED_VALUE"""),"Lentes de LABORATORIO")</f>
        <v>Lentes de LABORATORIO</v>
      </c>
      <c r="E3140" s="1" t="str">
        <f>IFERROR(__xludf.DUMMYFUNCTION("""COMPUTED_VALUE"""),"ARTIGAS Ivana P.")</f>
        <v>ARTIGAS Ivana P.</v>
      </c>
      <c r="F3140" s="1" t="str">
        <f t="shared" si="1"/>
        <v>ARTIGAS </v>
      </c>
      <c r="G3140" s="1" t="str">
        <f t="shared" si="2"/>
        <v>Ivana P.</v>
      </c>
      <c r="H3140" s="1" t="str">
        <f>IFERROR(__xludf.DUMMYFUNCTION("""COMPUTED_VALUE"""),"20/3/2023, 17:00:00")</f>
        <v>20/3/2023, 17:00:00</v>
      </c>
      <c r="I3140" s="1" t="str">
        <f>IFERROR(__xludf.DUMMYFUNCTION("""COMPUTED_VALUE"""),"Completado en SUCURSAL")</f>
        <v>Completado en SUCURSAL</v>
      </c>
      <c r="J3140" s="1">
        <f t="shared" si="3"/>
        <v>5</v>
      </c>
      <c r="K3140" s="1" t="str">
        <f t="shared" si="4"/>
        <v>Tus Lentes estan LISTAS PARA ENTREGAR, te esperamos.</v>
      </c>
    </row>
    <row r="3141">
      <c r="A3141" s="1">
        <f>IFERROR(__xludf.DUMMYFUNCTION("""COMPUTED_VALUE"""),87686.0)</f>
        <v>87686</v>
      </c>
      <c r="B3141" s="5">
        <f>IFERROR(__xludf.DUMMYFUNCTION("""COMPUTED_VALUE"""),44994.43207513889)</f>
        <v>44994.43208</v>
      </c>
      <c r="C3141" s="1" t="str">
        <f>IFERROR(__xludf.DUMMYFUNCTION("""COMPUTED_VALUE"""),"DE LUCIA GRACIELA")</f>
        <v>DE LUCIA GRACIELA</v>
      </c>
      <c r="D3141" s="1" t="str">
        <f>IFERROR(__xludf.DUMMYFUNCTION("""COMPUTED_VALUE"""),"Lentes de STOCK")</f>
        <v>Lentes de STOCK</v>
      </c>
      <c r="E3141" s="1" t="str">
        <f>IFERROR(__xludf.DUMMYFUNCTION("""COMPUTED_VALUE"""),"RIVADAVIA Santiago N")</f>
        <v>RIVADAVIA Santiago N</v>
      </c>
      <c r="F3141" s="1" t="str">
        <f t="shared" si="1"/>
        <v>RIVADAVIA </v>
      </c>
      <c r="G3141" s="1" t="str">
        <f t="shared" si="2"/>
        <v>Santiago N</v>
      </c>
      <c r="H3141" s="1" t="str">
        <f>IFERROR(__xludf.DUMMYFUNCTION("""COMPUTED_VALUE"""),"13/3/2023, 17:00:00")</f>
        <v>13/3/2023, 17:00:00</v>
      </c>
      <c r="I3141" s="1" t="str">
        <f>IFERROR(__xludf.DUMMYFUNCTION("""COMPUTED_VALUE"""),"Recibido en Laboratorio")</f>
        <v>Recibido en Laboratorio</v>
      </c>
      <c r="J3141" s="1">
        <f t="shared" si="3"/>
        <v>2</v>
      </c>
      <c r="K3141" s="1" t="str">
        <f t="shared" si="4"/>
        <v>Nuestro Laboratorio esta trabajando en tus lentes, los entregaremos en la fecha acordada.</v>
      </c>
    </row>
    <row r="3142">
      <c r="A3142" s="1">
        <f>IFERROR(__xludf.DUMMYFUNCTION("""COMPUTED_VALUE"""),87687.0)</f>
        <v>87687</v>
      </c>
      <c r="B3142" s="5">
        <f>IFERROR(__xludf.DUMMYFUNCTION("""COMPUTED_VALUE"""),44994.43452814815)</f>
        <v>44994.43453</v>
      </c>
      <c r="C3142" s="1" t="str">
        <f>IFERROR(__xludf.DUMMYFUNCTION("""COMPUTED_VALUE"""),"SUAREZ HILDA TERESA")</f>
        <v>SUAREZ HILDA TERESA</v>
      </c>
      <c r="D3142" s="1" t="str">
        <f>IFERROR(__xludf.DUMMYFUNCTION("""COMPUTED_VALUE"""),"Lentes de STOCK")</f>
        <v>Lentes de STOCK</v>
      </c>
      <c r="E3142" s="1" t="str">
        <f>IFERROR(__xludf.DUMMYFUNCTION("""COMPUTED_VALUE"""),"RIVADAVIA Christian C.")</f>
        <v>RIVADAVIA Christian C.</v>
      </c>
      <c r="F3142" s="1" t="str">
        <f t="shared" si="1"/>
        <v>RIVADAVIA </v>
      </c>
      <c r="G3142" s="1" t="str">
        <f t="shared" si="2"/>
        <v>Christian C.</v>
      </c>
      <c r="H3142" s="1" t="str">
        <f>IFERROR(__xludf.DUMMYFUNCTION("""COMPUTED_VALUE"""),"15/3/2023, 17:00:00")</f>
        <v>15/3/2023, 17:00:00</v>
      </c>
      <c r="I3142" s="1" t="str">
        <f>IFERROR(__xludf.DUMMYFUNCTION("""COMPUTED_VALUE"""),"Completado en SUCURSAL")</f>
        <v>Completado en SUCURSAL</v>
      </c>
      <c r="J3142" s="1">
        <f t="shared" si="3"/>
        <v>5</v>
      </c>
      <c r="K3142" s="1" t="str">
        <f t="shared" si="4"/>
        <v>Tus Lentes estan LISTAS PARA ENTREGAR, te esperamos.</v>
      </c>
    </row>
    <row r="3143">
      <c r="A3143" s="1">
        <f>IFERROR(__xludf.DUMMYFUNCTION("""COMPUTED_VALUE"""),87688.0)</f>
        <v>87688</v>
      </c>
      <c r="B3143" s="5">
        <f>IFERROR(__xludf.DUMMYFUNCTION("""COMPUTED_VALUE"""),44994.442810625)</f>
        <v>44994.44281</v>
      </c>
      <c r="C3143" s="1" t="str">
        <f>IFERROR(__xludf.DUMMYFUNCTION("""COMPUTED_VALUE"""),"GODOY PABLO")</f>
        <v>GODOY PABLO</v>
      </c>
      <c r="D3143" s="1" t="str">
        <f>IFERROR(__xludf.DUMMYFUNCTION("""COMPUTED_VALUE"""),"Lentes de STOCK")</f>
        <v>Lentes de STOCK</v>
      </c>
      <c r="E3143" s="1" t="str">
        <f>IFERROR(__xludf.DUMMYFUNCTION("""COMPUTED_VALUE"""),"RIVADAVIA Santiago LOPEZ")</f>
        <v>RIVADAVIA Santiago LOPEZ</v>
      </c>
      <c r="F3143" s="1" t="str">
        <f t="shared" si="1"/>
        <v>RIVADAVIA </v>
      </c>
      <c r="G3143" s="1" t="str">
        <f t="shared" si="2"/>
        <v>Santiago LOPEZ</v>
      </c>
      <c r="H3143" s="1" t="str">
        <f>IFERROR(__xludf.DUMMYFUNCTION("""COMPUTED_VALUE"""),"13/3/2023, 17:00:00")</f>
        <v>13/3/2023, 17:00:00</v>
      </c>
      <c r="I3143" s="1" t="str">
        <f>IFERROR(__xludf.DUMMYFUNCTION("""COMPUTED_VALUE"""),"Recibido en Laboratorio")</f>
        <v>Recibido en Laboratorio</v>
      </c>
      <c r="J3143" s="1">
        <f t="shared" si="3"/>
        <v>2</v>
      </c>
      <c r="K3143" s="1" t="str">
        <f t="shared" si="4"/>
        <v>Nuestro Laboratorio esta trabajando en tus lentes, los entregaremos en la fecha acordada.</v>
      </c>
    </row>
    <row r="3144">
      <c r="A3144" s="1">
        <f>IFERROR(__xludf.DUMMYFUNCTION("""COMPUTED_VALUE"""),87689.0)</f>
        <v>87689</v>
      </c>
      <c r="B3144" s="5">
        <f>IFERROR(__xludf.DUMMYFUNCTION("""COMPUTED_VALUE"""),44994.44815333333)</f>
        <v>44994.44815</v>
      </c>
      <c r="C3144" s="1" t="str">
        <f>IFERROR(__xludf.DUMMYFUNCTION("""COMPUTED_VALUE"""),"LARA ENZO ARIEL")</f>
        <v>LARA ENZO ARIEL</v>
      </c>
      <c r="D3144" s="1" t="str">
        <f>IFERROR(__xludf.DUMMYFUNCTION("""COMPUTED_VALUE"""),"Lentes BIFOCALES")</f>
        <v>Lentes BIFOCALES</v>
      </c>
      <c r="E3144" s="1" t="str">
        <f>IFERROR(__xludf.DUMMYFUNCTION("""COMPUTED_VALUE"""),"RIVADAVIA Christian C.")</f>
        <v>RIVADAVIA Christian C.</v>
      </c>
      <c r="F3144" s="1" t="str">
        <f t="shared" si="1"/>
        <v>RIVADAVIA </v>
      </c>
      <c r="G3144" s="1" t="str">
        <f t="shared" si="2"/>
        <v>Christian C.</v>
      </c>
      <c r="H3144" s="1" t="str">
        <f>IFERROR(__xludf.DUMMYFUNCTION("""COMPUTED_VALUE"""),"20/3/2023, 17:00:00")</f>
        <v>20/3/2023, 17:00:00</v>
      </c>
      <c r="I3144" s="1" t="str">
        <f>IFERROR(__xludf.DUMMYFUNCTION("""COMPUTED_VALUE"""),"RETIRADO OK POR CLIENTE")</f>
        <v>RETIRADO OK POR CLIENTE</v>
      </c>
      <c r="J3144" s="1">
        <f t="shared" si="3"/>
        <v>6</v>
      </c>
      <c r="K3144" s="1" t="str">
        <f t="shared" si="4"/>
        <v>Entregamos tus lentes, que los disfrutes!</v>
      </c>
    </row>
    <row r="3145">
      <c r="A3145" s="1">
        <f>IFERROR(__xludf.DUMMYFUNCTION("""COMPUTED_VALUE"""),87690.0)</f>
        <v>87690</v>
      </c>
      <c r="B3145" s="5">
        <f>IFERROR(__xludf.DUMMYFUNCTION("""COMPUTED_VALUE"""),44994.451556608794)</f>
        <v>44994.45156</v>
      </c>
      <c r="C3145" s="1" t="str">
        <f>IFERROR(__xludf.DUMMYFUNCTION("""COMPUTED_VALUE"""),"GODOY BRITO MATIAS")</f>
        <v>GODOY BRITO MATIAS</v>
      </c>
      <c r="D3145" s="1" t="str">
        <f>IFERROR(__xludf.DUMMYFUNCTION("""COMPUTED_VALUE"""),"Lentes de STOCK")</f>
        <v>Lentes de STOCK</v>
      </c>
      <c r="E3145" s="1" t="str">
        <f>IFERROR(__xludf.DUMMYFUNCTION("""COMPUTED_VALUE"""),"RIVADAVIA Santiago LOPEZ")</f>
        <v>RIVADAVIA Santiago LOPEZ</v>
      </c>
      <c r="F3145" s="1" t="str">
        <f t="shared" si="1"/>
        <v>RIVADAVIA </v>
      </c>
      <c r="G3145" s="1" t="str">
        <f t="shared" si="2"/>
        <v>Santiago LOPEZ</v>
      </c>
      <c r="H3145" s="1" t="str">
        <f>IFERROR(__xludf.DUMMYFUNCTION("""COMPUTED_VALUE"""),"14/3/2023, 17:00:00")</f>
        <v>14/3/2023, 17:00:00</v>
      </c>
      <c r="I3145" s="1" t="str">
        <f>IFERROR(__xludf.DUMMYFUNCTION("""COMPUTED_VALUE"""),"Completado en SUCURSAL")</f>
        <v>Completado en SUCURSAL</v>
      </c>
      <c r="J3145" s="1">
        <f t="shared" si="3"/>
        <v>5</v>
      </c>
      <c r="K3145" s="1" t="str">
        <f t="shared" si="4"/>
        <v>Tus Lentes estan LISTAS PARA ENTREGAR, te esperamos.</v>
      </c>
    </row>
    <row r="3146">
      <c r="A3146" s="1">
        <f>IFERROR(__xludf.DUMMYFUNCTION("""COMPUTED_VALUE"""),87691.0)</f>
        <v>87691</v>
      </c>
      <c r="B3146" s="5">
        <f>IFERROR(__xludf.DUMMYFUNCTION("""COMPUTED_VALUE"""),44994.45730582176)</f>
        <v>44994.45731</v>
      </c>
      <c r="C3146" s="1" t="str">
        <f>IFERROR(__xludf.DUMMYFUNCTION("""COMPUTED_VALUE"""),"VISCIO ELENA")</f>
        <v>VISCIO ELENA</v>
      </c>
      <c r="D3146" s="1" t="str">
        <f>IFERROR(__xludf.DUMMYFUNCTION("""COMPUTED_VALUE"""),"Lentes de STOCK")</f>
        <v>Lentes de STOCK</v>
      </c>
      <c r="E3146" s="1" t="str">
        <f>IFERROR(__xludf.DUMMYFUNCTION("""COMPUTED_VALUE"""),"RIVADAVIA Christian C.")</f>
        <v>RIVADAVIA Christian C.</v>
      </c>
      <c r="F3146" s="1" t="str">
        <f t="shared" si="1"/>
        <v>RIVADAVIA </v>
      </c>
      <c r="G3146" s="1" t="str">
        <f t="shared" si="2"/>
        <v>Christian C.</v>
      </c>
      <c r="H3146" s="1" t="str">
        <f>IFERROR(__xludf.DUMMYFUNCTION("""COMPUTED_VALUE"""),"15/3/2023, 17:00:00")</f>
        <v>15/3/2023, 17:00:00</v>
      </c>
      <c r="I3146" s="1" t="str">
        <f>IFERROR(__xludf.DUMMYFUNCTION("""COMPUTED_VALUE"""),"Completado en SUCURSAL")</f>
        <v>Completado en SUCURSAL</v>
      </c>
      <c r="J3146" s="1">
        <f t="shared" si="3"/>
        <v>5</v>
      </c>
      <c r="K3146" s="1" t="str">
        <f t="shared" si="4"/>
        <v>Tus Lentes estan LISTAS PARA ENTREGAR, te esperamos.</v>
      </c>
    </row>
    <row r="3147">
      <c r="A3147" s="1">
        <f>IFERROR(__xludf.DUMMYFUNCTION("""COMPUTED_VALUE"""),87692.0)</f>
        <v>87692</v>
      </c>
      <c r="B3147" s="5">
        <f>IFERROR(__xludf.DUMMYFUNCTION("""COMPUTED_VALUE"""),44994.4587522338)</f>
        <v>44994.45875</v>
      </c>
      <c r="C3147" s="1" t="str">
        <f>IFERROR(__xludf.DUMMYFUNCTION("""COMPUTED_VALUE"""),"AMAYA ADRIANA NOEMI")</f>
        <v>AMAYA ADRIANA NOEMI</v>
      </c>
      <c r="D3147" s="1" t="str">
        <f>IFERROR(__xludf.DUMMYFUNCTION("""COMPUTED_VALUE"""),"Lentes de STOCK")</f>
        <v>Lentes de STOCK</v>
      </c>
      <c r="E3147" s="1" t="str">
        <f>IFERROR(__xludf.DUMMYFUNCTION("""COMPUTED_VALUE"""),"RIVADAVIA Marcela L")</f>
        <v>RIVADAVIA Marcela L</v>
      </c>
      <c r="F3147" s="1" t="str">
        <f t="shared" si="1"/>
        <v>RIVADAVIA </v>
      </c>
      <c r="G3147" s="1" t="str">
        <f t="shared" si="2"/>
        <v>Marcela L</v>
      </c>
      <c r="H3147" s="1" t="str">
        <f>IFERROR(__xludf.DUMMYFUNCTION("""COMPUTED_VALUE"""),"16/3/2023, 17:00:00")</f>
        <v>16/3/2023, 17:00:00</v>
      </c>
      <c r="I3147" s="1" t="str">
        <f>IFERROR(__xludf.DUMMYFUNCTION("""COMPUTED_VALUE"""),"Completado en SUCURSAL")</f>
        <v>Completado en SUCURSAL</v>
      </c>
      <c r="J3147" s="1">
        <f t="shared" si="3"/>
        <v>5</v>
      </c>
      <c r="K3147" s="1" t="str">
        <f t="shared" si="4"/>
        <v>Tus Lentes estan LISTAS PARA ENTREGAR, te esperamos.</v>
      </c>
    </row>
    <row r="3148">
      <c r="A3148" s="1">
        <f>IFERROR(__xludf.DUMMYFUNCTION("""COMPUTED_VALUE"""),87693.0)</f>
        <v>87693</v>
      </c>
      <c r="B3148" s="5">
        <f>IFERROR(__xludf.DUMMYFUNCTION("""COMPUTED_VALUE"""),44994.46686623842)</f>
        <v>44994.46687</v>
      </c>
      <c r="C3148" s="1" t="str">
        <f>IFERROR(__xludf.DUMMYFUNCTION("""COMPUTED_VALUE"""),"QUIROGA MABEL")</f>
        <v>QUIROGA MABEL</v>
      </c>
      <c r="D3148" s="1" t="str">
        <f>IFERROR(__xludf.DUMMYFUNCTION("""COMPUTED_VALUE"""),"Reparaciones/Otros")</f>
        <v>Reparaciones/Otros</v>
      </c>
      <c r="E3148" s="1" t="str">
        <f>IFERROR(__xludf.DUMMYFUNCTION("""COMPUTED_VALUE"""),"RIVADAVIA Daniel CM")</f>
        <v>RIVADAVIA Daniel CM</v>
      </c>
      <c r="F3148" s="1" t="str">
        <f t="shared" si="1"/>
        <v>RIVADAVIA </v>
      </c>
      <c r="G3148" s="1" t="str">
        <f t="shared" si="2"/>
        <v>Daniel CM</v>
      </c>
      <c r="H3148" s="1"/>
      <c r="I3148" s="1" t="str">
        <f>IFERROR(__xludf.DUMMYFUNCTION("""COMPUTED_VALUE"""),"Recibido en Laboratorio")</f>
        <v>Recibido en Laboratorio</v>
      </c>
      <c r="J3148" s="1">
        <f t="shared" si="3"/>
        <v>2</v>
      </c>
      <c r="K3148" s="1" t="str">
        <f t="shared" si="4"/>
        <v>Nuestro Laboratorio esta trabajando en tus lentes, los entregaremos en la fecha acordada.</v>
      </c>
    </row>
    <row r="3149">
      <c r="A3149" s="1">
        <f>IFERROR(__xludf.DUMMYFUNCTION("""COMPUTED_VALUE"""),87694.0)</f>
        <v>87694</v>
      </c>
      <c r="B3149" s="5">
        <f>IFERROR(__xludf.DUMMYFUNCTION("""COMPUTED_VALUE"""),44994.47968846065)</f>
        <v>44994.47969</v>
      </c>
      <c r="C3149" s="1" t="str">
        <f>IFERROR(__xludf.DUMMYFUNCTION("""COMPUTED_VALUE"""),"VIDELA PAULINA")</f>
        <v>VIDELA PAULINA</v>
      </c>
      <c r="D3149" s="1" t="str">
        <f>IFERROR(__xludf.DUMMYFUNCTION("""COMPUTED_VALUE"""),"Lentes MULTIFOCALES")</f>
        <v>Lentes MULTIFOCALES</v>
      </c>
      <c r="E3149" s="1" t="str">
        <f>IFERROR(__xludf.DUMMYFUNCTION("""COMPUTED_VALUE"""),"RIVADAVIA Santiago N")</f>
        <v>RIVADAVIA Santiago N</v>
      </c>
      <c r="F3149" s="1" t="str">
        <f t="shared" si="1"/>
        <v>RIVADAVIA </v>
      </c>
      <c r="G3149" s="1" t="str">
        <f t="shared" si="2"/>
        <v>Santiago N</v>
      </c>
      <c r="H3149" s="1" t="str">
        <f>IFERROR(__xludf.DUMMYFUNCTION("""COMPUTED_VALUE"""),"15/3/2023, 17:00:00")</f>
        <v>15/3/2023, 17:00:00</v>
      </c>
      <c r="I3149" s="1" t="str">
        <f>IFERROR(__xludf.DUMMYFUNCTION("""COMPUTED_VALUE"""),"Completado en SUCURSAL")</f>
        <v>Completado en SUCURSAL</v>
      </c>
      <c r="J3149" s="1">
        <f t="shared" si="3"/>
        <v>5</v>
      </c>
      <c r="K3149" s="1" t="str">
        <f t="shared" si="4"/>
        <v>Tus Lentes estan LISTAS PARA ENTREGAR, te esperamos.</v>
      </c>
    </row>
    <row r="3150">
      <c r="A3150" s="1">
        <f>IFERROR(__xludf.DUMMYFUNCTION("""COMPUTED_VALUE"""),87695.0)</f>
        <v>87695</v>
      </c>
      <c r="B3150" s="5">
        <f>IFERROR(__xludf.DUMMYFUNCTION("""COMPUTED_VALUE"""),44994.48107342592)</f>
        <v>44994.48107</v>
      </c>
      <c r="C3150" s="1" t="str">
        <f>IFERROR(__xludf.DUMMYFUNCTION("""COMPUTED_VALUE"""),"DE PAUW MARIA CECILIA ")</f>
        <v>DE PAUW MARIA CECILIA </v>
      </c>
      <c r="D3150" s="1" t="str">
        <f>IFERROR(__xludf.DUMMYFUNCTION("""COMPUTED_VALUE"""),"Reparaciones/Otros")</f>
        <v>Reparaciones/Otros</v>
      </c>
      <c r="E3150" s="1" t="str">
        <f>IFERROR(__xludf.DUMMYFUNCTION("""COMPUTED_VALUE"""),"ARTIGAS Roció")</f>
        <v>ARTIGAS Roció</v>
      </c>
      <c r="F3150" s="1" t="str">
        <f t="shared" si="1"/>
        <v>ARTIGAS </v>
      </c>
      <c r="G3150" s="1" t="str">
        <f t="shared" si="2"/>
        <v>Roció</v>
      </c>
      <c r="H3150" s="1" t="str">
        <f>IFERROR(__xludf.DUMMYFUNCTION("""COMPUTED_VALUE"""),"10/3/2023, 17:00:00")</f>
        <v>10/3/2023, 17:00:00</v>
      </c>
      <c r="I3150" s="1"/>
      <c r="J3150" s="1">
        <f t="shared" si="3"/>
        <v>0</v>
      </c>
      <c r="K3150" s="1" t="str">
        <f t="shared" si="4"/>
        <v/>
      </c>
    </row>
    <row r="3151">
      <c r="A3151" s="1">
        <f>IFERROR(__xludf.DUMMYFUNCTION("""COMPUTED_VALUE"""),87696.0)</f>
        <v>87696</v>
      </c>
      <c r="B3151" s="5">
        <f>IFERROR(__xludf.DUMMYFUNCTION("""COMPUTED_VALUE"""),44994.4812775926)</f>
        <v>44994.48128</v>
      </c>
      <c r="C3151" s="1" t="str">
        <f>IFERROR(__xludf.DUMMYFUNCTION("""COMPUTED_VALUE"""),"Fernandez Maria")</f>
        <v>Fernandez Maria</v>
      </c>
      <c r="D3151" s="1" t="str">
        <f>IFERROR(__xludf.DUMMYFUNCTION("""COMPUTED_VALUE"""),"Reparaciones/Otros")</f>
        <v>Reparaciones/Otros</v>
      </c>
      <c r="E3151" s="1" t="str">
        <f>IFERROR(__xludf.DUMMYFUNCTION("""COMPUTED_VALUE"""),"ARTIGAS Sandra G")</f>
        <v>ARTIGAS Sandra G</v>
      </c>
      <c r="F3151" s="1" t="str">
        <f t="shared" si="1"/>
        <v>ARTIGAS </v>
      </c>
      <c r="G3151" s="1" t="str">
        <f t="shared" si="2"/>
        <v>Sandra G</v>
      </c>
      <c r="H3151" s="1" t="str">
        <f>IFERROR(__xludf.DUMMYFUNCTION("""COMPUTED_VALUE"""),"10/3/2023, 17:00:00")</f>
        <v>10/3/2023, 17:00:00</v>
      </c>
      <c r="I3151" s="1"/>
      <c r="J3151" s="1">
        <f t="shared" si="3"/>
        <v>0</v>
      </c>
      <c r="K3151" s="1" t="str">
        <f t="shared" si="4"/>
        <v/>
      </c>
    </row>
    <row r="3152">
      <c r="A3152" s="1">
        <f>IFERROR(__xludf.DUMMYFUNCTION("""COMPUTED_VALUE"""),87697.0)</f>
        <v>87697</v>
      </c>
      <c r="B3152" s="5">
        <f>IFERROR(__xludf.DUMMYFUNCTION("""COMPUTED_VALUE"""),44994.483695462965)</f>
        <v>44994.4837</v>
      </c>
      <c r="C3152" s="1" t="str">
        <f>IFERROR(__xludf.DUMMYFUNCTION("""COMPUTED_VALUE"""),"VAZQUEZ MARIA DELIA")</f>
        <v>VAZQUEZ MARIA DELIA</v>
      </c>
      <c r="D3152" s="1" t="str">
        <f>IFERROR(__xludf.DUMMYFUNCTION("""COMPUTED_VALUE"""),"Lentes de STOCK")</f>
        <v>Lentes de STOCK</v>
      </c>
      <c r="E3152" s="1" t="str">
        <f>IFERROR(__xludf.DUMMYFUNCTION("""COMPUTED_VALUE"""),"RIVADAVIA Christian C.")</f>
        <v>RIVADAVIA Christian C.</v>
      </c>
      <c r="F3152" s="1" t="str">
        <f t="shared" si="1"/>
        <v>RIVADAVIA </v>
      </c>
      <c r="G3152" s="1" t="str">
        <f t="shared" si="2"/>
        <v>Christian C.</v>
      </c>
      <c r="H3152" s="1" t="str">
        <f>IFERROR(__xludf.DUMMYFUNCTION("""COMPUTED_VALUE"""),"15/3/2023, 17:00:00")</f>
        <v>15/3/2023, 17:00:00</v>
      </c>
      <c r="I3152" s="1" t="str">
        <f>IFERROR(__xludf.DUMMYFUNCTION("""COMPUTED_VALUE"""),"Completado en SUCURSAL")</f>
        <v>Completado en SUCURSAL</v>
      </c>
      <c r="J3152" s="1">
        <f t="shared" si="3"/>
        <v>5</v>
      </c>
      <c r="K3152" s="1" t="str">
        <f t="shared" si="4"/>
        <v>Tus Lentes estan LISTAS PARA ENTREGAR, te esperamos.</v>
      </c>
    </row>
    <row r="3153">
      <c r="A3153" s="1">
        <f>IFERROR(__xludf.DUMMYFUNCTION("""COMPUTED_VALUE"""),87698.0)</f>
        <v>87698</v>
      </c>
      <c r="B3153" s="5">
        <f>IFERROR(__xludf.DUMMYFUNCTION("""COMPUTED_VALUE"""),44994.48732954861)</f>
        <v>44994.48733</v>
      </c>
      <c r="C3153" s="1" t="str">
        <f>IFERROR(__xludf.DUMMYFUNCTION("""COMPUTED_VALUE"""),"SYRIANI ROMEO")</f>
        <v>SYRIANI ROMEO</v>
      </c>
      <c r="D3153" s="1" t="str">
        <f>IFERROR(__xludf.DUMMYFUNCTION("""COMPUTED_VALUE"""),"Lentes de STOCK")</f>
        <v>Lentes de STOCK</v>
      </c>
      <c r="E3153" s="1" t="str">
        <f>IFERROR(__xludf.DUMMYFUNCTION("""COMPUTED_VALUE"""),"RIVADAVIA Santiago N")</f>
        <v>RIVADAVIA Santiago N</v>
      </c>
      <c r="F3153" s="1" t="str">
        <f t="shared" si="1"/>
        <v>RIVADAVIA </v>
      </c>
      <c r="G3153" s="1" t="str">
        <f t="shared" si="2"/>
        <v>Santiago N</v>
      </c>
      <c r="H3153" s="1" t="str">
        <f>IFERROR(__xludf.DUMMYFUNCTION("""COMPUTED_VALUE"""),"15/3/2023, 17:00:00")</f>
        <v>15/3/2023, 17:00:00</v>
      </c>
      <c r="I3153" s="1" t="str">
        <f>IFERROR(__xludf.DUMMYFUNCTION("""COMPUTED_VALUE"""),"Completado en SUCURSAL")</f>
        <v>Completado en SUCURSAL</v>
      </c>
      <c r="J3153" s="1">
        <f t="shared" si="3"/>
        <v>5</v>
      </c>
      <c r="K3153" s="1" t="str">
        <f t="shared" si="4"/>
        <v>Tus Lentes estan LISTAS PARA ENTREGAR, te esperamos.</v>
      </c>
    </row>
    <row r="3154">
      <c r="A3154" s="1">
        <f>IFERROR(__xludf.DUMMYFUNCTION("""COMPUTED_VALUE"""),87699.0)</f>
        <v>87699</v>
      </c>
      <c r="B3154" s="5">
        <f>IFERROR(__xludf.DUMMYFUNCTION("""COMPUTED_VALUE"""),44994.48800100695)</f>
        <v>44994.488</v>
      </c>
      <c r="C3154" s="1" t="str">
        <f>IFERROR(__xludf.DUMMYFUNCTION("""COMPUTED_VALUE"""),"ORDOÑEZ JORGE")</f>
        <v>ORDOÑEZ JORGE</v>
      </c>
      <c r="D3154" s="1" t="str">
        <f>IFERROR(__xludf.DUMMYFUNCTION("""COMPUTED_VALUE"""),"Reparaciones/Otros")</f>
        <v>Reparaciones/Otros</v>
      </c>
      <c r="E3154" s="1" t="str">
        <f>IFERROR(__xludf.DUMMYFUNCTION("""COMPUTED_VALUE"""),"RIVADAVIA Marcela L")</f>
        <v>RIVADAVIA Marcela L</v>
      </c>
      <c r="F3154" s="1" t="str">
        <f t="shared" si="1"/>
        <v>RIVADAVIA </v>
      </c>
      <c r="G3154" s="1" t="str">
        <f t="shared" si="2"/>
        <v>Marcela L</v>
      </c>
      <c r="H3154" s="1" t="str">
        <f>IFERROR(__xludf.DUMMYFUNCTION("""COMPUTED_VALUE"""),"10/3/2023, 17:00:00")</f>
        <v>10/3/2023, 17:00:00</v>
      </c>
      <c r="I3154" s="1" t="str">
        <f>IFERROR(__xludf.DUMMYFUNCTION("""COMPUTED_VALUE"""),"Completado en SUCURSAL")</f>
        <v>Completado en SUCURSAL</v>
      </c>
      <c r="J3154" s="1">
        <f t="shared" si="3"/>
        <v>5</v>
      </c>
      <c r="K3154" s="1" t="str">
        <f t="shared" si="4"/>
        <v>Tus Lentes estan LISTAS PARA ENTREGAR, te esperamos.</v>
      </c>
    </row>
    <row r="3155">
      <c r="A3155" s="1">
        <f>IFERROR(__xludf.DUMMYFUNCTION("""COMPUTED_VALUE"""),87700.0)</f>
        <v>87700</v>
      </c>
      <c r="B3155" s="5">
        <f>IFERROR(__xludf.DUMMYFUNCTION("""COMPUTED_VALUE"""),44994.49030478009)</f>
        <v>44994.4903</v>
      </c>
      <c r="C3155" s="1" t="str">
        <f>IFERROR(__xludf.DUMMYFUNCTION("""COMPUTED_VALUE"""),"RUGGERI OSCAR")</f>
        <v>RUGGERI OSCAR</v>
      </c>
      <c r="D3155" s="1" t="str">
        <f>IFERROR(__xludf.DUMMYFUNCTION("""COMPUTED_VALUE"""),"Lentes de STOCK")</f>
        <v>Lentes de STOCK</v>
      </c>
      <c r="E3155" s="1" t="str">
        <f>IFERROR(__xludf.DUMMYFUNCTION("""COMPUTED_VALUE"""),"RIVADAVIA Christian C.")</f>
        <v>RIVADAVIA Christian C.</v>
      </c>
      <c r="F3155" s="1" t="str">
        <f t="shared" si="1"/>
        <v>RIVADAVIA </v>
      </c>
      <c r="G3155" s="1" t="str">
        <f t="shared" si="2"/>
        <v>Christian C.</v>
      </c>
      <c r="H3155" s="1" t="str">
        <f>IFERROR(__xludf.DUMMYFUNCTION("""COMPUTED_VALUE"""),"16/3/2023, 17:00:00")</f>
        <v>16/3/2023, 17:00:00</v>
      </c>
      <c r="I3155" s="1" t="str">
        <f>IFERROR(__xludf.DUMMYFUNCTION("""COMPUTED_VALUE"""),"Completado en SUCURSAL")</f>
        <v>Completado en SUCURSAL</v>
      </c>
      <c r="J3155" s="1">
        <f t="shared" si="3"/>
        <v>5</v>
      </c>
      <c r="K3155" s="1" t="str">
        <f t="shared" si="4"/>
        <v>Tus Lentes estan LISTAS PARA ENTREGAR, te esperamos.</v>
      </c>
    </row>
    <row r="3156">
      <c r="A3156" s="1">
        <f>IFERROR(__xludf.DUMMYFUNCTION("""COMPUTED_VALUE"""),87701.0)</f>
        <v>87701</v>
      </c>
      <c r="B3156" s="5">
        <f>IFERROR(__xludf.DUMMYFUNCTION("""COMPUTED_VALUE"""),44994.492803877314)</f>
        <v>44994.4928</v>
      </c>
      <c r="C3156" s="1" t="str">
        <f>IFERROR(__xludf.DUMMYFUNCTION("""COMPUTED_VALUE"""),"GARCIA CECILIA  ")</f>
        <v>GARCIA CECILIA  </v>
      </c>
      <c r="D3156" s="1" t="str">
        <f>IFERROR(__xludf.DUMMYFUNCTION("""COMPUTED_VALUE"""),"Reparaciones/Otros")</f>
        <v>Reparaciones/Otros</v>
      </c>
      <c r="E3156" s="1" t="str">
        <f>IFERROR(__xludf.DUMMYFUNCTION("""COMPUTED_VALUE"""),"RIVADAVIA Christian C.")</f>
        <v>RIVADAVIA Christian C.</v>
      </c>
      <c r="F3156" s="1" t="str">
        <f t="shared" si="1"/>
        <v>RIVADAVIA </v>
      </c>
      <c r="G3156" s="1" t="str">
        <f t="shared" si="2"/>
        <v>Christian C.</v>
      </c>
      <c r="H3156" s="1" t="str">
        <f>IFERROR(__xludf.DUMMYFUNCTION("""COMPUTED_VALUE"""),"13/3/2023, 17:00:00")</f>
        <v>13/3/2023, 17:00:00</v>
      </c>
      <c r="I3156" s="1" t="str">
        <f>IFERROR(__xludf.DUMMYFUNCTION("""COMPUTED_VALUE"""),"Completado en SUCURSAL")</f>
        <v>Completado en SUCURSAL</v>
      </c>
      <c r="J3156" s="1">
        <f t="shared" si="3"/>
        <v>5</v>
      </c>
      <c r="K3156" s="1" t="str">
        <f t="shared" si="4"/>
        <v>Tus Lentes estan LISTAS PARA ENTREGAR, te esperamos.</v>
      </c>
    </row>
    <row r="3157">
      <c r="A3157" s="1">
        <f>IFERROR(__xludf.DUMMYFUNCTION("""COMPUTED_VALUE"""),87702.0)</f>
        <v>87702</v>
      </c>
      <c r="B3157" s="5">
        <f>IFERROR(__xludf.DUMMYFUNCTION("""COMPUTED_VALUE"""),44994.4939831713)</f>
        <v>44994.49398</v>
      </c>
      <c r="C3157" s="1" t="str">
        <f>IFERROR(__xludf.DUMMYFUNCTION("""COMPUTED_VALUE"""),"ECHAVARRIA CARLOS ")</f>
        <v>ECHAVARRIA CARLOS </v>
      </c>
      <c r="D3157" s="1" t="str">
        <f>IFERROR(__xludf.DUMMYFUNCTION("""COMPUTED_VALUE"""),"Lentes de STOCK")</f>
        <v>Lentes de STOCK</v>
      </c>
      <c r="E3157" s="1" t="str">
        <f>IFERROR(__xludf.DUMMYFUNCTION("""COMPUTED_VALUE"""),"RIVADAVIA Santiago N")</f>
        <v>RIVADAVIA Santiago N</v>
      </c>
      <c r="F3157" s="1" t="str">
        <f t="shared" si="1"/>
        <v>RIVADAVIA </v>
      </c>
      <c r="G3157" s="1" t="str">
        <f t="shared" si="2"/>
        <v>Santiago N</v>
      </c>
      <c r="H3157" s="1" t="str">
        <f>IFERROR(__xludf.DUMMYFUNCTION("""COMPUTED_VALUE"""),"11/3/2023, 17:00:00")</f>
        <v>11/3/2023, 17:00:00</v>
      </c>
      <c r="I3157" s="1" t="str">
        <f>IFERROR(__xludf.DUMMYFUNCTION("""COMPUTED_VALUE"""),"Completado en SUCURSAL")</f>
        <v>Completado en SUCURSAL</v>
      </c>
      <c r="J3157" s="1">
        <f t="shared" si="3"/>
        <v>5</v>
      </c>
      <c r="K3157" s="1" t="str">
        <f t="shared" si="4"/>
        <v>Tus Lentes estan LISTAS PARA ENTREGAR, te esperamos.</v>
      </c>
    </row>
    <row r="3158">
      <c r="A3158" s="1">
        <f>IFERROR(__xludf.DUMMYFUNCTION("""COMPUTED_VALUE"""),87703.0)</f>
        <v>87703</v>
      </c>
      <c r="B3158" s="5">
        <f>IFERROR(__xludf.DUMMYFUNCTION("""COMPUTED_VALUE"""),44994.49456472222)</f>
        <v>44994.49456</v>
      </c>
      <c r="C3158" s="1" t="str">
        <f>IFERROR(__xludf.DUMMYFUNCTION("""COMPUTED_VALUE"""),"BALMACEDA LAURA")</f>
        <v>BALMACEDA LAURA</v>
      </c>
      <c r="D3158" s="1" t="str">
        <f>IFERROR(__xludf.DUMMYFUNCTION("""COMPUTED_VALUE"""),"Lentes de STOCK")</f>
        <v>Lentes de STOCK</v>
      </c>
      <c r="E3158" s="1" t="str">
        <f>IFERROR(__xludf.DUMMYFUNCTION("""COMPUTED_VALUE"""),"ARTIGAS Ivana P.")</f>
        <v>ARTIGAS Ivana P.</v>
      </c>
      <c r="F3158" s="1" t="str">
        <f t="shared" si="1"/>
        <v>ARTIGAS </v>
      </c>
      <c r="G3158" s="1" t="str">
        <f t="shared" si="2"/>
        <v>Ivana P.</v>
      </c>
      <c r="H3158" s="1" t="str">
        <f>IFERROR(__xludf.DUMMYFUNCTION("""COMPUTED_VALUE"""),"14/3/2023, 17:00:00")</f>
        <v>14/3/2023, 17:00:00</v>
      </c>
      <c r="I3158" s="1" t="str">
        <f>IFERROR(__xludf.DUMMYFUNCTION("""COMPUTED_VALUE"""),"Recibido en Laboratorio")</f>
        <v>Recibido en Laboratorio</v>
      </c>
      <c r="J3158" s="1">
        <f t="shared" si="3"/>
        <v>2</v>
      </c>
      <c r="K3158" s="1" t="str">
        <f t="shared" si="4"/>
        <v>Nuestro Laboratorio esta trabajando en tus lentes, los entregaremos en la fecha acordada.</v>
      </c>
    </row>
    <row r="3159">
      <c r="A3159" s="1">
        <f>IFERROR(__xludf.DUMMYFUNCTION("""COMPUTED_VALUE"""),87704.0)</f>
        <v>87704</v>
      </c>
      <c r="B3159" s="5">
        <f>IFERROR(__xludf.DUMMYFUNCTION("""COMPUTED_VALUE"""),44994.50063789352)</f>
        <v>44994.50064</v>
      </c>
      <c r="C3159" s="1" t="str">
        <f>IFERROR(__xludf.DUMMYFUNCTION("""COMPUTED_VALUE"""),"ESCUDERO NICOLASA")</f>
        <v>ESCUDERO NICOLASA</v>
      </c>
      <c r="D3159" s="1" t="str">
        <f>IFERROR(__xludf.DUMMYFUNCTION("""COMPUTED_VALUE"""),"Lentes de STOCK")</f>
        <v>Lentes de STOCK</v>
      </c>
      <c r="E3159" s="1" t="str">
        <f>IFERROR(__xludf.DUMMYFUNCTION("""COMPUTED_VALUE"""),"ARTIGAS Roció")</f>
        <v>ARTIGAS Roció</v>
      </c>
      <c r="F3159" s="1" t="str">
        <f t="shared" si="1"/>
        <v>ARTIGAS </v>
      </c>
      <c r="G3159" s="1" t="str">
        <f t="shared" si="2"/>
        <v>Roció</v>
      </c>
      <c r="H3159" s="1" t="str">
        <f>IFERROR(__xludf.DUMMYFUNCTION("""COMPUTED_VALUE"""),"14/3/2023, 17:00:00")</f>
        <v>14/3/2023, 17:00:00</v>
      </c>
      <c r="I3159" s="1" t="str">
        <f>IFERROR(__xludf.DUMMYFUNCTION("""COMPUTED_VALUE"""),"Completado en SUCURSAL")</f>
        <v>Completado en SUCURSAL</v>
      </c>
      <c r="J3159" s="1">
        <f t="shared" si="3"/>
        <v>5</v>
      </c>
      <c r="K3159" s="1" t="str">
        <f t="shared" si="4"/>
        <v>Tus Lentes estan LISTAS PARA ENTREGAR, te esperamos.</v>
      </c>
    </row>
    <row r="3160">
      <c r="A3160" s="1">
        <f>IFERROR(__xludf.DUMMYFUNCTION("""COMPUTED_VALUE"""),87705.0)</f>
        <v>87705</v>
      </c>
      <c r="B3160" s="5">
        <f>IFERROR(__xludf.DUMMYFUNCTION("""COMPUTED_VALUE"""),44994.51486974537)</f>
        <v>44994.51487</v>
      </c>
      <c r="C3160" s="1" t="str">
        <f>IFERROR(__xludf.DUMMYFUNCTION("""COMPUTED_VALUE"""),"GARCIA")</f>
        <v>GARCIA</v>
      </c>
      <c r="D3160" s="1" t="str">
        <f>IFERROR(__xludf.DUMMYFUNCTION("""COMPUTED_VALUE"""),"Reparaciones/Otros")</f>
        <v>Reparaciones/Otros</v>
      </c>
      <c r="E3160" s="1" t="str">
        <f>IFERROR(__xludf.DUMMYFUNCTION("""COMPUTED_VALUE"""),"RIVADAVIA Santiago N")</f>
        <v>RIVADAVIA Santiago N</v>
      </c>
      <c r="F3160" s="1" t="str">
        <f t="shared" si="1"/>
        <v>RIVADAVIA </v>
      </c>
      <c r="G3160" s="1" t="str">
        <f t="shared" si="2"/>
        <v>Santiago N</v>
      </c>
      <c r="H3160" s="1" t="str">
        <f>IFERROR(__xludf.DUMMYFUNCTION("""COMPUTED_VALUE"""),"10/3/2023, 17:00:00")</f>
        <v>10/3/2023, 17:00:00</v>
      </c>
      <c r="I3160" s="1" t="str">
        <f>IFERROR(__xludf.DUMMYFUNCTION("""COMPUTED_VALUE"""),"Recibido en Laboratorio")</f>
        <v>Recibido en Laboratorio</v>
      </c>
      <c r="J3160" s="1">
        <f t="shared" si="3"/>
        <v>2</v>
      </c>
      <c r="K3160" s="1" t="str">
        <f t="shared" si="4"/>
        <v>Nuestro Laboratorio esta trabajando en tus lentes, los entregaremos en la fecha acordada.</v>
      </c>
    </row>
    <row r="3161">
      <c r="A3161" s="1">
        <f>IFERROR(__xludf.DUMMYFUNCTION("""COMPUTED_VALUE"""),87706.0)</f>
        <v>87706</v>
      </c>
      <c r="B3161" s="5">
        <f>IFERROR(__xludf.DUMMYFUNCTION("""COMPUTED_VALUE"""),44994.521571226855)</f>
        <v>44994.52157</v>
      </c>
      <c r="C3161" s="1" t="str">
        <f>IFERROR(__xludf.DUMMYFUNCTION("""COMPUTED_VALUE"""),"honorato santiago")</f>
        <v>honorato santiago</v>
      </c>
      <c r="D3161" s="1" t="str">
        <f>IFERROR(__xludf.DUMMYFUNCTION("""COMPUTED_VALUE"""),"Reparaciones/Otros")</f>
        <v>Reparaciones/Otros</v>
      </c>
      <c r="E3161" s="1" t="str">
        <f>IFERROR(__xludf.DUMMYFUNCTION("""COMPUTED_VALUE"""),"RIVADAVIA Daniel CM")</f>
        <v>RIVADAVIA Daniel CM</v>
      </c>
      <c r="F3161" s="1" t="str">
        <f t="shared" si="1"/>
        <v>RIVADAVIA </v>
      </c>
      <c r="G3161" s="1" t="str">
        <f t="shared" si="2"/>
        <v>Daniel CM</v>
      </c>
      <c r="H3161" s="1" t="str">
        <f>IFERROR(__xludf.DUMMYFUNCTION("""COMPUTED_VALUE"""),"10/3/2023, 17:00:00")</f>
        <v>10/3/2023, 17:00:00</v>
      </c>
      <c r="I3161" s="1" t="str">
        <f>IFERROR(__xludf.DUMMYFUNCTION("""COMPUTED_VALUE"""),"Completado en SUCURSAL")</f>
        <v>Completado en SUCURSAL</v>
      </c>
      <c r="J3161" s="1">
        <f t="shared" si="3"/>
        <v>5</v>
      </c>
      <c r="K3161" s="1" t="str">
        <f t="shared" si="4"/>
        <v>Tus Lentes estan LISTAS PARA ENTREGAR, te esperamos.</v>
      </c>
    </row>
    <row r="3162">
      <c r="A3162" s="1">
        <f>IFERROR(__xludf.DUMMYFUNCTION("""COMPUTED_VALUE"""),87707.0)</f>
        <v>87707</v>
      </c>
      <c r="B3162" s="5">
        <f>IFERROR(__xludf.DUMMYFUNCTION("""COMPUTED_VALUE"""),44994.5244484838)</f>
        <v>44994.52445</v>
      </c>
      <c r="C3162" s="1" t="str">
        <f>IFERROR(__xludf.DUMMYFUNCTION("""COMPUTED_VALUE"""),"GARRIDO VANIAN")</f>
        <v>GARRIDO VANIAN</v>
      </c>
      <c r="D3162" s="1" t="str">
        <f>IFERROR(__xludf.DUMMYFUNCTION("""COMPUTED_VALUE"""),"Lentes de STOCK")</f>
        <v>Lentes de STOCK</v>
      </c>
      <c r="E3162" s="1" t="str">
        <f>IFERROR(__xludf.DUMMYFUNCTION("""COMPUTED_VALUE"""),"ARTIGAS Roció")</f>
        <v>ARTIGAS Roció</v>
      </c>
      <c r="F3162" s="1" t="str">
        <f t="shared" si="1"/>
        <v>ARTIGAS </v>
      </c>
      <c r="G3162" s="1" t="str">
        <f t="shared" si="2"/>
        <v>Roció</v>
      </c>
      <c r="H3162" s="1" t="str">
        <f>IFERROR(__xludf.DUMMYFUNCTION("""COMPUTED_VALUE"""),"16/3/2023, 17:00:00")</f>
        <v>16/3/2023, 17:00:00</v>
      </c>
      <c r="I3162" s="1" t="str">
        <f>IFERROR(__xludf.DUMMYFUNCTION("""COMPUTED_VALUE"""),"Completado en SUCURSAL")</f>
        <v>Completado en SUCURSAL</v>
      </c>
      <c r="J3162" s="1">
        <f t="shared" si="3"/>
        <v>5</v>
      </c>
      <c r="K3162" s="1" t="str">
        <f t="shared" si="4"/>
        <v>Tus Lentes estan LISTAS PARA ENTREGAR, te esperamos.</v>
      </c>
    </row>
    <row r="3163">
      <c r="A3163" s="1">
        <f>IFERROR(__xludf.DUMMYFUNCTION("""COMPUTED_VALUE"""),87708.0)</f>
        <v>87708</v>
      </c>
      <c r="B3163" s="5">
        <f>IFERROR(__xludf.DUMMYFUNCTION("""COMPUTED_VALUE"""),44994.52643074074)</f>
        <v>44994.52643</v>
      </c>
      <c r="C3163" s="1" t="str">
        <f>IFERROR(__xludf.DUMMYFUNCTION("""COMPUTED_VALUE"""),"AMRAYA ABRIL ")</f>
        <v>AMRAYA ABRIL </v>
      </c>
      <c r="D3163" s="1" t="str">
        <f>IFERROR(__xludf.DUMMYFUNCTION("""COMPUTED_VALUE"""),"Lentes de STOCK")</f>
        <v>Lentes de STOCK</v>
      </c>
      <c r="E3163" s="1" t="str">
        <f>IFERROR(__xludf.DUMMYFUNCTION("""COMPUTED_VALUE"""),"ARTIGAS Roció")</f>
        <v>ARTIGAS Roció</v>
      </c>
      <c r="F3163" s="1" t="str">
        <f t="shared" si="1"/>
        <v>ARTIGAS </v>
      </c>
      <c r="G3163" s="1" t="str">
        <f t="shared" si="2"/>
        <v>Roció</v>
      </c>
      <c r="H3163" s="1" t="str">
        <f>IFERROR(__xludf.DUMMYFUNCTION("""COMPUTED_VALUE"""),"16/3/2023, 17:00:00")</f>
        <v>16/3/2023, 17:00:00</v>
      </c>
      <c r="I3163" s="1" t="str">
        <f>IFERROR(__xludf.DUMMYFUNCTION("""COMPUTED_VALUE"""),"Completado en SUCURSAL")</f>
        <v>Completado en SUCURSAL</v>
      </c>
      <c r="J3163" s="1">
        <f t="shared" si="3"/>
        <v>5</v>
      </c>
      <c r="K3163" s="1" t="str">
        <f t="shared" si="4"/>
        <v>Tus Lentes estan LISTAS PARA ENTREGAR, te esperamos.</v>
      </c>
    </row>
    <row r="3164">
      <c r="A3164" s="1">
        <f>IFERROR(__xludf.DUMMYFUNCTION("""COMPUTED_VALUE"""),87709.0)</f>
        <v>87709</v>
      </c>
      <c r="B3164" s="5">
        <f>IFERROR(__xludf.DUMMYFUNCTION("""COMPUTED_VALUE"""),44994.53032158565)</f>
        <v>44994.53032</v>
      </c>
      <c r="C3164" s="1" t="str">
        <f>IFERROR(__xludf.DUMMYFUNCTION("""COMPUTED_VALUE"""),"BALBO MANUEL")</f>
        <v>BALBO MANUEL</v>
      </c>
      <c r="D3164" s="1" t="str">
        <f>IFERROR(__xludf.DUMMYFUNCTION("""COMPUTED_VALUE"""),"Reparaciones/Otros")</f>
        <v>Reparaciones/Otros</v>
      </c>
      <c r="E3164" s="1" t="str">
        <f>IFERROR(__xludf.DUMMYFUNCTION("""COMPUTED_VALUE"""),"RIVADAVIA Santiago LOPEZ")</f>
        <v>RIVADAVIA Santiago LOPEZ</v>
      </c>
      <c r="F3164" s="1" t="str">
        <f t="shared" si="1"/>
        <v>RIVADAVIA </v>
      </c>
      <c r="G3164" s="1" t="str">
        <f t="shared" si="2"/>
        <v>Santiago LOPEZ</v>
      </c>
      <c r="H3164" s="1" t="str">
        <f>IFERROR(__xludf.DUMMYFUNCTION("""COMPUTED_VALUE"""),"10/3/2023, 17:00:00")</f>
        <v>10/3/2023, 17:00:00</v>
      </c>
      <c r="I3164" s="1" t="str">
        <f>IFERROR(__xludf.DUMMYFUNCTION("""COMPUTED_VALUE"""),"Completado en SUCURSAL")</f>
        <v>Completado en SUCURSAL</v>
      </c>
      <c r="J3164" s="1">
        <f t="shared" si="3"/>
        <v>5</v>
      </c>
      <c r="K3164" s="1" t="str">
        <f t="shared" si="4"/>
        <v>Tus Lentes estan LISTAS PARA ENTREGAR, te esperamos.</v>
      </c>
    </row>
    <row r="3165">
      <c r="A3165" s="1">
        <f>IFERROR(__xludf.DUMMYFUNCTION("""COMPUTED_VALUE"""),87710.0)</f>
        <v>87710</v>
      </c>
      <c r="B3165" s="5">
        <f>IFERROR(__xludf.DUMMYFUNCTION("""COMPUTED_VALUE"""),44994.69943283565)</f>
        <v>44994.69943</v>
      </c>
      <c r="C3165" s="1" t="str">
        <f>IFERROR(__xludf.DUMMYFUNCTION("""COMPUTED_VALUE"""),"MERCAU LUZ ABRIL")</f>
        <v>MERCAU LUZ ABRIL</v>
      </c>
      <c r="D3165" s="1" t="str">
        <f>IFERROR(__xludf.DUMMYFUNCTION("""COMPUTED_VALUE"""),"Lentes de STOCK")</f>
        <v>Lentes de STOCK</v>
      </c>
      <c r="E3165" s="1" t="str">
        <f>IFERROR(__xludf.DUMMYFUNCTION("""COMPUTED_VALUE"""),"ARTIGAS Ivana P.")</f>
        <v>ARTIGAS Ivana P.</v>
      </c>
      <c r="F3165" s="1" t="str">
        <f t="shared" si="1"/>
        <v>ARTIGAS </v>
      </c>
      <c r="G3165" s="1" t="str">
        <f t="shared" si="2"/>
        <v>Ivana P.</v>
      </c>
      <c r="H3165" s="1" t="str">
        <f>IFERROR(__xludf.DUMMYFUNCTION("""COMPUTED_VALUE"""),"11/3/2023, 17:00:00")</f>
        <v>11/3/2023, 17:00:00</v>
      </c>
      <c r="I3165" s="1" t="str">
        <f>IFERROR(__xludf.DUMMYFUNCTION("""COMPUTED_VALUE"""),"RETIRADO OK POR CLIENTE")</f>
        <v>RETIRADO OK POR CLIENTE</v>
      </c>
      <c r="J3165" s="1">
        <f t="shared" si="3"/>
        <v>6</v>
      </c>
      <c r="K3165" s="1" t="str">
        <f t="shared" si="4"/>
        <v>Entregamos tus lentes, que los disfrutes!</v>
      </c>
    </row>
    <row r="3166">
      <c r="A3166" s="1">
        <f>IFERROR(__xludf.DUMMYFUNCTION("""COMPUTED_VALUE"""),87711.0)</f>
        <v>87711</v>
      </c>
      <c r="B3166" s="5">
        <f>IFERROR(__xludf.DUMMYFUNCTION("""COMPUTED_VALUE"""),44994.70217023148)</f>
        <v>44994.70217</v>
      </c>
      <c r="C3166" s="1" t="str">
        <f>IFERROR(__xludf.DUMMYFUNCTION("""COMPUTED_VALUE"""),"GONZALEZ ANA")</f>
        <v>GONZALEZ ANA</v>
      </c>
      <c r="D3166" s="1" t="str">
        <f>IFERROR(__xludf.DUMMYFUNCTION("""COMPUTED_VALUE"""),"Lentes de STOCK")</f>
        <v>Lentes de STOCK</v>
      </c>
      <c r="E3166" s="1" t="str">
        <f>IFERROR(__xludf.DUMMYFUNCTION("""COMPUTED_VALUE"""),"ARTIGAS Ivana P.")</f>
        <v>ARTIGAS Ivana P.</v>
      </c>
      <c r="F3166" s="1" t="str">
        <f t="shared" si="1"/>
        <v>ARTIGAS </v>
      </c>
      <c r="G3166" s="1" t="str">
        <f t="shared" si="2"/>
        <v>Ivana P.</v>
      </c>
      <c r="H3166" s="1" t="str">
        <f>IFERROR(__xludf.DUMMYFUNCTION("""COMPUTED_VALUE"""),"15/3/2023, 17:00:00")</f>
        <v>15/3/2023, 17:00:00</v>
      </c>
      <c r="I3166" s="1" t="str">
        <f>IFERROR(__xludf.DUMMYFUNCTION("""COMPUTED_VALUE"""),"Completado en SUCURSAL")</f>
        <v>Completado en SUCURSAL</v>
      </c>
      <c r="J3166" s="1">
        <f t="shared" si="3"/>
        <v>5</v>
      </c>
      <c r="K3166" s="1" t="str">
        <f t="shared" si="4"/>
        <v>Tus Lentes estan LISTAS PARA ENTREGAR, te esperamos.</v>
      </c>
    </row>
    <row r="3167">
      <c r="A3167" s="1">
        <f>IFERROR(__xludf.DUMMYFUNCTION("""COMPUTED_VALUE"""),87712.0)</f>
        <v>87712</v>
      </c>
      <c r="B3167" s="5">
        <f>IFERROR(__xludf.DUMMYFUNCTION("""COMPUTED_VALUE"""),44994.7364943287)</f>
        <v>44994.73649</v>
      </c>
      <c r="C3167" s="1" t="str">
        <f>IFERROR(__xludf.DUMMYFUNCTION("""COMPUTED_VALUE"""),"ALESSANDRIA ELISABETH ANGELA ")</f>
        <v>ALESSANDRIA ELISABETH ANGELA </v>
      </c>
      <c r="D3167" s="1" t="str">
        <f>IFERROR(__xludf.DUMMYFUNCTION("""COMPUTED_VALUE"""),"Lentes BIFOCALES")</f>
        <v>Lentes BIFOCALES</v>
      </c>
      <c r="E3167" s="1" t="str">
        <f>IFERROR(__xludf.DUMMYFUNCTION("""COMPUTED_VALUE"""),"ARTIGAS Roció")</f>
        <v>ARTIGAS Roció</v>
      </c>
      <c r="F3167" s="1" t="str">
        <f t="shared" si="1"/>
        <v>ARTIGAS </v>
      </c>
      <c r="G3167" s="1" t="str">
        <f t="shared" si="2"/>
        <v>Roció</v>
      </c>
      <c r="H3167" s="1" t="str">
        <f>IFERROR(__xludf.DUMMYFUNCTION("""COMPUTED_VALUE"""),"22/3/2023, 17:00:00")</f>
        <v>22/3/2023, 17:00:00</v>
      </c>
      <c r="I3167" s="1" t="str">
        <f>IFERROR(__xludf.DUMMYFUNCTION("""COMPUTED_VALUE"""),"Completado en SUCURSAL")</f>
        <v>Completado en SUCURSAL</v>
      </c>
      <c r="J3167" s="1">
        <f t="shared" si="3"/>
        <v>5</v>
      </c>
      <c r="K3167" s="1" t="str">
        <f t="shared" si="4"/>
        <v>Tus Lentes estan LISTAS PARA ENTREGAR, te esperamos.</v>
      </c>
    </row>
    <row r="3168">
      <c r="A3168" s="1">
        <f>IFERROR(__xludf.DUMMYFUNCTION("""COMPUTED_VALUE"""),87713.0)</f>
        <v>87713</v>
      </c>
      <c r="B3168" s="5">
        <f>IFERROR(__xludf.DUMMYFUNCTION("""COMPUTED_VALUE"""),44994.737334641206)</f>
        <v>44994.73733</v>
      </c>
      <c r="C3168" s="1" t="str">
        <f>IFERROR(__xludf.DUMMYFUNCTION("""COMPUTED_VALUE"""),"VEGA MARIA VICTORIA")</f>
        <v>VEGA MARIA VICTORIA</v>
      </c>
      <c r="D3168" s="1" t="str">
        <f>IFERROR(__xludf.DUMMYFUNCTION("""COMPUTED_VALUE"""),"Lentes de STOCK")</f>
        <v>Lentes de STOCK</v>
      </c>
      <c r="E3168" s="1" t="str">
        <f>IFERROR(__xludf.DUMMYFUNCTION("""COMPUTED_VALUE"""),"RIVADAVIA Santiago N")</f>
        <v>RIVADAVIA Santiago N</v>
      </c>
      <c r="F3168" s="1" t="str">
        <f t="shared" si="1"/>
        <v>RIVADAVIA </v>
      </c>
      <c r="G3168" s="1" t="str">
        <f t="shared" si="2"/>
        <v>Santiago N</v>
      </c>
      <c r="H3168" s="1" t="str">
        <f>IFERROR(__xludf.DUMMYFUNCTION("""COMPUTED_VALUE"""),"13/3/2023, 17:00:00")</f>
        <v>13/3/2023, 17:00:00</v>
      </c>
      <c r="I3168" s="1" t="str">
        <f>IFERROR(__xludf.DUMMYFUNCTION("""COMPUTED_VALUE"""),"Completado en SUCURSAL")</f>
        <v>Completado en SUCURSAL</v>
      </c>
      <c r="J3168" s="1">
        <f t="shared" si="3"/>
        <v>5</v>
      </c>
      <c r="K3168" s="1" t="str">
        <f t="shared" si="4"/>
        <v>Tus Lentes estan LISTAS PARA ENTREGAR, te esperamos.</v>
      </c>
    </row>
    <row r="3169">
      <c r="A3169" s="1">
        <f>IFERROR(__xludf.DUMMYFUNCTION("""COMPUTED_VALUE"""),87714.0)</f>
        <v>87714</v>
      </c>
      <c r="B3169" s="5">
        <f>IFERROR(__xludf.DUMMYFUNCTION("""COMPUTED_VALUE"""),44994.75329850694)</f>
        <v>44994.7533</v>
      </c>
      <c r="C3169" s="1" t="str">
        <f>IFERROR(__xludf.DUMMYFUNCTION("""COMPUTED_VALUE"""),"TURENNE FERNANDO")</f>
        <v>TURENNE FERNANDO</v>
      </c>
      <c r="D3169" s="1" t="str">
        <f>IFERROR(__xludf.DUMMYFUNCTION("""COMPUTED_VALUE"""),"Reparaciones/Otros")</f>
        <v>Reparaciones/Otros</v>
      </c>
      <c r="E3169" s="1" t="str">
        <f>IFERROR(__xludf.DUMMYFUNCTION("""COMPUTED_VALUE"""),"ARTIGAS Roció")</f>
        <v>ARTIGAS Roció</v>
      </c>
      <c r="F3169" s="1" t="str">
        <f t="shared" si="1"/>
        <v>ARTIGAS </v>
      </c>
      <c r="G3169" s="1" t="str">
        <f t="shared" si="2"/>
        <v>Roció</v>
      </c>
      <c r="H3169" s="1" t="str">
        <f>IFERROR(__xludf.DUMMYFUNCTION("""COMPUTED_VALUE"""),"13/3/2023, 17:00:00")</f>
        <v>13/3/2023, 17:00:00</v>
      </c>
      <c r="I3169" s="1" t="str">
        <f>IFERROR(__xludf.DUMMYFUNCTION("""COMPUTED_VALUE"""),"Completado en SUCURSAL")</f>
        <v>Completado en SUCURSAL</v>
      </c>
      <c r="J3169" s="1">
        <f t="shared" si="3"/>
        <v>5</v>
      </c>
      <c r="K3169" s="1" t="str">
        <f t="shared" si="4"/>
        <v>Tus Lentes estan LISTAS PARA ENTREGAR, te esperamos.</v>
      </c>
    </row>
    <row r="3170">
      <c r="A3170" s="1">
        <f>IFERROR(__xludf.DUMMYFUNCTION("""COMPUTED_VALUE"""),87715.0)</f>
        <v>87715</v>
      </c>
      <c r="B3170" s="5">
        <f>IFERROR(__xludf.DUMMYFUNCTION("""COMPUTED_VALUE"""),44994.75484758102)</f>
        <v>44994.75485</v>
      </c>
      <c r="C3170" s="1" t="str">
        <f>IFERROR(__xludf.DUMMYFUNCTION("""COMPUTED_VALUE"""),"GIMENEZ HUGO")</f>
        <v>GIMENEZ HUGO</v>
      </c>
      <c r="D3170" s="1" t="str">
        <f>IFERROR(__xludf.DUMMYFUNCTION("""COMPUTED_VALUE"""),"Lentes de STOCK")</f>
        <v>Lentes de STOCK</v>
      </c>
      <c r="E3170" s="1" t="str">
        <f>IFERROR(__xludf.DUMMYFUNCTION("""COMPUTED_VALUE"""),"RIVADAVIA Santiago LOPEZ")</f>
        <v>RIVADAVIA Santiago LOPEZ</v>
      </c>
      <c r="F3170" s="1" t="str">
        <f t="shared" si="1"/>
        <v>RIVADAVIA </v>
      </c>
      <c r="G3170" s="1" t="str">
        <f t="shared" si="2"/>
        <v>Santiago LOPEZ</v>
      </c>
      <c r="H3170" s="1" t="str">
        <f>IFERROR(__xludf.DUMMYFUNCTION("""COMPUTED_VALUE"""),"14/3/2023, 17:00:00")</f>
        <v>14/3/2023, 17:00:00</v>
      </c>
      <c r="I3170" s="1" t="str">
        <f>IFERROR(__xludf.DUMMYFUNCTION("""COMPUTED_VALUE"""),"Completado en SUCURSAL")</f>
        <v>Completado en SUCURSAL</v>
      </c>
      <c r="J3170" s="1">
        <f t="shared" si="3"/>
        <v>5</v>
      </c>
      <c r="K3170" s="1" t="str">
        <f t="shared" si="4"/>
        <v>Tus Lentes estan LISTAS PARA ENTREGAR, te esperamos.</v>
      </c>
    </row>
    <row r="3171">
      <c r="A3171" s="1">
        <f>IFERROR(__xludf.DUMMYFUNCTION("""COMPUTED_VALUE"""),87716.0)</f>
        <v>87716</v>
      </c>
      <c r="B3171" s="5">
        <f>IFERROR(__xludf.DUMMYFUNCTION("""COMPUTED_VALUE"""),44994.75990262732)</f>
        <v>44994.7599</v>
      </c>
      <c r="C3171" s="1" t="str">
        <f>IFERROR(__xludf.DUMMYFUNCTION("""COMPUTED_VALUE"""),"URQUIZA LAUTARO ")</f>
        <v>URQUIZA LAUTARO </v>
      </c>
      <c r="D3171" s="1" t="str">
        <f>IFERROR(__xludf.DUMMYFUNCTION("""COMPUTED_VALUE"""),"Lentes de STOCK")</f>
        <v>Lentes de STOCK</v>
      </c>
      <c r="E3171" s="1" t="str">
        <f>IFERROR(__xludf.DUMMYFUNCTION("""COMPUTED_VALUE"""),"RIVADAVIA Christian C.")</f>
        <v>RIVADAVIA Christian C.</v>
      </c>
      <c r="F3171" s="1" t="str">
        <f t="shared" si="1"/>
        <v>RIVADAVIA </v>
      </c>
      <c r="G3171" s="1" t="str">
        <f t="shared" si="2"/>
        <v>Christian C.</v>
      </c>
      <c r="H3171" s="1" t="str">
        <f>IFERROR(__xludf.DUMMYFUNCTION("""COMPUTED_VALUE"""),"16/3/2023, 17:00:00")</f>
        <v>16/3/2023, 17:00:00</v>
      </c>
      <c r="I3171" s="1" t="str">
        <f>IFERROR(__xludf.DUMMYFUNCTION("""COMPUTED_VALUE"""),"Completado en SUCURSAL")</f>
        <v>Completado en SUCURSAL</v>
      </c>
      <c r="J3171" s="1">
        <f t="shared" si="3"/>
        <v>5</v>
      </c>
      <c r="K3171" s="1" t="str">
        <f t="shared" si="4"/>
        <v>Tus Lentes estan LISTAS PARA ENTREGAR, te esperamos.</v>
      </c>
    </row>
    <row r="3172">
      <c r="A3172" s="1">
        <f>IFERROR(__xludf.DUMMYFUNCTION("""COMPUTED_VALUE"""),87717.0)</f>
        <v>87717</v>
      </c>
      <c r="B3172" s="5">
        <f>IFERROR(__xludf.DUMMYFUNCTION("""COMPUTED_VALUE"""),44994.76117508102)</f>
        <v>44994.76118</v>
      </c>
      <c r="C3172" s="1" t="str">
        <f>IFERROR(__xludf.DUMMYFUNCTION("""COMPUTED_VALUE"""),"ECHENIQUE CLAUDIO")</f>
        <v>ECHENIQUE CLAUDIO</v>
      </c>
      <c r="D3172" s="1" t="str">
        <f>IFERROR(__xludf.DUMMYFUNCTION("""COMPUTED_VALUE"""),"Lentes de STOCK")</f>
        <v>Lentes de STOCK</v>
      </c>
      <c r="E3172" s="1" t="str">
        <f>IFERROR(__xludf.DUMMYFUNCTION("""COMPUTED_VALUE"""),"ARTIGAS Ivana P.")</f>
        <v>ARTIGAS Ivana P.</v>
      </c>
      <c r="F3172" s="1" t="str">
        <f t="shared" si="1"/>
        <v>ARTIGAS </v>
      </c>
      <c r="G3172" s="1" t="str">
        <f t="shared" si="2"/>
        <v>Ivana P.</v>
      </c>
      <c r="H3172" s="1" t="str">
        <f>IFERROR(__xludf.DUMMYFUNCTION("""COMPUTED_VALUE"""),"14/3/2023, 17:00:00")</f>
        <v>14/3/2023, 17:00:00</v>
      </c>
      <c r="I3172" s="1" t="str">
        <f>IFERROR(__xludf.DUMMYFUNCTION("""COMPUTED_VALUE"""),"Completado en SUCURSAL")</f>
        <v>Completado en SUCURSAL</v>
      </c>
      <c r="J3172" s="1">
        <f t="shared" si="3"/>
        <v>5</v>
      </c>
      <c r="K3172" s="1" t="str">
        <f t="shared" si="4"/>
        <v>Tus Lentes estan LISTAS PARA ENTREGAR, te esperamos.</v>
      </c>
    </row>
    <row r="3173">
      <c r="A3173" s="1">
        <f>IFERROR(__xludf.DUMMYFUNCTION("""COMPUTED_VALUE"""),87718.0)</f>
        <v>87718</v>
      </c>
      <c r="B3173" s="5">
        <f>IFERROR(__xludf.DUMMYFUNCTION("""COMPUTED_VALUE"""),44994.763242581015)</f>
        <v>44994.76324</v>
      </c>
      <c r="C3173" s="1" t="str">
        <f>IFERROR(__xludf.DUMMYFUNCTION("""COMPUTED_VALUE"""),"CARO MORLA MARIA AGOSTINA")</f>
        <v>CARO MORLA MARIA AGOSTINA</v>
      </c>
      <c r="D3173" s="1" t="str">
        <f>IFERROR(__xludf.DUMMYFUNCTION("""COMPUTED_VALUE"""),"Lentes de STOCK")</f>
        <v>Lentes de STOCK</v>
      </c>
      <c r="E3173" s="1" t="str">
        <f>IFERROR(__xludf.DUMMYFUNCTION("""COMPUTED_VALUE"""),"RIVADAVIA Javier")</f>
        <v>RIVADAVIA Javier</v>
      </c>
      <c r="F3173" s="1" t="str">
        <f t="shared" si="1"/>
        <v>RIVADAVIA </v>
      </c>
      <c r="G3173" s="1" t="str">
        <f t="shared" si="2"/>
        <v>Javier</v>
      </c>
      <c r="H3173" s="1" t="str">
        <f>IFERROR(__xludf.DUMMYFUNCTION("""COMPUTED_VALUE"""),"14/3/2023, 17:00:00")</f>
        <v>14/3/2023, 17:00:00</v>
      </c>
      <c r="I3173" s="1" t="str">
        <f>IFERROR(__xludf.DUMMYFUNCTION("""COMPUTED_VALUE"""),"Completado en SUCURSAL")</f>
        <v>Completado en SUCURSAL</v>
      </c>
      <c r="J3173" s="1">
        <f t="shared" si="3"/>
        <v>5</v>
      </c>
      <c r="K3173" s="1" t="str">
        <f t="shared" si="4"/>
        <v>Tus Lentes estan LISTAS PARA ENTREGAR, te esperamos.</v>
      </c>
    </row>
    <row r="3174">
      <c r="A3174" s="1">
        <f>IFERROR(__xludf.DUMMYFUNCTION("""COMPUTED_VALUE"""),87719.0)</f>
        <v>87719</v>
      </c>
      <c r="B3174" s="5">
        <f>IFERROR(__xludf.DUMMYFUNCTION("""COMPUTED_VALUE"""),44994.76542876157)</f>
        <v>44994.76543</v>
      </c>
      <c r="C3174" s="1" t="str">
        <f>IFERROR(__xludf.DUMMYFUNCTION("""COMPUTED_VALUE"""),"MENDOZA WALTER")</f>
        <v>MENDOZA WALTER</v>
      </c>
      <c r="D3174" s="1" t="str">
        <f>IFERROR(__xludf.DUMMYFUNCTION("""COMPUTED_VALUE"""),"Lentes BIFOCALES")</f>
        <v>Lentes BIFOCALES</v>
      </c>
      <c r="E3174" s="1" t="str">
        <f>IFERROR(__xludf.DUMMYFUNCTION("""COMPUTED_VALUE"""),"ARTIGAS Ivana P.")</f>
        <v>ARTIGAS Ivana P.</v>
      </c>
      <c r="F3174" s="1" t="str">
        <f t="shared" si="1"/>
        <v>ARTIGAS </v>
      </c>
      <c r="G3174" s="1" t="str">
        <f t="shared" si="2"/>
        <v>Ivana P.</v>
      </c>
      <c r="H3174" s="1" t="str">
        <f>IFERROR(__xludf.DUMMYFUNCTION("""COMPUTED_VALUE"""),"18/3/2023, 17:00:00")</f>
        <v>18/3/2023, 17:00:00</v>
      </c>
      <c r="I3174" s="1"/>
      <c r="J3174" s="1">
        <f t="shared" si="3"/>
        <v>0</v>
      </c>
      <c r="K3174" s="1" t="str">
        <f t="shared" si="4"/>
        <v/>
      </c>
    </row>
    <row r="3175">
      <c r="A3175" s="1">
        <f>IFERROR(__xludf.DUMMYFUNCTION("""COMPUTED_VALUE"""),87720.0)</f>
        <v>87720</v>
      </c>
      <c r="B3175" s="5">
        <f>IFERROR(__xludf.DUMMYFUNCTION("""COMPUTED_VALUE"""),44994.766171724536)</f>
        <v>44994.76617</v>
      </c>
      <c r="C3175" s="1" t="str">
        <f>IFERROR(__xludf.DUMMYFUNCTION("""COMPUTED_VALUE"""),"MORCON LUCERO CARLOS ALBERTO")</f>
        <v>MORCON LUCERO CARLOS ALBERTO</v>
      </c>
      <c r="D3175" s="1" t="str">
        <f>IFERROR(__xludf.DUMMYFUNCTION("""COMPUTED_VALUE"""),"Lentes de STOCK")</f>
        <v>Lentes de STOCK</v>
      </c>
      <c r="E3175" s="1" t="str">
        <f>IFERROR(__xludf.DUMMYFUNCTION("""COMPUTED_VALUE"""),"ARTIGAS Roció")</f>
        <v>ARTIGAS Roció</v>
      </c>
      <c r="F3175" s="1" t="str">
        <f t="shared" si="1"/>
        <v>ARTIGAS </v>
      </c>
      <c r="G3175" s="1" t="str">
        <f t="shared" si="2"/>
        <v>Roció</v>
      </c>
      <c r="H3175" s="1" t="str">
        <f>IFERROR(__xludf.DUMMYFUNCTION("""COMPUTED_VALUE"""),"17/3/2023, 17:00:00")</f>
        <v>17/3/2023, 17:00:00</v>
      </c>
      <c r="I3175" s="1" t="str">
        <f>IFERROR(__xludf.DUMMYFUNCTION("""COMPUTED_VALUE"""),"Completado en SUCURSAL")</f>
        <v>Completado en SUCURSAL</v>
      </c>
      <c r="J3175" s="1">
        <f t="shared" si="3"/>
        <v>5</v>
      </c>
      <c r="K3175" s="1" t="str">
        <f t="shared" si="4"/>
        <v>Tus Lentes estan LISTAS PARA ENTREGAR, te esperamos.</v>
      </c>
    </row>
    <row r="3176">
      <c r="A3176" s="1">
        <f>IFERROR(__xludf.DUMMYFUNCTION("""COMPUTED_VALUE"""),87721.0)</f>
        <v>87721</v>
      </c>
      <c r="B3176" s="5">
        <f>IFERROR(__xludf.DUMMYFUNCTION("""COMPUTED_VALUE"""),44994.772496527774)</f>
        <v>44994.7725</v>
      </c>
      <c r="C3176" s="1" t="str">
        <f>IFERROR(__xludf.DUMMYFUNCTION("""COMPUTED_VALUE"""),"KENNY MAXIMO ")</f>
        <v>KENNY MAXIMO </v>
      </c>
      <c r="D3176" s="1" t="str">
        <f>IFERROR(__xludf.DUMMYFUNCTION("""COMPUTED_VALUE"""),"Lentes de STOCK")</f>
        <v>Lentes de STOCK</v>
      </c>
      <c r="E3176" s="1" t="str">
        <f>IFERROR(__xludf.DUMMYFUNCTION("""COMPUTED_VALUE"""),"ARTIGAS Roció")</f>
        <v>ARTIGAS Roció</v>
      </c>
      <c r="F3176" s="1" t="str">
        <f t="shared" si="1"/>
        <v>ARTIGAS </v>
      </c>
      <c r="G3176" s="1" t="str">
        <f t="shared" si="2"/>
        <v>Roció</v>
      </c>
      <c r="H3176" s="1" t="str">
        <f>IFERROR(__xludf.DUMMYFUNCTION("""COMPUTED_VALUE"""),"17/3/2023, 17:00:00")</f>
        <v>17/3/2023, 17:00:00</v>
      </c>
      <c r="I3176" s="1" t="str">
        <f>IFERROR(__xludf.DUMMYFUNCTION("""COMPUTED_VALUE"""),"Completado en SUCURSAL")</f>
        <v>Completado en SUCURSAL</v>
      </c>
      <c r="J3176" s="1">
        <f t="shared" si="3"/>
        <v>5</v>
      </c>
      <c r="K3176" s="1" t="str">
        <f t="shared" si="4"/>
        <v>Tus Lentes estan LISTAS PARA ENTREGAR, te esperamos.</v>
      </c>
    </row>
    <row r="3177">
      <c r="A3177" s="1">
        <f>IFERROR(__xludf.DUMMYFUNCTION("""COMPUTED_VALUE"""),87722.0)</f>
        <v>87722</v>
      </c>
      <c r="B3177" s="5">
        <f>IFERROR(__xludf.DUMMYFUNCTION("""COMPUTED_VALUE"""),44994.780300185186)</f>
        <v>44994.7803</v>
      </c>
      <c r="C3177" s="1" t="str">
        <f>IFERROR(__xludf.DUMMYFUNCTION("""COMPUTED_VALUE"""),"MESA PATRICIA LILIANA")</f>
        <v>MESA PATRICIA LILIANA</v>
      </c>
      <c r="D3177" s="1" t="str">
        <f>IFERROR(__xludf.DUMMYFUNCTION("""COMPUTED_VALUE"""),"Lentes de STOCK")</f>
        <v>Lentes de STOCK</v>
      </c>
      <c r="E3177" s="1" t="str">
        <f>IFERROR(__xludf.DUMMYFUNCTION("""COMPUTED_VALUE"""),"ARTIGAS Roció")</f>
        <v>ARTIGAS Roció</v>
      </c>
      <c r="F3177" s="1" t="str">
        <f t="shared" si="1"/>
        <v>ARTIGAS </v>
      </c>
      <c r="G3177" s="1" t="str">
        <f t="shared" si="2"/>
        <v>Roció</v>
      </c>
      <c r="H3177" s="1" t="str">
        <f>IFERROR(__xludf.DUMMYFUNCTION("""COMPUTED_VALUE"""),"17/3/2023, 17:00:00")</f>
        <v>17/3/2023, 17:00:00</v>
      </c>
      <c r="I3177" s="1" t="str">
        <f>IFERROR(__xludf.DUMMYFUNCTION("""COMPUTED_VALUE"""),"Completado en SUCURSAL")</f>
        <v>Completado en SUCURSAL</v>
      </c>
      <c r="J3177" s="1">
        <f t="shared" si="3"/>
        <v>5</v>
      </c>
      <c r="K3177" s="1" t="str">
        <f t="shared" si="4"/>
        <v>Tus Lentes estan LISTAS PARA ENTREGAR, te esperamos.</v>
      </c>
    </row>
    <row r="3178">
      <c r="A3178" s="1">
        <f>IFERROR(__xludf.DUMMYFUNCTION("""COMPUTED_VALUE"""),87723.0)</f>
        <v>87723</v>
      </c>
      <c r="B3178" s="5">
        <f>IFERROR(__xludf.DUMMYFUNCTION("""COMPUTED_VALUE"""),44994.78228586806)</f>
        <v>44994.78229</v>
      </c>
      <c r="C3178" s="1" t="str">
        <f>IFERROR(__xludf.DUMMYFUNCTION("""COMPUTED_VALUE"""),"DI PIERRO ANA MARIA")</f>
        <v>DI PIERRO ANA MARIA</v>
      </c>
      <c r="D3178" s="1" t="str">
        <f>IFERROR(__xludf.DUMMYFUNCTION("""COMPUTED_VALUE"""),"Lentes de STOCK")</f>
        <v>Lentes de STOCK</v>
      </c>
      <c r="E3178" s="1" t="str">
        <f>IFERROR(__xludf.DUMMYFUNCTION("""COMPUTED_VALUE"""),"RIVADAVIA Santiago N")</f>
        <v>RIVADAVIA Santiago N</v>
      </c>
      <c r="F3178" s="1" t="str">
        <f t="shared" si="1"/>
        <v>RIVADAVIA </v>
      </c>
      <c r="G3178" s="1" t="str">
        <f t="shared" si="2"/>
        <v>Santiago N</v>
      </c>
      <c r="H3178" s="1" t="str">
        <f>IFERROR(__xludf.DUMMYFUNCTION("""COMPUTED_VALUE"""),"13/3/2023, 17:00:00")</f>
        <v>13/3/2023, 17:00:00</v>
      </c>
      <c r="I3178" s="1" t="str">
        <f>IFERROR(__xludf.DUMMYFUNCTION("""COMPUTED_VALUE"""),"Completado en SUCURSAL")</f>
        <v>Completado en SUCURSAL</v>
      </c>
      <c r="J3178" s="1">
        <f t="shared" si="3"/>
        <v>5</v>
      </c>
      <c r="K3178" s="1" t="str">
        <f t="shared" si="4"/>
        <v>Tus Lentes estan LISTAS PARA ENTREGAR, te esperamos.</v>
      </c>
    </row>
    <row r="3179">
      <c r="A3179" s="1">
        <f>IFERROR(__xludf.DUMMYFUNCTION("""COMPUTED_VALUE"""),87724.0)</f>
        <v>87724</v>
      </c>
      <c r="B3179" s="5">
        <f>IFERROR(__xludf.DUMMYFUNCTION("""COMPUTED_VALUE"""),44994.785126076385)</f>
        <v>44994.78513</v>
      </c>
      <c r="C3179" s="1" t="str">
        <f>IFERROR(__xludf.DUMMYFUNCTION("""COMPUTED_VALUE"""),"HIDALGO ALBERTO ODON")</f>
        <v>HIDALGO ALBERTO ODON</v>
      </c>
      <c r="D3179" s="1" t="str">
        <f>IFERROR(__xludf.DUMMYFUNCTION("""COMPUTED_VALUE"""),"Lentes de STOCK")</f>
        <v>Lentes de STOCK</v>
      </c>
      <c r="E3179" s="1" t="str">
        <f>IFERROR(__xludf.DUMMYFUNCTION("""COMPUTED_VALUE"""),"ARTIGAS Roció")</f>
        <v>ARTIGAS Roció</v>
      </c>
      <c r="F3179" s="1" t="str">
        <f t="shared" si="1"/>
        <v>ARTIGAS </v>
      </c>
      <c r="G3179" s="1" t="str">
        <f t="shared" si="2"/>
        <v>Roció</v>
      </c>
      <c r="H3179" s="1" t="str">
        <f>IFERROR(__xludf.DUMMYFUNCTION("""COMPUTED_VALUE"""),"17/3/2023, 17:00:00")</f>
        <v>17/3/2023, 17:00:00</v>
      </c>
      <c r="I3179" s="1" t="str">
        <f>IFERROR(__xludf.DUMMYFUNCTION("""COMPUTED_VALUE"""),"Completado en SUCURSAL")</f>
        <v>Completado en SUCURSAL</v>
      </c>
      <c r="J3179" s="1">
        <f t="shared" si="3"/>
        <v>5</v>
      </c>
      <c r="K3179" s="1" t="str">
        <f t="shared" si="4"/>
        <v>Tus Lentes estan LISTAS PARA ENTREGAR, te esperamos.</v>
      </c>
    </row>
    <row r="3180">
      <c r="A3180" s="1">
        <f>IFERROR(__xludf.DUMMYFUNCTION("""COMPUTED_VALUE"""),87725.0)</f>
        <v>87725</v>
      </c>
      <c r="B3180" s="5">
        <f>IFERROR(__xludf.DUMMYFUNCTION("""COMPUTED_VALUE"""),44994.78967920139)</f>
        <v>44994.78968</v>
      </c>
      <c r="C3180" s="1" t="str">
        <f>IFERROR(__xludf.DUMMYFUNCTION("""COMPUTED_VALUE"""),"sosa emilio")</f>
        <v>sosa emilio</v>
      </c>
      <c r="D3180" s="1" t="str">
        <f>IFERROR(__xludf.DUMMYFUNCTION("""COMPUTED_VALUE"""),"Lentes de STOCK")</f>
        <v>Lentes de STOCK</v>
      </c>
      <c r="E3180" s="1" t="str">
        <f>IFERROR(__xludf.DUMMYFUNCTION("""COMPUTED_VALUE"""),"ARTIGAS Roció")</f>
        <v>ARTIGAS Roció</v>
      </c>
      <c r="F3180" s="1" t="str">
        <f t="shared" si="1"/>
        <v>ARTIGAS </v>
      </c>
      <c r="G3180" s="1" t="str">
        <f t="shared" si="2"/>
        <v>Roció</v>
      </c>
      <c r="H3180" s="1" t="str">
        <f>IFERROR(__xludf.DUMMYFUNCTION("""COMPUTED_VALUE"""),"17/3/2023, 17:00:00")</f>
        <v>17/3/2023, 17:00:00</v>
      </c>
      <c r="I3180" s="1" t="str">
        <f>IFERROR(__xludf.DUMMYFUNCTION("""COMPUTED_VALUE"""),"Completado en SUCURSAL")</f>
        <v>Completado en SUCURSAL</v>
      </c>
      <c r="J3180" s="1">
        <f t="shared" si="3"/>
        <v>5</v>
      </c>
      <c r="K3180" s="1" t="str">
        <f t="shared" si="4"/>
        <v>Tus Lentes estan LISTAS PARA ENTREGAR, te esperamos.</v>
      </c>
    </row>
    <row r="3181">
      <c r="A3181" s="1">
        <f>IFERROR(__xludf.DUMMYFUNCTION("""COMPUTED_VALUE"""),87726.0)</f>
        <v>87726</v>
      </c>
      <c r="B3181" s="5">
        <f>IFERROR(__xludf.DUMMYFUNCTION("""COMPUTED_VALUE"""),44994.79418697917)</f>
        <v>44994.79419</v>
      </c>
      <c r="C3181" s="1" t="str">
        <f>IFERROR(__xludf.DUMMYFUNCTION("""COMPUTED_VALUE"""),"VILLEGAS ROCIO")</f>
        <v>VILLEGAS ROCIO</v>
      </c>
      <c r="D3181" s="1" t="str">
        <f>IFERROR(__xludf.DUMMYFUNCTION("""COMPUTED_VALUE"""),"Lentes de STOCK")</f>
        <v>Lentes de STOCK</v>
      </c>
      <c r="E3181" s="1" t="str">
        <f>IFERROR(__xludf.DUMMYFUNCTION("""COMPUTED_VALUE"""),"RIVADAVIA Santiago LOPEZ")</f>
        <v>RIVADAVIA Santiago LOPEZ</v>
      </c>
      <c r="F3181" s="1" t="str">
        <f t="shared" si="1"/>
        <v>RIVADAVIA </v>
      </c>
      <c r="G3181" s="1" t="str">
        <f t="shared" si="2"/>
        <v>Santiago LOPEZ</v>
      </c>
      <c r="H3181" s="1" t="str">
        <f>IFERROR(__xludf.DUMMYFUNCTION("""COMPUTED_VALUE"""),"14/3/2023, 17:00:00")</f>
        <v>14/3/2023, 17:00:00</v>
      </c>
      <c r="I3181" s="1" t="str">
        <f>IFERROR(__xludf.DUMMYFUNCTION("""COMPUTED_VALUE"""),"Completado en SUCURSAL")</f>
        <v>Completado en SUCURSAL</v>
      </c>
      <c r="J3181" s="1">
        <f t="shared" si="3"/>
        <v>5</v>
      </c>
      <c r="K3181" s="1" t="str">
        <f t="shared" si="4"/>
        <v>Tus Lentes estan LISTAS PARA ENTREGAR, te esperamos.</v>
      </c>
    </row>
    <row r="3182">
      <c r="A3182" s="1">
        <f>IFERROR(__xludf.DUMMYFUNCTION("""COMPUTED_VALUE"""),87727.0)</f>
        <v>87727</v>
      </c>
      <c r="B3182" s="5">
        <f>IFERROR(__xludf.DUMMYFUNCTION("""COMPUTED_VALUE"""),44994.801850289354)</f>
        <v>44994.80185</v>
      </c>
      <c r="C3182" s="1" t="str">
        <f>IFERROR(__xludf.DUMMYFUNCTION("""COMPUTED_VALUE"""),"MACIAS MARIA MARTA")</f>
        <v>MACIAS MARIA MARTA</v>
      </c>
      <c r="D3182" s="1" t="str">
        <f>IFERROR(__xludf.DUMMYFUNCTION("""COMPUTED_VALUE"""),"Lentes de STOCK")</f>
        <v>Lentes de STOCK</v>
      </c>
      <c r="E3182" s="1" t="str">
        <f>IFERROR(__xludf.DUMMYFUNCTION("""COMPUTED_VALUE"""),"ARTIGAS Roció")</f>
        <v>ARTIGAS Roció</v>
      </c>
      <c r="F3182" s="1" t="str">
        <f t="shared" si="1"/>
        <v>ARTIGAS </v>
      </c>
      <c r="G3182" s="1" t="str">
        <f t="shared" si="2"/>
        <v>Roció</v>
      </c>
      <c r="H3182" s="1" t="str">
        <f>IFERROR(__xludf.DUMMYFUNCTION("""COMPUTED_VALUE"""),"17/3/2023, 17:00:00")</f>
        <v>17/3/2023, 17:00:00</v>
      </c>
      <c r="I3182" s="1" t="str">
        <f>IFERROR(__xludf.DUMMYFUNCTION("""COMPUTED_VALUE"""),"Completado en SUCURSAL")</f>
        <v>Completado en SUCURSAL</v>
      </c>
      <c r="J3182" s="1">
        <f t="shared" si="3"/>
        <v>5</v>
      </c>
      <c r="K3182" s="1" t="str">
        <f t="shared" si="4"/>
        <v>Tus Lentes estan LISTAS PARA ENTREGAR, te esperamos.</v>
      </c>
    </row>
    <row r="3183">
      <c r="A3183" s="1">
        <f>IFERROR(__xludf.DUMMYFUNCTION("""COMPUTED_VALUE"""),87728.0)</f>
        <v>87728</v>
      </c>
      <c r="B3183" s="5">
        <f>IFERROR(__xludf.DUMMYFUNCTION("""COMPUTED_VALUE"""),44994.810872118054)</f>
        <v>44994.81087</v>
      </c>
      <c r="C3183" s="1" t="str">
        <f>IFERROR(__xludf.DUMMYFUNCTION("""COMPUTED_VALUE"""),"BONFIGLIOLI MARIANA")</f>
        <v>BONFIGLIOLI MARIANA</v>
      </c>
      <c r="D3183" s="1" t="str">
        <f>IFERROR(__xludf.DUMMYFUNCTION("""COMPUTED_VALUE"""),"Lentes de STOCK")</f>
        <v>Lentes de STOCK</v>
      </c>
      <c r="E3183" s="1" t="str">
        <f>IFERROR(__xludf.DUMMYFUNCTION("""COMPUTED_VALUE"""),"ARTIGAS Ivana P.")</f>
        <v>ARTIGAS Ivana P.</v>
      </c>
      <c r="F3183" s="1" t="str">
        <f t="shared" si="1"/>
        <v>ARTIGAS </v>
      </c>
      <c r="G3183" s="1" t="str">
        <f t="shared" si="2"/>
        <v>Ivana P.</v>
      </c>
      <c r="H3183" s="1" t="str">
        <f>IFERROR(__xludf.DUMMYFUNCTION("""COMPUTED_VALUE"""),"15/3/2023, 17:00:00")</f>
        <v>15/3/2023, 17:00:00</v>
      </c>
      <c r="I3183" s="1" t="str">
        <f>IFERROR(__xludf.DUMMYFUNCTION("""COMPUTED_VALUE"""),"Completado en SUCURSAL")</f>
        <v>Completado en SUCURSAL</v>
      </c>
      <c r="J3183" s="1">
        <f t="shared" si="3"/>
        <v>5</v>
      </c>
      <c r="K3183" s="1" t="str">
        <f t="shared" si="4"/>
        <v>Tus Lentes estan LISTAS PARA ENTREGAR, te esperamos.</v>
      </c>
    </row>
    <row r="3184">
      <c r="A3184" s="1">
        <f>IFERROR(__xludf.DUMMYFUNCTION("""COMPUTED_VALUE"""),87729.0)</f>
        <v>87729</v>
      </c>
      <c r="B3184" s="5">
        <f>IFERROR(__xludf.DUMMYFUNCTION("""COMPUTED_VALUE"""),44994.81672530093)</f>
        <v>44994.81673</v>
      </c>
      <c r="C3184" s="1" t="str">
        <f>IFERROR(__xludf.DUMMYFUNCTION("""COMPUTED_VALUE"""),"QUEVEDO NELIDA ESTER")</f>
        <v>QUEVEDO NELIDA ESTER</v>
      </c>
      <c r="D3184" s="1" t="str">
        <f>IFERROR(__xludf.DUMMYFUNCTION("""COMPUTED_VALUE"""),"Lentes de STOCK")</f>
        <v>Lentes de STOCK</v>
      </c>
      <c r="E3184" s="1" t="str">
        <f>IFERROR(__xludf.DUMMYFUNCTION("""COMPUTED_VALUE"""),"RIVADAVIA Javier")</f>
        <v>RIVADAVIA Javier</v>
      </c>
      <c r="F3184" s="1" t="str">
        <f t="shared" si="1"/>
        <v>RIVADAVIA </v>
      </c>
      <c r="G3184" s="1" t="str">
        <f t="shared" si="2"/>
        <v>Javier</v>
      </c>
      <c r="H3184" s="1" t="str">
        <f>IFERROR(__xludf.DUMMYFUNCTION("""COMPUTED_VALUE"""),"11/3/2023, 17:00:00")</f>
        <v>11/3/2023, 17:00:00</v>
      </c>
      <c r="I3184" s="1" t="str">
        <f>IFERROR(__xludf.DUMMYFUNCTION("""COMPUTED_VALUE"""),"Completado en SUCURSAL")</f>
        <v>Completado en SUCURSAL</v>
      </c>
      <c r="J3184" s="1">
        <f t="shared" si="3"/>
        <v>5</v>
      </c>
      <c r="K3184" s="1" t="str">
        <f t="shared" si="4"/>
        <v>Tus Lentes estan LISTAS PARA ENTREGAR, te esperamos.</v>
      </c>
    </row>
    <row r="3185">
      <c r="A3185" s="1">
        <f>IFERROR(__xludf.DUMMYFUNCTION("""COMPUTED_VALUE"""),87730.0)</f>
        <v>87730</v>
      </c>
      <c r="B3185" s="5">
        <f>IFERROR(__xludf.DUMMYFUNCTION("""COMPUTED_VALUE"""),44994.81796439815)</f>
        <v>44994.81796</v>
      </c>
      <c r="C3185" s="1" t="str">
        <f>IFERROR(__xludf.DUMMYFUNCTION("""COMPUTED_VALUE"""),"puerto mariana")</f>
        <v>puerto mariana</v>
      </c>
      <c r="D3185" s="1" t="str">
        <f>IFERROR(__xludf.DUMMYFUNCTION("""COMPUTED_VALUE"""),"Lentes de STOCK")</f>
        <v>Lentes de STOCK</v>
      </c>
      <c r="E3185" s="1" t="str">
        <f>IFERROR(__xludf.DUMMYFUNCTION("""COMPUTED_VALUE"""),"RIVADAVIA Santiago N")</f>
        <v>RIVADAVIA Santiago N</v>
      </c>
      <c r="F3185" s="1" t="str">
        <f t="shared" si="1"/>
        <v>RIVADAVIA </v>
      </c>
      <c r="G3185" s="1" t="str">
        <f t="shared" si="2"/>
        <v>Santiago N</v>
      </c>
      <c r="H3185" s="1" t="str">
        <f>IFERROR(__xludf.DUMMYFUNCTION("""COMPUTED_VALUE"""),"14/3/2023, 17:00:00")</f>
        <v>14/3/2023, 17:00:00</v>
      </c>
      <c r="I3185" s="1" t="str">
        <f>IFERROR(__xludf.DUMMYFUNCTION("""COMPUTED_VALUE"""),"Completado en SUCURSAL")</f>
        <v>Completado en SUCURSAL</v>
      </c>
      <c r="J3185" s="1">
        <f t="shared" si="3"/>
        <v>5</v>
      </c>
      <c r="K3185" s="1" t="str">
        <f t="shared" si="4"/>
        <v>Tus Lentes estan LISTAS PARA ENTREGAR, te esperamos.</v>
      </c>
    </row>
    <row r="3186">
      <c r="A3186" s="1">
        <f>IFERROR(__xludf.DUMMYFUNCTION("""COMPUTED_VALUE"""),87731.0)</f>
        <v>87731</v>
      </c>
      <c r="B3186" s="5">
        <f>IFERROR(__xludf.DUMMYFUNCTION("""COMPUTED_VALUE"""),44994.81840289352)</f>
        <v>44994.8184</v>
      </c>
      <c r="C3186" s="1" t="str">
        <f>IFERROR(__xludf.DUMMYFUNCTION("""COMPUTED_VALUE"""),"MUÑOZ ISAIAS")</f>
        <v>MUÑOZ ISAIAS</v>
      </c>
      <c r="D3186" s="1" t="str">
        <f>IFERROR(__xludf.DUMMYFUNCTION("""COMPUTED_VALUE"""),"Lentes de STOCK")</f>
        <v>Lentes de STOCK</v>
      </c>
      <c r="E3186" s="1" t="str">
        <f>IFERROR(__xludf.DUMMYFUNCTION("""COMPUTED_VALUE"""),"RIVADAVIA Javier")</f>
        <v>RIVADAVIA Javier</v>
      </c>
      <c r="F3186" s="1" t="str">
        <f t="shared" si="1"/>
        <v>RIVADAVIA </v>
      </c>
      <c r="G3186" s="1" t="str">
        <f t="shared" si="2"/>
        <v>Javier</v>
      </c>
      <c r="H3186" s="1" t="str">
        <f>IFERROR(__xludf.DUMMYFUNCTION("""COMPUTED_VALUE"""),"15/3/2023, 17:00:00")</f>
        <v>15/3/2023, 17:00:00</v>
      </c>
      <c r="I3186" s="1" t="str">
        <f>IFERROR(__xludf.DUMMYFUNCTION("""COMPUTED_VALUE"""),"Completado en SUCURSAL")</f>
        <v>Completado en SUCURSAL</v>
      </c>
      <c r="J3186" s="1">
        <f t="shared" si="3"/>
        <v>5</v>
      </c>
      <c r="K3186" s="1" t="str">
        <f t="shared" si="4"/>
        <v>Tus Lentes estan LISTAS PARA ENTREGAR, te esperamos.</v>
      </c>
    </row>
    <row r="3187">
      <c r="A3187" s="1">
        <f>IFERROR(__xludf.DUMMYFUNCTION("""COMPUTED_VALUE"""),87732.0)</f>
        <v>87732</v>
      </c>
      <c r="B3187" s="5">
        <f>IFERROR(__xludf.DUMMYFUNCTION("""COMPUTED_VALUE"""),44994.819146319445)</f>
        <v>44994.81915</v>
      </c>
      <c r="C3187" s="1" t="str">
        <f>IFERROR(__xludf.DUMMYFUNCTION("""COMPUTED_VALUE"""),"GRANERO SOFIA")</f>
        <v>GRANERO SOFIA</v>
      </c>
      <c r="D3187" s="1" t="str">
        <f>IFERROR(__xludf.DUMMYFUNCTION("""COMPUTED_VALUE"""),"Lentes de STOCK")</f>
        <v>Lentes de STOCK</v>
      </c>
      <c r="E3187" s="1" t="str">
        <f>IFERROR(__xludf.DUMMYFUNCTION("""COMPUTED_VALUE"""),"ARTIGAS Ivana P.")</f>
        <v>ARTIGAS Ivana P.</v>
      </c>
      <c r="F3187" s="1" t="str">
        <f t="shared" si="1"/>
        <v>ARTIGAS </v>
      </c>
      <c r="G3187" s="1" t="str">
        <f t="shared" si="2"/>
        <v>Ivana P.</v>
      </c>
      <c r="H3187" s="1" t="str">
        <f>IFERROR(__xludf.DUMMYFUNCTION("""COMPUTED_VALUE"""),"15/3/2023, 17:00:00")</f>
        <v>15/3/2023, 17:00:00</v>
      </c>
      <c r="I3187" s="1" t="str">
        <f>IFERROR(__xludf.DUMMYFUNCTION("""COMPUTED_VALUE"""),"RETIRADO OK POR CLIENTE")</f>
        <v>RETIRADO OK POR CLIENTE</v>
      </c>
      <c r="J3187" s="1">
        <f t="shared" si="3"/>
        <v>6</v>
      </c>
      <c r="K3187" s="1" t="str">
        <f t="shared" si="4"/>
        <v>Entregamos tus lentes, que los disfrutes!</v>
      </c>
    </row>
    <row r="3188">
      <c r="A3188" s="1">
        <f>IFERROR(__xludf.DUMMYFUNCTION("""COMPUTED_VALUE"""),87733.0)</f>
        <v>87733</v>
      </c>
      <c r="B3188" s="5">
        <f>IFERROR(__xludf.DUMMYFUNCTION("""COMPUTED_VALUE"""),44994.82106991898)</f>
        <v>44994.82107</v>
      </c>
      <c r="C3188" s="1" t="str">
        <f>IFERROR(__xludf.DUMMYFUNCTION("""COMPUTED_VALUE"""),"BAEZ BRUNELLA")</f>
        <v>BAEZ BRUNELLA</v>
      </c>
      <c r="D3188" s="1" t="str">
        <f>IFERROR(__xludf.DUMMYFUNCTION("""COMPUTED_VALUE"""),"Lentes de STOCK")</f>
        <v>Lentes de STOCK</v>
      </c>
      <c r="E3188" s="1" t="str">
        <f>IFERROR(__xludf.DUMMYFUNCTION("""COMPUTED_VALUE"""),"RIVADAVIA Javier")</f>
        <v>RIVADAVIA Javier</v>
      </c>
      <c r="F3188" s="1" t="str">
        <f t="shared" si="1"/>
        <v>RIVADAVIA </v>
      </c>
      <c r="G3188" s="1" t="str">
        <f t="shared" si="2"/>
        <v>Javier</v>
      </c>
      <c r="H3188" s="1" t="str">
        <f>IFERROR(__xludf.DUMMYFUNCTION("""COMPUTED_VALUE"""),"17/3/2023, 17:00:00")</f>
        <v>17/3/2023, 17:00:00</v>
      </c>
      <c r="I3188" s="1" t="str">
        <f>IFERROR(__xludf.DUMMYFUNCTION("""COMPUTED_VALUE"""),"Completado en SUCURSAL")</f>
        <v>Completado en SUCURSAL</v>
      </c>
      <c r="J3188" s="1">
        <f t="shared" si="3"/>
        <v>5</v>
      </c>
      <c r="K3188" s="1" t="str">
        <f t="shared" si="4"/>
        <v>Tus Lentes estan LISTAS PARA ENTREGAR, te esperamos.</v>
      </c>
    </row>
    <row r="3189">
      <c r="A3189" s="1">
        <f>IFERROR(__xludf.DUMMYFUNCTION("""COMPUTED_VALUE"""),87734.0)</f>
        <v>87734</v>
      </c>
      <c r="B3189" s="5">
        <f>IFERROR(__xludf.DUMMYFUNCTION("""COMPUTED_VALUE"""),44994.82469972222)</f>
        <v>44994.8247</v>
      </c>
      <c r="C3189" s="1" t="str">
        <f>IFERROR(__xludf.DUMMYFUNCTION("""COMPUTED_VALUE"""),"ogas ramona antonia")</f>
        <v>ogas ramona antonia</v>
      </c>
      <c r="D3189" s="1" t="str">
        <f>IFERROR(__xludf.DUMMYFUNCTION("""COMPUTED_VALUE"""),"Lentes de STOCK")</f>
        <v>Lentes de STOCK</v>
      </c>
      <c r="E3189" s="1" t="str">
        <f>IFERROR(__xludf.DUMMYFUNCTION("""COMPUTED_VALUE"""),"ARTIGAS Roció")</f>
        <v>ARTIGAS Roció</v>
      </c>
      <c r="F3189" s="1" t="str">
        <f t="shared" si="1"/>
        <v>ARTIGAS </v>
      </c>
      <c r="G3189" s="1" t="str">
        <f t="shared" si="2"/>
        <v>Roció</v>
      </c>
      <c r="H3189" s="1" t="str">
        <f>IFERROR(__xludf.DUMMYFUNCTION("""COMPUTED_VALUE"""),"17/3/2023, 17:00:00")</f>
        <v>17/3/2023, 17:00:00</v>
      </c>
      <c r="I3189" s="1" t="str">
        <f>IFERROR(__xludf.DUMMYFUNCTION("""COMPUTED_VALUE"""),"Completado en SUCURSAL")</f>
        <v>Completado en SUCURSAL</v>
      </c>
      <c r="J3189" s="1">
        <f t="shared" si="3"/>
        <v>5</v>
      </c>
      <c r="K3189" s="1" t="str">
        <f t="shared" si="4"/>
        <v>Tus Lentes estan LISTAS PARA ENTREGAR, te esperamos.</v>
      </c>
    </row>
    <row r="3190">
      <c r="A3190" s="1">
        <f>IFERROR(__xludf.DUMMYFUNCTION("""COMPUTED_VALUE"""),87735.0)</f>
        <v>87735</v>
      </c>
      <c r="B3190" s="5">
        <f>IFERROR(__xludf.DUMMYFUNCTION("""COMPUTED_VALUE"""),44994.83085655092)</f>
        <v>44994.83086</v>
      </c>
      <c r="C3190" s="1" t="str">
        <f>IFERROR(__xludf.DUMMYFUNCTION("""COMPUTED_VALUE"""),"SOROKIN NOELIA")</f>
        <v>SOROKIN NOELIA</v>
      </c>
      <c r="D3190" s="1" t="str">
        <f>IFERROR(__xludf.DUMMYFUNCTION("""COMPUTED_VALUE"""),"Lentes de STOCK")</f>
        <v>Lentes de STOCK</v>
      </c>
      <c r="E3190" s="1" t="str">
        <f>IFERROR(__xludf.DUMMYFUNCTION("""COMPUTED_VALUE"""),"RIVADAVIA Javier")</f>
        <v>RIVADAVIA Javier</v>
      </c>
      <c r="F3190" s="1" t="str">
        <f t="shared" si="1"/>
        <v>RIVADAVIA </v>
      </c>
      <c r="G3190" s="1" t="str">
        <f t="shared" si="2"/>
        <v>Javier</v>
      </c>
      <c r="H3190" s="1" t="str">
        <f>IFERROR(__xludf.DUMMYFUNCTION("""COMPUTED_VALUE"""),"15/3/2023, 17:00:00")</f>
        <v>15/3/2023, 17:00:00</v>
      </c>
      <c r="I3190" s="1" t="str">
        <f>IFERROR(__xludf.DUMMYFUNCTION("""COMPUTED_VALUE"""),"Completado en SUCURSAL")</f>
        <v>Completado en SUCURSAL</v>
      </c>
      <c r="J3190" s="1">
        <f t="shared" si="3"/>
        <v>5</v>
      </c>
      <c r="K3190" s="1" t="str">
        <f t="shared" si="4"/>
        <v>Tus Lentes estan LISTAS PARA ENTREGAR, te esperamos.</v>
      </c>
    </row>
    <row r="3191">
      <c r="A3191" s="1">
        <f>IFERROR(__xludf.DUMMYFUNCTION("""COMPUTED_VALUE"""),87736.0)</f>
        <v>87736</v>
      </c>
      <c r="B3191" s="5">
        <f>IFERROR(__xludf.DUMMYFUNCTION("""COMPUTED_VALUE"""),44994.84056354167)</f>
        <v>44994.84056</v>
      </c>
      <c r="C3191" s="1" t="str">
        <f>IFERROR(__xludf.DUMMYFUNCTION("""COMPUTED_VALUE"""),"RAFAEL JOFRE VIDAL")</f>
        <v>RAFAEL JOFRE VIDAL</v>
      </c>
      <c r="D3191" s="1" t="str">
        <f>IFERROR(__xludf.DUMMYFUNCTION("""COMPUTED_VALUE"""),"Reparaciones/Otros")</f>
        <v>Reparaciones/Otros</v>
      </c>
      <c r="E3191" s="1" t="str">
        <f>IFERROR(__xludf.DUMMYFUNCTION("""COMPUTED_VALUE"""),"RIVADAVIA Javier")</f>
        <v>RIVADAVIA Javier</v>
      </c>
      <c r="F3191" s="1" t="str">
        <f t="shared" si="1"/>
        <v>RIVADAVIA </v>
      </c>
      <c r="G3191" s="1" t="str">
        <f t="shared" si="2"/>
        <v>Javier</v>
      </c>
      <c r="H3191" s="1" t="str">
        <f>IFERROR(__xludf.DUMMYFUNCTION("""COMPUTED_VALUE"""),"10/3/2023, 17:00:00")</f>
        <v>10/3/2023, 17:00:00</v>
      </c>
      <c r="I3191" s="1" t="str">
        <f>IFERROR(__xludf.DUMMYFUNCTION("""COMPUTED_VALUE"""),"Completado en SUCURSAL")</f>
        <v>Completado en SUCURSAL</v>
      </c>
      <c r="J3191" s="1">
        <f t="shared" si="3"/>
        <v>5</v>
      </c>
      <c r="K3191" s="1" t="str">
        <f t="shared" si="4"/>
        <v>Tus Lentes estan LISTAS PARA ENTREGAR, te esperamos.</v>
      </c>
    </row>
    <row r="3192">
      <c r="A3192" s="1">
        <f>IFERROR(__xludf.DUMMYFUNCTION("""COMPUTED_VALUE"""),87737.0)</f>
        <v>87737</v>
      </c>
      <c r="B3192" s="5">
        <f>IFERROR(__xludf.DUMMYFUNCTION("""COMPUTED_VALUE"""),44994.850642164354)</f>
        <v>44994.85064</v>
      </c>
      <c r="C3192" s="1" t="str">
        <f>IFERROR(__xludf.DUMMYFUNCTION("""COMPUTED_VALUE"""),"BLANCHET GRACIELA DEL CARMEN")</f>
        <v>BLANCHET GRACIELA DEL CARMEN</v>
      </c>
      <c r="D3192" s="1" t="str">
        <f>IFERROR(__xludf.DUMMYFUNCTION("""COMPUTED_VALUE"""),"Lentes de STOCK")</f>
        <v>Lentes de STOCK</v>
      </c>
      <c r="E3192" s="1" t="str">
        <f>IFERROR(__xludf.DUMMYFUNCTION("""COMPUTED_VALUE"""),"RIVADAVIA Christian C.")</f>
        <v>RIVADAVIA Christian C.</v>
      </c>
      <c r="F3192" s="1" t="str">
        <f t="shared" si="1"/>
        <v>RIVADAVIA </v>
      </c>
      <c r="G3192" s="1" t="str">
        <f t="shared" si="2"/>
        <v>Christian C.</v>
      </c>
      <c r="H3192" s="1" t="str">
        <f>IFERROR(__xludf.DUMMYFUNCTION("""COMPUTED_VALUE"""),"11/3/2023, 17:00:00")</f>
        <v>11/3/2023, 17:00:00</v>
      </c>
      <c r="I3192" s="1" t="str">
        <f>IFERROR(__xludf.DUMMYFUNCTION("""COMPUTED_VALUE"""),"Completado en SUCURSAL")</f>
        <v>Completado en SUCURSAL</v>
      </c>
      <c r="J3192" s="1">
        <f t="shared" si="3"/>
        <v>5</v>
      </c>
      <c r="K3192" s="1" t="str">
        <f t="shared" si="4"/>
        <v>Tus Lentes estan LISTAS PARA ENTREGAR, te esperamos.</v>
      </c>
    </row>
    <row r="3193">
      <c r="A3193" s="1">
        <f>IFERROR(__xludf.DUMMYFUNCTION("""COMPUTED_VALUE"""),87738.0)</f>
        <v>87738</v>
      </c>
      <c r="B3193" s="5">
        <f>IFERROR(__xludf.DUMMYFUNCTION("""COMPUTED_VALUE"""),44995.3699109838)</f>
        <v>44995.36991</v>
      </c>
      <c r="C3193" s="1" t="str">
        <f>IFERROR(__xludf.DUMMYFUNCTION("""COMPUTED_VALUE"""),"SYRIANI MATEO")</f>
        <v>SYRIANI MATEO</v>
      </c>
      <c r="D3193" s="1" t="str">
        <f>IFERROR(__xludf.DUMMYFUNCTION("""COMPUTED_VALUE"""),"Reparaciones/Otros")</f>
        <v>Reparaciones/Otros</v>
      </c>
      <c r="E3193" s="1" t="str">
        <f>IFERROR(__xludf.DUMMYFUNCTION("""COMPUTED_VALUE"""),"RIVADAVIA Santiago N")</f>
        <v>RIVADAVIA Santiago N</v>
      </c>
      <c r="F3193" s="1" t="str">
        <f t="shared" si="1"/>
        <v>RIVADAVIA </v>
      </c>
      <c r="G3193" s="1" t="str">
        <f t="shared" si="2"/>
        <v>Santiago N</v>
      </c>
      <c r="H3193" s="1" t="str">
        <f>IFERROR(__xludf.DUMMYFUNCTION("""COMPUTED_VALUE"""),"11/3/2023, 17:00:00")</f>
        <v>11/3/2023, 17:00:00</v>
      </c>
      <c r="I3193" s="1" t="str">
        <f>IFERROR(__xludf.DUMMYFUNCTION("""COMPUTED_VALUE"""),"Completado en SUCURSAL")</f>
        <v>Completado en SUCURSAL</v>
      </c>
      <c r="J3193" s="1">
        <f t="shared" si="3"/>
        <v>5</v>
      </c>
      <c r="K3193" s="1" t="str">
        <f t="shared" si="4"/>
        <v>Tus Lentes estan LISTAS PARA ENTREGAR, te esperamos.</v>
      </c>
    </row>
    <row r="3194">
      <c r="A3194" s="1">
        <f>IFERROR(__xludf.DUMMYFUNCTION("""COMPUTED_VALUE"""),87739.0)</f>
        <v>87739</v>
      </c>
      <c r="B3194" s="5">
        <f>IFERROR(__xludf.DUMMYFUNCTION("""COMPUTED_VALUE"""),44995.37921283564)</f>
        <v>44995.37921</v>
      </c>
      <c r="C3194" s="1" t="str">
        <f>IFERROR(__xludf.DUMMYFUNCTION("""COMPUTED_VALUE"""),"MENDOZA WALTER")</f>
        <v>MENDOZA WALTER</v>
      </c>
      <c r="D3194" s="1" t="str">
        <f>IFERROR(__xludf.DUMMYFUNCTION("""COMPUTED_VALUE"""),"Lentes BIFOCALES")</f>
        <v>Lentes BIFOCALES</v>
      </c>
      <c r="E3194" s="1" t="str">
        <f>IFERROR(__xludf.DUMMYFUNCTION("""COMPUTED_VALUE"""),"ARTIGAS Ivana P.")</f>
        <v>ARTIGAS Ivana P.</v>
      </c>
      <c r="F3194" s="1" t="str">
        <f t="shared" si="1"/>
        <v>ARTIGAS </v>
      </c>
      <c r="G3194" s="1" t="str">
        <f t="shared" si="2"/>
        <v>Ivana P.</v>
      </c>
      <c r="H3194" s="1" t="str">
        <f>IFERROR(__xludf.DUMMYFUNCTION("""COMPUTED_VALUE"""),"15/3/2023, 17:00:00")</f>
        <v>15/3/2023, 17:00:00</v>
      </c>
      <c r="I3194" s="1" t="str">
        <f>IFERROR(__xludf.DUMMYFUNCTION("""COMPUTED_VALUE"""),"Completado en SUCURSAL")</f>
        <v>Completado en SUCURSAL</v>
      </c>
      <c r="J3194" s="1">
        <f t="shared" si="3"/>
        <v>5</v>
      </c>
      <c r="K3194" s="1" t="str">
        <f t="shared" si="4"/>
        <v>Tus Lentes estan LISTAS PARA ENTREGAR, te esperamos.</v>
      </c>
    </row>
    <row r="3195">
      <c r="A3195" s="1">
        <f>IFERROR(__xludf.DUMMYFUNCTION("""COMPUTED_VALUE"""),87740.0)</f>
        <v>87740</v>
      </c>
      <c r="B3195" s="5">
        <f>IFERROR(__xludf.DUMMYFUNCTION("""COMPUTED_VALUE"""),44995.38070446759)</f>
        <v>44995.3807</v>
      </c>
      <c r="C3195" s="1" t="str">
        <f>IFERROR(__xludf.DUMMYFUNCTION("""COMPUTED_VALUE"""),"FERNANDEZ VERONICA")</f>
        <v>FERNANDEZ VERONICA</v>
      </c>
      <c r="D3195" s="1" t="str">
        <f>IFERROR(__xludf.DUMMYFUNCTION("""COMPUTED_VALUE"""),"Lentes de STOCK")</f>
        <v>Lentes de STOCK</v>
      </c>
      <c r="E3195" s="1" t="str">
        <f>IFERROR(__xludf.DUMMYFUNCTION("""COMPUTED_VALUE"""),"RIVADAVIA Santiago N")</f>
        <v>RIVADAVIA Santiago N</v>
      </c>
      <c r="F3195" s="1" t="str">
        <f t="shared" si="1"/>
        <v>RIVADAVIA </v>
      </c>
      <c r="G3195" s="1" t="str">
        <f t="shared" si="2"/>
        <v>Santiago N</v>
      </c>
      <c r="H3195" s="1" t="str">
        <f>IFERROR(__xludf.DUMMYFUNCTION("""COMPUTED_VALUE"""),"13/3/2023, 17:00:00")</f>
        <v>13/3/2023, 17:00:00</v>
      </c>
      <c r="I3195" s="1" t="str">
        <f>IFERROR(__xludf.DUMMYFUNCTION("""COMPUTED_VALUE"""),"Completado en SUCURSAL")</f>
        <v>Completado en SUCURSAL</v>
      </c>
      <c r="J3195" s="1">
        <f t="shared" si="3"/>
        <v>5</v>
      </c>
      <c r="K3195" s="1" t="str">
        <f t="shared" si="4"/>
        <v>Tus Lentes estan LISTAS PARA ENTREGAR, te esperamos.</v>
      </c>
    </row>
    <row r="3196">
      <c r="A3196" s="1">
        <f>IFERROR(__xludf.DUMMYFUNCTION("""COMPUTED_VALUE"""),87741.0)</f>
        <v>87741</v>
      </c>
      <c r="B3196" s="5">
        <f>IFERROR(__xludf.DUMMYFUNCTION("""COMPUTED_VALUE"""),44995.38139549769)</f>
        <v>44995.3814</v>
      </c>
      <c r="C3196" s="1" t="str">
        <f>IFERROR(__xludf.DUMMYFUNCTION("""COMPUTED_VALUE"""),"ALBORNOZ MAITE")</f>
        <v>ALBORNOZ MAITE</v>
      </c>
      <c r="D3196" s="1" t="str">
        <f>IFERROR(__xludf.DUMMYFUNCTION("""COMPUTED_VALUE"""),"Reparaciones/Otros")</f>
        <v>Reparaciones/Otros</v>
      </c>
      <c r="E3196" s="1" t="str">
        <f>IFERROR(__xludf.DUMMYFUNCTION("""COMPUTED_VALUE"""),"RIVADAVIA Marcela L")</f>
        <v>RIVADAVIA Marcela L</v>
      </c>
      <c r="F3196" s="1" t="str">
        <f t="shared" si="1"/>
        <v>RIVADAVIA </v>
      </c>
      <c r="G3196" s="1" t="str">
        <f t="shared" si="2"/>
        <v>Marcela L</v>
      </c>
      <c r="H3196" s="1" t="str">
        <f>IFERROR(__xludf.DUMMYFUNCTION("""COMPUTED_VALUE"""),"11/3/2023, 17:00:00")</f>
        <v>11/3/2023, 17:00:00</v>
      </c>
      <c r="I3196" s="1" t="str">
        <f>IFERROR(__xludf.DUMMYFUNCTION("""COMPUTED_VALUE"""),"Completado en SUCURSAL")</f>
        <v>Completado en SUCURSAL</v>
      </c>
      <c r="J3196" s="1">
        <f t="shared" si="3"/>
        <v>5</v>
      </c>
      <c r="K3196" s="1" t="str">
        <f t="shared" si="4"/>
        <v>Tus Lentes estan LISTAS PARA ENTREGAR, te esperamos.</v>
      </c>
    </row>
    <row r="3197">
      <c r="A3197" s="1">
        <f>IFERROR(__xludf.DUMMYFUNCTION("""COMPUTED_VALUE"""),87742.0)</f>
        <v>87742</v>
      </c>
      <c r="B3197" s="5">
        <f>IFERROR(__xludf.DUMMYFUNCTION("""COMPUTED_VALUE"""),44995.38304328704)</f>
        <v>44995.38304</v>
      </c>
      <c r="C3197" s="1" t="str">
        <f>IFERROR(__xludf.DUMMYFUNCTION("""COMPUTED_VALUE"""),"GONZALEZ CRISTINA DEL CARMEN")</f>
        <v>GONZALEZ CRISTINA DEL CARMEN</v>
      </c>
      <c r="D3197" s="1" t="str">
        <f>IFERROR(__xludf.DUMMYFUNCTION("""COMPUTED_VALUE"""),"Lentes de STOCK")</f>
        <v>Lentes de STOCK</v>
      </c>
      <c r="E3197" s="1" t="str">
        <f>IFERROR(__xludf.DUMMYFUNCTION("""COMPUTED_VALUE"""),"ARTIGAS Roció")</f>
        <v>ARTIGAS Roció</v>
      </c>
      <c r="F3197" s="1" t="str">
        <f t="shared" si="1"/>
        <v>ARTIGAS </v>
      </c>
      <c r="G3197" s="1" t="str">
        <f t="shared" si="2"/>
        <v>Roció</v>
      </c>
      <c r="H3197" s="1" t="str">
        <f>IFERROR(__xludf.DUMMYFUNCTION("""COMPUTED_VALUE"""),"20/3/2023, 17:00:00")</f>
        <v>20/3/2023, 17:00:00</v>
      </c>
      <c r="I3197" s="1" t="str">
        <f>IFERROR(__xludf.DUMMYFUNCTION("""COMPUTED_VALUE"""),"Completado en SUCURSAL")</f>
        <v>Completado en SUCURSAL</v>
      </c>
      <c r="J3197" s="1">
        <f t="shared" si="3"/>
        <v>5</v>
      </c>
      <c r="K3197" s="1" t="str">
        <f t="shared" si="4"/>
        <v>Tus Lentes estan LISTAS PARA ENTREGAR, te esperamos.</v>
      </c>
    </row>
    <row r="3198">
      <c r="A3198" s="1">
        <f>IFERROR(__xludf.DUMMYFUNCTION("""COMPUTED_VALUE"""),87743.0)</f>
        <v>87743</v>
      </c>
      <c r="B3198" s="5">
        <f>IFERROR(__xludf.DUMMYFUNCTION("""COMPUTED_VALUE"""),44995.386146840276)</f>
        <v>44995.38615</v>
      </c>
      <c r="C3198" s="1" t="str">
        <f>IFERROR(__xludf.DUMMYFUNCTION("""COMPUTED_VALUE"""),"BERGALLO RAFAEL ")</f>
        <v>BERGALLO RAFAEL </v>
      </c>
      <c r="D3198" s="1" t="str">
        <f>IFERROR(__xludf.DUMMYFUNCTION("""COMPUTED_VALUE"""),"Lentes de STOCK")</f>
        <v>Lentes de STOCK</v>
      </c>
      <c r="E3198" s="1" t="str">
        <f>IFERROR(__xludf.DUMMYFUNCTION("""COMPUTED_VALUE"""),"RIVADAVIA Santiago N")</f>
        <v>RIVADAVIA Santiago N</v>
      </c>
      <c r="F3198" s="1" t="str">
        <f t="shared" si="1"/>
        <v>RIVADAVIA </v>
      </c>
      <c r="G3198" s="1" t="str">
        <f t="shared" si="2"/>
        <v>Santiago N</v>
      </c>
      <c r="H3198" s="1" t="str">
        <f>IFERROR(__xludf.DUMMYFUNCTION("""COMPUTED_VALUE"""),"13/3/2023, 17:00:00")</f>
        <v>13/3/2023, 17:00:00</v>
      </c>
      <c r="I3198" s="1" t="str">
        <f>IFERROR(__xludf.DUMMYFUNCTION("""COMPUTED_VALUE"""),"Completado en SUCURSAL")</f>
        <v>Completado en SUCURSAL</v>
      </c>
      <c r="J3198" s="1">
        <f t="shared" si="3"/>
        <v>5</v>
      </c>
      <c r="K3198" s="1" t="str">
        <f t="shared" si="4"/>
        <v>Tus Lentes estan LISTAS PARA ENTREGAR, te esperamos.</v>
      </c>
    </row>
    <row r="3199">
      <c r="A3199" s="1">
        <f>IFERROR(__xludf.DUMMYFUNCTION("""COMPUTED_VALUE"""),87744.0)</f>
        <v>87744</v>
      </c>
      <c r="B3199" s="5">
        <f>IFERROR(__xludf.DUMMYFUNCTION("""COMPUTED_VALUE"""),44995.389066180556)</f>
        <v>44995.38907</v>
      </c>
      <c r="C3199" s="1" t="str">
        <f>IFERROR(__xludf.DUMMYFUNCTION("""COMPUTED_VALUE"""),"TORRES CASTRO")</f>
        <v>TORRES CASTRO</v>
      </c>
      <c r="D3199" s="1" t="str">
        <f>IFERROR(__xludf.DUMMYFUNCTION("""COMPUTED_VALUE"""),"Lentes de STOCK")</f>
        <v>Lentes de STOCK</v>
      </c>
      <c r="E3199" s="1" t="str">
        <f>IFERROR(__xludf.DUMMYFUNCTION("""COMPUTED_VALUE"""),"ARTIGAS Ivana P.")</f>
        <v>ARTIGAS Ivana P.</v>
      </c>
      <c r="F3199" s="1" t="str">
        <f t="shared" si="1"/>
        <v>ARTIGAS </v>
      </c>
      <c r="G3199" s="1" t="str">
        <f t="shared" si="2"/>
        <v>Ivana P.</v>
      </c>
      <c r="H3199" s="1" t="str">
        <f>IFERROR(__xludf.DUMMYFUNCTION("""COMPUTED_VALUE"""),"13/3/2023, 17:00:00")</f>
        <v>13/3/2023, 17:00:00</v>
      </c>
      <c r="I3199" s="1" t="str">
        <f>IFERROR(__xludf.DUMMYFUNCTION("""COMPUTED_VALUE"""),"Completado en SUCURSAL")</f>
        <v>Completado en SUCURSAL</v>
      </c>
      <c r="J3199" s="1">
        <f t="shared" si="3"/>
        <v>5</v>
      </c>
      <c r="K3199" s="1" t="str">
        <f t="shared" si="4"/>
        <v>Tus Lentes estan LISTAS PARA ENTREGAR, te esperamos.</v>
      </c>
    </row>
    <row r="3200">
      <c r="A3200" s="1">
        <f>IFERROR(__xludf.DUMMYFUNCTION("""COMPUTED_VALUE"""),87745.0)</f>
        <v>87745</v>
      </c>
      <c r="B3200" s="5">
        <f>IFERROR(__xludf.DUMMYFUNCTION("""COMPUTED_VALUE"""),44995.3920421875)</f>
        <v>44995.39204</v>
      </c>
      <c r="C3200" s="1" t="str">
        <f>IFERROR(__xludf.DUMMYFUNCTION("""COMPUTED_VALUE"""),"CAÑAMERO FLORENCIA")</f>
        <v>CAÑAMERO FLORENCIA</v>
      </c>
      <c r="D3200" s="1" t="str">
        <f>IFERROR(__xludf.DUMMYFUNCTION("""COMPUTED_VALUE"""),"Lentes de STOCK")</f>
        <v>Lentes de STOCK</v>
      </c>
      <c r="E3200" s="1" t="str">
        <f>IFERROR(__xludf.DUMMYFUNCTION("""COMPUTED_VALUE"""),"RIVADAVIA Santiago LOPEZ")</f>
        <v>RIVADAVIA Santiago LOPEZ</v>
      </c>
      <c r="F3200" s="1" t="str">
        <f t="shared" si="1"/>
        <v>RIVADAVIA </v>
      </c>
      <c r="G3200" s="1" t="str">
        <f t="shared" si="2"/>
        <v>Santiago LOPEZ</v>
      </c>
      <c r="H3200" s="1" t="str">
        <f>IFERROR(__xludf.DUMMYFUNCTION("""COMPUTED_VALUE"""),"14/3/2023, 17:00:00")</f>
        <v>14/3/2023, 17:00:00</v>
      </c>
      <c r="I3200" s="1" t="str">
        <f>IFERROR(__xludf.DUMMYFUNCTION("""COMPUTED_VALUE"""),"Completado en SUCURSAL")</f>
        <v>Completado en SUCURSAL</v>
      </c>
      <c r="J3200" s="1">
        <f t="shared" si="3"/>
        <v>5</v>
      </c>
      <c r="K3200" s="1" t="str">
        <f t="shared" si="4"/>
        <v>Tus Lentes estan LISTAS PARA ENTREGAR, te esperamos.</v>
      </c>
    </row>
    <row r="3201">
      <c r="A3201" s="1">
        <f>IFERROR(__xludf.DUMMYFUNCTION("""COMPUTED_VALUE"""),87746.0)</f>
        <v>87746</v>
      </c>
      <c r="B3201" s="5">
        <f>IFERROR(__xludf.DUMMYFUNCTION("""COMPUTED_VALUE"""),44995.393982106485)</f>
        <v>44995.39398</v>
      </c>
      <c r="C3201" s="1" t="str">
        <f>IFERROR(__xludf.DUMMYFUNCTION("""COMPUTED_VALUE"""),"GODOY JUAN CARLOS")</f>
        <v>GODOY JUAN CARLOS</v>
      </c>
      <c r="D3201" s="1" t="str">
        <f>IFERROR(__xludf.DUMMYFUNCTION("""COMPUTED_VALUE"""),"Lentes de STOCK")</f>
        <v>Lentes de STOCK</v>
      </c>
      <c r="E3201" s="1" t="str">
        <f>IFERROR(__xludf.DUMMYFUNCTION("""COMPUTED_VALUE"""),"ARTIGAS Ivana P.")</f>
        <v>ARTIGAS Ivana P.</v>
      </c>
      <c r="F3201" s="1" t="str">
        <f t="shared" si="1"/>
        <v>ARTIGAS </v>
      </c>
      <c r="G3201" s="1" t="str">
        <f t="shared" si="2"/>
        <v>Ivana P.</v>
      </c>
      <c r="H3201" s="1" t="str">
        <f>IFERROR(__xludf.DUMMYFUNCTION("""COMPUTED_VALUE"""),"15/3/2023, 17:00:00")</f>
        <v>15/3/2023, 17:00:00</v>
      </c>
      <c r="I3201" s="1" t="str">
        <f>IFERROR(__xludf.DUMMYFUNCTION("""COMPUTED_VALUE"""),"Completado en SUCURSAL")</f>
        <v>Completado en SUCURSAL</v>
      </c>
      <c r="J3201" s="1">
        <f t="shared" si="3"/>
        <v>5</v>
      </c>
      <c r="K3201" s="1" t="str">
        <f t="shared" si="4"/>
        <v>Tus Lentes estan LISTAS PARA ENTREGAR, te esperamos.</v>
      </c>
    </row>
    <row r="3202">
      <c r="A3202" s="1">
        <f>IFERROR(__xludf.DUMMYFUNCTION("""COMPUTED_VALUE"""),87747.0)</f>
        <v>87747</v>
      </c>
      <c r="B3202" s="5">
        <f>IFERROR(__xludf.DUMMYFUNCTION("""COMPUTED_VALUE"""),44995.39542189815)</f>
        <v>44995.39542</v>
      </c>
      <c r="C3202" s="1" t="str">
        <f>IFERROR(__xludf.DUMMYFUNCTION("""COMPUTED_VALUE"""),"SOSA MARIA LIDIA")</f>
        <v>SOSA MARIA LIDIA</v>
      </c>
      <c r="D3202" s="1" t="str">
        <f>IFERROR(__xludf.DUMMYFUNCTION("""COMPUTED_VALUE"""),"Lentes de STOCK")</f>
        <v>Lentes de STOCK</v>
      </c>
      <c r="E3202" s="1" t="str">
        <f>IFERROR(__xludf.DUMMYFUNCTION("""COMPUTED_VALUE"""),"ARTIGAS Roció")</f>
        <v>ARTIGAS Roció</v>
      </c>
      <c r="F3202" s="1" t="str">
        <f t="shared" si="1"/>
        <v>ARTIGAS </v>
      </c>
      <c r="G3202" s="1" t="str">
        <f t="shared" si="2"/>
        <v>Roció</v>
      </c>
      <c r="H3202" s="1" t="str">
        <f>IFERROR(__xludf.DUMMYFUNCTION("""COMPUTED_VALUE"""),"20/3/2023, 17:00:00")</f>
        <v>20/3/2023, 17:00:00</v>
      </c>
      <c r="I3202" s="1" t="str">
        <f>IFERROR(__xludf.DUMMYFUNCTION("""COMPUTED_VALUE"""),"RETIRADO OK POR CLIENTE")</f>
        <v>RETIRADO OK POR CLIENTE</v>
      </c>
      <c r="J3202" s="1">
        <f t="shared" si="3"/>
        <v>6</v>
      </c>
      <c r="K3202" s="1" t="str">
        <f t="shared" si="4"/>
        <v>Entregamos tus lentes, que los disfrutes!</v>
      </c>
    </row>
    <row r="3203">
      <c r="A3203" s="1">
        <f>IFERROR(__xludf.DUMMYFUNCTION("""COMPUTED_VALUE"""),87748.0)</f>
        <v>87748</v>
      </c>
      <c r="B3203" s="5">
        <f>IFERROR(__xludf.DUMMYFUNCTION("""COMPUTED_VALUE"""),44995.39663787037)</f>
        <v>44995.39664</v>
      </c>
      <c r="C3203" s="1" t="str">
        <f>IFERROR(__xludf.DUMMYFUNCTION("""COMPUTED_VALUE"""),"CESPEDES CINTHIA")</f>
        <v>CESPEDES CINTHIA</v>
      </c>
      <c r="D3203" s="1" t="str">
        <f>IFERROR(__xludf.DUMMYFUNCTION("""COMPUTED_VALUE"""),"Lentes de STOCK")</f>
        <v>Lentes de STOCK</v>
      </c>
      <c r="E3203" s="1" t="str">
        <f>IFERROR(__xludf.DUMMYFUNCTION("""COMPUTED_VALUE"""),"RIVADAVIA Santiago LOPEZ")</f>
        <v>RIVADAVIA Santiago LOPEZ</v>
      </c>
      <c r="F3203" s="1" t="str">
        <f t="shared" si="1"/>
        <v>RIVADAVIA </v>
      </c>
      <c r="G3203" s="1" t="str">
        <f t="shared" si="2"/>
        <v>Santiago LOPEZ</v>
      </c>
      <c r="H3203" s="1" t="str">
        <f>IFERROR(__xludf.DUMMYFUNCTION("""COMPUTED_VALUE"""),"14/3/2023, 17:00:00")</f>
        <v>14/3/2023, 17:00:00</v>
      </c>
      <c r="I3203" s="1" t="str">
        <f>IFERROR(__xludf.DUMMYFUNCTION("""COMPUTED_VALUE"""),"Completado en SUCURSAL")</f>
        <v>Completado en SUCURSAL</v>
      </c>
      <c r="J3203" s="1">
        <f t="shared" si="3"/>
        <v>5</v>
      </c>
      <c r="K3203" s="1" t="str">
        <f t="shared" si="4"/>
        <v>Tus Lentes estan LISTAS PARA ENTREGAR, te esperamos.</v>
      </c>
    </row>
    <row r="3204">
      <c r="A3204" s="1">
        <f>IFERROR(__xludf.DUMMYFUNCTION("""COMPUTED_VALUE"""),87749.0)</f>
        <v>87749</v>
      </c>
      <c r="B3204" s="5">
        <f>IFERROR(__xludf.DUMMYFUNCTION("""COMPUTED_VALUE"""),44995.40071667824)</f>
        <v>44995.40072</v>
      </c>
      <c r="C3204" s="1" t="str">
        <f>IFERROR(__xludf.DUMMYFUNCTION("""COMPUTED_VALUE"""),"SUAREZ MIGUEL ANGEL")</f>
        <v>SUAREZ MIGUEL ANGEL</v>
      </c>
      <c r="D3204" s="1" t="str">
        <f>IFERROR(__xludf.DUMMYFUNCTION("""COMPUTED_VALUE"""),"Lentes MULTIFOCALES")</f>
        <v>Lentes MULTIFOCALES</v>
      </c>
      <c r="E3204" s="1" t="str">
        <f>IFERROR(__xludf.DUMMYFUNCTION("""COMPUTED_VALUE"""),"RIVADAVIA Santiago N")</f>
        <v>RIVADAVIA Santiago N</v>
      </c>
      <c r="F3204" s="1" t="str">
        <f t="shared" si="1"/>
        <v>RIVADAVIA </v>
      </c>
      <c r="G3204" s="1" t="str">
        <f t="shared" si="2"/>
        <v>Santiago N</v>
      </c>
      <c r="H3204" s="1" t="str">
        <f>IFERROR(__xludf.DUMMYFUNCTION("""COMPUTED_VALUE"""),"16/3/2023, 17:00:00")</f>
        <v>16/3/2023, 17:00:00</v>
      </c>
      <c r="I3204" s="1" t="str">
        <f>IFERROR(__xludf.DUMMYFUNCTION("""COMPUTED_VALUE"""),"Completado en SUCURSAL")</f>
        <v>Completado en SUCURSAL</v>
      </c>
      <c r="J3204" s="1">
        <f t="shared" si="3"/>
        <v>5</v>
      </c>
      <c r="K3204" s="1" t="str">
        <f t="shared" si="4"/>
        <v>Tus Lentes estan LISTAS PARA ENTREGAR, te esperamos.</v>
      </c>
    </row>
    <row r="3205">
      <c r="A3205" s="1">
        <f>IFERROR(__xludf.DUMMYFUNCTION("""COMPUTED_VALUE"""),87750.0)</f>
        <v>87750</v>
      </c>
      <c r="B3205" s="5">
        <f>IFERROR(__xludf.DUMMYFUNCTION("""COMPUTED_VALUE"""),44995.40554091435)</f>
        <v>44995.40554</v>
      </c>
      <c r="C3205" s="1" t="str">
        <f>IFERROR(__xludf.DUMMYFUNCTION("""COMPUTED_VALUE"""),"BARROSO EVA DEL CARMEN")</f>
        <v>BARROSO EVA DEL CARMEN</v>
      </c>
      <c r="D3205" s="1" t="str">
        <f>IFERROR(__xludf.DUMMYFUNCTION("""COMPUTED_VALUE"""),"Lentes de STOCK")</f>
        <v>Lentes de STOCK</v>
      </c>
      <c r="E3205" s="1" t="str">
        <f>IFERROR(__xludf.DUMMYFUNCTION("""COMPUTED_VALUE"""),"RIVADAVIA Santiago LOPEZ")</f>
        <v>RIVADAVIA Santiago LOPEZ</v>
      </c>
      <c r="F3205" s="1" t="str">
        <f t="shared" si="1"/>
        <v>RIVADAVIA </v>
      </c>
      <c r="G3205" s="1" t="str">
        <f t="shared" si="2"/>
        <v>Santiago LOPEZ</v>
      </c>
      <c r="H3205" s="1" t="str">
        <f>IFERROR(__xludf.DUMMYFUNCTION("""COMPUTED_VALUE"""),"14/3/2023, 17:00:00")</f>
        <v>14/3/2023, 17:00:00</v>
      </c>
      <c r="I3205" s="1" t="str">
        <f>IFERROR(__xludf.DUMMYFUNCTION("""COMPUTED_VALUE"""),"Completado en SUCURSAL")</f>
        <v>Completado en SUCURSAL</v>
      </c>
      <c r="J3205" s="1">
        <f t="shared" si="3"/>
        <v>5</v>
      </c>
      <c r="K3205" s="1" t="str">
        <f t="shared" si="4"/>
        <v>Tus Lentes estan LISTAS PARA ENTREGAR, te esperamos.</v>
      </c>
    </row>
    <row r="3206">
      <c r="A3206" s="1">
        <f>IFERROR(__xludf.DUMMYFUNCTION("""COMPUTED_VALUE"""),87751.0)</f>
        <v>87751</v>
      </c>
      <c r="B3206" s="5">
        <f>IFERROR(__xludf.DUMMYFUNCTION("""COMPUTED_VALUE"""),44995.40710887732)</f>
        <v>44995.40711</v>
      </c>
      <c r="C3206" s="1" t="str">
        <f>IFERROR(__xludf.DUMMYFUNCTION("""COMPUTED_VALUE"""),"PAUCO ELIZABETH")</f>
        <v>PAUCO ELIZABETH</v>
      </c>
      <c r="D3206" s="1" t="str">
        <f>IFERROR(__xludf.DUMMYFUNCTION("""COMPUTED_VALUE"""),"Reparaciones/Otros")</f>
        <v>Reparaciones/Otros</v>
      </c>
      <c r="E3206" s="1" t="str">
        <f>IFERROR(__xludf.DUMMYFUNCTION("""COMPUTED_VALUE"""),"RIVADAVIA Christian C.")</f>
        <v>RIVADAVIA Christian C.</v>
      </c>
      <c r="F3206" s="1" t="str">
        <f t="shared" si="1"/>
        <v>RIVADAVIA </v>
      </c>
      <c r="G3206" s="1" t="str">
        <f t="shared" si="2"/>
        <v>Christian C.</v>
      </c>
      <c r="H3206" s="1" t="str">
        <f>IFERROR(__xludf.DUMMYFUNCTION("""COMPUTED_VALUE"""),"11/3/2023, 17:00:00")</f>
        <v>11/3/2023, 17:00:00</v>
      </c>
      <c r="I3206" s="1" t="str">
        <f>IFERROR(__xludf.DUMMYFUNCTION("""COMPUTED_VALUE"""),"Completado en SUCURSAL")</f>
        <v>Completado en SUCURSAL</v>
      </c>
      <c r="J3206" s="1">
        <f t="shared" si="3"/>
        <v>5</v>
      </c>
      <c r="K3206" s="1" t="str">
        <f t="shared" si="4"/>
        <v>Tus Lentes estan LISTAS PARA ENTREGAR, te esperamos.</v>
      </c>
    </row>
    <row r="3207">
      <c r="A3207" s="1">
        <f>IFERROR(__xludf.DUMMYFUNCTION("""COMPUTED_VALUE"""),87752.0)</f>
        <v>87752</v>
      </c>
      <c r="B3207" s="5">
        <f>IFERROR(__xludf.DUMMYFUNCTION("""COMPUTED_VALUE"""),44995.410493738425)</f>
        <v>44995.41049</v>
      </c>
      <c r="C3207" s="1" t="str">
        <f>IFERROR(__xludf.DUMMYFUNCTION("""COMPUTED_VALUE"""),"DIAZ VALDES CAROLINA")</f>
        <v>DIAZ VALDES CAROLINA</v>
      </c>
      <c r="D3207" s="1" t="str">
        <f>IFERROR(__xludf.DUMMYFUNCTION("""COMPUTED_VALUE"""),"Lentes de STOCK")</f>
        <v>Lentes de STOCK</v>
      </c>
      <c r="E3207" s="1" t="str">
        <f>IFERROR(__xludf.DUMMYFUNCTION("""COMPUTED_VALUE"""),"RIVADAVIA Marcela L")</f>
        <v>RIVADAVIA Marcela L</v>
      </c>
      <c r="F3207" s="1" t="str">
        <f t="shared" si="1"/>
        <v>RIVADAVIA </v>
      </c>
      <c r="G3207" s="1" t="str">
        <f t="shared" si="2"/>
        <v>Marcela L</v>
      </c>
      <c r="H3207" s="1" t="str">
        <f>IFERROR(__xludf.DUMMYFUNCTION("""COMPUTED_VALUE"""),"16/3/2023, 17:00:00")</f>
        <v>16/3/2023, 17:00:00</v>
      </c>
      <c r="I3207" s="1" t="str">
        <f>IFERROR(__xludf.DUMMYFUNCTION("""COMPUTED_VALUE"""),"Completado en SUCURSAL")</f>
        <v>Completado en SUCURSAL</v>
      </c>
      <c r="J3207" s="1">
        <f t="shared" si="3"/>
        <v>5</v>
      </c>
      <c r="K3207" s="1" t="str">
        <f t="shared" si="4"/>
        <v>Tus Lentes estan LISTAS PARA ENTREGAR, te esperamos.</v>
      </c>
    </row>
    <row r="3208">
      <c r="A3208" s="1">
        <f>IFERROR(__xludf.DUMMYFUNCTION("""COMPUTED_VALUE"""),87753.0)</f>
        <v>87753</v>
      </c>
      <c r="B3208" s="5">
        <f>IFERROR(__xludf.DUMMYFUNCTION("""COMPUTED_VALUE"""),44995.41255925926)</f>
        <v>44995.41256</v>
      </c>
      <c r="C3208" s="1" t="str">
        <f>IFERROR(__xludf.DUMMYFUNCTION("""COMPUTED_VALUE"""),"DAMATO MARCELO")</f>
        <v>DAMATO MARCELO</v>
      </c>
      <c r="D3208" s="1" t="str">
        <f>IFERROR(__xludf.DUMMYFUNCTION("""COMPUTED_VALUE"""),"Reparaciones/Otros")</f>
        <v>Reparaciones/Otros</v>
      </c>
      <c r="E3208" s="1" t="str">
        <f>IFERROR(__xludf.DUMMYFUNCTION("""COMPUTED_VALUE"""),"RIVADAVIA Santiago LOPEZ")</f>
        <v>RIVADAVIA Santiago LOPEZ</v>
      </c>
      <c r="F3208" s="1" t="str">
        <f t="shared" si="1"/>
        <v>RIVADAVIA </v>
      </c>
      <c r="G3208" s="1" t="str">
        <f t="shared" si="2"/>
        <v>Santiago LOPEZ</v>
      </c>
      <c r="H3208" s="1" t="str">
        <f>IFERROR(__xludf.DUMMYFUNCTION("""COMPUTED_VALUE"""),"11/3/2023, 17:00:00")</f>
        <v>11/3/2023, 17:00:00</v>
      </c>
      <c r="I3208" s="1"/>
      <c r="J3208" s="1">
        <f t="shared" si="3"/>
        <v>0</v>
      </c>
      <c r="K3208" s="1" t="str">
        <f t="shared" si="4"/>
        <v/>
      </c>
    </row>
    <row r="3209">
      <c r="A3209" s="1">
        <f>IFERROR(__xludf.DUMMYFUNCTION("""COMPUTED_VALUE"""),87754.0)</f>
        <v>87754</v>
      </c>
      <c r="B3209" s="5">
        <f>IFERROR(__xludf.DUMMYFUNCTION("""COMPUTED_VALUE"""),44995.41893151621)</f>
        <v>44995.41893</v>
      </c>
      <c r="C3209" s="1" t="str">
        <f>IFERROR(__xludf.DUMMYFUNCTION("""COMPUTED_VALUE"""),"LUCERO ROSA ")</f>
        <v>LUCERO ROSA </v>
      </c>
      <c r="D3209" s="1" t="str">
        <f>IFERROR(__xludf.DUMMYFUNCTION("""COMPUTED_VALUE"""),"Lentes de STOCK")</f>
        <v>Lentes de STOCK</v>
      </c>
      <c r="E3209" s="1" t="str">
        <f>IFERROR(__xludf.DUMMYFUNCTION("""COMPUTED_VALUE"""),"RIVADAVIA Christian C.")</f>
        <v>RIVADAVIA Christian C.</v>
      </c>
      <c r="F3209" s="1" t="str">
        <f t="shared" si="1"/>
        <v>RIVADAVIA </v>
      </c>
      <c r="G3209" s="1" t="str">
        <f t="shared" si="2"/>
        <v>Christian C.</v>
      </c>
      <c r="H3209" s="1" t="str">
        <f>IFERROR(__xludf.DUMMYFUNCTION("""COMPUTED_VALUE"""),"15/3/2023, 17:00:00")</f>
        <v>15/3/2023, 17:00:00</v>
      </c>
      <c r="I3209" s="1" t="str">
        <f>IFERROR(__xludf.DUMMYFUNCTION("""COMPUTED_VALUE"""),"Completado en SUCURSAL")</f>
        <v>Completado en SUCURSAL</v>
      </c>
      <c r="J3209" s="1">
        <f t="shared" si="3"/>
        <v>5</v>
      </c>
      <c r="K3209" s="1" t="str">
        <f t="shared" si="4"/>
        <v>Tus Lentes estan LISTAS PARA ENTREGAR, te esperamos.</v>
      </c>
    </row>
    <row r="3210">
      <c r="A3210" s="1">
        <f>IFERROR(__xludf.DUMMYFUNCTION("""COMPUTED_VALUE"""),87755.0)</f>
        <v>87755</v>
      </c>
      <c r="B3210" s="5">
        <f>IFERROR(__xludf.DUMMYFUNCTION("""COMPUTED_VALUE"""),44995.42080503472)</f>
        <v>44995.42081</v>
      </c>
      <c r="C3210" s="1" t="str">
        <f>IFERROR(__xludf.DUMMYFUNCTION("""COMPUTED_VALUE"""),"PEREZ SOFIA AYELEN")</f>
        <v>PEREZ SOFIA AYELEN</v>
      </c>
      <c r="D3210" s="1" t="str">
        <f>IFERROR(__xludf.DUMMYFUNCTION("""COMPUTED_VALUE"""),"Lentes de STOCK")</f>
        <v>Lentes de STOCK</v>
      </c>
      <c r="E3210" s="1" t="str">
        <f>IFERROR(__xludf.DUMMYFUNCTION("""COMPUTED_VALUE"""),"RIVADAVIA Marcela L")</f>
        <v>RIVADAVIA Marcela L</v>
      </c>
      <c r="F3210" s="1" t="str">
        <f t="shared" si="1"/>
        <v>RIVADAVIA </v>
      </c>
      <c r="G3210" s="1" t="str">
        <f t="shared" si="2"/>
        <v>Marcela L</v>
      </c>
      <c r="H3210" s="1" t="str">
        <f>IFERROR(__xludf.DUMMYFUNCTION("""COMPUTED_VALUE"""),"13/3/2023, 17:00:00")</f>
        <v>13/3/2023, 17:00:00</v>
      </c>
      <c r="I3210" s="1" t="str">
        <f>IFERROR(__xludf.DUMMYFUNCTION("""COMPUTED_VALUE"""),"Completado en SUCURSAL")</f>
        <v>Completado en SUCURSAL</v>
      </c>
      <c r="J3210" s="1">
        <f t="shared" si="3"/>
        <v>5</v>
      </c>
      <c r="K3210" s="1" t="str">
        <f t="shared" si="4"/>
        <v>Tus Lentes estan LISTAS PARA ENTREGAR, te esperamos.</v>
      </c>
    </row>
    <row r="3211">
      <c r="A3211" s="1">
        <f>IFERROR(__xludf.DUMMYFUNCTION("""COMPUTED_VALUE"""),87756.0)</f>
        <v>87756</v>
      </c>
      <c r="B3211" s="5">
        <f>IFERROR(__xludf.DUMMYFUNCTION("""COMPUTED_VALUE"""),44995.427475439814)</f>
        <v>44995.42748</v>
      </c>
      <c r="C3211" s="1" t="str">
        <f>IFERROR(__xludf.DUMMYFUNCTION("""COMPUTED_VALUE"""),"PEDERNERA CESAR")</f>
        <v>PEDERNERA CESAR</v>
      </c>
      <c r="D3211" s="1" t="str">
        <f>IFERROR(__xludf.DUMMYFUNCTION("""COMPUTED_VALUE"""),"Lentes de STOCK")</f>
        <v>Lentes de STOCK</v>
      </c>
      <c r="E3211" s="1" t="str">
        <f>IFERROR(__xludf.DUMMYFUNCTION("""COMPUTED_VALUE"""),"ARTIGAS Ivana P.")</f>
        <v>ARTIGAS Ivana P.</v>
      </c>
      <c r="F3211" s="1" t="str">
        <f t="shared" si="1"/>
        <v>ARTIGAS </v>
      </c>
      <c r="G3211" s="1" t="str">
        <f t="shared" si="2"/>
        <v>Ivana P.</v>
      </c>
      <c r="H3211" s="1" t="str">
        <f>IFERROR(__xludf.DUMMYFUNCTION("""COMPUTED_VALUE"""),"15/3/2023, 17:00:00")</f>
        <v>15/3/2023, 17:00:00</v>
      </c>
      <c r="I3211" s="1" t="str">
        <f>IFERROR(__xludf.DUMMYFUNCTION("""COMPUTED_VALUE"""),"RETIRADO OK POR CLIENTE")</f>
        <v>RETIRADO OK POR CLIENTE</v>
      </c>
      <c r="J3211" s="1">
        <f t="shared" si="3"/>
        <v>6</v>
      </c>
      <c r="K3211" s="1" t="str">
        <f t="shared" si="4"/>
        <v>Entregamos tus lentes, que los disfrutes!</v>
      </c>
    </row>
    <row r="3212">
      <c r="A3212" s="1">
        <f>IFERROR(__xludf.DUMMYFUNCTION("""COMPUTED_VALUE"""),87757.0)</f>
        <v>87757</v>
      </c>
      <c r="B3212" s="5">
        <f>IFERROR(__xludf.DUMMYFUNCTION("""COMPUTED_VALUE"""),44995.42953648148)</f>
        <v>44995.42954</v>
      </c>
      <c r="C3212" s="1" t="str">
        <f>IFERROR(__xludf.DUMMYFUNCTION("""COMPUTED_VALUE"""),"MIRANDA BLANCA")</f>
        <v>MIRANDA BLANCA</v>
      </c>
      <c r="D3212" s="1" t="str">
        <f>IFERROR(__xludf.DUMMYFUNCTION("""COMPUTED_VALUE"""),"Reparaciones/Otros")</f>
        <v>Reparaciones/Otros</v>
      </c>
      <c r="E3212" s="1" t="str">
        <f>IFERROR(__xludf.DUMMYFUNCTION("""COMPUTED_VALUE"""),"ARTIGAS Roció")</f>
        <v>ARTIGAS Roció</v>
      </c>
      <c r="F3212" s="1" t="str">
        <f t="shared" si="1"/>
        <v>ARTIGAS </v>
      </c>
      <c r="G3212" s="1" t="str">
        <f t="shared" si="2"/>
        <v>Roció</v>
      </c>
      <c r="H3212" s="1" t="str">
        <f>IFERROR(__xludf.DUMMYFUNCTION("""COMPUTED_VALUE"""),"13/3/2023, 17:00:00")</f>
        <v>13/3/2023, 17:00:00</v>
      </c>
      <c r="I3212" s="1" t="str">
        <f>IFERROR(__xludf.DUMMYFUNCTION("""COMPUTED_VALUE"""),"Completado en SUCURSAL")</f>
        <v>Completado en SUCURSAL</v>
      </c>
      <c r="J3212" s="1">
        <f t="shared" si="3"/>
        <v>5</v>
      </c>
      <c r="K3212" s="1" t="str">
        <f t="shared" si="4"/>
        <v>Tus Lentes estan LISTAS PARA ENTREGAR, te esperamos.</v>
      </c>
    </row>
    <row r="3213">
      <c r="A3213" s="1">
        <f>IFERROR(__xludf.DUMMYFUNCTION("""COMPUTED_VALUE"""),87758.0)</f>
        <v>87758</v>
      </c>
      <c r="B3213" s="5">
        <f>IFERROR(__xludf.DUMMYFUNCTION("""COMPUTED_VALUE"""),44995.429897766204)</f>
        <v>44995.4299</v>
      </c>
      <c r="C3213" s="1" t="str">
        <f>IFERROR(__xludf.DUMMYFUNCTION("""COMPUTED_VALUE"""),"BECERRA EVELEIN ")</f>
        <v>BECERRA EVELEIN </v>
      </c>
      <c r="D3213" s="1" t="str">
        <f>IFERROR(__xludf.DUMMYFUNCTION("""COMPUTED_VALUE"""),"Lentes de STOCK")</f>
        <v>Lentes de STOCK</v>
      </c>
      <c r="E3213" s="1" t="str">
        <f>IFERROR(__xludf.DUMMYFUNCTION("""COMPUTED_VALUE"""),"RIVADAVIA Christian C.")</f>
        <v>RIVADAVIA Christian C.</v>
      </c>
      <c r="F3213" s="1" t="str">
        <f t="shared" si="1"/>
        <v>RIVADAVIA </v>
      </c>
      <c r="G3213" s="1" t="str">
        <f t="shared" si="2"/>
        <v>Christian C.</v>
      </c>
      <c r="H3213" s="1" t="str">
        <f>IFERROR(__xludf.DUMMYFUNCTION("""COMPUTED_VALUE"""),"16/3/2023, 17:00:00")</f>
        <v>16/3/2023, 17:00:00</v>
      </c>
      <c r="I3213" s="1" t="str">
        <f>IFERROR(__xludf.DUMMYFUNCTION("""COMPUTED_VALUE"""),"Completado en SUCURSAL")</f>
        <v>Completado en SUCURSAL</v>
      </c>
      <c r="J3213" s="1">
        <f t="shared" si="3"/>
        <v>5</v>
      </c>
      <c r="K3213" s="1" t="str">
        <f t="shared" si="4"/>
        <v>Tus Lentes estan LISTAS PARA ENTREGAR, te esperamos.</v>
      </c>
    </row>
    <row r="3214">
      <c r="A3214" s="1">
        <f>IFERROR(__xludf.DUMMYFUNCTION("""COMPUTED_VALUE"""),87759.0)</f>
        <v>87759</v>
      </c>
      <c r="B3214" s="5">
        <f>IFERROR(__xludf.DUMMYFUNCTION("""COMPUTED_VALUE"""),44995.43174962963)</f>
        <v>44995.43175</v>
      </c>
      <c r="C3214" s="1" t="str">
        <f>IFERROR(__xludf.DUMMYFUNCTION("""COMPUTED_VALUE"""),"AGUILERA VICTORIA")</f>
        <v>AGUILERA VICTORIA</v>
      </c>
      <c r="D3214" s="1" t="str">
        <f>IFERROR(__xludf.DUMMYFUNCTION("""COMPUTED_VALUE"""),"Lentes de STOCK")</f>
        <v>Lentes de STOCK</v>
      </c>
      <c r="E3214" s="1" t="str">
        <f>IFERROR(__xludf.DUMMYFUNCTION("""COMPUTED_VALUE"""),"RIVADAVIA Santiago LOPEZ")</f>
        <v>RIVADAVIA Santiago LOPEZ</v>
      </c>
      <c r="F3214" s="1" t="str">
        <f t="shared" si="1"/>
        <v>RIVADAVIA </v>
      </c>
      <c r="G3214" s="1" t="str">
        <f t="shared" si="2"/>
        <v>Santiago LOPEZ</v>
      </c>
      <c r="H3214" s="1" t="str">
        <f>IFERROR(__xludf.DUMMYFUNCTION("""COMPUTED_VALUE"""),"15/3/2023, 17:00:00")</f>
        <v>15/3/2023, 17:00:00</v>
      </c>
      <c r="I3214" s="1"/>
      <c r="J3214" s="1">
        <f t="shared" si="3"/>
        <v>0</v>
      </c>
      <c r="K3214" s="1" t="str">
        <f t="shared" si="4"/>
        <v/>
      </c>
    </row>
    <row r="3215">
      <c r="A3215" s="1">
        <f>IFERROR(__xludf.DUMMYFUNCTION("""COMPUTED_VALUE"""),87760.0)</f>
        <v>87760</v>
      </c>
      <c r="B3215" s="5">
        <f>IFERROR(__xludf.DUMMYFUNCTION("""COMPUTED_VALUE"""),44995.43327947917)</f>
        <v>44995.43328</v>
      </c>
      <c r="C3215" s="1" t="str">
        <f>IFERROR(__xludf.DUMMYFUNCTION("""COMPUTED_VALUE"""),"CUESTA MARCELO ALFONSO")</f>
        <v>CUESTA MARCELO ALFONSO</v>
      </c>
      <c r="D3215" s="1" t="str">
        <f>IFERROR(__xludf.DUMMYFUNCTION("""COMPUTED_VALUE"""),"Lentes de STOCK")</f>
        <v>Lentes de STOCK</v>
      </c>
      <c r="E3215" s="1" t="str">
        <f>IFERROR(__xludf.DUMMYFUNCTION("""COMPUTED_VALUE"""),"RIVADAVIA Luciana")</f>
        <v>RIVADAVIA Luciana</v>
      </c>
      <c r="F3215" s="1" t="str">
        <f t="shared" si="1"/>
        <v>RIVADAVIA </v>
      </c>
      <c r="G3215" s="1" t="str">
        <f t="shared" si="2"/>
        <v>Luciana</v>
      </c>
      <c r="H3215" s="1" t="str">
        <f>IFERROR(__xludf.DUMMYFUNCTION("""COMPUTED_VALUE"""),"15/3/2023, 17:00:00")</f>
        <v>15/3/2023, 17:00:00</v>
      </c>
      <c r="I3215" s="1"/>
      <c r="J3215" s="1">
        <f t="shared" si="3"/>
        <v>0</v>
      </c>
      <c r="K3215" s="1" t="str">
        <f t="shared" si="4"/>
        <v/>
      </c>
    </row>
    <row r="3216">
      <c r="A3216" s="1">
        <f>IFERROR(__xludf.DUMMYFUNCTION("""COMPUTED_VALUE"""),87761.0)</f>
        <v>87761</v>
      </c>
      <c r="B3216" s="5">
        <f>IFERROR(__xludf.DUMMYFUNCTION("""COMPUTED_VALUE"""),44995.433370694445)</f>
        <v>44995.43337</v>
      </c>
      <c r="C3216" s="1" t="str">
        <f>IFERROR(__xludf.DUMMYFUNCTION("""COMPUTED_VALUE"""),"LATORRE LILIANA SANDRA")</f>
        <v>LATORRE LILIANA SANDRA</v>
      </c>
      <c r="D3216" s="1" t="str">
        <f>IFERROR(__xludf.DUMMYFUNCTION("""COMPUTED_VALUE"""),"Lentes de STOCK")</f>
        <v>Lentes de STOCK</v>
      </c>
      <c r="E3216" s="1" t="str">
        <f>IFERROR(__xludf.DUMMYFUNCTION("""COMPUTED_VALUE"""),"ARTIGAS Roció")</f>
        <v>ARTIGAS Roció</v>
      </c>
      <c r="F3216" s="1" t="str">
        <f t="shared" si="1"/>
        <v>ARTIGAS </v>
      </c>
      <c r="G3216" s="1" t="str">
        <f t="shared" si="2"/>
        <v>Roció</v>
      </c>
      <c r="H3216" s="1" t="str">
        <f>IFERROR(__xludf.DUMMYFUNCTION("""COMPUTED_VALUE"""),"17/3/2023, 17:00:00")</f>
        <v>17/3/2023, 17:00:00</v>
      </c>
      <c r="I3216" s="1" t="str">
        <f>IFERROR(__xludf.DUMMYFUNCTION("""COMPUTED_VALUE"""),"Completado en SUCURSAL")</f>
        <v>Completado en SUCURSAL</v>
      </c>
      <c r="J3216" s="1">
        <f t="shared" si="3"/>
        <v>5</v>
      </c>
      <c r="K3216" s="1" t="str">
        <f t="shared" si="4"/>
        <v>Tus Lentes estan LISTAS PARA ENTREGAR, te esperamos.</v>
      </c>
    </row>
    <row r="3217">
      <c r="A3217" s="1">
        <f>IFERROR(__xludf.DUMMYFUNCTION("""COMPUTED_VALUE"""),87762.0)</f>
        <v>87762</v>
      </c>
      <c r="B3217" s="5">
        <f>IFERROR(__xludf.DUMMYFUNCTION("""COMPUTED_VALUE"""),44995.434896666666)</f>
        <v>44995.4349</v>
      </c>
      <c r="C3217" s="1" t="str">
        <f>IFERROR(__xludf.DUMMYFUNCTION("""COMPUTED_VALUE"""),"AGUILERA VICTORIA")</f>
        <v>AGUILERA VICTORIA</v>
      </c>
      <c r="D3217" s="1" t="str">
        <f>IFERROR(__xludf.DUMMYFUNCTION("""COMPUTED_VALUE"""),"Lentes de STOCK")</f>
        <v>Lentes de STOCK</v>
      </c>
      <c r="E3217" s="1" t="str">
        <f>IFERROR(__xludf.DUMMYFUNCTION("""COMPUTED_VALUE"""),"RIVADAVIA Santiago LOPEZ")</f>
        <v>RIVADAVIA Santiago LOPEZ</v>
      </c>
      <c r="F3217" s="1" t="str">
        <f t="shared" si="1"/>
        <v>RIVADAVIA </v>
      </c>
      <c r="G3217" s="1" t="str">
        <f t="shared" si="2"/>
        <v>Santiago LOPEZ</v>
      </c>
      <c r="H3217" s="1" t="str">
        <f>IFERROR(__xludf.DUMMYFUNCTION("""COMPUTED_VALUE"""),"15/3/2023, 17:00:00")</f>
        <v>15/3/2023, 17:00:00</v>
      </c>
      <c r="I3217" s="1" t="str">
        <f>IFERROR(__xludf.DUMMYFUNCTION("""COMPUTED_VALUE"""),"Completado en SUCURSAL")</f>
        <v>Completado en SUCURSAL</v>
      </c>
      <c r="J3217" s="1">
        <f t="shared" si="3"/>
        <v>5</v>
      </c>
      <c r="K3217" s="1" t="str">
        <f t="shared" si="4"/>
        <v>Tus Lentes estan LISTAS PARA ENTREGAR, te esperamos.</v>
      </c>
    </row>
    <row r="3218">
      <c r="A3218" s="1">
        <f>IFERROR(__xludf.DUMMYFUNCTION("""COMPUTED_VALUE"""),87763.0)</f>
        <v>87763</v>
      </c>
      <c r="B3218" s="5">
        <f>IFERROR(__xludf.DUMMYFUNCTION("""COMPUTED_VALUE"""),44995.43791317129)</f>
        <v>44995.43791</v>
      </c>
      <c r="C3218" s="1" t="str">
        <f>IFERROR(__xludf.DUMMYFUNCTION("""COMPUTED_VALUE"""),"ANDUJAR CALOS DANIEL")</f>
        <v>ANDUJAR CALOS DANIEL</v>
      </c>
      <c r="D3218" s="1" t="str">
        <f>IFERROR(__xludf.DUMMYFUNCTION("""COMPUTED_VALUE"""),"Lentes de STOCK")</f>
        <v>Lentes de STOCK</v>
      </c>
      <c r="E3218" s="1" t="str">
        <f>IFERROR(__xludf.DUMMYFUNCTION("""COMPUTED_VALUE"""),"RIVADAVIA Santiago N")</f>
        <v>RIVADAVIA Santiago N</v>
      </c>
      <c r="F3218" s="1" t="str">
        <f t="shared" si="1"/>
        <v>RIVADAVIA </v>
      </c>
      <c r="G3218" s="1" t="str">
        <f t="shared" si="2"/>
        <v>Santiago N</v>
      </c>
      <c r="H3218" s="1" t="str">
        <f>IFERROR(__xludf.DUMMYFUNCTION("""COMPUTED_VALUE"""),"13/3/2023, 17:00:00")</f>
        <v>13/3/2023, 17:00:00</v>
      </c>
      <c r="I3218" s="1" t="str">
        <f>IFERROR(__xludf.DUMMYFUNCTION("""COMPUTED_VALUE"""),"Completado en SUCURSAL")</f>
        <v>Completado en SUCURSAL</v>
      </c>
      <c r="J3218" s="1">
        <f t="shared" si="3"/>
        <v>5</v>
      </c>
      <c r="K3218" s="1" t="str">
        <f t="shared" si="4"/>
        <v>Tus Lentes estan LISTAS PARA ENTREGAR, te esperamos.</v>
      </c>
    </row>
    <row r="3219">
      <c r="A3219" s="1">
        <f>IFERROR(__xludf.DUMMYFUNCTION("""COMPUTED_VALUE"""),87764.0)</f>
        <v>87764</v>
      </c>
      <c r="B3219" s="5">
        <f>IFERROR(__xludf.DUMMYFUNCTION("""COMPUTED_VALUE"""),44995.43820069444)</f>
        <v>44995.4382</v>
      </c>
      <c r="C3219" s="1" t="str">
        <f>IFERROR(__xludf.DUMMYFUNCTION("""COMPUTED_VALUE"""),"CUESTA MARCELO ALFONSO ")</f>
        <v>CUESTA MARCELO ALFONSO </v>
      </c>
      <c r="D3219" s="1" t="str">
        <f>IFERROR(__xludf.DUMMYFUNCTION("""COMPUTED_VALUE"""),"Lentes de STOCK")</f>
        <v>Lentes de STOCK</v>
      </c>
      <c r="E3219" s="1" t="str">
        <f>IFERROR(__xludf.DUMMYFUNCTION("""COMPUTED_VALUE"""),"RIVADAVIA Luciana")</f>
        <v>RIVADAVIA Luciana</v>
      </c>
      <c r="F3219" s="1" t="str">
        <f t="shared" si="1"/>
        <v>RIVADAVIA </v>
      </c>
      <c r="G3219" s="1" t="str">
        <f t="shared" si="2"/>
        <v>Luciana</v>
      </c>
      <c r="H3219" s="1" t="str">
        <f>IFERROR(__xludf.DUMMYFUNCTION("""COMPUTED_VALUE"""),"15/3/2023, 17:00:00")</f>
        <v>15/3/2023, 17:00:00</v>
      </c>
      <c r="I3219" s="1" t="str">
        <f>IFERROR(__xludf.DUMMYFUNCTION("""COMPUTED_VALUE"""),"Completado en SUCURSAL")</f>
        <v>Completado en SUCURSAL</v>
      </c>
      <c r="J3219" s="1">
        <f t="shared" si="3"/>
        <v>5</v>
      </c>
      <c r="K3219" s="1" t="str">
        <f t="shared" si="4"/>
        <v>Tus Lentes estan LISTAS PARA ENTREGAR, te esperamos.</v>
      </c>
    </row>
    <row r="3220">
      <c r="A3220" s="1">
        <f>IFERROR(__xludf.DUMMYFUNCTION("""COMPUTED_VALUE"""),87765.0)</f>
        <v>87765</v>
      </c>
      <c r="B3220" s="5">
        <f>IFERROR(__xludf.DUMMYFUNCTION("""COMPUTED_VALUE"""),44995.439397118054)</f>
        <v>44995.4394</v>
      </c>
      <c r="C3220" s="1" t="str">
        <f>IFERROR(__xludf.DUMMYFUNCTION("""COMPUTED_VALUE"""),"PEREZ BIBIANA")</f>
        <v>PEREZ BIBIANA</v>
      </c>
      <c r="D3220" s="1" t="str">
        <f>IFERROR(__xludf.DUMMYFUNCTION("""COMPUTED_VALUE"""),"Reparaciones/Otros")</f>
        <v>Reparaciones/Otros</v>
      </c>
      <c r="E3220" s="1" t="str">
        <f>IFERROR(__xludf.DUMMYFUNCTION("""COMPUTED_VALUE"""),"RIVADAVIA Daniel CM")</f>
        <v>RIVADAVIA Daniel CM</v>
      </c>
      <c r="F3220" s="1" t="str">
        <f t="shared" si="1"/>
        <v>RIVADAVIA </v>
      </c>
      <c r="G3220" s="1" t="str">
        <f t="shared" si="2"/>
        <v>Daniel CM</v>
      </c>
      <c r="H3220" s="1" t="str">
        <f>IFERROR(__xludf.DUMMYFUNCTION("""COMPUTED_VALUE"""),"11/3/2023, 17:00:00")</f>
        <v>11/3/2023, 17:00:00</v>
      </c>
      <c r="I3220" s="1" t="str">
        <f>IFERROR(__xludf.DUMMYFUNCTION("""COMPUTED_VALUE"""),"Completado en SUCURSAL")</f>
        <v>Completado en SUCURSAL</v>
      </c>
      <c r="J3220" s="1">
        <f t="shared" si="3"/>
        <v>5</v>
      </c>
      <c r="K3220" s="1" t="str">
        <f t="shared" si="4"/>
        <v>Tus Lentes estan LISTAS PARA ENTREGAR, te esperamos.</v>
      </c>
    </row>
    <row r="3221">
      <c r="A3221" s="1">
        <f>IFERROR(__xludf.DUMMYFUNCTION("""COMPUTED_VALUE"""),87766.0)</f>
        <v>87766</v>
      </c>
      <c r="B3221" s="5">
        <f>IFERROR(__xludf.DUMMYFUNCTION("""COMPUTED_VALUE"""),44995.44170717592)</f>
        <v>44995.44171</v>
      </c>
      <c r="C3221" s="1" t="str">
        <f>IFERROR(__xludf.DUMMYFUNCTION("""COMPUTED_VALUE"""),"GONZALEZ MANUELA CRISTINA")</f>
        <v>GONZALEZ MANUELA CRISTINA</v>
      </c>
      <c r="D3221" s="1" t="str">
        <f>IFERROR(__xludf.DUMMYFUNCTION("""COMPUTED_VALUE"""),"Lentes de STOCK")</f>
        <v>Lentes de STOCK</v>
      </c>
      <c r="E3221" s="1" t="str">
        <f>IFERROR(__xludf.DUMMYFUNCTION("""COMPUTED_VALUE"""),"ARTIGAS Roció")</f>
        <v>ARTIGAS Roció</v>
      </c>
      <c r="F3221" s="1" t="str">
        <f t="shared" si="1"/>
        <v>ARTIGAS </v>
      </c>
      <c r="G3221" s="1" t="str">
        <f t="shared" si="2"/>
        <v>Roció</v>
      </c>
      <c r="H3221" s="1" t="str">
        <f>IFERROR(__xludf.DUMMYFUNCTION("""COMPUTED_VALUE"""),"17/3/2023, 17:00:00")</f>
        <v>17/3/2023, 17:00:00</v>
      </c>
      <c r="I3221" s="1" t="str">
        <f>IFERROR(__xludf.DUMMYFUNCTION("""COMPUTED_VALUE"""),"Completado en SUCURSAL")</f>
        <v>Completado en SUCURSAL</v>
      </c>
      <c r="J3221" s="1">
        <f t="shared" si="3"/>
        <v>5</v>
      </c>
      <c r="K3221" s="1" t="str">
        <f t="shared" si="4"/>
        <v>Tus Lentes estan LISTAS PARA ENTREGAR, te esperamos.</v>
      </c>
    </row>
    <row r="3222">
      <c r="A3222" s="1">
        <f>IFERROR(__xludf.DUMMYFUNCTION("""COMPUTED_VALUE"""),87767.0)</f>
        <v>87767</v>
      </c>
      <c r="B3222" s="5">
        <f>IFERROR(__xludf.DUMMYFUNCTION("""COMPUTED_VALUE"""),44995.4426994213)</f>
        <v>44995.4427</v>
      </c>
      <c r="C3222" s="1" t="str">
        <f>IFERROR(__xludf.DUMMYFUNCTION("""COMPUTED_VALUE"""),"DIAZ JUAN")</f>
        <v>DIAZ JUAN</v>
      </c>
      <c r="D3222" s="1" t="str">
        <f>IFERROR(__xludf.DUMMYFUNCTION("""COMPUTED_VALUE"""),"Lentes de STOCK")</f>
        <v>Lentes de STOCK</v>
      </c>
      <c r="E3222" s="1" t="str">
        <f>IFERROR(__xludf.DUMMYFUNCTION("""COMPUTED_VALUE"""),"RIVADAVIA Santiago LOPEZ")</f>
        <v>RIVADAVIA Santiago LOPEZ</v>
      </c>
      <c r="F3222" s="1" t="str">
        <f t="shared" si="1"/>
        <v>RIVADAVIA </v>
      </c>
      <c r="G3222" s="1" t="str">
        <f t="shared" si="2"/>
        <v>Santiago LOPEZ</v>
      </c>
      <c r="H3222" s="1" t="str">
        <f>IFERROR(__xludf.DUMMYFUNCTION("""COMPUTED_VALUE"""),"17/3/2023, 17:00:00")</f>
        <v>17/3/2023, 17:00:00</v>
      </c>
      <c r="I3222" s="1" t="str">
        <f>IFERROR(__xludf.DUMMYFUNCTION("""COMPUTED_VALUE"""),"Completado en SUCURSAL")</f>
        <v>Completado en SUCURSAL</v>
      </c>
      <c r="J3222" s="1">
        <f t="shared" si="3"/>
        <v>5</v>
      </c>
      <c r="K3222" s="1" t="str">
        <f t="shared" si="4"/>
        <v>Tus Lentes estan LISTAS PARA ENTREGAR, te esperamos.</v>
      </c>
    </row>
    <row r="3223">
      <c r="A3223" s="1">
        <f>IFERROR(__xludf.DUMMYFUNCTION("""COMPUTED_VALUE"""),87768.0)</f>
        <v>87768</v>
      </c>
      <c r="B3223" s="5">
        <f>IFERROR(__xludf.DUMMYFUNCTION("""COMPUTED_VALUE"""),44995.44493576389)</f>
        <v>44995.44494</v>
      </c>
      <c r="C3223" s="1" t="str">
        <f>IFERROR(__xludf.DUMMYFUNCTION("""COMPUTED_VALUE"""),"soria maria fernanda")</f>
        <v>soria maria fernanda</v>
      </c>
      <c r="D3223" s="1" t="str">
        <f>IFERROR(__xludf.DUMMYFUNCTION("""COMPUTED_VALUE"""),"Reparaciones/Otros")</f>
        <v>Reparaciones/Otros</v>
      </c>
      <c r="E3223" s="1" t="str">
        <f>IFERROR(__xludf.DUMMYFUNCTION("""COMPUTED_VALUE"""),"ARTIGAS Sandra G")</f>
        <v>ARTIGAS Sandra G</v>
      </c>
      <c r="F3223" s="1" t="str">
        <f t="shared" si="1"/>
        <v>ARTIGAS </v>
      </c>
      <c r="G3223" s="1" t="str">
        <f t="shared" si="2"/>
        <v>Sandra G</v>
      </c>
      <c r="H3223" s="1" t="str">
        <f>IFERROR(__xludf.DUMMYFUNCTION("""COMPUTED_VALUE"""),"14/3/2023, 17:00:00")</f>
        <v>14/3/2023, 17:00:00</v>
      </c>
      <c r="I3223" s="1" t="str">
        <f>IFERROR(__xludf.DUMMYFUNCTION("""COMPUTED_VALUE"""),"Completado en SUCURSAL")</f>
        <v>Completado en SUCURSAL</v>
      </c>
      <c r="J3223" s="1">
        <f t="shared" si="3"/>
        <v>5</v>
      </c>
      <c r="K3223" s="1" t="str">
        <f t="shared" si="4"/>
        <v>Tus Lentes estan LISTAS PARA ENTREGAR, te esperamos.</v>
      </c>
    </row>
    <row r="3224">
      <c r="A3224" s="1">
        <f>IFERROR(__xludf.DUMMYFUNCTION("""COMPUTED_VALUE"""),87769.0)</f>
        <v>87769</v>
      </c>
      <c r="B3224" s="5">
        <f>IFERROR(__xludf.DUMMYFUNCTION("""COMPUTED_VALUE"""),44995.449533611114)</f>
        <v>44995.44953</v>
      </c>
      <c r="C3224" s="1" t="str">
        <f>IFERROR(__xludf.DUMMYFUNCTION("""COMPUTED_VALUE"""),"SORIA VICTOR")</f>
        <v>SORIA VICTOR</v>
      </c>
      <c r="D3224" s="1" t="str">
        <f>IFERROR(__xludf.DUMMYFUNCTION("""COMPUTED_VALUE"""),"Lentes de STOCK")</f>
        <v>Lentes de STOCK</v>
      </c>
      <c r="E3224" s="1" t="str">
        <f>IFERROR(__xludf.DUMMYFUNCTION("""COMPUTED_VALUE"""),"ARTIGAS Ivana P.")</f>
        <v>ARTIGAS Ivana P.</v>
      </c>
      <c r="F3224" s="1" t="str">
        <f t="shared" si="1"/>
        <v>ARTIGAS </v>
      </c>
      <c r="G3224" s="1" t="str">
        <f t="shared" si="2"/>
        <v>Ivana P.</v>
      </c>
      <c r="H3224" s="1" t="str">
        <f>IFERROR(__xludf.DUMMYFUNCTION("""COMPUTED_VALUE"""),"16/3/2023, 17:00:00")</f>
        <v>16/3/2023, 17:00:00</v>
      </c>
      <c r="I3224" s="1" t="str">
        <f>IFERROR(__xludf.DUMMYFUNCTION("""COMPUTED_VALUE"""),"Completado en SUCURSAL")</f>
        <v>Completado en SUCURSAL</v>
      </c>
      <c r="J3224" s="1">
        <f t="shared" si="3"/>
        <v>5</v>
      </c>
      <c r="K3224" s="1" t="str">
        <f t="shared" si="4"/>
        <v>Tus Lentes estan LISTAS PARA ENTREGAR, te esperamos.</v>
      </c>
    </row>
    <row r="3225">
      <c r="A3225" s="1">
        <f>IFERROR(__xludf.DUMMYFUNCTION("""COMPUTED_VALUE"""),87770.0)</f>
        <v>87770</v>
      </c>
      <c r="B3225" s="5">
        <f>IFERROR(__xludf.DUMMYFUNCTION("""COMPUTED_VALUE"""),44995.452033298614)</f>
        <v>44995.45203</v>
      </c>
      <c r="C3225" s="1" t="str">
        <f>IFERROR(__xludf.DUMMYFUNCTION("""COMPUTED_VALUE"""),"RODRIGUEZ MARIA CRISTINA")</f>
        <v>RODRIGUEZ MARIA CRISTINA</v>
      </c>
      <c r="D3225" s="1" t="str">
        <f>IFERROR(__xludf.DUMMYFUNCTION("""COMPUTED_VALUE"""),"Lentes de STOCK")</f>
        <v>Lentes de STOCK</v>
      </c>
      <c r="E3225" s="1" t="str">
        <f>IFERROR(__xludf.DUMMYFUNCTION("""COMPUTED_VALUE"""),"ARTIGAS Roció")</f>
        <v>ARTIGAS Roció</v>
      </c>
      <c r="F3225" s="1" t="str">
        <f t="shared" si="1"/>
        <v>ARTIGAS </v>
      </c>
      <c r="G3225" s="1" t="str">
        <f t="shared" si="2"/>
        <v>Roció</v>
      </c>
      <c r="H3225" s="1" t="str">
        <f>IFERROR(__xludf.DUMMYFUNCTION("""COMPUTED_VALUE"""),"20/3/2023, 17:00:00")</f>
        <v>20/3/2023, 17:00:00</v>
      </c>
      <c r="I3225" s="1" t="str">
        <f>IFERROR(__xludf.DUMMYFUNCTION("""COMPUTED_VALUE"""),"Completado en SUCURSAL")</f>
        <v>Completado en SUCURSAL</v>
      </c>
      <c r="J3225" s="1">
        <f t="shared" si="3"/>
        <v>5</v>
      </c>
      <c r="K3225" s="1" t="str">
        <f t="shared" si="4"/>
        <v>Tus Lentes estan LISTAS PARA ENTREGAR, te esperamos.</v>
      </c>
    </row>
    <row r="3226">
      <c r="A3226" s="1">
        <f>IFERROR(__xludf.DUMMYFUNCTION("""COMPUTED_VALUE"""),87771.0)</f>
        <v>87771</v>
      </c>
      <c r="B3226" s="5">
        <f>IFERROR(__xludf.DUMMYFUNCTION("""COMPUTED_VALUE"""),44995.45281480324)</f>
        <v>44995.45281</v>
      </c>
      <c r="C3226" s="1" t="str">
        <f>IFERROR(__xludf.DUMMYFUNCTION("""COMPUTED_VALUE"""),"CARDOZO SANTOS")</f>
        <v>CARDOZO SANTOS</v>
      </c>
      <c r="D3226" s="1" t="str">
        <f>IFERROR(__xludf.DUMMYFUNCTION("""COMPUTED_VALUE"""),"Lentes de STOCK")</f>
        <v>Lentes de STOCK</v>
      </c>
      <c r="E3226" s="1" t="str">
        <f>IFERROR(__xludf.DUMMYFUNCTION("""COMPUTED_VALUE"""),"RIVADAVIA Luciana")</f>
        <v>RIVADAVIA Luciana</v>
      </c>
      <c r="F3226" s="1" t="str">
        <f t="shared" si="1"/>
        <v>RIVADAVIA </v>
      </c>
      <c r="G3226" s="1" t="str">
        <f t="shared" si="2"/>
        <v>Luciana</v>
      </c>
      <c r="H3226" s="1" t="str">
        <f>IFERROR(__xludf.DUMMYFUNCTION("""COMPUTED_VALUE"""),"15/3/2023, 17:00:00")</f>
        <v>15/3/2023, 17:00:00</v>
      </c>
      <c r="I3226" s="1"/>
      <c r="J3226" s="1">
        <f t="shared" si="3"/>
        <v>0</v>
      </c>
      <c r="K3226" s="1" t="str">
        <f t="shared" si="4"/>
        <v/>
      </c>
    </row>
    <row r="3227">
      <c r="A3227" s="1">
        <f>IFERROR(__xludf.DUMMYFUNCTION("""COMPUTED_VALUE"""),87772.0)</f>
        <v>87772</v>
      </c>
      <c r="B3227" s="5">
        <f>IFERROR(__xludf.DUMMYFUNCTION("""COMPUTED_VALUE"""),44995.45284238426)</f>
        <v>44995.45284</v>
      </c>
      <c r="C3227" s="1" t="str">
        <f>IFERROR(__xludf.DUMMYFUNCTION("""COMPUTED_VALUE"""),"GOMEZ MAYRA")</f>
        <v>GOMEZ MAYRA</v>
      </c>
      <c r="D3227" s="1" t="str">
        <f>IFERROR(__xludf.DUMMYFUNCTION("""COMPUTED_VALUE"""),"Lentes de STOCK")</f>
        <v>Lentes de STOCK</v>
      </c>
      <c r="E3227" s="1" t="str">
        <f>IFERROR(__xludf.DUMMYFUNCTION("""COMPUTED_VALUE"""),"ARTIGAS Ivana P.")</f>
        <v>ARTIGAS Ivana P.</v>
      </c>
      <c r="F3227" s="1" t="str">
        <f t="shared" si="1"/>
        <v>ARTIGAS </v>
      </c>
      <c r="G3227" s="1" t="str">
        <f t="shared" si="2"/>
        <v>Ivana P.</v>
      </c>
      <c r="H3227" s="1" t="str">
        <f>IFERROR(__xludf.DUMMYFUNCTION("""COMPUTED_VALUE"""),"16/3/2023, 17:00:00")</f>
        <v>16/3/2023, 17:00:00</v>
      </c>
      <c r="I3227" s="1" t="str">
        <f>IFERROR(__xludf.DUMMYFUNCTION("""COMPUTED_VALUE"""),"Completado en SUCURSAL")</f>
        <v>Completado en SUCURSAL</v>
      </c>
      <c r="J3227" s="1">
        <f t="shared" si="3"/>
        <v>5</v>
      </c>
      <c r="K3227" s="1" t="str">
        <f t="shared" si="4"/>
        <v>Tus Lentes estan LISTAS PARA ENTREGAR, te esperamos.</v>
      </c>
    </row>
    <row r="3228">
      <c r="A3228" s="1">
        <f>IFERROR(__xludf.DUMMYFUNCTION("""COMPUTED_VALUE"""),87773.0)</f>
        <v>87773</v>
      </c>
      <c r="B3228" s="5">
        <f>IFERROR(__xludf.DUMMYFUNCTION("""COMPUTED_VALUE"""),44995.45415539352)</f>
        <v>44995.45416</v>
      </c>
      <c r="C3228" s="1" t="str">
        <f>IFERROR(__xludf.DUMMYFUNCTION("""COMPUTED_VALUE"""),"MAI MIRTA")</f>
        <v>MAI MIRTA</v>
      </c>
      <c r="D3228" s="1" t="str">
        <f>IFERROR(__xludf.DUMMYFUNCTION("""COMPUTED_VALUE"""),"Reparaciones/Otros")</f>
        <v>Reparaciones/Otros</v>
      </c>
      <c r="E3228" s="1" t="str">
        <f>IFERROR(__xludf.DUMMYFUNCTION("""COMPUTED_VALUE"""),"RIVADAVIA Christian C.")</f>
        <v>RIVADAVIA Christian C.</v>
      </c>
      <c r="F3228" s="1" t="str">
        <f t="shared" si="1"/>
        <v>RIVADAVIA </v>
      </c>
      <c r="G3228" s="1" t="str">
        <f t="shared" si="2"/>
        <v>Christian C.</v>
      </c>
      <c r="H3228" s="1" t="str">
        <f>IFERROR(__xludf.DUMMYFUNCTION("""COMPUTED_VALUE"""),"13/3/2023, 17:00:00")</f>
        <v>13/3/2023, 17:00:00</v>
      </c>
      <c r="I3228" s="1" t="str">
        <f>IFERROR(__xludf.DUMMYFUNCTION("""COMPUTED_VALUE"""),"Completado en SUCURSAL")</f>
        <v>Completado en SUCURSAL</v>
      </c>
      <c r="J3228" s="1">
        <f t="shared" si="3"/>
        <v>5</v>
      </c>
      <c r="K3228" s="1" t="str">
        <f t="shared" si="4"/>
        <v>Tus Lentes estan LISTAS PARA ENTREGAR, te esperamos.</v>
      </c>
    </row>
    <row r="3229">
      <c r="A3229" s="1">
        <f>IFERROR(__xludf.DUMMYFUNCTION("""COMPUTED_VALUE"""),87774.0)</f>
        <v>87774</v>
      </c>
      <c r="B3229" s="5">
        <f>IFERROR(__xludf.DUMMYFUNCTION("""COMPUTED_VALUE"""),44995.45466106481)</f>
        <v>44995.45466</v>
      </c>
      <c r="C3229" s="1" t="str">
        <f>IFERROR(__xludf.DUMMYFUNCTION("""COMPUTED_VALUE"""),"CARDOZO SANTOS")</f>
        <v>CARDOZO SANTOS</v>
      </c>
      <c r="D3229" s="1" t="str">
        <f>IFERROR(__xludf.DUMMYFUNCTION("""COMPUTED_VALUE"""),"Lentes de STOCK")</f>
        <v>Lentes de STOCK</v>
      </c>
      <c r="E3229" s="1" t="str">
        <f>IFERROR(__xludf.DUMMYFUNCTION("""COMPUTED_VALUE"""),"RIVADAVIA Luciana")</f>
        <v>RIVADAVIA Luciana</v>
      </c>
      <c r="F3229" s="1" t="str">
        <f t="shared" si="1"/>
        <v>RIVADAVIA </v>
      </c>
      <c r="G3229" s="1" t="str">
        <f t="shared" si="2"/>
        <v>Luciana</v>
      </c>
      <c r="H3229" s="1" t="str">
        <f>IFERROR(__xludf.DUMMYFUNCTION("""COMPUTED_VALUE"""),"15/3/2023, 17:00:00")</f>
        <v>15/3/2023, 17:00:00</v>
      </c>
      <c r="I3229" s="1" t="str">
        <f>IFERROR(__xludf.DUMMYFUNCTION("""COMPUTED_VALUE"""),"Completado en SUCURSAL")</f>
        <v>Completado en SUCURSAL</v>
      </c>
      <c r="J3229" s="1">
        <f t="shared" si="3"/>
        <v>5</v>
      </c>
      <c r="K3229" s="1" t="str">
        <f t="shared" si="4"/>
        <v>Tus Lentes estan LISTAS PARA ENTREGAR, te esperamos.</v>
      </c>
    </row>
    <row r="3230">
      <c r="A3230" s="1">
        <f>IFERROR(__xludf.DUMMYFUNCTION("""COMPUTED_VALUE"""),87775.0)</f>
        <v>87775</v>
      </c>
      <c r="B3230" s="5">
        <f>IFERROR(__xludf.DUMMYFUNCTION("""COMPUTED_VALUE"""),44995.455775752314)</f>
        <v>44995.45578</v>
      </c>
      <c r="C3230" s="1" t="str">
        <f>IFERROR(__xludf.DUMMYFUNCTION("""COMPUTED_VALUE"""),"MIRANDA HERMAN ")</f>
        <v>MIRANDA HERMAN </v>
      </c>
      <c r="D3230" s="1" t="str">
        <f>IFERROR(__xludf.DUMMYFUNCTION("""COMPUTED_VALUE"""),"Lentes de STOCK")</f>
        <v>Lentes de STOCK</v>
      </c>
      <c r="E3230" s="1" t="str">
        <f>IFERROR(__xludf.DUMMYFUNCTION("""COMPUTED_VALUE"""),"RIVADAVIA Marcela L")</f>
        <v>RIVADAVIA Marcela L</v>
      </c>
      <c r="F3230" s="1" t="str">
        <f t="shared" si="1"/>
        <v>RIVADAVIA </v>
      </c>
      <c r="G3230" s="1" t="str">
        <f t="shared" si="2"/>
        <v>Marcela L</v>
      </c>
      <c r="H3230" s="1" t="str">
        <f>IFERROR(__xludf.DUMMYFUNCTION("""COMPUTED_VALUE"""),"14/3/2023, 17:00:00")</f>
        <v>14/3/2023, 17:00:00</v>
      </c>
      <c r="I3230" s="1" t="str">
        <f>IFERROR(__xludf.DUMMYFUNCTION("""COMPUTED_VALUE"""),"Completado en SUCURSAL")</f>
        <v>Completado en SUCURSAL</v>
      </c>
      <c r="J3230" s="1">
        <f t="shared" si="3"/>
        <v>5</v>
      </c>
      <c r="K3230" s="1" t="str">
        <f t="shared" si="4"/>
        <v>Tus Lentes estan LISTAS PARA ENTREGAR, te esperamos.</v>
      </c>
    </row>
    <row r="3231">
      <c r="A3231" s="1">
        <f>IFERROR(__xludf.DUMMYFUNCTION("""COMPUTED_VALUE"""),87776.0)</f>
        <v>87776</v>
      </c>
      <c r="B3231" s="5">
        <f>IFERROR(__xludf.DUMMYFUNCTION("""COMPUTED_VALUE"""),44995.45770351852)</f>
        <v>44995.4577</v>
      </c>
      <c r="C3231" s="1" t="str">
        <f>IFERROR(__xludf.DUMMYFUNCTION("""COMPUTED_VALUE"""),"cobarrubia natalia")</f>
        <v>cobarrubia natalia</v>
      </c>
      <c r="D3231" s="1" t="str">
        <f>IFERROR(__xludf.DUMMYFUNCTION("""COMPUTED_VALUE"""),"Lentes de STOCK")</f>
        <v>Lentes de STOCK</v>
      </c>
      <c r="E3231" s="1" t="str">
        <f>IFERROR(__xludf.DUMMYFUNCTION("""COMPUTED_VALUE"""),"ARTIGAS Roció")</f>
        <v>ARTIGAS Roció</v>
      </c>
      <c r="F3231" s="1" t="str">
        <f t="shared" si="1"/>
        <v>ARTIGAS </v>
      </c>
      <c r="G3231" s="1" t="str">
        <f t="shared" si="2"/>
        <v>Roció</v>
      </c>
      <c r="H3231" s="1" t="str">
        <f>IFERROR(__xludf.DUMMYFUNCTION("""COMPUTED_VALUE"""),"20/3/2023, 17:00:00")</f>
        <v>20/3/2023, 17:00:00</v>
      </c>
      <c r="I3231" s="1" t="str">
        <f>IFERROR(__xludf.DUMMYFUNCTION("""COMPUTED_VALUE"""),"Completado en SUCURSAL")</f>
        <v>Completado en SUCURSAL</v>
      </c>
      <c r="J3231" s="1">
        <f t="shared" si="3"/>
        <v>5</v>
      </c>
      <c r="K3231" s="1" t="str">
        <f t="shared" si="4"/>
        <v>Tus Lentes estan LISTAS PARA ENTREGAR, te esperamos.</v>
      </c>
    </row>
    <row r="3232">
      <c r="A3232" s="1">
        <f>IFERROR(__xludf.DUMMYFUNCTION("""COMPUTED_VALUE"""),87777.0)</f>
        <v>87777</v>
      </c>
      <c r="B3232" s="5">
        <f>IFERROR(__xludf.DUMMYFUNCTION("""COMPUTED_VALUE"""),44995.464018506944)</f>
        <v>44995.46402</v>
      </c>
      <c r="C3232" s="1" t="str">
        <f>IFERROR(__xludf.DUMMYFUNCTION("""COMPUTED_VALUE"""),"MARTINEZ NAZARENA")</f>
        <v>MARTINEZ NAZARENA</v>
      </c>
      <c r="D3232" s="1" t="str">
        <f>IFERROR(__xludf.DUMMYFUNCTION("""COMPUTED_VALUE"""),"Lentes de STOCK")</f>
        <v>Lentes de STOCK</v>
      </c>
      <c r="E3232" s="1" t="str">
        <f>IFERROR(__xludf.DUMMYFUNCTION("""COMPUTED_VALUE"""),"RIVADAVIA Santiago LOPEZ")</f>
        <v>RIVADAVIA Santiago LOPEZ</v>
      </c>
      <c r="F3232" s="1" t="str">
        <f t="shared" si="1"/>
        <v>RIVADAVIA </v>
      </c>
      <c r="G3232" s="1" t="str">
        <f t="shared" si="2"/>
        <v>Santiago LOPEZ</v>
      </c>
      <c r="H3232" s="1" t="str">
        <f>IFERROR(__xludf.DUMMYFUNCTION("""COMPUTED_VALUE"""),"14/3/2023, 17:00:00")</f>
        <v>14/3/2023, 17:00:00</v>
      </c>
      <c r="I3232" s="1" t="str">
        <f>IFERROR(__xludf.DUMMYFUNCTION("""COMPUTED_VALUE"""),"Completado en SUCURSAL")</f>
        <v>Completado en SUCURSAL</v>
      </c>
      <c r="J3232" s="1">
        <f t="shared" si="3"/>
        <v>5</v>
      </c>
      <c r="K3232" s="1" t="str">
        <f t="shared" si="4"/>
        <v>Tus Lentes estan LISTAS PARA ENTREGAR, te esperamos.</v>
      </c>
    </row>
    <row r="3233">
      <c r="A3233" s="1">
        <f>IFERROR(__xludf.DUMMYFUNCTION("""COMPUTED_VALUE"""),87778.0)</f>
        <v>87778</v>
      </c>
      <c r="B3233" s="5">
        <f>IFERROR(__xludf.DUMMYFUNCTION("""COMPUTED_VALUE"""),44995.468187997685)</f>
        <v>44995.46819</v>
      </c>
      <c r="C3233" s="1" t="str">
        <f>IFERROR(__xludf.DUMMYFUNCTION("""COMPUTED_VALUE"""),"GARCIA BIAZOTTI LUCILA")</f>
        <v>GARCIA BIAZOTTI LUCILA</v>
      </c>
      <c r="D3233" s="1" t="str">
        <f>IFERROR(__xludf.DUMMYFUNCTION("""COMPUTED_VALUE"""),"Reparaciones/Otros")</f>
        <v>Reparaciones/Otros</v>
      </c>
      <c r="E3233" s="1" t="str">
        <f>IFERROR(__xludf.DUMMYFUNCTION("""COMPUTED_VALUE"""),"RIVADAVIA Luciana")</f>
        <v>RIVADAVIA Luciana</v>
      </c>
      <c r="F3233" s="1" t="str">
        <f t="shared" si="1"/>
        <v>RIVADAVIA </v>
      </c>
      <c r="G3233" s="1" t="str">
        <f t="shared" si="2"/>
        <v>Luciana</v>
      </c>
      <c r="H3233" s="1" t="str">
        <f>IFERROR(__xludf.DUMMYFUNCTION("""COMPUTED_VALUE"""),"13/3/2023, 17:00:00")</f>
        <v>13/3/2023, 17:00:00</v>
      </c>
      <c r="I3233" s="1" t="str">
        <f>IFERROR(__xludf.DUMMYFUNCTION("""COMPUTED_VALUE"""),"Completado en SUCURSAL")</f>
        <v>Completado en SUCURSAL</v>
      </c>
      <c r="J3233" s="1">
        <f t="shared" si="3"/>
        <v>5</v>
      </c>
      <c r="K3233" s="1" t="str">
        <f t="shared" si="4"/>
        <v>Tus Lentes estan LISTAS PARA ENTREGAR, te esperamos.</v>
      </c>
    </row>
    <row r="3234">
      <c r="A3234" s="1">
        <f>IFERROR(__xludf.DUMMYFUNCTION("""COMPUTED_VALUE"""),87779.0)</f>
        <v>87779</v>
      </c>
      <c r="B3234" s="5">
        <f>IFERROR(__xludf.DUMMYFUNCTION("""COMPUTED_VALUE"""),44995.46884784722)</f>
        <v>44995.46885</v>
      </c>
      <c r="C3234" s="1" t="str">
        <f>IFERROR(__xludf.DUMMYFUNCTION("""COMPUTED_VALUE"""),"GODOY MARIA CANDELA")</f>
        <v>GODOY MARIA CANDELA</v>
      </c>
      <c r="D3234" s="1" t="str">
        <f>IFERROR(__xludf.DUMMYFUNCTION("""COMPUTED_VALUE"""),"Lentes MULTIFOCALES")</f>
        <v>Lentes MULTIFOCALES</v>
      </c>
      <c r="E3234" s="1" t="str">
        <f>IFERROR(__xludf.DUMMYFUNCTION("""COMPUTED_VALUE"""),"ARTIGAS Ivana P.")</f>
        <v>ARTIGAS Ivana P.</v>
      </c>
      <c r="F3234" s="1" t="str">
        <f t="shared" si="1"/>
        <v>ARTIGAS </v>
      </c>
      <c r="G3234" s="1" t="str">
        <f t="shared" si="2"/>
        <v>Ivana P.</v>
      </c>
      <c r="H3234" s="1" t="str">
        <f>IFERROR(__xludf.DUMMYFUNCTION("""COMPUTED_VALUE"""),"23/3/2023, 17:00:00")</f>
        <v>23/3/2023, 17:00:00</v>
      </c>
      <c r="I3234" s="1" t="str">
        <f>IFERROR(__xludf.DUMMYFUNCTION("""COMPUTED_VALUE"""),"RETIRADO OK POR CLIENTE")</f>
        <v>RETIRADO OK POR CLIENTE</v>
      </c>
      <c r="J3234" s="1">
        <f t="shared" si="3"/>
        <v>6</v>
      </c>
      <c r="K3234" s="1" t="str">
        <f t="shared" si="4"/>
        <v>Entregamos tus lentes, que los disfrutes!</v>
      </c>
    </row>
    <row r="3235">
      <c r="A3235" s="1">
        <f>IFERROR(__xludf.DUMMYFUNCTION("""COMPUTED_VALUE"""),87780.0)</f>
        <v>87780</v>
      </c>
      <c r="B3235" s="5">
        <f>IFERROR(__xludf.DUMMYFUNCTION("""COMPUTED_VALUE"""),44995.4749696875)</f>
        <v>44995.47497</v>
      </c>
      <c r="C3235" s="1" t="str">
        <f>IFERROR(__xludf.DUMMYFUNCTION("""COMPUTED_VALUE"""),"QUIROGA RAUL")</f>
        <v>QUIROGA RAUL</v>
      </c>
      <c r="D3235" s="1" t="str">
        <f>IFERROR(__xludf.DUMMYFUNCTION("""COMPUTED_VALUE"""),"Lentes de STOCK")</f>
        <v>Lentes de STOCK</v>
      </c>
      <c r="E3235" s="1" t="str">
        <f>IFERROR(__xludf.DUMMYFUNCTION("""COMPUTED_VALUE"""),"ARTIGAS Ivana P.")</f>
        <v>ARTIGAS Ivana P.</v>
      </c>
      <c r="F3235" s="1" t="str">
        <f t="shared" si="1"/>
        <v>ARTIGAS </v>
      </c>
      <c r="G3235" s="1" t="str">
        <f t="shared" si="2"/>
        <v>Ivana P.</v>
      </c>
      <c r="H3235" s="1" t="str">
        <f>IFERROR(__xludf.DUMMYFUNCTION("""COMPUTED_VALUE"""),"14/3/2023, 17:00:00")</f>
        <v>14/3/2023, 17:00:00</v>
      </c>
      <c r="I3235" s="1" t="str">
        <f>IFERROR(__xludf.DUMMYFUNCTION("""COMPUTED_VALUE"""),"Recibido en Laboratorio")</f>
        <v>Recibido en Laboratorio</v>
      </c>
      <c r="J3235" s="1">
        <f t="shared" si="3"/>
        <v>2</v>
      </c>
      <c r="K3235" s="1" t="str">
        <f t="shared" si="4"/>
        <v>Nuestro Laboratorio esta trabajando en tus lentes, los entregaremos en la fecha acordada.</v>
      </c>
    </row>
    <row r="3236">
      <c r="A3236" s="1">
        <f>IFERROR(__xludf.DUMMYFUNCTION("""COMPUTED_VALUE"""),87781.0)</f>
        <v>87781</v>
      </c>
      <c r="B3236" s="5">
        <f>IFERROR(__xludf.DUMMYFUNCTION("""COMPUTED_VALUE"""),44995.475211770834)</f>
        <v>44995.47521</v>
      </c>
      <c r="C3236" s="1" t="str">
        <f>IFERROR(__xludf.DUMMYFUNCTION("""COMPUTED_VALUE"""),"MAGALLAN KARINA")</f>
        <v>MAGALLAN KARINA</v>
      </c>
      <c r="D3236" s="1" t="str">
        <f>IFERROR(__xludf.DUMMYFUNCTION("""COMPUTED_VALUE"""),"Lentes de STOCK")</f>
        <v>Lentes de STOCK</v>
      </c>
      <c r="E3236" s="1" t="str">
        <f>IFERROR(__xludf.DUMMYFUNCTION("""COMPUTED_VALUE"""),"RIVADAVIA Christian C.")</f>
        <v>RIVADAVIA Christian C.</v>
      </c>
      <c r="F3236" s="1" t="str">
        <f t="shared" si="1"/>
        <v>RIVADAVIA </v>
      </c>
      <c r="G3236" s="1" t="str">
        <f t="shared" si="2"/>
        <v>Christian C.</v>
      </c>
      <c r="H3236" s="1" t="str">
        <f>IFERROR(__xludf.DUMMYFUNCTION("""COMPUTED_VALUE"""),"16/3/2023, 17:00:00")</f>
        <v>16/3/2023, 17:00:00</v>
      </c>
      <c r="I3236" s="1" t="str">
        <f>IFERROR(__xludf.DUMMYFUNCTION("""COMPUTED_VALUE"""),"Completado en SUCURSAL")</f>
        <v>Completado en SUCURSAL</v>
      </c>
      <c r="J3236" s="1">
        <f t="shared" si="3"/>
        <v>5</v>
      </c>
      <c r="K3236" s="1" t="str">
        <f t="shared" si="4"/>
        <v>Tus Lentes estan LISTAS PARA ENTREGAR, te esperamos.</v>
      </c>
    </row>
    <row r="3237">
      <c r="A3237" s="1">
        <f>IFERROR(__xludf.DUMMYFUNCTION("""COMPUTED_VALUE"""),87782.0)</f>
        <v>87782</v>
      </c>
      <c r="B3237" s="5">
        <f>IFERROR(__xludf.DUMMYFUNCTION("""COMPUTED_VALUE"""),44995.479371180554)</f>
        <v>44995.47937</v>
      </c>
      <c r="C3237" s="1" t="str">
        <f>IFERROR(__xludf.DUMMYFUNCTION("""COMPUTED_VALUE"""),"VARA MARIA LUISA")</f>
        <v>VARA MARIA LUISA</v>
      </c>
      <c r="D3237" s="1" t="str">
        <f>IFERROR(__xludf.DUMMYFUNCTION("""COMPUTED_VALUE"""),"Lentes de STOCK")</f>
        <v>Lentes de STOCK</v>
      </c>
      <c r="E3237" s="1" t="str">
        <f>IFERROR(__xludf.DUMMYFUNCTION("""COMPUTED_VALUE"""),"RIVADAVIA Luciana")</f>
        <v>RIVADAVIA Luciana</v>
      </c>
      <c r="F3237" s="1" t="str">
        <f t="shared" si="1"/>
        <v>RIVADAVIA </v>
      </c>
      <c r="G3237" s="1" t="str">
        <f t="shared" si="2"/>
        <v>Luciana</v>
      </c>
      <c r="H3237" s="1" t="str">
        <f>IFERROR(__xludf.DUMMYFUNCTION("""COMPUTED_VALUE"""),"15/3/2023, 17:00:00")</f>
        <v>15/3/2023, 17:00:00</v>
      </c>
      <c r="I3237" s="1" t="str">
        <f>IFERROR(__xludf.DUMMYFUNCTION("""COMPUTED_VALUE"""),"Completado en SUCURSAL")</f>
        <v>Completado en SUCURSAL</v>
      </c>
      <c r="J3237" s="1">
        <f t="shared" si="3"/>
        <v>5</v>
      </c>
      <c r="K3237" s="1" t="str">
        <f t="shared" si="4"/>
        <v>Tus Lentes estan LISTAS PARA ENTREGAR, te esperamos.</v>
      </c>
    </row>
    <row r="3238">
      <c r="A3238" s="1">
        <f>IFERROR(__xludf.DUMMYFUNCTION("""COMPUTED_VALUE"""),87783.0)</f>
        <v>87783</v>
      </c>
      <c r="B3238" s="5">
        <f>IFERROR(__xludf.DUMMYFUNCTION("""COMPUTED_VALUE"""),44995.479994189816)</f>
        <v>44995.47999</v>
      </c>
      <c r="C3238" s="1" t="str">
        <f>IFERROR(__xludf.DUMMYFUNCTION("""COMPUTED_VALUE"""),"VARGAS SUSANA")</f>
        <v>VARGAS SUSANA</v>
      </c>
      <c r="D3238" s="1" t="str">
        <f>IFERROR(__xludf.DUMMYFUNCTION("""COMPUTED_VALUE"""),"Lentes de STOCK")</f>
        <v>Lentes de STOCK</v>
      </c>
      <c r="E3238" s="1" t="str">
        <f>IFERROR(__xludf.DUMMYFUNCTION("""COMPUTED_VALUE"""),"RIVADAVIA Santiago LOPEZ")</f>
        <v>RIVADAVIA Santiago LOPEZ</v>
      </c>
      <c r="F3238" s="1" t="str">
        <f t="shared" si="1"/>
        <v>RIVADAVIA </v>
      </c>
      <c r="G3238" s="1" t="str">
        <f t="shared" si="2"/>
        <v>Santiago LOPEZ</v>
      </c>
      <c r="H3238" s="1" t="str">
        <f>IFERROR(__xludf.DUMMYFUNCTION("""COMPUTED_VALUE"""),"14/3/2023, 17:00:00")</f>
        <v>14/3/2023, 17:00:00</v>
      </c>
      <c r="I3238" s="1" t="str">
        <f>IFERROR(__xludf.DUMMYFUNCTION("""COMPUTED_VALUE"""),"Completado en SUCURSAL")</f>
        <v>Completado en SUCURSAL</v>
      </c>
      <c r="J3238" s="1">
        <f t="shared" si="3"/>
        <v>5</v>
      </c>
      <c r="K3238" s="1" t="str">
        <f t="shared" si="4"/>
        <v>Tus Lentes estan LISTAS PARA ENTREGAR, te esperamos.</v>
      </c>
    </row>
    <row r="3239">
      <c r="A3239" s="1">
        <f>IFERROR(__xludf.DUMMYFUNCTION("""COMPUTED_VALUE"""),87784.0)</f>
        <v>87784</v>
      </c>
      <c r="B3239" s="5">
        <f>IFERROR(__xludf.DUMMYFUNCTION("""COMPUTED_VALUE"""),44995.48293627315)</f>
        <v>44995.48294</v>
      </c>
      <c r="C3239" s="1" t="str">
        <f>IFERROR(__xludf.DUMMYFUNCTION("""COMPUTED_VALUE"""),"GIMENEZ JOSE")</f>
        <v>GIMENEZ JOSE</v>
      </c>
      <c r="D3239" s="1" t="str">
        <f>IFERROR(__xludf.DUMMYFUNCTION("""COMPUTED_VALUE"""),"Lentes de STOCK")</f>
        <v>Lentes de STOCK</v>
      </c>
      <c r="E3239" s="1" t="str">
        <f>IFERROR(__xludf.DUMMYFUNCTION("""COMPUTED_VALUE"""),"ARTIGAS Ivana P.")</f>
        <v>ARTIGAS Ivana P.</v>
      </c>
      <c r="F3239" s="1" t="str">
        <f t="shared" si="1"/>
        <v>ARTIGAS </v>
      </c>
      <c r="G3239" s="1" t="str">
        <f t="shared" si="2"/>
        <v>Ivana P.</v>
      </c>
      <c r="H3239" s="1" t="str">
        <f>IFERROR(__xludf.DUMMYFUNCTION("""COMPUTED_VALUE"""),"16/3/2023, 17:00:00")</f>
        <v>16/3/2023, 17:00:00</v>
      </c>
      <c r="I3239" s="1" t="str">
        <f>IFERROR(__xludf.DUMMYFUNCTION("""COMPUTED_VALUE"""),"RETIRADO OK POR CLIENTE")</f>
        <v>RETIRADO OK POR CLIENTE</v>
      </c>
      <c r="J3239" s="1">
        <f t="shared" si="3"/>
        <v>6</v>
      </c>
      <c r="K3239" s="1" t="str">
        <f t="shared" si="4"/>
        <v>Entregamos tus lentes, que los disfrutes!</v>
      </c>
    </row>
    <row r="3240">
      <c r="A3240" s="1">
        <f>IFERROR(__xludf.DUMMYFUNCTION("""COMPUTED_VALUE"""),87785.0)</f>
        <v>87785</v>
      </c>
      <c r="B3240" s="5">
        <f>IFERROR(__xludf.DUMMYFUNCTION("""COMPUTED_VALUE"""),44995.48476952546)</f>
        <v>44995.48477</v>
      </c>
      <c r="C3240" s="1" t="str">
        <f>IFERROR(__xludf.DUMMYFUNCTION("""COMPUTED_VALUE"""),"ESCUDERO EMANUEL")</f>
        <v>ESCUDERO EMANUEL</v>
      </c>
      <c r="D3240" s="1" t="str">
        <f>IFERROR(__xludf.DUMMYFUNCTION("""COMPUTED_VALUE"""),"Reparaciones/Otros")</f>
        <v>Reparaciones/Otros</v>
      </c>
      <c r="E3240" s="1" t="str">
        <f>IFERROR(__xludf.DUMMYFUNCTION("""COMPUTED_VALUE"""),"ARTIGAS Roció")</f>
        <v>ARTIGAS Roció</v>
      </c>
      <c r="F3240" s="1" t="str">
        <f t="shared" si="1"/>
        <v>ARTIGAS </v>
      </c>
      <c r="G3240" s="1" t="str">
        <f t="shared" si="2"/>
        <v>Roció</v>
      </c>
      <c r="H3240" s="1" t="str">
        <f>IFERROR(__xludf.DUMMYFUNCTION("""COMPUTED_VALUE"""),"13/3/2023, 17:00:00")</f>
        <v>13/3/2023, 17:00:00</v>
      </c>
      <c r="I3240" s="1" t="str">
        <f>IFERROR(__xludf.DUMMYFUNCTION("""COMPUTED_VALUE"""),"Completado en SUCURSAL")</f>
        <v>Completado en SUCURSAL</v>
      </c>
      <c r="J3240" s="1">
        <f t="shared" si="3"/>
        <v>5</v>
      </c>
      <c r="K3240" s="1" t="str">
        <f t="shared" si="4"/>
        <v>Tus Lentes estan LISTAS PARA ENTREGAR, te esperamos.</v>
      </c>
    </row>
    <row r="3241">
      <c r="A3241" s="1">
        <f>IFERROR(__xludf.DUMMYFUNCTION("""COMPUTED_VALUE"""),87786.0)</f>
        <v>87786</v>
      </c>
      <c r="B3241" s="5">
        <f>IFERROR(__xludf.DUMMYFUNCTION("""COMPUTED_VALUE"""),44995.49257)</f>
        <v>44995.49257</v>
      </c>
      <c r="C3241" s="1" t="str">
        <f>IFERROR(__xludf.DUMMYFUNCTION("""COMPUTED_VALUE"""),"ROCA MONICA")</f>
        <v>ROCA MONICA</v>
      </c>
      <c r="D3241" s="1" t="str">
        <f>IFERROR(__xludf.DUMMYFUNCTION("""COMPUTED_VALUE"""),"Lentes de STOCK")</f>
        <v>Lentes de STOCK</v>
      </c>
      <c r="E3241" s="1" t="str">
        <f>IFERROR(__xludf.DUMMYFUNCTION("""COMPUTED_VALUE"""),"ARTIGAS Ivana P.")</f>
        <v>ARTIGAS Ivana P.</v>
      </c>
      <c r="F3241" s="1" t="str">
        <f t="shared" si="1"/>
        <v>ARTIGAS </v>
      </c>
      <c r="G3241" s="1" t="str">
        <f t="shared" si="2"/>
        <v>Ivana P.</v>
      </c>
      <c r="H3241" s="1" t="str">
        <f>IFERROR(__xludf.DUMMYFUNCTION("""COMPUTED_VALUE"""),"16/3/2023, 17:00:00")</f>
        <v>16/3/2023, 17:00:00</v>
      </c>
      <c r="I3241" s="1" t="str">
        <f>IFERROR(__xludf.DUMMYFUNCTION("""COMPUTED_VALUE"""),"Recibido en Laboratorio")</f>
        <v>Recibido en Laboratorio</v>
      </c>
      <c r="J3241" s="1">
        <f t="shared" si="3"/>
        <v>2</v>
      </c>
      <c r="K3241" s="1" t="str">
        <f t="shared" si="4"/>
        <v>Nuestro Laboratorio esta trabajando en tus lentes, los entregaremos en la fecha acordada.</v>
      </c>
    </row>
    <row r="3242">
      <c r="A3242" s="1">
        <f>IFERROR(__xludf.DUMMYFUNCTION("""COMPUTED_VALUE"""),87787.0)</f>
        <v>87787</v>
      </c>
      <c r="B3242" s="5">
        <f>IFERROR(__xludf.DUMMYFUNCTION("""COMPUTED_VALUE"""),44995.507168599535)</f>
        <v>44995.50717</v>
      </c>
      <c r="C3242" s="1" t="str">
        <f>IFERROR(__xludf.DUMMYFUNCTION("""COMPUTED_VALUE"""),"PEDROZA CANDELA")</f>
        <v>PEDROZA CANDELA</v>
      </c>
      <c r="D3242" s="1" t="str">
        <f>IFERROR(__xludf.DUMMYFUNCTION("""COMPUTED_VALUE"""),"Lentes de STOCK")</f>
        <v>Lentes de STOCK</v>
      </c>
      <c r="E3242" s="1" t="str">
        <f>IFERROR(__xludf.DUMMYFUNCTION("""COMPUTED_VALUE"""),"RIVADAVIA Santiago LOPEZ")</f>
        <v>RIVADAVIA Santiago LOPEZ</v>
      </c>
      <c r="F3242" s="1" t="str">
        <f t="shared" si="1"/>
        <v>RIVADAVIA </v>
      </c>
      <c r="G3242" s="1" t="str">
        <f t="shared" si="2"/>
        <v>Santiago LOPEZ</v>
      </c>
      <c r="H3242" s="1" t="str">
        <f>IFERROR(__xludf.DUMMYFUNCTION("""COMPUTED_VALUE"""),"15/3/2023, 17:00:00")</f>
        <v>15/3/2023, 17:00:00</v>
      </c>
      <c r="I3242" s="1" t="str">
        <f>IFERROR(__xludf.DUMMYFUNCTION("""COMPUTED_VALUE"""),"Recibido en Laboratorio")</f>
        <v>Recibido en Laboratorio</v>
      </c>
      <c r="J3242" s="1">
        <f t="shared" si="3"/>
        <v>2</v>
      </c>
      <c r="K3242" s="1" t="str">
        <f t="shared" si="4"/>
        <v>Nuestro Laboratorio esta trabajando en tus lentes, los entregaremos en la fecha acordada.</v>
      </c>
    </row>
    <row r="3243">
      <c r="A3243" s="1">
        <f>IFERROR(__xludf.DUMMYFUNCTION("""COMPUTED_VALUE"""),87788.0)</f>
        <v>87788</v>
      </c>
      <c r="B3243" s="5">
        <f>IFERROR(__xludf.DUMMYFUNCTION("""COMPUTED_VALUE"""),44995.50805700231)</f>
        <v>44995.50806</v>
      </c>
      <c r="C3243" s="1" t="str">
        <f>IFERROR(__xludf.DUMMYFUNCTION("""COMPUTED_VALUE"""),"MIRANDA ENRIQUE ")</f>
        <v>MIRANDA ENRIQUE </v>
      </c>
      <c r="D3243" s="1" t="str">
        <f>IFERROR(__xludf.DUMMYFUNCTION("""COMPUTED_VALUE"""),"Reparaciones/Otros")</f>
        <v>Reparaciones/Otros</v>
      </c>
      <c r="E3243" s="1" t="str">
        <f>IFERROR(__xludf.DUMMYFUNCTION("""COMPUTED_VALUE"""),"RIVADAVIA Christian C.")</f>
        <v>RIVADAVIA Christian C.</v>
      </c>
      <c r="F3243" s="1" t="str">
        <f t="shared" si="1"/>
        <v>RIVADAVIA </v>
      </c>
      <c r="G3243" s="1" t="str">
        <f t="shared" si="2"/>
        <v>Christian C.</v>
      </c>
      <c r="H3243" s="1" t="str">
        <f>IFERROR(__xludf.DUMMYFUNCTION("""COMPUTED_VALUE"""),"16/3/2023, 17:00:00")</f>
        <v>16/3/2023, 17:00:00</v>
      </c>
      <c r="I3243" s="1" t="str">
        <f>IFERROR(__xludf.DUMMYFUNCTION("""COMPUTED_VALUE"""),"Completado en SUCURSAL")</f>
        <v>Completado en SUCURSAL</v>
      </c>
      <c r="J3243" s="1">
        <f t="shared" si="3"/>
        <v>5</v>
      </c>
      <c r="K3243" s="1" t="str">
        <f t="shared" si="4"/>
        <v>Tus Lentes estan LISTAS PARA ENTREGAR, te esperamos.</v>
      </c>
    </row>
    <row r="3244">
      <c r="A3244" s="1">
        <f>IFERROR(__xludf.DUMMYFUNCTION("""COMPUTED_VALUE"""),87789.0)</f>
        <v>87789</v>
      </c>
      <c r="B3244" s="5">
        <f>IFERROR(__xludf.DUMMYFUNCTION("""COMPUTED_VALUE"""),44995.51133101852)</f>
        <v>44995.51133</v>
      </c>
      <c r="C3244" s="1" t="str">
        <f>IFERROR(__xludf.DUMMYFUNCTION("""COMPUTED_VALUE"""),"sarmiento juan pablo")</f>
        <v>sarmiento juan pablo</v>
      </c>
      <c r="D3244" s="1" t="str">
        <f>IFERROR(__xludf.DUMMYFUNCTION("""COMPUTED_VALUE"""),"Lentes de STOCK")</f>
        <v>Lentes de STOCK</v>
      </c>
      <c r="E3244" s="1" t="str">
        <f>IFERROR(__xludf.DUMMYFUNCTION("""COMPUTED_VALUE"""),"ARTIGAS Roció")</f>
        <v>ARTIGAS Roció</v>
      </c>
      <c r="F3244" s="1" t="str">
        <f t="shared" si="1"/>
        <v>ARTIGAS </v>
      </c>
      <c r="G3244" s="1" t="str">
        <f t="shared" si="2"/>
        <v>Roció</v>
      </c>
      <c r="H3244" s="1" t="str">
        <f>IFERROR(__xludf.DUMMYFUNCTION("""COMPUTED_VALUE"""),"13/3/2023, 17:00:00")</f>
        <v>13/3/2023, 17:00:00</v>
      </c>
      <c r="I3244" s="1" t="str">
        <f>IFERROR(__xludf.DUMMYFUNCTION("""COMPUTED_VALUE"""),"Completado en SUCURSAL")</f>
        <v>Completado en SUCURSAL</v>
      </c>
      <c r="J3244" s="1">
        <f t="shared" si="3"/>
        <v>5</v>
      </c>
      <c r="K3244" s="1" t="str">
        <f t="shared" si="4"/>
        <v>Tus Lentes estan LISTAS PARA ENTREGAR, te esperamos.</v>
      </c>
    </row>
    <row r="3245">
      <c r="A3245" s="1">
        <f>IFERROR(__xludf.DUMMYFUNCTION("""COMPUTED_VALUE"""),87790.0)</f>
        <v>87790</v>
      </c>
      <c r="B3245" s="5">
        <f>IFERROR(__xludf.DUMMYFUNCTION("""COMPUTED_VALUE"""),44995.520810057875)</f>
        <v>44995.52081</v>
      </c>
      <c r="C3245" s="1" t="str">
        <f>IFERROR(__xludf.DUMMYFUNCTION("""COMPUTED_VALUE"""),"PERRETTI GOMEZ SOFIA MAGALI")</f>
        <v>PERRETTI GOMEZ SOFIA MAGALI</v>
      </c>
      <c r="D3245" s="1" t="str">
        <f>IFERROR(__xludf.DUMMYFUNCTION("""COMPUTED_VALUE"""),"Lentes de STOCK")</f>
        <v>Lentes de STOCK</v>
      </c>
      <c r="E3245" s="1" t="str">
        <f>IFERROR(__xludf.DUMMYFUNCTION("""COMPUTED_VALUE"""),"RIVADAVIA Marcela L")</f>
        <v>RIVADAVIA Marcela L</v>
      </c>
      <c r="F3245" s="1" t="str">
        <f t="shared" si="1"/>
        <v>RIVADAVIA </v>
      </c>
      <c r="G3245" s="1" t="str">
        <f t="shared" si="2"/>
        <v>Marcela L</v>
      </c>
      <c r="H3245" s="1" t="str">
        <f>IFERROR(__xludf.DUMMYFUNCTION("""COMPUTED_VALUE"""),"14/3/2023, 17:00:00")</f>
        <v>14/3/2023, 17:00:00</v>
      </c>
      <c r="I3245" s="1" t="str">
        <f>IFERROR(__xludf.DUMMYFUNCTION("""COMPUTED_VALUE"""),"Completado en SUCURSAL")</f>
        <v>Completado en SUCURSAL</v>
      </c>
      <c r="J3245" s="1">
        <f t="shared" si="3"/>
        <v>5</v>
      </c>
      <c r="K3245" s="1" t="str">
        <f t="shared" si="4"/>
        <v>Tus Lentes estan LISTAS PARA ENTREGAR, te esperamos.</v>
      </c>
    </row>
    <row r="3246">
      <c r="A3246" s="1">
        <f>IFERROR(__xludf.DUMMYFUNCTION("""COMPUTED_VALUE"""),87791.0)</f>
        <v>87791</v>
      </c>
      <c r="B3246" s="5">
        <f>IFERROR(__xludf.DUMMYFUNCTION("""COMPUTED_VALUE"""),44995.52280045139)</f>
        <v>44995.5228</v>
      </c>
      <c r="C3246" s="1" t="str">
        <f>IFERROR(__xludf.DUMMYFUNCTION("""COMPUTED_VALUE"""),"PAEZ MARIA DEL CARMEN")</f>
        <v>PAEZ MARIA DEL CARMEN</v>
      </c>
      <c r="D3246" s="1" t="str">
        <f>IFERROR(__xludf.DUMMYFUNCTION("""COMPUTED_VALUE"""),"Reparaciones/Otros")</f>
        <v>Reparaciones/Otros</v>
      </c>
      <c r="E3246" s="1" t="str">
        <f>IFERROR(__xludf.DUMMYFUNCTION("""COMPUTED_VALUE"""),"ARTIGAS Ivana P.")</f>
        <v>ARTIGAS Ivana P.</v>
      </c>
      <c r="F3246" s="1" t="str">
        <f t="shared" si="1"/>
        <v>ARTIGAS </v>
      </c>
      <c r="G3246" s="1" t="str">
        <f t="shared" si="2"/>
        <v>Ivana P.</v>
      </c>
      <c r="H3246" s="1" t="str">
        <f>IFERROR(__xludf.DUMMYFUNCTION("""COMPUTED_VALUE"""),"11/3/2023, 17:00:00")</f>
        <v>11/3/2023, 17:00:00</v>
      </c>
      <c r="I3246" s="1" t="str">
        <f>IFERROR(__xludf.DUMMYFUNCTION("""COMPUTED_VALUE"""),"Recibido en Laboratorio")</f>
        <v>Recibido en Laboratorio</v>
      </c>
      <c r="J3246" s="1">
        <f t="shared" si="3"/>
        <v>2</v>
      </c>
      <c r="K3246" s="1" t="str">
        <f t="shared" si="4"/>
        <v>Nuestro Laboratorio esta trabajando en tus lentes, los entregaremos en la fecha acordada.</v>
      </c>
    </row>
    <row r="3247">
      <c r="A3247" s="1">
        <f>IFERROR(__xludf.DUMMYFUNCTION("""COMPUTED_VALUE"""),87792.0)</f>
        <v>87792</v>
      </c>
      <c r="B3247" s="5">
        <f>IFERROR(__xludf.DUMMYFUNCTION("""COMPUTED_VALUE"""),44995.526283125)</f>
        <v>44995.52628</v>
      </c>
      <c r="C3247" s="1" t="str">
        <f>IFERROR(__xludf.DUMMYFUNCTION("""COMPUTED_VALUE"""),"MONARDI YAZMIN GULIANA")</f>
        <v>MONARDI YAZMIN GULIANA</v>
      </c>
      <c r="D3247" s="1" t="str">
        <f>IFERROR(__xludf.DUMMYFUNCTION("""COMPUTED_VALUE"""),"Lentes de STOCK")</f>
        <v>Lentes de STOCK</v>
      </c>
      <c r="E3247" s="1" t="str">
        <f>IFERROR(__xludf.DUMMYFUNCTION("""COMPUTED_VALUE"""),"RIVADAVIA Luciana")</f>
        <v>RIVADAVIA Luciana</v>
      </c>
      <c r="F3247" s="1" t="str">
        <f t="shared" si="1"/>
        <v>RIVADAVIA </v>
      </c>
      <c r="G3247" s="1" t="str">
        <f t="shared" si="2"/>
        <v>Luciana</v>
      </c>
      <c r="H3247" s="1" t="str">
        <f>IFERROR(__xludf.DUMMYFUNCTION("""COMPUTED_VALUE"""),"15/3/2023, 17:00:00")</f>
        <v>15/3/2023, 17:00:00</v>
      </c>
      <c r="I3247" s="1" t="str">
        <f>IFERROR(__xludf.DUMMYFUNCTION("""COMPUTED_VALUE"""),"Completado en SUCURSAL")</f>
        <v>Completado en SUCURSAL</v>
      </c>
      <c r="J3247" s="1">
        <f t="shared" si="3"/>
        <v>5</v>
      </c>
      <c r="K3247" s="1" t="str">
        <f t="shared" si="4"/>
        <v>Tus Lentes estan LISTAS PARA ENTREGAR, te esperamos.</v>
      </c>
    </row>
    <row r="3248">
      <c r="A3248" s="1">
        <f>IFERROR(__xludf.DUMMYFUNCTION("""COMPUTED_VALUE"""),87793.0)</f>
        <v>87793</v>
      </c>
      <c r="B3248" s="5">
        <f>IFERROR(__xludf.DUMMYFUNCTION("""COMPUTED_VALUE"""),44995.52871315972)</f>
        <v>44995.52871</v>
      </c>
      <c r="C3248" s="1" t="str">
        <f>IFERROR(__xludf.DUMMYFUNCTION("""COMPUTED_VALUE"""),"DE PAUW MARIA CECILIA")</f>
        <v>DE PAUW MARIA CECILIA</v>
      </c>
      <c r="D3248" s="1" t="str">
        <f>IFERROR(__xludf.DUMMYFUNCTION("""COMPUTED_VALUE"""),"Lentes de STOCK")</f>
        <v>Lentes de STOCK</v>
      </c>
      <c r="E3248" s="1" t="str">
        <f>IFERROR(__xludf.DUMMYFUNCTION("""COMPUTED_VALUE"""),"ARTIGAS Roció")</f>
        <v>ARTIGAS Roció</v>
      </c>
      <c r="F3248" s="1" t="str">
        <f t="shared" si="1"/>
        <v>ARTIGAS </v>
      </c>
      <c r="G3248" s="1" t="str">
        <f t="shared" si="2"/>
        <v>Roció</v>
      </c>
      <c r="H3248" s="1" t="str">
        <f>IFERROR(__xludf.DUMMYFUNCTION("""COMPUTED_VALUE"""),"20/3/2023, 17:00:00")</f>
        <v>20/3/2023, 17:00:00</v>
      </c>
      <c r="I3248" s="1" t="str">
        <f>IFERROR(__xludf.DUMMYFUNCTION("""COMPUTED_VALUE"""),"Completado en SUCURSAL")</f>
        <v>Completado en SUCURSAL</v>
      </c>
      <c r="J3248" s="1">
        <f t="shared" si="3"/>
        <v>5</v>
      </c>
      <c r="K3248" s="1" t="str">
        <f t="shared" si="4"/>
        <v>Tus Lentes estan LISTAS PARA ENTREGAR, te esperamos.</v>
      </c>
    </row>
    <row r="3249">
      <c r="A3249" s="1">
        <f>IFERROR(__xludf.DUMMYFUNCTION("""COMPUTED_VALUE"""),87794.0)</f>
        <v>87794</v>
      </c>
      <c r="B3249" s="5">
        <f>IFERROR(__xludf.DUMMYFUNCTION("""COMPUTED_VALUE"""),44995.52937373843)</f>
        <v>44995.52937</v>
      </c>
      <c r="C3249" s="1" t="str">
        <f>IFERROR(__xludf.DUMMYFUNCTION("""COMPUTED_VALUE"""),"PEREZ NESTOR ")</f>
        <v>PEREZ NESTOR </v>
      </c>
      <c r="D3249" s="1" t="str">
        <f>IFERROR(__xludf.DUMMYFUNCTION("""COMPUTED_VALUE"""),"Lentes de STOCK")</f>
        <v>Lentes de STOCK</v>
      </c>
      <c r="E3249" s="1" t="str">
        <f>IFERROR(__xludf.DUMMYFUNCTION("""COMPUTED_VALUE"""),"RIVADAVIA Luciana")</f>
        <v>RIVADAVIA Luciana</v>
      </c>
      <c r="F3249" s="1" t="str">
        <f t="shared" si="1"/>
        <v>RIVADAVIA </v>
      </c>
      <c r="G3249" s="1" t="str">
        <f t="shared" si="2"/>
        <v>Luciana</v>
      </c>
      <c r="H3249" s="1" t="str">
        <f>IFERROR(__xludf.DUMMYFUNCTION("""COMPUTED_VALUE"""),"13/3/2023, 17:00:00")</f>
        <v>13/3/2023, 17:00:00</v>
      </c>
      <c r="I3249" s="1" t="str">
        <f>IFERROR(__xludf.DUMMYFUNCTION("""COMPUTED_VALUE"""),"Recibido en Laboratorio")</f>
        <v>Recibido en Laboratorio</v>
      </c>
      <c r="J3249" s="1">
        <f t="shared" si="3"/>
        <v>2</v>
      </c>
      <c r="K3249" s="1" t="str">
        <f t="shared" si="4"/>
        <v>Nuestro Laboratorio esta trabajando en tus lentes, los entregaremos en la fecha acordada.</v>
      </c>
    </row>
    <row r="3250">
      <c r="A3250" s="1">
        <f>IFERROR(__xludf.DUMMYFUNCTION("""COMPUTED_VALUE"""),87795.0)</f>
        <v>87795</v>
      </c>
      <c r="B3250" s="5">
        <f>IFERROR(__xludf.DUMMYFUNCTION("""COMPUTED_VALUE"""),44995.53201576389)</f>
        <v>44995.53202</v>
      </c>
      <c r="C3250" s="1" t="str">
        <f>IFERROR(__xludf.DUMMYFUNCTION("""COMPUTED_VALUE"""),"NAHUEL ALBERTO VILLEGAS")</f>
        <v>NAHUEL ALBERTO VILLEGAS</v>
      </c>
      <c r="D3250" s="1" t="str">
        <f>IFERROR(__xludf.DUMMYFUNCTION("""COMPUTED_VALUE"""),"Lentes de STOCK")</f>
        <v>Lentes de STOCK</v>
      </c>
      <c r="E3250" s="1" t="str">
        <f>IFERROR(__xludf.DUMMYFUNCTION("""COMPUTED_VALUE"""),"RIVADAVIA Christian C.")</f>
        <v>RIVADAVIA Christian C.</v>
      </c>
      <c r="F3250" s="1" t="str">
        <f t="shared" si="1"/>
        <v>RIVADAVIA </v>
      </c>
      <c r="G3250" s="1" t="str">
        <f t="shared" si="2"/>
        <v>Christian C.</v>
      </c>
      <c r="H3250" s="1" t="str">
        <f>IFERROR(__xludf.DUMMYFUNCTION("""COMPUTED_VALUE"""),"22/3/2023, 17:00:00")</f>
        <v>22/3/2023, 17:00:00</v>
      </c>
      <c r="I3250" s="1" t="str">
        <f>IFERROR(__xludf.DUMMYFUNCTION("""COMPUTED_VALUE"""),"Completado en SUCURSAL")</f>
        <v>Completado en SUCURSAL</v>
      </c>
      <c r="J3250" s="1">
        <f t="shared" si="3"/>
        <v>5</v>
      </c>
      <c r="K3250" s="1" t="str">
        <f t="shared" si="4"/>
        <v>Tus Lentes estan LISTAS PARA ENTREGAR, te esperamos.</v>
      </c>
    </row>
    <row r="3251">
      <c r="A3251" s="1">
        <f>IFERROR(__xludf.DUMMYFUNCTION("""COMPUTED_VALUE"""),87796.0)</f>
        <v>87796</v>
      </c>
      <c r="B3251" s="5">
        <f>IFERROR(__xludf.DUMMYFUNCTION("""COMPUTED_VALUE"""),44995.53460400463)</f>
        <v>44995.5346</v>
      </c>
      <c r="C3251" s="1" t="str">
        <f>IFERROR(__xludf.DUMMYFUNCTION("""COMPUTED_VALUE"""),"SOLOA JUAN CARLOS")</f>
        <v>SOLOA JUAN CARLOS</v>
      </c>
      <c r="D3251" s="1" t="str">
        <f>IFERROR(__xludf.DUMMYFUNCTION("""COMPUTED_VALUE"""),"Reparaciones/Otros")</f>
        <v>Reparaciones/Otros</v>
      </c>
      <c r="E3251" s="1" t="str">
        <f>IFERROR(__xludf.DUMMYFUNCTION("""COMPUTED_VALUE"""),"ARTIGAS Ivana P.")</f>
        <v>ARTIGAS Ivana P.</v>
      </c>
      <c r="F3251" s="1" t="str">
        <f t="shared" si="1"/>
        <v>ARTIGAS </v>
      </c>
      <c r="G3251" s="1" t="str">
        <f t="shared" si="2"/>
        <v>Ivana P.</v>
      </c>
      <c r="H3251" s="1" t="str">
        <f>IFERROR(__xludf.DUMMYFUNCTION("""COMPUTED_VALUE"""),"11/3/2023, 17:00:00")</f>
        <v>11/3/2023, 17:00:00</v>
      </c>
      <c r="I3251" s="1" t="str">
        <f>IFERROR(__xludf.DUMMYFUNCTION("""COMPUTED_VALUE"""),"Completado en SUCURSAL")</f>
        <v>Completado en SUCURSAL</v>
      </c>
      <c r="J3251" s="1">
        <f t="shared" si="3"/>
        <v>5</v>
      </c>
      <c r="K3251" s="1" t="str">
        <f t="shared" si="4"/>
        <v>Tus Lentes estan LISTAS PARA ENTREGAR, te esperamos.</v>
      </c>
    </row>
    <row r="3252">
      <c r="A3252" s="1">
        <f>IFERROR(__xludf.DUMMYFUNCTION("""COMPUTED_VALUE"""),87797.0)</f>
        <v>87797</v>
      </c>
      <c r="B3252" s="5">
        <f>IFERROR(__xludf.DUMMYFUNCTION("""COMPUTED_VALUE"""),44995.537334189816)</f>
        <v>44995.53733</v>
      </c>
      <c r="C3252" s="1" t="str">
        <f>IFERROR(__xludf.DUMMYFUNCTION("""COMPUTED_VALUE"""),"MULLER HILDA")</f>
        <v>MULLER HILDA</v>
      </c>
      <c r="D3252" s="1" t="str">
        <f>IFERROR(__xludf.DUMMYFUNCTION("""COMPUTED_VALUE"""),"Reparaciones/Otros")</f>
        <v>Reparaciones/Otros</v>
      </c>
      <c r="E3252" s="1" t="str">
        <f>IFERROR(__xludf.DUMMYFUNCTION("""COMPUTED_VALUE"""),"ARTIGAS Ivana P.")</f>
        <v>ARTIGAS Ivana P.</v>
      </c>
      <c r="F3252" s="1" t="str">
        <f t="shared" si="1"/>
        <v>ARTIGAS </v>
      </c>
      <c r="G3252" s="1" t="str">
        <f t="shared" si="2"/>
        <v>Ivana P.</v>
      </c>
      <c r="H3252" s="1" t="str">
        <f>IFERROR(__xludf.DUMMYFUNCTION("""COMPUTED_VALUE"""),"11/3/2023, 17:00:00")</f>
        <v>11/3/2023, 17:00:00</v>
      </c>
      <c r="I3252" s="1" t="str">
        <f>IFERROR(__xludf.DUMMYFUNCTION("""COMPUTED_VALUE"""),"Completado en SUCURSAL")</f>
        <v>Completado en SUCURSAL</v>
      </c>
      <c r="J3252" s="1">
        <f t="shared" si="3"/>
        <v>5</v>
      </c>
      <c r="K3252" s="1" t="str">
        <f t="shared" si="4"/>
        <v>Tus Lentes estan LISTAS PARA ENTREGAR, te esperamos.</v>
      </c>
    </row>
    <row r="3253">
      <c r="A3253" s="1">
        <f>IFERROR(__xludf.DUMMYFUNCTION("""COMPUTED_VALUE"""),87798.0)</f>
        <v>87798</v>
      </c>
      <c r="B3253" s="5">
        <f>IFERROR(__xludf.DUMMYFUNCTION("""COMPUTED_VALUE"""),44995.53822324074)</f>
        <v>44995.53822</v>
      </c>
      <c r="C3253" s="1" t="str">
        <f>IFERROR(__xludf.DUMMYFUNCTION("""COMPUTED_VALUE"""),"ACEVEDO EDGAR")</f>
        <v>ACEVEDO EDGAR</v>
      </c>
      <c r="D3253" s="1" t="str">
        <f>IFERROR(__xludf.DUMMYFUNCTION("""COMPUTED_VALUE"""),"Lentes de STOCK")</f>
        <v>Lentes de STOCK</v>
      </c>
      <c r="E3253" s="1" t="str">
        <f>IFERROR(__xludf.DUMMYFUNCTION("""COMPUTED_VALUE"""),"ARTIGAS Roció")</f>
        <v>ARTIGAS Roció</v>
      </c>
      <c r="F3253" s="1" t="str">
        <f t="shared" si="1"/>
        <v>ARTIGAS </v>
      </c>
      <c r="G3253" s="1" t="str">
        <f t="shared" si="2"/>
        <v>Roció</v>
      </c>
      <c r="H3253" s="1" t="str">
        <f>IFERROR(__xludf.DUMMYFUNCTION("""COMPUTED_VALUE"""),"20/3/2023, 17:00:00")</f>
        <v>20/3/2023, 17:00:00</v>
      </c>
      <c r="I3253" s="1" t="str">
        <f>IFERROR(__xludf.DUMMYFUNCTION("""COMPUTED_VALUE"""),"Completado en SUCURSAL")</f>
        <v>Completado en SUCURSAL</v>
      </c>
      <c r="J3253" s="1">
        <f t="shared" si="3"/>
        <v>5</v>
      </c>
      <c r="K3253" s="1" t="str">
        <f t="shared" si="4"/>
        <v>Tus Lentes estan LISTAS PARA ENTREGAR, te esperamos.</v>
      </c>
    </row>
    <row r="3254">
      <c r="A3254" s="1">
        <f>IFERROR(__xludf.DUMMYFUNCTION("""COMPUTED_VALUE"""),87799.0)</f>
        <v>87799</v>
      </c>
      <c r="B3254" s="5">
        <f>IFERROR(__xludf.DUMMYFUNCTION("""COMPUTED_VALUE"""),44995.53972513889)</f>
        <v>44995.53973</v>
      </c>
      <c r="C3254" s="1" t="str">
        <f>IFERROR(__xludf.DUMMYFUNCTION("""COMPUTED_VALUE"""),"PIGUILLEN, ANDRES FERNANDO")</f>
        <v>PIGUILLEN, ANDRES FERNANDO</v>
      </c>
      <c r="D3254" s="1" t="str">
        <f>IFERROR(__xludf.DUMMYFUNCTION("""COMPUTED_VALUE"""),"Lentes de STOCK")</f>
        <v>Lentes de STOCK</v>
      </c>
      <c r="E3254" s="1" t="str">
        <f>IFERROR(__xludf.DUMMYFUNCTION("""COMPUTED_VALUE"""),"RIVADAVIA Santiago LOPEZ")</f>
        <v>RIVADAVIA Santiago LOPEZ</v>
      </c>
      <c r="F3254" s="1" t="str">
        <f t="shared" si="1"/>
        <v>RIVADAVIA </v>
      </c>
      <c r="G3254" s="1" t="str">
        <f t="shared" si="2"/>
        <v>Santiago LOPEZ</v>
      </c>
      <c r="H3254" s="1" t="str">
        <f>IFERROR(__xludf.DUMMYFUNCTION("""COMPUTED_VALUE"""),"13/3/2023, 17:00:00")</f>
        <v>13/3/2023, 17:00:00</v>
      </c>
      <c r="I3254" s="1" t="str">
        <f>IFERROR(__xludf.DUMMYFUNCTION("""COMPUTED_VALUE"""),"Completado en SUCURSAL")</f>
        <v>Completado en SUCURSAL</v>
      </c>
      <c r="J3254" s="1">
        <f t="shared" si="3"/>
        <v>5</v>
      </c>
      <c r="K3254" s="1" t="str">
        <f t="shared" si="4"/>
        <v>Tus Lentes estan LISTAS PARA ENTREGAR, te esperamos.</v>
      </c>
    </row>
    <row r="3255">
      <c r="A3255" s="1">
        <f>IFERROR(__xludf.DUMMYFUNCTION("""COMPUTED_VALUE"""),87800.0)</f>
        <v>87800</v>
      </c>
      <c r="B3255" s="5">
        <f>IFERROR(__xludf.DUMMYFUNCTION("""COMPUTED_VALUE"""),44995.54101248842)</f>
        <v>44995.54101</v>
      </c>
      <c r="C3255" s="1" t="str">
        <f>IFERROR(__xludf.DUMMYFUNCTION("""COMPUTED_VALUE"""),"ACEVEDO EDGAR")</f>
        <v>ACEVEDO EDGAR</v>
      </c>
      <c r="D3255" s="1" t="str">
        <f>IFERROR(__xludf.DUMMYFUNCTION("""COMPUTED_VALUE"""),"Lentes MULTIFOCALES")</f>
        <v>Lentes MULTIFOCALES</v>
      </c>
      <c r="E3255" s="1" t="str">
        <f>IFERROR(__xludf.DUMMYFUNCTION("""COMPUTED_VALUE"""),"ARTIGAS Roció")</f>
        <v>ARTIGAS Roció</v>
      </c>
      <c r="F3255" s="1" t="str">
        <f t="shared" si="1"/>
        <v>ARTIGAS </v>
      </c>
      <c r="G3255" s="1" t="str">
        <f t="shared" si="2"/>
        <v>Roció</v>
      </c>
      <c r="H3255" s="1" t="str">
        <f>IFERROR(__xludf.DUMMYFUNCTION("""COMPUTED_VALUE"""),"23/3/2023, 17:00:00")</f>
        <v>23/3/2023, 17:00:00</v>
      </c>
      <c r="I3255" s="1" t="str">
        <f>IFERROR(__xludf.DUMMYFUNCTION("""COMPUTED_VALUE"""),"Completado en SUCURSAL")</f>
        <v>Completado en SUCURSAL</v>
      </c>
      <c r="J3255" s="1">
        <f t="shared" si="3"/>
        <v>5</v>
      </c>
      <c r="K3255" s="1" t="str">
        <f t="shared" si="4"/>
        <v>Tus Lentes estan LISTAS PARA ENTREGAR, te esperamos.</v>
      </c>
    </row>
    <row r="3256">
      <c r="A3256" s="1">
        <f>IFERROR(__xludf.DUMMYFUNCTION("""COMPUTED_VALUE"""),87801.0)</f>
        <v>87801</v>
      </c>
      <c r="B3256" s="5">
        <f>IFERROR(__xludf.DUMMYFUNCTION("""COMPUTED_VALUE"""),44995.54843776621)</f>
        <v>44995.54844</v>
      </c>
      <c r="C3256" s="1" t="str">
        <f>IFERROR(__xludf.DUMMYFUNCTION("""COMPUTED_VALUE"""),"CAMARGO AXEL")</f>
        <v>CAMARGO AXEL</v>
      </c>
      <c r="D3256" s="1" t="str">
        <f>IFERROR(__xludf.DUMMYFUNCTION("""COMPUTED_VALUE"""),"Lentes de STOCK")</f>
        <v>Lentes de STOCK</v>
      </c>
      <c r="E3256" s="1" t="str">
        <f>IFERROR(__xludf.DUMMYFUNCTION("""COMPUTED_VALUE"""),"RIVADAVIA Santiago LOPEZ")</f>
        <v>RIVADAVIA Santiago LOPEZ</v>
      </c>
      <c r="F3256" s="1" t="str">
        <f t="shared" si="1"/>
        <v>RIVADAVIA </v>
      </c>
      <c r="G3256" s="1" t="str">
        <f t="shared" si="2"/>
        <v>Santiago LOPEZ</v>
      </c>
      <c r="H3256" s="1" t="str">
        <f>IFERROR(__xludf.DUMMYFUNCTION("""COMPUTED_VALUE"""),"16/3/2023, 17:00:00")</f>
        <v>16/3/2023, 17:00:00</v>
      </c>
      <c r="I3256" s="1" t="str">
        <f>IFERROR(__xludf.DUMMYFUNCTION("""COMPUTED_VALUE"""),"Completado en SUCURSAL")</f>
        <v>Completado en SUCURSAL</v>
      </c>
      <c r="J3256" s="1">
        <f t="shared" si="3"/>
        <v>5</v>
      </c>
      <c r="K3256" s="1" t="str">
        <f t="shared" si="4"/>
        <v>Tus Lentes estan LISTAS PARA ENTREGAR, te esperamos.</v>
      </c>
    </row>
    <row r="3257">
      <c r="A3257" s="1">
        <f>IFERROR(__xludf.DUMMYFUNCTION("""COMPUTED_VALUE"""),87802.0)</f>
        <v>87802</v>
      </c>
      <c r="B3257" s="5">
        <f>IFERROR(__xludf.DUMMYFUNCTION("""COMPUTED_VALUE"""),44995.55176405092)</f>
        <v>44995.55176</v>
      </c>
      <c r="C3257" s="1" t="str">
        <f>IFERROR(__xludf.DUMMYFUNCTION("""COMPUTED_VALUE"""),"DOMINGUEZ EUGENIO")</f>
        <v>DOMINGUEZ EUGENIO</v>
      </c>
      <c r="D3257" s="1" t="str">
        <f>IFERROR(__xludf.DUMMYFUNCTION("""COMPUTED_VALUE"""),"Reparaciones/Otros")</f>
        <v>Reparaciones/Otros</v>
      </c>
      <c r="E3257" s="1" t="str">
        <f>IFERROR(__xludf.DUMMYFUNCTION("""COMPUTED_VALUE"""),"ARTIGAS Roció")</f>
        <v>ARTIGAS Roció</v>
      </c>
      <c r="F3257" s="1" t="str">
        <f t="shared" si="1"/>
        <v>ARTIGAS </v>
      </c>
      <c r="G3257" s="1" t="str">
        <f t="shared" si="2"/>
        <v>Roció</v>
      </c>
      <c r="H3257" s="1" t="str">
        <f>IFERROR(__xludf.DUMMYFUNCTION("""COMPUTED_VALUE"""),"14/3/2023, 17:00:00")</f>
        <v>14/3/2023, 17:00:00</v>
      </c>
      <c r="I3257" s="1" t="str">
        <f>IFERROR(__xludf.DUMMYFUNCTION("""COMPUTED_VALUE"""),"Completado en SUCURSAL")</f>
        <v>Completado en SUCURSAL</v>
      </c>
      <c r="J3257" s="1">
        <f t="shared" si="3"/>
        <v>5</v>
      </c>
      <c r="K3257" s="1" t="str">
        <f t="shared" si="4"/>
        <v>Tus Lentes estan LISTAS PARA ENTREGAR, te esperamos.</v>
      </c>
    </row>
    <row r="3258">
      <c r="A3258" s="1">
        <f>IFERROR(__xludf.DUMMYFUNCTION("""COMPUTED_VALUE"""),87803.0)</f>
        <v>87803</v>
      </c>
      <c r="B3258" s="5">
        <f>IFERROR(__xludf.DUMMYFUNCTION("""COMPUTED_VALUE"""),44995.57443728009)</f>
        <v>44995.57444</v>
      </c>
      <c r="C3258" s="1" t="str">
        <f>IFERROR(__xludf.DUMMYFUNCTION("""COMPUTED_VALUE"""),"LOPEZ ARTURO / PABLO PRODIND")</f>
        <v>LOPEZ ARTURO / PABLO PRODIND</v>
      </c>
      <c r="D3258" s="1" t="str">
        <f>IFERROR(__xludf.DUMMYFUNCTION("""COMPUTED_VALUE"""),"Lentes BIFOCALES")</f>
        <v>Lentes BIFOCALES</v>
      </c>
      <c r="E3258" s="1" t="str">
        <f>IFERROR(__xludf.DUMMYFUNCTION("""COMPUTED_VALUE"""),"ARTIGAS Ivana P.")</f>
        <v>ARTIGAS Ivana P.</v>
      </c>
      <c r="F3258" s="1" t="str">
        <f t="shared" si="1"/>
        <v>ARTIGAS </v>
      </c>
      <c r="G3258" s="1" t="str">
        <f t="shared" si="2"/>
        <v>Ivana P.</v>
      </c>
      <c r="H3258" s="1" t="str">
        <f>IFERROR(__xludf.DUMMYFUNCTION("""COMPUTED_VALUE"""),"20/3/2023, 17:00:00")</f>
        <v>20/3/2023, 17:00:00</v>
      </c>
      <c r="I3258" s="1" t="str">
        <f>IFERROR(__xludf.DUMMYFUNCTION("""COMPUTED_VALUE"""),"Completado en SUCURSAL")</f>
        <v>Completado en SUCURSAL</v>
      </c>
      <c r="J3258" s="1">
        <f t="shared" si="3"/>
        <v>5</v>
      </c>
      <c r="K3258" s="1" t="str">
        <f t="shared" si="4"/>
        <v>Tus Lentes estan LISTAS PARA ENTREGAR, te esperamos.</v>
      </c>
    </row>
    <row r="3259">
      <c r="A3259" s="1">
        <f>IFERROR(__xludf.DUMMYFUNCTION("""COMPUTED_VALUE"""),87804.0)</f>
        <v>87804</v>
      </c>
      <c r="B3259" s="5">
        <f>IFERROR(__xludf.DUMMYFUNCTION("""COMPUTED_VALUE"""),44995.70912678241)</f>
        <v>44995.70913</v>
      </c>
      <c r="C3259" s="1" t="str">
        <f>IFERROR(__xludf.DUMMYFUNCTION("""COMPUTED_VALUE"""),"Orozco Agustina ")</f>
        <v>Orozco Agustina </v>
      </c>
      <c r="D3259" s="1" t="str">
        <f>IFERROR(__xludf.DUMMYFUNCTION("""COMPUTED_VALUE"""),"Reparaciones/Otros")</f>
        <v>Reparaciones/Otros</v>
      </c>
      <c r="E3259" s="1" t="str">
        <f>IFERROR(__xludf.DUMMYFUNCTION("""COMPUTED_VALUE"""),"ARTIGAS Micaela")</f>
        <v>ARTIGAS Micaela</v>
      </c>
      <c r="F3259" s="1" t="str">
        <f t="shared" si="1"/>
        <v>ARTIGAS </v>
      </c>
      <c r="G3259" s="1" t="str">
        <f t="shared" si="2"/>
        <v>Micaela</v>
      </c>
      <c r="H3259" s="1" t="str">
        <f>IFERROR(__xludf.DUMMYFUNCTION("""COMPUTED_VALUE"""),"14/3/2023, 17:00:00")</f>
        <v>14/3/2023, 17:00:00</v>
      </c>
      <c r="I3259" s="1" t="str">
        <f>IFERROR(__xludf.DUMMYFUNCTION("""COMPUTED_VALUE"""),"Completado en SUCURSAL")</f>
        <v>Completado en SUCURSAL</v>
      </c>
      <c r="J3259" s="1">
        <f t="shared" si="3"/>
        <v>5</v>
      </c>
      <c r="K3259" s="1" t="str">
        <f t="shared" si="4"/>
        <v>Tus Lentes estan LISTAS PARA ENTREGAR, te esperamos.</v>
      </c>
    </row>
    <row r="3260">
      <c r="A3260" s="1">
        <f>IFERROR(__xludf.DUMMYFUNCTION("""COMPUTED_VALUE"""),87805.0)</f>
        <v>87805</v>
      </c>
      <c r="B3260" s="5">
        <f>IFERROR(__xludf.DUMMYFUNCTION("""COMPUTED_VALUE"""),44995.70939913194)</f>
        <v>44995.7094</v>
      </c>
      <c r="C3260" s="1" t="str">
        <f>IFERROR(__xludf.DUMMYFUNCTION("""COMPUTED_VALUE"""),"MENDOZA VICTORIA")</f>
        <v>MENDOZA VICTORIA</v>
      </c>
      <c r="D3260" s="1" t="str">
        <f>IFERROR(__xludf.DUMMYFUNCTION("""COMPUTED_VALUE"""),"Lentes de STOCK")</f>
        <v>Lentes de STOCK</v>
      </c>
      <c r="E3260" s="1" t="str">
        <f>IFERROR(__xludf.DUMMYFUNCTION("""COMPUTED_VALUE"""),"ARTIGAS Ivana P.")</f>
        <v>ARTIGAS Ivana P.</v>
      </c>
      <c r="F3260" s="1" t="str">
        <f t="shared" si="1"/>
        <v>ARTIGAS </v>
      </c>
      <c r="G3260" s="1" t="str">
        <f t="shared" si="2"/>
        <v>Ivana P.</v>
      </c>
      <c r="H3260" s="1" t="str">
        <f>IFERROR(__xludf.DUMMYFUNCTION("""COMPUTED_VALUE"""),"15/3/2023, 17:00:00")</f>
        <v>15/3/2023, 17:00:00</v>
      </c>
      <c r="I3260" s="1" t="str">
        <f>IFERROR(__xludf.DUMMYFUNCTION("""COMPUTED_VALUE"""),"Completado en SUCURSAL")</f>
        <v>Completado en SUCURSAL</v>
      </c>
      <c r="J3260" s="1">
        <f t="shared" si="3"/>
        <v>5</v>
      </c>
      <c r="K3260" s="1" t="str">
        <f t="shared" si="4"/>
        <v>Tus Lentes estan LISTAS PARA ENTREGAR, te esperamos.</v>
      </c>
    </row>
    <row r="3261">
      <c r="A3261" s="1">
        <f>IFERROR(__xludf.DUMMYFUNCTION("""COMPUTED_VALUE"""),87806.0)</f>
        <v>87806</v>
      </c>
      <c r="B3261" s="5">
        <f>IFERROR(__xludf.DUMMYFUNCTION("""COMPUTED_VALUE"""),44995.75739886574)</f>
        <v>44995.7574</v>
      </c>
      <c r="C3261" s="1" t="str">
        <f>IFERROR(__xludf.DUMMYFUNCTION("""COMPUTED_VALUE"""),"QUIROGA HUGO")</f>
        <v>QUIROGA HUGO</v>
      </c>
      <c r="D3261" s="1" t="str">
        <f>IFERROR(__xludf.DUMMYFUNCTION("""COMPUTED_VALUE"""),"Lentes de STOCK")</f>
        <v>Lentes de STOCK</v>
      </c>
      <c r="E3261" s="1" t="str">
        <f>IFERROR(__xludf.DUMMYFUNCTION("""COMPUTED_VALUE"""),"RIVADAVIA Luciana")</f>
        <v>RIVADAVIA Luciana</v>
      </c>
      <c r="F3261" s="1" t="str">
        <f t="shared" si="1"/>
        <v>RIVADAVIA </v>
      </c>
      <c r="G3261" s="1" t="str">
        <f t="shared" si="2"/>
        <v>Luciana</v>
      </c>
      <c r="H3261" s="1" t="str">
        <f>IFERROR(__xludf.DUMMYFUNCTION("""COMPUTED_VALUE"""),"15/3/2023, 17:00:00")</f>
        <v>15/3/2023, 17:00:00</v>
      </c>
      <c r="I3261" s="1" t="str">
        <f>IFERROR(__xludf.DUMMYFUNCTION("""COMPUTED_VALUE"""),"Completado en SUCURSAL")</f>
        <v>Completado en SUCURSAL</v>
      </c>
      <c r="J3261" s="1">
        <f t="shared" si="3"/>
        <v>5</v>
      </c>
      <c r="K3261" s="1" t="str">
        <f t="shared" si="4"/>
        <v>Tus Lentes estan LISTAS PARA ENTREGAR, te esperamos.</v>
      </c>
    </row>
    <row r="3262">
      <c r="A3262" s="1">
        <f>IFERROR(__xludf.DUMMYFUNCTION("""COMPUTED_VALUE"""),87807.0)</f>
        <v>87807</v>
      </c>
      <c r="B3262" s="5">
        <f>IFERROR(__xludf.DUMMYFUNCTION("""COMPUTED_VALUE"""),44995.758348483796)</f>
        <v>44995.75835</v>
      </c>
      <c r="C3262" s="1" t="str">
        <f>IFERROR(__xludf.DUMMYFUNCTION("""COMPUTED_VALUE"""),"FORLI JOSE")</f>
        <v>FORLI JOSE</v>
      </c>
      <c r="D3262" s="1" t="str">
        <f>IFERROR(__xludf.DUMMYFUNCTION("""COMPUTED_VALUE"""),"Lentes de STOCK")</f>
        <v>Lentes de STOCK</v>
      </c>
      <c r="E3262" s="1" t="str">
        <f>IFERROR(__xludf.DUMMYFUNCTION("""COMPUTED_VALUE"""),"RIVADAVIA Christian C.")</f>
        <v>RIVADAVIA Christian C.</v>
      </c>
      <c r="F3262" s="1" t="str">
        <f t="shared" si="1"/>
        <v>RIVADAVIA </v>
      </c>
      <c r="G3262" s="1" t="str">
        <f t="shared" si="2"/>
        <v>Christian C.</v>
      </c>
      <c r="H3262" s="1" t="str">
        <f>IFERROR(__xludf.DUMMYFUNCTION("""COMPUTED_VALUE"""),"17/3/2023, 17:00:00")</f>
        <v>17/3/2023, 17:00:00</v>
      </c>
      <c r="I3262" s="1" t="str">
        <f>IFERROR(__xludf.DUMMYFUNCTION("""COMPUTED_VALUE"""),"RETIRADO OK POR CLIENTE")</f>
        <v>RETIRADO OK POR CLIENTE</v>
      </c>
      <c r="J3262" s="1">
        <f t="shared" si="3"/>
        <v>6</v>
      </c>
      <c r="K3262" s="1" t="str">
        <f t="shared" si="4"/>
        <v>Entregamos tus lentes, que los disfrutes!</v>
      </c>
    </row>
    <row r="3263">
      <c r="A3263" s="1">
        <f>IFERROR(__xludf.DUMMYFUNCTION("""COMPUTED_VALUE"""),87808.0)</f>
        <v>87808</v>
      </c>
      <c r="B3263" s="5">
        <f>IFERROR(__xludf.DUMMYFUNCTION("""COMPUTED_VALUE"""),44995.77389891204)</f>
        <v>44995.7739</v>
      </c>
      <c r="C3263" s="1" t="str">
        <f>IFERROR(__xludf.DUMMYFUNCTION("""COMPUTED_VALUE"""),"INGOLLINGO MARIANELA")</f>
        <v>INGOLLINGO MARIANELA</v>
      </c>
      <c r="D3263" s="1" t="str">
        <f>IFERROR(__xludf.DUMMYFUNCTION("""COMPUTED_VALUE"""),"Lentes de STOCK")</f>
        <v>Lentes de STOCK</v>
      </c>
      <c r="E3263" s="1" t="str">
        <f>IFERROR(__xludf.DUMMYFUNCTION("""COMPUTED_VALUE"""),"RIVADAVIA Christian C.")</f>
        <v>RIVADAVIA Christian C.</v>
      </c>
      <c r="F3263" s="1" t="str">
        <f t="shared" si="1"/>
        <v>RIVADAVIA </v>
      </c>
      <c r="G3263" s="1" t="str">
        <f t="shared" si="2"/>
        <v>Christian C.</v>
      </c>
      <c r="H3263" s="1" t="str">
        <f>IFERROR(__xludf.DUMMYFUNCTION("""COMPUTED_VALUE"""),"6/4/2023, 17:00:00")</f>
        <v>6/4/2023, 17:00:00</v>
      </c>
      <c r="I3263" s="1" t="str">
        <f>IFERROR(__xludf.DUMMYFUNCTION("""COMPUTED_VALUE"""),"Completado en SUCURSAL")</f>
        <v>Completado en SUCURSAL</v>
      </c>
      <c r="J3263" s="1">
        <f t="shared" si="3"/>
        <v>5</v>
      </c>
      <c r="K3263" s="1" t="str">
        <f t="shared" si="4"/>
        <v>Tus Lentes estan LISTAS PARA ENTREGAR, te esperamos.</v>
      </c>
    </row>
    <row r="3264">
      <c r="A3264" s="1">
        <f>IFERROR(__xludf.DUMMYFUNCTION("""COMPUTED_VALUE"""),87809.0)</f>
        <v>87809</v>
      </c>
      <c r="B3264" s="5">
        <f>IFERROR(__xludf.DUMMYFUNCTION("""COMPUTED_VALUE"""),44995.77685306713)</f>
        <v>44995.77685</v>
      </c>
      <c r="C3264" s="1" t="str">
        <f>IFERROR(__xludf.DUMMYFUNCTION("""COMPUTED_VALUE"""),"Bernales Cristian")</f>
        <v>Bernales Cristian</v>
      </c>
      <c r="D3264" s="1" t="str">
        <f>IFERROR(__xludf.DUMMYFUNCTION("""COMPUTED_VALUE"""),"Reparaciones/Otros")</f>
        <v>Reparaciones/Otros</v>
      </c>
      <c r="E3264" s="1" t="str">
        <f>IFERROR(__xludf.DUMMYFUNCTION("""COMPUTED_VALUE"""),"ARTIGAS Micaela")</f>
        <v>ARTIGAS Micaela</v>
      </c>
      <c r="F3264" s="1" t="str">
        <f t="shared" si="1"/>
        <v>ARTIGAS </v>
      </c>
      <c r="G3264" s="1" t="str">
        <f t="shared" si="2"/>
        <v>Micaela</v>
      </c>
      <c r="H3264" s="1" t="str">
        <f>IFERROR(__xludf.DUMMYFUNCTION("""COMPUTED_VALUE"""),"13/3/2023, 17:00:00")</f>
        <v>13/3/2023, 17:00:00</v>
      </c>
      <c r="I3264" s="1" t="str">
        <f>IFERROR(__xludf.DUMMYFUNCTION("""COMPUTED_VALUE"""),"Recibido en Laboratorio")</f>
        <v>Recibido en Laboratorio</v>
      </c>
      <c r="J3264" s="1">
        <f t="shared" si="3"/>
        <v>2</v>
      </c>
      <c r="K3264" s="1" t="str">
        <f t="shared" si="4"/>
        <v>Nuestro Laboratorio esta trabajando en tus lentes, los entregaremos en la fecha acordada.</v>
      </c>
    </row>
    <row r="3265">
      <c r="A3265" s="1">
        <f>IFERROR(__xludf.DUMMYFUNCTION("""COMPUTED_VALUE"""),87810.0)</f>
        <v>87810</v>
      </c>
      <c r="B3265" s="5">
        <f>IFERROR(__xludf.DUMMYFUNCTION("""COMPUTED_VALUE"""),44995.77918621528)</f>
        <v>44995.77919</v>
      </c>
      <c r="C3265" s="1" t="str">
        <f>IFERROR(__xludf.DUMMYFUNCTION("""COMPUTED_VALUE"""),"AGUERO KEVIN")</f>
        <v>AGUERO KEVIN</v>
      </c>
      <c r="D3265" s="1" t="str">
        <f>IFERROR(__xludf.DUMMYFUNCTION("""COMPUTED_VALUE"""),"Lentes de STOCK")</f>
        <v>Lentes de STOCK</v>
      </c>
      <c r="E3265" s="1" t="str">
        <f>IFERROR(__xludf.DUMMYFUNCTION("""COMPUTED_VALUE"""),"RIVADAVIA Javier")</f>
        <v>RIVADAVIA Javier</v>
      </c>
      <c r="F3265" s="1" t="str">
        <f t="shared" si="1"/>
        <v>RIVADAVIA </v>
      </c>
      <c r="G3265" s="1" t="str">
        <f t="shared" si="2"/>
        <v>Javier</v>
      </c>
      <c r="H3265" s="1" t="str">
        <f>IFERROR(__xludf.DUMMYFUNCTION("""COMPUTED_VALUE"""),"16/3/2023, 17:00:00")</f>
        <v>16/3/2023, 17:00:00</v>
      </c>
      <c r="I3265" s="1" t="str">
        <f>IFERROR(__xludf.DUMMYFUNCTION("""COMPUTED_VALUE"""),"Recibido en Laboratorio")</f>
        <v>Recibido en Laboratorio</v>
      </c>
      <c r="J3265" s="1">
        <f t="shared" si="3"/>
        <v>2</v>
      </c>
      <c r="K3265" s="1" t="str">
        <f t="shared" si="4"/>
        <v>Nuestro Laboratorio esta trabajando en tus lentes, los entregaremos en la fecha acordada.</v>
      </c>
    </row>
    <row r="3266">
      <c r="A3266" s="1">
        <f>IFERROR(__xludf.DUMMYFUNCTION("""COMPUTED_VALUE"""),87811.0)</f>
        <v>87811</v>
      </c>
      <c r="B3266" s="5">
        <f>IFERROR(__xludf.DUMMYFUNCTION("""COMPUTED_VALUE"""),44995.786512673614)</f>
        <v>44995.78651</v>
      </c>
      <c r="C3266" s="1" t="str">
        <f>IFERROR(__xludf.DUMMYFUNCTION("""COMPUTED_VALUE"""),"OLGUIN GUILLERMINA")</f>
        <v>OLGUIN GUILLERMINA</v>
      </c>
      <c r="D3266" s="1" t="str">
        <f>IFERROR(__xludf.DUMMYFUNCTION("""COMPUTED_VALUE"""),"Lentes de LABORATORIO")</f>
        <v>Lentes de LABORATORIO</v>
      </c>
      <c r="E3266" s="1" t="str">
        <f>IFERROR(__xludf.DUMMYFUNCTION("""COMPUTED_VALUE"""),"ARTIGAS Ivana P.")</f>
        <v>ARTIGAS Ivana P.</v>
      </c>
      <c r="F3266" s="1" t="str">
        <f t="shared" si="1"/>
        <v>ARTIGAS </v>
      </c>
      <c r="G3266" s="1" t="str">
        <f t="shared" si="2"/>
        <v>Ivana P.</v>
      </c>
      <c r="H3266" s="1" t="str">
        <f>IFERROR(__xludf.DUMMYFUNCTION("""COMPUTED_VALUE"""),"20/3/2023, 17:00:00")</f>
        <v>20/3/2023, 17:00:00</v>
      </c>
      <c r="I3266" s="1" t="str">
        <f>IFERROR(__xludf.DUMMYFUNCTION("""COMPUTED_VALUE"""),"Completado en SUCURSAL")</f>
        <v>Completado en SUCURSAL</v>
      </c>
      <c r="J3266" s="1">
        <f t="shared" si="3"/>
        <v>5</v>
      </c>
      <c r="K3266" s="1" t="str">
        <f t="shared" si="4"/>
        <v>Tus Lentes estan LISTAS PARA ENTREGAR, te esperamos.</v>
      </c>
    </row>
    <row r="3267">
      <c r="A3267" s="1">
        <f>IFERROR(__xludf.DUMMYFUNCTION("""COMPUTED_VALUE"""),87812.0)</f>
        <v>87812</v>
      </c>
      <c r="B3267" s="5">
        <f>IFERROR(__xludf.DUMMYFUNCTION("""COMPUTED_VALUE"""),44995.789628796294)</f>
        <v>44995.78963</v>
      </c>
      <c r="C3267" s="1" t="str">
        <f>IFERROR(__xludf.DUMMYFUNCTION("""COMPUTED_VALUE"""),"LUCERO ROSA")</f>
        <v>LUCERO ROSA</v>
      </c>
      <c r="D3267" s="1" t="str">
        <f>IFERROR(__xludf.DUMMYFUNCTION("""COMPUTED_VALUE"""),"Lentes de STOCK")</f>
        <v>Lentes de STOCK</v>
      </c>
      <c r="E3267" s="1" t="str">
        <f>IFERROR(__xludf.DUMMYFUNCTION("""COMPUTED_VALUE"""),"RIVADAVIA Javier")</f>
        <v>RIVADAVIA Javier</v>
      </c>
      <c r="F3267" s="1" t="str">
        <f t="shared" si="1"/>
        <v>RIVADAVIA </v>
      </c>
      <c r="G3267" s="1" t="str">
        <f t="shared" si="2"/>
        <v>Javier</v>
      </c>
      <c r="H3267" s="1" t="str">
        <f>IFERROR(__xludf.DUMMYFUNCTION("""COMPUTED_VALUE"""),"16/3/2023, 17:00:00")</f>
        <v>16/3/2023, 17:00:00</v>
      </c>
      <c r="I3267" s="1" t="str">
        <f>IFERROR(__xludf.DUMMYFUNCTION("""COMPUTED_VALUE"""),"Completado en SUCURSAL")</f>
        <v>Completado en SUCURSAL</v>
      </c>
      <c r="J3267" s="1">
        <f t="shared" si="3"/>
        <v>5</v>
      </c>
      <c r="K3267" s="1" t="str">
        <f t="shared" si="4"/>
        <v>Tus Lentes estan LISTAS PARA ENTREGAR, te esperamos.</v>
      </c>
    </row>
    <row r="3268">
      <c r="A3268" s="1">
        <f>IFERROR(__xludf.DUMMYFUNCTION("""COMPUTED_VALUE"""),87813.0)</f>
        <v>87813</v>
      </c>
      <c r="B3268" s="5">
        <f>IFERROR(__xludf.DUMMYFUNCTION("""COMPUTED_VALUE"""),44995.79015266204)</f>
        <v>44995.79015</v>
      </c>
      <c r="C3268" s="1" t="str">
        <f>IFERROR(__xludf.DUMMYFUNCTION("""COMPUTED_VALUE"""),"ARCE MICAELA")</f>
        <v>ARCE MICAELA</v>
      </c>
      <c r="D3268" s="1" t="str">
        <f>IFERROR(__xludf.DUMMYFUNCTION("""COMPUTED_VALUE"""),"Lentes de STOCK")</f>
        <v>Lentes de STOCK</v>
      </c>
      <c r="E3268" s="1" t="str">
        <f>IFERROR(__xludf.DUMMYFUNCTION("""COMPUTED_VALUE"""),"ARTIGAS Ivana P.")</f>
        <v>ARTIGAS Ivana P.</v>
      </c>
      <c r="F3268" s="1" t="str">
        <f t="shared" si="1"/>
        <v>ARTIGAS </v>
      </c>
      <c r="G3268" s="1" t="str">
        <f t="shared" si="2"/>
        <v>Ivana P.</v>
      </c>
      <c r="H3268" s="1" t="str">
        <f>IFERROR(__xludf.DUMMYFUNCTION("""COMPUTED_VALUE"""),"15/3/2023, 17:00:00")</f>
        <v>15/3/2023, 17:00:00</v>
      </c>
      <c r="I3268" s="1" t="str">
        <f>IFERROR(__xludf.DUMMYFUNCTION("""COMPUTED_VALUE"""),"Completado en SUCURSAL")</f>
        <v>Completado en SUCURSAL</v>
      </c>
      <c r="J3268" s="1">
        <f t="shared" si="3"/>
        <v>5</v>
      </c>
      <c r="K3268" s="1" t="str">
        <f t="shared" si="4"/>
        <v>Tus Lentes estan LISTAS PARA ENTREGAR, te esperamos.</v>
      </c>
    </row>
    <row r="3269">
      <c r="A3269" s="1">
        <f>IFERROR(__xludf.DUMMYFUNCTION("""COMPUTED_VALUE"""),87814.0)</f>
        <v>87814</v>
      </c>
      <c r="B3269" s="5">
        <f>IFERROR(__xludf.DUMMYFUNCTION("""COMPUTED_VALUE"""),44995.796380844906)</f>
        <v>44995.79638</v>
      </c>
      <c r="C3269" s="1" t="str">
        <f>IFERROR(__xludf.DUMMYFUNCTION("""COMPUTED_VALUE"""),"BECERRA CAMILA")</f>
        <v>BECERRA CAMILA</v>
      </c>
      <c r="D3269" s="1" t="str">
        <f>IFERROR(__xludf.DUMMYFUNCTION("""COMPUTED_VALUE"""),"Lentes de STOCK")</f>
        <v>Lentes de STOCK</v>
      </c>
      <c r="E3269" s="1" t="str">
        <f>IFERROR(__xludf.DUMMYFUNCTION("""COMPUTED_VALUE"""),"RIVADAVIA Santiago LOPEZ")</f>
        <v>RIVADAVIA Santiago LOPEZ</v>
      </c>
      <c r="F3269" s="1" t="str">
        <f t="shared" si="1"/>
        <v>RIVADAVIA </v>
      </c>
      <c r="G3269" s="1" t="str">
        <f t="shared" si="2"/>
        <v>Santiago LOPEZ</v>
      </c>
      <c r="H3269" s="1" t="str">
        <f>IFERROR(__xludf.DUMMYFUNCTION("""COMPUTED_VALUE"""),"15/3/2023, 17:00:00")</f>
        <v>15/3/2023, 17:00:00</v>
      </c>
      <c r="I3269" s="1" t="str">
        <f>IFERROR(__xludf.DUMMYFUNCTION("""COMPUTED_VALUE"""),"Completado en SUCURSAL")</f>
        <v>Completado en SUCURSAL</v>
      </c>
      <c r="J3269" s="1">
        <f t="shared" si="3"/>
        <v>5</v>
      </c>
      <c r="K3269" s="1" t="str">
        <f t="shared" si="4"/>
        <v>Tus Lentes estan LISTAS PARA ENTREGAR, te esperamos.</v>
      </c>
    </row>
    <row r="3270">
      <c r="A3270" s="1">
        <f>IFERROR(__xludf.DUMMYFUNCTION("""COMPUTED_VALUE"""),87815.0)</f>
        <v>87815</v>
      </c>
      <c r="B3270" s="5">
        <f>IFERROR(__xludf.DUMMYFUNCTION("""COMPUTED_VALUE"""),44995.80792545139)</f>
        <v>44995.80793</v>
      </c>
      <c r="C3270" s="1" t="str">
        <f>IFERROR(__xludf.DUMMYFUNCTION("""COMPUTED_VALUE"""),"PAEZ AGUSTINA")</f>
        <v>PAEZ AGUSTINA</v>
      </c>
      <c r="D3270" s="1" t="str">
        <f>IFERROR(__xludf.DUMMYFUNCTION("""COMPUTED_VALUE"""),"Lentes de STOCK")</f>
        <v>Lentes de STOCK</v>
      </c>
      <c r="E3270" s="1" t="str">
        <f>IFERROR(__xludf.DUMMYFUNCTION("""COMPUTED_VALUE"""),"RIVADAVIA Luciana")</f>
        <v>RIVADAVIA Luciana</v>
      </c>
      <c r="F3270" s="1" t="str">
        <f t="shared" si="1"/>
        <v>RIVADAVIA </v>
      </c>
      <c r="G3270" s="1" t="str">
        <f t="shared" si="2"/>
        <v>Luciana</v>
      </c>
      <c r="H3270" s="1" t="str">
        <f>IFERROR(__xludf.DUMMYFUNCTION("""COMPUTED_VALUE"""),"15/3/2023, 17:00:00")</f>
        <v>15/3/2023, 17:00:00</v>
      </c>
      <c r="I3270" s="1" t="str">
        <f>IFERROR(__xludf.DUMMYFUNCTION("""COMPUTED_VALUE"""),"Completado en SUCURSAL")</f>
        <v>Completado en SUCURSAL</v>
      </c>
      <c r="J3270" s="1">
        <f t="shared" si="3"/>
        <v>5</v>
      </c>
      <c r="K3270" s="1" t="str">
        <f t="shared" si="4"/>
        <v>Tus Lentes estan LISTAS PARA ENTREGAR, te esperamos.</v>
      </c>
    </row>
    <row r="3271">
      <c r="A3271" s="1">
        <f>IFERROR(__xludf.DUMMYFUNCTION("""COMPUTED_VALUE"""),87816.0)</f>
        <v>87816</v>
      </c>
      <c r="B3271" s="5">
        <f>IFERROR(__xludf.DUMMYFUNCTION("""COMPUTED_VALUE"""),44995.81775284722)</f>
        <v>44995.81775</v>
      </c>
      <c r="C3271" s="1" t="str">
        <f>IFERROR(__xludf.DUMMYFUNCTION("""COMPUTED_VALUE"""),"VILLEGAS MARA")</f>
        <v>VILLEGAS MARA</v>
      </c>
      <c r="D3271" s="1" t="str">
        <f>IFERROR(__xludf.DUMMYFUNCTION("""COMPUTED_VALUE"""),"Lentes de STOCK")</f>
        <v>Lentes de STOCK</v>
      </c>
      <c r="E3271" s="1" t="str">
        <f>IFERROR(__xludf.DUMMYFUNCTION("""COMPUTED_VALUE"""),"ARTIGAS Roció")</f>
        <v>ARTIGAS Roció</v>
      </c>
      <c r="F3271" s="1" t="str">
        <f t="shared" si="1"/>
        <v>ARTIGAS </v>
      </c>
      <c r="G3271" s="1" t="str">
        <f t="shared" si="2"/>
        <v>Roció</v>
      </c>
      <c r="H3271" s="1" t="str">
        <f>IFERROR(__xludf.DUMMYFUNCTION("""COMPUTED_VALUE"""),"17/3/2023, 17:00:00")</f>
        <v>17/3/2023, 17:00:00</v>
      </c>
      <c r="I3271" s="1" t="str">
        <f>IFERROR(__xludf.DUMMYFUNCTION("""COMPUTED_VALUE"""),"Completado en SUCURSAL")</f>
        <v>Completado en SUCURSAL</v>
      </c>
      <c r="J3271" s="1">
        <f t="shared" si="3"/>
        <v>5</v>
      </c>
      <c r="K3271" s="1" t="str">
        <f t="shared" si="4"/>
        <v>Tus Lentes estan LISTAS PARA ENTREGAR, te esperamos.</v>
      </c>
    </row>
    <row r="3272">
      <c r="A3272" s="1">
        <f>IFERROR(__xludf.DUMMYFUNCTION("""COMPUTED_VALUE"""),87817.0)</f>
        <v>87817</v>
      </c>
      <c r="B3272" s="5">
        <f>IFERROR(__xludf.DUMMYFUNCTION("""COMPUTED_VALUE"""),44995.81840875)</f>
        <v>44995.81841</v>
      </c>
      <c r="C3272" s="1" t="str">
        <f>IFERROR(__xludf.DUMMYFUNCTION("""COMPUTED_VALUE"""),"BRITO EMILIA")</f>
        <v>BRITO EMILIA</v>
      </c>
      <c r="D3272" s="1" t="str">
        <f>IFERROR(__xludf.DUMMYFUNCTION("""COMPUTED_VALUE"""),"Lentes de STOCK")</f>
        <v>Lentes de STOCK</v>
      </c>
      <c r="E3272" s="1" t="str">
        <f>IFERROR(__xludf.DUMMYFUNCTION("""COMPUTED_VALUE"""),"ARTIGAS Ivana P.")</f>
        <v>ARTIGAS Ivana P.</v>
      </c>
      <c r="F3272" s="1" t="str">
        <f t="shared" si="1"/>
        <v>ARTIGAS </v>
      </c>
      <c r="G3272" s="1" t="str">
        <f t="shared" si="2"/>
        <v>Ivana P.</v>
      </c>
      <c r="H3272" s="1" t="str">
        <f>IFERROR(__xludf.DUMMYFUNCTION("""COMPUTED_VALUE"""),"15/3/2023, 17:00:00")</f>
        <v>15/3/2023, 17:00:00</v>
      </c>
      <c r="I3272" s="1" t="str">
        <f>IFERROR(__xludf.DUMMYFUNCTION("""COMPUTED_VALUE"""),"Completado en SUCURSAL")</f>
        <v>Completado en SUCURSAL</v>
      </c>
      <c r="J3272" s="1">
        <f t="shared" si="3"/>
        <v>5</v>
      </c>
      <c r="K3272" s="1" t="str">
        <f t="shared" si="4"/>
        <v>Tus Lentes estan LISTAS PARA ENTREGAR, te esperamos.</v>
      </c>
    </row>
    <row r="3273">
      <c r="A3273" s="1">
        <f>IFERROR(__xludf.DUMMYFUNCTION("""COMPUTED_VALUE"""),87818.0)</f>
        <v>87818</v>
      </c>
      <c r="B3273" s="5">
        <f>IFERROR(__xludf.DUMMYFUNCTION("""COMPUTED_VALUE"""),44995.81961733796)</f>
        <v>44995.81962</v>
      </c>
      <c r="C3273" s="1" t="str">
        <f>IFERROR(__xludf.DUMMYFUNCTION("""COMPUTED_VALUE"""),"BAIGORRIA HILDA")</f>
        <v>BAIGORRIA HILDA</v>
      </c>
      <c r="D3273" s="1" t="str">
        <f>IFERROR(__xludf.DUMMYFUNCTION("""COMPUTED_VALUE"""),"Lentes de STOCK")</f>
        <v>Lentes de STOCK</v>
      </c>
      <c r="E3273" s="1" t="str">
        <f>IFERROR(__xludf.DUMMYFUNCTION("""COMPUTED_VALUE"""),"RIVADAVIA Javier")</f>
        <v>RIVADAVIA Javier</v>
      </c>
      <c r="F3273" s="1" t="str">
        <f t="shared" si="1"/>
        <v>RIVADAVIA </v>
      </c>
      <c r="G3273" s="1" t="str">
        <f t="shared" si="2"/>
        <v>Javier</v>
      </c>
      <c r="H3273" s="1" t="str">
        <f>IFERROR(__xludf.DUMMYFUNCTION("""COMPUTED_VALUE"""),"17/3/2023, 17:00:00")</f>
        <v>17/3/2023, 17:00:00</v>
      </c>
      <c r="I3273" s="1" t="str">
        <f>IFERROR(__xludf.DUMMYFUNCTION("""COMPUTED_VALUE"""),"Completado en SUCURSAL")</f>
        <v>Completado en SUCURSAL</v>
      </c>
      <c r="J3273" s="1">
        <f t="shared" si="3"/>
        <v>5</v>
      </c>
      <c r="K3273" s="1" t="str">
        <f t="shared" si="4"/>
        <v>Tus Lentes estan LISTAS PARA ENTREGAR, te esperamos.</v>
      </c>
    </row>
    <row r="3274">
      <c r="A3274" s="1">
        <f>IFERROR(__xludf.DUMMYFUNCTION("""COMPUTED_VALUE"""),87819.0)</f>
        <v>87819</v>
      </c>
      <c r="B3274" s="5">
        <f>IFERROR(__xludf.DUMMYFUNCTION("""COMPUTED_VALUE"""),44995.822188819446)</f>
        <v>44995.82219</v>
      </c>
      <c r="C3274" s="1" t="str">
        <f>IFERROR(__xludf.DUMMYFUNCTION("""COMPUTED_VALUE"""),"GALERA JUAN PABLO")</f>
        <v>GALERA JUAN PABLO</v>
      </c>
      <c r="D3274" s="1" t="str">
        <f>IFERROR(__xludf.DUMMYFUNCTION("""COMPUTED_VALUE"""),"Lentes de STOCK")</f>
        <v>Lentes de STOCK</v>
      </c>
      <c r="E3274" s="1" t="str">
        <f>IFERROR(__xludf.DUMMYFUNCTION("""COMPUTED_VALUE"""),"RIVADAVIA Marcela L")</f>
        <v>RIVADAVIA Marcela L</v>
      </c>
      <c r="F3274" s="1" t="str">
        <f t="shared" si="1"/>
        <v>RIVADAVIA </v>
      </c>
      <c r="G3274" s="1" t="str">
        <f t="shared" si="2"/>
        <v>Marcela L</v>
      </c>
      <c r="H3274" s="1" t="str">
        <f>IFERROR(__xludf.DUMMYFUNCTION("""COMPUTED_VALUE"""),"15/3/2023, 17:00:00")</f>
        <v>15/3/2023, 17:00:00</v>
      </c>
      <c r="I3274" s="1" t="str">
        <f>IFERROR(__xludf.DUMMYFUNCTION("""COMPUTED_VALUE"""),"Completado en SUCURSAL")</f>
        <v>Completado en SUCURSAL</v>
      </c>
      <c r="J3274" s="1">
        <f t="shared" si="3"/>
        <v>5</v>
      </c>
      <c r="K3274" s="1" t="str">
        <f t="shared" si="4"/>
        <v>Tus Lentes estan LISTAS PARA ENTREGAR, te esperamos.</v>
      </c>
    </row>
    <row r="3275">
      <c r="A3275" s="1">
        <f>IFERROR(__xludf.DUMMYFUNCTION("""COMPUTED_VALUE"""),87820.0)</f>
        <v>87820</v>
      </c>
      <c r="B3275" s="5">
        <f>IFERROR(__xludf.DUMMYFUNCTION("""COMPUTED_VALUE"""),44995.835387025465)</f>
        <v>44995.83539</v>
      </c>
      <c r="C3275" s="1" t="str">
        <f>IFERROR(__xludf.DUMMYFUNCTION("""COMPUTED_VALUE"""),"NAVARRO FELIPE")</f>
        <v>NAVARRO FELIPE</v>
      </c>
      <c r="D3275" s="1" t="str">
        <f>IFERROR(__xludf.DUMMYFUNCTION("""COMPUTED_VALUE"""),"Lentes de STOCK")</f>
        <v>Lentes de STOCK</v>
      </c>
      <c r="E3275" s="1" t="str">
        <f>IFERROR(__xludf.DUMMYFUNCTION("""COMPUTED_VALUE"""),"RIVADAVIA Marcela L")</f>
        <v>RIVADAVIA Marcela L</v>
      </c>
      <c r="F3275" s="1" t="str">
        <f t="shared" si="1"/>
        <v>RIVADAVIA </v>
      </c>
      <c r="G3275" s="1" t="str">
        <f t="shared" si="2"/>
        <v>Marcela L</v>
      </c>
      <c r="H3275" s="1" t="str">
        <f>IFERROR(__xludf.DUMMYFUNCTION("""COMPUTED_VALUE"""),"14/3/2023, 17:00:00")</f>
        <v>14/3/2023, 17:00:00</v>
      </c>
      <c r="I3275" s="1" t="str">
        <f>IFERROR(__xludf.DUMMYFUNCTION("""COMPUTED_VALUE"""),"Completado en SUCURSAL")</f>
        <v>Completado en SUCURSAL</v>
      </c>
      <c r="J3275" s="1">
        <f t="shared" si="3"/>
        <v>5</v>
      </c>
      <c r="K3275" s="1" t="str">
        <f t="shared" si="4"/>
        <v>Tus Lentes estan LISTAS PARA ENTREGAR, te esperamos.</v>
      </c>
    </row>
    <row r="3276">
      <c r="A3276" s="1">
        <f>IFERROR(__xludf.DUMMYFUNCTION("""COMPUTED_VALUE"""),87821.0)</f>
        <v>87821</v>
      </c>
      <c r="B3276" s="5">
        <f>IFERROR(__xludf.DUMMYFUNCTION("""COMPUTED_VALUE"""),44995.84041358797)</f>
        <v>44995.84041</v>
      </c>
      <c r="C3276" s="1" t="str">
        <f>IFERROR(__xludf.DUMMYFUNCTION("""COMPUTED_VALUE"""),"LITZI ANDREA")</f>
        <v>LITZI ANDREA</v>
      </c>
      <c r="D3276" s="1" t="str">
        <f>IFERROR(__xludf.DUMMYFUNCTION("""COMPUTED_VALUE"""),"Lentes de STOCK")</f>
        <v>Lentes de STOCK</v>
      </c>
      <c r="E3276" s="1" t="str">
        <f>IFERROR(__xludf.DUMMYFUNCTION("""COMPUTED_VALUE"""),"RIVADAVIA Javier")</f>
        <v>RIVADAVIA Javier</v>
      </c>
      <c r="F3276" s="1" t="str">
        <f t="shared" si="1"/>
        <v>RIVADAVIA </v>
      </c>
      <c r="G3276" s="1" t="str">
        <f t="shared" si="2"/>
        <v>Javier</v>
      </c>
      <c r="H3276" s="1" t="str">
        <f>IFERROR(__xludf.DUMMYFUNCTION("""COMPUTED_VALUE"""),"16/3/2023, 17:00:00")</f>
        <v>16/3/2023, 17:00:00</v>
      </c>
      <c r="I3276" s="1" t="str">
        <f>IFERROR(__xludf.DUMMYFUNCTION("""COMPUTED_VALUE"""),"Completado en SUCURSAL")</f>
        <v>Completado en SUCURSAL</v>
      </c>
      <c r="J3276" s="1">
        <f t="shared" si="3"/>
        <v>5</v>
      </c>
      <c r="K3276" s="1" t="str">
        <f t="shared" si="4"/>
        <v>Tus Lentes estan LISTAS PARA ENTREGAR, te esperamos.</v>
      </c>
    </row>
    <row r="3277">
      <c r="A3277" s="1">
        <f>IFERROR(__xludf.DUMMYFUNCTION("""COMPUTED_VALUE"""),87822.0)</f>
        <v>87822</v>
      </c>
      <c r="B3277" s="5">
        <f>IFERROR(__xludf.DUMMYFUNCTION("""COMPUTED_VALUE"""),44995.85901006944)</f>
        <v>44995.85901</v>
      </c>
      <c r="C3277" s="1" t="str">
        <f>IFERROR(__xludf.DUMMYFUNCTION("""COMPUTED_VALUE"""),"FERNANDEZ BRUNO")</f>
        <v>FERNANDEZ BRUNO</v>
      </c>
      <c r="D3277" s="1" t="str">
        <f>IFERROR(__xludf.DUMMYFUNCTION("""COMPUTED_VALUE"""),"Reparaciones/Otros")</f>
        <v>Reparaciones/Otros</v>
      </c>
      <c r="E3277" s="1" t="str">
        <f>IFERROR(__xludf.DUMMYFUNCTION("""COMPUTED_VALUE"""),"RIVADAVIA Luciana")</f>
        <v>RIVADAVIA Luciana</v>
      </c>
      <c r="F3277" s="1" t="str">
        <f t="shared" si="1"/>
        <v>RIVADAVIA </v>
      </c>
      <c r="G3277" s="1" t="str">
        <f t="shared" si="2"/>
        <v>Luciana</v>
      </c>
      <c r="H3277" s="1" t="str">
        <f>IFERROR(__xludf.DUMMYFUNCTION("""COMPUTED_VALUE"""),"11/3/2023, 17:00:00")</f>
        <v>11/3/2023, 17:00:00</v>
      </c>
      <c r="I3277" s="1"/>
      <c r="J3277" s="1">
        <f t="shared" si="3"/>
        <v>0</v>
      </c>
      <c r="K3277" s="1" t="str">
        <f t="shared" si="4"/>
        <v/>
      </c>
    </row>
    <row r="3278">
      <c r="A3278" s="1">
        <f>IFERROR(__xludf.DUMMYFUNCTION("""COMPUTED_VALUE"""),87823.0)</f>
        <v>87823</v>
      </c>
      <c r="B3278" s="5">
        <f>IFERROR(__xludf.DUMMYFUNCTION("""COMPUTED_VALUE"""),44996.39891640046)</f>
        <v>44996.39892</v>
      </c>
      <c r="C3278" s="1" t="str">
        <f>IFERROR(__xludf.DUMMYFUNCTION("""COMPUTED_VALUE"""),"CUCCHIARINI MARIA LETICIA")</f>
        <v>CUCCHIARINI MARIA LETICIA</v>
      </c>
      <c r="D3278" s="1" t="str">
        <f>IFERROR(__xludf.DUMMYFUNCTION("""COMPUTED_VALUE"""),"Lentes de STOCK")</f>
        <v>Lentes de STOCK</v>
      </c>
      <c r="E3278" s="1" t="str">
        <f>IFERROR(__xludf.DUMMYFUNCTION("""COMPUTED_VALUE"""),"RIVADAVIA Christian C.")</f>
        <v>RIVADAVIA Christian C.</v>
      </c>
      <c r="F3278" s="1" t="str">
        <f t="shared" si="1"/>
        <v>RIVADAVIA </v>
      </c>
      <c r="G3278" s="1" t="str">
        <f t="shared" si="2"/>
        <v>Christian C.</v>
      </c>
      <c r="H3278" s="1" t="str">
        <f>IFERROR(__xludf.DUMMYFUNCTION("""COMPUTED_VALUE"""),"15/3/2023, 17:00:00")</f>
        <v>15/3/2023, 17:00:00</v>
      </c>
      <c r="I3278" s="1" t="str">
        <f>IFERROR(__xludf.DUMMYFUNCTION("""COMPUTED_VALUE"""),"Completado en SUCURSAL")</f>
        <v>Completado en SUCURSAL</v>
      </c>
      <c r="J3278" s="1">
        <f t="shared" si="3"/>
        <v>5</v>
      </c>
      <c r="K3278" s="1" t="str">
        <f t="shared" si="4"/>
        <v>Tus Lentes estan LISTAS PARA ENTREGAR, te esperamos.</v>
      </c>
    </row>
    <row r="3279">
      <c r="A3279" s="1">
        <f>IFERROR(__xludf.DUMMYFUNCTION("""COMPUTED_VALUE"""),87824.0)</f>
        <v>87824</v>
      </c>
      <c r="B3279" s="5">
        <f>IFERROR(__xludf.DUMMYFUNCTION("""COMPUTED_VALUE"""),44996.405609375)</f>
        <v>44996.40561</v>
      </c>
      <c r="C3279" s="1" t="str">
        <f>IFERROR(__xludf.DUMMYFUNCTION("""COMPUTED_VALUE"""),"VILLEGAS FRANCIS ELOISA")</f>
        <v>VILLEGAS FRANCIS ELOISA</v>
      </c>
      <c r="D3279" s="1" t="str">
        <f>IFERROR(__xludf.DUMMYFUNCTION("""COMPUTED_VALUE"""),"Lentes de STOCK")</f>
        <v>Lentes de STOCK</v>
      </c>
      <c r="E3279" s="1" t="str">
        <f>IFERROR(__xludf.DUMMYFUNCTION("""COMPUTED_VALUE"""),"RIVADAVIA Javier")</f>
        <v>RIVADAVIA Javier</v>
      </c>
      <c r="F3279" s="1" t="str">
        <f t="shared" si="1"/>
        <v>RIVADAVIA </v>
      </c>
      <c r="G3279" s="1" t="str">
        <f t="shared" si="2"/>
        <v>Javier</v>
      </c>
      <c r="H3279" s="1" t="str">
        <f>IFERROR(__xludf.DUMMYFUNCTION("""COMPUTED_VALUE"""),"16/3/2023, 17:00:00")</f>
        <v>16/3/2023, 17:00:00</v>
      </c>
      <c r="I3279" s="1" t="str">
        <f>IFERROR(__xludf.DUMMYFUNCTION("""COMPUTED_VALUE"""),"Completado en SUCURSAL")</f>
        <v>Completado en SUCURSAL</v>
      </c>
      <c r="J3279" s="1">
        <f t="shared" si="3"/>
        <v>5</v>
      </c>
      <c r="K3279" s="1" t="str">
        <f t="shared" si="4"/>
        <v>Tus Lentes estan LISTAS PARA ENTREGAR, te esperamos.</v>
      </c>
    </row>
    <row r="3280">
      <c r="A3280" s="1">
        <f>IFERROR(__xludf.DUMMYFUNCTION("""COMPUTED_VALUE"""),87825.0)</f>
        <v>87825</v>
      </c>
      <c r="B3280" s="5">
        <f>IFERROR(__xludf.DUMMYFUNCTION("""COMPUTED_VALUE"""),44996.42036241898)</f>
        <v>44996.42036</v>
      </c>
      <c r="C3280" s="1" t="str">
        <f>IFERROR(__xludf.DUMMYFUNCTION("""COMPUTED_VALUE"""),"ALTURRIA JUANA")</f>
        <v>ALTURRIA JUANA</v>
      </c>
      <c r="D3280" s="1" t="str">
        <f>IFERROR(__xludf.DUMMYFUNCTION("""COMPUTED_VALUE"""),"Lentes MULTIFOCALES")</f>
        <v>Lentes MULTIFOCALES</v>
      </c>
      <c r="E3280" s="1" t="str">
        <f>IFERROR(__xludf.DUMMYFUNCTION("""COMPUTED_VALUE"""),"ARTIGAS Ivana P.")</f>
        <v>ARTIGAS Ivana P.</v>
      </c>
      <c r="F3280" s="1" t="str">
        <f t="shared" si="1"/>
        <v>ARTIGAS </v>
      </c>
      <c r="G3280" s="1" t="str">
        <f t="shared" si="2"/>
        <v>Ivana P.</v>
      </c>
      <c r="H3280" s="1" t="str">
        <f>IFERROR(__xludf.DUMMYFUNCTION("""COMPUTED_VALUE"""),"25/3/2023, 17:00:00")</f>
        <v>25/3/2023, 17:00:00</v>
      </c>
      <c r="I3280" s="1" t="str">
        <f>IFERROR(__xludf.DUMMYFUNCTION("""COMPUTED_VALUE"""),"Recibido en Laboratorio")</f>
        <v>Recibido en Laboratorio</v>
      </c>
      <c r="J3280" s="1">
        <f t="shared" si="3"/>
        <v>2</v>
      </c>
      <c r="K3280" s="1" t="str">
        <f t="shared" si="4"/>
        <v>Nuestro Laboratorio esta trabajando en tus lentes, los entregaremos en la fecha acordada.</v>
      </c>
    </row>
    <row r="3281">
      <c r="A3281" s="1">
        <f>IFERROR(__xludf.DUMMYFUNCTION("""COMPUTED_VALUE"""),87826.0)</f>
        <v>87826</v>
      </c>
      <c r="B3281" s="5">
        <f>IFERROR(__xludf.DUMMYFUNCTION("""COMPUTED_VALUE"""),44996.43602930555)</f>
        <v>44996.43603</v>
      </c>
      <c r="C3281" s="1" t="str">
        <f>IFERROR(__xludf.DUMMYFUNCTION("""COMPUTED_VALUE"""),"GIL NACY GRACIELA")</f>
        <v>GIL NACY GRACIELA</v>
      </c>
      <c r="D3281" s="1" t="str">
        <f>IFERROR(__xludf.DUMMYFUNCTION("""COMPUTED_VALUE"""),"Lentes de STOCK")</f>
        <v>Lentes de STOCK</v>
      </c>
      <c r="E3281" s="1" t="str">
        <f>IFERROR(__xludf.DUMMYFUNCTION("""COMPUTED_VALUE"""),"RIVADAVIA Christian C.")</f>
        <v>RIVADAVIA Christian C.</v>
      </c>
      <c r="F3281" s="1" t="str">
        <f t="shared" si="1"/>
        <v>RIVADAVIA </v>
      </c>
      <c r="G3281" s="1" t="str">
        <f t="shared" si="2"/>
        <v>Christian C.</v>
      </c>
      <c r="H3281" s="1" t="str">
        <f>IFERROR(__xludf.DUMMYFUNCTION("""COMPUTED_VALUE"""),"16/3/2023, 17:00:00")</f>
        <v>16/3/2023, 17:00:00</v>
      </c>
      <c r="I3281" s="1" t="str">
        <f>IFERROR(__xludf.DUMMYFUNCTION("""COMPUTED_VALUE"""),"Completado en SUCURSAL")</f>
        <v>Completado en SUCURSAL</v>
      </c>
      <c r="J3281" s="1">
        <f t="shared" si="3"/>
        <v>5</v>
      </c>
      <c r="K3281" s="1" t="str">
        <f t="shared" si="4"/>
        <v>Tus Lentes estan LISTAS PARA ENTREGAR, te esperamos.</v>
      </c>
    </row>
    <row r="3282">
      <c r="A3282" s="1">
        <f>IFERROR(__xludf.DUMMYFUNCTION("""COMPUTED_VALUE"""),87827.0)</f>
        <v>87827</v>
      </c>
      <c r="B3282" s="5">
        <f>IFERROR(__xludf.DUMMYFUNCTION("""COMPUTED_VALUE"""),44996.43734984954)</f>
        <v>44996.43735</v>
      </c>
      <c r="C3282" s="1" t="str">
        <f>IFERROR(__xludf.DUMMYFUNCTION("""COMPUTED_VALUE"""),"mascioni analia")</f>
        <v>mascioni analia</v>
      </c>
      <c r="D3282" s="1" t="str">
        <f>IFERROR(__xludf.DUMMYFUNCTION("""COMPUTED_VALUE"""),"Lentes MULTIFOCALES")</f>
        <v>Lentes MULTIFOCALES</v>
      </c>
      <c r="E3282" s="1" t="str">
        <f>IFERROR(__xludf.DUMMYFUNCTION("""COMPUTED_VALUE"""),"RIVADAVIA Santiago N")</f>
        <v>RIVADAVIA Santiago N</v>
      </c>
      <c r="F3282" s="1" t="str">
        <f t="shared" si="1"/>
        <v>RIVADAVIA </v>
      </c>
      <c r="G3282" s="1" t="str">
        <f t="shared" si="2"/>
        <v>Santiago N</v>
      </c>
      <c r="H3282" s="1" t="str">
        <f>IFERROR(__xludf.DUMMYFUNCTION("""COMPUTED_VALUE"""),"25/3/2023, 17:00:00")</f>
        <v>25/3/2023, 17:00:00</v>
      </c>
      <c r="I3282" s="1" t="str">
        <f>IFERROR(__xludf.DUMMYFUNCTION("""COMPUTED_VALUE"""),"Completado en SUCURSAL")</f>
        <v>Completado en SUCURSAL</v>
      </c>
      <c r="J3282" s="1">
        <f t="shared" si="3"/>
        <v>5</v>
      </c>
      <c r="K3282" s="1" t="str">
        <f t="shared" si="4"/>
        <v>Tus Lentes estan LISTAS PARA ENTREGAR, te esperamos.</v>
      </c>
    </row>
    <row r="3283">
      <c r="A3283" s="1">
        <f>IFERROR(__xludf.DUMMYFUNCTION("""COMPUTED_VALUE"""),87828.0)</f>
        <v>87828</v>
      </c>
      <c r="B3283" s="5">
        <f>IFERROR(__xludf.DUMMYFUNCTION("""COMPUTED_VALUE"""),44996.43806289352)</f>
        <v>44996.43806</v>
      </c>
      <c r="C3283" s="1" t="str">
        <f>IFERROR(__xludf.DUMMYFUNCTION("""COMPUTED_VALUE"""),"TORRES FLORENCIA")</f>
        <v>TORRES FLORENCIA</v>
      </c>
      <c r="D3283" s="1" t="str">
        <f>IFERROR(__xludf.DUMMYFUNCTION("""COMPUTED_VALUE"""),"Lentes de STOCK")</f>
        <v>Lentes de STOCK</v>
      </c>
      <c r="E3283" s="1" t="str">
        <f>IFERROR(__xludf.DUMMYFUNCTION("""COMPUTED_VALUE"""),"ARTIGAS Roció")</f>
        <v>ARTIGAS Roció</v>
      </c>
      <c r="F3283" s="1" t="str">
        <f t="shared" si="1"/>
        <v>ARTIGAS </v>
      </c>
      <c r="G3283" s="1" t="str">
        <f t="shared" si="2"/>
        <v>Roció</v>
      </c>
      <c r="H3283" s="1" t="str">
        <f>IFERROR(__xludf.DUMMYFUNCTION("""COMPUTED_VALUE"""),"14/3/2023, 17:00:00")</f>
        <v>14/3/2023, 17:00:00</v>
      </c>
      <c r="I3283" s="1" t="str">
        <f>IFERROR(__xludf.DUMMYFUNCTION("""COMPUTED_VALUE"""),"Completado en SUCURSAL")</f>
        <v>Completado en SUCURSAL</v>
      </c>
      <c r="J3283" s="1">
        <f t="shared" si="3"/>
        <v>5</v>
      </c>
      <c r="K3283" s="1" t="str">
        <f t="shared" si="4"/>
        <v>Tus Lentes estan LISTAS PARA ENTREGAR, te esperamos.</v>
      </c>
    </row>
    <row r="3284">
      <c r="A3284" s="1">
        <f>IFERROR(__xludf.DUMMYFUNCTION("""COMPUTED_VALUE"""),87829.0)</f>
        <v>87829</v>
      </c>
      <c r="B3284" s="5">
        <f>IFERROR(__xludf.DUMMYFUNCTION("""COMPUTED_VALUE"""),44996.440716400466)</f>
        <v>44996.44072</v>
      </c>
      <c r="C3284" s="1" t="str">
        <f>IFERROR(__xludf.DUMMYFUNCTION("""COMPUTED_VALUE"""),"FLORES FELISA")</f>
        <v>FLORES FELISA</v>
      </c>
      <c r="D3284" s="1" t="str">
        <f>IFERROR(__xludf.DUMMYFUNCTION("""COMPUTED_VALUE"""),"Lentes de STOCK")</f>
        <v>Lentes de STOCK</v>
      </c>
      <c r="E3284" s="1" t="str">
        <f>IFERROR(__xludf.DUMMYFUNCTION("""COMPUTED_VALUE"""),"ARTIGAS Ivana P.")</f>
        <v>ARTIGAS Ivana P.</v>
      </c>
      <c r="F3284" s="1" t="str">
        <f t="shared" si="1"/>
        <v>ARTIGAS </v>
      </c>
      <c r="G3284" s="1" t="str">
        <f t="shared" si="2"/>
        <v>Ivana P.</v>
      </c>
      <c r="H3284" s="1" t="str">
        <f>IFERROR(__xludf.DUMMYFUNCTION("""COMPUTED_VALUE"""),"15/3/2023, 17:00:00")</f>
        <v>15/3/2023, 17:00:00</v>
      </c>
      <c r="I3284" s="1" t="str">
        <f>IFERROR(__xludf.DUMMYFUNCTION("""COMPUTED_VALUE"""),"Completado en SUCURSAL")</f>
        <v>Completado en SUCURSAL</v>
      </c>
      <c r="J3284" s="1">
        <f t="shared" si="3"/>
        <v>5</v>
      </c>
      <c r="K3284" s="1" t="str">
        <f t="shared" si="4"/>
        <v>Tus Lentes estan LISTAS PARA ENTREGAR, te esperamos.</v>
      </c>
    </row>
    <row r="3285">
      <c r="A3285" s="1">
        <f>IFERROR(__xludf.DUMMYFUNCTION("""COMPUTED_VALUE"""),87830.0)</f>
        <v>87830</v>
      </c>
      <c r="B3285" s="5">
        <f>IFERROR(__xludf.DUMMYFUNCTION("""COMPUTED_VALUE"""),44996.44083585648)</f>
        <v>44996.44084</v>
      </c>
      <c r="C3285" s="1" t="str">
        <f>IFERROR(__xludf.DUMMYFUNCTION("""COMPUTED_VALUE"""),"TORRES MARCOS")</f>
        <v>TORRES MARCOS</v>
      </c>
      <c r="D3285" s="1" t="str">
        <f>IFERROR(__xludf.DUMMYFUNCTION("""COMPUTED_VALUE"""),"Lentes de STOCK")</f>
        <v>Lentes de STOCK</v>
      </c>
      <c r="E3285" s="1" t="str">
        <f>IFERROR(__xludf.DUMMYFUNCTION("""COMPUTED_VALUE"""),"ARTIGAS Roció")</f>
        <v>ARTIGAS Roció</v>
      </c>
      <c r="F3285" s="1" t="str">
        <f t="shared" si="1"/>
        <v>ARTIGAS </v>
      </c>
      <c r="G3285" s="1" t="str">
        <f t="shared" si="2"/>
        <v>Roció</v>
      </c>
      <c r="H3285" s="1" t="str">
        <f>IFERROR(__xludf.DUMMYFUNCTION("""COMPUTED_VALUE"""),"20/3/2023, 17:00:00")</f>
        <v>20/3/2023, 17:00:00</v>
      </c>
      <c r="I3285" s="1" t="str">
        <f>IFERROR(__xludf.DUMMYFUNCTION("""COMPUTED_VALUE"""),"Completado en SUCURSAL")</f>
        <v>Completado en SUCURSAL</v>
      </c>
      <c r="J3285" s="1">
        <f t="shared" si="3"/>
        <v>5</v>
      </c>
      <c r="K3285" s="1" t="str">
        <f t="shared" si="4"/>
        <v>Tus Lentes estan LISTAS PARA ENTREGAR, te esperamos.</v>
      </c>
    </row>
    <row r="3286">
      <c r="A3286" s="1">
        <f>IFERROR(__xludf.DUMMYFUNCTION("""COMPUTED_VALUE"""),87831.0)</f>
        <v>87831</v>
      </c>
      <c r="B3286" s="5">
        <f>IFERROR(__xludf.DUMMYFUNCTION("""COMPUTED_VALUE"""),44996.446125393515)</f>
        <v>44996.44613</v>
      </c>
      <c r="C3286" s="1" t="str">
        <f>IFERROR(__xludf.DUMMYFUNCTION("""COMPUTED_VALUE"""),"sandrin estela")</f>
        <v>sandrin estela</v>
      </c>
      <c r="D3286" s="1" t="str">
        <f>IFERROR(__xludf.DUMMYFUNCTION("""COMPUTED_VALUE"""),"Lentes de STOCK")</f>
        <v>Lentes de STOCK</v>
      </c>
      <c r="E3286" s="1" t="str">
        <f>IFERROR(__xludf.DUMMYFUNCTION("""COMPUTED_VALUE"""),"RIVADAVIA Christian C.")</f>
        <v>RIVADAVIA Christian C.</v>
      </c>
      <c r="F3286" s="1" t="str">
        <f t="shared" si="1"/>
        <v>RIVADAVIA </v>
      </c>
      <c r="G3286" s="1" t="str">
        <f t="shared" si="2"/>
        <v>Christian C.</v>
      </c>
      <c r="H3286" s="1" t="str">
        <f>IFERROR(__xludf.DUMMYFUNCTION("""COMPUTED_VALUE"""),"16/3/2023, 17:00:00")</f>
        <v>16/3/2023, 17:00:00</v>
      </c>
      <c r="I3286" s="1" t="str">
        <f>IFERROR(__xludf.DUMMYFUNCTION("""COMPUTED_VALUE"""),"Completado en SUCURSAL")</f>
        <v>Completado en SUCURSAL</v>
      </c>
      <c r="J3286" s="1">
        <f t="shared" si="3"/>
        <v>5</v>
      </c>
      <c r="K3286" s="1" t="str">
        <f t="shared" si="4"/>
        <v>Tus Lentes estan LISTAS PARA ENTREGAR, te esperamos.</v>
      </c>
    </row>
    <row r="3287">
      <c r="A3287" s="1">
        <f>IFERROR(__xludf.DUMMYFUNCTION("""COMPUTED_VALUE"""),87832.0)</f>
        <v>87832</v>
      </c>
      <c r="B3287" s="5">
        <f>IFERROR(__xludf.DUMMYFUNCTION("""COMPUTED_VALUE"""),44996.45164077546)</f>
        <v>44996.45164</v>
      </c>
      <c r="C3287" s="1" t="str">
        <f>IFERROR(__xludf.DUMMYFUNCTION("""COMPUTED_VALUE"""),"campos adolfo ")</f>
        <v>campos adolfo </v>
      </c>
      <c r="D3287" s="1" t="str">
        <f>IFERROR(__xludf.DUMMYFUNCTION("""COMPUTED_VALUE"""),"Lentes de STOCK")</f>
        <v>Lentes de STOCK</v>
      </c>
      <c r="E3287" s="1" t="str">
        <f>IFERROR(__xludf.DUMMYFUNCTION("""COMPUTED_VALUE"""),"RIVADAVIA Santiago N")</f>
        <v>RIVADAVIA Santiago N</v>
      </c>
      <c r="F3287" s="1" t="str">
        <f t="shared" si="1"/>
        <v>RIVADAVIA </v>
      </c>
      <c r="G3287" s="1" t="str">
        <f t="shared" si="2"/>
        <v>Santiago N</v>
      </c>
      <c r="H3287" s="1" t="str">
        <f>IFERROR(__xludf.DUMMYFUNCTION("""COMPUTED_VALUE"""),"14/3/2023, 17:00:00")</f>
        <v>14/3/2023, 17:00:00</v>
      </c>
      <c r="I3287" s="1" t="str">
        <f>IFERROR(__xludf.DUMMYFUNCTION("""COMPUTED_VALUE"""),"Completado en SUCURSAL")</f>
        <v>Completado en SUCURSAL</v>
      </c>
      <c r="J3287" s="1">
        <f t="shared" si="3"/>
        <v>5</v>
      </c>
      <c r="K3287" s="1" t="str">
        <f t="shared" si="4"/>
        <v>Tus Lentes estan LISTAS PARA ENTREGAR, te esperamos.</v>
      </c>
    </row>
    <row r="3288">
      <c r="A3288" s="1">
        <f>IFERROR(__xludf.DUMMYFUNCTION("""COMPUTED_VALUE"""),87833.0)</f>
        <v>87833</v>
      </c>
      <c r="B3288" s="5">
        <f>IFERROR(__xludf.DUMMYFUNCTION("""COMPUTED_VALUE"""),44996.45329456018)</f>
        <v>44996.45329</v>
      </c>
      <c r="C3288" s="1" t="str">
        <f>IFERROR(__xludf.DUMMYFUNCTION("""COMPUTED_VALUE"""),"MOYANO GISELLA")</f>
        <v>MOYANO GISELLA</v>
      </c>
      <c r="D3288" s="1" t="str">
        <f>IFERROR(__xludf.DUMMYFUNCTION("""COMPUTED_VALUE"""),"Lentes de STOCK")</f>
        <v>Lentes de STOCK</v>
      </c>
      <c r="E3288" s="1" t="str">
        <f>IFERROR(__xludf.DUMMYFUNCTION("""COMPUTED_VALUE"""),"ARTIGAS Roció")</f>
        <v>ARTIGAS Roció</v>
      </c>
      <c r="F3288" s="1" t="str">
        <f t="shared" si="1"/>
        <v>ARTIGAS </v>
      </c>
      <c r="G3288" s="1" t="str">
        <f t="shared" si="2"/>
        <v>Roció</v>
      </c>
      <c r="H3288" s="1" t="str">
        <f>IFERROR(__xludf.DUMMYFUNCTION("""COMPUTED_VALUE"""),"20/3/2023, 17:00:00")</f>
        <v>20/3/2023, 17:00:00</v>
      </c>
      <c r="I3288" s="1" t="str">
        <f>IFERROR(__xludf.DUMMYFUNCTION("""COMPUTED_VALUE"""),"Completado en SUCURSAL")</f>
        <v>Completado en SUCURSAL</v>
      </c>
      <c r="J3288" s="1">
        <f t="shared" si="3"/>
        <v>5</v>
      </c>
      <c r="K3288" s="1" t="str">
        <f t="shared" si="4"/>
        <v>Tus Lentes estan LISTAS PARA ENTREGAR, te esperamos.</v>
      </c>
    </row>
    <row r="3289">
      <c r="A3289" s="1">
        <f>IFERROR(__xludf.DUMMYFUNCTION("""COMPUTED_VALUE"""),87834.0)</f>
        <v>87834</v>
      </c>
      <c r="B3289" s="5">
        <f>IFERROR(__xludf.DUMMYFUNCTION("""COMPUTED_VALUE"""),44996.45465858796)</f>
        <v>44996.45466</v>
      </c>
      <c r="C3289" s="1" t="str">
        <f>IFERROR(__xludf.DUMMYFUNCTION("""COMPUTED_VALUE"""),"AGUILAR MUÑOZ ")</f>
        <v>AGUILAR MUÑOZ </v>
      </c>
      <c r="D3289" s="1" t="str">
        <f>IFERROR(__xludf.DUMMYFUNCTION("""COMPUTED_VALUE"""),"Lentes de STOCK")</f>
        <v>Lentes de STOCK</v>
      </c>
      <c r="E3289" s="1" t="str">
        <f>IFERROR(__xludf.DUMMYFUNCTION("""COMPUTED_VALUE"""),"RIVADAVIA Javier")</f>
        <v>RIVADAVIA Javier</v>
      </c>
      <c r="F3289" s="1" t="str">
        <f t="shared" si="1"/>
        <v>RIVADAVIA </v>
      </c>
      <c r="G3289" s="1" t="str">
        <f t="shared" si="2"/>
        <v>Javier</v>
      </c>
      <c r="H3289" s="1" t="str">
        <f>IFERROR(__xludf.DUMMYFUNCTION("""COMPUTED_VALUE"""),"16/3/2023, 17:00:00")</f>
        <v>16/3/2023, 17:00:00</v>
      </c>
      <c r="I3289" s="1" t="str">
        <f>IFERROR(__xludf.DUMMYFUNCTION("""COMPUTED_VALUE"""),"Completado en SUCURSAL")</f>
        <v>Completado en SUCURSAL</v>
      </c>
      <c r="J3289" s="1">
        <f t="shared" si="3"/>
        <v>5</v>
      </c>
      <c r="K3289" s="1" t="str">
        <f t="shared" si="4"/>
        <v>Tus Lentes estan LISTAS PARA ENTREGAR, te esperamos.</v>
      </c>
    </row>
    <row r="3290">
      <c r="A3290" s="1">
        <f>IFERROR(__xludf.DUMMYFUNCTION("""COMPUTED_VALUE"""),87835.0)</f>
        <v>87835</v>
      </c>
      <c r="B3290" s="5">
        <f>IFERROR(__xludf.DUMMYFUNCTION("""COMPUTED_VALUE"""),44996.456434444444)</f>
        <v>44996.45643</v>
      </c>
      <c r="C3290" s="1" t="str">
        <f>IFERROR(__xludf.DUMMYFUNCTION("""COMPUTED_VALUE"""),"riesco mariana")</f>
        <v>riesco mariana</v>
      </c>
      <c r="D3290" s="1" t="str">
        <f>IFERROR(__xludf.DUMMYFUNCTION("""COMPUTED_VALUE"""),"Lentes de STOCK")</f>
        <v>Lentes de STOCK</v>
      </c>
      <c r="E3290" s="1" t="str">
        <f>IFERROR(__xludf.DUMMYFUNCTION("""COMPUTED_VALUE"""),"RIVADAVIA Santiago N")</f>
        <v>RIVADAVIA Santiago N</v>
      </c>
      <c r="F3290" s="1" t="str">
        <f t="shared" si="1"/>
        <v>RIVADAVIA </v>
      </c>
      <c r="G3290" s="1" t="str">
        <f t="shared" si="2"/>
        <v>Santiago N</v>
      </c>
      <c r="H3290" s="1" t="str">
        <f>IFERROR(__xludf.DUMMYFUNCTION("""COMPUTED_VALUE"""),"14/3/2023, 17:00:00")</f>
        <v>14/3/2023, 17:00:00</v>
      </c>
      <c r="I3290" s="1" t="str">
        <f>IFERROR(__xludf.DUMMYFUNCTION("""COMPUTED_VALUE"""),"Completado en SUCURSAL")</f>
        <v>Completado en SUCURSAL</v>
      </c>
      <c r="J3290" s="1">
        <f t="shared" si="3"/>
        <v>5</v>
      </c>
      <c r="K3290" s="1" t="str">
        <f t="shared" si="4"/>
        <v>Tus Lentes estan LISTAS PARA ENTREGAR, te esperamos.</v>
      </c>
    </row>
    <row r="3291">
      <c r="A3291" s="1">
        <f>IFERROR(__xludf.DUMMYFUNCTION("""COMPUTED_VALUE"""),87836.0)</f>
        <v>87836</v>
      </c>
      <c r="B3291" s="5">
        <f>IFERROR(__xludf.DUMMYFUNCTION("""COMPUTED_VALUE"""),44996.46335909722)</f>
        <v>44996.46336</v>
      </c>
      <c r="C3291" s="1" t="str">
        <f>IFERROR(__xludf.DUMMYFUNCTION("""COMPUTED_VALUE"""),"CASTRO LARRONDO JAVIERA")</f>
        <v>CASTRO LARRONDO JAVIERA</v>
      </c>
      <c r="D3291" s="1" t="str">
        <f>IFERROR(__xludf.DUMMYFUNCTION("""COMPUTED_VALUE"""),"Reparaciones/Otros")</f>
        <v>Reparaciones/Otros</v>
      </c>
      <c r="E3291" s="1" t="str">
        <f>IFERROR(__xludf.DUMMYFUNCTION("""COMPUTED_VALUE"""),"RIVADAVIA Santiago N")</f>
        <v>RIVADAVIA Santiago N</v>
      </c>
      <c r="F3291" s="1" t="str">
        <f t="shared" si="1"/>
        <v>RIVADAVIA </v>
      </c>
      <c r="G3291" s="1" t="str">
        <f t="shared" si="2"/>
        <v>Santiago N</v>
      </c>
      <c r="H3291" s="1" t="str">
        <f>IFERROR(__xludf.DUMMYFUNCTION("""COMPUTED_VALUE"""),"13/3/2023, 17:00:00")</f>
        <v>13/3/2023, 17:00:00</v>
      </c>
      <c r="I3291" s="1" t="str">
        <f>IFERROR(__xludf.DUMMYFUNCTION("""COMPUTED_VALUE"""),"Completado en SUCURSAL")</f>
        <v>Completado en SUCURSAL</v>
      </c>
      <c r="J3291" s="1">
        <f t="shared" si="3"/>
        <v>5</v>
      </c>
      <c r="K3291" s="1" t="str">
        <f t="shared" si="4"/>
        <v>Tus Lentes estan LISTAS PARA ENTREGAR, te esperamos.</v>
      </c>
    </row>
    <row r="3292">
      <c r="A3292" s="1">
        <f>IFERROR(__xludf.DUMMYFUNCTION("""COMPUTED_VALUE"""),87837.0)</f>
        <v>87837</v>
      </c>
      <c r="B3292" s="5">
        <f>IFERROR(__xludf.DUMMYFUNCTION("""COMPUTED_VALUE"""),44996.465554131944)</f>
        <v>44996.46555</v>
      </c>
      <c r="C3292" s="1" t="str">
        <f>IFERROR(__xludf.DUMMYFUNCTION("""COMPUTED_VALUE"""),"Lorenzo Vique ")</f>
        <v>Lorenzo Vique </v>
      </c>
      <c r="D3292" s="1" t="str">
        <f>IFERROR(__xludf.DUMMYFUNCTION("""COMPUTED_VALUE"""),"Reparaciones/Otros")</f>
        <v>Reparaciones/Otros</v>
      </c>
      <c r="E3292" s="1" t="str">
        <f>IFERROR(__xludf.DUMMYFUNCTION("""COMPUTED_VALUE"""),"ARTIGAS Micaela")</f>
        <v>ARTIGAS Micaela</v>
      </c>
      <c r="F3292" s="1" t="str">
        <f t="shared" si="1"/>
        <v>ARTIGAS </v>
      </c>
      <c r="G3292" s="1" t="str">
        <f t="shared" si="2"/>
        <v>Micaela</v>
      </c>
      <c r="H3292" s="1" t="str">
        <f>IFERROR(__xludf.DUMMYFUNCTION("""COMPUTED_VALUE"""),"13/3/2023, 17:00:00")</f>
        <v>13/3/2023, 17:00:00</v>
      </c>
      <c r="I3292" s="1"/>
      <c r="J3292" s="1">
        <f t="shared" si="3"/>
        <v>0</v>
      </c>
      <c r="K3292" s="1" t="str">
        <f t="shared" si="4"/>
        <v/>
      </c>
    </row>
    <row r="3293">
      <c r="A3293" s="1">
        <f>IFERROR(__xludf.DUMMYFUNCTION("""COMPUTED_VALUE"""),87838.0)</f>
        <v>87838</v>
      </c>
      <c r="B3293" s="5">
        <f>IFERROR(__xludf.DUMMYFUNCTION("""COMPUTED_VALUE"""),44996.46955543981)</f>
        <v>44996.46956</v>
      </c>
      <c r="C3293" s="1" t="str">
        <f>IFERROR(__xludf.DUMMYFUNCTION("""COMPUTED_VALUE"""),"MAURE CARLOS ANTONIO")</f>
        <v>MAURE CARLOS ANTONIO</v>
      </c>
      <c r="D3293" s="1" t="str">
        <f>IFERROR(__xludf.DUMMYFUNCTION("""COMPUTED_VALUE"""),"Reparaciones/Otros")</f>
        <v>Reparaciones/Otros</v>
      </c>
      <c r="E3293" s="1" t="str">
        <f>IFERROR(__xludf.DUMMYFUNCTION("""COMPUTED_VALUE"""),"ARTIGAS Roció")</f>
        <v>ARTIGAS Roció</v>
      </c>
      <c r="F3293" s="1" t="str">
        <f t="shared" si="1"/>
        <v>ARTIGAS </v>
      </c>
      <c r="G3293" s="1" t="str">
        <f t="shared" si="2"/>
        <v>Roció</v>
      </c>
      <c r="H3293" s="1" t="str">
        <f>IFERROR(__xludf.DUMMYFUNCTION("""COMPUTED_VALUE"""),"14/3/2023, 17:00:00")</f>
        <v>14/3/2023, 17:00:00</v>
      </c>
      <c r="I3293" s="1" t="str">
        <f>IFERROR(__xludf.DUMMYFUNCTION("""COMPUTED_VALUE"""),"Completado en SUCURSAL")</f>
        <v>Completado en SUCURSAL</v>
      </c>
      <c r="J3293" s="1">
        <f t="shared" si="3"/>
        <v>5</v>
      </c>
      <c r="K3293" s="1" t="str">
        <f t="shared" si="4"/>
        <v>Tus Lentes estan LISTAS PARA ENTREGAR, te esperamos.</v>
      </c>
    </row>
    <row r="3294">
      <c r="A3294" s="1">
        <f>IFERROR(__xludf.DUMMYFUNCTION("""COMPUTED_VALUE"""),87839.0)</f>
        <v>87839</v>
      </c>
      <c r="B3294" s="5">
        <f>IFERROR(__xludf.DUMMYFUNCTION("""COMPUTED_VALUE"""),44996.47548314815)</f>
        <v>44996.47548</v>
      </c>
      <c r="C3294" s="1" t="str">
        <f>IFERROR(__xludf.DUMMYFUNCTION("""COMPUTED_VALUE"""),"OCHOA PEREYRA ZAHIRA")</f>
        <v>OCHOA PEREYRA ZAHIRA</v>
      </c>
      <c r="D3294" s="1" t="str">
        <f>IFERROR(__xludf.DUMMYFUNCTION("""COMPUTED_VALUE"""),"Lentes de STOCK")</f>
        <v>Lentes de STOCK</v>
      </c>
      <c r="E3294" s="1" t="str">
        <f>IFERROR(__xludf.DUMMYFUNCTION("""COMPUTED_VALUE"""),"RIVADAVIA Luciana")</f>
        <v>RIVADAVIA Luciana</v>
      </c>
      <c r="F3294" s="1" t="str">
        <f t="shared" si="1"/>
        <v>RIVADAVIA </v>
      </c>
      <c r="G3294" s="1" t="str">
        <f t="shared" si="2"/>
        <v>Luciana</v>
      </c>
      <c r="H3294" s="1" t="str">
        <f>IFERROR(__xludf.DUMMYFUNCTION("""COMPUTED_VALUE"""),"15/3/2023, 17:00:00")</f>
        <v>15/3/2023, 17:00:00</v>
      </c>
      <c r="I3294" s="1" t="str">
        <f>IFERROR(__xludf.DUMMYFUNCTION("""COMPUTED_VALUE"""),"Completado en SUCURSAL")</f>
        <v>Completado en SUCURSAL</v>
      </c>
      <c r="J3294" s="1">
        <f t="shared" si="3"/>
        <v>5</v>
      </c>
      <c r="K3294" s="1" t="str">
        <f t="shared" si="4"/>
        <v>Tus Lentes estan LISTAS PARA ENTREGAR, te esperamos.</v>
      </c>
    </row>
    <row r="3295">
      <c r="A3295" s="1">
        <f>IFERROR(__xludf.DUMMYFUNCTION("""COMPUTED_VALUE"""),87840.0)</f>
        <v>87840</v>
      </c>
      <c r="B3295" s="5">
        <f>IFERROR(__xludf.DUMMYFUNCTION("""COMPUTED_VALUE"""),44996.48213001157)</f>
        <v>44996.48213</v>
      </c>
      <c r="C3295" s="1" t="str">
        <f>IFERROR(__xludf.DUMMYFUNCTION("""COMPUTED_VALUE"""),"PELAEZ NORMA ELIDA")</f>
        <v>PELAEZ NORMA ELIDA</v>
      </c>
      <c r="D3295" s="1" t="str">
        <f>IFERROR(__xludf.DUMMYFUNCTION("""COMPUTED_VALUE"""),"Lentes de STOCK")</f>
        <v>Lentes de STOCK</v>
      </c>
      <c r="E3295" s="1" t="str">
        <f>IFERROR(__xludf.DUMMYFUNCTION("""COMPUTED_VALUE"""),"RIVADAVIA Daniel CM")</f>
        <v>RIVADAVIA Daniel CM</v>
      </c>
      <c r="F3295" s="1" t="str">
        <f t="shared" si="1"/>
        <v>RIVADAVIA </v>
      </c>
      <c r="G3295" s="1" t="str">
        <f t="shared" si="2"/>
        <v>Daniel CM</v>
      </c>
      <c r="H3295" s="1" t="str">
        <f>IFERROR(__xludf.DUMMYFUNCTION("""COMPUTED_VALUE"""),"15/3/2023, 17:00:00")</f>
        <v>15/3/2023, 17:00:00</v>
      </c>
      <c r="I3295" s="1" t="str">
        <f>IFERROR(__xludf.DUMMYFUNCTION("""COMPUTED_VALUE"""),"Completado en SUCURSAL")</f>
        <v>Completado en SUCURSAL</v>
      </c>
      <c r="J3295" s="1">
        <f t="shared" si="3"/>
        <v>5</v>
      </c>
      <c r="K3295" s="1" t="str">
        <f t="shared" si="4"/>
        <v>Tus Lentes estan LISTAS PARA ENTREGAR, te esperamos.</v>
      </c>
    </row>
    <row r="3296">
      <c r="A3296" s="1">
        <f>IFERROR(__xludf.DUMMYFUNCTION("""COMPUTED_VALUE"""),87841.0)</f>
        <v>87841</v>
      </c>
      <c r="B3296" s="5">
        <f>IFERROR(__xludf.DUMMYFUNCTION("""COMPUTED_VALUE"""),44996.48901388889)</f>
        <v>44996.48901</v>
      </c>
      <c r="C3296" s="1" t="str">
        <f>IFERROR(__xludf.DUMMYFUNCTION("""COMPUTED_VALUE"""),"LUCERO MICAELA")</f>
        <v>LUCERO MICAELA</v>
      </c>
      <c r="D3296" s="1" t="str">
        <f>IFERROR(__xludf.DUMMYFUNCTION("""COMPUTED_VALUE"""),"Lentes de STOCK")</f>
        <v>Lentes de STOCK</v>
      </c>
      <c r="E3296" s="1" t="str">
        <f>IFERROR(__xludf.DUMMYFUNCTION("""COMPUTED_VALUE"""),"ARTIGAS Ivana P.")</f>
        <v>ARTIGAS Ivana P.</v>
      </c>
      <c r="F3296" s="1" t="str">
        <f t="shared" si="1"/>
        <v>ARTIGAS </v>
      </c>
      <c r="G3296" s="1" t="str">
        <f t="shared" si="2"/>
        <v>Ivana P.</v>
      </c>
      <c r="H3296" s="1" t="str">
        <f>IFERROR(__xludf.DUMMYFUNCTION("""COMPUTED_VALUE"""),"15/3/2023, 17:00:00")</f>
        <v>15/3/2023, 17:00:00</v>
      </c>
      <c r="I3296" s="1" t="str">
        <f>IFERROR(__xludf.DUMMYFUNCTION("""COMPUTED_VALUE"""),"Completado en SUCURSAL")</f>
        <v>Completado en SUCURSAL</v>
      </c>
      <c r="J3296" s="1">
        <f t="shared" si="3"/>
        <v>5</v>
      </c>
      <c r="K3296" s="1" t="str">
        <f t="shared" si="4"/>
        <v>Tus Lentes estan LISTAS PARA ENTREGAR, te esperamos.</v>
      </c>
    </row>
    <row r="3297">
      <c r="A3297" s="1">
        <f>IFERROR(__xludf.DUMMYFUNCTION("""COMPUTED_VALUE"""),87842.0)</f>
        <v>87842</v>
      </c>
      <c r="B3297" s="5">
        <f>IFERROR(__xludf.DUMMYFUNCTION("""COMPUTED_VALUE"""),44996.49494956019)</f>
        <v>44996.49495</v>
      </c>
      <c r="C3297" s="1" t="str">
        <f>IFERROR(__xludf.DUMMYFUNCTION("""COMPUTED_VALUE"""),"MUÑOZ ROSA")</f>
        <v>MUÑOZ ROSA</v>
      </c>
      <c r="D3297" s="1" t="str">
        <f>IFERROR(__xludf.DUMMYFUNCTION("""COMPUTED_VALUE"""),"Reparaciones/Otros")</f>
        <v>Reparaciones/Otros</v>
      </c>
      <c r="E3297" s="1" t="str">
        <f>IFERROR(__xludf.DUMMYFUNCTION("""COMPUTED_VALUE"""),"RIVADAVIA Luciana")</f>
        <v>RIVADAVIA Luciana</v>
      </c>
      <c r="F3297" s="1" t="str">
        <f t="shared" si="1"/>
        <v>RIVADAVIA </v>
      </c>
      <c r="G3297" s="1" t="str">
        <f t="shared" si="2"/>
        <v>Luciana</v>
      </c>
      <c r="H3297" s="1" t="str">
        <f>IFERROR(__xludf.DUMMYFUNCTION("""COMPUTED_VALUE"""),"14/3/2023, 17:00:00")</f>
        <v>14/3/2023, 17:00:00</v>
      </c>
      <c r="I3297" s="1" t="str">
        <f>IFERROR(__xludf.DUMMYFUNCTION("""COMPUTED_VALUE"""),"Completado en SUCURSAL")</f>
        <v>Completado en SUCURSAL</v>
      </c>
      <c r="J3297" s="1">
        <f t="shared" si="3"/>
        <v>5</v>
      </c>
      <c r="K3297" s="1" t="str">
        <f t="shared" si="4"/>
        <v>Tus Lentes estan LISTAS PARA ENTREGAR, te esperamos.</v>
      </c>
    </row>
    <row r="3298">
      <c r="A3298" s="1">
        <f>IFERROR(__xludf.DUMMYFUNCTION("""COMPUTED_VALUE"""),87843.0)</f>
        <v>87843</v>
      </c>
      <c r="B3298" s="5">
        <f>IFERROR(__xludf.DUMMYFUNCTION("""COMPUTED_VALUE"""),44996.504994131945)</f>
        <v>44996.50499</v>
      </c>
      <c r="C3298" s="1" t="str">
        <f>IFERROR(__xludf.DUMMYFUNCTION("""COMPUTED_VALUE"""),"CLAUDIA ELIZABETH NOVOA")</f>
        <v>CLAUDIA ELIZABETH NOVOA</v>
      </c>
      <c r="D3298" s="1" t="str">
        <f>IFERROR(__xludf.DUMMYFUNCTION("""COMPUTED_VALUE"""),"Lentes de LABORATORIO")</f>
        <v>Lentes de LABORATORIO</v>
      </c>
      <c r="E3298" s="1" t="str">
        <f>IFERROR(__xludf.DUMMYFUNCTION("""COMPUTED_VALUE"""),"RIVADAVIA Javier")</f>
        <v>RIVADAVIA Javier</v>
      </c>
      <c r="F3298" s="1" t="str">
        <f t="shared" si="1"/>
        <v>RIVADAVIA </v>
      </c>
      <c r="G3298" s="1" t="str">
        <f t="shared" si="2"/>
        <v>Javier</v>
      </c>
      <c r="H3298" s="1" t="str">
        <f>IFERROR(__xludf.DUMMYFUNCTION("""COMPUTED_VALUE"""),"27/3/2023, 17:00:00")</f>
        <v>27/3/2023, 17:00:00</v>
      </c>
      <c r="I3298" s="1" t="str">
        <f>IFERROR(__xludf.DUMMYFUNCTION("""COMPUTED_VALUE"""),"RETIRADO OK POR CLIENTE")</f>
        <v>RETIRADO OK POR CLIENTE</v>
      </c>
      <c r="J3298" s="1">
        <f t="shared" si="3"/>
        <v>6</v>
      </c>
      <c r="K3298" s="1" t="str">
        <f t="shared" si="4"/>
        <v>Entregamos tus lentes, que los disfrutes!</v>
      </c>
    </row>
    <row r="3299">
      <c r="A3299" s="1">
        <f>IFERROR(__xludf.DUMMYFUNCTION("""COMPUTED_VALUE"""),87844.0)</f>
        <v>87844</v>
      </c>
      <c r="B3299" s="5">
        <f>IFERROR(__xludf.DUMMYFUNCTION("""COMPUTED_VALUE"""),44996.507620868055)</f>
        <v>44996.50762</v>
      </c>
      <c r="C3299" s="1" t="str">
        <f>IFERROR(__xludf.DUMMYFUNCTION("""COMPUTED_VALUE"""),"MIERES MIGUEL ALBERTO")</f>
        <v>MIERES MIGUEL ALBERTO</v>
      </c>
      <c r="D3299" s="1" t="str">
        <f>IFERROR(__xludf.DUMMYFUNCTION("""COMPUTED_VALUE"""),"Lentes de STOCK")</f>
        <v>Lentes de STOCK</v>
      </c>
      <c r="E3299" s="1" t="str">
        <f>IFERROR(__xludf.DUMMYFUNCTION("""COMPUTED_VALUE"""),"RIVADAVIA Javier")</f>
        <v>RIVADAVIA Javier</v>
      </c>
      <c r="F3299" s="1" t="str">
        <f t="shared" si="1"/>
        <v>RIVADAVIA </v>
      </c>
      <c r="G3299" s="1" t="str">
        <f t="shared" si="2"/>
        <v>Javier</v>
      </c>
      <c r="H3299" s="1" t="str">
        <f>IFERROR(__xludf.DUMMYFUNCTION("""COMPUTED_VALUE"""),"16/3/2023, 17:00:00")</f>
        <v>16/3/2023, 17:00:00</v>
      </c>
      <c r="I3299" s="1" t="str">
        <f>IFERROR(__xludf.DUMMYFUNCTION("""COMPUTED_VALUE"""),"RETIRADO OK POR CLIENTE")</f>
        <v>RETIRADO OK POR CLIENTE</v>
      </c>
      <c r="J3299" s="1">
        <f t="shared" si="3"/>
        <v>6</v>
      </c>
      <c r="K3299" s="1" t="str">
        <f t="shared" si="4"/>
        <v>Entregamos tus lentes, que los disfrutes!</v>
      </c>
    </row>
    <row r="3300">
      <c r="A3300" s="1">
        <f>IFERROR(__xludf.DUMMYFUNCTION("""COMPUTED_VALUE"""),87845.0)</f>
        <v>87845</v>
      </c>
      <c r="B3300" s="5">
        <f>IFERROR(__xludf.DUMMYFUNCTION("""COMPUTED_VALUE"""),44996.51378664352)</f>
        <v>44996.51379</v>
      </c>
      <c r="C3300" s="1" t="str">
        <f>IFERROR(__xludf.DUMMYFUNCTION("""COMPUTED_VALUE"""),"MARTINEZ TERESA")</f>
        <v>MARTINEZ TERESA</v>
      </c>
      <c r="D3300" s="1" t="str">
        <f>IFERROR(__xludf.DUMMYFUNCTION("""COMPUTED_VALUE"""),"Lentes de STOCK")</f>
        <v>Lentes de STOCK</v>
      </c>
      <c r="E3300" s="1" t="str">
        <f>IFERROR(__xludf.DUMMYFUNCTION("""COMPUTED_VALUE"""),"ARTIGAS Ivana P.")</f>
        <v>ARTIGAS Ivana P.</v>
      </c>
      <c r="F3300" s="1" t="str">
        <f t="shared" si="1"/>
        <v>ARTIGAS </v>
      </c>
      <c r="G3300" s="1" t="str">
        <f t="shared" si="2"/>
        <v>Ivana P.</v>
      </c>
      <c r="H3300" s="1" t="str">
        <f>IFERROR(__xludf.DUMMYFUNCTION("""COMPUTED_VALUE"""),"15/3/2023, 17:00:00")</f>
        <v>15/3/2023, 17:00:00</v>
      </c>
      <c r="I3300" s="1" t="str">
        <f>IFERROR(__xludf.DUMMYFUNCTION("""COMPUTED_VALUE"""),"Completado en SUCURSAL")</f>
        <v>Completado en SUCURSAL</v>
      </c>
      <c r="J3300" s="1">
        <f t="shared" si="3"/>
        <v>5</v>
      </c>
      <c r="K3300" s="1" t="str">
        <f t="shared" si="4"/>
        <v>Tus Lentes estan LISTAS PARA ENTREGAR, te esperamos.</v>
      </c>
    </row>
    <row r="3301">
      <c r="A3301" s="1">
        <f>IFERROR(__xludf.DUMMYFUNCTION("""COMPUTED_VALUE"""),87846.0)</f>
        <v>87846</v>
      </c>
      <c r="B3301" s="5">
        <f>IFERROR(__xludf.DUMMYFUNCTION("""COMPUTED_VALUE"""),44996.5298243287)</f>
        <v>44996.52982</v>
      </c>
      <c r="C3301" s="1" t="str">
        <f>IFERROR(__xludf.DUMMYFUNCTION("""COMPUTED_VALUE"""),"PERALTA GRACIELA")</f>
        <v>PERALTA GRACIELA</v>
      </c>
      <c r="D3301" s="1" t="str">
        <f>IFERROR(__xludf.DUMMYFUNCTION("""COMPUTED_VALUE"""),"Reparaciones/Otros")</f>
        <v>Reparaciones/Otros</v>
      </c>
      <c r="E3301" s="1" t="str">
        <f>IFERROR(__xludf.DUMMYFUNCTION("""COMPUTED_VALUE"""),"RIVADAVIA Javier")</f>
        <v>RIVADAVIA Javier</v>
      </c>
      <c r="F3301" s="1" t="str">
        <f t="shared" si="1"/>
        <v>RIVADAVIA </v>
      </c>
      <c r="G3301" s="1" t="str">
        <f t="shared" si="2"/>
        <v>Javier</v>
      </c>
      <c r="H3301" s="1" t="str">
        <f>IFERROR(__xludf.DUMMYFUNCTION("""COMPUTED_VALUE"""),"13/3/2023, 17:00:00")</f>
        <v>13/3/2023, 17:00:00</v>
      </c>
      <c r="I3301" s="1" t="str">
        <f>IFERROR(__xludf.DUMMYFUNCTION("""COMPUTED_VALUE"""),"Completado en SUCURSAL")</f>
        <v>Completado en SUCURSAL</v>
      </c>
      <c r="J3301" s="1">
        <f t="shared" si="3"/>
        <v>5</v>
      </c>
      <c r="K3301" s="1" t="str">
        <f t="shared" si="4"/>
        <v>Tus Lentes estan LISTAS PARA ENTREGAR, te esperamos.</v>
      </c>
    </row>
    <row r="3302">
      <c r="A3302" s="1">
        <f>IFERROR(__xludf.DUMMYFUNCTION("""COMPUTED_VALUE"""),87847.0)</f>
        <v>87847</v>
      </c>
      <c r="B3302" s="5">
        <f>IFERROR(__xludf.DUMMYFUNCTION("""COMPUTED_VALUE"""),44996.54108232639)</f>
        <v>44996.54108</v>
      </c>
      <c r="C3302" s="1" t="str">
        <f>IFERROR(__xludf.DUMMYFUNCTION("""COMPUTED_VALUE"""),"PEREZ LAUGA VICTORIA ")</f>
        <v>PEREZ LAUGA VICTORIA </v>
      </c>
      <c r="D3302" s="1" t="str">
        <f>IFERROR(__xludf.DUMMYFUNCTION("""COMPUTED_VALUE"""),"Lentes de STOCK")</f>
        <v>Lentes de STOCK</v>
      </c>
      <c r="E3302" s="1" t="str">
        <f>IFERROR(__xludf.DUMMYFUNCTION("""COMPUTED_VALUE"""),"RIVADAVIA Luciana")</f>
        <v>RIVADAVIA Luciana</v>
      </c>
      <c r="F3302" s="1" t="str">
        <f t="shared" si="1"/>
        <v>RIVADAVIA </v>
      </c>
      <c r="G3302" s="1" t="str">
        <f t="shared" si="2"/>
        <v>Luciana</v>
      </c>
      <c r="H3302" s="1" t="str">
        <f>IFERROR(__xludf.DUMMYFUNCTION("""COMPUTED_VALUE"""),"17/3/2023, 17:00:00")</f>
        <v>17/3/2023, 17:00:00</v>
      </c>
      <c r="I3302" s="1" t="str">
        <f>IFERROR(__xludf.DUMMYFUNCTION("""COMPUTED_VALUE"""),"Completado en SUCURSAL")</f>
        <v>Completado en SUCURSAL</v>
      </c>
      <c r="J3302" s="1">
        <f t="shared" si="3"/>
        <v>5</v>
      </c>
      <c r="K3302" s="1" t="str">
        <f t="shared" si="4"/>
        <v>Tus Lentes estan LISTAS PARA ENTREGAR, te esperamos.</v>
      </c>
    </row>
    <row r="3303">
      <c r="A3303" s="1">
        <f>IFERROR(__xludf.DUMMYFUNCTION("""COMPUTED_VALUE"""),87848.0)</f>
        <v>87848</v>
      </c>
      <c r="B3303" s="5">
        <f>IFERROR(__xludf.DUMMYFUNCTION("""COMPUTED_VALUE"""),44996.54300070602)</f>
        <v>44996.543</v>
      </c>
      <c r="C3303" s="1" t="str">
        <f>IFERROR(__xludf.DUMMYFUNCTION("""COMPUTED_VALUE"""),"SOSABEATRIZ CARINA")</f>
        <v>SOSABEATRIZ CARINA</v>
      </c>
      <c r="D3303" s="1" t="str">
        <f>IFERROR(__xludf.DUMMYFUNCTION("""COMPUTED_VALUE"""),"Lentes MULTIFOCALES")</f>
        <v>Lentes MULTIFOCALES</v>
      </c>
      <c r="E3303" s="1" t="str">
        <f>IFERROR(__xludf.DUMMYFUNCTION("""COMPUTED_VALUE"""),"ARTIGAS Ivana P.")</f>
        <v>ARTIGAS Ivana P.</v>
      </c>
      <c r="F3303" s="1" t="str">
        <f t="shared" si="1"/>
        <v>ARTIGAS </v>
      </c>
      <c r="G3303" s="1" t="str">
        <f t="shared" si="2"/>
        <v>Ivana P.</v>
      </c>
      <c r="H3303" s="1" t="str">
        <f>IFERROR(__xludf.DUMMYFUNCTION("""COMPUTED_VALUE"""),"25/3/2023, 17:00:00")</f>
        <v>25/3/2023, 17:00:00</v>
      </c>
      <c r="I3303" s="1" t="str">
        <f>IFERROR(__xludf.DUMMYFUNCTION("""COMPUTED_VALUE"""),"Completado en SUCURSAL")</f>
        <v>Completado en SUCURSAL</v>
      </c>
      <c r="J3303" s="1">
        <f t="shared" si="3"/>
        <v>5</v>
      </c>
      <c r="K3303" s="1" t="str">
        <f t="shared" si="4"/>
        <v>Tus Lentes estan LISTAS PARA ENTREGAR, te esperamos.</v>
      </c>
    </row>
    <row r="3304">
      <c r="A3304" s="1">
        <f>IFERROR(__xludf.DUMMYFUNCTION("""COMPUTED_VALUE"""),87849.0)</f>
        <v>87849</v>
      </c>
      <c r="B3304" s="5">
        <f>IFERROR(__xludf.DUMMYFUNCTION("""COMPUTED_VALUE"""),44998.38530877315)</f>
        <v>44998.38531</v>
      </c>
      <c r="C3304" s="1" t="str">
        <f>IFERROR(__xludf.DUMMYFUNCTION("""COMPUTED_VALUE"""),"fernandez hernandez zorime")</f>
        <v>fernandez hernandez zorime</v>
      </c>
      <c r="D3304" s="1" t="str">
        <f>IFERROR(__xludf.DUMMYFUNCTION("""COMPUTED_VALUE"""),"Lentes de STOCK")</f>
        <v>Lentes de STOCK</v>
      </c>
      <c r="E3304" s="1" t="str">
        <f>IFERROR(__xludf.DUMMYFUNCTION("""COMPUTED_VALUE"""),"RIVADAVIA Santiago N")</f>
        <v>RIVADAVIA Santiago N</v>
      </c>
      <c r="F3304" s="1" t="str">
        <f t="shared" si="1"/>
        <v>RIVADAVIA </v>
      </c>
      <c r="G3304" s="1" t="str">
        <f t="shared" si="2"/>
        <v>Santiago N</v>
      </c>
      <c r="H3304" s="1" t="str">
        <f>IFERROR(__xludf.DUMMYFUNCTION("""COMPUTED_VALUE"""),"15/3/2023, 17:00:00")</f>
        <v>15/3/2023, 17:00:00</v>
      </c>
      <c r="I3304" s="1" t="str">
        <f>IFERROR(__xludf.DUMMYFUNCTION("""COMPUTED_VALUE"""),"Completado en SUCURSAL")</f>
        <v>Completado en SUCURSAL</v>
      </c>
      <c r="J3304" s="1">
        <f t="shared" si="3"/>
        <v>5</v>
      </c>
      <c r="K3304" s="1" t="str">
        <f t="shared" si="4"/>
        <v>Tus Lentes estan LISTAS PARA ENTREGAR, te esperamos.</v>
      </c>
    </row>
    <row r="3305">
      <c r="A3305" s="1">
        <f>IFERROR(__xludf.DUMMYFUNCTION("""COMPUTED_VALUE"""),87850.0)</f>
        <v>87850</v>
      </c>
      <c r="B3305" s="5">
        <f>IFERROR(__xludf.DUMMYFUNCTION("""COMPUTED_VALUE"""),44998.39597239583)</f>
        <v>44998.39597</v>
      </c>
      <c r="C3305" s="1" t="str">
        <f>IFERROR(__xludf.DUMMYFUNCTION("""COMPUTED_VALUE"""),"carrasco sosa tahiel")</f>
        <v>carrasco sosa tahiel</v>
      </c>
      <c r="D3305" s="1" t="str">
        <f>IFERROR(__xludf.DUMMYFUNCTION("""COMPUTED_VALUE"""),"Lentes de STOCK")</f>
        <v>Lentes de STOCK</v>
      </c>
      <c r="E3305" s="1" t="str">
        <f>IFERROR(__xludf.DUMMYFUNCTION("""COMPUTED_VALUE"""),"ARTIGAS Roció")</f>
        <v>ARTIGAS Roció</v>
      </c>
      <c r="F3305" s="1" t="str">
        <f t="shared" si="1"/>
        <v>ARTIGAS </v>
      </c>
      <c r="G3305" s="1" t="str">
        <f t="shared" si="2"/>
        <v>Roció</v>
      </c>
      <c r="H3305" s="1" t="str">
        <f>IFERROR(__xludf.DUMMYFUNCTION("""COMPUTED_VALUE"""),"20/3/2023, 17:00:00")</f>
        <v>20/3/2023, 17:00:00</v>
      </c>
      <c r="I3305" s="1" t="str">
        <f>IFERROR(__xludf.DUMMYFUNCTION("""COMPUTED_VALUE"""),"Completado en SUCURSAL")</f>
        <v>Completado en SUCURSAL</v>
      </c>
      <c r="J3305" s="1">
        <f t="shared" si="3"/>
        <v>5</v>
      </c>
      <c r="K3305" s="1" t="str">
        <f t="shared" si="4"/>
        <v>Tus Lentes estan LISTAS PARA ENTREGAR, te esperamos.</v>
      </c>
    </row>
    <row r="3306">
      <c r="A3306" s="1">
        <f>IFERROR(__xludf.DUMMYFUNCTION("""COMPUTED_VALUE"""),87851.0)</f>
        <v>87851</v>
      </c>
      <c r="B3306" s="5">
        <f>IFERROR(__xludf.DUMMYFUNCTION("""COMPUTED_VALUE"""),44998.39635063657)</f>
        <v>44998.39635</v>
      </c>
      <c r="C3306" s="1" t="str">
        <f>IFERROR(__xludf.DUMMYFUNCTION("""COMPUTED_VALUE"""),"oddi Daniel")</f>
        <v>oddi Daniel</v>
      </c>
      <c r="D3306" s="1" t="str">
        <f>IFERROR(__xludf.DUMMYFUNCTION("""COMPUTED_VALUE"""),"Reparaciones/Otros")</f>
        <v>Reparaciones/Otros</v>
      </c>
      <c r="E3306" s="1" t="str">
        <f>IFERROR(__xludf.DUMMYFUNCTION("""COMPUTED_VALUE"""),"ARTIGAS Sandra G")</f>
        <v>ARTIGAS Sandra G</v>
      </c>
      <c r="F3306" s="1" t="str">
        <f t="shared" si="1"/>
        <v>ARTIGAS </v>
      </c>
      <c r="G3306" s="1" t="str">
        <f t="shared" si="2"/>
        <v>Sandra G</v>
      </c>
      <c r="H3306" s="1" t="str">
        <f>IFERROR(__xludf.DUMMYFUNCTION("""COMPUTED_VALUE"""),"14/3/2023, 17:00:00")</f>
        <v>14/3/2023, 17:00:00</v>
      </c>
      <c r="I3306" s="1"/>
      <c r="J3306" s="1">
        <f t="shared" si="3"/>
        <v>0</v>
      </c>
      <c r="K3306" s="1" t="str">
        <f t="shared" si="4"/>
        <v/>
      </c>
    </row>
    <row r="3307">
      <c r="A3307" s="1">
        <f>IFERROR(__xludf.DUMMYFUNCTION("""COMPUTED_VALUE"""),87852.0)</f>
        <v>87852</v>
      </c>
      <c r="B3307" s="5">
        <f>IFERROR(__xludf.DUMMYFUNCTION("""COMPUTED_VALUE"""),44998.39885153935)</f>
        <v>44998.39885</v>
      </c>
      <c r="C3307" s="1" t="str">
        <f>IFERROR(__xludf.DUMMYFUNCTION("""COMPUTED_VALUE"""),"VAGARIA MARCELO")</f>
        <v>VAGARIA MARCELO</v>
      </c>
      <c r="D3307" s="1" t="str">
        <f>IFERROR(__xludf.DUMMYFUNCTION("""COMPUTED_VALUE"""),"Lentes de STOCK")</f>
        <v>Lentes de STOCK</v>
      </c>
      <c r="E3307" s="1" t="str">
        <f>IFERROR(__xludf.DUMMYFUNCTION("""COMPUTED_VALUE"""),"ARTIGAS Ivana P.")</f>
        <v>ARTIGAS Ivana P.</v>
      </c>
      <c r="F3307" s="1" t="str">
        <f t="shared" si="1"/>
        <v>ARTIGAS </v>
      </c>
      <c r="G3307" s="1" t="str">
        <f t="shared" si="2"/>
        <v>Ivana P.</v>
      </c>
      <c r="H3307" s="1" t="str">
        <f>IFERROR(__xludf.DUMMYFUNCTION("""COMPUTED_VALUE"""),"16/3/2023, 17:00:00")</f>
        <v>16/3/2023, 17:00:00</v>
      </c>
      <c r="I3307" s="1" t="str">
        <f>IFERROR(__xludf.DUMMYFUNCTION("""COMPUTED_VALUE"""),"Completado en SUCURSAL")</f>
        <v>Completado en SUCURSAL</v>
      </c>
      <c r="J3307" s="1">
        <f t="shared" si="3"/>
        <v>5</v>
      </c>
      <c r="K3307" s="1" t="str">
        <f t="shared" si="4"/>
        <v>Tus Lentes estan LISTAS PARA ENTREGAR, te esperamos.</v>
      </c>
    </row>
    <row r="3308">
      <c r="A3308" s="1">
        <f>IFERROR(__xludf.DUMMYFUNCTION("""COMPUTED_VALUE"""),87853.0)</f>
        <v>87853</v>
      </c>
      <c r="B3308" s="5">
        <f>IFERROR(__xludf.DUMMYFUNCTION("""COMPUTED_VALUE"""),44998.40211837963)</f>
        <v>44998.40212</v>
      </c>
      <c r="C3308" s="1" t="str">
        <f>IFERROR(__xludf.DUMMYFUNCTION("""COMPUTED_VALUE"""),"VENTURA SEGURA MARIA EDITA")</f>
        <v>VENTURA SEGURA MARIA EDITA</v>
      </c>
      <c r="D3308" s="1" t="str">
        <f>IFERROR(__xludf.DUMMYFUNCTION("""COMPUTED_VALUE"""),"Lentes de STOCK")</f>
        <v>Lentes de STOCK</v>
      </c>
      <c r="E3308" s="1" t="str">
        <f>IFERROR(__xludf.DUMMYFUNCTION("""COMPUTED_VALUE"""),"RIVADAVIA Daniel CM")</f>
        <v>RIVADAVIA Daniel CM</v>
      </c>
      <c r="F3308" s="1" t="str">
        <f t="shared" si="1"/>
        <v>RIVADAVIA </v>
      </c>
      <c r="G3308" s="1" t="str">
        <f t="shared" si="2"/>
        <v>Daniel CM</v>
      </c>
      <c r="H3308" s="1" t="str">
        <f>IFERROR(__xludf.DUMMYFUNCTION("""COMPUTED_VALUE"""),"20/3/2023, 17:00:00")</f>
        <v>20/3/2023, 17:00:00</v>
      </c>
      <c r="I3308" s="1" t="str">
        <f>IFERROR(__xludf.DUMMYFUNCTION("""COMPUTED_VALUE"""),"Completado en SUCURSAL")</f>
        <v>Completado en SUCURSAL</v>
      </c>
      <c r="J3308" s="1">
        <f t="shared" si="3"/>
        <v>5</v>
      </c>
      <c r="K3308" s="1" t="str">
        <f t="shared" si="4"/>
        <v>Tus Lentes estan LISTAS PARA ENTREGAR, te esperamos.</v>
      </c>
    </row>
    <row r="3309">
      <c r="A3309" s="1">
        <f>IFERROR(__xludf.DUMMYFUNCTION("""COMPUTED_VALUE"""),87854.0)</f>
        <v>87854</v>
      </c>
      <c r="B3309" s="5">
        <f>IFERROR(__xludf.DUMMYFUNCTION("""COMPUTED_VALUE"""),44998.4030059375)</f>
        <v>44998.40301</v>
      </c>
      <c r="C3309" s="1" t="str">
        <f>IFERROR(__xludf.DUMMYFUNCTION("""COMPUTED_VALUE"""),"AMEZ DELIA HAYDEE")</f>
        <v>AMEZ DELIA HAYDEE</v>
      </c>
      <c r="D3309" s="1" t="str">
        <f>IFERROR(__xludf.DUMMYFUNCTION("""COMPUTED_VALUE"""),"Reparaciones/Otros")</f>
        <v>Reparaciones/Otros</v>
      </c>
      <c r="E3309" s="1" t="str">
        <f>IFERROR(__xludf.DUMMYFUNCTION("""COMPUTED_VALUE"""),"RIVADAVIA Marcela L")</f>
        <v>RIVADAVIA Marcela L</v>
      </c>
      <c r="F3309" s="1" t="str">
        <f t="shared" si="1"/>
        <v>RIVADAVIA </v>
      </c>
      <c r="G3309" s="1" t="str">
        <f t="shared" si="2"/>
        <v>Marcela L</v>
      </c>
      <c r="H3309" s="1" t="str">
        <f>IFERROR(__xludf.DUMMYFUNCTION("""COMPUTED_VALUE"""),"14/3/2023, 17:00:00")</f>
        <v>14/3/2023, 17:00:00</v>
      </c>
      <c r="I3309" s="1" t="str">
        <f>IFERROR(__xludf.DUMMYFUNCTION("""COMPUTED_VALUE"""),"Completado en SUCURSAL")</f>
        <v>Completado en SUCURSAL</v>
      </c>
      <c r="J3309" s="1">
        <f t="shared" si="3"/>
        <v>5</v>
      </c>
      <c r="K3309" s="1" t="str">
        <f t="shared" si="4"/>
        <v>Tus Lentes estan LISTAS PARA ENTREGAR, te esperamos.</v>
      </c>
    </row>
    <row r="3310">
      <c r="A3310" s="1">
        <f>IFERROR(__xludf.DUMMYFUNCTION("""COMPUTED_VALUE"""),87855.0)</f>
        <v>87855</v>
      </c>
      <c r="B3310" s="5">
        <f>IFERROR(__xludf.DUMMYFUNCTION("""COMPUTED_VALUE"""),44998.40709791667)</f>
        <v>44998.4071</v>
      </c>
      <c r="C3310" s="1" t="str">
        <f>IFERROR(__xludf.DUMMYFUNCTION("""COMPUTED_VALUE"""),"ojeda paula")</f>
        <v>ojeda paula</v>
      </c>
      <c r="D3310" s="1" t="str">
        <f>IFERROR(__xludf.DUMMYFUNCTION("""COMPUTED_VALUE"""),"Reparaciones/Otros")</f>
        <v>Reparaciones/Otros</v>
      </c>
      <c r="E3310" s="1" t="str">
        <f>IFERROR(__xludf.DUMMYFUNCTION("""COMPUTED_VALUE"""),"ARTIGAS Roció")</f>
        <v>ARTIGAS Roció</v>
      </c>
      <c r="F3310" s="1" t="str">
        <f t="shared" si="1"/>
        <v>ARTIGAS </v>
      </c>
      <c r="G3310" s="1" t="str">
        <f t="shared" si="2"/>
        <v>Roció</v>
      </c>
      <c r="H3310" s="1" t="str">
        <f>IFERROR(__xludf.DUMMYFUNCTION("""COMPUTED_VALUE"""),"14/3/2023, 17:00:00")</f>
        <v>14/3/2023, 17:00:00</v>
      </c>
      <c r="I3310" s="1" t="str">
        <f>IFERROR(__xludf.DUMMYFUNCTION("""COMPUTED_VALUE"""),"Completado en SUCURSAL")</f>
        <v>Completado en SUCURSAL</v>
      </c>
      <c r="J3310" s="1">
        <f t="shared" si="3"/>
        <v>5</v>
      </c>
      <c r="K3310" s="1" t="str">
        <f t="shared" si="4"/>
        <v>Tus Lentes estan LISTAS PARA ENTREGAR, te esperamos.</v>
      </c>
    </row>
    <row r="3311">
      <c r="A3311" s="1">
        <f>IFERROR(__xludf.DUMMYFUNCTION("""COMPUTED_VALUE"""),87856.0)</f>
        <v>87856</v>
      </c>
      <c r="B3311" s="5">
        <f>IFERROR(__xludf.DUMMYFUNCTION("""COMPUTED_VALUE"""),44998.409059375)</f>
        <v>44998.40906</v>
      </c>
      <c r="C3311" s="1" t="str">
        <f>IFERROR(__xludf.DUMMYFUNCTION("""COMPUTED_VALUE"""),"Quiroga Elena")</f>
        <v>Quiroga Elena</v>
      </c>
      <c r="D3311" s="1" t="str">
        <f>IFERROR(__xludf.DUMMYFUNCTION("""COMPUTED_VALUE"""),"Reparaciones/Otros")</f>
        <v>Reparaciones/Otros</v>
      </c>
      <c r="E3311" s="1" t="str">
        <f>IFERROR(__xludf.DUMMYFUNCTION("""COMPUTED_VALUE"""),"ARTIGAS Sandra G")</f>
        <v>ARTIGAS Sandra G</v>
      </c>
      <c r="F3311" s="1" t="str">
        <f t="shared" si="1"/>
        <v>ARTIGAS </v>
      </c>
      <c r="G3311" s="1" t="str">
        <f t="shared" si="2"/>
        <v>Sandra G</v>
      </c>
      <c r="H3311" s="1" t="str">
        <f>IFERROR(__xludf.DUMMYFUNCTION("""COMPUTED_VALUE"""),"14/3/2023, 17:00:00")</f>
        <v>14/3/2023, 17:00:00</v>
      </c>
      <c r="I3311" s="1"/>
      <c r="J3311" s="1">
        <f t="shared" si="3"/>
        <v>0</v>
      </c>
      <c r="K3311" s="1" t="str">
        <f t="shared" si="4"/>
        <v/>
      </c>
    </row>
    <row r="3312">
      <c r="A3312" s="1">
        <f>IFERROR(__xludf.DUMMYFUNCTION("""COMPUTED_VALUE"""),87857.0)</f>
        <v>87857</v>
      </c>
      <c r="B3312" s="5">
        <f>IFERROR(__xludf.DUMMYFUNCTION("""COMPUTED_VALUE"""),44998.41316440972)</f>
        <v>44998.41316</v>
      </c>
      <c r="C3312" s="1" t="str">
        <f>IFERROR(__xludf.DUMMYFUNCTION("""COMPUTED_VALUE"""),"AVACA VICTORIA")</f>
        <v>AVACA VICTORIA</v>
      </c>
      <c r="D3312" s="1" t="str">
        <f>IFERROR(__xludf.DUMMYFUNCTION("""COMPUTED_VALUE"""),"Lentes de STOCK")</f>
        <v>Lentes de STOCK</v>
      </c>
      <c r="E3312" s="1" t="str">
        <f>IFERROR(__xludf.DUMMYFUNCTION("""COMPUTED_VALUE"""),"ARTIGAS Ivana P.")</f>
        <v>ARTIGAS Ivana P.</v>
      </c>
      <c r="F3312" s="1" t="str">
        <f t="shared" si="1"/>
        <v>ARTIGAS </v>
      </c>
      <c r="G3312" s="1" t="str">
        <f t="shared" si="2"/>
        <v>Ivana P.</v>
      </c>
      <c r="H3312" s="1" t="str">
        <f>IFERROR(__xludf.DUMMYFUNCTION("""COMPUTED_VALUE"""),"16/3/2023, 17:00:00")</f>
        <v>16/3/2023, 17:00:00</v>
      </c>
      <c r="I3312" s="1" t="str">
        <f>IFERROR(__xludf.DUMMYFUNCTION("""COMPUTED_VALUE"""),"Completado en SUCURSAL")</f>
        <v>Completado en SUCURSAL</v>
      </c>
      <c r="J3312" s="1">
        <f t="shared" si="3"/>
        <v>5</v>
      </c>
      <c r="K3312" s="1" t="str">
        <f t="shared" si="4"/>
        <v>Tus Lentes estan LISTAS PARA ENTREGAR, te esperamos.</v>
      </c>
    </row>
    <row r="3313">
      <c r="A3313" s="1">
        <f>IFERROR(__xludf.DUMMYFUNCTION("""COMPUTED_VALUE"""),87858.0)</f>
        <v>87858</v>
      </c>
      <c r="B3313" s="5">
        <f>IFERROR(__xludf.DUMMYFUNCTION("""COMPUTED_VALUE"""),44998.41867668982)</f>
        <v>44998.41868</v>
      </c>
      <c r="C3313" s="1" t="str">
        <f>IFERROR(__xludf.DUMMYFUNCTION("""COMPUTED_VALUE"""),"SLOTKO LIDIA")</f>
        <v>SLOTKO LIDIA</v>
      </c>
      <c r="D3313" s="1" t="str">
        <f>IFERROR(__xludf.DUMMYFUNCTION("""COMPUTED_VALUE"""),"Lentes de STOCK")</f>
        <v>Lentes de STOCK</v>
      </c>
      <c r="E3313" s="1" t="str">
        <f>IFERROR(__xludf.DUMMYFUNCTION("""COMPUTED_VALUE"""),"ARTIGAS Roció")</f>
        <v>ARTIGAS Roció</v>
      </c>
      <c r="F3313" s="1" t="str">
        <f t="shared" si="1"/>
        <v>ARTIGAS </v>
      </c>
      <c r="G3313" s="1" t="str">
        <f t="shared" si="2"/>
        <v>Roció</v>
      </c>
      <c r="H3313" s="1" t="str">
        <f>IFERROR(__xludf.DUMMYFUNCTION("""COMPUTED_VALUE"""),"20/3/2023, 17:00:00")</f>
        <v>20/3/2023, 17:00:00</v>
      </c>
      <c r="I3313" s="1" t="str">
        <f>IFERROR(__xludf.DUMMYFUNCTION("""COMPUTED_VALUE"""),"Completado en SUCURSAL")</f>
        <v>Completado en SUCURSAL</v>
      </c>
      <c r="J3313" s="1">
        <f t="shared" si="3"/>
        <v>5</v>
      </c>
      <c r="K3313" s="1" t="str">
        <f t="shared" si="4"/>
        <v>Tus Lentes estan LISTAS PARA ENTREGAR, te esperamos.</v>
      </c>
    </row>
    <row r="3314">
      <c r="A3314" s="1">
        <f>IFERROR(__xludf.DUMMYFUNCTION("""COMPUTED_VALUE"""),87859.0)</f>
        <v>87859</v>
      </c>
      <c r="B3314" s="5">
        <f>IFERROR(__xludf.DUMMYFUNCTION("""COMPUTED_VALUE"""),44998.42929976852)</f>
        <v>44998.4293</v>
      </c>
      <c r="C3314" s="1" t="str">
        <f>IFERROR(__xludf.DUMMYFUNCTION("""COMPUTED_VALUE"""),"RODRIGUEZ HECTOR MARIO")</f>
        <v>RODRIGUEZ HECTOR MARIO</v>
      </c>
      <c r="D3314" s="1" t="str">
        <f>IFERROR(__xludf.DUMMYFUNCTION("""COMPUTED_VALUE"""),"Lentes de STOCK")</f>
        <v>Lentes de STOCK</v>
      </c>
      <c r="E3314" s="1" t="str">
        <f>IFERROR(__xludf.DUMMYFUNCTION("""COMPUTED_VALUE"""),"ARTIGAS Roció")</f>
        <v>ARTIGAS Roció</v>
      </c>
      <c r="F3314" s="1" t="str">
        <f t="shared" si="1"/>
        <v>ARTIGAS </v>
      </c>
      <c r="G3314" s="1" t="str">
        <f t="shared" si="2"/>
        <v>Roció</v>
      </c>
      <c r="H3314" s="1" t="str">
        <f>IFERROR(__xludf.DUMMYFUNCTION("""COMPUTED_VALUE"""),"20/3/2023, 17:00:00")</f>
        <v>20/3/2023, 17:00:00</v>
      </c>
      <c r="I3314" s="1" t="str">
        <f>IFERROR(__xludf.DUMMYFUNCTION("""COMPUTED_VALUE"""),"Completado en SUCURSAL")</f>
        <v>Completado en SUCURSAL</v>
      </c>
      <c r="J3314" s="1">
        <f t="shared" si="3"/>
        <v>5</v>
      </c>
      <c r="K3314" s="1" t="str">
        <f t="shared" si="4"/>
        <v>Tus Lentes estan LISTAS PARA ENTREGAR, te esperamos.</v>
      </c>
    </row>
    <row r="3315">
      <c r="A3315" s="1">
        <f>IFERROR(__xludf.DUMMYFUNCTION("""COMPUTED_VALUE"""),87860.0)</f>
        <v>87860</v>
      </c>
      <c r="B3315" s="5">
        <f>IFERROR(__xludf.DUMMYFUNCTION("""COMPUTED_VALUE"""),44998.43594591435)</f>
        <v>44998.43595</v>
      </c>
      <c r="C3315" s="1" t="str">
        <f>IFERROR(__xludf.DUMMYFUNCTION("""COMPUTED_VALUE"""),"GODOY ROMINA DEL VALLE")</f>
        <v>GODOY ROMINA DEL VALLE</v>
      </c>
      <c r="D3315" s="1" t="str">
        <f>IFERROR(__xludf.DUMMYFUNCTION("""COMPUTED_VALUE"""),"Lentes de STOCK")</f>
        <v>Lentes de STOCK</v>
      </c>
      <c r="E3315" s="1" t="str">
        <f>IFERROR(__xludf.DUMMYFUNCTION("""COMPUTED_VALUE"""),"RIVADAVIA Christian C.")</f>
        <v>RIVADAVIA Christian C.</v>
      </c>
      <c r="F3315" s="1" t="str">
        <f t="shared" si="1"/>
        <v>RIVADAVIA </v>
      </c>
      <c r="G3315" s="1" t="str">
        <f t="shared" si="2"/>
        <v>Christian C.</v>
      </c>
      <c r="H3315" s="1" t="str">
        <f>IFERROR(__xludf.DUMMYFUNCTION("""COMPUTED_VALUE"""),"16/3/2023, 17:00:00")</f>
        <v>16/3/2023, 17:00:00</v>
      </c>
      <c r="I3315" s="1" t="str">
        <f>IFERROR(__xludf.DUMMYFUNCTION("""COMPUTED_VALUE"""),"Completado en SUCURSAL")</f>
        <v>Completado en SUCURSAL</v>
      </c>
      <c r="J3315" s="1">
        <f t="shared" si="3"/>
        <v>5</v>
      </c>
      <c r="K3315" s="1" t="str">
        <f t="shared" si="4"/>
        <v>Tus Lentes estan LISTAS PARA ENTREGAR, te esperamos.</v>
      </c>
    </row>
    <row r="3316">
      <c r="A3316" s="1">
        <f>IFERROR(__xludf.DUMMYFUNCTION("""COMPUTED_VALUE"""),87861.0)</f>
        <v>87861</v>
      </c>
      <c r="B3316" s="5">
        <f>IFERROR(__xludf.DUMMYFUNCTION("""COMPUTED_VALUE"""),44998.44018539352)</f>
        <v>44998.44019</v>
      </c>
      <c r="C3316" s="1" t="str">
        <f>IFERROR(__xludf.DUMMYFUNCTION("""COMPUTED_VALUE"""),"CASTRO JOSE LUCIO")</f>
        <v>CASTRO JOSE LUCIO</v>
      </c>
      <c r="D3316" s="1" t="str">
        <f>IFERROR(__xludf.DUMMYFUNCTION("""COMPUTED_VALUE"""),"Lentes de STOCK")</f>
        <v>Lentes de STOCK</v>
      </c>
      <c r="E3316" s="1" t="str">
        <f>IFERROR(__xludf.DUMMYFUNCTION("""COMPUTED_VALUE"""),"ARTIGAS Roció")</f>
        <v>ARTIGAS Roció</v>
      </c>
      <c r="F3316" s="1" t="str">
        <f t="shared" si="1"/>
        <v>ARTIGAS </v>
      </c>
      <c r="G3316" s="1" t="str">
        <f t="shared" si="2"/>
        <v>Roció</v>
      </c>
      <c r="H3316" s="1" t="str">
        <f>IFERROR(__xludf.DUMMYFUNCTION("""COMPUTED_VALUE"""),"21/3/2023, 17:00:00")</f>
        <v>21/3/2023, 17:00:00</v>
      </c>
      <c r="I3316" s="1" t="str">
        <f>IFERROR(__xludf.DUMMYFUNCTION("""COMPUTED_VALUE"""),"Completado en SUCURSAL")</f>
        <v>Completado en SUCURSAL</v>
      </c>
      <c r="J3316" s="1">
        <f t="shared" si="3"/>
        <v>5</v>
      </c>
      <c r="K3316" s="1" t="str">
        <f t="shared" si="4"/>
        <v>Tus Lentes estan LISTAS PARA ENTREGAR, te esperamos.</v>
      </c>
    </row>
    <row r="3317">
      <c r="A3317" s="1">
        <f>IFERROR(__xludf.DUMMYFUNCTION("""COMPUTED_VALUE"""),87862.0)</f>
        <v>87862</v>
      </c>
      <c r="B3317" s="5">
        <f>IFERROR(__xludf.DUMMYFUNCTION("""COMPUTED_VALUE"""),44998.445023935186)</f>
        <v>44998.44502</v>
      </c>
      <c r="C3317" s="1" t="str">
        <f>IFERROR(__xludf.DUMMYFUNCTION("""COMPUTED_VALUE"""),"GHERASIMCIUC ANITA")</f>
        <v>GHERASIMCIUC ANITA</v>
      </c>
      <c r="D3317" s="1" t="str">
        <f>IFERROR(__xludf.DUMMYFUNCTION("""COMPUTED_VALUE"""),"Lentes de STOCK")</f>
        <v>Lentes de STOCK</v>
      </c>
      <c r="E3317" s="1" t="str">
        <f>IFERROR(__xludf.DUMMYFUNCTION("""COMPUTED_VALUE"""),"RIVADAVIA Santiago LOPEZ")</f>
        <v>RIVADAVIA Santiago LOPEZ</v>
      </c>
      <c r="F3317" s="1" t="str">
        <f t="shared" si="1"/>
        <v>RIVADAVIA </v>
      </c>
      <c r="G3317" s="1" t="str">
        <f t="shared" si="2"/>
        <v>Santiago LOPEZ</v>
      </c>
      <c r="H3317" s="1" t="str">
        <f>IFERROR(__xludf.DUMMYFUNCTION("""COMPUTED_VALUE"""),"15/3/2023, 17:00:00")</f>
        <v>15/3/2023, 17:00:00</v>
      </c>
      <c r="I3317" s="1" t="str">
        <f>IFERROR(__xludf.DUMMYFUNCTION("""COMPUTED_VALUE"""),"Completado en SUCURSAL")</f>
        <v>Completado en SUCURSAL</v>
      </c>
      <c r="J3317" s="1">
        <f t="shared" si="3"/>
        <v>5</v>
      </c>
      <c r="K3317" s="1" t="str">
        <f t="shared" si="4"/>
        <v>Tus Lentes estan LISTAS PARA ENTREGAR, te esperamos.</v>
      </c>
    </row>
    <row r="3318">
      <c r="A3318" s="1">
        <f>IFERROR(__xludf.DUMMYFUNCTION("""COMPUTED_VALUE"""),87863.0)</f>
        <v>87863</v>
      </c>
      <c r="B3318" s="5">
        <f>IFERROR(__xludf.DUMMYFUNCTION("""COMPUTED_VALUE"""),44998.463923981486)</f>
        <v>44998.46392</v>
      </c>
      <c r="C3318" s="1" t="str">
        <f>IFERROR(__xludf.DUMMYFUNCTION("""COMPUTED_VALUE"""),"TOBARES, CLEOFE ISABEL")</f>
        <v>TOBARES, CLEOFE ISABEL</v>
      </c>
      <c r="D3318" s="1" t="str">
        <f>IFERROR(__xludf.DUMMYFUNCTION("""COMPUTED_VALUE"""),"Lentes de STOCK")</f>
        <v>Lentes de STOCK</v>
      </c>
      <c r="E3318" s="1" t="str">
        <f>IFERROR(__xludf.DUMMYFUNCTION("""COMPUTED_VALUE"""),"RIVADAVIA Santiago LOPEZ")</f>
        <v>RIVADAVIA Santiago LOPEZ</v>
      </c>
      <c r="F3318" s="1" t="str">
        <f t="shared" si="1"/>
        <v>RIVADAVIA </v>
      </c>
      <c r="G3318" s="1" t="str">
        <f t="shared" si="2"/>
        <v>Santiago LOPEZ</v>
      </c>
      <c r="H3318" s="1" t="str">
        <f>IFERROR(__xludf.DUMMYFUNCTION("""COMPUTED_VALUE"""),"15/3/2023, 17:00:00")</f>
        <v>15/3/2023, 17:00:00</v>
      </c>
      <c r="I3318" s="1" t="str">
        <f>IFERROR(__xludf.DUMMYFUNCTION("""COMPUTED_VALUE"""),"Completado en SUCURSAL")</f>
        <v>Completado en SUCURSAL</v>
      </c>
      <c r="J3318" s="1">
        <f t="shared" si="3"/>
        <v>5</v>
      </c>
      <c r="K3318" s="1" t="str">
        <f t="shared" si="4"/>
        <v>Tus Lentes estan LISTAS PARA ENTREGAR, te esperamos.</v>
      </c>
    </row>
    <row r="3319">
      <c r="A3319" s="1">
        <f>IFERROR(__xludf.DUMMYFUNCTION("""COMPUTED_VALUE"""),87864.0)</f>
        <v>87864</v>
      </c>
      <c r="B3319" s="5">
        <f>IFERROR(__xludf.DUMMYFUNCTION("""COMPUTED_VALUE"""),44998.46748313657)</f>
        <v>44998.46748</v>
      </c>
      <c r="C3319" s="1" t="str">
        <f>IFERROR(__xludf.DUMMYFUNCTION("""COMPUTED_VALUE"""),"CORREA LORENA")</f>
        <v>CORREA LORENA</v>
      </c>
      <c r="D3319" s="1" t="str">
        <f>IFERROR(__xludf.DUMMYFUNCTION("""COMPUTED_VALUE"""),"Reparaciones/Otros")</f>
        <v>Reparaciones/Otros</v>
      </c>
      <c r="E3319" s="1" t="str">
        <f>IFERROR(__xludf.DUMMYFUNCTION("""COMPUTED_VALUE"""),"RIVADAVIA Marcela L")</f>
        <v>RIVADAVIA Marcela L</v>
      </c>
      <c r="F3319" s="1" t="str">
        <f t="shared" si="1"/>
        <v>RIVADAVIA </v>
      </c>
      <c r="G3319" s="1" t="str">
        <f t="shared" si="2"/>
        <v>Marcela L</v>
      </c>
      <c r="H3319" s="1" t="str">
        <f>IFERROR(__xludf.DUMMYFUNCTION("""COMPUTED_VALUE"""),"14/3/2023, 17:00:00")</f>
        <v>14/3/2023, 17:00:00</v>
      </c>
      <c r="I3319" s="1" t="str">
        <f>IFERROR(__xludf.DUMMYFUNCTION("""COMPUTED_VALUE"""),"Completado en SUCURSAL")</f>
        <v>Completado en SUCURSAL</v>
      </c>
      <c r="J3319" s="1">
        <f t="shared" si="3"/>
        <v>5</v>
      </c>
      <c r="K3319" s="1" t="str">
        <f t="shared" si="4"/>
        <v>Tus Lentes estan LISTAS PARA ENTREGAR, te esperamos.</v>
      </c>
    </row>
    <row r="3320">
      <c r="A3320" s="1">
        <f>IFERROR(__xludf.DUMMYFUNCTION("""COMPUTED_VALUE"""),87865.0)</f>
        <v>87865</v>
      </c>
      <c r="B3320" s="5">
        <f>IFERROR(__xludf.DUMMYFUNCTION("""COMPUTED_VALUE"""),44998.473501238426)</f>
        <v>44998.4735</v>
      </c>
      <c r="C3320" s="1" t="str">
        <f>IFERROR(__xludf.DUMMYFUNCTION("""COMPUTED_VALUE"""),"montes diego")</f>
        <v>montes diego</v>
      </c>
      <c r="D3320" s="1" t="str">
        <f>IFERROR(__xludf.DUMMYFUNCTION("""COMPUTED_VALUE"""),"Lentes de STOCK")</f>
        <v>Lentes de STOCK</v>
      </c>
      <c r="E3320" s="1" t="str">
        <f>IFERROR(__xludf.DUMMYFUNCTION("""COMPUTED_VALUE"""),"RIVADAVIA Santiago N")</f>
        <v>RIVADAVIA Santiago N</v>
      </c>
      <c r="F3320" s="1" t="str">
        <f t="shared" si="1"/>
        <v>RIVADAVIA </v>
      </c>
      <c r="G3320" s="1" t="str">
        <f t="shared" si="2"/>
        <v>Santiago N</v>
      </c>
      <c r="H3320" s="1" t="str">
        <f>IFERROR(__xludf.DUMMYFUNCTION("""COMPUTED_VALUE"""),"16/3/2023, 17:00:00")</f>
        <v>16/3/2023, 17:00:00</v>
      </c>
      <c r="I3320" s="1" t="str">
        <f>IFERROR(__xludf.DUMMYFUNCTION("""COMPUTED_VALUE"""),"Completado en SUCURSAL")</f>
        <v>Completado en SUCURSAL</v>
      </c>
      <c r="J3320" s="1">
        <f t="shared" si="3"/>
        <v>5</v>
      </c>
      <c r="K3320" s="1" t="str">
        <f t="shared" si="4"/>
        <v>Tus Lentes estan LISTAS PARA ENTREGAR, te esperamos.</v>
      </c>
    </row>
    <row r="3321">
      <c r="A3321" s="1" t="str">
        <f>IFERROR(__xludf.DUMMYFUNCTION("""COMPUTED_VALUE"""),"87866 ANULADO")</f>
        <v>87866 ANULADO</v>
      </c>
      <c r="B3321" s="5">
        <f>IFERROR(__xludf.DUMMYFUNCTION("""COMPUTED_VALUE"""),44998.476721134255)</f>
        <v>44998.47672</v>
      </c>
      <c r="C3321" s="1" t="str">
        <f>IFERROR(__xludf.DUMMYFUNCTION("""COMPUTED_VALUE"""),"MARQUEZ RAUL GIOVANNY ANULADO!")</f>
        <v>MARQUEZ RAUL GIOVANNY ANULADO!</v>
      </c>
      <c r="D3321" s="1" t="str">
        <f>IFERROR(__xludf.DUMMYFUNCTION("""COMPUTED_VALUE"""),"lentes stock")</f>
        <v>lentes stock</v>
      </c>
      <c r="E3321" s="1" t="str">
        <f>IFERROR(__xludf.DUMMYFUNCTION("""COMPUTED_VALUE"""),"RIVADAVIA Marcela L")</f>
        <v>RIVADAVIA Marcela L</v>
      </c>
      <c r="F3321" s="1" t="str">
        <f t="shared" si="1"/>
        <v>RIVADAVIA </v>
      </c>
      <c r="G3321" s="1" t="str">
        <f t="shared" si="2"/>
        <v>Marcela L</v>
      </c>
      <c r="H3321" s="8">
        <f>IFERROR(__xludf.DUMMYFUNCTION("""COMPUTED_VALUE"""),45016.0)</f>
        <v>45016</v>
      </c>
      <c r="I3321" s="1"/>
      <c r="J3321" s="1">
        <f t="shared" si="3"/>
        <v>0</v>
      </c>
      <c r="K3321" s="1" t="str">
        <f t="shared" si="4"/>
        <v/>
      </c>
    </row>
    <row r="3322">
      <c r="A3322" s="1">
        <f>IFERROR(__xludf.DUMMYFUNCTION("""COMPUTED_VALUE"""),87867.0)</f>
        <v>87867</v>
      </c>
      <c r="B3322" s="5">
        <f>IFERROR(__xludf.DUMMYFUNCTION("""COMPUTED_VALUE"""),44998.48270255787)</f>
        <v>44998.4827</v>
      </c>
      <c r="C3322" s="1" t="str">
        <f>IFERROR(__xludf.DUMMYFUNCTION("""COMPUTED_VALUE"""),"TELLO MARCELO")</f>
        <v>TELLO MARCELO</v>
      </c>
      <c r="D3322" s="1" t="str">
        <f>IFERROR(__xludf.DUMMYFUNCTION("""COMPUTED_VALUE"""),"Lentes de STOCK")</f>
        <v>Lentes de STOCK</v>
      </c>
      <c r="E3322" s="1" t="str">
        <f>IFERROR(__xludf.DUMMYFUNCTION("""COMPUTED_VALUE"""),"RIVADAVIA Santiago LOPEZ")</f>
        <v>RIVADAVIA Santiago LOPEZ</v>
      </c>
      <c r="F3322" s="1" t="str">
        <f t="shared" si="1"/>
        <v>RIVADAVIA </v>
      </c>
      <c r="G3322" s="1" t="str">
        <f t="shared" si="2"/>
        <v>Santiago LOPEZ</v>
      </c>
      <c r="H3322" s="1" t="str">
        <f>IFERROR(__xludf.DUMMYFUNCTION("""COMPUTED_VALUE"""),"15/3/2023, 17:00:00")</f>
        <v>15/3/2023, 17:00:00</v>
      </c>
      <c r="I3322" s="1" t="str">
        <f>IFERROR(__xludf.DUMMYFUNCTION("""COMPUTED_VALUE"""),"Completado en SUCURSAL")</f>
        <v>Completado en SUCURSAL</v>
      </c>
      <c r="J3322" s="1">
        <f t="shared" si="3"/>
        <v>5</v>
      </c>
      <c r="K3322" s="1" t="str">
        <f t="shared" si="4"/>
        <v>Tus Lentes estan LISTAS PARA ENTREGAR, te esperamos.</v>
      </c>
    </row>
    <row r="3323">
      <c r="A3323" s="1">
        <f>IFERROR(__xludf.DUMMYFUNCTION("""COMPUTED_VALUE"""),87868.0)</f>
        <v>87868</v>
      </c>
      <c r="B3323" s="5">
        <f>IFERROR(__xludf.DUMMYFUNCTION("""COMPUTED_VALUE"""),44998.48607442129)</f>
        <v>44998.48607</v>
      </c>
      <c r="C3323" s="1" t="str">
        <f>IFERROR(__xludf.DUMMYFUNCTION("""COMPUTED_VALUE"""),"CABAÑEZ LUCILA MARIA PAULA")</f>
        <v>CABAÑEZ LUCILA MARIA PAULA</v>
      </c>
      <c r="D3323" s="1" t="str">
        <f>IFERROR(__xludf.DUMMYFUNCTION("""COMPUTED_VALUE"""),"Lentes de STOCK")</f>
        <v>Lentes de STOCK</v>
      </c>
      <c r="E3323" s="1" t="str">
        <f>IFERROR(__xludf.DUMMYFUNCTION("""COMPUTED_VALUE"""),"RIVADAVIA Christian C.")</f>
        <v>RIVADAVIA Christian C.</v>
      </c>
      <c r="F3323" s="1" t="str">
        <f t="shared" si="1"/>
        <v>RIVADAVIA </v>
      </c>
      <c r="G3323" s="1" t="str">
        <f t="shared" si="2"/>
        <v>Christian C.</v>
      </c>
      <c r="H3323" s="1" t="str">
        <f>IFERROR(__xludf.DUMMYFUNCTION("""COMPUTED_VALUE"""),"21/3/2023, 17:00:00")</f>
        <v>21/3/2023, 17:00:00</v>
      </c>
      <c r="I3323" s="1" t="str">
        <f>IFERROR(__xludf.DUMMYFUNCTION("""COMPUTED_VALUE"""),"Completado en SUCURSAL")</f>
        <v>Completado en SUCURSAL</v>
      </c>
      <c r="J3323" s="1">
        <f t="shared" si="3"/>
        <v>5</v>
      </c>
      <c r="K3323" s="1" t="str">
        <f t="shared" si="4"/>
        <v>Tus Lentes estan LISTAS PARA ENTREGAR, te esperamos.</v>
      </c>
    </row>
    <row r="3324">
      <c r="A3324" s="1">
        <f>IFERROR(__xludf.DUMMYFUNCTION("""COMPUTED_VALUE"""),87869.0)</f>
        <v>87869</v>
      </c>
      <c r="B3324" s="5">
        <f>IFERROR(__xludf.DUMMYFUNCTION("""COMPUTED_VALUE"""),44998.48670152778)</f>
        <v>44998.4867</v>
      </c>
      <c r="C3324" s="1" t="str">
        <f>IFERROR(__xludf.DUMMYFUNCTION("""COMPUTED_VALUE"""),"VERA RODOLFO")</f>
        <v>VERA RODOLFO</v>
      </c>
      <c r="D3324" s="1" t="str">
        <f>IFERROR(__xludf.DUMMYFUNCTION("""COMPUTED_VALUE"""),"Lentes de STOCK")</f>
        <v>Lentes de STOCK</v>
      </c>
      <c r="E3324" s="1" t="str">
        <f>IFERROR(__xludf.DUMMYFUNCTION("""COMPUTED_VALUE"""),"RIVADAVIA Marcela L")</f>
        <v>RIVADAVIA Marcela L</v>
      </c>
      <c r="F3324" s="1" t="str">
        <f t="shared" si="1"/>
        <v>RIVADAVIA </v>
      </c>
      <c r="G3324" s="1" t="str">
        <f t="shared" si="2"/>
        <v>Marcela L</v>
      </c>
      <c r="H3324" s="1" t="str">
        <f>IFERROR(__xludf.DUMMYFUNCTION("""COMPUTED_VALUE"""),"17/3/2023, 17:00:00")</f>
        <v>17/3/2023, 17:00:00</v>
      </c>
      <c r="I3324" s="1" t="str">
        <f>IFERROR(__xludf.DUMMYFUNCTION("""COMPUTED_VALUE"""),"Completado en SUCURSAL")</f>
        <v>Completado en SUCURSAL</v>
      </c>
      <c r="J3324" s="1">
        <f t="shared" si="3"/>
        <v>5</v>
      </c>
      <c r="K3324" s="1" t="str">
        <f t="shared" si="4"/>
        <v>Tus Lentes estan LISTAS PARA ENTREGAR, te esperamos.</v>
      </c>
    </row>
    <row r="3325">
      <c r="A3325" s="1">
        <f>IFERROR(__xludf.DUMMYFUNCTION("""COMPUTED_VALUE"""),87870.0)</f>
        <v>87870</v>
      </c>
      <c r="B3325" s="5">
        <f>IFERROR(__xludf.DUMMYFUNCTION("""COMPUTED_VALUE"""),44998.48978253472)</f>
        <v>44998.48978</v>
      </c>
      <c r="C3325" s="1" t="str">
        <f>IFERROR(__xludf.DUMMYFUNCTION("""COMPUTED_VALUE"""),"CALDERA BRAYAN")</f>
        <v>CALDERA BRAYAN</v>
      </c>
      <c r="D3325" s="1" t="str">
        <f>IFERROR(__xludf.DUMMYFUNCTION("""COMPUTED_VALUE"""),"Lentes de STOCK")</f>
        <v>Lentes de STOCK</v>
      </c>
      <c r="E3325" s="1" t="str">
        <f>IFERROR(__xludf.DUMMYFUNCTION("""COMPUTED_VALUE"""),"RIVADAVIA Santiago N")</f>
        <v>RIVADAVIA Santiago N</v>
      </c>
      <c r="F3325" s="1" t="str">
        <f t="shared" si="1"/>
        <v>RIVADAVIA </v>
      </c>
      <c r="G3325" s="1" t="str">
        <f t="shared" si="2"/>
        <v>Santiago N</v>
      </c>
      <c r="H3325" s="1" t="str">
        <f>IFERROR(__xludf.DUMMYFUNCTION("""COMPUTED_VALUE"""),"18/3/2023, 17:00:00")</f>
        <v>18/3/2023, 17:00:00</v>
      </c>
      <c r="I3325" s="1" t="str">
        <f>IFERROR(__xludf.DUMMYFUNCTION("""COMPUTED_VALUE"""),"Completado en SUCURSAL")</f>
        <v>Completado en SUCURSAL</v>
      </c>
      <c r="J3325" s="1">
        <f t="shared" si="3"/>
        <v>5</v>
      </c>
      <c r="K3325" s="1" t="str">
        <f t="shared" si="4"/>
        <v>Tus Lentes estan LISTAS PARA ENTREGAR, te esperamos.</v>
      </c>
    </row>
    <row r="3326">
      <c r="A3326" s="1">
        <f>IFERROR(__xludf.DUMMYFUNCTION("""COMPUTED_VALUE"""),87871.0)</f>
        <v>87871</v>
      </c>
      <c r="B3326" s="5">
        <f>IFERROR(__xludf.DUMMYFUNCTION("""COMPUTED_VALUE"""),44998.491806805556)</f>
        <v>44998.49181</v>
      </c>
      <c r="C3326" s="1" t="str">
        <f>IFERROR(__xludf.DUMMYFUNCTION("""COMPUTED_VALUE"""),"Romero Luis")</f>
        <v>Romero Luis</v>
      </c>
      <c r="D3326" s="1" t="str">
        <f>IFERROR(__xludf.DUMMYFUNCTION("""COMPUTED_VALUE"""),"Reparaciones/Otros")</f>
        <v>Reparaciones/Otros</v>
      </c>
      <c r="E3326" s="1" t="str">
        <f>IFERROR(__xludf.DUMMYFUNCTION("""COMPUTED_VALUE"""),"ARTIGAS Sandra G")</f>
        <v>ARTIGAS Sandra G</v>
      </c>
      <c r="F3326" s="1" t="str">
        <f t="shared" si="1"/>
        <v>ARTIGAS </v>
      </c>
      <c r="G3326" s="1" t="str">
        <f t="shared" si="2"/>
        <v>Sandra G</v>
      </c>
      <c r="H3326" s="1" t="str">
        <f>IFERROR(__xludf.DUMMYFUNCTION("""COMPUTED_VALUE"""),"14/3/2023, 17:00:00")</f>
        <v>14/3/2023, 17:00:00</v>
      </c>
      <c r="I3326" s="1" t="str">
        <f>IFERROR(__xludf.DUMMYFUNCTION("""COMPUTED_VALUE"""),"Recibido en Laboratorio")</f>
        <v>Recibido en Laboratorio</v>
      </c>
      <c r="J3326" s="1">
        <f t="shared" si="3"/>
        <v>2</v>
      </c>
      <c r="K3326" s="1" t="str">
        <f t="shared" si="4"/>
        <v>Nuestro Laboratorio esta trabajando en tus lentes, los entregaremos en la fecha acordada.</v>
      </c>
    </row>
    <row r="3327">
      <c r="A3327" s="1">
        <f>IFERROR(__xludf.DUMMYFUNCTION("""COMPUTED_VALUE"""),87872.0)</f>
        <v>87872</v>
      </c>
      <c r="B3327" s="5">
        <f>IFERROR(__xludf.DUMMYFUNCTION("""COMPUTED_VALUE"""),44998.49377700231)</f>
        <v>44998.49378</v>
      </c>
      <c r="C3327" s="1" t="str">
        <f>IFERROR(__xludf.DUMMYFUNCTION("""COMPUTED_VALUE"""),"DURAN MATELUNA MIGUEL ANGEL")</f>
        <v>DURAN MATELUNA MIGUEL ANGEL</v>
      </c>
      <c r="D3327" s="1" t="str">
        <f>IFERROR(__xludf.DUMMYFUNCTION("""COMPUTED_VALUE"""),"Lentes de STOCK")</f>
        <v>Lentes de STOCK</v>
      </c>
      <c r="E3327" s="1" t="str">
        <f>IFERROR(__xludf.DUMMYFUNCTION("""COMPUTED_VALUE"""),"RIVADAVIA Christian C.")</f>
        <v>RIVADAVIA Christian C.</v>
      </c>
      <c r="F3327" s="1" t="str">
        <f t="shared" si="1"/>
        <v>RIVADAVIA </v>
      </c>
      <c r="G3327" s="1" t="str">
        <f t="shared" si="2"/>
        <v>Christian C.</v>
      </c>
      <c r="H3327" s="1" t="str">
        <f>IFERROR(__xludf.DUMMYFUNCTION("""COMPUTED_VALUE"""),"20/3/2023, 17:00:00")</f>
        <v>20/3/2023, 17:00:00</v>
      </c>
      <c r="I3327" s="1" t="str">
        <f>IFERROR(__xludf.DUMMYFUNCTION("""COMPUTED_VALUE"""),"Completado en SUCURSAL")</f>
        <v>Completado en SUCURSAL</v>
      </c>
      <c r="J3327" s="1">
        <f t="shared" si="3"/>
        <v>5</v>
      </c>
      <c r="K3327" s="1" t="str">
        <f t="shared" si="4"/>
        <v>Tus Lentes estan LISTAS PARA ENTREGAR, te esperamos.</v>
      </c>
    </row>
    <row r="3328">
      <c r="A3328" s="1">
        <f>IFERROR(__xludf.DUMMYFUNCTION("""COMPUTED_VALUE"""),87873.0)</f>
        <v>87873</v>
      </c>
      <c r="B3328" s="5">
        <f>IFERROR(__xludf.DUMMYFUNCTION("""COMPUTED_VALUE"""),44998.495061759255)</f>
        <v>44998.49506</v>
      </c>
      <c r="C3328" s="1" t="str">
        <f>IFERROR(__xludf.DUMMYFUNCTION("""COMPUTED_VALUE"""),"AGILERA MATHIAS")</f>
        <v>AGILERA MATHIAS</v>
      </c>
      <c r="D3328" s="1" t="str">
        <f>IFERROR(__xludf.DUMMYFUNCTION("""COMPUTED_VALUE"""),"Lentes de STOCK")</f>
        <v>Lentes de STOCK</v>
      </c>
      <c r="E3328" s="1" t="str">
        <f>IFERROR(__xludf.DUMMYFUNCTION("""COMPUTED_VALUE"""),"RIVADAVIA Santiago LOPEZ")</f>
        <v>RIVADAVIA Santiago LOPEZ</v>
      </c>
      <c r="F3328" s="1" t="str">
        <f t="shared" si="1"/>
        <v>RIVADAVIA </v>
      </c>
      <c r="G3328" s="1" t="str">
        <f t="shared" si="2"/>
        <v>Santiago LOPEZ</v>
      </c>
      <c r="H3328" s="1" t="str">
        <f>IFERROR(__xludf.DUMMYFUNCTION("""COMPUTED_VALUE"""),"16/3/2023, 17:00:00")</f>
        <v>16/3/2023, 17:00:00</v>
      </c>
      <c r="I3328" s="1" t="str">
        <f>IFERROR(__xludf.DUMMYFUNCTION("""COMPUTED_VALUE"""),"Completado en SUCURSAL")</f>
        <v>Completado en SUCURSAL</v>
      </c>
      <c r="J3328" s="1">
        <f t="shared" si="3"/>
        <v>5</v>
      </c>
      <c r="K3328" s="1" t="str">
        <f t="shared" si="4"/>
        <v>Tus Lentes estan LISTAS PARA ENTREGAR, te esperamos.</v>
      </c>
    </row>
    <row r="3329">
      <c r="A3329" s="1">
        <f>IFERROR(__xludf.DUMMYFUNCTION("""COMPUTED_VALUE"""),87874.0)</f>
        <v>87874</v>
      </c>
      <c r="B3329" s="5">
        <f>IFERROR(__xludf.DUMMYFUNCTION("""COMPUTED_VALUE"""),44998.50283491898)</f>
        <v>44998.50283</v>
      </c>
      <c r="C3329" s="1" t="str">
        <f>IFERROR(__xludf.DUMMYFUNCTION("""COMPUTED_VALUE"""),"SALINAS NATALIA")</f>
        <v>SALINAS NATALIA</v>
      </c>
      <c r="D3329" s="1" t="str">
        <f>IFERROR(__xludf.DUMMYFUNCTION("""COMPUTED_VALUE"""),"Lentes de STOCK")</f>
        <v>Lentes de STOCK</v>
      </c>
      <c r="E3329" s="1" t="str">
        <f>IFERROR(__xludf.DUMMYFUNCTION("""COMPUTED_VALUE"""),"RIVADAVIA Santiago LOPEZ")</f>
        <v>RIVADAVIA Santiago LOPEZ</v>
      </c>
      <c r="F3329" s="1" t="str">
        <f t="shared" si="1"/>
        <v>RIVADAVIA </v>
      </c>
      <c r="G3329" s="1" t="str">
        <f t="shared" si="2"/>
        <v>Santiago LOPEZ</v>
      </c>
      <c r="H3329" s="1" t="str">
        <f>IFERROR(__xludf.DUMMYFUNCTION("""COMPUTED_VALUE"""),"16/3/2023, 17:00:00")</f>
        <v>16/3/2023, 17:00:00</v>
      </c>
      <c r="I3329" s="1" t="str">
        <f>IFERROR(__xludf.DUMMYFUNCTION("""COMPUTED_VALUE"""),"Completado en SUCURSAL")</f>
        <v>Completado en SUCURSAL</v>
      </c>
      <c r="J3329" s="1">
        <f t="shared" si="3"/>
        <v>5</v>
      </c>
      <c r="K3329" s="1" t="str">
        <f t="shared" si="4"/>
        <v>Tus Lentes estan LISTAS PARA ENTREGAR, te esperamos.</v>
      </c>
    </row>
    <row r="3330">
      <c r="A3330" s="1">
        <f>IFERROR(__xludf.DUMMYFUNCTION("""COMPUTED_VALUE"""),87875.0)</f>
        <v>87875</v>
      </c>
      <c r="B3330" s="5">
        <f>IFERROR(__xludf.DUMMYFUNCTION("""COMPUTED_VALUE"""),44998.51730550926)</f>
        <v>44998.51731</v>
      </c>
      <c r="C3330" s="1" t="str">
        <f>IFERROR(__xludf.DUMMYFUNCTION("""COMPUTED_VALUE"""),"PUCCIONI BEATRIZ ")</f>
        <v>PUCCIONI BEATRIZ </v>
      </c>
      <c r="D3330" s="1" t="str">
        <f>IFERROR(__xludf.DUMMYFUNCTION("""COMPUTED_VALUE"""),"Lentes de STOCK")</f>
        <v>Lentes de STOCK</v>
      </c>
      <c r="E3330" s="1" t="str">
        <f>IFERROR(__xludf.DUMMYFUNCTION("""COMPUTED_VALUE"""),"RIVADAVIA Christian C.")</f>
        <v>RIVADAVIA Christian C.</v>
      </c>
      <c r="F3330" s="1" t="str">
        <f t="shared" si="1"/>
        <v>RIVADAVIA </v>
      </c>
      <c r="G3330" s="1" t="str">
        <f t="shared" si="2"/>
        <v>Christian C.</v>
      </c>
      <c r="H3330" s="1" t="str">
        <f>IFERROR(__xludf.DUMMYFUNCTION("""COMPUTED_VALUE"""),"21/3/2023, 17:00:00")</f>
        <v>21/3/2023, 17:00:00</v>
      </c>
      <c r="I3330" s="1" t="str">
        <f>IFERROR(__xludf.DUMMYFUNCTION("""COMPUTED_VALUE"""),"Completado en SUCURSAL")</f>
        <v>Completado en SUCURSAL</v>
      </c>
      <c r="J3330" s="1">
        <f t="shared" si="3"/>
        <v>5</v>
      </c>
      <c r="K3330" s="1" t="str">
        <f t="shared" si="4"/>
        <v>Tus Lentes estan LISTAS PARA ENTREGAR, te esperamos.</v>
      </c>
    </row>
    <row r="3331">
      <c r="A3331" s="1">
        <f>IFERROR(__xludf.DUMMYFUNCTION("""COMPUTED_VALUE"""),87876.0)</f>
        <v>87876</v>
      </c>
      <c r="B3331" s="5">
        <f>IFERROR(__xludf.DUMMYFUNCTION("""COMPUTED_VALUE"""),44998.52276179398)</f>
        <v>44998.52276</v>
      </c>
      <c r="C3331" s="1" t="str">
        <f>IFERROR(__xludf.DUMMYFUNCTION("""COMPUTED_VALUE"""),"PASTENE EVA")</f>
        <v>PASTENE EVA</v>
      </c>
      <c r="D3331" s="1" t="str">
        <f>IFERROR(__xludf.DUMMYFUNCTION("""COMPUTED_VALUE"""),"Lentes BIFOCALES")</f>
        <v>Lentes BIFOCALES</v>
      </c>
      <c r="E3331" s="1" t="str">
        <f>IFERROR(__xludf.DUMMYFUNCTION("""COMPUTED_VALUE"""),"RIVADAVIA Santiago LOPEZ")</f>
        <v>RIVADAVIA Santiago LOPEZ</v>
      </c>
      <c r="F3331" s="1" t="str">
        <f t="shared" si="1"/>
        <v>RIVADAVIA </v>
      </c>
      <c r="G3331" s="1" t="str">
        <f t="shared" si="2"/>
        <v>Santiago LOPEZ</v>
      </c>
      <c r="H3331" s="1" t="str">
        <f>IFERROR(__xludf.DUMMYFUNCTION("""COMPUTED_VALUE"""),"16/3/2023, 17:00:00")</f>
        <v>16/3/2023, 17:00:00</v>
      </c>
      <c r="I3331" s="1" t="str">
        <f>IFERROR(__xludf.DUMMYFUNCTION("""COMPUTED_VALUE"""),"Completado en SUCURSAL")</f>
        <v>Completado en SUCURSAL</v>
      </c>
      <c r="J3331" s="1">
        <f t="shared" si="3"/>
        <v>5</v>
      </c>
      <c r="K3331" s="1" t="str">
        <f t="shared" si="4"/>
        <v>Tus Lentes estan LISTAS PARA ENTREGAR, te esperamos.</v>
      </c>
    </row>
    <row r="3332">
      <c r="A3332" s="1">
        <f>IFERROR(__xludf.DUMMYFUNCTION("""COMPUTED_VALUE"""),87877.0)</f>
        <v>87877</v>
      </c>
      <c r="B3332" s="5">
        <f>IFERROR(__xludf.DUMMYFUNCTION("""COMPUTED_VALUE"""),44998.52420459491)</f>
        <v>44998.5242</v>
      </c>
      <c r="C3332" s="1" t="str">
        <f>IFERROR(__xludf.DUMMYFUNCTION("""COMPUTED_VALUE"""),"AMIEVA RAMON")</f>
        <v>AMIEVA RAMON</v>
      </c>
      <c r="D3332" s="1" t="str">
        <f>IFERROR(__xludf.DUMMYFUNCTION("""COMPUTED_VALUE"""),"Lentes de STOCK")</f>
        <v>Lentes de STOCK</v>
      </c>
      <c r="E3332" s="1" t="str">
        <f>IFERROR(__xludf.DUMMYFUNCTION("""COMPUTED_VALUE"""),"ARTIGAS Roció")</f>
        <v>ARTIGAS Roció</v>
      </c>
      <c r="F3332" s="1" t="str">
        <f t="shared" si="1"/>
        <v>ARTIGAS </v>
      </c>
      <c r="G3332" s="1" t="str">
        <f t="shared" si="2"/>
        <v>Roció</v>
      </c>
      <c r="H3332" s="1" t="str">
        <f>IFERROR(__xludf.DUMMYFUNCTION("""COMPUTED_VALUE"""),"20/3/2023, 17:00:00")</f>
        <v>20/3/2023, 17:00:00</v>
      </c>
      <c r="I3332" s="1" t="str">
        <f>IFERROR(__xludf.DUMMYFUNCTION("""COMPUTED_VALUE"""),"RETIRADO OK POR CLIENTE")</f>
        <v>RETIRADO OK POR CLIENTE</v>
      </c>
      <c r="J3332" s="1">
        <f t="shared" si="3"/>
        <v>6</v>
      </c>
      <c r="K3332" s="1" t="str">
        <f t="shared" si="4"/>
        <v>Entregamos tus lentes, que los disfrutes!</v>
      </c>
    </row>
    <row r="3333">
      <c r="A3333" s="1">
        <f>IFERROR(__xludf.DUMMYFUNCTION("""COMPUTED_VALUE"""),87878.0)</f>
        <v>87878</v>
      </c>
      <c r="B3333" s="5">
        <f>IFERROR(__xludf.DUMMYFUNCTION("""COMPUTED_VALUE"""),44998.524995300926)</f>
        <v>44998.525</v>
      </c>
      <c r="C3333" s="1" t="str">
        <f>IFERROR(__xludf.DUMMYFUNCTION("""COMPUTED_VALUE"""),"AGUERO ROSA MABEL")</f>
        <v>AGUERO ROSA MABEL</v>
      </c>
      <c r="D3333" s="1" t="str">
        <f>IFERROR(__xludf.DUMMYFUNCTION("""COMPUTED_VALUE"""),"Lentes de STOCK")</f>
        <v>Lentes de STOCK</v>
      </c>
      <c r="E3333" s="1" t="str">
        <f>IFERROR(__xludf.DUMMYFUNCTION("""COMPUTED_VALUE"""),"RIVADAVIA Marcela L")</f>
        <v>RIVADAVIA Marcela L</v>
      </c>
      <c r="F3333" s="1" t="str">
        <f t="shared" si="1"/>
        <v>RIVADAVIA </v>
      </c>
      <c r="G3333" s="1" t="str">
        <f t="shared" si="2"/>
        <v>Marcela L</v>
      </c>
      <c r="H3333" s="1" t="str">
        <f>IFERROR(__xludf.DUMMYFUNCTION("""COMPUTED_VALUE"""),"21/3/2023, 17:00:00")</f>
        <v>21/3/2023, 17:00:00</v>
      </c>
      <c r="I3333" s="1" t="str">
        <f>IFERROR(__xludf.DUMMYFUNCTION("""COMPUTED_VALUE"""),"Completado en SUCURSAL")</f>
        <v>Completado en SUCURSAL</v>
      </c>
      <c r="J3333" s="1">
        <f t="shared" si="3"/>
        <v>5</v>
      </c>
      <c r="K3333" s="1" t="str">
        <f t="shared" si="4"/>
        <v>Tus Lentes estan LISTAS PARA ENTREGAR, te esperamos.</v>
      </c>
    </row>
    <row r="3334">
      <c r="A3334" s="1">
        <f>IFERROR(__xludf.DUMMYFUNCTION("""COMPUTED_VALUE"""),87879.0)</f>
        <v>87879</v>
      </c>
      <c r="B3334" s="5">
        <f>IFERROR(__xludf.DUMMYFUNCTION("""COMPUTED_VALUE"""),44998.53092518519)</f>
        <v>44998.53093</v>
      </c>
      <c r="C3334" s="1" t="str">
        <f>IFERROR(__xludf.DUMMYFUNCTION("""COMPUTED_VALUE"""),"Velazquez Gloria ")</f>
        <v>Velazquez Gloria </v>
      </c>
      <c r="D3334" s="1" t="str">
        <f>IFERROR(__xludf.DUMMYFUNCTION("""COMPUTED_VALUE"""),"Lentes de STOCK")</f>
        <v>Lentes de STOCK</v>
      </c>
      <c r="E3334" s="1" t="str">
        <f>IFERROR(__xludf.DUMMYFUNCTION("""COMPUTED_VALUE"""),"RIVADAVIA Santiago N")</f>
        <v>RIVADAVIA Santiago N</v>
      </c>
      <c r="F3334" s="1" t="str">
        <f t="shared" si="1"/>
        <v>RIVADAVIA </v>
      </c>
      <c r="G3334" s="1" t="str">
        <f t="shared" si="2"/>
        <v>Santiago N</v>
      </c>
      <c r="H3334" s="1" t="str">
        <f>IFERROR(__xludf.DUMMYFUNCTION("""COMPUTED_VALUE"""),"20/3/2023, 17:00:00")</f>
        <v>20/3/2023, 17:00:00</v>
      </c>
      <c r="I3334" s="1" t="str">
        <f>IFERROR(__xludf.DUMMYFUNCTION("""COMPUTED_VALUE"""),"Completado en SUCURSAL")</f>
        <v>Completado en SUCURSAL</v>
      </c>
      <c r="J3334" s="1">
        <f t="shared" si="3"/>
        <v>5</v>
      </c>
      <c r="K3334" s="1" t="str">
        <f t="shared" si="4"/>
        <v>Tus Lentes estan LISTAS PARA ENTREGAR, te esperamos.</v>
      </c>
    </row>
    <row r="3335">
      <c r="A3335" s="1">
        <f>IFERROR(__xludf.DUMMYFUNCTION("""COMPUTED_VALUE"""),87880.0)</f>
        <v>87880</v>
      </c>
      <c r="B3335" s="5">
        <f>IFERROR(__xludf.DUMMYFUNCTION("""COMPUTED_VALUE"""),44998.53154413194)</f>
        <v>44998.53154</v>
      </c>
      <c r="C3335" s="1" t="str">
        <f>IFERROR(__xludf.DUMMYFUNCTION("""COMPUTED_VALUE"""),"VELOZ RUA,MARIA DEL CARMEN")</f>
        <v>VELOZ RUA,MARIA DEL CARMEN</v>
      </c>
      <c r="D3335" s="1" t="str">
        <f>IFERROR(__xludf.DUMMYFUNCTION("""COMPUTED_VALUE"""),"Lentes de STOCK")</f>
        <v>Lentes de STOCK</v>
      </c>
      <c r="E3335" s="1" t="str">
        <f>IFERROR(__xludf.DUMMYFUNCTION("""COMPUTED_VALUE"""),"RIVADAVIA Santiago LOPEZ")</f>
        <v>RIVADAVIA Santiago LOPEZ</v>
      </c>
      <c r="F3335" s="1" t="str">
        <f t="shared" si="1"/>
        <v>RIVADAVIA </v>
      </c>
      <c r="G3335" s="1" t="str">
        <f t="shared" si="2"/>
        <v>Santiago LOPEZ</v>
      </c>
      <c r="H3335" s="1" t="str">
        <f>IFERROR(__xludf.DUMMYFUNCTION("""COMPUTED_VALUE"""),"21/3/2023, 17:00:00")</f>
        <v>21/3/2023, 17:00:00</v>
      </c>
      <c r="I3335" s="1" t="str">
        <f>IFERROR(__xludf.DUMMYFUNCTION("""COMPUTED_VALUE"""),"Completado en SUCURSAL")</f>
        <v>Completado en SUCURSAL</v>
      </c>
      <c r="J3335" s="1">
        <f t="shared" si="3"/>
        <v>5</v>
      </c>
      <c r="K3335" s="1" t="str">
        <f t="shared" si="4"/>
        <v>Tus Lentes estan LISTAS PARA ENTREGAR, te esperamos.</v>
      </c>
    </row>
    <row r="3336">
      <c r="A3336" s="1">
        <f>IFERROR(__xludf.DUMMYFUNCTION("""COMPUTED_VALUE"""),87881.0)</f>
        <v>87881</v>
      </c>
      <c r="B3336" s="5">
        <f>IFERROR(__xludf.DUMMYFUNCTION("""COMPUTED_VALUE"""),44998.53398605324)</f>
        <v>44998.53399</v>
      </c>
      <c r="C3336" s="1" t="str">
        <f>IFERROR(__xludf.DUMMYFUNCTION("""COMPUTED_VALUE"""),"SALINAS JUAN JOSE ")</f>
        <v>SALINAS JUAN JOSE </v>
      </c>
      <c r="D3336" s="1" t="str">
        <f>IFERROR(__xludf.DUMMYFUNCTION("""COMPUTED_VALUE"""),"Lentes MULTIFOCALES")</f>
        <v>Lentes MULTIFOCALES</v>
      </c>
      <c r="E3336" s="1" t="str">
        <f>IFERROR(__xludf.DUMMYFUNCTION("""COMPUTED_VALUE"""),"RIVADAVIA Christian C.")</f>
        <v>RIVADAVIA Christian C.</v>
      </c>
      <c r="F3336" s="1" t="str">
        <f t="shared" si="1"/>
        <v>RIVADAVIA </v>
      </c>
      <c r="G3336" s="1" t="str">
        <f t="shared" si="2"/>
        <v>Christian C.</v>
      </c>
      <c r="H3336" s="1" t="str">
        <f>IFERROR(__xludf.DUMMYFUNCTION("""COMPUTED_VALUE"""),"29/3/2023, 17:00:00")</f>
        <v>29/3/2023, 17:00:00</v>
      </c>
      <c r="I3336" s="1" t="str">
        <f>IFERROR(__xludf.DUMMYFUNCTION("""COMPUTED_VALUE"""),"Completado en SUCURSAL")</f>
        <v>Completado en SUCURSAL</v>
      </c>
      <c r="J3336" s="1">
        <f t="shared" si="3"/>
        <v>5</v>
      </c>
      <c r="K3336" s="1" t="str">
        <f t="shared" si="4"/>
        <v>Tus Lentes estan LISTAS PARA ENTREGAR, te esperamos.</v>
      </c>
    </row>
    <row r="3337">
      <c r="A3337" s="1">
        <f>IFERROR(__xludf.DUMMYFUNCTION("""COMPUTED_VALUE"""),87882.0)</f>
        <v>87882</v>
      </c>
      <c r="B3337" s="5">
        <f>IFERROR(__xludf.DUMMYFUNCTION("""COMPUTED_VALUE"""),44998.53547420139)</f>
        <v>44998.53547</v>
      </c>
      <c r="C3337" s="1" t="str">
        <f>IFERROR(__xludf.DUMMYFUNCTION("""COMPUTED_VALUE"""),"BARROSO MARIA")</f>
        <v>BARROSO MARIA</v>
      </c>
      <c r="D3337" s="1" t="str">
        <f>IFERROR(__xludf.DUMMYFUNCTION("""COMPUTED_VALUE"""),"Lentes de STOCK")</f>
        <v>Lentes de STOCK</v>
      </c>
      <c r="E3337" s="1" t="str">
        <f>IFERROR(__xludf.DUMMYFUNCTION("""COMPUTED_VALUE"""),"ARTIGAS Ivana P.")</f>
        <v>ARTIGAS Ivana P.</v>
      </c>
      <c r="F3337" s="1" t="str">
        <f t="shared" si="1"/>
        <v>ARTIGAS </v>
      </c>
      <c r="G3337" s="1" t="str">
        <f t="shared" si="2"/>
        <v>Ivana P.</v>
      </c>
      <c r="H3337" s="1" t="str">
        <f>IFERROR(__xludf.DUMMYFUNCTION("""COMPUTED_VALUE"""),"16/3/2023, 17:00:00")</f>
        <v>16/3/2023, 17:00:00</v>
      </c>
      <c r="I3337" s="1" t="str">
        <f>IFERROR(__xludf.DUMMYFUNCTION("""COMPUTED_VALUE"""),"Completado en SUCURSAL")</f>
        <v>Completado en SUCURSAL</v>
      </c>
      <c r="J3337" s="1">
        <f t="shared" si="3"/>
        <v>5</v>
      </c>
      <c r="K3337" s="1" t="str">
        <f t="shared" si="4"/>
        <v>Tus Lentes estan LISTAS PARA ENTREGAR, te esperamos.</v>
      </c>
    </row>
    <row r="3338">
      <c r="A3338" s="1">
        <f>IFERROR(__xludf.DUMMYFUNCTION("""COMPUTED_VALUE"""),87883.0)</f>
        <v>87883</v>
      </c>
      <c r="B3338" s="5">
        <f>IFERROR(__xludf.DUMMYFUNCTION("""COMPUTED_VALUE"""),44998.54192603009)</f>
        <v>44998.54193</v>
      </c>
      <c r="C3338" s="1" t="str">
        <f>IFERROR(__xludf.DUMMYFUNCTION("""COMPUTED_VALUE"""),"CHAVEZ MARIA")</f>
        <v>CHAVEZ MARIA</v>
      </c>
      <c r="D3338" s="1" t="str">
        <f>IFERROR(__xludf.DUMMYFUNCTION("""COMPUTED_VALUE"""),"Lentes de STOCK")</f>
        <v>Lentes de STOCK</v>
      </c>
      <c r="E3338" s="1" t="str">
        <f>IFERROR(__xludf.DUMMYFUNCTION("""COMPUTED_VALUE"""),"RIVADAVIA Santiago LOPEZ")</f>
        <v>RIVADAVIA Santiago LOPEZ</v>
      </c>
      <c r="F3338" s="1" t="str">
        <f t="shared" si="1"/>
        <v>RIVADAVIA </v>
      </c>
      <c r="G3338" s="1" t="str">
        <f t="shared" si="2"/>
        <v>Santiago LOPEZ</v>
      </c>
      <c r="H3338" s="1" t="str">
        <f>IFERROR(__xludf.DUMMYFUNCTION("""COMPUTED_VALUE"""),"16/3/2023, 17:00:00")</f>
        <v>16/3/2023, 17:00:00</v>
      </c>
      <c r="I3338" s="1" t="str">
        <f>IFERROR(__xludf.DUMMYFUNCTION("""COMPUTED_VALUE"""),"Completado en SUCURSAL")</f>
        <v>Completado en SUCURSAL</v>
      </c>
      <c r="J3338" s="1">
        <f t="shared" si="3"/>
        <v>5</v>
      </c>
      <c r="K3338" s="1" t="str">
        <f t="shared" si="4"/>
        <v>Tus Lentes estan LISTAS PARA ENTREGAR, te esperamos.</v>
      </c>
    </row>
    <row r="3339">
      <c r="A3339" s="1">
        <f>IFERROR(__xludf.DUMMYFUNCTION("""COMPUTED_VALUE"""),87884.0)</f>
        <v>87884</v>
      </c>
      <c r="B3339" s="5">
        <f>IFERROR(__xludf.DUMMYFUNCTION("""COMPUTED_VALUE"""),44998.54210413195)</f>
        <v>44998.5421</v>
      </c>
      <c r="C3339" s="1" t="str">
        <f>IFERROR(__xludf.DUMMYFUNCTION("""COMPUTED_VALUE"""),"RETTA NATAN RAMON")</f>
        <v>RETTA NATAN RAMON</v>
      </c>
      <c r="D3339" s="1" t="str">
        <f>IFERROR(__xludf.DUMMYFUNCTION("""COMPUTED_VALUE"""),"Lentes de STOCK")</f>
        <v>Lentes de STOCK</v>
      </c>
      <c r="E3339" s="1" t="str">
        <f>IFERROR(__xludf.DUMMYFUNCTION("""COMPUTED_VALUE"""),"ARTIGAS Roció")</f>
        <v>ARTIGAS Roció</v>
      </c>
      <c r="F3339" s="1" t="str">
        <f t="shared" si="1"/>
        <v>ARTIGAS </v>
      </c>
      <c r="G3339" s="1" t="str">
        <f t="shared" si="2"/>
        <v>Roció</v>
      </c>
      <c r="H3339" s="1" t="str">
        <f>IFERROR(__xludf.DUMMYFUNCTION("""COMPUTED_VALUE"""),"17/3/2023, 17:00:00")</f>
        <v>17/3/2023, 17:00:00</v>
      </c>
      <c r="I3339" s="1" t="str">
        <f>IFERROR(__xludf.DUMMYFUNCTION("""COMPUTED_VALUE"""),"Completado en SUCURSAL")</f>
        <v>Completado en SUCURSAL</v>
      </c>
      <c r="J3339" s="1">
        <f t="shared" si="3"/>
        <v>5</v>
      </c>
      <c r="K3339" s="1" t="str">
        <f t="shared" si="4"/>
        <v>Tus Lentes estan LISTAS PARA ENTREGAR, te esperamos.</v>
      </c>
    </row>
    <row r="3340">
      <c r="A3340" s="1">
        <f>IFERROR(__xludf.DUMMYFUNCTION("""COMPUTED_VALUE"""),87885.0)</f>
        <v>87885</v>
      </c>
      <c r="B3340" s="5">
        <f>IFERROR(__xludf.DUMMYFUNCTION("""COMPUTED_VALUE"""),44998.549637442135)</f>
        <v>44998.54964</v>
      </c>
      <c r="C3340" s="1" t="str">
        <f>IFERROR(__xludf.DUMMYFUNCTION("""COMPUTED_VALUE"""),"lucero jorge")</f>
        <v>lucero jorge</v>
      </c>
      <c r="D3340" s="1" t="str">
        <f>IFERROR(__xludf.DUMMYFUNCTION("""COMPUTED_VALUE"""),"Lentes de STOCK")</f>
        <v>Lentes de STOCK</v>
      </c>
      <c r="E3340" s="1" t="str">
        <f>IFERROR(__xludf.DUMMYFUNCTION("""COMPUTED_VALUE"""),"ARTIGAS Roció")</f>
        <v>ARTIGAS Roció</v>
      </c>
      <c r="F3340" s="1" t="str">
        <f t="shared" si="1"/>
        <v>ARTIGAS </v>
      </c>
      <c r="G3340" s="1" t="str">
        <f t="shared" si="2"/>
        <v>Roció</v>
      </c>
      <c r="H3340" s="1" t="str">
        <f>IFERROR(__xludf.DUMMYFUNCTION("""COMPUTED_VALUE"""),"17/3/2023, 17:00:00")</f>
        <v>17/3/2023, 17:00:00</v>
      </c>
      <c r="I3340" s="1" t="str">
        <f>IFERROR(__xludf.DUMMYFUNCTION("""COMPUTED_VALUE"""),"Completado en SUCURSAL")</f>
        <v>Completado en SUCURSAL</v>
      </c>
      <c r="J3340" s="1">
        <f t="shared" si="3"/>
        <v>5</v>
      </c>
      <c r="K3340" s="1" t="str">
        <f t="shared" si="4"/>
        <v>Tus Lentes estan LISTAS PARA ENTREGAR, te esperamos.</v>
      </c>
    </row>
    <row r="3341">
      <c r="A3341" s="1">
        <f>IFERROR(__xludf.DUMMYFUNCTION("""COMPUTED_VALUE"""),87886.0)</f>
        <v>87886</v>
      </c>
      <c r="B3341" s="5">
        <f>IFERROR(__xludf.DUMMYFUNCTION("""COMPUTED_VALUE"""),44998.55033744213)</f>
        <v>44998.55034</v>
      </c>
      <c r="C3341" s="1" t="str">
        <f>IFERROR(__xludf.DUMMYFUNCTION("""COMPUTED_VALUE"""),"paniagua ignacio")</f>
        <v>paniagua ignacio</v>
      </c>
      <c r="D3341" s="1" t="str">
        <f>IFERROR(__xludf.DUMMYFUNCTION("""COMPUTED_VALUE"""),"Lentes de STOCK")</f>
        <v>Lentes de STOCK</v>
      </c>
      <c r="E3341" s="1" t="str">
        <f>IFERROR(__xludf.DUMMYFUNCTION("""COMPUTED_VALUE"""),"RIVADAVIA Daniel CM")</f>
        <v>RIVADAVIA Daniel CM</v>
      </c>
      <c r="F3341" s="1" t="str">
        <f t="shared" si="1"/>
        <v>RIVADAVIA </v>
      </c>
      <c r="G3341" s="1" t="str">
        <f t="shared" si="2"/>
        <v>Daniel CM</v>
      </c>
      <c r="H3341" s="1" t="str">
        <f>IFERROR(__xludf.DUMMYFUNCTION("""COMPUTED_VALUE"""),"17/3/2023, 17:00:00")</f>
        <v>17/3/2023, 17:00:00</v>
      </c>
      <c r="I3341" s="1" t="str">
        <f>IFERROR(__xludf.DUMMYFUNCTION("""COMPUTED_VALUE"""),"Completado en SUCURSAL")</f>
        <v>Completado en SUCURSAL</v>
      </c>
      <c r="J3341" s="1">
        <f t="shared" si="3"/>
        <v>5</v>
      </c>
      <c r="K3341" s="1" t="str">
        <f t="shared" si="4"/>
        <v>Tus Lentes estan LISTAS PARA ENTREGAR, te esperamos.</v>
      </c>
    </row>
    <row r="3342">
      <c r="A3342" s="1">
        <f>IFERROR(__xludf.DUMMYFUNCTION("""COMPUTED_VALUE"""),87887.0)</f>
        <v>87887</v>
      </c>
      <c r="B3342" s="5">
        <f>IFERROR(__xludf.DUMMYFUNCTION("""COMPUTED_VALUE"""),44998.552667870375)</f>
        <v>44998.55267</v>
      </c>
      <c r="C3342" s="1" t="str">
        <f>IFERROR(__xludf.DUMMYFUNCTION("""COMPUTED_VALUE"""),"PELLEGRINO SILVIA RAQUEL")</f>
        <v>PELLEGRINO SILVIA RAQUEL</v>
      </c>
      <c r="D3342" s="1" t="str">
        <f>IFERROR(__xludf.DUMMYFUNCTION("""COMPUTED_VALUE"""),"Lentes de STOCK")</f>
        <v>Lentes de STOCK</v>
      </c>
      <c r="E3342" s="1" t="str">
        <f>IFERROR(__xludf.DUMMYFUNCTION("""COMPUTED_VALUE"""),"RIVADAVIA Marcela L")</f>
        <v>RIVADAVIA Marcela L</v>
      </c>
      <c r="F3342" s="1" t="str">
        <f t="shared" si="1"/>
        <v>RIVADAVIA </v>
      </c>
      <c r="G3342" s="1" t="str">
        <f t="shared" si="2"/>
        <v>Marcela L</v>
      </c>
      <c r="H3342" s="1" t="str">
        <f>IFERROR(__xludf.DUMMYFUNCTION("""COMPUTED_VALUE"""),"16/3/2023, 17:00:00")</f>
        <v>16/3/2023, 17:00:00</v>
      </c>
      <c r="I3342" s="1" t="str">
        <f>IFERROR(__xludf.DUMMYFUNCTION("""COMPUTED_VALUE"""),"Completado en SUCURSAL")</f>
        <v>Completado en SUCURSAL</v>
      </c>
      <c r="J3342" s="1">
        <f t="shared" si="3"/>
        <v>5</v>
      </c>
      <c r="K3342" s="1" t="str">
        <f t="shared" si="4"/>
        <v>Tus Lentes estan LISTAS PARA ENTREGAR, te esperamos.</v>
      </c>
    </row>
    <row r="3343">
      <c r="A3343" s="1">
        <f>IFERROR(__xludf.DUMMYFUNCTION("""COMPUTED_VALUE"""),87888.0)</f>
        <v>87888</v>
      </c>
      <c r="B3343" s="5">
        <f>IFERROR(__xludf.DUMMYFUNCTION("""COMPUTED_VALUE"""),44998.55976157407)</f>
        <v>44998.55976</v>
      </c>
      <c r="C3343" s="1" t="str">
        <f>IFERROR(__xludf.DUMMYFUNCTION("""COMPUTED_VALUE"""),"fernandez teresita")</f>
        <v>fernandez teresita</v>
      </c>
      <c r="D3343" s="1" t="str">
        <f>IFERROR(__xludf.DUMMYFUNCTION("""COMPUTED_VALUE"""),"Lentes de STOCK")</f>
        <v>Lentes de STOCK</v>
      </c>
      <c r="E3343" s="1" t="str">
        <f>IFERROR(__xludf.DUMMYFUNCTION("""COMPUTED_VALUE"""),"RIVADAVIA Daniel CM")</f>
        <v>RIVADAVIA Daniel CM</v>
      </c>
      <c r="F3343" s="1" t="str">
        <f t="shared" si="1"/>
        <v>RIVADAVIA </v>
      </c>
      <c r="G3343" s="1" t="str">
        <f t="shared" si="2"/>
        <v>Daniel CM</v>
      </c>
      <c r="H3343" s="1" t="str">
        <f>IFERROR(__xludf.DUMMYFUNCTION("""COMPUTED_VALUE"""),"16/3/2023, 17:00:00")</f>
        <v>16/3/2023, 17:00:00</v>
      </c>
      <c r="I3343" s="1" t="str">
        <f>IFERROR(__xludf.DUMMYFUNCTION("""COMPUTED_VALUE"""),"Completado en SUCURSAL")</f>
        <v>Completado en SUCURSAL</v>
      </c>
      <c r="J3343" s="1">
        <f t="shared" si="3"/>
        <v>5</v>
      </c>
      <c r="K3343" s="1" t="str">
        <f t="shared" si="4"/>
        <v>Tus Lentes estan LISTAS PARA ENTREGAR, te esperamos.</v>
      </c>
    </row>
    <row r="3344">
      <c r="A3344" s="1">
        <f>IFERROR(__xludf.DUMMYFUNCTION("""COMPUTED_VALUE"""),87889.0)</f>
        <v>87889</v>
      </c>
      <c r="B3344" s="5">
        <f>IFERROR(__xludf.DUMMYFUNCTION("""COMPUTED_VALUE"""),44998.72375334491)</f>
        <v>44998.72375</v>
      </c>
      <c r="C3344" s="1" t="str">
        <f>IFERROR(__xludf.DUMMYFUNCTION("""COMPUTED_VALUE"""),"SCARPUZZA GUILLERMO")</f>
        <v>SCARPUZZA GUILLERMO</v>
      </c>
      <c r="D3344" s="1" t="str">
        <f>IFERROR(__xludf.DUMMYFUNCTION("""COMPUTED_VALUE"""),"Lentes de STOCK")</f>
        <v>Lentes de STOCK</v>
      </c>
      <c r="E3344" s="1" t="str">
        <f>IFERROR(__xludf.DUMMYFUNCTION("""COMPUTED_VALUE"""),"ARTIGAS Roció")</f>
        <v>ARTIGAS Roció</v>
      </c>
      <c r="F3344" s="1" t="str">
        <f t="shared" si="1"/>
        <v>ARTIGAS </v>
      </c>
      <c r="G3344" s="1" t="str">
        <f t="shared" si="2"/>
        <v>Roció</v>
      </c>
      <c r="H3344" s="1" t="str">
        <f>IFERROR(__xludf.DUMMYFUNCTION("""COMPUTED_VALUE"""),"20/3/2023, 17:00:00")</f>
        <v>20/3/2023, 17:00:00</v>
      </c>
      <c r="I3344" s="1" t="str">
        <f>IFERROR(__xludf.DUMMYFUNCTION("""COMPUTED_VALUE"""),"Completado en SUCURSAL")</f>
        <v>Completado en SUCURSAL</v>
      </c>
      <c r="J3344" s="1">
        <f t="shared" si="3"/>
        <v>5</v>
      </c>
      <c r="K3344" s="1" t="str">
        <f t="shared" si="4"/>
        <v>Tus Lentes estan LISTAS PARA ENTREGAR, te esperamos.</v>
      </c>
    </row>
    <row r="3345">
      <c r="A3345" s="1">
        <f>IFERROR(__xludf.DUMMYFUNCTION("""COMPUTED_VALUE"""),87890.0)</f>
        <v>87890</v>
      </c>
      <c r="B3345" s="5">
        <f>IFERROR(__xludf.DUMMYFUNCTION("""COMPUTED_VALUE"""),44998.725669328705)</f>
        <v>44998.72567</v>
      </c>
      <c r="C3345" s="1" t="str">
        <f>IFERROR(__xludf.DUMMYFUNCTION("""COMPUTED_VALUE"""),"GARRO PASCUAL ")</f>
        <v>GARRO PASCUAL </v>
      </c>
      <c r="D3345" s="1" t="str">
        <f>IFERROR(__xludf.DUMMYFUNCTION("""COMPUTED_VALUE"""),"Lentes de STOCK")</f>
        <v>Lentes de STOCK</v>
      </c>
      <c r="E3345" s="1" t="str">
        <f>IFERROR(__xludf.DUMMYFUNCTION("""COMPUTED_VALUE"""),"RIVADAVIA Christian C.")</f>
        <v>RIVADAVIA Christian C.</v>
      </c>
      <c r="F3345" s="1" t="str">
        <f t="shared" si="1"/>
        <v>RIVADAVIA </v>
      </c>
      <c r="G3345" s="1" t="str">
        <f t="shared" si="2"/>
        <v>Christian C.</v>
      </c>
      <c r="H3345" s="1" t="str">
        <f>IFERROR(__xludf.DUMMYFUNCTION("""COMPUTED_VALUE"""),"22/3/2023, 17:00:00")</f>
        <v>22/3/2023, 17:00:00</v>
      </c>
      <c r="I3345" s="1" t="str">
        <f>IFERROR(__xludf.DUMMYFUNCTION("""COMPUTED_VALUE"""),"Completado en SUCURSAL")</f>
        <v>Completado en SUCURSAL</v>
      </c>
      <c r="J3345" s="1">
        <f t="shared" si="3"/>
        <v>5</v>
      </c>
      <c r="K3345" s="1" t="str">
        <f t="shared" si="4"/>
        <v>Tus Lentes estan LISTAS PARA ENTREGAR, te esperamos.</v>
      </c>
    </row>
    <row r="3346">
      <c r="A3346" s="1">
        <f>IFERROR(__xludf.DUMMYFUNCTION("""COMPUTED_VALUE"""),87891.0)</f>
        <v>87891</v>
      </c>
      <c r="B3346" s="5">
        <f>IFERROR(__xludf.DUMMYFUNCTION("""COMPUTED_VALUE"""),44998.72710474537)</f>
        <v>44998.7271</v>
      </c>
      <c r="C3346" s="1" t="str">
        <f>IFERROR(__xludf.DUMMYFUNCTION("""COMPUTED_VALUE"""),"VERA LORENA")</f>
        <v>VERA LORENA</v>
      </c>
      <c r="D3346" s="1" t="str">
        <f>IFERROR(__xludf.DUMMYFUNCTION("""COMPUTED_VALUE"""),"Lentes de STOCK")</f>
        <v>Lentes de STOCK</v>
      </c>
      <c r="E3346" s="1" t="str">
        <f>IFERROR(__xludf.DUMMYFUNCTION("""COMPUTED_VALUE"""),"ARTIGAS Roció")</f>
        <v>ARTIGAS Roció</v>
      </c>
      <c r="F3346" s="1" t="str">
        <f t="shared" si="1"/>
        <v>ARTIGAS </v>
      </c>
      <c r="G3346" s="1" t="str">
        <f t="shared" si="2"/>
        <v>Roció</v>
      </c>
      <c r="H3346" s="1" t="str">
        <f>IFERROR(__xludf.DUMMYFUNCTION("""COMPUTED_VALUE"""),"20/3/2023, 17:00:00")</f>
        <v>20/3/2023, 17:00:00</v>
      </c>
      <c r="I3346" s="1" t="str">
        <f>IFERROR(__xludf.DUMMYFUNCTION("""COMPUTED_VALUE"""),"Completado en SUCURSAL")</f>
        <v>Completado en SUCURSAL</v>
      </c>
      <c r="J3346" s="1">
        <f t="shared" si="3"/>
        <v>5</v>
      </c>
      <c r="K3346" s="1" t="str">
        <f t="shared" si="4"/>
        <v>Tus Lentes estan LISTAS PARA ENTREGAR, te esperamos.</v>
      </c>
    </row>
    <row r="3347">
      <c r="A3347" s="1">
        <f>IFERROR(__xludf.DUMMYFUNCTION("""COMPUTED_VALUE"""),87892.0)</f>
        <v>87892</v>
      </c>
      <c r="B3347" s="5">
        <f>IFERROR(__xludf.DUMMYFUNCTION("""COMPUTED_VALUE"""),44998.74507096065)</f>
        <v>44998.74507</v>
      </c>
      <c r="C3347" s="1" t="str">
        <f>IFERROR(__xludf.DUMMYFUNCTION("""COMPUTED_VALUE"""),"crotto zaira")</f>
        <v>crotto zaira</v>
      </c>
      <c r="D3347" s="1" t="str">
        <f>IFERROR(__xludf.DUMMYFUNCTION("""COMPUTED_VALUE"""),"Lentes de STOCK")</f>
        <v>Lentes de STOCK</v>
      </c>
      <c r="E3347" s="1" t="str">
        <f>IFERROR(__xludf.DUMMYFUNCTION("""COMPUTED_VALUE"""),"RIVADAVIA Santiago N")</f>
        <v>RIVADAVIA Santiago N</v>
      </c>
      <c r="F3347" s="1" t="str">
        <f t="shared" si="1"/>
        <v>RIVADAVIA </v>
      </c>
      <c r="G3347" s="1" t="str">
        <f t="shared" si="2"/>
        <v>Santiago N</v>
      </c>
      <c r="H3347" s="1" t="str">
        <f>IFERROR(__xludf.DUMMYFUNCTION("""COMPUTED_VALUE"""),"18/3/2023, 17:00:00")</f>
        <v>18/3/2023, 17:00:00</v>
      </c>
      <c r="I3347" s="1" t="str">
        <f>IFERROR(__xludf.DUMMYFUNCTION("""COMPUTED_VALUE"""),"Completado en SUCURSAL")</f>
        <v>Completado en SUCURSAL</v>
      </c>
      <c r="J3347" s="1">
        <f t="shared" si="3"/>
        <v>5</v>
      </c>
      <c r="K3347" s="1" t="str">
        <f t="shared" si="4"/>
        <v>Tus Lentes estan LISTAS PARA ENTREGAR, te esperamos.</v>
      </c>
    </row>
    <row r="3348">
      <c r="A3348" s="1">
        <f>IFERROR(__xludf.DUMMYFUNCTION("""COMPUTED_VALUE"""),87893.0)</f>
        <v>87893</v>
      </c>
      <c r="B3348" s="5">
        <f>IFERROR(__xludf.DUMMYFUNCTION("""COMPUTED_VALUE"""),44998.74692821759)</f>
        <v>44998.74693</v>
      </c>
      <c r="C3348" s="1" t="str">
        <f>IFERROR(__xludf.DUMMYFUNCTION("""COMPUTED_VALUE"""),"NIETO NATALIA")</f>
        <v>NIETO NATALIA</v>
      </c>
      <c r="D3348" s="1" t="str">
        <f>IFERROR(__xludf.DUMMYFUNCTION("""COMPUTED_VALUE"""),"Lentes de STOCK")</f>
        <v>Lentes de STOCK</v>
      </c>
      <c r="E3348" s="1" t="str">
        <f>IFERROR(__xludf.DUMMYFUNCTION("""COMPUTED_VALUE"""),"RIVADAVIA Santiago LOPEZ")</f>
        <v>RIVADAVIA Santiago LOPEZ</v>
      </c>
      <c r="F3348" s="1" t="str">
        <f t="shared" si="1"/>
        <v>RIVADAVIA </v>
      </c>
      <c r="G3348" s="1" t="str">
        <f t="shared" si="2"/>
        <v>Santiago LOPEZ</v>
      </c>
      <c r="H3348" s="1" t="str">
        <f>IFERROR(__xludf.DUMMYFUNCTION("""COMPUTED_VALUE"""),"16/3/2023, 17:00:00")</f>
        <v>16/3/2023, 17:00:00</v>
      </c>
      <c r="I3348" s="1" t="str">
        <f>IFERROR(__xludf.DUMMYFUNCTION("""COMPUTED_VALUE"""),"Completado en SUCURSAL")</f>
        <v>Completado en SUCURSAL</v>
      </c>
      <c r="J3348" s="1">
        <f t="shared" si="3"/>
        <v>5</v>
      </c>
      <c r="K3348" s="1" t="str">
        <f t="shared" si="4"/>
        <v>Tus Lentes estan LISTAS PARA ENTREGAR, te esperamos.</v>
      </c>
    </row>
    <row r="3349">
      <c r="A3349" s="1">
        <f>IFERROR(__xludf.DUMMYFUNCTION("""COMPUTED_VALUE"""),87894.0)</f>
        <v>87894</v>
      </c>
      <c r="B3349" s="5">
        <f>IFERROR(__xludf.DUMMYFUNCTION("""COMPUTED_VALUE"""),44998.75611192129)</f>
        <v>44998.75611</v>
      </c>
      <c r="C3349" s="1" t="str">
        <f>IFERROR(__xludf.DUMMYFUNCTION("""COMPUTED_VALUE"""),"TERENZANO NICOLAS")</f>
        <v>TERENZANO NICOLAS</v>
      </c>
      <c r="D3349" s="1" t="str">
        <f>IFERROR(__xludf.DUMMYFUNCTION("""COMPUTED_VALUE"""),"Lentes de STOCK")</f>
        <v>Lentes de STOCK</v>
      </c>
      <c r="E3349" s="1" t="str">
        <f>IFERROR(__xludf.DUMMYFUNCTION("""COMPUTED_VALUE"""),"RIVADAVIA Christian C.")</f>
        <v>RIVADAVIA Christian C.</v>
      </c>
      <c r="F3349" s="1" t="str">
        <f t="shared" si="1"/>
        <v>RIVADAVIA </v>
      </c>
      <c r="G3349" s="1" t="str">
        <f t="shared" si="2"/>
        <v>Christian C.</v>
      </c>
      <c r="H3349" s="1" t="str">
        <f>IFERROR(__xludf.DUMMYFUNCTION("""COMPUTED_VALUE"""),"20/3/2023, 17:00:00")</f>
        <v>20/3/2023, 17:00:00</v>
      </c>
      <c r="I3349" s="1" t="str">
        <f>IFERROR(__xludf.DUMMYFUNCTION("""COMPUTED_VALUE"""),"Completado en SUCURSAL")</f>
        <v>Completado en SUCURSAL</v>
      </c>
      <c r="J3349" s="1">
        <f t="shared" si="3"/>
        <v>5</v>
      </c>
      <c r="K3349" s="1" t="str">
        <f t="shared" si="4"/>
        <v>Tus Lentes estan LISTAS PARA ENTREGAR, te esperamos.</v>
      </c>
    </row>
    <row r="3350">
      <c r="A3350" s="1">
        <f>IFERROR(__xludf.DUMMYFUNCTION("""COMPUTED_VALUE"""),87895.0)</f>
        <v>87895</v>
      </c>
      <c r="B3350" s="5">
        <f>IFERROR(__xludf.DUMMYFUNCTION("""COMPUTED_VALUE"""),44998.764712777775)</f>
        <v>44998.76471</v>
      </c>
      <c r="C3350" s="1" t="str">
        <f>IFERROR(__xludf.DUMMYFUNCTION("""COMPUTED_VALUE"""),"mendoza lidia")</f>
        <v>mendoza lidia</v>
      </c>
      <c r="D3350" s="1" t="str">
        <f>IFERROR(__xludf.DUMMYFUNCTION("""COMPUTED_VALUE"""),"Lentes BIFOCALES")</f>
        <v>Lentes BIFOCALES</v>
      </c>
      <c r="E3350" s="1" t="str">
        <f>IFERROR(__xludf.DUMMYFUNCTION("""COMPUTED_VALUE"""),"RIVADAVIA Santiago N")</f>
        <v>RIVADAVIA Santiago N</v>
      </c>
      <c r="F3350" s="1" t="str">
        <f t="shared" si="1"/>
        <v>RIVADAVIA </v>
      </c>
      <c r="G3350" s="1" t="str">
        <f t="shared" si="2"/>
        <v>Santiago N</v>
      </c>
      <c r="H3350" s="1" t="str">
        <f>IFERROR(__xludf.DUMMYFUNCTION("""COMPUTED_VALUE"""),"16/3/2023, 17:00:00")</f>
        <v>16/3/2023, 17:00:00</v>
      </c>
      <c r="I3350" s="1" t="str">
        <f>IFERROR(__xludf.DUMMYFUNCTION("""COMPUTED_VALUE"""),"Completado en SUCURSAL")</f>
        <v>Completado en SUCURSAL</v>
      </c>
      <c r="J3350" s="1">
        <f t="shared" si="3"/>
        <v>5</v>
      </c>
      <c r="K3350" s="1" t="str">
        <f t="shared" si="4"/>
        <v>Tus Lentes estan LISTAS PARA ENTREGAR, te esperamos.</v>
      </c>
    </row>
    <row r="3351">
      <c r="A3351" s="1">
        <f>IFERROR(__xludf.DUMMYFUNCTION("""COMPUTED_VALUE"""),87896.0)</f>
        <v>87896</v>
      </c>
      <c r="B3351" s="5">
        <f>IFERROR(__xludf.DUMMYFUNCTION("""COMPUTED_VALUE"""),44998.78798309028)</f>
        <v>44998.78798</v>
      </c>
      <c r="C3351" s="1" t="str">
        <f>IFERROR(__xludf.DUMMYFUNCTION("""COMPUTED_VALUE"""),"OCHOA SAIRA")</f>
        <v>OCHOA SAIRA</v>
      </c>
      <c r="D3351" s="1" t="str">
        <f>IFERROR(__xludf.DUMMYFUNCTION("""COMPUTED_VALUE"""),"Lentes de STOCK")</f>
        <v>Lentes de STOCK</v>
      </c>
      <c r="E3351" s="1" t="str">
        <f>IFERROR(__xludf.DUMMYFUNCTION("""COMPUTED_VALUE"""),"ARTIGAS Roció")</f>
        <v>ARTIGAS Roció</v>
      </c>
      <c r="F3351" s="1" t="str">
        <f t="shared" si="1"/>
        <v>ARTIGAS </v>
      </c>
      <c r="G3351" s="1" t="str">
        <f t="shared" si="2"/>
        <v>Roció</v>
      </c>
      <c r="H3351" s="1" t="str">
        <f>IFERROR(__xludf.DUMMYFUNCTION("""COMPUTED_VALUE"""),"20/3/2023, 17:00:00")</f>
        <v>20/3/2023, 17:00:00</v>
      </c>
      <c r="I3351" s="1" t="str">
        <f>IFERROR(__xludf.DUMMYFUNCTION("""COMPUTED_VALUE"""),"Completado en SUCURSAL")</f>
        <v>Completado en SUCURSAL</v>
      </c>
      <c r="J3351" s="1">
        <f t="shared" si="3"/>
        <v>5</v>
      </c>
      <c r="K3351" s="1" t="str">
        <f t="shared" si="4"/>
        <v>Tus Lentes estan LISTAS PARA ENTREGAR, te esperamos.</v>
      </c>
    </row>
    <row r="3352">
      <c r="A3352" s="1">
        <f>IFERROR(__xludf.DUMMYFUNCTION("""COMPUTED_VALUE"""),87897.0)</f>
        <v>87897</v>
      </c>
      <c r="B3352" s="5">
        <f>IFERROR(__xludf.DUMMYFUNCTION("""COMPUTED_VALUE"""),44998.78961414352)</f>
        <v>44998.78961</v>
      </c>
      <c r="C3352" s="1" t="str">
        <f>IFERROR(__xludf.DUMMYFUNCTION("""COMPUTED_VALUE"""),"OCHOA SHEILA")</f>
        <v>OCHOA SHEILA</v>
      </c>
      <c r="D3352" s="1" t="str">
        <f>IFERROR(__xludf.DUMMYFUNCTION("""COMPUTED_VALUE"""),"Lentes de STOCK")</f>
        <v>Lentes de STOCK</v>
      </c>
      <c r="E3352" s="1" t="str">
        <f>IFERROR(__xludf.DUMMYFUNCTION("""COMPUTED_VALUE"""),"ARTIGAS Roció")</f>
        <v>ARTIGAS Roció</v>
      </c>
      <c r="F3352" s="1" t="str">
        <f t="shared" si="1"/>
        <v>ARTIGAS </v>
      </c>
      <c r="G3352" s="1" t="str">
        <f t="shared" si="2"/>
        <v>Roció</v>
      </c>
      <c r="H3352" s="1" t="str">
        <f>IFERROR(__xludf.DUMMYFUNCTION("""COMPUTED_VALUE"""),"20/3/2023, 17:00:00")</f>
        <v>20/3/2023, 17:00:00</v>
      </c>
      <c r="I3352" s="1" t="str">
        <f>IFERROR(__xludf.DUMMYFUNCTION("""COMPUTED_VALUE"""),"Completado en SUCURSAL")</f>
        <v>Completado en SUCURSAL</v>
      </c>
      <c r="J3352" s="1">
        <f t="shared" si="3"/>
        <v>5</v>
      </c>
      <c r="K3352" s="1" t="str">
        <f t="shared" si="4"/>
        <v>Tus Lentes estan LISTAS PARA ENTREGAR, te esperamos.</v>
      </c>
    </row>
    <row r="3353">
      <c r="A3353" s="1">
        <f>IFERROR(__xludf.DUMMYFUNCTION("""COMPUTED_VALUE"""),87898.0)</f>
        <v>87898</v>
      </c>
      <c r="B3353" s="5">
        <f>IFERROR(__xludf.DUMMYFUNCTION("""COMPUTED_VALUE"""),44998.79107559028)</f>
        <v>44998.79108</v>
      </c>
      <c r="C3353" s="1" t="str">
        <f>IFERROR(__xludf.DUMMYFUNCTION("""COMPUTED_VALUE"""),"TORRES ANGEL")</f>
        <v>TORRES ANGEL</v>
      </c>
      <c r="D3353" s="1" t="str">
        <f>IFERROR(__xludf.DUMMYFUNCTION("""COMPUTED_VALUE"""),"Lentes MULTIFOCALES")</f>
        <v>Lentes MULTIFOCALES</v>
      </c>
      <c r="E3353" s="1" t="str">
        <f>IFERROR(__xludf.DUMMYFUNCTION("""COMPUTED_VALUE"""),"ARTIGAS Ivana P.")</f>
        <v>ARTIGAS Ivana P.</v>
      </c>
      <c r="F3353" s="1" t="str">
        <f t="shared" si="1"/>
        <v>ARTIGAS </v>
      </c>
      <c r="G3353" s="1" t="str">
        <f t="shared" si="2"/>
        <v>Ivana P.</v>
      </c>
      <c r="H3353" s="1" t="str">
        <f>IFERROR(__xludf.DUMMYFUNCTION("""COMPUTED_VALUE"""),"27/3/2023, 17:00:00")</f>
        <v>27/3/2023, 17:00:00</v>
      </c>
      <c r="I3353" s="1" t="str">
        <f>IFERROR(__xludf.DUMMYFUNCTION("""COMPUTED_VALUE"""),"Completado en SUCURSAL")</f>
        <v>Completado en SUCURSAL</v>
      </c>
      <c r="J3353" s="1">
        <f t="shared" si="3"/>
        <v>5</v>
      </c>
      <c r="K3353" s="1" t="str">
        <f t="shared" si="4"/>
        <v>Tus Lentes estan LISTAS PARA ENTREGAR, te esperamos.</v>
      </c>
    </row>
    <row r="3354">
      <c r="A3354" s="1">
        <f>IFERROR(__xludf.DUMMYFUNCTION("""COMPUTED_VALUE"""),87899.0)</f>
        <v>87899</v>
      </c>
      <c r="B3354" s="5">
        <f>IFERROR(__xludf.DUMMYFUNCTION("""COMPUTED_VALUE"""),44998.80142186343)</f>
        <v>44998.80142</v>
      </c>
      <c r="C3354" s="1" t="str">
        <f>IFERROR(__xludf.DUMMYFUNCTION("""COMPUTED_VALUE"""),"MATURANO BRISA")</f>
        <v>MATURANO BRISA</v>
      </c>
      <c r="D3354" s="1" t="str">
        <f>IFERROR(__xludf.DUMMYFUNCTION("""COMPUTED_VALUE"""),"Lentes de STOCK")</f>
        <v>Lentes de STOCK</v>
      </c>
      <c r="E3354" s="1" t="str">
        <f>IFERROR(__xludf.DUMMYFUNCTION("""COMPUTED_VALUE"""),"ARTIGAS Roció")</f>
        <v>ARTIGAS Roció</v>
      </c>
      <c r="F3354" s="1" t="str">
        <f t="shared" si="1"/>
        <v>ARTIGAS </v>
      </c>
      <c r="G3354" s="1" t="str">
        <f t="shared" si="2"/>
        <v>Roció</v>
      </c>
      <c r="H3354" s="1" t="str">
        <f>IFERROR(__xludf.DUMMYFUNCTION("""COMPUTED_VALUE"""),"20/3/2023, 17:00:00")</f>
        <v>20/3/2023, 17:00:00</v>
      </c>
      <c r="I3354" s="1" t="str">
        <f>IFERROR(__xludf.DUMMYFUNCTION("""COMPUTED_VALUE"""),"Completado en SUCURSAL")</f>
        <v>Completado en SUCURSAL</v>
      </c>
      <c r="J3354" s="1">
        <f t="shared" si="3"/>
        <v>5</v>
      </c>
      <c r="K3354" s="1" t="str">
        <f t="shared" si="4"/>
        <v>Tus Lentes estan LISTAS PARA ENTREGAR, te esperamos.</v>
      </c>
    </row>
    <row r="3355">
      <c r="A3355" s="1">
        <f>IFERROR(__xludf.DUMMYFUNCTION("""COMPUTED_VALUE"""),87900.0)</f>
        <v>87900</v>
      </c>
      <c r="B3355" s="5">
        <f>IFERROR(__xludf.DUMMYFUNCTION("""COMPUTED_VALUE"""),44998.8026846412)</f>
        <v>44998.80268</v>
      </c>
      <c r="C3355" s="1" t="str">
        <f>IFERROR(__xludf.DUMMYFUNCTION("""COMPUTED_VALUE"""),"fiochi fiorela")</f>
        <v>fiochi fiorela</v>
      </c>
      <c r="D3355" s="1" t="str">
        <f>IFERROR(__xludf.DUMMYFUNCTION("""COMPUTED_VALUE"""),"Reparaciones/Otros")</f>
        <v>Reparaciones/Otros</v>
      </c>
      <c r="E3355" s="1" t="str">
        <f>IFERROR(__xludf.DUMMYFUNCTION("""COMPUTED_VALUE"""),"RIVADAVIA Daniel CM")</f>
        <v>RIVADAVIA Daniel CM</v>
      </c>
      <c r="F3355" s="1" t="str">
        <f t="shared" si="1"/>
        <v>RIVADAVIA </v>
      </c>
      <c r="G3355" s="1" t="str">
        <f t="shared" si="2"/>
        <v>Daniel CM</v>
      </c>
      <c r="H3355" s="1" t="str">
        <f>IFERROR(__xludf.DUMMYFUNCTION("""COMPUTED_VALUE"""),"14/3/2023, 17:00:00")</f>
        <v>14/3/2023, 17:00:00</v>
      </c>
      <c r="I3355" s="1" t="str">
        <f>IFERROR(__xludf.DUMMYFUNCTION("""COMPUTED_VALUE"""),"Completado en SUCURSAL")</f>
        <v>Completado en SUCURSAL</v>
      </c>
      <c r="J3355" s="1">
        <f t="shared" si="3"/>
        <v>5</v>
      </c>
      <c r="K3355" s="1" t="str">
        <f t="shared" si="4"/>
        <v>Tus Lentes estan LISTAS PARA ENTREGAR, te esperamos.</v>
      </c>
    </row>
    <row r="3356">
      <c r="A3356" s="1">
        <f>IFERROR(__xludf.DUMMYFUNCTION("""COMPUTED_VALUE"""),87901.0)</f>
        <v>87901</v>
      </c>
      <c r="B3356" s="5">
        <f>IFERROR(__xludf.DUMMYFUNCTION("""COMPUTED_VALUE"""),44998.80425638889)</f>
        <v>44998.80426</v>
      </c>
      <c r="C3356" s="1" t="str">
        <f>IFERROR(__xludf.DUMMYFUNCTION("""COMPUTED_VALUE"""),"VELAZQUEZ INES")</f>
        <v>VELAZQUEZ INES</v>
      </c>
      <c r="D3356" s="1" t="str">
        <f>IFERROR(__xludf.DUMMYFUNCTION("""COMPUTED_VALUE"""),"Lentes de STOCK")</f>
        <v>Lentes de STOCK</v>
      </c>
      <c r="E3356" s="1" t="str">
        <f>IFERROR(__xludf.DUMMYFUNCTION("""COMPUTED_VALUE"""),"ARTIGAS Ivana P.")</f>
        <v>ARTIGAS Ivana P.</v>
      </c>
      <c r="F3356" s="1" t="str">
        <f t="shared" si="1"/>
        <v>ARTIGAS </v>
      </c>
      <c r="G3356" s="1" t="str">
        <f t="shared" si="2"/>
        <v>Ivana P.</v>
      </c>
      <c r="H3356" s="1" t="str">
        <f>IFERROR(__xludf.DUMMYFUNCTION("""COMPUTED_VALUE"""),"16/3/2023, 17:00:00")</f>
        <v>16/3/2023, 17:00:00</v>
      </c>
      <c r="I3356" s="1" t="str">
        <f>IFERROR(__xludf.DUMMYFUNCTION("""COMPUTED_VALUE"""),"Completado en SUCURSAL")</f>
        <v>Completado en SUCURSAL</v>
      </c>
      <c r="J3356" s="1">
        <f t="shared" si="3"/>
        <v>5</v>
      </c>
      <c r="K3356" s="1" t="str">
        <f t="shared" si="4"/>
        <v>Tus Lentes estan LISTAS PARA ENTREGAR, te esperamos.</v>
      </c>
    </row>
    <row r="3357">
      <c r="A3357" s="1">
        <f>IFERROR(__xludf.DUMMYFUNCTION("""COMPUTED_VALUE"""),87902.0)</f>
        <v>87902</v>
      </c>
      <c r="B3357" s="5">
        <f>IFERROR(__xludf.DUMMYFUNCTION("""COMPUTED_VALUE"""),44998.80537894676)</f>
        <v>44998.80538</v>
      </c>
      <c r="C3357" s="1" t="str">
        <f>IFERROR(__xludf.DUMMYFUNCTION("""COMPUTED_VALUE"""),"neiro maria soledad")</f>
        <v>neiro maria soledad</v>
      </c>
      <c r="D3357" s="1" t="str">
        <f>IFERROR(__xludf.DUMMYFUNCTION("""COMPUTED_VALUE"""),"Lentes de STOCK")</f>
        <v>Lentes de STOCK</v>
      </c>
      <c r="E3357" s="1" t="str">
        <f>IFERROR(__xludf.DUMMYFUNCTION("""COMPUTED_VALUE"""),"RIVADAVIA Santiago N")</f>
        <v>RIVADAVIA Santiago N</v>
      </c>
      <c r="F3357" s="1" t="str">
        <f t="shared" si="1"/>
        <v>RIVADAVIA </v>
      </c>
      <c r="G3357" s="1" t="str">
        <f t="shared" si="2"/>
        <v>Santiago N</v>
      </c>
      <c r="H3357" s="1" t="str">
        <f>IFERROR(__xludf.DUMMYFUNCTION("""COMPUTED_VALUE"""),"20/3/2023, 17:00:00")</f>
        <v>20/3/2023, 17:00:00</v>
      </c>
      <c r="I3357" s="1" t="str">
        <f>IFERROR(__xludf.DUMMYFUNCTION("""COMPUTED_VALUE"""),"Completado en SUCURSAL")</f>
        <v>Completado en SUCURSAL</v>
      </c>
      <c r="J3357" s="1">
        <f t="shared" si="3"/>
        <v>5</v>
      </c>
      <c r="K3357" s="1" t="str">
        <f t="shared" si="4"/>
        <v>Tus Lentes estan LISTAS PARA ENTREGAR, te esperamos.</v>
      </c>
    </row>
    <row r="3358">
      <c r="A3358" s="1">
        <f>IFERROR(__xludf.DUMMYFUNCTION("""COMPUTED_VALUE"""),87903.0)</f>
        <v>87903</v>
      </c>
      <c r="B3358" s="5">
        <f>IFERROR(__xludf.DUMMYFUNCTION("""COMPUTED_VALUE"""),44998.80556893519)</f>
        <v>44998.80557</v>
      </c>
      <c r="C3358" s="1" t="str">
        <f>IFERROR(__xludf.DUMMYFUNCTION("""COMPUTED_VALUE"""),"PEREIRA ABRIL ")</f>
        <v>PEREIRA ABRIL </v>
      </c>
      <c r="D3358" s="1" t="str">
        <f>IFERROR(__xludf.DUMMYFUNCTION("""COMPUTED_VALUE"""),"Lentes de STOCK")</f>
        <v>Lentes de STOCK</v>
      </c>
      <c r="E3358" s="1" t="str">
        <f>IFERROR(__xludf.DUMMYFUNCTION("""COMPUTED_VALUE"""),"RIVADAVIA Christian C.")</f>
        <v>RIVADAVIA Christian C.</v>
      </c>
      <c r="F3358" s="1" t="str">
        <f t="shared" si="1"/>
        <v>RIVADAVIA </v>
      </c>
      <c r="G3358" s="1" t="str">
        <f t="shared" si="2"/>
        <v>Christian C.</v>
      </c>
      <c r="H3358" s="1" t="str">
        <f>IFERROR(__xludf.DUMMYFUNCTION("""COMPUTED_VALUE"""),"21/3/2023, 17:00:00")</f>
        <v>21/3/2023, 17:00:00</v>
      </c>
      <c r="I3358" s="1" t="str">
        <f>IFERROR(__xludf.DUMMYFUNCTION("""COMPUTED_VALUE"""),"Completado en SUCURSAL")</f>
        <v>Completado en SUCURSAL</v>
      </c>
      <c r="J3358" s="1">
        <f t="shared" si="3"/>
        <v>5</v>
      </c>
      <c r="K3358" s="1" t="str">
        <f t="shared" si="4"/>
        <v>Tus Lentes estan LISTAS PARA ENTREGAR, te esperamos.</v>
      </c>
    </row>
    <row r="3359">
      <c r="A3359" s="1">
        <f>IFERROR(__xludf.DUMMYFUNCTION("""COMPUTED_VALUE"""),87904.0)</f>
        <v>87904</v>
      </c>
      <c r="B3359" s="5">
        <f>IFERROR(__xludf.DUMMYFUNCTION("""COMPUTED_VALUE"""),44998.80675109954)</f>
        <v>44998.80675</v>
      </c>
      <c r="C3359" s="1" t="str">
        <f>IFERROR(__xludf.DUMMYFUNCTION("""COMPUTED_VALUE"""),"COMETTO MARIO ALBERTO")</f>
        <v>COMETTO MARIO ALBERTO</v>
      </c>
      <c r="D3359" s="1" t="str">
        <f>IFERROR(__xludf.DUMMYFUNCTION("""COMPUTED_VALUE"""),"Lentes de STOCK")</f>
        <v>Lentes de STOCK</v>
      </c>
      <c r="E3359" s="1" t="str">
        <f>IFERROR(__xludf.DUMMYFUNCTION("""COMPUTED_VALUE"""),"RIVADAVIA Santiago LOPEZ")</f>
        <v>RIVADAVIA Santiago LOPEZ</v>
      </c>
      <c r="F3359" s="1" t="str">
        <f t="shared" si="1"/>
        <v>RIVADAVIA </v>
      </c>
      <c r="G3359" s="1" t="str">
        <f t="shared" si="2"/>
        <v>Santiago LOPEZ</v>
      </c>
      <c r="H3359" s="1" t="str">
        <f>IFERROR(__xludf.DUMMYFUNCTION("""COMPUTED_VALUE"""),"15/3/2023, 17:00:00")</f>
        <v>15/3/2023, 17:00:00</v>
      </c>
      <c r="I3359" s="1" t="str">
        <f>IFERROR(__xludf.DUMMYFUNCTION("""COMPUTED_VALUE"""),"Completado en SUCURSAL")</f>
        <v>Completado en SUCURSAL</v>
      </c>
      <c r="J3359" s="1">
        <f t="shared" si="3"/>
        <v>5</v>
      </c>
      <c r="K3359" s="1" t="str">
        <f t="shared" si="4"/>
        <v>Tus Lentes estan LISTAS PARA ENTREGAR, te esperamos.</v>
      </c>
    </row>
    <row r="3360">
      <c r="A3360" s="1">
        <f>IFERROR(__xludf.DUMMYFUNCTION("""COMPUTED_VALUE"""),87905.0)</f>
        <v>87905</v>
      </c>
      <c r="B3360" s="5">
        <f>IFERROR(__xludf.DUMMYFUNCTION("""COMPUTED_VALUE"""),44998.811450532405)</f>
        <v>44998.81145</v>
      </c>
      <c r="C3360" s="1" t="str">
        <f>IFERROR(__xludf.DUMMYFUNCTION("""COMPUTED_VALUE"""),"suarez elba elba carmen ramona")</f>
        <v>suarez elba elba carmen ramona</v>
      </c>
      <c r="D3360" s="1" t="str">
        <f>IFERROR(__xludf.DUMMYFUNCTION("""COMPUTED_VALUE"""),"Lentes de STOCK")</f>
        <v>Lentes de STOCK</v>
      </c>
      <c r="E3360" s="1" t="str">
        <f>IFERROR(__xludf.DUMMYFUNCTION("""COMPUTED_VALUE"""),"RIVADAVIA Santiago N")</f>
        <v>RIVADAVIA Santiago N</v>
      </c>
      <c r="F3360" s="1" t="str">
        <f t="shared" si="1"/>
        <v>RIVADAVIA </v>
      </c>
      <c r="G3360" s="1" t="str">
        <f t="shared" si="2"/>
        <v>Santiago N</v>
      </c>
      <c r="H3360" s="1" t="str">
        <f>IFERROR(__xludf.DUMMYFUNCTION("""COMPUTED_VALUE"""),"15/3/2023, 17:00:00")</f>
        <v>15/3/2023, 17:00:00</v>
      </c>
      <c r="I3360" s="1" t="str">
        <f>IFERROR(__xludf.DUMMYFUNCTION("""COMPUTED_VALUE"""),"Completado en SUCURSAL")</f>
        <v>Completado en SUCURSAL</v>
      </c>
      <c r="J3360" s="1">
        <f t="shared" si="3"/>
        <v>5</v>
      </c>
      <c r="K3360" s="1" t="str">
        <f t="shared" si="4"/>
        <v>Tus Lentes estan LISTAS PARA ENTREGAR, te esperamos.</v>
      </c>
    </row>
    <row r="3361">
      <c r="A3361" s="1">
        <f>IFERROR(__xludf.DUMMYFUNCTION("""COMPUTED_VALUE"""),87906.0)</f>
        <v>87906</v>
      </c>
      <c r="B3361" s="5">
        <f>IFERROR(__xludf.DUMMYFUNCTION("""COMPUTED_VALUE"""),44998.818651932874)</f>
        <v>44998.81865</v>
      </c>
      <c r="C3361" s="1" t="str">
        <f>IFERROR(__xludf.DUMMYFUNCTION("""COMPUTED_VALUE"""),"FERNANDEZ GRISELDA")</f>
        <v>FERNANDEZ GRISELDA</v>
      </c>
      <c r="D3361" s="1" t="str">
        <f>IFERROR(__xludf.DUMMYFUNCTION("""COMPUTED_VALUE"""),"Lentes MULTIFOCALES")</f>
        <v>Lentes MULTIFOCALES</v>
      </c>
      <c r="E3361" s="1" t="str">
        <f>IFERROR(__xludf.DUMMYFUNCTION("""COMPUTED_VALUE"""),"ARTIGAS Ivana P.")</f>
        <v>ARTIGAS Ivana P.</v>
      </c>
      <c r="F3361" s="1" t="str">
        <f t="shared" si="1"/>
        <v>ARTIGAS </v>
      </c>
      <c r="G3361" s="1" t="str">
        <f t="shared" si="2"/>
        <v>Ivana P.</v>
      </c>
      <c r="H3361" s="1" t="str">
        <f>IFERROR(__xludf.DUMMYFUNCTION("""COMPUTED_VALUE"""),"27/3/2023, 17:00:00")</f>
        <v>27/3/2023, 17:00:00</v>
      </c>
      <c r="I3361" s="1" t="str">
        <f>IFERROR(__xludf.DUMMYFUNCTION("""COMPUTED_VALUE"""),"Completado en SUCURSAL")</f>
        <v>Completado en SUCURSAL</v>
      </c>
      <c r="J3361" s="1">
        <f t="shared" si="3"/>
        <v>5</v>
      </c>
      <c r="K3361" s="1" t="str">
        <f t="shared" si="4"/>
        <v>Tus Lentes estan LISTAS PARA ENTREGAR, te esperamos.</v>
      </c>
    </row>
    <row r="3362">
      <c r="A3362" s="1">
        <f>IFERROR(__xludf.DUMMYFUNCTION("""COMPUTED_VALUE"""),87907.0)</f>
        <v>87907</v>
      </c>
      <c r="B3362" s="5">
        <f>IFERROR(__xludf.DUMMYFUNCTION("""COMPUTED_VALUE"""),44998.81878751157)</f>
        <v>44998.81879</v>
      </c>
      <c r="C3362" s="1" t="str">
        <f>IFERROR(__xludf.DUMMYFUNCTION("""COMPUTED_VALUE"""),"CHERATO LUIS")</f>
        <v>CHERATO LUIS</v>
      </c>
      <c r="D3362" s="1" t="str">
        <f>IFERROR(__xludf.DUMMYFUNCTION("""COMPUTED_VALUE"""),"Lentes de STOCK")</f>
        <v>Lentes de STOCK</v>
      </c>
      <c r="E3362" s="1" t="str">
        <f>IFERROR(__xludf.DUMMYFUNCTION("""COMPUTED_VALUE"""),"RIVADAVIA Christian C.")</f>
        <v>RIVADAVIA Christian C.</v>
      </c>
      <c r="F3362" s="1" t="str">
        <f t="shared" si="1"/>
        <v>RIVADAVIA </v>
      </c>
      <c r="G3362" s="1" t="str">
        <f t="shared" si="2"/>
        <v>Christian C.</v>
      </c>
      <c r="H3362" s="1" t="str">
        <f>IFERROR(__xludf.DUMMYFUNCTION("""COMPUTED_VALUE"""),"17/3/2023, 17:00:00")</f>
        <v>17/3/2023, 17:00:00</v>
      </c>
      <c r="I3362" s="1" t="str">
        <f>IFERROR(__xludf.DUMMYFUNCTION("""COMPUTED_VALUE"""),"Completado en SUCURSAL")</f>
        <v>Completado en SUCURSAL</v>
      </c>
      <c r="J3362" s="1">
        <f t="shared" si="3"/>
        <v>5</v>
      </c>
      <c r="K3362" s="1" t="str">
        <f t="shared" si="4"/>
        <v>Tus Lentes estan LISTAS PARA ENTREGAR, te esperamos.</v>
      </c>
    </row>
    <row r="3363">
      <c r="A3363" s="1">
        <f>IFERROR(__xludf.DUMMYFUNCTION("""COMPUTED_VALUE"""),87908.0)</f>
        <v>87908</v>
      </c>
      <c r="B3363" s="5">
        <f>IFERROR(__xludf.DUMMYFUNCTION("""COMPUTED_VALUE"""),44998.8271258912)</f>
        <v>44998.82713</v>
      </c>
      <c r="C3363" s="1" t="str">
        <f>IFERROR(__xludf.DUMMYFUNCTION("""COMPUTED_VALUE"""),"MARTINEZ VICTOR")</f>
        <v>MARTINEZ VICTOR</v>
      </c>
      <c r="D3363" s="1" t="str">
        <f>IFERROR(__xludf.DUMMYFUNCTION("""COMPUTED_VALUE"""),"Lentes MULTIFOCALES")</f>
        <v>Lentes MULTIFOCALES</v>
      </c>
      <c r="E3363" s="1" t="str">
        <f>IFERROR(__xludf.DUMMYFUNCTION("""COMPUTED_VALUE"""),"ARTIGAS Ivana P.")</f>
        <v>ARTIGAS Ivana P.</v>
      </c>
      <c r="F3363" s="1" t="str">
        <f t="shared" si="1"/>
        <v>ARTIGAS </v>
      </c>
      <c r="G3363" s="1" t="str">
        <f t="shared" si="2"/>
        <v>Ivana P.</v>
      </c>
      <c r="H3363" s="1" t="str">
        <f>IFERROR(__xludf.DUMMYFUNCTION("""COMPUTED_VALUE"""),"27/3/2023, 17:00:00")</f>
        <v>27/3/2023, 17:00:00</v>
      </c>
      <c r="I3363" s="1" t="str">
        <f>IFERROR(__xludf.DUMMYFUNCTION("""COMPUTED_VALUE"""),"RETIRADO OK POR CLIENTE")</f>
        <v>RETIRADO OK POR CLIENTE</v>
      </c>
      <c r="J3363" s="1">
        <f t="shared" si="3"/>
        <v>6</v>
      </c>
      <c r="K3363" s="1" t="str">
        <f t="shared" si="4"/>
        <v>Entregamos tus lentes, que los disfrutes!</v>
      </c>
    </row>
    <row r="3364">
      <c r="A3364" s="1">
        <f>IFERROR(__xludf.DUMMYFUNCTION("""COMPUTED_VALUE"""),87909.0)</f>
        <v>87909</v>
      </c>
      <c r="B3364" s="5">
        <f>IFERROR(__xludf.DUMMYFUNCTION("""COMPUTED_VALUE"""),44998.83046334491)</f>
        <v>44998.83046</v>
      </c>
      <c r="C3364" s="1" t="str">
        <f>IFERROR(__xludf.DUMMYFUNCTION("""COMPUTED_VALUE"""),"CLAVERO CARLOS")</f>
        <v>CLAVERO CARLOS</v>
      </c>
      <c r="D3364" s="1" t="str">
        <f>IFERROR(__xludf.DUMMYFUNCTION("""COMPUTED_VALUE"""),"Lentes BIFOCALES")</f>
        <v>Lentes BIFOCALES</v>
      </c>
      <c r="E3364" s="1" t="str">
        <f>IFERROR(__xludf.DUMMYFUNCTION("""COMPUTED_VALUE"""),"ARTIGAS Roció")</f>
        <v>ARTIGAS Roció</v>
      </c>
      <c r="F3364" s="1" t="str">
        <f t="shared" si="1"/>
        <v>ARTIGAS </v>
      </c>
      <c r="G3364" s="1" t="str">
        <f t="shared" si="2"/>
        <v>Roció</v>
      </c>
      <c r="H3364" s="1" t="str">
        <f>IFERROR(__xludf.DUMMYFUNCTION("""COMPUTED_VALUE"""),"17/3/2023, 17:00:00")</f>
        <v>17/3/2023, 17:00:00</v>
      </c>
      <c r="I3364" s="1"/>
      <c r="J3364" s="1">
        <f t="shared" si="3"/>
        <v>0</v>
      </c>
      <c r="K3364" s="1" t="str">
        <f t="shared" si="4"/>
        <v/>
      </c>
    </row>
    <row r="3365">
      <c r="A3365" s="1">
        <f>IFERROR(__xludf.DUMMYFUNCTION("""COMPUTED_VALUE"""),87910.0)</f>
        <v>87910</v>
      </c>
      <c r="B3365" s="5">
        <f>IFERROR(__xludf.DUMMYFUNCTION("""COMPUTED_VALUE"""),44998.83294091435)</f>
        <v>44998.83294</v>
      </c>
      <c r="C3365" s="1" t="str">
        <f>IFERROR(__xludf.DUMMYFUNCTION("""COMPUTED_VALUE"""),"CLAVERO CARLOS")</f>
        <v>CLAVERO CARLOS</v>
      </c>
      <c r="D3365" s="1" t="str">
        <f>IFERROR(__xludf.DUMMYFUNCTION("""COMPUTED_VALUE"""),"Lentes BIFOCALES")</f>
        <v>Lentes BIFOCALES</v>
      </c>
      <c r="E3365" s="1" t="str">
        <f>IFERROR(__xludf.DUMMYFUNCTION("""COMPUTED_VALUE"""),"ARTIGAS Roció")</f>
        <v>ARTIGAS Roció</v>
      </c>
      <c r="F3365" s="1" t="str">
        <f t="shared" si="1"/>
        <v>ARTIGAS </v>
      </c>
      <c r="G3365" s="1" t="str">
        <f t="shared" si="2"/>
        <v>Roció</v>
      </c>
      <c r="H3365" s="1" t="str">
        <f>IFERROR(__xludf.DUMMYFUNCTION("""COMPUTED_VALUE"""),"23/3/2023, 17:00:00")</f>
        <v>23/3/2023, 17:00:00</v>
      </c>
      <c r="I3365" s="1" t="str">
        <f>IFERROR(__xludf.DUMMYFUNCTION("""COMPUTED_VALUE"""),"Completado en SUCURSAL")</f>
        <v>Completado en SUCURSAL</v>
      </c>
      <c r="J3365" s="1">
        <f t="shared" si="3"/>
        <v>5</v>
      </c>
      <c r="K3365" s="1" t="str">
        <f t="shared" si="4"/>
        <v>Tus Lentes estan LISTAS PARA ENTREGAR, te esperamos.</v>
      </c>
    </row>
    <row r="3366">
      <c r="A3366" s="1">
        <f>IFERROR(__xludf.DUMMYFUNCTION("""COMPUTED_VALUE"""),87911.0)</f>
        <v>87911</v>
      </c>
      <c r="B3366" s="5">
        <f>IFERROR(__xludf.DUMMYFUNCTION("""COMPUTED_VALUE"""),44998.83867278935)</f>
        <v>44998.83867</v>
      </c>
      <c r="C3366" s="1" t="str">
        <f>IFERROR(__xludf.DUMMYFUNCTION("""COMPUTED_VALUE"""),"sosa agustina")</f>
        <v>sosa agustina</v>
      </c>
      <c r="D3366" s="1" t="str">
        <f>IFERROR(__xludf.DUMMYFUNCTION("""COMPUTED_VALUE"""),"Lentes de STOCK")</f>
        <v>Lentes de STOCK</v>
      </c>
      <c r="E3366" s="1" t="str">
        <f>IFERROR(__xludf.DUMMYFUNCTION("""COMPUTED_VALUE"""),"RIVADAVIA Santiago N")</f>
        <v>RIVADAVIA Santiago N</v>
      </c>
      <c r="F3366" s="1" t="str">
        <f t="shared" si="1"/>
        <v>RIVADAVIA </v>
      </c>
      <c r="G3366" s="1" t="str">
        <f t="shared" si="2"/>
        <v>Santiago N</v>
      </c>
      <c r="H3366" s="1" t="str">
        <f>IFERROR(__xludf.DUMMYFUNCTION("""COMPUTED_VALUE"""),"18/3/2023, 17:00:00")</f>
        <v>18/3/2023, 17:00:00</v>
      </c>
      <c r="I3366" s="1" t="str">
        <f>IFERROR(__xludf.DUMMYFUNCTION("""COMPUTED_VALUE"""),"Completado en SUCURSAL")</f>
        <v>Completado en SUCURSAL</v>
      </c>
      <c r="J3366" s="1">
        <f t="shared" si="3"/>
        <v>5</v>
      </c>
      <c r="K3366" s="1" t="str">
        <f t="shared" si="4"/>
        <v>Tus Lentes estan LISTAS PARA ENTREGAR, te esperamos.</v>
      </c>
    </row>
    <row r="3367">
      <c r="A3367" s="1">
        <f>IFERROR(__xludf.DUMMYFUNCTION("""COMPUTED_VALUE"""),87912.0)</f>
        <v>87912</v>
      </c>
      <c r="B3367" s="5">
        <f>IFERROR(__xludf.DUMMYFUNCTION("""COMPUTED_VALUE"""),44998.84069414352)</f>
        <v>44998.84069</v>
      </c>
      <c r="C3367" s="1" t="str">
        <f>IFERROR(__xludf.DUMMYFUNCTION("""COMPUTED_VALUE"""),"SALINAS TAMARA")</f>
        <v>SALINAS TAMARA</v>
      </c>
      <c r="D3367" s="1" t="str">
        <f>IFERROR(__xludf.DUMMYFUNCTION("""COMPUTED_VALUE"""),"Reparaciones/Otros")</f>
        <v>Reparaciones/Otros</v>
      </c>
      <c r="E3367" s="1" t="str">
        <f>IFERROR(__xludf.DUMMYFUNCTION("""COMPUTED_VALUE"""),"RIVADAVIA Santiago N")</f>
        <v>RIVADAVIA Santiago N</v>
      </c>
      <c r="F3367" s="1" t="str">
        <f t="shared" si="1"/>
        <v>RIVADAVIA </v>
      </c>
      <c r="G3367" s="1" t="str">
        <f t="shared" si="2"/>
        <v>Santiago N</v>
      </c>
      <c r="H3367" s="1" t="str">
        <f>IFERROR(__xludf.DUMMYFUNCTION("""COMPUTED_VALUE"""),"14/3/2023, 17:00:00")</f>
        <v>14/3/2023, 17:00:00</v>
      </c>
      <c r="I3367" s="1" t="str">
        <f>IFERROR(__xludf.DUMMYFUNCTION("""COMPUTED_VALUE"""),"Completado en SUCURSAL")</f>
        <v>Completado en SUCURSAL</v>
      </c>
      <c r="J3367" s="1">
        <f t="shared" si="3"/>
        <v>5</v>
      </c>
      <c r="K3367" s="1" t="str">
        <f t="shared" si="4"/>
        <v>Tus Lentes estan LISTAS PARA ENTREGAR, te esperamos.</v>
      </c>
    </row>
    <row r="3368">
      <c r="A3368" s="1">
        <f>IFERROR(__xludf.DUMMYFUNCTION("""COMPUTED_VALUE"""),87913.0)</f>
        <v>87913</v>
      </c>
      <c r="B3368" s="5">
        <f>IFERROR(__xludf.DUMMYFUNCTION("""COMPUTED_VALUE"""),44998.84966069444)</f>
        <v>44998.84966</v>
      </c>
      <c r="C3368" s="1" t="str">
        <f>IFERROR(__xludf.DUMMYFUNCTION("""COMPUTED_VALUE"""),"dip samir")</f>
        <v>dip samir</v>
      </c>
      <c r="D3368" s="1" t="str">
        <f>IFERROR(__xludf.DUMMYFUNCTION("""COMPUTED_VALUE"""),"Lentes de LABORATORIO")</f>
        <v>Lentes de LABORATORIO</v>
      </c>
      <c r="E3368" s="1" t="str">
        <f>IFERROR(__xludf.DUMMYFUNCTION("""COMPUTED_VALUE"""),"RIVADAVIA Santiago N")</f>
        <v>RIVADAVIA Santiago N</v>
      </c>
      <c r="F3368" s="1" t="str">
        <f t="shared" si="1"/>
        <v>RIVADAVIA </v>
      </c>
      <c r="G3368" s="1" t="str">
        <f t="shared" si="2"/>
        <v>Santiago N</v>
      </c>
      <c r="H3368" s="1" t="str">
        <f>IFERROR(__xludf.DUMMYFUNCTION("""COMPUTED_VALUE"""),"28/3/2023, 17:00:00")</f>
        <v>28/3/2023, 17:00:00</v>
      </c>
      <c r="I3368" s="1" t="str">
        <f>IFERROR(__xludf.DUMMYFUNCTION("""COMPUTED_VALUE"""),"Completado en SUCURSAL")</f>
        <v>Completado en SUCURSAL</v>
      </c>
      <c r="J3368" s="1">
        <f t="shared" si="3"/>
        <v>5</v>
      </c>
      <c r="K3368" s="1" t="str">
        <f t="shared" si="4"/>
        <v>Tus Lentes estan LISTAS PARA ENTREGAR, te esperamos.</v>
      </c>
    </row>
    <row r="3369">
      <c r="A3369" s="1">
        <f>IFERROR(__xludf.DUMMYFUNCTION("""COMPUTED_VALUE"""),87914.0)</f>
        <v>87914</v>
      </c>
      <c r="B3369" s="5">
        <f>IFERROR(__xludf.DUMMYFUNCTION("""COMPUTED_VALUE"""),44998.863534895834)</f>
        <v>44998.86353</v>
      </c>
      <c r="C3369" s="1" t="str">
        <f>IFERROR(__xludf.DUMMYFUNCTION("""COMPUTED_VALUE"""),"FERNANDEZ BRUNO")</f>
        <v>FERNANDEZ BRUNO</v>
      </c>
      <c r="D3369" s="1" t="str">
        <f>IFERROR(__xludf.DUMMYFUNCTION("""COMPUTED_VALUE"""),"Lentes de STOCK")</f>
        <v>Lentes de STOCK</v>
      </c>
      <c r="E3369" s="1" t="str">
        <f>IFERROR(__xludf.DUMMYFUNCTION("""COMPUTED_VALUE"""),"RIVADAVIA Daniel CM")</f>
        <v>RIVADAVIA Daniel CM</v>
      </c>
      <c r="F3369" s="1" t="str">
        <f t="shared" si="1"/>
        <v>RIVADAVIA </v>
      </c>
      <c r="G3369" s="1" t="str">
        <f t="shared" si="2"/>
        <v>Daniel CM</v>
      </c>
      <c r="H3369" s="1" t="str">
        <f>IFERROR(__xludf.DUMMYFUNCTION("""COMPUTED_VALUE"""),"17/3/2023, 17:00:00")</f>
        <v>17/3/2023, 17:00:00</v>
      </c>
      <c r="I3369" s="1" t="str">
        <f>IFERROR(__xludf.DUMMYFUNCTION("""COMPUTED_VALUE"""),"Completado en SUCURSAL")</f>
        <v>Completado en SUCURSAL</v>
      </c>
      <c r="J3369" s="1">
        <f t="shared" si="3"/>
        <v>5</v>
      </c>
      <c r="K3369" s="1" t="str">
        <f t="shared" si="4"/>
        <v>Tus Lentes estan LISTAS PARA ENTREGAR, te esperamos.</v>
      </c>
    </row>
    <row r="3370">
      <c r="A3370" s="1">
        <f>IFERROR(__xludf.DUMMYFUNCTION("""COMPUTED_VALUE"""),87915.0)</f>
        <v>87915</v>
      </c>
      <c r="B3370" s="5">
        <f>IFERROR(__xludf.DUMMYFUNCTION("""COMPUTED_VALUE"""),44999.38899553241)</f>
        <v>44999.389</v>
      </c>
      <c r="C3370" s="1" t="str">
        <f>IFERROR(__xludf.DUMMYFUNCTION("""COMPUTED_VALUE"""),"VALDEZ PABLO")</f>
        <v>VALDEZ PABLO</v>
      </c>
      <c r="D3370" s="1" t="str">
        <f>IFERROR(__xludf.DUMMYFUNCTION("""COMPUTED_VALUE"""),"Reparaciones/Otros")</f>
        <v>Reparaciones/Otros</v>
      </c>
      <c r="E3370" s="1" t="str">
        <f>IFERROR(__xludf.DUMMYFUNCTION("""COMPUTED_VALUE"""),"ARTIGAS Roció")</f>
        <v>ARTIGAS Roció</v>
      </c>
      <c r="F3370" s="1" t="str">
        <f t="shared" si="1"/>
        <v>ARTIGAS </v>
      </c>
      <c r="G3370" s="1" t="str">
        <f t="shared" si="2"/>
        <v>Roció</v>
      </c>
      <c r="H3370" s="1" t="str">
        <f>IFERROR(__xludf.DUMMYFUNCTION("""COMPUTED_VALUE"""),"15/3/2023, 17:00:00")</f>
        <v>15/3/2023, 17:00:00</v>
      </c>
      <c r="I3370" s="1" t="str">
        <f>IFERROR(__xludf.DUMMYFUNCTION("""COMPUTED_VALUE"""),"Completado en SUCURSAL")</f>
        <v>Completado en SUCURSAL</v>
      </c>
      <c r="J3370" s="1">
        <f t="shared" si="3"/>
        <v>5</v>
      </c>
      <c r="K3370" s="1" t="str">
        <f t="shared" si="4"/>
        <v>Tus Lentes estan LISTAS PARA ENTREGAR, te esperamos.</v>
      </c>
    </row>
    <row r="3371">
      <c r="A3371" s="1">
        <f>IFERROR(__xludf.DUMMYFUNCTION("""COMPUTED_VALUE"""),87916.0)</f>
        <v>87916</v>
      </c>
      <c r="B3371" s="5">
        <f>IFERROR(__xludf.DUMMYFUNCTION("""COMPUTED_VALUE"""),44999.405137800924)</f>
        <v>44999.40514</v>
      </c>
      <c r="C3371" s="1" t="str">
        <f>IFERROR(__xludf.DUMMYFUNCTION("""COMPUTED_VALUE"""),"FERNANDEZ MERCECES ALICIA")</f>
        <v>FERNANDEZ MERCECES ALICIA</v>
      </c>
      <c r="D3371" s="1" t="str">
        <f>IFERROR(__xludf.DUMMYFUNCTION("""COMPUTED_VALUE"""),"Lentes de STOCK")</f>
        <v>Lentes de STOCK</v>
      </c>
      <c r="E3371" s="1" t="str">
        <f>IFERROR(__xludf.DUMMYFUNCTION("""COMPUTED_VALUE"""),"ARTIGAS Roció")</f>
        <v>ARTIGAS Roció</v>
      </c>
      <c r="F3371" s="1" t="str">
        <f t="shared" si="1"/>
        <v>ARTIGAS </v>
      </c>
      <c r="G3371" s="1" t="str">
        <f t="shared" si="2"/>
        <v>Roció</v>
      </c>
      <c r="H3371" s="1" t="str">
        <f>IFERROR(__xludf.DUMMYFUNCTION("""COMPUTED_VALUE"""),"20/3/2023, 17:00:00")</f>
        <v>20/3/2023, 17:00:00</v>
      </c>
      <c r="I3371" s="1" t="str">
        <f>IFERROR(__xludf.DUMMYFUNCTION("""COMPUTED_VALUE"""),"Completado en SUCURSAL")</f>
        <v>Completado en SUCURSAL</v>
      </c>
      <c r="J3371" s="1">
        <f t="shared" si="3"/>
        <v>5</v>
      </c>
      <c r="K3371" s="1" t="str">
        <f t="shared" si="4"/>
        <v>Tus Lentes estan LISTAS PARA ENTREGAR, te esperamos.</v>
      </c>
    </row>
    <row r="3372">
      <c r="A3372" s="1">
        <f>IFERROR(__xludf.DUMMYFUNCTION("""COMPUTED_VALUE"""),87917.0)</f>
        <v>87917</v>
      </c>
      <c r="B3372" s="5">
        <f>IFERROR(__xludf.DUMMYFUNCTION("""COMPUTED_VALUE"""),44999.41031575231)</f>
        <v>44999.41032</v>
      </c>
      <c r="C3372" s="1" t="str">
        <f>IFERROR(__xludf.DUMMYFUNCTION("""COMPUTED_VALUE"""),"SUAREZ BECERRA MARCELO ")</f>
        <v>SUAREZ BECERRA MARCELO </v>
      </c>
      <c r="D3372" s="1" t="str">
        <f>IFERROR(__xludf.DUMMYFUNCTION("""COMPUTED_VALUE"""),"Lentes de STOCK")</f>
        <v>Lentes de STOCK</v>
      </c>
      <c r="E3372" s="1" t="str">
        <f>IFERROR(__xludf.DUMMYFUNCTION("""COMPUTED_VALUE"""),"RIVADAVIA Christian C.")</f>
        <v>RIVADAVIA Christian C.</v>
      </c>
      <c r="F3372" s="1" t="str">
        <f t="shared" si="1"/>
        <v>RIVADAVIA </v>
      </c>
      <c r="G3372" s="1" t="str">
        <f t="shared" si="2"/>
        <v>Christian C.</v>
      </c>
      <c r="H3372" s="1" t="str">
        <f>IFERROR(__xludf.DUMMYFUNCTION("""COMPUTED_VALUE"""),"21/3/2023, 17:00:00")</f>
        <v>21/3/2023, 17:00:00</v>
      </c>
      <c r="I3372" s="1" t="str">
        <f>IFERROR(__xludf.DUMMYFUNCTION("""COMPUTED_VALUE"""),"Completado en SUCURSAL")</f>
        <v>Completado en SUCURSAL</v>
      </c>
      <c r="J3372" s="1">
        <f t="shared" si="3"/>
        <v>5</v>
      </c>
      <c r="K3372" s="1" t="str">
        <f t="shared" si="4"/>
        <v>Tus Lentes estan LISTAS PARA ENTREGAR, te esperamos.</v>
      </c>
    </row>
    <row r="3373">
      <c r="A3373" s="1">
        <f>IFERROR(__xludf.DUMMYFUNCTION("""COMPUTED_VALUE"""),87918.0)</f>
        <v>87918</v>
      </c>
      <c r="B3373" s="5">
        <f>IFERROR(__xludf.DUMMYFUNCTION("""COMPUTED_VALUE"""),44999.431219791666)</f>
        <v>44999.43122</v>
      </c>
      <c r="C3373" s="1" t="str">
        <f>IFERROR(__xludf.DUMMYFUNCTION("""COMPUTED_VALUE"""),"GATICA MARIA DEL CARMEN")</f>
        <v>GATICA MARIA DEL CARMEN</v>
      </c>
      <c r="D3373" s="1" t="str">
        <f>IFERROR(__xludf.DUMMYFUNCTION("""COMPUTED_VALUE"""),"Reparaciones/Otros")</f>
        <v>Reparaciones/Otros</v>
      </c>
      <c r="E3373" s="1" t="str">
        <f>IFERROR(__xludf.DUMMYFUNCTION("""COMPUTED_VALUE"""),"RIVADAVIA Daniel CM")</f>
        <v>RIVADAVIA Daniel CM</v>
      </c>
      <c r="F3373" s="1" t="str">
        <f t="shared" si="1"/>
        <v>RIVADAVIA </v>
      </c>
      <c r="G3373" s="1" t="str">
        <f t="shared" si="2"/>
        <v>Daniel CM</v>
      </c>
      <c r="H3373" s="1" t="str">
        <f>IFERROR(__xludf.DUMMYFUNCTION("""COMPUTED_VALUE"""),"15/3/2023, 17:00:00")</f>
        <v>15/3/2023, 17:00:00</v>
      </c>
      <c r="I3373" s="1" t="str">
        <f>IFERROR(__xludf.DUMMYFUNCTION("""COMPUTED_VALUE"""),"Completado en SUCURSAL")</f>
        <v>Completado en SUCURSAL</v>
      </c>
      <c r="J3373" s="1">
        <f t="shared" si="3"/>
        <v>5</v>
      </c>
      <c r="K3373" s="1" t="str">
        <f t="shared" si="4"/>
        <v>Tus Lentes estan LISTAS PARA ENTREGAR, te esperamos.</v>
      </c>
    </row>
    <row r="3374">
      <c r="A3374" s="1">
        <f>IFERROR(__xludf.DUMMYFUNCTION("""COMPUTED_VALUE"""),87919.0)</f>
        <v>87919</v>
      </c>
      <c r="B3374" s="5">
        <f>IFERROR(__xludf.DUMMYFUNCTION("""COMPUTED_VALUE"""),44999.43351701389)</f>
        <v>44999.43352</v>
      </c>
      <c r="C3374" s="1" t="str">
        <f>IFERROR(__xludf.DUMMYFUNCTION("""COMPUTED_VALUE"""),"LUCERO JUANA")</f>
        <v>LUCERO JUANA</v>
      </c>
      <c r="D3374" s="1" t="str">
        <f>IFERROR(__xludf.DUMMYFUNCTION("""COMPUTED_VALUE"""),"Lentes de STOCK")</f>
        <v>Lentes de STOCK</v>
      </c>
      <c r="E3374" s="1" t="str">
        <f>IFERROR(__xludf.DUMMYFUNCTION("""COMPUTED_VALUE"""),"ARTIGAS Ivana P.")</f>
        <v>ARTIGAS Ivana P.</v>
      </c>
      <c r="F3374" s="1" t="str">
        <f t="shared" si="1"/>
        <v>ARTIGAS </v>
      </c>
      <c r="G3374" s="1" t="str">
        <f t="shared" si="2"/>
        <v>Ivana P.</v>
      </c>
      <c r="H3374" s="1" t="str">
        <f>IFERROR(__xludf.DUMMYFUNCTION("""COMPUTED_VALUE"""),"16/3/2023, 17:00:00")</f>
        <v>16/3/2023, 17:00:00</v>
      </c>
      <c r="I3374" s="1" t="str">
        <f>IFERROR(__xludf.DUMMYFUNCTION("""COMPUTED_VALUE"""),"Completado en SUCURSAL")</f>
        <v>Completado en SUCURSAL</v>
      </c>
      <c r="J3374" s="1">
        <f t="shared" si="3"/>
        <v>5</v>
      </c>
      <c r="K3374" s="1" t="str">
        <f t="shared" si="4"/>
        <v>Tus Lentes estan LISTAS PARA ENTREGAR, te esperamos.</v>
      </c>
    </row>
    <row r="3375">
      <c r="A3375" s="1">
        <f>IFERROR(__xludf.DUMMYFUNCTION("""COMPUTED_VALUE"""),87920.0)</f>
        <v>87920</v>
      </c>
      <c r="B3375" s="5">
        <f>IFERROR(__xludf.DUMMYFUNCTION("""COMPUTED_VALUE"""),44999.43392053241)</f>
        <v>44999.43392</v>
      </c>
      <c r="C3375" s="1" t="str">
        <f>IFERROR(__xludf.DUMMYFUNCTION("""COMPUTED_VALUE"""),"Fernandez Noelia")</f>
        <v>Fernandez Noelia</v>
      </c>
      <c r="D3375" s="1" t="str">
        <f>IFERROR(__xludf.DUMMYFUNCTION("""COMPUTED_VALUE"""),"Lentes de STOCK")</f>
        <v>Lentes de STOCK</v>
      </c>
      <c r="E3375" s="1" t="str">
        <f>IFERROR(__xludf.DUMMYFUNCTION("""COMPUTED_VALUE"""),"RIVADAVIA Santiago LOPEZ")</f>
        <v>RIVADAVIA Santiago LOPEZ</v>
      </c>
      <c r="F3375" s="1" t="str">
        <f t="shared" si="1"/>
        <v>RIVADAVIA </v>
      </c>
      <c r="G3375" s="1" t="str">
        <f t="shared" si="2"/>
        <v>Santiago LOPEZ</v>
      </c>
      <c r="H3375" s="1" t="str">
        <f>IFERROR(__xludf.DUMMYFUNCTION("""COMPUTED_VALUE"""),"20/3/2023, 17:00:00")</f>
        <v>20/3/2023, 17:00:00</v>
      </c>
      <c r="I3375" s="1" t="str">
        <f>IFERROR(__xludf.DUMMYFUNCTION("""COMPUTED_VALUE"""),"Completado en SUCURSAL")</f>
        <v>Completado en SUCURSAL</v>
      </c>
      <c r="J3375" s="1">
        <f t="shared" si="3"/>
        <v>5</v>
      </c>
      <c r="K3375" s="1" t="str">
        <f t="shared" si="4"/>
        <v>Tus Lentes estan LISTAS PARA ENTREGAR, te esperamos.</v>
      </c>
    </row>
    <row r="3376">
      <c r="A3376" s="1">
        <f>IFERROR(__xludf.DUMMYFUNCTION("""COMPUTED_VALUE"""),87921.0)</f>
        <v>87921</v>
      </c>
      <c r="B3376" s="5">
        <f>IFERROR(__xludf.DUMMYFUNCTION("""COMPUTED_VALUE"""),44999.43770702546)</f>
        <v>44999.43771</v>
      </c>
      <c r="C3376" s="1" t="str">
        <f>IFERROR(__xludf.DUMMYFUNCTION("""COMPUTED_VALUE"""),"Adolfo Gonzalez")</f>
        <v>Adolfo Gonzalez</v>
      </c>
      <c r="D3376" s="1" t="str">
        <f>IFERROR(__xludf.DUMMYFUNCTION("""COMPUTED_VALUE"""),"Reparaciones/Otros")</f>
        <v>Reparaciones/Otros</v>
      </c>
      <c r="E3376" s="1" t="str">
        <f>IFERROR(__xludf.DUMMYFUNCTION("""COMPUTED_VALUE"""),"ARTIGAS Sandra G")</f>
        <v>ARTIGAS Sandra G</v>
      </c>
      <c r="F3376" s="1" t="str">
        <f t="shared" si="1"/>
        <v>ARTIGAS </v>
      </c>
      <c r="G3376" s="1" t="str">
        <f t="shared" si="2"/>
        <v>Sandra G</v>
      </c>
      <c r="H3376" s="1" t="str">
        <f>IFERROR(__xludf.DUMMYFUNCTION("""COMPUTED_VALUE"""),"15/3/2023, 17:00:00")</f>
        <v>15/3/2023, 17:00:00</v>
      </c>
      <c r="I3376" s="1" t="str">
        <f>IFERROR(__xludf.DUMMYFUNCTION("""COMPUTED_VALUE"""),"Recibido en Laboratorio")</f>
        <v>Recibido en Laboratorio</v>
      </c>
      <c r="J3376" s="1">
        <f t="shared" si="3"/>
        <v>2</v>
      </c>
      <c r="K3376" s="1" t="str">
        <f t="shared" si="4"/>
        <v>Nuestro Laboratorio esta trabajando en tus lentes, los entregaremos en la fecha acordada.</v>
      </c>
    </row>
    <row r="3377">
      <c r="A3377" s="1">
        <f>IFERROR(__xludf.DUMMYFUNCTION("""COMPUTED_VALUE"""),87922.0)</f>
        <v>87922</v>
      </c>
      <c r="B3377" s="5">
        <f>IFERROR(__xludf.DUMMYFUNCTION("""COMPUTED_VALUE"""),44999.43798192129)</f>
        <v>44999.43798</v>
      </c>
      <c r="C3377" s="1" t="str">
        <f>IFERROR(__xludf.DUMMYFUNCTION("""COMPUTED_VALUE"""),"RODRIGUEZ ELDA DELIA")</f>
        <v>RODRIGUEZ ELDA DELIA</v>
      </c>
      <c r="D3377" s="1" t="str">
        <f>IFERROR(__xludf.DUMMYFUNCTION("""COMPUTED_VALUE"""),"Lentes de STOCK")</f>
        <v>Lentes de STOCK</v>
      </c>
      <c r="E3377" s="1" t="str">
        <f>IFERROR(__xludf.DUMMYFUNCTION("""COMPUTED_VALUE"""),"ARTIGAS Roció")</f>
        <v>ARTIGAS Roció</v>
      </c>
      <c r="F3377" s="1" t="str">
        <f t="shared" si="1"/>
        <v>ARTIGAS </v>
      </c>
      <c r="G3377" s="1" t="str">
        <f t="shared" si="2"/>
        <v>Roció</v>
      </c>
      <c r="H3377" s="1" t="str">
        <f>IFERROR(__xludf.DUMMYFUNCTION("""COMPUTED_VALUE"""),"21/3/2023, 17:00:00")</f>
        <v>21/3/2023, 17:00:00</v>
      </c>
      <c r="I3377" s="1" t="str">
        <f>IFERROR(__xludf.DUMMYFUNCTION("""COMPUTED_VALUE"""),"Completado en SUCURSAL")</f>
        <v>Completado en SUCURSAL</v>
      </c>
      <c r="J3377" s="1">
        <f t="shared" si="3"/>
        <v>5</v>
      </c>
      <c r="K3377" s="1" t="str">
        <f t="shared" si="4"/>
        <v>Tus Lentes estan LISTAS PARA ENTREGAR, te esperamos.</v>
      </c>
    </row>
    <row r="3378">
      <c r="A3378" s="1">
        <f>IFERROR(__xludf.DUMMYFUNCTION("""COMPUTED_VALUE"""),87923.0)</f>
        <v>87923</v>
      </c>
      <c r="B3378" s="5">
        <f>IFERROR(__xludf.DUMMYFUNCTION("""COMPUTED_VALUE"""),44999.4386597338)</f>
        <v>44999.43866</v>
      </c>
      <c r="C3378" s="1" t="str">
        <f>IFERROR(__xludf.DUMMYFUNCTION("""COMPUTED_VALUE"""),"GITTO ROBERTO")</f>
        <v>GITTO ROBERTO</v>
      </c>
      <c r="D3378" s="1" t="str">
        <f>IFERROR(__xludf.DUMMYFUNCTION("""COMPUTED_VALUE"""),"Reparaciones/Otros")</f>
        <v>Reparaciones/Otros</v>
      </c>
      <c r="E3378" s="1" t="str">
        <f>IFERROR(__xludf.DUMMYFUNCTION("""COMPUTED_VALUE"""),"ARTIGAS Ivana P.")</f>
        <v>ARTIGAS Ivana P.</v>
      </c>
      <c r="F3378" s="1" t="str">
        <f t="shared" si="1"/>
        <v>ARTIGAS </v>
      </c>
      <c r="G3378" s="1" t="str">
        <f t="shared" si="2"/>
        <v>Ivana P.</v>
      </c>
      <c r="H3378" s="1" t="str">
        <f>IFERROR(__xludf.DUMMYFUNCTION("""COMPUTED_VALUE"""),"15/3/2023, 17:00:00")</f>
        <v>15/3/2023, 17:00:00</v>
      </c>
      <c r="I3378" s="1" t="str">
        <f>IFERROR(__xludf.DUMMYFUNCTION("""COMPUTED_VALUE"""),"Completado en SUCURSAL")</f>
        <v>Completado en SUCURSAL</v>
      </c>
      <c r="J3378" s="1">
        <f t="shared" si="3"/>
        <v>5</v>
      </c>
      <c r="K3378" s="1" t="str">
        <f t="shared" si="4"/>
        <v>Tus Lentes estan LISTAS PARA ENTREGAR, te esperamos.</v>
      </c>
    </row>
    <row r="3379">
      <c r="A3379" s="1">
        <f>IFERROR(__xludf.DUMMYFUNCTION("""COMPUTED_VALUE"""),87924.0)</f>
        <v>87924</v>
      </c>
      <c r="B3379" s="5">
        <f>IFERROR(__xludf.DUMMYFUNCTION("""COMPUTED_VALUE"""),44999.44059005787)</f>
        <v>44999.44059</v>
      </c>
      <c r="C3379" s="1" t="str">
        <f>IFERROR(__xludf.DUMMYFUNCTION("""COMPUTED_VALUE"""),"OCHOA ALBERTO ALFREDO")</f>
        <v>OCHOA ALBERTO ALFREDO</v>
      </c>
      <c r="D3379" s="1" t="str">
        <f>IFERROR(__xludf.DUMMYFUNCTION("""COMPUTED_VALUE"""),"Lentes BIFOCALES")</f>
        <v>Lentes BIFOCALES</v>
      </c>
      <c r="E3379" s="1" t="str">
        <f>IFERROR(__xludf.DUMMYFUNCTION("""COMPUTED_VALUE"""),"RIVADAVIA Christian C.")</f>
        <v>RIVADAVIA Christian C.</v>
      </c>
      <c r="F3379" s="1" t="str">
        <f t="shared" si="1"/>
        <v>RIVADAVIA </v>
      </c>
      <c r="G3379" s="1" t="str">
        <f t="shared" si="2"/>
        <v>Christian C.</v>
      </c>
      <c r="H3379" s="1" t="str">
        <f>IFERROR(__xludf.DUMMYFUNCTION("""COMPUTED_VALUE"""),"22/3/2023, 17:00:00")</f>
        <v>22/3/2023, 17:00:00</v>
      </c>
      <c r="I3379" s="1" t="str">
        <f>IFERROR(__xludf.DUMMYFUNCTION("""COMPUTED_VALUE"""),"Completado en SUCURSAL")</f>
        <v>Completado en SUCURSAL</v>
      </c>
      <c r="J3379" s="1">
        <f t="shared" si="3"/>
        <v>5</v>
      </c>
      <c r="K3379" s="1" t="str">
        <f t="shared" si="4"/>
        <v>Tus Lentes estan LISTAS PARA ENTREGAR, te esperamos.</v>
      </c>
    </row>
    <row r="3380">
      <c r="A3380" s="1">
        <f>IFERROR(__xludf.DUMMYFUNCTION("""COMPUTED_VALUE"""),87925.0)</f>
        <v>87925</v>
      </c>
      <c r="B3380" s="5">
        <f>IFERROR(__xludf.DUMMYFUNCTION("""COMPUTED_VALUE"""),44999.44294653935)</f>
        <v>44999.44295</v>
      </c>
      <c r="C3380" s="1" t="str">
        <f>IFERROR(__xludf.DUMMYFUNCTION("""COMPUTED_VALUE"""),"ESTELA NORMA")</f>
        <v>ESTELA NORMA</v>
      </c>
      <c r="D3380" s="1" t="str">
        <f>IFERROR(__xludf.DUMMYFUNCTION("""COMPUTED_VALUE"""),"Reparaciones/Otros")</f>
        <v>Reparaciones/Otros</v>
      </c>
      <c r="E3380" s="1" t="str">
        <f>IFERROR(__xludf.DUMMYFUNCTION("""COMPUTED_VALUE"""),"ARTIGAS Ivana P.")</f>
        <v>ARTIGAS Ivana P.</v>
      </c>
      <c r="F3380" s="1" t="str">
        <f t="shared" si="1"/>
        <v>ARTIGAS </v>
      </c>
      <c r="G3380" s="1" t="str">
        <f t="shared" si="2"/>
        <v>Ivana P.</v>
      </c>
      <c r="H3380" s="1" t="str">
        <f>IFERROR(__xludf.DUMMYFUNCTION("""COMPUTED_VALUE"""),"15/3/2023, 17:00:00")</f>
        <v>15/3/2023, 17:00:00</v>
      </c>
      <c r="I3380" s="1" t="str">
        <f>IFERROR(__xludf.DUMMYFUNCTION("""COMPUTED_VALUE"""),"Completado en SUCURSAL")</f>
        <v>Completado en SUCURSAL</v>
      </c>
      <c r="J3380" s="1">
        <f t="shared" si="3"/>
        <v>5</v>
      </c>
      <c r="K3380" s="1" t="str">
        <f t="shared" si="4"/>
        <v>Tus Lentes estan LISTAS PARA ENTREGAR, te esperamos.</v>
      </c>
    </row>
    <row r="3381">
      <c r="A3381" s="1">
        <f>IFERROR(__xludf.DUMMYFUNCTION("""COMPUTED_VALUE"""),87926.0)</f>
        <v>87926</v>
      </c>
      <c r="B3381" s="5">
        <f>IFERROR(__xludf.DUMMYFUNCTION("""COMPUTED_VALUE"""),44999.44406998843)</f>
        <v>44999.44407</v>
      </c>
      <c r="C3381" s="1" t="str">
        <f>IFERROR(__xludf.DUMMYFUNCTION("""COMPUTED_VALUE"""),"VELAZQUEZ MARGARITA EDITH")</f>
        <v>VELAZQUEZ MARGARITA EDITH</v>
      </c>
      <c r="D3381" s="1" t="str">
        <f>IFERROR(__xludf.DUMMYFUNCTION("""COMPUTED_VALUE"""),"Lentes de STOCK")</f>
        <v>Lentes de STOCK</v>
      </c>
      <c r="E3381" s="1" t="str">
        <f>IFERROR(__xludf.DUMMYFUNCTION("""COMPUTED_VALUE"""),"ARTIGAS Roció")</f>
        <v>ARTIGAS Roció</v>
      </c>
      <c r="F3381" s="1" t="str">
        <f t="shared" si="1"/>
        <v>ARTIGAS </v>
      </c>
      <c r="G3381" s="1" t="str">
        <f t="shared" si="2"/>
        <v>Roció</v>
      </c>
      <c r="H3381" s="1" t="str">
        <f>IFERROR(__xludf.DUMMYFUNCTION("""COMPUTED_VALUE"""),"21/3/2023, 17:00:00")</f>
        <v>21/3/2023, 17:00:00</v>
      </c>
      <c r="I3381" s="1" t="str">
        <f>IFERROR(__xludf.DUMMYFUNCTION("""COMPUTED_VALUE"""),"Completado en SUCURSAL")</f>
        <v>Completado en SUCURSAL</v>
      </c>
      <c r="J3381" s="1">
        <f t="shared" si="3"/>
        <v>5</v>
      </c>
      <c r="K3381" s="1" t="str">
        <f t="shared" si="4"/>
        <v>Tus Lentes estan LISTAS PARA ENTREGAR, te esperamos.</v>
      </c>
    </row>
    <row r="3382">
      <c r="A3382" s="1">
        <f>IFERROR(__xludf.DUMMYFUNCTION("""COMPUTED_VALUE"""),87927.0)</f>
        <v>87927</v>
      </c>
      <c r="B3382" s="5">
        <f>IFERROR(__xludf.DUMMYFUNCTION("""COMPUTED_VALUE"""),44999.444775868054)</f>
        <v>44999.44478</v>
      </c>
      <c r="C3382" s="1" t="str">
        <f>IFERROR(__xludf.DUMMYFUNCTION("""COMPUTED_VALUE"""),"VIDELA MARTA ")</f>
        <v>VIDELA MARTA </v>
      </c>
      <c r="D3382" s="1" t="str">
        <f>IFERROR(__xludf.DUMMYFUNCTION("""COMPUTED_VALUE"""),"Lentes de STOCK")</f>
        <v>Lentes de STOCK</v>
      </c>
      <c r="E3382" s="1" t="str">
        <f>IFERROR(__xludf.DUMMYFUNCTION("""COMPUTED_VALUE"""),"RIVADAVIA Marcela L")</f>
        <v>RIVADAVIA Marcela L</v>
      </c>
      <c r="F3382" s="1" t="str">
        <f t="shared" si="1"/>
        <v>RIVADAVIA </v>
      </c>
      <c r="G3382" s="1" t="str">
        <f t="shared" si="2"/>
        <v>Marcela L</v>
      </c>
      <c r="H3382" s="1" t="str">
        <f>IFERROR(__xludf.DUMMYFUNCTION("""COMPUTED_VALUE"""),"17/3/2023, 17:00:00")</f>
        <v>17/3/2023, 17:00:00</v>
      </c>
      <c r="I3382" s="1" t="str">
        <f>IFERROR(__xludf.DUMMYFUNCTION("""COMPUTED_VALUE"""),"Completado en SUCURSAL")</f>
        <v>Completado en SUCURSAL</v>
      </c>
      <c r="J3382" s="1">
        <f t="shared" si="3"/>
        <v>5</v>
      </c>
      <c r="K3382" s="1" t="str">
        <f t="shared" si="4"/>
        <v>Tus Lentes estan LISTAS PARA ENTREGAR, te esperamos.</v>
      </c>
    </row>
    <row r="3383">
      <c r="A3383" s="1">
        <f>IFERROR(__xludf.DUMMYFUNCTION("""COMPUTED_VALUE"""),87928.0)</f>
        <v>87928</v>
      </c>
      <c r="B3383" s="5">
        <f>IFERROR(__xludf.DUMMYFUNCTION("""COMPUTED_VALUE"""),44999.449456076385)</f>
        <v>44999.44946</v>
      </c>
      <c r="C3383" s="1" t="str">
        <f>IFERROR(__xludf.DUMMYFUNCTION("""COMPUTED_VALUE"""),"ARIAS JUAN CARLOS")</f>
        <v>ARIAS JUAN CARLOS</v>
      </c>
      <c r="D3383" s="1" t="str">
        <f>IFERROR(__xludf.DUMMYFUNCTION("""COMPUTED_VALUE"""),"Reparaciones/Otros")</f>
        <v>Reparaciones/Otros</v>
      </c>
      <c r="E3383" s="1" t="str">
        <f>IFERROR(__xludf.DUMMYFUNCTION("""COMPUTED_VALUE"""),"ARTIGAS Ivana P.")</f>
        <v>ARTIGAS Ivana P.</v>
      </c>
      <c r="F3383" s="1" t="str">
        <f t="shared" si="1"/>
        <v>ARTIGAS </v>
      </c>
      <c r="G3383" s="1" t="str">
        <f t="shared" si="2"/>
        <v>Ivana P.</v>
      </c>
      <c r="H3383" s="1" t="str">
        <f>IFERROR(__xludf.DUMMYFUNCTION("""COMPUTED_VALUE"""),"15/3/2023, 17:00:00")</f>
        <v>15/3/2023, 17:00:00</v>
      </c>
      <c r="I3383" s="1" t="str">
        <f>IFERROR(__xludf.DUMMYFUNCTION("""COMPUTED_VALUE"""),"Recibido en Laboratorio")</f>
        <v>Recibido en Laboratorio</v>
      </c>
      <c r="J3383" s="1">
        <f t="shared" si="3"/>
        <v>2</v>
      </c>
      <c r="K3383" s="1" t="str">
        <f t="shared" si="4"/>
        <v>Nuestro Laboratorio esta trabajando en tus lentes, los entregaremos en la fecha acordada.</v>
      </c>
    </row>
    <row r="3384">
      <c r="A3384" s="1">
        <f>IFERROR(__xludf.DUMMYFUNCTION("""COMPUTED_VALUE"""),87929.0)</f>
        <v>87929</v>
      </c>
      <c r="B3384" s="5">
        <f>IFERROR(__xludf.DUMMYFUNCTION("""COMPUTED_VALUE"""),44999.451784537036)</f>
        <v>44999.45178</v>
      </c>
      <c r="C3384" s="1" t="str">
        <f>IFERROR(__xludf.DUMMYFUNCTION("""COMPUTED_VALUE"""),"Barcia Ana Ester")</f>
        <v>Barcia Ana Ester</v>
      </c>
      <c r="D3384" s="1" t="str">
        <f>IFERROR(__xludf.DUMMYFUNCTION("""COMPUTED_VALUE"""),"Reparaciones/Otros")</f>
        <v>Reparaciones/Otros</v>
      </c>
      <c r="E3384" s="1" t="str">
        <f>IFERROR(__xludf.DUMMYFUNCTION("""COMPUTED_VALUE"""),"RIVADAVIA Marcela L")</f>
        <v>RIVADAVIA Marcela L</v>
      </c>
      <c r="F3384" s="1" t="str">
        <f t="shared" si="1"/>
        <v>RIVADAVIA </v>
      </c>
      <c r="G3384" s="1" t="str">
        <f t="shared" si="2"/>
        <v>Marcela L</v>
      </c>
      <c r="H3384" s="1" t="str">
        <f>IFERROR(__xludf.DUMMYFUNCTION("""COMPUTED_VALUE"""),"15/3/2023, 17:00:00")</f>
        <v>15/3/2023, 17:00:00</v>
      </c>
      <c r="I3384" s="1" t="str">
        <f>IFERROR(__xludf.DUMMYFUNCTION("""COMPUTED_VALUE"""),"Completado en SUCURSAL")</f>
        <v>Completado en SUCURSAL</v>
      </c>
      <c r="J3384" s="1">
        <f t="shared" si="3"/>
        <v>5</v>
      </c>
      <c r="K3384" s="1" t="str">
        <f t="shared" si="4"/>
        <v>Tus Lentes estan LISTAS PARA ENTREGAR, te esperamos.</v>
      </c>
    </row>
    <row r="3385">
      <c r="A3385" s="1">
        <f>IFERROR(__xludf.DUMMYFUNCTION("""COMPUTED_VALUE"""),87930.0)</f>
        <v>87930</v>
      </c>
      <c r="B3385" s="5">
        <f>IFERROR(__xludf.DUMMYFUNCTION("""COMPUTED_VALUE"""),44999.46073821759)</f>
        <v>44999.46074</v>
      </c>
      <c r="C3385" s="1" t="str">
        <f>IFERROR(__xludf.DUMMYFUNCTION("""COMPUTED_VALUE"""),"RONCO ELISA")</f>
        <v>RONCO ELISA</v>
      </c>
      <c r="D3385" s="1" t="str">
        <f>IFERROR(__xludf.DUMMYFUNCTION("""COMPUTED_VALUE"""),"Reparaciones/Otros")</f>
        <v>Reparaciones/Otros</v>
      </c>
      <c r="E3385" s="1" t="str">
        <f>IFERROR(__xludf.DUMMYFUNCTION("""COMPUTED_VALUE"""),"RIVADAVIA Christian C.")</f>
        <v>RIVADAVIA Christian C.</v>
      </c>
      <c r="F3385" s="1" t="str">
        <f t="shared" si="1"/>
        <v>RIVADAVIA </v>
      </c>
      <c r="G3385" s="1" t="str">
        <f t="shared" si="2"/>
        <v>Christian C.</v>
      </c>
      <c r="H3385" s="1" t="str">
        <f>IFERROR(__xludf.DUMMYFUNCTION("""COMPUTED_VALUE"""),"16/3/2023, 17:00:00")</f>
        <v>16/3/2023, 17:00:00</v>
      </c>
      <c r="I3385" s="1" t="str">
        <f>IFERROR(__xludf.DUMMYFUNCTION("""COMPUTED_VALUE"""),"Recibido en Laboratorio")</f>
        <v>Recibido en Laboratorio</v>
      </c>
      <c r="J3385" s="1">
        <f t="shared" si="3"/>
        <v>2</v>
      </c>
      <c r="K3385" s="1" t="str">
        <f t="shared" si="4"/>
        <v>Nuestro Laboratorio esta trabajando en tus lentes, los entregaremos en la fecha acordada.</v>
      </c>
    </row>
    <row r="3386">
      <c r="A3386" s="1">
        <f>IFERROR(__xludf.DUMMYFUNCTION("""COMPUTED_VALUE"""),87931.0)</f>
        <v>87931</v>
      </c>
      <c r="B3386" s="5">
        <f>IFERROR(__xludf.DUMMYFUNCTION("""COMPUTED_VALUE"""),44999.460919791665)</f>
        <v>44999.46092</v>
      </c>
      <c r="C3386" s="1" t="str">
        <f>IFERROR(__xludf.DUMMYFUNCTION("""COMPUTED_VALUE"""),"torres marilu")</f>
        <v>torres marilu</v>
      </c>
      <c r="D3386" s="1" t="str">
        <f>IFERROR(__xludf.DUMMYFUNCTION("""COMPUTED_VALUE"""),"Reparaciones/Otros")</f>
        <v>Reparaciones/Otros</v>
      </c>
      <c r="E3386" s="1" t="str">
        <f>IFERROR(__xludf.DUMMYFUNCTION("""COMPUTED_VALUE"""),"ARTIGAS Roció")</f>
        <v>ARTIGAS Roció</v>
      </c>
      <c r="F3386" s="1" t="str">
        <f t="shared" si="1"/>
        <v>ARTIGAS </v>
      </c>
      <c r="G3386" s="1" t="str">
        <f t="shared" si="2"/>
        <v>Roció</v>
      </c>
      <c r="H3386" s="1" t="str">
        <f>IFERROR(__xludf.DUMMYFUNCTION("""COMPUTED_VALUE"""),"15/3/2023, 17:00:00")</f>
        <v>15/3/2023, 17:00:00</v>
      </c>
      <c r="I3386" s="1" t="str">
        <f>IFERROR(__xludf.DUMMYFUNCTION("""COMPUTED_VALUE"""),"Recibido en Laboratorio")</f>
        <v>Recibido en Laboratorio</v>
      </c>
      <c r="J3386" s="1">
        <f t="shared" si="3"/>
        <v>2</v>
      </c>
      <c r="K3386" s="1" t="str">
        <f t="shared" si="4"/>
        <v>Nuestro Laboratorio esta trabajando en tus lentes, los entregaremos en la fecha acordada.</v>
      </c>
    </row>
    <row r="3387">
      <c r="A3387" s="1">
        <f>IFERROR(__xludf.DUMMYFUNCTION("""COMPUTED_VALUE"""),87932.0)</f>
        <v>87932</v>
      </c>
      <c r="B3387" s="5">
        <f>IFERROR(__xludf.DUMMYFUNCTION("""COMPUTED_VALUE"""),44999.46374092593)</f>
        <v>44999.46374</v>
      </c>
      <c r="C3387" s="1" t="str">
        <f>IFERROR(__xludf.DUMMYFUNCTION("""COMPUTED_VALUE"""),"GARCIA SUAREZ SOFIA")</f>
        <v>GARCIA SUAREZ SOFIA</v>
      </c>
      <c r="D3387" s="1" t="str">
        <f>IFERROR(__xludf.DUMMYFUNCTION("""COMPUTED_VALUE"""),"Lentes de STOCK")</f>
        <v>Lentes de STOCK</v>
      </c>
      <c r="E3387" s="1" t="str">
        <f>IFERROR(__xludf.DUMMYFUNCTION("""COMPUTED_VALUE"""),"RIVADAVIA Marcela L")</f>
        <v>RIVADAVIA Marcela L</v>
      </c>
      <c r="F3387" s="1" t="str">
        <f t="shared" si="1"/>
        <v>RIVADAVIA </v>
      </c>
      <c r="G3387" s="1" t="str">
        <f t="shared" si="2"/>
        <v>Marcela L</v>
      </c>
      <c r="H3387" s="1" t="str">
        <f>IFERROR(__xludf.DUMMYFUNCTION("""COMPUTED_VALUE"""),"17/3/2023, 17:00:00")</f>
        <v>17/3/2023, 17:00:00</v>
      </c>
      <c r="I3387" s="1" t="str">
        <f>IFERROR(__xludf.DUMMYFUNCTION("""COMPUTED_VALUE"""),"Completado en SUCURSAL")</f>
        <v>Completado en SUCURSAL</v>
      </c>
      <c r="J3387" s="1">
        <f t="shared" si="3"/>
        <v>5</v>
      </c>
      <c r="K3387" s="1" t="str">
        <f t="shared" si="4"/>
        <v>Tus Lentes estan LISTAS PARA ENTREGAR, te esperamos.</v>
      </c>
    </row>
    <row r="3388">
      <c r="A3388" s="1">
        <f>IFERROR(__xludf.DUMMYFUNCTION("""COMPUTED_VALUE"""),87933.0)</f>
        <v>87933</v>
      </c>
      <c r="B3388" s="5">
        <f>IFERROR(__xludf.DUMMYFUNCTION("""COMPUTED_VALUE"""),44999.46531885417)</f>
        <v>44999.46532</v>
      </c>
      <c r="C3388" s="1" t="str">
        <f>IFERROR(__xludf.DUMMYFUNCTION("""COMPUTED_VALUE"""),"GODOY MARIA LILIANA")</f>
        <v>GODOY MARIA LILIANA</v>
      </c>
      <c r="D3388" s="1" t="str">
        <f>IFERROR(__xludf.DUMMYFUNCTION("""COMPUTED_VALUE"""),"Lentes de STOCK")</f>
        <v>Lentes de STOCK</v>
      </c>
      <c r="E3388" s="1" t="str">
        <f>IFERROR(__xludf.DUMMYFUNCTION("""COMPUTED_VALUE"""),"ARTIGAS Roció")</f>
        <v>ARTIGAS Roció</v>
      </c>
      <c r="F3388" s="1" t="str">
        <f t="shared" si="1"/>
        <v>ARTIGAS </v>
      </c>
      <c r="G3388" s="1" t="str">
        <f t="shared" si="2"/>
        <v>Roció</v>
      </c>
      <c r="H3388" s="1" t="str">
        <f>IFERROR(__xludf.DUMMYFUNCTION("""COMPUTED_VALUE"""),"21/3/2023, 17:00:00")</f>
        <v>21/3/2023, 17:00:00</v>
      </c>
      <c r="I3388" s="1" t="str">
        <f>IFERROR(__xludf.DUMMYFUNCTION("""COMPUTED_VALUE"""),"Completado en SUCURSAL")</f>
        <v>Completado en SUCURSAL</v>
      </c>
      <c r="J3388" s="1">
        <f t="shared" si="3"/>
        <v>5</v>
      </c>
      <c r="K3388" s="1" t="str">
        <f t="shared" si="4"/>
        <v>Tus Lentes estan LISTAS PARA ENTREGAR, te esperamos.</v>
      </c>
    </row>
    <row r="3389">
      <c r="A3389" s="1">
        <f>IFERROR(__xludf.DUMMYFUNCTION("""COMPUTED_VALUE"""),87934.0)</f>
        <v>87934</v>
      </c>
      <c r="B3389" s="5">
        <f>IFERROR(__xludf.DUMMYFUNCTION("""COMPUTED_VALUE"""),44999.46622971065)</f>
        <v>44999.46623</v>
      </c>
      <c r="C3389" s="1" t="str">
        <f>IFERROR(__xludf.DUMMYFUNCTION("""COMPUTED_VALUE"""),"magni oscar")</f>
        <v>magni oscar</v>
      </c>
      <c r="D3389" s="1" t="str">
        <f>IFERROR(__xludf.DUMMYFUNCTION("""COMPUTED_VALUE"""),"Reparaciones/Otros")</f>
        <v>Reparaciones/Otros</v>
      </c>
      <c r="E3389" s="1" t="str">
        <f>IFERROR(__xludf.DUMMYFUNCTION("""COMPUTED_VALUE"""),"RIVADAVIA Santiago N")</f>
        <v>RIVADAVIA Santiago N</v>
      </c>
      <c r="F3389" s="1" t="str">
        <f t="shared" si="1"/>
        <v>RIVADAVIA </v>
      </c>
      <c r="G3389" s="1" t="str">
        <f t="shared" si="2"/>
        <v>Santiago N</v>
      </c>
      <c r="H3389" s="1" t="str">
        <f>IFERROR(__xludf.DUMMYFUNCTION("""COMPUTED_VALUE"""),"15/3/2023, 17:00:00")</f>
        <v>15/3/2023, 17:00:00</v>
      </c>
      <c r="I3389" s="1" t="str">
        <f>IFERROR(__xludf.DUMMYFUNCTION("""COMPUTED_VALUE"""),"Completado en SUCURSAL")</f>
        <v>Completado en SUCURSAL</v>
      </c>
      <c r="J3389" s="1">
        <f t="shared" si="3"/>
        <v>5</v>
      </c>
      <c r="K3389" s="1" t="str">
        <f t="shared" si="4"/>
        <v>Tus Lentes estan LISTAS PARA ENTREGAR, te esperamos.</v>
      </c>
    </row>
    <row r="3390">
      <c r="A3390" s="1">
        <f>IFERROR(__xludf.DUMMYFUNCTION("""COMPUTED_VALUE"""),87935.0)</f>
        <v>87935</v>
      </c>
      <c r="B3390" s="5">
        <f>IFERROR(__xludf.DUMMYFUNCTION("""COMPUTED_VALUE"""),44999.477632106486)</f>
        <v>44999.47763</v>
      </c>
      <c r="C3390" s="1" t="str">
        <f>IFERROR(__xludf.DUMMYFUNCTION("""COMPUTED_VALUE"""),"ARCE MERCEDES")</f>
        <v>ARCE MERCEDES</v>
      </c>
      <c r="D3390" s="1" t="str">
        <f>IFERROR(__xludf.DUMMYFUNCTION("""COMPUTED_VALUE"""),"Lentes BIFOCALES")</f>
        <v>Lentes BIFOCALES</v>
      </c>
      <c r="E3390" s="1" t="str">
        <f>IFERROR(__xludf.DUMMYFUNCTION("""COMPUTED_VALUE"""),"ARTIGAS Ivana P.")</f>
        <v>ARTIGAS Ivana P.</v>
      </c>
      <c r="F3390" s="1" t="str">
        <f t="shared" si="1"/>
        <v>ARTIGAS </v>
      </c>
      <c r="G3390" s="1" t="str">
        <f t="shared" si="2"/>
        <v>Ivana P.</v>
      </c>
      <c r="H3390" s="1" t="str">
        <f>IFERROR(__xludf.DUMMYFUNCTION("""COMPUTED_VALUE"""),"23/3/2023, 17:00:00")</f>
        <v>23/3/2023, 17:00:00</v>
      </c>
      <c r="I3390" s="1" t="str">
        <f>IFERROR(__xludf.DUMMYFUNCTION("""COMPUTED_VALUE"""),"RETIRADO OK POR CLIENTE")</f>
        <v>RETIRADO OK POR CLIENTE</v>
      </c>
      <c r="J3390" s="1">
        <f t="shared" si="3"/>
        <v>6</v>
      </c>
      <c r="K3390" s="1" t="str">
        <f t="shared" si="4"/>
        <v>Entregamos tus lentes, que los disfrutes!</v>
      </c>
    </row>
    <row r="3391">
      <c r="A3391" s="1">
        <f>IFERROR(__xludf.DUMMYFUNCTION("""COMPUTED_VALUE"""),87936.0)</f>
        <v>87936</v>
      </c>
      <c r="B3391" s="5">
        <f>IFERROR(__xludf.DUMMYFUNCTION("""COMPUTED_VALUE"""),44999.47885010416)</f>
        <v>44999.47885</v>
      </c>
      <c r="C3391" s="1" t="str">
        <f>IFERROR(__xludf.DUMMYFUNCTION("""COMPUTED_VALUE"""),"SOSA MARGARITA LELIA")</f>
        <v>SOSA MARGARITA LELIA</v>
      </c>
      <c r="D3391" s="1" t="str">
        <f>IFERROR(__xludf.DUMMYFUNCTION("""COMPUTED_VALUE"""),"Lentes de STOCK")</f>
        <v>Lentes de STOCK</v>
      </c>
      <c r="E3391" s="1" t="str">
        <f>IFERROR(__xludf.DUMMYFUNCTION("""COMPUTED_VALUE"""),"ARTIGAS Roció")</f>
        <v>ARTIGAS Roció</v>
      </c>
      <c r="F3391" s="1" t="str">
        <f t="shared" si="1"/>
        <v>ARTIGAS </v>
      </c>
      <c r="G3391" s="1" t="str">
        <f t="shared" si="2"/>
        <v>Roció</v>
      </c>
      <c r="H3391" s="1" t="str">
        <f>IFERROR(__xludf.DUMMYFUNCTION("""COMPUTED_VALUE"""),"21/3/2023, 17:00:00")</f>
        <v>21/3/2023, 17:00:00</v>
      </c>
      <c r="I3391" s="1" t="str">
        <f>IFERROR(__xludf.DUMMYFUNCTION("""COMPUTED_VALUE"""),"Completado en SUCURSAL")</f>
        <v>Completado en SUCURSAL</v>
      </c>
      <c r="J3391" s="1">
        <f t="shared" si="3"/>
        <v>5</v>
      </c>
      <c r="K3391" s="1" t="str">
        <f t="shared" si="4"/>
        <v>Tus Lentes estan LISTAS PARA ENTREGAR, te esperamos.</v>
      </c>
    </row>
    <row r="3392">
      <c r="A3392" s="1">
        <f>IFERROR(__xludf.DUMMYFUNCTION("""COMPUTED_VALUE"""),87937.0)</f>
        <v>87937</v>
      </c>
      <c r="B3392" s="5">
        <f>IFERROR(__xludf.DUMMYFUNCTION("""COMPUTED_VALUE"""),44999.485640914354)</f>
        <v>44999.48564</v>
      </c>
      <c r="C3392" s="1" t="str">
        <f>IFERROR(__xludf.DUMMYFUNCTION("""COMPUTED_VALUE"""),"lujan mario cesar")</f>
        <v>lujan mario cesar</v>
      </c>
      <c r="D3392" s="1" t="str">
        <f>IFERROR(__xludf.DUMMYFUNCTION("""COMPUTED_VALUE"""),"Lentes de STOCK")</f>
        <v>Lentes de STOCK</v>
      </c>
      <c r="E3392" s="1" t="str">
        <f>IFERROR(__xludf.DUMMYFUNCTION("""COMPUTED_VALUE"""),"RIVADAVIA Santiago N")</f>
        <v>RIVADAVIA Santiago N</v>
      </c>
      <c r="F3392" s="1" t="str">
        <f t="shared" si="1"/>
        <v>RIVADAVIA </v>
      </c>
      <c r="G3392" s="1" t="str">
        <f t="shared" si="2"/>
        <v>Santiago N</v>
      </c>
      <c r="H3392" s="1" t="str">
        <f>IFERROR(__xludf.DUMMYFUNCTION("""COMPUTED_VALUE"""),"16/3/2023, 17:00:00")</f>
        <v>16/3/2023, 17:00:00</v>
      </c>
      <c r="I3392" s="1" t="str">
        <f>IFERROR(__xludf.DUMMYFUNCTION("""COMPUTED_VALUE"""),"Completado en SUCURSAL")</f>
        <v>Completado en SUCURSAL</v>
      </c>
      <c r="J3392" s="1">
        <f t="shared" si="3"/>
        <v>5</v>
      </c>
      <c r="K3392" s="1" t="str">
        <f t="shared" si="4"/>
        <v>Tus Lentes estan LISTAS PARA ENTREGAR, te esperamos.</v>
      </c>
    </row>
    <row r="3393">
      <c r="A3393" s="1">
        <f>IFERROR(__xludf.DUMMYFUNCTION("""COMPUTED_VALUE"""),87938.0)</f>
        <v>87938</v>
      </c>
      <c r="B3393" s="5">
        <f>IFERROR(__xludf.DUMMYFUNCTION("""COMPUTED_VALUE"""),44999.48671252315)</f>
        <v>44999.48671</v>
      </c>
      <c r="C3393" s="1" t="str">
        <f>IFERROR(__xludf.DUMMYFUNCTION("""COMPUTED_VALUE"""),"paes Jose")</f>
        <v>paes Jose</v>
      </c>
      <c r="D3393" s="1" t="str">
        <f>IFERROR(__xludf.DUMMYFUNCTION("""COMPUTED_VALUE"""),"Reparaciones/Otros")</f>
        <v>Reparaciones/Otros</v>
      </c>
      <c r="E3393" s="1" t="str">
        <f>IFERROR(__xludf.DUMMYFUNCTION("""COMPUTED_VALUE"""),"ARTIGAS Sandra G")</f>
        <v>ARTIGAS Sandra G</v>
      </c>
      <c r="F3393" s="1" t="str">
        <f t="shared" si="1"/>
        <v>ARTIGAS </v>
      </c>
      <c r="G3393" s="1" t="str">
        <f t="shared" si="2"/>
        <v>Sandra G</v>
      </c>
      <c r="H3393" s="1" t="str">
        <f>IFERROR(__xludf.DUMMYFUNCTION("""COMPUTED_VALUE"""),"15/3/2023, 17:00:00")</f>
        <v>15/3/2023, 17:00:00</v>
      </c>
      <c r="I3393" s="1"/>
      <c r="J3393" s="1">
        <f t="shared" si="3"/>
        <v>0</v>
      </c>
      <c r="K3393" s="1" t="str">
        <f t="shared" si="4"/>
        <v/>
      </c>
    </row>
    <row r="3394">
      <c r="A3394" s="1">
        <f>IFERROR(__xludf.DUMMYFUNCTION("""COMPUTED_VALUE"""),87939.0)</f>
        <v>87939</v>
      </c>
      <c r="B3394" s="5">
        <f>IFERROR(__xludf.DUMMYFUNCTION("""COMPUTED_VALUE"""),44999.49141136574)</f>
        <v>44999.49141</v>
      </c>
      <c r="C3394" s="1" t="str">
        <f>IFERROR(__xludf.DUMMYFUNCTION("""COMPUTED_VALUE"""),"CAMILO QUIAN ANA DELFINA")</f>
        <v>CAMILO QUIAN ANA DELFINA</v>
      </c>
      <c r="D3394" s="1" t="str">
        <f>IFERROR(__xludf.DUMMYFUNCTION("""COMPUTED_VALUE"""),"Lentes de STOCK")</f>
        <v>Lentes de STOCK</v>
      </c>
      <c r="E3394" s="1" t="str">
        <f>IFERROR(__xludf.DUMMYFUNCTION("""COMPUTED_VALUE"""),"ARTIGAS Roció")</f>
        <v>ARTIGAS Roció</v>
      </c>
      <c r="F3394" s="1" t="str">
        <f t="shared" si="1"/>
        <v>ARTIGAS </v>
      </c>
      <c r="G3394" s="1" t="str">
        <f t="shared" si="2"/>
        <v>Roció</v>
      </c>
      <c r="H3394" s="1" t="str">
        <f>IFERROR(__xludf.DUMMYFUNCTION("""COMPUTED_VALUE"""),"21/3/2023, 17:00:00")</f>
        <v>21/3/2023, 17:00:00</v>
      </c>
      <c r="I3394" s="1" t="str">
        <f>IFERROR(__xludf.DUMMYFUNCTION("""COMPUTED_VALUE"""),"Completado en SUCURSAL")</f>
        <v>Completado en SUCURSAL</v>
      </c>
      <c r="J3394" s="1">
        <f t="shared" si="3"/>
        <v>5</v>
      </c>
      <c r="K3394" s="1" t="str">
        <f t="shared" si="4"/>
        <v>Tus Lentes estan LISTAS PARA ENTREGAR, te esperamos.</v>
      </c>
    </row>
    <row r="3395">
      <c r="A3395" s="1">
        <f>IFERROR(__xludf.DUMMYFUNCTION("""COMPUTED_VALUE"""),87940.0)</f>
        <v>87940</v>
      </c>
      <c r="B3395" s="5">
        <f>IFERROR(__xludf.DUMMYFUNCTION("""COMPUTED_VALUE"""),44999.50599225695)</f>
        <v>44999.50599</v>
      </c>
      <c r="C3395" s="1" t="str">
        <f>IFERROR(__xludf.DUMMYFUNCTION("""COMPUTED_VALUE"""),"SOROKIN NOELIA")</f>
        <v>SOROKIN NOELIA</v>
      </c>
      <c r="D3395" s="1" t="str">
        <f>IFERROR(__xludf.DUMMYFUNCTION("""COMPUTED_VALUE"""),"Lentes MULTIFOCALES")</f>
        <v>Lentes MULTIFOCALES</v>
      </c>
      <c r="E3395" s="1" t="str">
        <f>IFERROR(__xludf.DUMMYFUNCTION("""COMPUTED_VALUE"""),"RIVADAVIA Santiago LOPEZ")</f>
        <v>RIVADAVIA Santiago LOPEZ</v>
      </c>
      <c r="F3395" s="1" t="str">
        <f t="shared" si="1"/>
        <v>RIVADAVIA </v>
      </c>
      <c r="G3395" s="1" t="str">
        <f t="shared" si="2"/>
        <v>Santiago LOPEZ</v>
      </c>
      <c r="H3395" s="1" t="str">
        <f>IFERROR(__xludf.DUMMYFUNCTION("""COMPUTED_VALUE"""),"29/3/2023, 17:00:00")</f>
        <v>29/3/2023, 17:00:00</v>
      </c>
      <c r="I3395" s="1" t="str">
        <f>IFERROR(__xludf.DUMMYFUNCTION("""COMPUTED_VALUE"""),"Completado en SUCURSAL")</f>
        <v>Completado en SUCURSAL</v>
      </c>
      <c r="J3395" s="1">
        <f t="shared" si="3"/>
        <v>5</v>
      </c>
      <c r="K3395" s="1" t="str">
        <f t="shared" si="4"/>
        <v>Tus Lentes estan LISTAS PARA ENTREGAR, te esperamos.</v>
      </c>
    </row>
    <row r="3396">
      <c r="A3396" s="1">
        <f>IFERROR(__xludf.DUMMYFUNCTION("""COMPUTED_VALUE"""),87941.0)</f>
        <v>87941</v>
      </c>
      <c r="B3396" s="5">
        <f>IFERROR(__xludf.DUMMYFUNCTION("""COMPUTED_VALUE"""),44999.50607827546)</f>
        <v>44999.50608</v>
      </c>
      <c r="C3396" s="1" t="str">
        <f>IFERROR(__xludf.DUMMYFUNCTION("""COMPUTED_VALUE"""),"Zabala Gustavo Adolfo")</f>
        <v>Zabala Gustavo Adolfo</v>
      </c>
      <c r="D3396" s="1" t="str">
        <f>IFERROR(__xludf.DUMMYFUNCTION("""COMPUTED_VALUE"""),"Lentes de STOCK")</f>
        <v>Lentes de STOCK</v>
      </c>
      <c r="E3396" s="1" t="str">
        <f>IFERROR(__xludf.DUMMYFUNCTION("""COMPUTED_VALUE"""),"RIVADAVIA Christian C.")</f>
        <v>RIVADAVIA Christian C.</v>
      </c>
      <c r="F3396" s="1" t="str">
        <f t="shared" si="1"/>
        <v>RIVADAVIA </v>
      </c>
      <c r="G3396" s="1" t="str">
        <f t="shared" si="2"/>
        <v>Christian C.</v>
      </c>
      <c r="H3396" s="1" t="str">
        <f>IFERROR(__xludf.DUMMYFUNCTION("""COMPUTED_VALUE"""),"22/3/2023, 17:00:00")</f>
        <v>22/3/2023, 17:00:00</v>
      </c>
      <c r="I3396" s="1" t="str">
        <f>IFERROR(__xludf.DUMMYFUNCTION("""COMPUTED_VALUE"""),"Completado en SUCURSAL")</f>
        <v>Completado en SUCURSAL</v>
      </c>
      <c r="J3396" s="1">
        <f t="shared" si="3"/>
        <v>5</v>
      </c>
      <c r="K3396" s="1" t="str">
        <f t="shared" si="4"/>
        <v>Tus Lentes estan LISTAS PARA ENTREGAR, te esperamos.</v>
      </c>
    </row>
    <row r="3397">
      <c r="A3397" s="1">
        <f>IFERROR(__xludf.DUMMYFUNCTION("""COMPUTED_VALUE"""),87942.0)</f>
        <v>87942</v>
      </c>
      <c r="B3397" s="5">
        <f>IFERROR(__xludf.DUMMYFUNCTION("""COMPUTED_VALUE"""),44999.50961440972)</f>
        <v>44999.50961</v>
      </c>
      <c r="C3397" s="1" t="str">
        <f>IFERROR(__xludf.DUMMYFUNCTION("""COMPUTED_VALUE"""),"BRITO GLADIS")</f>
        <v>BRITO GLADIS</v>
      </c>
      <c r="D3397" s="1" t="str">
        <f>IFERROR(__xludf.DUMMYFUNCTION("""COMPUTED_VALUE"""),"Lentes BIFOCALES")</f>
        <v>Lentes BIFOCALES</v>
      </c>
      <c r="E3397" s="1" t="str">
        <f>IFERROR(__xludf.DUMMYFUNCTION("""COMPUTED_VALUE"""),"RIVADAVIA Daniel CM")</f>
        <v>RIVADAVIA Daniel CM</v>
      </c>
      <c r="F3397" s="1" t="str">
        <f t="shared" si="1"/>
        <v>RIVADAVIA </v>
      </c>
      <c r="G3397" s="1" t="str">
        <f t="shared" si="2"/>
        <v>Daniel CM</v>
      </c>
      <c r="H3397" s="1" t="str">
        <f>IFERROR(__xludf.DUMMYFUNCTION("""COMPUTED_VALUE"""),"20/3/2023, 17:00:00")</f>
        <v>20/3/2023, 17:00:00</v>
      </c>
      <c r="I3397" s="1" t="str">
        <f>IFERROR(__xludf.DUMMYFUNCTION("""COMPUTED_VALUE"""),"RETIRADO OK POR CLIENTE")</f>
        <v>RETIRADO OK POR CLIENTE</v>
      </c>
      <c r="J3397" s="1">
        <f t="shared" si="3"/>
        <v>6</v>
      </c>
      <c r="K3397" s="1" t="str">
        <f t="shared" si="4"/>
        <v>Entregamos tus lentes, que los disfrutes!</v>
      </c>
    </row>
    <row r="3398">
      <c r="A3398" s="1">
        <f>IFERROR(__xludf.DUMMYFUNCTION("""COMPUTED_VALUE"""),87943.0)</f>
        <v>87943</v>
      </c>
      <c r="B3398" s="5">
        <f>IFERROR(__xludf.DUMMYFUNCTION("""COMPUTED_VALUE"""),44999.51277119213)</f>
        <v>44999.51277</v>
      </c>
      <c r="C3398" s="1" t="str">
        <f>IFERROR(__xludf.DUMMYFUNCTION("""COMPUTED_VALUE"""),"PEREZ RAFAELA")</f>
        <v>PEREZ RAFAELA</v>
      </c>
      <c r="D3398" s="1" t="str">
        <f>IFERROR(__xludf.DUMMYFUNCTION("""COMPUTED_VALUE"""),"Lentes de STOCK")</f>
        <v>Lentes de STOCK</v>
      </c>
      <c r="E3398" s="1" t="str">
        <f>IFERROR(__xludf.DUMMYFUNCTION("""COMPUTED_VALUE"""),"ARTIGAS Ivana P.")</f>
        <v>ARTIGAS Ivana P.</v>
      </c>
      <c r="F3398" s="1" t="str">
        <f t="shared" si="1"/>
        <v>ARTIGAS </v>
      </c>
      <c r="G3398" s="1" t="str">
        <f t="shared" si="2"/>
        <v>Ivana P.</v>
      </c>
      <c r="H3398" s="1" t="str">
        <f>IFERROR(__xludf.DUMMYFUNCTION("""COMPUTED_VALUE"""),"16/3/2023, 17:00:00")</f>
        <v>16/3/2023, 17:00:00</v>
      </c>
      <c r="I3398" s="1" t="str">
        <f>IFERROR(__xludf.DUMMYFUNCTION("""COMPUTED_VALUE"""),"Completado en SUCURSAL")</f>
        <v>Completado en SUCURSAL</v>
      </c>
      <c r="J3398" s="1">
        <f t="shared" si="3"/>
        <v>5</v>
      </c>
      <c r="K3398" s="1" t="str">
        <f t="shared" si="4"/>
        <v>Tus Lentes estan LISTAS PARA ENTREGAR, te esperamos.</v>
      </c>
    </row>
    <row r="3399">
      <c r="A3399" s="1">
        <f>IFERROR(__xludf.DUMMYFUNCTION("""COMPUTED_VALUE"""),87944.0)</f>
        <v>87944</v>
      </c>
      <c r="B3399" s="5">
        <f>IFERROR(__xludf.DUMMYFUNCTION("""COMPUTED_VALUE"""),44999.51290591435)</f>
        <v>44999.51291</v>
      </c>
      <c r="C3399" s="1" t="str">
        <f>IFERROR(__xludf.DUMMYFUNCTION("""COMPUTED_VALUE"""),"RAMASCO LAURA")</f>
        <v>RAMASCO LAURA</v>
      </c>
      <c r="D3399" s="1" t="str">
        <f>IFERROR(__xludf.DUMMYFUNCTION("""COMPUTED_VALUE"""),"Lentes de STOCK")</f>
        <v>Lentes de STOCK</v>
      </c>
      <c r="E3399" s="1" t="str">
        <f>IFERROR(__xludf.DUMMYFUNCTION("""COMPUTED_VALUE"""),"RIVADAVIA Santiago LOPEZ")</f>
        <v>RIVADAVIA Santiago LOPEZ</v>
      </c>
      <c r="F3399" s="1" t="str">
        <f t="shared" si="1"/>
        <v>RIVADAVIA </v>
      </c>
      <c r="G3399" s="1" t="str">
        <f t="shared" si="2"/>
        <v>Santiago LOPEZ</v>
      </c>
      <c r="H3399" s="1" t="str">
        <f>IFERROR(__xludf.DUMMYFUNCTION("""COMPUTED_VALUE"""),"17/3/2023, 17:00:00")</f>
        <v>17/3/2023, 17:00:00</v>
      </c>
      <c r="I3399" s="1" t="str">
        <f>IFERROR(__xludf.DUMMYFUNCTION("""COMPUTED_VALUE"""),"Completado en SUCURSAL")</f>
        <v>Completado en SUCURSAL</v>
      </c>
      <c r="J3399" s="1">
        <f t="shared" si="3"/>
        <v>5</v>
      </c>
      <c r="K3399" s="1" t="str">
        <f t="shared" si="4"/>
        <v>Tus Lentes estan LISTAS PARA ENTREGAR, te esperamos.</v>
      </c>
    </row>
    <row r="3400">
      <c r="A3400" s="1">
        <f>IFERROR(__xludf.DUMMYFUNCTION("""COMPUTED_VALUE"""),87945.0)</f>
        <v>87945</v>
      </c>
      <c r="B3400" s="5">
        <f>IFERROR(__xludf.DUMMYFUNCTION("""COMPUTED_VALUE"""),44999.51440059028)</f>
        <v>44999.5144</v>
      </c>
      <c r="C3400" s="1" t="str">
        <f>IFERROR(__xludf.DUMMYFUNCTION("""COMPUTED_VALUE"""),"SOSA MARIELA")</f>
        <v>SOSA MARIELA</v>
      </c>
      <c r="D3400" s="1" t="str">
        <f>IFERROR(__xludf.DUMMYFUNCTION("""COMPUTED_VALUE"""),"Reparaciones/Otros")</f>
        <v>Reparaciones/Otros</v>
      </c>
      <c r="E3400" s="1" t="str">
        <f>IFERROR(__xludf.DUMMYFUNCTION("""COMPUTED_VALUE"""),"ARTIGAS Roció")</f>
        <v>ARTIGAS Roció</v>
      </c>
      <c r="F3400" s="1" t="str">
        <f t="shared" si="1"/>
        <v>ARTIGAS </v>
      </c>
      <c r="G3400" s="1" t="str">
        <f t="shared" si="2"/>
        <v>Roció</v>
      </c>
      <c r="H3400" s="1" t="str">
        <f>IFERROR(__xludf.DUMMYFUNCTION("""COMPUTED_VALUE"""),"15/3/2023, 17:00:00")</f>
        <v>15/3/2023, 17:00:00</v>
      </c>
      <c r="I3400" s="1" t="str">
        <f>IFERROR(__xludf.DUMMYFUNCTION("""COMPUTED_VALUE"""),"Recibido en Laboratorio")</f>
        <v>Recibido en Laboratorio</v>
      </c>
      <c r="J3400" s="1">
        <f t="shared" si="3"/>
        <v>2</v>
      </c>
      <c r="K3400" s="1" t="str">
        <f t="shared" si="4"/>
        <v>Nuestro Laboratorio esta trabajando en tus lentes, los entregaremos en la fecha acordada.</v>
      </c>
    </row>
    <row r="3401">
      <c r="A3401" s="1">
        <f>IFERROR(__xludf.DUMMYFUNCTION("""COMPUTED_VALUE"""),87946.0)</f>
        <v>87946</v>
      </c>
      <c r="B3401" s="5">
        <f>IFERROR(__xludf.DUMMYFUNCTION("""COMPUTED_VALUE"""),44999.53291825231)</f>
        <v>44999.53292</v>
      </c>
      <c r="C3401" s="1" t="str">
        <f>IFERROR(__xludf.DUMMYFUNCTION("""COMPUTED_VALUE"""),"avila micaela daniela")</f>
        <v>avila micaela daniela</v>
      </c>
      <c r="D3401" s="1" t="str">
        <f>IFERROR(__xludf.DUMMYFUNCTION("""COMPUTED_VALUE"""),"Lentes de STOCK")</f>
        <v>Lentes de STOCK</v>
      </c>
      <c r="E3401" s="1" t="str">
        <f>IFERROR(__xludf.DUMMYFUNCTION("""COMPUTED_VALUE"""),"ARTIGAS Roció")</f>
        <v>ARTIGAS Roció</v>
      </c>
      <c r="F3401" s="1" t="str">
        <f t="shared" si="1"/>
        <v>ARTIGAS </v>
      </c>
      <c r="G3401" s="1" t="str">
        <f t="shared" si="2"/>
        <v>Roció</v>
      </c>
      <c r="H3401" s="1" t="str">
        <f>IFERROR(__xludf.DUMMYFUNCTION("""COMPUTED_VALUE"""),"21/3/2023, 17:00:00")</f>
        <v>21/3/2023, 17:00:00</v>
      </c>
      <c r="I3401" s="1" t="str">
        <f>IFERROR(__xludf.DUMMYFUNCTION("""COMPUTED_VALUE"""),"Completado en SUCURSAL")</f>
        <v>Completado en SUCURSAL</v>
      </c>
      <c r="J3401" s="1">
        <f t="shared" si="3"/>
        <v>5</v>
      </c>
      <c r="K3401" s="1" t="str">
        <f t="shared" si="4"/>
        <v>Tus Lentes estan LISTAS PARA ENTREGAR, te esperamos.</v>
      </c>
    </row>
    <row r="3402">
      <c r="A3402" s="1">
        <f>IFERROR(__xludf.DUMMYFUNCTION("""COMPUTED_VALUE"""),87947.0)</f>
        <v>87947</v>
      </c>
      <c r="B3402" s="5">
        <f>IFERROR(__xludf.DUMMYFUNCTION("""COMPUTED_VALUE"""),44999.53606230324)</f>
        <v>44999.53606</v>
      </c>
      <c r="C3402" s="1">
        <f>IFERROR(__xludf.DUMMYFUNCTION("""COMPUTED_VALUE"""),87976.0)</f>
        <v>87976</v>
      </c>
      <c r="D3402" s="1" t="str">
        <f>IFERROR(__xludf.DUMMYFUNCTION("""COMPUTED_VALUE"""),"Lentes de STOCK")</f>
        <v>Lentes de STOCK</v>
      </c>
      <c r="E3402" s="1" t="str">
        <f>IFERROR(__xludf.DUMMYFUNCTION("""COMPUTED_VALUE"""),"RIVADAVIA Santiago N")</f>
        <v>RIVADAVIA Santiago N</v>
      </c>
      <c r="F3402" s="1" t="str">
        <f t="shared" si="1"/>
        <v>RIVADAVIA </v>
      </c>
      <c r="G3402" s="1" t="str">
        <f t="shared" si="2"/>
        <v>Santiago N</v>
      </c>
      <c r="H3402" s="1" t="str">
        <f>IFERROR(__xludf.DUMMYFUNCTION("""COMPUTED_VALUE"""),"20/3/2023, 17:00:00")</f>
        <v>20/3/2023, 17:00:00</v>
      </c>
      <c r="I3402" s="1" t="str">
        <f>IFERROR(__xludf.DUMMYFUNCTION("""COMPUTED_VALUE"""),"Completado en SUCURSAL")</f>
        <v>Completado en SUCURSAL</v>
      </c>
      <c r="J3402" s="1">
        <f t="shared" si="3"/>
        <v>5</v>
      </c>
      <c r="K3402" s="1" t="str">
        <f t="shared" si="4"/>
        <v>Tus Lentes estan LISTAS PARA ENTREGAR, te esperamos.</v>
      </c>
    </row>
    <row r="3403">
      <c r="A3403" s="1">
        <f>IFERROR(__xludf.DUMMYFUNCTION("""COMPUTED_VALUE"""),87948.0)</f>
        <v>87948</v>
      </c>
      <c r="B3403" s="5">
        <f>IFERROR(__xludf.DUMMYFUNCTION("""COMPUTED_VALUE"""),44999.53735966435)</f>
        <v>44999.53736</v>
      </c>
      <c r="C3403" s="1" t="str">
        <f>IFERROR(__xludf.DUMMYFUNCTION("""COMPUTED_VALUE"""),"CRAVERO ADRIANA")</f>
        <v>CRAVERO ADRIANA</v>
      </c>
      <c r="D3403" s="1" t="str">
        <f>IFERROR(__xludf.DUMMYFUNCTION("""COMPUTED_VALUE"""),"Lentes de STOCK")</f>
        <v>Lentes de STOCK</v>
      </c>
      <c r="E3403" s="1" t="str">
        <f>IFERROR(__xludf.DUMMYFUNCTION("""COMPUTED_VALUE"""),"RIVADAVIA Santiago N")</f>
        <v>RIVADAVIA Santiago N</v>
      </c>
      <c r="F3403" s="1" t="str">
        <f t="shared" si="1"/>
        <v>RIVADAVIA </v>
      </c>
      <c r="G3403" s="1" t="str">
        <f t="shared" si="2"/>
        <v>Santiago N</v>
      </c>
      <c r="H3403" s="1" t="str">
        <f>IFERROR(__xludf.DUMMYFUNCTION("""COMPUTED_VALUE"""),"20/3/2023, 17:00:00")</f>
        <v>20/3/2023, 17:00:00</v>
      </c>
      <c r="I3403" s="1" t="str">
        <f>IFERROR(__xludf.DUMMYFUNCTION("""COMPUTED_VALUE"""),"Completado en SUCURSAL")</f>
        <v>Completado en SUCURSAL</v>
      </c>
      <c r="J3403" s="1">
        <f t="shared" si="3"/>
        <v>5</v>
      </c>
      <c r="K3403" s="1" t="str">
        <f t="shared" si="4"/>
        <v>Tus Lentes estan LISTAS PARA ENTREGAR, te esperamos.</v>
      </c>
    </row>
    <row r="3404">
      <c r="A3404" s="1">
        <f>IFERROR(__xludf.DUMMYFUNCTION("""COMPUTED_VALUE"""),87949.0)</f>
        <v>87949</v>
      </c>
      <c r="B3404" s="5">
        <f>IFERROR(__xludf.DUMMYFUNCTION("""COMPUTED_VALUE"""),44999.544603449074)</f>
        <v>44999.5446</v>
      </c>
      <c r="C3404" s="1" t="str">
        <f>IFERROR(__xludf.DUMMYFUNCTION("""COMPUTED_VALUE"""),"LOZANO SUSANA")</f>
        <v>LOZANO SUSANA</v>
      </c>
      <c r="D3404" s="1" t="str">
        <f>IFERROR(__xludf.DUMMYFUNCTION("""COMPUTED_VALUE"""),"Lentes de STOCK")</f>
        <v>Lentes de STOCK</v>
      </c>
      <c r="E3404" s="1" t="str">
        <f>IFERROR(__xludf.DUMMYFUNCTION("""COMPUTED_VALUE"""),"ARTIGAS Roció")</f>
        <v>ARTIGAS Roció</v>
      </c>
      <c r="F3404" s="1" t="str">
        <f t="shared" si="1"/>
        <v>ARTIGAS </v>
      </c>
      <c r="G3404" s="1" t="str">
        <f t="shared" si="2"/>
        <v>Roció</v>
      </c>
      <c r="H3404" s="1" t="str">
        <f>IFERROR(__xludf.DUMMYFUNCTION("""COMPUTED_VALUE"""),"21/3/2023, 17:00:00")</f>
        <v>21/3/2023, 17:00:00</v>
      </c>
      <c r="I3404" s="1" t="str">
        <f>IFERROR(__xludf.DUMMYFUNCTION("""COMPUTED_VALUE"""),"Recibido en Laboratorio")</f>
        <v>Recibido en Laboratorio</v>
      </c>
      <c r="J3404" s="1">
        <f t="shared" si="3"/>
        <v>2</v>
      </c>
      <c r="K3404" s="1" t="str">
        <f t="shared" si="4"/>
        <v>Nuestro Laboratorio esta trabajando en tus lentes, los entregaremos en la fecha acordada.</v>
      </c>
    </row>
    <row r="3405">
      <c r="A3405" s="1">
        <f>IFERROR(__xludf.DUMMYFUNCTION("""COMPUTED_VALUE"""),87950.0)</f>
        <v>87950</v>
      </c>
      <c r="B3405" s="5">
        <f>IFERROR(__xludf.DUMMYFUNCTION("""COMPUTED_VALUE"""),44999.54553696759)</f>
        <v>44999.54554</v>
      </c>
      <c r="C3405" s="1" t="str">
        <f>IFERROR(__xludf.DUMMYFUNCTION("""COMPUTED_VALUE"""),"LAVALLE GUSTAVO")</f>
        <v>LAVALLE GUSTAVO</v>
      </c>
      <c r="D3405" s="1" t="str">
        <f>IFERROR(__xludf.DUMMYFUNCTION("""COMPUTED_VALUE"""),"Reparaciones/Otros")</f>
        <v>Reparaciones/Otros</v>
      </c>
      <c r="E3405" s="1" t="str">
        <f>IFERROR(__xludf.DUMMYFUNCTION("""COMPUTED_VALUE"""),"RIVADAVIA Santiago N")</f>
        <v>RIVADAVIA Santiago N</v>
      </c>
      <c r="F3405" s="1" t="str">
        <f t="shared" si="1"/>
        <v>RIVADAVIA </v>
      </c>
      <c r="G3405" s="1" t="str">
        <f t="shared" si="2"/>
        <v>Santiago N</v>
      </c>
      <c r="H3405" s="1" t="str">
        <f>IFERROR(__xludf.DUMMYFUNCTION("""COMPUTED_VALUE"""),"15/3/2023, 17:00:00")</f>
        <v>15/3/2023, 17:00:00</v>
      </c>
      <c r="I3405" s="1" t="str">
        <f>IFERROR(__xludf.DUMMYFUNCTION("""COMPUTED_VALUE"""),"Completado en SUCURSAL")</f>
        <v>Completado en SUCURSAL</v>
      </c>
      <c r="J3405" s="1">
        <f t="shared" si="3"/>
        <v>5</v>
      </c>
      <c r="K3405" s="1" t="str">
        <f t="shared" si="4"/>
        <v>Tus Lentes estan LISTAS PARA ENTREGAR, te esperamos.</v>
      </c>
    </row>
    <row r="3406">
      <c r="A3406" s="1">
        <f>IFERROR(__xludf.DUMMYFUNCTION("""COMPUTED_VALUE"""),87951.0)</f>
        <v>87951</v>
      </c>
      <c r="B3406" s="5">
        <f>IFERROR(__xludf.DUMMYFUNCTION("""COMPUTED_VALUE"""),44999.54613347222)</f>
        <v>44999.54613</v>
      </c>
      <c r="C3406" s="1" t="str">
        <f>IFERROR(__xludf.DUMMYFUNCTION("""COMPUTED_VALUE"""),"PEREZ JOSE")</f>
        <v>PEREZ JOSE</v>
      </c>
      <c r="D3406" s="1" t="str">
        <f>IFERROR(__xludf.DUMMYFUNCTION("""COMPUTED_VALUE"""),"Reparaciones/Otros")</f>
        <v>Reparaciones/Otros</v>
      </c>
      <c r="E3406" s="1" t="str">
        <f>IFERROR(__xludf.DUMMYFUNCTION("""COMPUTED_VALUE"""),"ARTIGAS Ivana P.")</f>
        <v>ARTIGAS Ivana P.</v>
      </c>
      <c r="F3406" s="1" t="str">
        <f t="shared" si="1"/>
        <v>ARTIGAS </v>
      </c>
      <c r="G3406" s="1" t="str">
        <f t="shared" si="2"/>
        <v>Ivana P.</v>
      </c>
      <c r="H3406" s="1" t="str">
        <f>IFERROR(__xludf.DUMMYFUNCTION("""COMPUTED_VALUE"""),"15/3/2023, 17:00:00")</f>
        <v>15/3/2023, 17:00:00</v>
      </c>
      <c r="I3406" s="1" t="str">
        <f>IFERROR(__xludf.DUMMYFUNCTION("""COMPUTED_VALUE"""),"Completado en SUCURSAL")</f>
        <v>Completado en SUCURSAL</v>
      </c>
      <c r="J3406" s="1">
        <f t="shared" si="3"/>
        <v>5</v>
      </c>
      <c r="K3406" s="1" t="str">
        <f t="shared" si="4"/>
        <v>Tus Lentes estan LISTAS PARA ENTREGAR, te esperamos.</v>
      </c>
    </row>
    <row r="3407">
      <c r="A3407" s="1">
        <f>IFERROR(__xludf.DUMMYFUNCTION("""COMPUTED_VALUE"""),87952.0)</f>
        <v>87952</v>
      </c>
      <c r="B3407" s="5">
        <f>IFERROR(__xludf.DUMMYFUNCTION("""COMPUTED_VALUE"""),44999.69318296296)</f>
        <v>44999.69318</v>
      </c>
      <c r="C3407" s="1" t="str">
        <f>IFERROR(__xludf.DUMMYFUNCTION("""COMPUTED_VALUE"""),"pierre dante omar")</f>
        <v>pierre dante omar</v>
      </c>
      <c r="D3407" s="1" t="str">
        <f>IFERROR(__xludf.DUMMYFUNCTION("""COMPUTED_VALUE"""),"Reparaciones/Otros")</f>
        <v>Reparaciones/Otros</v>
      </c>
      <c r="E3407" s="1" t="str">
        <f>IFERROR(__xludf.DUMMYFUNCTION("""COMPUTED_VALUE"""),"ARTIGAS Roció")</f>
        <v>ARTIGAS Roció</v>
      </c>
      <c r="F3407" s="1" t="str">
        <f t="shared" si="1"/>
        <v>ARTIGAS </v>
      </c>
      <c r="G3407" s="1" t="str">
        <f t="shared" si="2"/>
        <v>Roció</v>
      </c>
      <c r="H3407" s="1" t="str">
        <f>IFERROR(__xludf.DUMMYFUNCTION("""COMPUTED_VALUE"""),"15/3/2023, 17:00:00")</f>
        <v>15/3/2023, 17:00:00</v>
      </c>
      <c r="I3407" s="1" t="str">
        <f>IFERROR(__xludf.DUMMYFUNCTION("""COMPUTED_VALUE"""),"Completado en SUCURSAL")</f>
        <v>Completado en SUCURSAL</v>
      </c>
      <c r="J3407" s="1">
        <f t="shared" si="3"/>
        <v>5</v>
      </c>
      <c r="K3407" s="1" t="str">
        <f t="shared" si="4"/>
        <v>Tus Lentes estan LISTAS PARA ENTREGAR, te esperamos.</v>
      </c>
    </row>
    <row r="3408">
      <c r="A3408" s="1">
        <f>IFERROR(__xludf.DUMMYFUNCTION("""COMPUTED_VALUE"""),87953.0)</f>
        <v>87953</v>
      </c>
      <c r="B3408" s="5">
        <f>IFERROR(__xludf.DUMMYFUNCTION("""COMPUTED_VALUE"""),44999.711996875005)</f>
        <v>44999.712</v>
      </c>
      <c r="C3408" s="1" t="str">
        <f>IFERROR(__xludf.DUMMYFUNCTION("""COMPUTED_VALUE"""),"GUZMANO MARIA LILIANA")</f>
        <v>GUZMANO MARIA LILIANA</v>
      </c>
      <c r="D3408" s="1" t="str">
        <f>IFERROR(__xludf.DUMMYFUNCTION("""COMPUTED_VALUE"""),"Reparaciones/Otros")</f>
        <v>Reparaciones/Otros</v>
      </c>
      <c r="E3408" s="1" t="str">
        <f>IFERROR(__xludf.DUMMYFUNCTION("""COMPUTED_VALUE"""),"RIVADAVIA Daniel CM")</f>
        <v>RIVADAVIA Daniel CM</v>
      </c>
      <c r="F3408" s="1" t="str">
        <f t="shared" si="1"/>
        <v>RIVADAVIA </v>
      </c>
      <c r="G3408" s="1" t="str">
        <f t="shared" si="2"/>
        <v>Daniel CM</v>
      </c>
      <c r="H3408" s="1" t="str">
        <f>IFERROR(__xludf.DUMMYFUNCTION("""COMPUTED_VALUE"""),"15/3/2023, 17:00:00")</f>
        <v>15/3/2023, 17:00:00</v>
      </c>
      <c r="I3408" s="1" t="str">
        <f>IFERROR(__xludf.DUMMYFUNCTION("""COMPUTED_VALUE"""),"Completado en SUCURSAL")</f>
        <v>Completado en SUCURSAL</v>
      </c>
      <c r="J3408" s="1">
        <f t="shared" si="3"/>
        <v>5</v>
      </c>
      <c r="K3408" s="1" t="str">
        <f t="shared" si="4"/>
        <v>Tus Lentes estan LISTAS PARA ENTREGAR, te esperamos.</v>
      </c>
    </row>
    <row r="3409">
      <c r="A3409" s="1">
        <f>IFERROR(__xludf.DUMMYFUNCTION("""COMPUTED_VALUE"""),87954.0)</f>
        <v>87954</v>
      </c>
      <c r="B3409" s="5">
        <f>IFERROR(__xludf.DUMMYFUNCTION("""COMPUTED_VALUE"""),44999.71543113426)</f>
        <v>44999.71543</v>
      </c>
      <c r="C3409" s="1" t="str">
        <f>IFERROR(__xludf.DUMMYFUNCTION("""COMPUTED_VALUE"""),"valarolo pablo")</f>
        <v>valarolo pablo</v>
      </c>
      <c r="D3409" s="1" t="str">
        <f>IFERROR(__xludf.DUMMYFUNCTION("""COMPUTED_VALUE"""),"Lentes de STOCK")</f>
        <v>Lentes de STOCK</v>
      </c>
      <c r="E3409" s="1" t="str">
        <f>IFERROR(__xludf.DUMMYFUNCTION("""COMPUTED_VALUE"""),"RIVADAVIA Santiago N")</f>
        <v>RIVADAVIA Santiago N</v>
      </c>
      <c r="F3409" s="1" t="str">
        <f t="shared" si="1"/>
        <v>RIVADAVIA </v>
      </c>
      <c r="G3409" s="1" t="str">
        <f t="shared" si="2"/>
        <v>Santiago N</v>
      </c>
      <c r="H3409" s="1" t="str">
        <f>IFERROR(__xludf.DUMMYFUNCTION("""COMPUTED_VALUE"""),"16/3/2023, 17:00:00")</f>
        <v>16/3/2023, 17:00:00</v>
      </c>
      <c r="I3409" s="1" t="str">
        <f>IFERROR(__xludf.DUMMYFUNCTION("""COMPUTED_VALUE"""),"Completado en SUCURSAL")</f>
        <v>Completado en SUCURSAL</v>
      </c>
      <c r="J3409" s="1">
        <f t="shared" si="3"/>
        <v>5</v>
      </c>
      <c r="K3409" s="1" t="str">
        <f t="shared" si="4"/>
        <v>Tus Lentes estan LISTAS PARA ENTREGAR, te esperamos.</v>
      </c>
    </row>
    <row r="3410">
      <c r="A3410" s="1">
        <f>IFERROR(__xludf.DUMMYFUNCTION("""COMPUTED_VALUE"""),87955.0)</f>
        <v>87955</v>
      </c>
      <c r="B3410" s="5">
        <f>IFERROR(__xludf.DUMMYFUNCTION("""COMPUTED_VALUE"""),44999.74154195602)</f>
        <v>44999.74154</v>
      </c>
      <c r="C3410" s="1" t="str">
        <f>IFERROR(__xludf.DUMMYFUNCTION("""COMPUTED_VALUE"""),"BOURNISSEN NOELIA")</f>
        <v>BOURNISSEN NOELIA</v>
      </c>
      <c r="D3410" s="1" t="str">
        <f>IFERROR(__xludf.DUMMYFUNCTION("""COMPUTED_VALUE"""),"Lentes de STOCK")</f>
        <v>Lentes de STOCK</v>
      </c>
      <c r="E3410" s="1" t="str">
        <f>IFERROR(__xludf.DUMMYFUNCTION("""COMPUTED_VALUE"""),"RIVADAVIA Christian C.")</f>
        <v>RIVADAVIA Christian C.</v>
      </c>
      <c r="F3410" s="1" t="str">
        <f t="shared" si="1"/>
        <v>RIVADAVIA </v>
      </c>
      <c r="G3410" s="1" t="str">
        <f t="shared" si="2"/>
        <v>Christian C.</v>
      </c>
      <c r="H3410" s="1" t="str">
        <f>IFERROR(__xludf.DUMMYFUNCTION("""COMPUTED_VALUE"""),"23/3/2023, 17:00:00")</f>
        <v>23/3/2023, 17:00:00</v>
      </c>
      <c r="I3410" s="1" t="str">
        <f>IFERROR(__xludf.DUMMYFUNCTION("""COMPUTED_VALUE"""),"Completado en SUCURSAL")</f>
        <v>Completado en SUCURSAL</v>
      </c>
      <c r="J3410" s="1">
        <f t="shared" si="3"/>
        <v>5</v>
      </c>
      <c r="K3410" s="1" t="str">
        <f t="shared" si="4"/>
        <v>Tus Lentes estan LISTAS PARA ENTREGAR, te esperamos.</v>
      </c>
    </row>
    <row r="3411">
      <c r="A3411" s="1">
        <f>IFERROR(__xludf.DUMMYFUNCTION("""COMPUTED_VALUE"""),87956.0)</f>
        <v>87956</v>
      </c>
      <c r="B3411" s="5">
        <f>IFERROR(__xludf.DUMMYFUNCTION("""COMPUTED_VALUE"""),44999.74269115741)</f>
        <v>44999.74269</v>
      </c>
      <c r="C3411" s="1" t="str">
        <f>IFERROR(__xludf.DUMMYFUNCTION("""COMPUTED_VALUE"""),"SANTILLAN RAMONA ISABEL")</f>
        <v>SANTILLAN RAMONA ISABEL</v>
      </c>
      <c r="D3411" s="1" t="str">
        <f>IFERROR(__xludf.DUMMYFUNCTION("""COMPUTED_VALUE"""),"Lentes de STOCK")</f>
        <v>Lentes de STOCK</v>
      </c>
      <c r="E3411" s="1" t="str">
        <f>IFERROR(__xludf.DUMMYFUNCTION("""COMPUTED_VALUE"""),"RIVADAVIA Santiago LOPEZ")</f>
        <v>RIVADAVIA Santiago LOPEZ</v>
      </c>
      <c r="F3411" s="1" t="str">
        <f t="shared" si="1"/>
        <v>RIVADAVIA </v>
      </c>
      <c r="G3411" s="1" t="str">
        <f t="shared" si="2"/>
        <v>Santiago LOPEZ</v>
      </c>
      <c r="H3411" s="1" t="str">
        <f>IFERROR(__xludf.DUMMYFUNCTION("""COMPUTED_VALUE"""),"17/3/2023, 17:00:00")</f>
        <v>17/3/2023, 17:00:00</v>
      </c>
      <c r="I3411" s="1" t="str">
        <f>IFERROR(__xludf.DUMMYFUNCTION("""COMPUTED_VALUE"""),"Completado en SUCURSAL")</f>
        <v>Completado en SUCURSAL</v>
      </c>
      <c r="J3411" s="1">
        <f t="shared" si="3"/>
        <v>5</v>
      </c>
      <c r="K3411" s="1" t="str">
        <f t="shared" si="4"/>
        <v>Tus Lentes estan LISTAS PARA ENTREGAR, te esperamos.</v>
      </c>
    </row>
    <row r="3412">
      <c r="A3412" s="1">
        <f>IFERROR(__xludf.DUMMYFUNCTION("""COMPUTED_VALUE"""),87957.0)</f>
        <v>87957</v>
      </c>
      <c r="B3412" s="5">
        <f>IFERROR(__xludf.DUMMYFUNCTION("""COMPUTED_VALUE"""),44999.75239664352)</f>
        <v>44999.7524</v>
      </c>
      <c r="C3412" s="1" t="str">
        <f>IFERROR(__xludf.DUMMYFUNCTION("""COMPUTED_VALUE"""),"BUTTINI ABRIL")</f>
        <v>BUTTINI ABRIL</v>
      </c>
      <c r="D3412" s="1" t="str">
        <f>IFERROR(__xludf.DUMMYFUNCTION("""COMPUTED_VALUE"""),"Lentes de STOCK")</f>
        <v>Lentes de STOCK</v>
      </c>
      <c r="E3412" s="1" t="str">
        <f>IFERROR(__xludf.DUMMYFUNCTION("""COMPUTED_VALUE"""),"ARTIGAS Roció")</f>
        <v>ARTIGAS Roció</v>
      </c>
      <c r="F3412" s="1" t="str">
        <f t="shared" si="1"/>
        <v>ARTIGAS </v>
      </c>
      <c r="G3412" s="1" t="str">
        <f t="shared" si="2"/>
        <v>Roció</v>
      </c>
      <c r="H3412" s="1" t="str">
        <f>IFERROR(__xludf.DUMMYFUNCTION("""COMPUTED_VALUE"""),"21/3/2023, 17:00:00")</f>
        <v>21/3/2023, 17:00:00</v>
      </c>
      <c r="I3412" s="1" t="str">
        <f>IFERROR(__xludf.DUMMYFUNCTION("""COMPUTED_VALUE"""),"Completado en SUCURSAL")</f>
        <v>Completado en SUCURSAL</v>
      </c>
      <c r="J3412" s="1">
        <f t="shared" si="3"/>
        <v>5</v>
      </c>
      <c r="K3412" s="1" t="str">
        <f t="shared" si="4"/>
        <v>Tus Lentes estan LISTAS PARA ENTREGAR, te esperamos.</v>
      </c>
    </row>
    <row r="3413">
      <c r="A3413" s="1">
        <f>IFERROR(__xludf.DUMMYFUNCTION("""COMPUTED_VALUE"""),87958.0)</f>
        <v>87958</v>
      </c>
      <c r="B3413" s="5">
        <f>IFERROR(__xludf.DUMMYFUNCTION("""COMPUTED_VALUE"""),44999.76529380787)</f>
        <v>44999.76529</v>
      </c>
      <c r="C3413" s="1" t="str">
        <f>IFERROR(__xludf.DUMMYFUNCTION("""COMPUTED_VALUE"""),"sosa milca fabiola")</f>
        <v>sosa milca fabiola</v>
      </c>
      <c r="D3413" s="1" t="str">
        <f>IFERROR(__xludf.DUMMYFUNCTION("""COMPUTED_VALUE"""),"Lentes de STOCK")</f>
        <v>Lentes de STOCK</v>
      </c>
      <c r="E3413" s="1" t="str">
        <f>IFERROR(__xludf.DUMMYFUNCTION("""COMPUTED_VALUE"""),"RIVADAVIA Santiago N")</f>
        <v>RIVADAVIA Santiago N</v>
      </c>
      <c r="F3413" s="1" t="str">
        <f t="shared" si="1"/>
        <v>RIVADAVIA </v>
      </c>
      <c r="G3413" s="1" t="str">
        <f t="shared" si="2"/>
        <v>Santiago N</v>
      </c>
      <c r="H3413" s="1" t="str">
        <f>IFERROR(__xludf.DUMMYFUNCTION("""COMPUTED_VALUE"""),"20/3/2023, 17:00:00")</f>
        <v>20/3/2023, 17:00:00</v>
      </c>
      <c r="I3413" s="1" t="str">
        <f>IFERROR(__xludf.DUMMYFUNCTION("""COMPUTED_VALUE"""),"Completado en SUCURSAL")</f>
        <v>Completado en SUCURSAL</v>
      </c>
      <c r="J3413" s="1">
        <f t="shared" si="3"/>
        <v>5</v>
      </c>
      <c r="K3413" s="1" t="str">
        <f t="shared" si="4"/>
        <v>Tus Lentes estan LISTAS PARA ENTREGAR, te esperamos.</v>
      </c>
    </row>
    <row r="3414">
      <c r="A3414" s="1">
        <f>IFERROR(__xludf.DUMMYFUNCTION("""COMPUTED_VALUE"""),87959.0)</f>
        <v>87959</v>
      </c>
      <c r="B3414" s="5">
        <f>IFERROR(__xludf.DUMMYFUNCTION("""COMPUTED_VALUE"""),44999.76714898148)</f>
        <v>44999.76715</v>
      </c>
      <c r="C3414" s="1" t="str">
        <f>IFERROR(__xludf.DUMMYFUNCTION("""COMPUTED_VALUE"""),"BITZER ERICA CAROLINA")</f>
        <v>BITZER ERICA CAROLINA</v>
      </c>
      <c r="D3414" s="1" t="str">
        <f>IFERROR(__xludf.DUMMYFUNCTION("""COMPUTED_VALUE"""),"Lentes de STOCK")</f>
        <v>Lentes de STOCK</v>
      </c>
      <c r="E3414" s="1" t="str">
        <f>IFERROR(__xludf.DUMMYFUNCTION("""COMPUTED_VALUE"""),"RIVADAVIA Christian C.")</f>
        <v>RIVADAVIA Christian C.</v>
      </c>
      <c r="F3414" s="1" t="str">
        <f t="shared" si="1"/>
        <v>RIVADAVIA </v>
      </c>
      <c r="G3414" s="1" t="str">
        <f t="shared" si="2"/>
        <v>Christian C.</v>
      </c>
      <c r="H3414" s="1" t="str">
        <f>IFERROR(__xludf.DUMMYFUNCTION("""COMPUTED_VALUE"""),"17/3/2023, 17:00:00")</f>
        <v>17/3/2023, 17:00:00</v>
      </c>
      <c r="I3414" s="1" t="str">
        <f>IFERROR(__xludf.DUMMYFUNCTION("""COMPUTED_VALUE"""),"Completado en SUCURSAL")</f>
        <v>Completado en SUCURSAL</v>
      </c>
      <c r="J3414" s="1">
        <f t="shared" si="3"/>
        <v>5</v>
      </c>
      <c r="K3414" s="1" t="str">
        <f t="shared" si="4"/>
        <v>Tus Lentes estan LISTAS PARA ENTREGAR, te esperamos.</v>
      </c>
    </row>
    <row r="3415">
      <c r="A3415" s="1">
        <f>IFERROR(__xludf.DUMMYFUNCTION("""COMPUTED_VALUE"""),87960.0)</f>
        <v>87960</v>
      </c>
      <c r="B3415" s="5">
        <f>IFERROR(__xludf.DUMMYFUNCTION("""COMPUTED_VALUE"""),44999.771116504635)</f>
        <v>44999.77112</v>
      </c>
      <c r="C3415" s="1" t="str">
        <f>IFERROR(__xludf.DUMMYFUNCTION("""COMPUTED_VALUE"""),"COLLA BIANCA MARTINA LUJAN ")</f>
        <v>COLLA BIANCA MARTINA LUJAN </v>
      </c>
      <c r="D3415" s="1" t="str">
        <f>IFERROR(__xludf.DUMMYFUNCTION("""COMPUTED_VALUE"""),"Lentes de STOCK")</f>
        <v>Lentes de STOCK</v>
      </c>
      <c r="E3415" s="1" t="str">
        <f>IFERROR(__xludf.DUMMYFUNCTION("""COMPUTED_VALUE"""),"RIVADAVIA Christian C.")</f>
        <v>RIVADAVIA Christian C.</v>
      </c>
      <c r="F3415" s="1" t="str">
        <f t="shared" si="1"/>
        <v>RIVADAVIA </v>
      </c>
      <c r="G3415" s="1" t="str">
        <f t="shared" si="2"/>
        <v>Christian C.</v>
      </c>
      <c r="H3415" s="1" t="str">
        <f>IFERROR(__xludf.DUMMYFUNCTION("""COMPUTED_VALUE"""),"17/3/2023, 17:00:00")</f>
        <v>17/3/2023, 17:00:00</v>
      </c>
      <c r="I3415" s="1" t="str">
        <f>IFERROR(__xludf.DUMMYFUNCTION("""COMPUTED_VALUE"""),"RETIRADO OK POR CLIENTE")</f>
        <v>RETIRADO OK POR CLIENTE</v>
      </c>
      <c r="J3415" s="1">
        <f t="shared" si="3"/>
        <v>6</v>
      </c>
      <c r="K3415" s="1" t="str">
        <f t="shared" si="4"/>
        <v>Entregamos tus lentes, que los disfrutes!</v>
      </c>
    </row>
    <row r="3416">
      <c r="A3416" s="1">
        <f>IFERROR(__xludf.DUMMYFUNCTION("""COMPUTED_VALUE"""),87961.0)</f>
        <v>87961</v>
      </c>
      <c r="B3416" s="5">
        <f>IFERROR(__xludf.DUMMYFUNCTION("""COMPUTED_VALUE"""),44999.77641666667)</f>
        <v>44999.77642</v>
      </c>
      <c r="C3416" s="1" t="str">
        <f>IFERROR(__xludf.DUMMYFUNCTION("""COMPUTED_VALUE"""),"tello nair")</f>
        <v>tello nair</v>
      </c>
      <c r="D3416" s="1" t="str">
        <f>IFERROR(__xludf.DUMMYFUNCTION("""COMPUTED_VALUE"""),"Lentes de STOCK")</f>
        <v>Lentes de STOCK</v>
      </c>
      <c r="E3416" s="1" t="str">
        <f>IFERROR(__xludf.DUMMYFUNCTION("""COMPUTED_VALUE"""),"ARTIGAS Roció")</f>
        <v>ARTIGAS Roció</v>
      </c>
      <c r="F3416" s="1" t="str">
        <f t="shared" si="1"/>
        <v>ARTIGAS </v>
      </c>
      <c r="G3416" s="1" t="str">
        <f t="shared" si="2"/>
        <v>Roció</v>
      </c>
      <c r="H3416" s="1" t="str">
        <f>IFERROR(__xludf.DUMMYFUNCTION("""COMPUTED_VALUE"""),"21/3/2023, 17:00:00")</f>
        <v>21/3/2023, 17:00:00</v>
      </c>
      <c r="I3416" s="1" t="str">
        <f>IFERROR(__xludf.DUMMYFUNCTION("""COMPUTED_VALUE"""),"Completado en SUCURSAL")</f>
        <v>Completado en SUCURSAL</v>
      </c>
      <c r="J3416" s="1">
        <f t="shared" si="3"/>
        <v>5</v>
      </c>
      <c r="K3416" s="1" t="str">
        <f t="shared" si="4"/>
        <v>Tus Lentes estan LISTAS PARA ENTREGAR, te esperamos.</v>
      </c>
    </row>
    <row r="3417">
      <c r="A3417" s="1">
        <f>IFERROR(__xludf.DUMMYFUNCTION("""COMPUTED_VALUE"""),87962.0)</f>
        <v>87962</v>
      </c>
      <c r="B3417" s="5">
        <f>IFERROR(__xludf.DUMMYFUNCTION("""COMPUTED_VALUE"""),44999.77717238426)</f>
        <v>44999.77717</v>
      </c>
      <c r="C3417" s="1" t="str">
        <f>IFERROR(__xludf.DUMMYFUNCTION("""COMPUTED_VALUE"""),"COLLA VALENTIN ")</f>
        <v>COLLA VALENTIN </v>
      </c>
      <c r="D3417" s="1" t="str">
        <f>IFERROR(__xludf.DUMMYFUNCTION("""COMPUTED_VALUE"""),"Lentes de STOCK")</f>
        <v>Lentes de STOCK</v>
      </c>
      <c r="E3417" s="1" t="str">
        <f>IFERROR(__xludf.DUMMYFUNCTION("""COMPUTED_VALUE"""),"RIVADAVIA Christian C.")</f>
        <v>RIVADAVIA Christian C.</v>
      </c>
      <c r="F3417" s="1" t="str">
        <f t="shared" si="1"/>
        <v>RIVADAVIA </v>
      </c>
      <c r="G3417" s="1" t="str">
        <f t="shared" si="2"/>
        <v>Christian C.</v>
      </c>
      <c r="H3417" s="1" t="str">
        <f>IFERROR(__xludf.DUMMYFUNCTION("""COMPUTED_VALUE"""),"17/3/2023, 17:00:00")</f>
        <v>17/3/2023, 17:00:00</v>
      </c>
      <c r="I3417" s="1" t="str">
        <f>IFERROR(__xludf.DUMMYFUNCTION("""COMPUTED_VALUE"""),"Completado en SUCURSAL")</f>
        <v>Completado en SUCURSAL</v>
      </c>
      <c r="J3417" s="1">
        <f t="shared" si="3"/>
        <v>5</v>
      </c>
      <c r="K3417" s="1" t="str">
        <f t="shared" si="4"/>
        <v>Tus Lentes estan LISTAS PARA ENTREGAR, te esperamos.</v>
      </c>
    </row>
    <row r="3418">
      <c r="A3418" s="1">
        <f>IFERROR(__xludf.DUMMYFUNCTION("""COMPUTED_VALUE"""),87963.0)</f>
        <v>87963</v>
      </c>
      <c r="B3418" s="5">
        <f>IFERROR(__xludf.DUMMYFUNCTION("""COMPUTED_VALUE"""),44999.78751892361)</f>
        <v>44999.78752</v>
      </c>
      <c r="C3418" s="1" t="str">
        <f>IFERROR(__xludf.DUMMYFUNCTION("""COMPUTED_VALUE"""),"Maria Boso")</f>
        <v>Maria Boso</v>
      </c>
      <c r="D3418" s="1" t="str">
        <f>IFERROR(__xludf.DUMMYFUNCTION("""COMPUTED_VALUE"""),"Reparaciones/Otros")</f>
        <v>Reparaciones/Otros</v>
      </c>
      <c r="E3418" s="1" t="str">
        <f>IFERROR(__xludf.DUMMYFUNCTION("""COMPUTED_VALUE"""),"ARTIGAS Micaela")</f>
        <v>ARTIGAS Micaela</v>
      </c>
      <c r="F3418" s="1" t="str">
        <f t="shared" si="1"/>
        <v>ARTIGAS </v>
      </c>
      <c r="G3418" s="1" t="str">
        <f t="shared" si="2"/>
        <v>Micaela</v>
      </c>
      <c r="H3418" s="1" t="str">
        <f>IFERROR(__xludf.DUMMYFUNCTION("""COMPUTED_VALUE"""),"16/3/2023, 17:00:00")</f>
        <v>16/3/2023, 17:00:00</v>
      </c>
      <c r="I3418" s="1" t="str">
        <f>IFERROR(__xludf.DUMMYFUNCTION("""COMPUTED_VALUE"""),"Recibido en Laboratorio")</f>
        <v>Recibido en Laboratorio</v>
      </c>
      <c r="J3418" s="1">
        <f t="shared" si="3"/>
        <v>2</v>
      </c>
      <c r="K3418" s="1" t="str">
        <f t="shared" si="4"/>
        <v>Nuestro Laboratorio esta trabajando en tus lentes, los entregaremos en la fecha acordada.</v>
      </c>
    </row>
    <row r="3419">
      <c r="A3419" s="1">
        <f>IFERROR(__xludf.DUMMYFUNCTION("""COMPUTED_VALUE"""),87964.0)</f>
        <v>87964</v>
      </c>
      <c r="B3419" s="5">
        <f>IFERROR(__xludf.DUMMYFUNCTION("""COMPUTED_VALUE"""),44999.7895959375)</f>
        <v>44999.7896</v>
      </c>
      <c r="C3419" s="1" t="str">
        <f>IFERROR(__xludf.DUMMYFUNCTION("""COMPUTED_VALUE"""),"LARA PONCE EZEQUIEL")</f>
        <v>LARA PONCE EZEQUIEL</v>
      </c>
      <c r="D3419" s="1" t="str">
        <f>IFERROR(__xludf.DUMMYFUNCTION("""COMPUTED_VALUE"""),"Lentes de STOCK")</f>
        <v>Lentes de STOCK</v>
      </c>
      <c r="E3419" s="1" t="str">
        <f>IFERROR(__xludf.DUMMYFUNCTION("""COMPUTED_VALUE"""),"ARTIGAS Roció")</f>
        <v>ARTIGAS Roció</v>
      </c>
      <c r="F3419" s="1" t="str">
        <f t="shared" si="1"/>
        <v>ARTIGAS </v>
      </c>
      <c r="G3419" s="1" t="str">
        <f t="shared" si="2"/>
        <v>Roció</v>
      </c>
      <c r="H3419" s="1" t="str">
        <f>IFERROR(__xludf.DUMMYFUNCTION("""COMPUTED_VALUE"""),"22/3/2023, 17:00:00")</f>
        <v>22/3/2023, 17:00:00</v>
      </c>
      <c r="I3419" s="1" t="str">
        <f>IFERROR(__xludf.DUMMYFUNCTION("""COMPUTED_VALUE"""),"Completado en SUCURSAL")</f>
        <v>Completado en SUCURSAL</v>
      </c>
      <c r="J3419" s="1">
        <f t="shared" si="3"/>
        <v>5</v>
      </c>
      <c r="K3419" s="1" t="str">
        <f t="shared" si="4"/>
        <v>Tus Lentes estan LISTAS PARA ENTREGAR, te esperamos.</v>
      </c>
    </row>
    <row r="3420">
      <c r="A3420" s="1">
        <f>IFERROR(__xludf.DUMMYFUNCTION("""COMPUTED_VALUE"""),87965.0)</f>
        <v>87965</v>
      </c>
      <c r="B3420" s="5">
        <f>IFERROR(__xludf.DUMMYFUNCTION("""COMPUTED_VALUE"""),44999.79151871528)</f>
        <v>44999.79152</v>
      </c>
      <c r="C3420" s="1" t="str">
        <f>IFERROR(__xludf.DUMMYFUNCTION("""COMPUTED_VALUE"""),"BENITEZ TAMARA")</f>
        <v>BENITEZ TAMARA</v>
      </c>
      <c r="D3420" s="1" t="str">
        <f>IFERROR(__xludf.DUMMYFUNCTION("""COMPUTED_VALUE"""),"Lentes de STOCK")</f>
        <v>Lentes de STOCK</v>
      </c>
      <c r="E3420" s="1" t="str">
        <f>IFERROR(__xludf.DUMMYFUNCTION("""COMPUTED_VALUE"""),"RIVADAVIA Christian C.")</f>
        <v>RIVADAVIA Christian C.</v>
      </c>
      <c r="F3420" s="1" t="str">
        <f t="shared" si="1"/>
        <v>RIVADAVIA </v>
      </c>
      <c r="G3420" s="1" t="str">
        <f t="shared" si="2"/>
        <v>Christian C.</v>
      </c>
      <c r="H3420" s="1" t="str">
        <f>IFERROR(__xludf.DUMMYFUNCTION("""COMPUTED_VALUE"""),"22/3/2023, 17:00:00")</f>
        <v>22/3/2023, 17:00:00</v>
      </c>
      <c r="I3420" s="1" t="str">
        <f>IFERROR(__xludf.DUMMYFUNCTION("""COMPUTED_VALUE"""),"Completado en SUCURSAL")</f>
        <v>Completado en SUCURSAL</v>
      </c>
      <c r="J3420" s="1">
        <f t="shared" si="3"/>
        <v>5</v>
      </c>
      <c r="K3420" s="1" t="str">
        <f t="shared" si="4"/>
        <v>Tus Lentes estan LISTAS PARA ENTREGAR, te esperamos.</v>
      </c>
    </row>
    <row r="3421">
      <c r="A3421" s="1">
        <f>IFERROR(__xludf.DUMMYFUNCTION("""COMPUTED_VALUE"""),87966.0)</f>
        <v>87966</v>
      </c>
      <c r="B3421" s="5">
        <f>IFERROR(__xludf.DUMMYFUNCTION("""COMPUTED_VALUE"""),44999.79541872685)</f>
        <v>44999.79542</v>
      </c>
      <c r="C3421" s="1" t="str">
        <f>IFERROR(__xludf.DUMMYFUNCTION("""COMPUTED_VALUE"""),"MOLINA RAMON")</f>
        <v>MOLINA RAMON</v>
      </c>
      <c r="D3421" s="1" t="str">
        <f>IFERROR(__xludf.DUMMYFUNCTION("""COMPUTED_VALUE"""),"Lentes de STOCK")</f>
        <v>Lentes de STOCK</v>
      </c>
      <c r="E3421" s="1" t="str">
        <f>IFERROR(__xludf.DUMMYFUNCTION("""COMPUTED_VALUE"""),"ARTIGAS Ivana P.")</f>
        <v>ARTIGAS Ivana P.</v>
      </c>
      <c r="F3421" s="1" t="str">
        <f t="shared" si="1"/>
        <v>ARTIGAS </v>
      </c>
      <c r="G3421" s="1" t="str">
        <f t="shared" si="2"/>
        <v>Ivana P.</v>
      </c>
      <c r="H3421" s="1" t="str">
        <f>IFERROR(__xludf.DUMMYFUNCTION("""COMPUTED_VALUE"""),"17/3/2023, 17:00:00")</f>
        <v>17/3/2023, 17:00:00</v>
      </c>
      <c r="I3421" s="1" t="str">
        <f>IFERROR(__xludf.DUMMYFUNCTION("""COMPUTED_VALUE"""),"RETIRADO OK POR CLIENTE")</f>
        <v>RETIRADO OK POR CLIENTE</v>
      </c>
      <c r="J3421" s="1">
        <f t="shared" si="3"/>
        <v>6</v>
      </c>
      <c r="K3421" s="1" t="str">
        <f t="shared" si="4"/>
        <v>Entregamos tus lentes, que los disfrutes!</v>
      </c>
    </row>
    <row r="3422">
      <c r="A3422" s="1">
        <f>IFERROR(__xludf.DUMMYFUNCTION("""COMPUTED_VALUE"""),87967.0)</f>
        <v>87967</v>
      </c>
      <c r="B3422" s="5">
        <f>IFERROR(__xludf.DUMMYFUNCTION("""COMPUTED_VALUE"""),44999.79867819445)</f>
        <v>44999.79868</v>
      </c>
      <c r="C3422" s="1" t="str">
        <f>IFERROR(__xludf.DUMMYFUNCTION("""COMPUTED_VALUE"""),"Nuñez anahi")</f>
        <v>Nuñez anahi</v>
      </c>
      <c r="D3422" s="1" t="str">
        <f>IFERROR(__xludf.DUMMYFUNCTION("""COMPUTED_VALUE"""),"Reparaciones/Otros")</f>
        <v>Reparaciones/Otros</v>
      </c>
      <c r="E3422" s="1" t="str">
        <f>IFERROR(__xludf.DUMMYFUNCTION("""COMPUTED_VALUE"""),"ARTIGAS Micaela")</f>
        <v>ARTIGAS Micaela</v>
      </c>
      <c r="F3422" s="1" t="str">
        <f t="shared" si="1"/>
        <v>ARTIGAS </v>
      </c>
      <c r="G3422" s="1" t="str">
        <f t="shared" si="2"/>
        <v>Micaela</v>
      </c>
      <c r="H3422" s="1" t="str">
        <f>IFERROR(__xludf.DUMMYFUNCTION("""COMPUTED_VALUE"""),"15/3/2023, 17:00:00")</f>
        <v>15/3/2023, 17:00:00</v>
      </c>
      <c r="I3422" s="1" t="str">
        <f>IFERROR(__xludf.DUMMYFUNCTION("""COMPUTED_VALUE"""),"Recibido en Laboratorio")</f>
        <v>Recibido en Laboratorio</v>
      </c>
      <c r="J3422" s="1">
        <f t="shared" si="3"/>
        <v>2</v>
      </c>
      <c r="K3422" s="1" t="str">
        <f t="shared" si="4"/>
        <v>Nuestro Laboratorio esta trabajando en tus lentes, los entregaremos en la fecha acordada.</v>
      </c>
    </row>
    <row r="3423">
      <c r="A3423" s="1">
        <f>IFERROR(__xludf.DUMMYFUNCTION("""COMPUTED_VALUE"""),87968.0)</f>
        <v>87968</v>
      </c>
      <c r="B3423" s="5">
        <f>IFERROR(__xludf.DUMMYFUNCTION("""COMPUTED_VALUE"""),44999.80096247685)</f>
        <v>44999.80096</v>
      </c>
      <c r="C3423" s="1" t="str">
        <f>IFERROR(__xludf.DUMMYFUNCTION("""COMPUTED_VALUE"""),"LARA PONCE ARIEL")</f>
        <v>LARA PONCE ARIEL</v>
      </c>
      <c r="D3423" s="1" t="str">
        <f>IFERROR(__xludf.DUMMYFUNCTION("""COMPUTED_VALUE"""),"Lentes de LABORATORIO")</f>
        <v>Lentes de LABORATORIO</v>
      </c>
      <c r="E3423" s="1" t="str">
        <f>IFERROR(__xludf.DUMMYFUNCTION("""COMPUTED_VALUE"""),"ARTIGAS Roció")</f>
        <v>ARTIGAS Roció</v>
      </c>
      <c r="F3423" s="1" t="str">
        <f t="shared" si="1"/>
        <v>ARTIGAS </v>
      </c>
      <c r="G3423" s="1" t="str">
        <f t="shared" si="2"/>
        <v>Roció</v>
      </c>
      <c r="H3423" s="1" t="str">
        <f>IFERROR(__xludf.DUMMYFUNCTION("""COMPUTED_VALUE"""),"30/3/2023, 17:00:00")</f>
        <v>30/3/2023, 17:00:00</v>
      </c>
      <c r="I3423" s="1" t="str">
        <f>IFERROR(__xludf.DUMMYFUNCTION("""COMPUTED_VALUE"""),"Recibido en Laboratorio")</f>
        <v>Recibido en Laboratorio</v>
      </c>
      <c r="J3423" s="1">
        <f t="shared" si="3"/>
        <v>2</v>
      </c>
      <c r="K3423" s="1" t="str">
        <f t="shared" si="4"/>
        <v>Nuestro Laboratorio esta trabajando en tus lentes, los entregaremos en la fecha acordada.</v>
      </c>
    </row>
    <row r="3424">
      <c r="A3424" s="1">
        <f>IFERROR(__xludf.DUMMYFUNCTION("""COMPUTED_VALUE"""),87969.0)</f>
        <v>87969</v>
      </c>
      <c r="B3424" s="5">
        <f>IFERROR(__xludf.DUMMYFUNCTION("""COMPUTED_VALUE"""),44999.80307673611)</f>
        <v>44999.80308</v>
      </c>
      <c r="C3424" s="1" t="str">
        <f>IFERROR(__xludf.DUMMYFUNCTION("""COMPUTED_VALUE"""),"DELIA CASTELLON")</f>
        <v>DELIA CASTELLON</v>
      </c>
      <c r="D3424" s="1" t="str">
        <f>IFERROR(__xludf.DUMMYFUNCTION("""COMPUTED_VALUE"""),"Reparaciones/Otros")</f>
        <v>Reparaciones/Otros</v>
      </c>
      <c r="E3424" s="1" t="str">
        <f>IFERROR(__xludf.DUMMYFUNCTION("""COMPUTED_VALUE"""),"RIVADAVIA Daniel CM")</f>
        <v>RIVADAVIA Daniel CM</v>
      </c>
      <c r="F3424" s="1" t="str">
        <f t="shared" si="1"/>
        <v>RIVADAVIA </v>
      </c>
      <c r="G3424" s="1" t="str">
        <f t="shared" si="2"/>
        <v>Daniel CM</v>
      </c>
      <c r="H3424" s="1" t="str">
        <f>IFERROR(__xludf.DUMMYFUNCTION("""COMPUTED_VALUE"""),"15/3/2023, 17:00:00")</f>
        <v>15/3/2023, 17:00:00</v>
      </c>
      <c r="I3424" s="1" t="str">
        <f>IFERROR(__xludf.DUMMYFUNCTION("""COMPUTED_VALUE"""),"Completado en SUCURSAL")</f>
        <v>Completado en SUCURSAL</v>
      </c>
      <c r="J3424" s="1">
        <f t="shared" si="3"/>
        <v>5</v>
      </c>
      <c r="K3424" s="1" t="str">
        <f t="shared" si="4"/>
        <v>Tus Lentes estan LISTAS PARA ENTREGAR, te esperamos.</v>
      </c>
    </row>
    <row r="3425">
      <c r="A3425" s="1">
        <f>IFERROR(__xludf.DUMMYFUNCTION("""COMPUTED_VALUE"""),87970.0)</f>
        <v>87970</v>
      </c>
      <c r="B3425" s="5">
        <f>IFERROR(__xludf.DUMMYFUNCTION("""COMPUTED_VALUE"""),44999.80335618056)</f>
        <v>44999.80336</v>
      </c>
      <c r="C3425" s="1" t="str">
        <f>IFERROR(__xludf.DUMMYFUNCTION("""COMPUTED_VALUE"""),"Albornoz Adriana ")</f>
        <v>Albornoz Adriana </v>
      </c>
      <c r="D3425" s="1" t="str">
        <f>IFERROR(__xludf.DUMMYFUNCTION("""COMPUTED_VALUE"""),"Reparaciones/Otros")</f>
        <v>Reparaciones/Otros</v>
      </c>
      <c r="E3425" s="1" t="str">
        <f>IFERROR(__xludf.DUMMYFUNCTION("""COMPUTED_VALUE"""),"ARTIGAS Micaela")</f>
        <v>ARTIGAS Micaela</v>
      </c>
      <c r="F3425" s="1" t="str">
        <f t="shared" si="1"/>
        <v>ARTIGAS </v>
      </c>
      <c r="G3425" s="1" t="str">
        <f t="shared" si="2"/>
        <v>Micaela</v>
      </c>
      <c r="H3425" s="1" t="str">
        <f>IFERROR(__xludf.DUMMYFUNCTION("""COMPUTED_VALUE"""),"16/3/2023, 17:00:00")</f>
        <v>16/3/2023, 17:00:00</v>
      </c>
      <c r="I3425" s="1" t="str">
        <f>IFERROR(__xludf.DUMMYFUNCTION("""COMPUTED_VALUE"""),"Completado en SUCURSAL")</f>
        <v>Completado en SUCURSAL</v>
      </c>
      <c r="J3425" s="1">
        <f t="shared" si="3"/>
        <v>5</v>
      </c>
      <c r="K3425" s="1" t="str">
        <f t="shared" si="4"/>
        <v>Tus Lentes estan LISTAS PARA ENTREGAR, te esperamos.</v>
      </c>
    </row>
    <row r="3426">
      <c r="A3426" s="1">
        <f>IFERROR(__xludf.DUMMYFUNCTION("""COMPUTED_VALUE"""),87971.0)</f>
        <v>87971</v>
      </c>
      <c r="B3426" s="5">
        <f>IFERROR(__xludf.DUMMYFUNCTION("""COMPUTED_VALUE"""),44999.80352527778)</f>
        <v>44999.80353</v>
      </c>
      <c r="C3426" s="1" t="str">
        <f>IFERROR(__xludf.DUMMYFUNCTION("""COMPUTED_VALUE"""),"GUEVARA ANDRES")</f>
        <v>GUEVARA ANDRES</v>
      </c>
      <c r="D3426" s="1" t="str">
        <f>IFERROR(__xludf.DUMMYFUNCTION("""COMPUTED_VALUE"""),"Lentes de STOCK")</f>
        <v>Lentes de STOCK</v>
      </c>
      <c r="E3426" s="1" t="str">
        <f>IFERROR(__xludf.DUMMYFUNCTION("""COMPUTED_VALUE"""),"RIVADAVIA Santiago N")</f>
        <v>RIVADAVIA Santiago N</v>
      </c>
      <c r="F3426" s="1" t="str">
        <f t="shared" si="1"/>
        <v>RIVADAVIA </v>
      </c>
      <c r="G3426" s="1" t="str">
        <f t="shared" si="2"/>
        <v>Santiago N</v>
      </c>
      <c r="H3426" s="1" t="str">
        <f>IFERROR(__xludf.DUMMYFUNCTION("""COMPUTED_VALUE"""),"16/3/2023, 17:00:00")</f>
        <v>16/3/2023, 17:00:00</v>
      </c>
      <c r="I3426" s="1" t="str">
        <f>IFERROR(__xludf.DUMMYFUNCTION("""COMPUTED_VALUE"""),"Completado en SUCURSAL")</f>
        <v>Completado en SUCURSAL</v>
      </c>
      <c r="J3426" s="1">
        <f t="shared" si="3"/>
        <v>5</v>
      </c>
      <c r="K3426" s="1" t="str">
        <f t="shared" si="4"/>
        <v>Tus Lentes estan LISTAS PARA ENTREGAR, te esperamos.</v>
      </c>
    </row>
    <row r="3427">
      <c r="A3427" s="1">
        <f>IFERROR(__xludf.DUMMYFUNCTION("""COMPUTED_VALUE"""),87972.0)</f>
        <v>87972</v>
      </c>
      <c r="B3427" s="5">
        <f>IFERROR(__xludf.DUMMYFUNCTION("""COMPUTED_VALUE"""),44999.80440327546)</f>
        <v>44999.8044</v>
      </c>
      <c r="C3427" s="1" t="str">
        <f>IFERROR(__xludf.DUMMYFUNCTION("""COMPUTED_VALUE"""),"WEDEL JORGE")</f>
        <v>WEDEL JORGE</v>
      </c>
      <c r="D3427" s="1" t="str">
        <f>IFERROR(__xludf.DUMMYFUNCTION("""COMPUTED_VALUE"""),"Reparaciones/Otros")</f>
        <v>Reparaciones/Otros</v>
      </c>
      <c r="E3427" s="1" t="str">
        <f>IFERROR(__xludf.DUMMYFUNCTION("""COMPUTED_VALUE"""),"RIVADAVIA Santiago LOPEZ")</f>
        <v>RIVADAVIA Santiago LOPEZ</v>
      </c>
      <c r="F3427" s="1" t="str">
        <f t="shared" si="1"/>
        <v>RIVADAVIA </v>
      </c>
      <c r="G3427" s="1" t="str">
        <f t="shared" si="2"/>
        <v>Santiago LOPEZ</v>
      </c>
      <c r="H3427" s="1" t="str">
        <f>IFERROR(__xludf.DUMMYFUNCTION("""COMPUTED_VALUE"""),"15/3/2023, 17:00:00")</f>
        <v>15/3/2023, 17:00:00</v>
      </c>
      <c r="I3427" s="1" t="str">
        <f>IFERROR(__xludf.DUMMYFUNCTION("""COMPUTED_VALUE"""),"Completado en SUCURSAL")</f>
        <v>Completado en SUCURSAL</v>
      </c>
      <c r="J3427" s="1">
        <f t="shared" si="3"/>
        <v>5</v>
      </c>
      <c r="K3427" s="1" t="str">
        <f t="shared" si="4"/>
        <v>Tus Lentes estan LISTAS PARA ENTREGAR, te esperamos.</v>
      </c>
    </row>
    <row r="3428">
      <c r="A3428" s="1">
        <f>IFERROR(__xludf.DUMMYFUNCTION("""COMPUTED_VALUE"""),87973.0)</f>
        <v>87973</v>
      </c>
      <c r="B3428" s="5">
        <f>IFERROR(__xludf.DUMMYFUNCTION("""COMPUTED_VALUE"""),44999.80451918981)</f>
        <v>44999.80452</v>
      </c>
      <c r="C3428" s="1" t="str">
        <f>IFERROR(__xludf.DUMMYFUNCTION("""COMPUTED_VALUE"""),"BALLERINO ANDREA")</f>
        <v>BALLERINO ANDREA</v>
      </c>
      <c r="D3428" s="1" t="str">
        <f>IFERROR(__xludf.DUMMYFUNCTION("""COMPUTED_VALUE"""),"Lentes de STOCK")</f>
        <v>Lentes de STOCK</v>
      </c>
      <c r="E3428" s="1" t="str">
        <f>IFERROR(__xludf.DUMMYFUNCTION("""COMPUTED_VALUE"""),"ARTIGAS Roció")</f>
        <v>ARTIGAS Roció</v>
      </c>
      <c r="F3428" s="1" t="str">
        <f t="shared" si="1"/>
        <v>ARTIGAS </v>
      </c>
      <c r="G3428" s="1" t="str">
        <f t="shared" si="2"/>
        <v>Roció</v>
      </c>
      <c r="H3428" s="1" t="str">
        <f>IFERROR(__xludf.DUMMYFUNCTION("""COMPUTED_VALUE"""),"21/3/2023, 17:00:00")</f>
        <v>21/3/2023, 17:00:00</v>
      </c>
      <c r="I3428" s="1" t="str">
        <f>IFERROR(__xludf.DUMMYFUNCTION("""COMPUTED_VALUE"""),"Completado en SUCURSAL")</f>
        <v>Completado en SUCURSAL</v>
      </c>
      <c r="J3428" s="1">
        <f t="shared" si="3"/>
        <v>5</v>
      </c>
      <c r="K3428" s="1" t="str">
        <f t="shared" si="4"/>
        <v>Tus Lentes estan LISTAS PARA ENTREGAR, te esperamos.</v>
      </c>
    </row>
    <row r="3429">
      <c r="A3429" s="1">
        <f>IFERROR(__xludf.DUMMYFUNCTION("""COMPUTED_VALUE"""),87974.0)</f>
        <v>87974</v>
      </c>
      <c r="B3429" s="5">
        <f>IFERROR(__xludf.DUMMYFUNCTION("""COMPUTED_VALUE"""),44999.812353437504)</f>
        <v>44999.81235</v>
      </c>
      <c r="C3429" s="1" t="str">
        <f>IFERROR(__xludf.DUMMYFUNCTION("""COMPUTED_VALUE"""),"BARROS GLADYS")</f>
        <v>BARROS GLADYS</v>
      </c>
      <c r="D3429" s="1" t="str">
        <f>IFERROR(__xludf.DUMMYFUNCTION("""COMPUTED_VALUE"""),"Lentes MULTIFOCALES")</f>
        <v>Lentes MULTIFOCALES</v>
      </c>
      <c r="E3429" s="1" t="str">
        <f>IFERROR(__xludf.DUMMYFUNCTION("""COMPUTED_VALUE"""),"ARTIGAS Ivana P.")</f>
        <v>ARTIGAS Ivana P.</v>
      </c>
      <c r="F3429" s="1" t="str">
        <f t="shared" si="1"/>
        <v>ARTIGAS </v>
      </c>
      <c r="G3429" s="1" t="str">
        <f t="shared" si="2"/>
        <v>Ivana P.</v>
      </c>
      <c r="H3429" s="1" t="str">
        <f>IFERROR(__xludf.DUMMYFUNCTION("""COMPUTED_VALUE"""),"31/3/2023, 17:00:00")</f>
        <v>31/3/2023, 17:00:00</v>
      </c>
      <c r="I3429" s="1" t="str">
        <f>IFERROR(__xludf.DUMMYFUNCTION("""COMPUTED_VALUE"""),"RETIRADO OK POR CLIENTE")</f>
        <v>RETIRADO OK POR CLIENTE</v>
      </c>
      <c r="J3429" s="1">
        <f t="shared" si="3"/>
        <v>6</v>
      </c>
      <c r="K3429" s="1" t="str">
        <f t="shared" si="4"/>
        <v>Entregamos tus lentes, que los disfrutes!</v>
      </c>
    </row>
    <row r="3430">
      <c r="A3430" s="1">
        <f>IFERROR(__xludf.DUMMYFUNCTION("""COMPUTED_VALUE"""),87975.0)</f>
        <v>87975</v>
      </c>
      <c r="B3430" s="5">
        <f>IFERROR(__xludf.DUMMYFUNCTION("""COMPUTED_VALUE"""),44999.81667850695)</f>
        <v>44999.81668</v>
      </c>
      <c r="C3430" s="1" t="str">
        <f>IFERROR(__xludf.DUMMYFUNCTION("""COMPUTED_VALUE"""),"Lucero Rocio")</f>
        <v>Lucero Rocio</v>
      </c>
      <c r="D3430" s="1" t="str">
        <f>IFERROR(__xludf.DUMMYFUNCTION("""COMPUTED_VALUE"""),"Reparaciones/Otros")</f>
        <v>Reparaciones/Otros</v>
      </c>
      <c r="E3430" s="1" t="str">
        <f>IFERROR(__xludf.DUMMYFUNCTION("""COMPUTED_VALUE"""),"ARTIGAS Micaela")</f>
        <v>ARTIGAS Micaela</v>
      </c>
      <c r="F3430" s="1" t="str">
        <f t="shared" si="1"/>
        <v>ARTIGAS </v>
      </c>
      <c r="G3430" s="1" t="str">
        <f t="shared" si="2"/>
        <v>Micaela</v>
      </c>
      <c r="H3430" s="1" t="str">
        <f>IFERROR(__xludf.DUMMYFUNCTION("""COMPUTED_VALUE"""),"15/3/2023, 17:00:00")</f>
        <v>15/3/2023, 17:00:00</v>
      </c>
      <c r="I3430" s="1" t="str">
        <f>IFERROR(__xludf.DUMMYFUNCTION("""COMPUTED_VALUE"""),"Completado en SUCURSAL")</f>
        <v>Completado en SUCURSAL</v>
      </c>
      <c r="J3430" s="1">
        <f t="shared" si="3"/>
        <v>5</v>
      </c>
      <c r="K3430" s="1" t="str">
        <f t="shared" si="4"/>
        <v>Tus Lentes estan LISTAS PARA ENTREGAR, te esperamos.</v>
      </c>
    </row>
    <row r="3431">
      <c r="A3431" s="1">
        <f>IFERROR(__xludf.DUMMYFUNCTION("""COMPUTED_VALUE"""),87976.0)</f>
        <v>87976</v>
      </c>
      <c r="B3431" s="5">
        <f>IFERROR(__xludf.DUMMYFUNCTION("""COMPUTED_VALUE"""),44999.81754478009)</f>
        <v>44999.81754</v>
      </c>
      <c r="C3431" s="1" t="str">
        <f>IFERROR(__xludf.DUMMYFUNCTION("""COMPUTED_VALUE"""),"ORTIZ MIRIAM")</f>
        <v>ORTIZ MIRIAM</v>
      </c>
      <c r="D3431" s="1" t="str">
        <f>IFERROR(__xludf.DUMMYFUNCTION("""COMPUTED_VALUE"""),"Lentes de STOCK")</f>
        <v>Lentes de STOCK</v>
      </c>
      <c r="E3431" s="1" t="str">
        <f>IFERROR(__xludf.DUMMYFUNCTION("""COMPUTED_VALUE"""),"RIVADAVIA Christian C.")</f>
        <v>RIVADAVIA Christian C.</v>
      </c>
      <c r="F3431" s="1" t="str">
        <f t="shared" si="1"/>
        <v>RIVADAVIA </v>
      </c>
      <c r="G3431" s="1" t="str">
        <f t="shared" si="2"/>
        <v>Christian C.</v>
      </c>
      <c r="H3431" s="1" t="str">
        <f>IFERROR(__xludf.DUMMYFUNCTION("""COMPUTED_VALUE"""),"21/3/2023, 17:00:00")</f>
        <v>21/3/2023, 17:00:00</v>
      </c>
      <c r="I3431" s="1" t="str">
        <f>IFERROR(__xludf.DUMMYFUNCTION("""COMPUTED_VALUE"""),"Completado en SUCURSAL")</f>
        <v>Completado en SUCURSAL</v>
      </c>
      <c r="J3431" s="1">
        <f t="shared" si="3"/>
        <v>5</v>
      </c>
      <c r="K3431" s="1" t="str">
        <f t="shared" si="4"/>
        <v>Tus Lentes estan LISTAS PARA ENTREGAR, te esperamos.</v>
      </c>
    </row>
    <row r="3432">
      <c r="A3432" s="1">
        <f>IFERROR(__xludf.DUMMYFUNCTION("""COMPUTED_VALUE"""),87977.0)</f>
        <v>87977</v>
      </c>
      <c r="B3432" s="5">
        <f>IFERROR(__xludf.DUMMYFUNCTION("""COMPUTED_VALUE"""),44999.81997827547)</f>
        <v>44999.81998</v>
      </c>
      <c r="C3432" s="1" t="str">
        <f>IFERROR(__xludf.DUMMYFUNCTION("""COMPUTED_VALUE"""),"SOSA HERMENEGILDO")</f>
        <v>SOSA HERMENEGILDO</v>
      </c>
      <c r="D3432" s="1" t="str">
        <f>IFERROR(__xludf.DUMMYFUNCTION("""COMPUTED_VALUE"""),"Lentes de STOCK")</f>
        <v>Lentes de STOCK</v>
      </c>
      <c r="E3432" s="1" t="str">
        <f>IFERROR(__xludf.DUMMYFUNCTION("""COMPUTED_VALUE"""),"ARTIGAS Roció")</f>
        <v>ARTIGAS Roció</v>
      </c>
      <c r="F3432" s="1" t="str">
        <f t="shared" si="1"/>
        <v>ARTIGAS </v>
      </c>
      <c r="G3432" s="1" t="str">
        <f t="shared" si="2"/>
        <v>Roció</v>
      </c>
      <c r="H3432" s="1" t="str">
        <f>IFERROR(__xludf.DUMMYFUNCTION("""COMPUTED_VALUE"""),"23/3/2023, 17:00:00")</f>
        <v>23/3/2023, 17:00:00</v>
      </c>
      <c r="I3432" s="1" t="str">
        <f>IFERROR(__xludf.DUMMYFUNCTION("""COMPUTED_VALUE"""),"Completado en SUCURSAL")</f>
        <v>Completado en SUCURSAL</v>
      </c>
      <c r="J3432" s="1">
        <f t="shared" si="3"/>
        <v>5</v>
      </c>
      <c r="K3432" s="1" t="str">
        <f t="shared" si="4"/>
        <v>Tus Lentes estan LISTAS PARA ENTREGAR, te esperamos.</v>
      </c>
    </row>
    <row r="3433">
      <c r="A3433" s="1">
        <f>IFERROR(__xludf.DUMMYFUNCTION("""COMPUTED_VALUE"""),87978.0)</f>
        <v>87978</v>
      </c>
      <c r="B3433" s="5">
        <f>IFERROR(__xludf.DUMMYFUNCTION("""COMPUTED_VALUE"""),44999.82149722222)</f>
        <v>44999.8215</v>
      </c>
      <c r="C3433" s="1" t="str">
        <f>IFERROR(__xludf.DUMMYFUNCTION("""COMPUTED_VALUE"""),"MIRANDA ANTONELLA")</f>
        <v>MIRANDA ANTONELLA</v>
      </c>
      <c r="D3433" s="1" t="str">
        <f>IFERROR(__xludf.DUMMYFUNCTION("""COMPUTED_VALUE"""),"Lentes de STOCK")</f>
        <v>Lentes de STOCK</v>
      </c>
      <c r="E3433" s="1" t="str">
        <f>IFERROR(__xludf.DUMMYFUNCTION("""COMPUTED_VALUE"""),"RIVADAVIA Christian C.")</f>
        <v>RIVADAVIA Christian C.</v>
      </c>
      <c r="F3433" s="1" t="str">
        <f t="shared" si="1"/>
        <v>RIVADAVIA </v>
      </c>
      <c r="G3433" s="1" t="str">
        <f t="shared" si="2"/>
        <v>Christian C.</v>
      </c>
      <c r="H3433" s="1" t="str">
        <f>IFERROR(__xludf.DUMMYFUNCTION("""COMPUTED_VALUE"""),"23/3/2023, 17:00:00")</f>
        <v>23/3/2023, 17:00:00</v>
      </c>
      <c r="I3433" s="1" t="str">
        <f>IFERROR(__xludf.DUMMYFUNCTION("""COMPUTED_VALUE"""),"RETIRADO OK POR CLIENTE")</f>
        <v>RETIRADO OK POR CLIENTE</v>
      </c>
      <c r="J3433" s="1">
        <f t="shared" si="3"/>
        <v>6</v>
      </c>
      <c r="K3433" s="1" t="str">
        <f t="shared" si="4"/>
        <v>Entregamos tus lentes, que los disfrutes!</v>
      </c>
    </row>
    <row r="3434">
      <c r="A3434" s="1">
        <f>IFERROR(__xludf.DUMMYFUNCTION("""COMPUTED_VALUE"""),87979.0)</f>
        <v>87979</v>
      </c>
      <c r="B3434" s="5">
        <f>IFERROR(__xludf.DUMMYFUNCTION("""COMPUTED_VALUE"""),44999.827079421295)</f>
        <v>44999.82708</v>
      </c>
      <c r="C3434" s="1" t="str">
        <f>IFERROR(__xludf.DUMMYFUNCTION("""COMPUTED_VALUE"""),"pianta gabriela")</f>
        <v>pianta gabriela</v>
      </c>
      <c r="D3434" s="1" t="str">
        <f>IFERROR(__xludf.DUMMYFUNCTION("""COMPUTED_VALUE"""),"Reparaciones/Otros")</f>
        <v>Reparaciones/Otros</v>
      </c>
      <c r="E3434" s="1" t="str">
        <f>IFERROR(__xludf.DUMMYFUNCTION("""COMPUTED_VALUE"""),"RIVADAVIA Santiago N")</f>
        <v>RIVADAVIA Santiago N</v>
      </c>
      <c r="F3434" s="1" t="str">
        <f t="shared" si="1"/>
        <v>RIVADAVIA </v>
      </c>
      <c r="G3434" s="1" t="str">
        <f t="shared" si="2"/>
        <v>Santiago N</v>
      </c>
      <c r="H3434" s="1" t="str">
        <f>IFERROR(__xludf.DUMMYFUNCTION("""COMPUTED_VALUE"""),"15/3/2023, 17:00:00")</f>
        <v>15/3/2023, 17:00:00</v>
      </c>
      <c r="I3434" s="1" t="str">
        <f>IFERROR(__xludf.DUMMYFUNCTION("""COMPUTED_VALUE"""),"Completado en SUCURSAL")</f>
        <v>Completado en SUCURSAL</v>
      </c>
      <c r="J3434" s="1">
        <f t="shared" si="3"/>
        <v>5</v>
      </c>
      <c r="K3434" s="1" t="str">
        <f t="shared" si="4"/>
        <v>Tus Lentes estan LISTAS PARA ENTREGAR, te esperamos.</v>
      </c>
    </row>
    <row r="3435">
      <c r="A3435" s="1">
        <f>IFERROR(__xludf.DUMMYFUNCTION("""COMPUTED_VALUE"""),87980.0)</f>
        <v>87980</v>
      </c>
      <c r="B3435" s="5">
        <f>IFERROR(__xludf.DUMMYFUNCTION("""COMPUTED_VALUE"""),44999.83293158565)</f>
        <v>44999.83293</v>
      </c>
      <c r="C3435" s="1" t="str">
        <f>IFERROR(__xludf.DUMMYFUNCTION("""COMPUTED_VALUE"""),"ESCUDERO EULALIA ARGENTINA")</f>
        <v>ESCUDERO EULALIA ARGENTINA</v>
      </c>
      <c r="D3435" s="1" t="str">
        <f>IFERROR(__xludf.DUMMYFUNCTION("""COMPUTED_VALUE"""),"Lentes de STOCK")</f>
        <v>Lentes de STOCK</v>
      </c>
      <c r="E3435" s="1" t="str">
        <f>IFERROR(__xludf.DUMMYFUNCTION("""COMPUTED_VALUE"""),"ARTIGAS Roció")</f>
        <v>ARTIGAS Roció</v>
      </c>
      <c r="F3435" s="1" t="str">
        <f t="shared" si="1"/>
        <v>ARTIGAS </v>
      </c>
      <c r="G3435" s="1" t="str">
        <f t="shared" si="2"/>
        <v>Roció</v>
      </c>
      <c r="H3435" s="1" t="str">
        <f>IFERROR(__xludf.DUMMYFUNCTION("""COMPUTED_VALUE"""),"21/3/2023, 17:00:00")</f>
        <v>21/3/2023, 17:00:00</v>
      </c>
      <c r="I3435" s="1" t="str">
        <f>IFERROR(__xludf.DUMMYFUNCTION("""COMPUTED_VALUE"""),"Completado en SUCURSAL")</f>
        <v>Completado en SUCURSAL</v>
      </c>
      <c r="J3435" s="1">
        <f t="shared" si="3"/>
        <v>5</v>
      </c>
      <c r="K3435" s="1" t="str">
        <f t="shared" si="4"/>
        <v>Tus Lentes estan LISTAS PARA ENTREGAR, te esperamos.</v>
      </c>
    </row>
    <row r="3436">
      <c r="A3436" s="1">
        <f>IFERROR(__xludf.DUMMYFUNCTION("""COMPUTED_VALUE"""),87981.0)</f>
        <v>87981</v>
      </c>
      <c r="B3436" s="5">
        <f>IFERROR(__xludf.DUMMYFUNCTION("""COMPUTED_VALUE"""),44999.836946365744)</f>
        <v>44999.83695</v>
      </c>
      <c r="C3436" s="1" t="str">
        <f>IFERROR(__xludf.DUMMYFUNCTION("""COMPUTED_VALUE"""),"rosel mateo")</f>
        <v>rosel mateo</v>
      </c>
      <c r="D3436" s="1" t="str">
        <f>IFERROR(__xludf.DUMMYFUNCTION("""COMPUTED_VALUE"""),"Lentes de STOCK")</f>
        <v>Lentes de STOCK</v>
      </c>
      <c r="E3436" s="1" t="str">
        <f>IFERROR(__xludf.DUMMYFUNCTION("""COMPUTED_VALUE"""),"RIVADAVIA Santiago N")</f>
        <v>RIVADAVIA Santiago N</v>
      </c>
      <c r="F3436" s="1" t="str">
        <f t="shared" si="1"/>
        <v>RIVADAVIA </v>
      </c>
      <c r="G3436" s="1" t="str">
        <f t="shared" si="2"/>
        <v>Santiago N</v>
      </c>
      <c r="H3436" s="1" t="str">
        <f>IFERROR(__xludf.DUMMYFUNCTION("""COMPUTED_VALUE"""),"20/3/2023, 17:00:00")</f>
        <v>20/3/2023, 17:00:00</v>
      </c>
      <c r="I3436" s="1" t="str">
        <f>IFERROR(__xludf.DUMMYFUNCTION("""COMPUTED_VALUE"""),"Completado en SUCURSAL")</f>
        <v>Completado en SUCURSAL</v>
      </c>
      <c r="J3436" s="1">
        <f t="shared" si="3"/>
        <v>5</v>
      </c>
      <c r="K3436" s="1" t="str">
        <f t="shared" si="4"/>
        <v>Tus Lentes estan LISTAS PARA ENTREGAR, te esperamos.</v>
      </c>
    </row>
    <row r="3437">
      <c r="A3437" s="1">
        <f>IFERROR(__xludf.DUMMYFUNCTION("""COMPUTED_VALUE"""),87982.0)</f>
        <v>87982</v>
      </c>
      <c r="B3437" s="5">
        <f>IFERROR(__xludf.DUMMYFUNCTION("""COMPUTED_VALUE"""),44999.84162083334)</f>
        <v>44999.84162</v>
      </c>
      <c r="C3437" s="1" t="str">
        <f>IFERROR(__xludf.DUMMYFUNCTION("""COMPUTED_VALUE"""),"pagano chacon joselin")</f>
        <v>pagano chacon joselin</v>
      </c>
      <c r="D3437" s="1" t="str">
        <f>IFERROR(__xludf.DUMMYFUNCTION("""COMPUTED_VALUE"""),"Lentes de STOCK")</f>
        <v>Lentes de STOCK</v>
      </c>
      <c r="E3437" s="1" t="str">
        <f>IFERROR(__xludf.DUMMYFUNCTION("""COMPUTED_VALUE"""),"RIVADAVIA Santiago N")</f>
        <v>RIVADAVIA Santiago N</v>
      </c>
      <c r="F3437" s="1" t="str">
        <f t="shared" si="1"/>
        <v>RIVADAVIA </v>
      </c>
      <c r="G3437" s="1" t="str">
        <f t="shared" si="2"/>
        <v>Santiago N</v>
      </c>
      <c r="H3437" s="1" t="str">
        <f>IFERROR(__xludf.DUMMYFUNCTION("""COMPUTED_VALUE"""),"20/3/2023, 17:00:00")</f>
        <v>20/3/2023, 17:00:00</v>
      </c>
      <c r="I3437" s="1" t="str">
        <f>IFERROR(__xludf.DUMMYFUNCTION("""COMPUTED_VALUE"""),"Completado en SUCURSAL")</f>
        <v>Completado en SUCURSAL</v>
      </c>
      <c r="J3437" s="1">
        <f t="shared" si="3"/>
        <v>5</v>
      </c>
      <c r="K3437" s="1" t="str">
        <f t="shared" si="4"/>
        <v>Tus Lentes estan LISTAS PARA ENTREGAR, te esperamos.</v>
      </c>
    </row>
    <row r="3438">
      <c r="A3438" s="1">
        <f>IFERROR(__xludf.DUMMYFUNCTION("""COMPUTED_VALUE"""),87983.0)</f>
        <v>87983</v>
      </c>
      <c r="B3438" s="5">
        <f>IFERROR(__xludf.DUMMYFUNCTION("""COMPUTED_VALUE"""),44999.84288611111)</f>
        <v>44999.84289</v>
      </c>
      <c r="C3438" s="1" t="str">
        <f>IFERROR(__xludf.DUMMYFUNCTION("""COMPUTED_VALUE"""),"CAMARGO MARCELA GRACIELA")</f>
        <v>CAMARGO MARCELA GRACIELA</v>
      </c>
      <c r="D3438" s="1" t="str">
        <f>IFERROR(__xludf.DUMMYFUNCTION("""COMPUTED_VALUE"""),"Lentes de STOCK")</f>
        <v>Lentes de STOCK</v>
      </c>
      <c r="E3438" s="1" t="str">
        <f>IFERROR(__xludf.DUMMYFUNCTION("""COMPUTED_VALUE"""),"RIVADAVIA Christian C.")</f>
        <v>RIVADAVIA Christian C.</v>
      </c>
      <c r="F3438" s="1" t="str">
        <f t="shared" si="1"/>
        <v>RIVADAVIA </v>
      </c>
      <c r="G3438" s="1" t="str">
        <f t="shared" si="2"/>
        <v>Christian C.</v>
      </c>
      <c r="H3438" s="1" t="str">
        <f>IFERROR(__xludf.DUMMYFUNCTION("""COMPUTED_VALUE"""),"17/3/2023, 17:00:00")</f>
        <v>17/3/2023, 17:00:00</v>
      </c>
      <c r="I3438" s="1" t="str">
        <f>IFERROR(__xludf.DUMMYFUNCTION("""COMPUTED_VALUE"""),"Completado en SUCURSAL")</f>
        <v>Completado en SUCURSAL</v>
      </c>
      <c r="J3438" s="1">
        <f t="shared" si="3"/>
        <v>5</v>
      </c>
      <c r="K3438" s="1" t="str">
        <f t="shared" si="4"/>
        <v>Tus Lentes estan LISTAS PARA ENTREGAR, te esperamos.</v>
      </c>
    </row>
    <row r="3439">
      <c r="A3439" s="1">
        <f>IFERROR(__xludf.DUMMYFUNCTION("""COMPUTED_VALUE"""),87984.0)</f>
        <v>87984</v>
      </c>
      <c r="B3439" s="5">
        <f>IFERROR(__xludf.DUMMYFUNCTION("""COMPUTED_VALUE"""),44999.84517939815)</f>
        <v>44999.84518</v>
      </c>
      <c r="C3439" s="1" t="str">
        <f>IFERROR(__xludf.DUMMYFUNCTION("""COMPUTED_VALUE"""),"MATTACOTA SANDRA")</f>
        <v>MATTACOTA SANDRA</v>
      </c>
      <c r="D3439" s="1" t="str">
        <f>IFERROR(__xludf.DUMMYFUNCTION("""COMPUTED_VALUE"""),"Lentes MULTIFOCALES")</f>
        <v>Lentes MULTIFOCALES</v>
      </c>
      <c r="E3439" s="1" t="str">
        <f>IFERROR(__xludf.DUMMYFUNCTION("""COMPUTED_VALUE"""),"RIVADAVIA Santiago LOPEZ")</f>
        <v>RIVADAVIA Santiago LOPEZ</v>
      </c>
      <c r="F3439" s="1" t="str">
        <f t="shared" si="1"/>
        <v>RIVADAVIA </v>
      </c>
      <c r="G3439" s="1" t="str">
        <f t="shared" si="2"/>
        <v>Santiago LOPEZ</v>
      </c>
      <c r="H3439" s="1" t="str">
        <f>IFERROR(__xludf.DUMMYFUNCTION("""COMPUTED_VALUE"""),"27/3/2023, 17:00:00")</f>
        <v>27/3/2023, 17:00:00</v>
      </c>
      <c r="I3439" s="1" t="str">
        <f>IFERROR(__xludf.DUMMYFUNCTION("""COMPUTED_VALUE"""),"Completado en SUCURSAL")</f>
        <v>Completado en SUCURSAL</v>
      </c>
      <c r="J3439" s="1">
        <f t="shared" si="3"/>
        <v>5</v>
      </c>
      <c r="K3439" s="1" t="str">
        <f t="shared" si="4"/>
        <v>Tus Lentes estan LISTAS PARA ENTREGAR, te esperamos.</v>
      </c>
    </row>
    <row r="3440">
      <c r="A3440" s="1">
        <f>IFERROR(__xludf.DUMMYFUNCTION("""COMPUTED_VALUE"""),87985.0)</f>
        <v>87985</v>
      </c>
      <c r="B3440" s="5">
        <f>IFERROR(__xludf.DUMMYFUNCTION("""COMPUTED_VALUE"""),44999.84687715278)</f>
        <v>44999.84688</v>
      </c>
      <c r="C3440" s="1" t="str">
        <f>IFERROR(__xludf.DUMMYFUNCTION("""COMPUTED_VALUE"""),"pagano oriana")</f>
        <v>pagano oriana</v>
      </c>
      <c r="D3440" s="1" t="str">
        <f>IFERROR(__xludf.DUMMYFUNCTION("""COMPUTED_VALUE"""),"Lentes de STOCK")</f>
        <v>Lentes de STOCK</v>
      </c>
      <c r="E3440" s="1" t="str">
        <f>IFERROR(__xludf.DUMMYFUNCTION("""COMPUTED_VALUE"""),"RIVADAVIA Santiago N")</f>
        <v>RIVADAVIA Santiago N</v>
      </c>
      <c r="F3440" s="1" t="str">
        <f t="shared" si="1"/>
        <v>RIVADAVIA </v>
      </c>
      <c r="G3440" s="1" t="str">
        <f t="shared" si="2"/>
        <v>Santiago N</v>
      </c>
      <c r="H3440" s="1" t="str">
        <f>IFERROR(__xludf.DUMMYFUNCTION("""COMPUTED_VALUE"""),"17/3/2023, 17:00:00")</f>
        <v>17/3/2023, 17:00:00</v>
      </c>
      <c r="I3440" s="1" t="str">
        <f>IFERROR(__xludf.DUMMYFUNCTION("""COMPUTED_VALUE"""),"Completado en SUCURSAL")</f>
        <v>Completado en SUCURSAL</v>
      </c>
      <c r="J3440" s="1">
        <f t="shared" si="3"/>
        <v>5</v>
      </c>
      <c r="K3440" s="1" t="str">
        <f t="shared" si="4"/>
        <v>Tus Lentes estan LISTAS PARA ENTREGAR, te esperamos.</v>
      </c>
    </row>
    <row r="3441">
      <c r="A3441" s="1">
        <f>IFERROR(__xludf.DUMMYFUNCTION("""COMPUTED_VALUE"""),87986.0)</f>
        <v>87986</v>
      </c>
      <c r="B3441" s="5">
        <f>IFERROR(__xludf.DUMMYFUNCTION("""COMPUTED_VALUE"""),44999.84952251158)</f>
        <v>44999.84952</v>
      </c>
      <c r="C3441" s="1" t="str">
        <f>IFERROR(__xludf.DUMMYFUNCTION("""COMPUTED_VALUE"""),"asis alex")</f>
        <v>asis alex</v>
      </c>
      <c r="D3441" s="1" t="str">
        <f>IFERROR(__xludf.DUMMYFUNCTION("""COMPUTED_VALUE"""),"Lentes de STOCK")</f>
        <v>Lentes de STOCK</v>
      </c>
      <c r="E3441" s="1" t="str">
        <f>IFERROR(__xludf.DUMMYFUNCTION("""COMPUTED_VALUE"""),"RIVADAVIA Daniel CM")</f>
        <v>RIVADAVIA Daniel CM</v>
      </c>
      <c r="F3441" s="1" t="str">
        <f t="shared" si="1"/>
        <v>RIVADAVIA </v>
      </c>
      <c r="G3441" s="1" t="str">
        <f t="shared" si="2"/>
        <v>Daniel CM</v>
      </c>
      <c r="H3441" s="1" t="str">
        <f>IFERROR(__xludf.DUMMYFUNCTION("""COMPUTED_VALUE"""),"20/3/2023, 17:00:00")</f>
        <v>20/3/2023, 17:00:00</v>
      </c>
      <c r="I3441" s="1" t="str">
        <f>IFERROR(__xludf.DUMMYFUNCTION("""COMPUTED_VALUE"""),"Completado en SUCURSAL")</f>
        <v>Completado en SUCURSAL</v>
      </c>
      <c r="J3441" s="1">
        <f t="shared" si="3"/>
        <v>5</v>
      </c>
      <c r="K3441" s="1" t="str">
        <f t="shared" si="4"/>
        <v>Tus Lentes estan LISTAS PARA ENTREGAR, te esperamos.</v>
      </c>
    </row>
    <row r="3442">
      <c r="A3442" s="1">
        <f>IFERROR(__xludf.DUMMYFUNCTION("""COMPUTED_VALUE"""),87987.0)</f>
        <v>87987</v>
      </c>
      <c r="B3442" s="5">
        <f>IFERROR(__xludf.DUMMYFUNCTION("""COMPUTED_VALUE"""),44999.857187905094)</f>
        <v>44999.85719</v>
      </c>
      <c r="C3442" s="1" t="str">
        <f>IFERROR(__xludf.DUMMYFUNCTION("""COMPUTED_VALUE"""),"LAGO CHAVEZ CARLOS BENJAMIN")</f>
        <v>LAGO CHAVEZ CARLOS BENJAMIN</v>
      </c>
      <c r="D3442" s="1" t="str">
        <f>IFERROR(__xludf.DUMMYFUNCTION("""COMPUTED_VALUE"""),"Lentes de STOCK")</f>
        <v>Lentes de STOCK</v>
      </c>
      <c r="E3442" s="1" t="str">
        <f>IFERROR(__xludf.DUMMYFUNCTION("""COMPUTED_VALUE"""),"RIVADAVIA Christian C.")</f>
        <v>RIVADAVIA Christian C.</v>
      </c>
      <c r="F3442" s="1" t="str">
        <f t="shared" si="1"/>
        <v>RIVADAVIA </v>
      </c>
      <c r="G3442" s="1" t="str">
        <f t="shared" si="2"/>
        <v>Christian C.</v>
      </c>
      <c r="H3442" s="1" t="str">
        <f>IFERROR(__xludf.DUMMYFUNCTION("""COMPUTED_VALUE"""),"20/3/2023, 17:00:00")</f>
        <v>20/3/2023, 17:00:00</v>
      </c>
      <c r="I3442" s="1" t="str">
        <f>IFERROR(__xludf.DUMMYFUNCTION("""COMPUTED_VALUE"""),"Completado en SUCURSAL")</f>
        <v>Completado en SUCURSAL</v>
      </c>
      <c r="J3442" s="1">
        <f t="shared" si="3"/>
        <v>5</v>
      </c>
      <c r="K3442" s="1" t="str">
        <f t="shared" si="4"/>
        <v>Tus Lentes estan LISTAS PARA ENTREGAR, te esperamos.</v>
      </c>
    </row>
    <row r="3443">
      <c r="A3443" s="1">
        <f>IFERROR(__xludf.DUMMYFUNCTION("""COMPUTED_VALUE"""),87988.0)</f>
        <v>87988</v>
      </c>
      <c r="B3443" s="5">
        <f>IFERROR(__xludf.DUMMYFUNCTION("""COMPUTED_VALUE"""),45000.37160895833)</f>
        <v>45000.37161</v>
      </c>
      <c r="C3443" s="1" t="str">
        <f>IFERROR(__xludf.DUMMYFUNCTION("""COMPUTED_VALUE"""),"gitierres lucero erica")</f>
        <v>gitierres lucero erica</v>
      </c>
      <c r="D3443" s="1" t="str">
        <f>IFERROR(__xludf.DUMMYFUNCTION("""COMPUTED_VALUE"""),"Lentes de LABORATORIO")</f>
        <v>Lentes de LABORATORIO</v>
      </c>
      <c r="E3443" s="1" t="str">
        <f>IFERROR(__xludf.DUMMYFUNCTION("""COMPUTED_VALUE"""),"RIVADAVIA Santiago N")</f>
        <v>RIVADAVIA Santiago N</v>
      </c>
      <c r="F3443" s="1" t="str">
        <f t="shared" si="1"/>
        <v>RIVADAVIA </v>
      </c>
      <c r="G3443" s="1" t="str">
        <f t="shared" si="2"/>
        <v>Santiago N</v>
      </c>
      <c r="H3443" s="1" t="str">
        <f>IFERROR(__xludf.DUMMYFUNCTION("""COMPUTED_VALUE"""),"25/3/2023, 17:00:00")</f>
        <v>25/3/2023, 17:00:00</v>
      </c>
      <c r="I3443" s="1" t="str">
        <f>IFERROR(__xludf.DUMMYFUNCTION("""COMPUTED_VALUE"""),"Completado en SUCURSAL")</f>
        <v>Completado en SUCURSAL</v>
      </c>
      <c r="J3443" s="1">
        <f t="shared" si="3"/>
        <v>5</v>
      </c>
      <c r="K3443" s="1" t="str">
        <f t="shared" si="4"/>
        <v>Tus Lentes estan LISTAS PARA ENTREGAR, te esperamos.</v>
      </c>
    </row>
    <row r="3444">
      <c r="A3444" s="1">
        <f>IFERROR(__xludf.DUMMYFUNCTION("""COMPUTED_VALUE"""),87989.0)</f>
        <v>87989</v>
      </c>
      <c r="B3444" s="5">
        <f>IFERROR(__xludf.DUMMYFUNCTION("""COMPUTED_VALUE"""),45000.38330457176)</f>
        <v>45000.3833</v>
      </c>
      <c r="C3444" s="1" t="str">
        <f>IFERROR(__xludf.DUMMYFUNCTION("""COMPUTED_VALUE"""),"garcia ludmila")</f>
        <v>garcia ludmila</v>
      </c>
      <c r="D3444" s="1" t="str">
        <f>IFERROR(__xludf.DUMMYFUNCTION("""COMPUTED_VALUE"""),"Lentes de STOCK")</f>
        <v>Lentes de STOCK</v>
      </c>
      <c r="E3444" s="1" t="str">
        <f>IFERROR(__xludf.DUMMYFUNCTION("""COMPUTED_VALUE"""),"RIVADAVIA Daniel CM")</f>
        <v>RIVADAVIA Daniel CM</v>
      </c>
      <c r="F3444" s="1" t="str">
        <f t="shared" si="1"/>
        <v>RIVADAVIA </v>
      </c>
      <c r="G3444" s="1" t="str">
        <f t="shared" si="2"/>
        <v>Daniel CM</v>
      </c>
      <c r="H3444" s="1" t="str">
        <f>IFERROR(__xludf.DUMMYFUNCTION("""COMPUTED_VALUE"""),"20/3/2023, 18:00:00")</f>
        <v>20/3/2023, 18:00:00</v>
      </c>
      <c r="I3444" s="1" t="str">
        <f>IFERROR(__xludf.DUMMYFUNCTION("""COMPUTED_VALUE"""),"Completado en SUCURSAL")</f>
        <v>Completado en SUCURSAL</v>
      </c>
      <c r="J3444" s="1">
        <f t="shared" si="3"/>
        <v>5</v>
      </c>
      <c r="K3444" s="1" t="str">
        <f t="shared" si="4"/>
        <v>Tus Lentes estan LISTAS PARA ENTREGAR, te esperamos.</v>
      </c>
    </row>
    <row r="3445">
      <c r="A3445" s="1">
        <f>IFERROR(__xludf.DUMMYFUNCTION("""COMPUTED_VALUE"""),87990.0)</f>
        <v>87990</v>
      </c>
      <c r="B3445" s="5">
        <f>IFERROR(__xludf.DUMMYFUNCTION("""COMPUTED_VALUE"""),45000.384750717596)</f>
        <v>45000.38475</v>
      </c>
      <c r="C3445" s="1" t="str">
        <f>IFERROR(__xludf.DUMMYFUNCTION("""COMPUTED_VALUE"""),"BENGOLEA JORGE")</f>
        <v>BENGOLEA JORGE</v>
      </c>
      <c r="D3445" s="1" t="str">
        <f>IFERROR(__xludf.DUMMYFUNCTION("""COMPUTED_VALUE"""),"Lentes de STOCK")</f>
        <v>Lentes de STOCK</v>
      </c>
      <c r="E3445" s="1" t="str">
        <f>IFERROR(__xludf.DUMMYFUNCTION("""COMPUTED_VALUE"""),"ARTIGAS Ivana P.")</f>
        <v>ARTIGAS Ivana P.</v>
      </c>
      <c r="F3445" s="1" t="str">
        <f t="shared" si="1"/>
        <v>ARTIGAS </v>
      </c>
      <c r="G3445" s="1" t="str">
        <f t="shared" si="2"/>
        <v>Ivana P.</v>
      </c>
      <c r="H3445" s="1" t="str">
        <f>IFERROR(__xludf.DUMMYFUNCTION("""COMPUTED_VALUE"""),"20/3/2023, 17:00:00")</f>
        <v>20/3/2023, 17:00:00</v>
      </c>
      <c r="I3445" s="1" t="str">
        <f>IFERROR(__xludf.DUMMYFUNCTION("""COMPUTED_VALUE"""),"Completado en SUCURSAL")</f>
        <v>Completado en SUCURSAL</v>
      </c>
      <c r="J3445" s="1">
        <f t="shared" si="3"/>
        <v>5</v>
      </c>
      <c r="K3445" s="1" t="str">
        <f t="shared" si="4"/>
        <v>Tus Lentes estan LISTAS PARA ENTREGAR, te esperamos.</v>
      </c>
    </row>
    <row r="3446">
      <c r="A3446" s="1">
        <f>IFERROR(__xludf.DUMMYFUNCTION("""COMPUTED_VALUE"""),87991.0)</f>
        <v>87991</v>
      </c>
      <c r="B3446" s="5">
        <f>IFERROR(__xludf.DUMMYFUNCTION("""COMPUTED_VALUE"""),45000.38839274306)</f>
        <v>45000.38839</v>
      </c>
      <c r="C3446" s="1" t="str">
        <f>IFERROR(__xludf.DUMMYFUNCTION("""COMPUTED_VALUE"""),"Vivas Beatriz")</f>
        <v>Vivas Beatriz</v>
      </c>
      <c r="D3446" s="1" t="str">
        <f>IFERROR(__xludf.DUMMYFUNCTION("""COMPUTED_VALUE"""),"Reparaciones/Otros")</f>
        <v>Reparaciones/Otros</v>
      </c>
      <c r="E3446" s="1" t="str">
        <f>IFERROR(__xludf.DUMMYFUNCTION("""COMPUTED_VALUE"""),"ARTIGAS Sandra G")</f>
        <v>ARTIGAS Sandra G</v>
      </c>
      <c r="F3446" s="1" t="str">
        <f t="shared" si="1"/>
        <v>ARTIGAS </v>
      </c>
      <c r="G3446" s="1" t="str">
        <f t="shared" si="2"/>
        <v>Sandra G</v>
      </c>
      <c r="H3446" s="1" t="str">
        <f>IFERROR(__xludf.DUMMYFUNCTION("""COMPUTED_VALUE"""),"16/3/2023, 17:00:00")</f>
        <v>16/3/2023, 17:00:00</v>
      </c>
      <c r="I3446" s="1" t="str">
        <f>IFERROR(__xludf.DUMMYFUNCTION("""COMPUTED_VALUE"""),"Completado en SUCURSAL")</f>
        <v>Completado en SUCURSAL</v>
      </c>
      <c r="J3446" s="1">
        <f t="shared" si="3"/>
        <v>5</v>
      </c>
      <c r="K3446" s="1" t="str">
        <f t="shared" si="4"/>
        <v>Tus Lentes estan LISTAS PARA ENTREGAR, te esperamos.</v>
      </c>
    </row>
    <row r="3447">
      <c r="A3447" s="1">
        <f>IFERROR(__xludf.DUMMYFUNCTION("""COMPUTED_VALUE"""),87992.0)</f>
        <v>87992</v>
      </c>
      <c r="B3447" s="5">
        <f>IFERROR(__xludf.DUMMYFUNCTION("""COMPUTED_VALUE"""),45000.38937775463)</f>
        <v>45000.38938</v>
      </c>
      <c r="C3447" s="1" t="str">
        <f>IFERROR(__xludf.DUMMYFUNCTION("""COMPUTED_VALUE"""),"MERCADO TERESA GLADYS")</f>
        <v>MERCADO TERESA GLADYS</v>
      </c>
      <c r="D3447" s="1" t="str">
        <f>IFERROR(__xludf.DUMMYFUNCTION("""COMPUTED_VALUE"""),"Lentes BIFOCALES")</f>
        <v>Lentes BIFOCALES</v>
      </c>
      <c r="E3447" s="1" t="str">
        <f>IFERROR(__xludf.DUMMYFUNCTION("""COMPUTED_VALUE"""),"ARTIGAS Roció")</f>
        <v>ARTIGAS Roció</v>
      </c>
      <c r="F3447" s="1" t="str">
        <f t="shared" si="1"/>
        <v>ARTIGAS </v>
      </c>
      <c r="G3447" s="1" t="str">
        <f t="shared" si="2"/>
        <v>Roció</v>
      </c>
      <c r="H3447" s="1" t="str">
        <f>IFERROR(__xludf.DUMMYFUNCTION("""COMPUTED_VALUE"""),"18/3/2023, 17:00:00")</f>
        <v>18/3/2023, 17:00:00</v>
      </c>
      <c r="I3447" s="1" t="str">
        <f>IFERROR(__xludf.DUMMYFUNCTION("""COMPUTED_VALUE"""),"Completado en SUCURSAL")</f>
        <v>Completado en SUCURSAL</v>
      </c>
      <c r="J3447" s="1">
        <f t="shared" si="3"/>
        <v>5</v>
      </c>
      <c r="K3447" s="1" t="str">
        <f t="shared" si="4"/>
        <v>Tus Lentes estan LISTAS PARA ENTREGAR, te esperamos.</v>
      </c>
    </row>
    <row r="3448">
      <c r="A3448" s="1">
        <f>IFERROR(__xludf.DUMMYFUNCTION("""COMPUTED_VALUE"""),87993.0)</f>
        <v>87993</v>
      </c>
      <c r="B3448" s="5">
        <f>IFERROR(__xludf.DUMMYFUNCTION("""COMPUTED_VALUE"""),45000.39224678241)</f>
        <v>45000.39225</v>
      </c>
      <c r="C3448" s="1" t="str">
        <f>IFERROR(__xludf.DUMMYFUNCTION("""COMPUTED_VALUE"""),"READ MONICA")</f>
        <v>READ MONICA</v>
      </c>
      <c r="D3448" s="1" t="str">
        <f>IFERROR(__xludf.DUMMYFUNCTION("""COMPUTED_VALUE"""),"Lentes BIFOCALES")</f>
        <v>Lentes BIFOCALES</v>
      </c>
      <c r="E3448" s="1" t="str">
        <f>IFERROR(__xludf.DUMMYFUNCTION("""COMPUTED_VALUE"""),"ARTIGAS Ivana P.")</f>
        <v>ARTIGAS Ivana P.</v>
      </c>
      <c r="F3448" s="1" t="str">
        <f t="shared" si="1"/>
        <v>ARTIGAS </v>
      </c>
      <c r="G3448" s="1" t="str">
        <f t="shared" si="2"/>
        <v>Ivana P.</v>
      </c>
      <c r="H3448" s="1" t="str">
        <f>IFERROR(__xludf.DUMMYFUNCTION("""COMPUTED_VALUE"""),"21/3/2023, 17:00:00")</f>
        <v>21/3/2023, 17:00:00</v>
      </c>
      <c r="I3448" s="1" t="str">
        <f>IFERROR(__xludf.DUMMYFUNCTION("""COMPUTED_VALUE"""),"Completado en SUCURSAL")</f>
        <v>Completado en SUCURSAL</v>
      </c>
      <c r="J3448" s="1">
        <f t="shared" si="3"/>
        <v>5</v>
      </c>
      <c r="K3448" s="1" t="str">
        <f t="shared" si="4"/>
        <v>Tus Lentes estan LISTAS PARA ENTREGAR, te esperamos.</v>
      </c>
    </row>
    <row r="3449">
      <c r="A3449" s="1">
        <f>IFERROR(__xludf.DUMMYFUNCTION("""COMPUTED_VALUE"""),87994.0)</f>
        <v>87994</v>
      </c>
      <c r="B3449" s="5">
        <f>IFERROR(__xludf.DUMMYFUNCTION("""COMPUTED_VALUE"""),45000.39452607639)</f>
        <v>45000.39453</v>
      </c>
      <c r="C3449" s="1" t="str">
        <f>IFERROR(__xludf.DUMMYFUNCTION("""COMPUTED_VALUE"""),"debia martin")</f>
        <v>debia martin</v>
      </c>
      <c r="D3449" s="1" t="str">
        <f>IFERROR(__xludf.DUMMYFUNCTION("""COMPUTED_VALUE"""),"Lentes BIFOCALES")</f>
        <v>Lentes BIFOCALES</v>
      </c>
      <c r="E3449" s="1" t="str">
        <f>IFERROR(__xludf.DUMMYFUNCTION("""COMPUTED_VALUE"""),"RIVADAVIA Daniel CM")</f>
        <v>RIVADAVIA Daniel CM</v>
      </c>
      <c r="F3449" s="1" t="str">
        <f t="shared" si="1"/>
        <v>RIVADAVIA </v>
      </c>
      <c r="G3449" s="1" t="str">
        <f t="shared" si="2"/>
        <v>Daniel CM</v>
      </c>
      <c r="H3449" s="1" t="str">
        <f>IFERROR(__xludf.DUMMYFUNCTION("""COMPUTED_VALUE"""),"20/3/2023, 17:00:00")</f>
        <v>20/3/2023, 17:00:00</v>
      </c>
      <c r="I3449" s="1" t="str">
        <f>IFERROR(__xludf.DUMMYFUNCTION("""COMPUTED_VALUE"""),"Completado en SUCURSAL")</f>
        <v>Completado en SUCURSAL</v>
      </c>
      <c r="J3449" s="1">
        <f t="shared" si="3"/>
        <v>5</v>
      </c>
      <c r="K3449" s="1" t="str">
        <f t="shared" si="4"/>
        <v>Tus Lentes estan LISTAS PARA ENTREGAR, te esperamos.</v>
      </c>
    </row>
    <row r="3450">
      <c r="A3450" s="1">
        <f>IFERROR(__xludf.DUMMYFUNCTION("""COMPUTED_VALUE"""),87995.0)</f>
        <v>87995</v>
      </c>
      <c r="B3450" s="5">
        <f>IFERROR(__xludf.DUMMYFUNCTION("""COMPUTED_VALUE"""),45000.39772648148)</f>
        <v>45000.39773</v>
      </c>
      <c r="C3450" s="1" t="str">
        <f>IFERROR(__xludf.DUMMYFUNCTION("""COMPUTED_VALUE"""),"SUAREZ ROBERTO")</f>
        <v>SUAREZ ROBERTO</v>
      </c>
      <c r="D3450" s="1" t="str">
        <f>IFERROR(__xludf.DUMMYFUNCTION("""COMPUTED_VALUE"""),"Lentes de STOCK")</f>
        <v>Lentes de STOCK</v>
      </c>
      <c r="E3450" s="1" t="str">
        <f>IFERROR(__xludf.DUMMYFUNCTION("""COMPUTED_VALUE"""),"RIVADAVIA Santiago LOPEZ")</f>
        <v>RIVADAVIA Santiago LOPEZ</v>
      </c>
      <c r="F3450" s="1" t="str">
        <f t="shared" si="1"/>
        <v>RIVADAVIA </v>
      </c>
      <c r="G3450" s="1" t="str">
        <f t="shared" si="2"/>
        <v>Santiago LOPEZ</v>
      </c>
      <c r="H3450" s="1" t="str">
        <f>IFERROR(__xludf.DUMMYFUNCTION("""COMPUTED_VALUE"""),"17/3/2023, 17:00:00")</f>
        <v>17/3/2023, 17:00:00</v>
      </c>
      <c r="I3450" s="1" t="str">
        <f>IFERROR(__xludf.DUMMYFUNCTION("""COMPUTED_VALUE"""),"Completado en SUCURSAL")</f>
        <v>Completado en SUCURSAL</v>
      </c>
      <c r="J3450" s="1">
        <f t="shared" si="3"/>
        <v>5</v>
      </c>
      <c r="K3450" s="1" t="str">
        <f t="shared" si="4"/>
        <v>Tus Lentes estan LISTAS PARA ENTREGAR, te esperamos.</v>
      </c>
    </row>
    <row r="3451">
      <c r="A3451" s="1">
        <f>IFERROR(__xludf.DUMMYFUNCTION("""COMPUTED_VALUE"""),87996.0)</f>
        <v>87996</v>
      </c>
      <c r="B3451" s="5">
        <f>IFERROR(__xludf.DUMMYFUNCTION("""COMPUTED_VALUE"""),45000.39939064815)</f>
        <v>45000.39939</v>
      </c>
      <c r="C3451" s="1" t="str">
        <f>IFERROR(__xludf.DUMMYFUNCTION("""COMPUTED_VALUE"""),"LOPEZ ELSA")</f>
        <v>LOPEZ ELSA</v>
      </c>
      <c r="D3451" s="1" t="str">
        <f>IFERROR(__xludf.DUMMYFUNCTION("""COMPUTED_VALUE"""),"Lentes de STOCK")</f>
        <v>Lentes de STOCK</v>
      </c>
      <c r="E3451" s="1" t="str">
        <f>IFERROR(__xludf.DUMMYFUNCTION("""COMPUTED_VALUE"""),"RIVADAVIA Christian C.")</f>
        <v>RIVADAVIA Christian C.</v>
      </c>
      <c r="F3451" s="1" t="str">
        <f t="shared" si="1"/>
        <v>RIVADAVIA </v>
      </c>
      <c r="G3451" s="1" t="str">
        <f t="shared" si="2"/>
        <v>Christian C.</v>
      </c>
      <c r="H3451" s="1" t="str">
        <f>IFERROR(__xludf.DUMMYFUNCTION("""COMPUTED_VALUE"""),"22/3/2023, 17:00:00")</f>
        <v>22/3/2023, 17:00:00</v>
      </c>
      <c r="I3451" s="1" t="str">
        <f>IFERROR(__xludf.DUMMYFUNCTION("""COMPUTED_VALUE"""),"Completado en SUCURSAL")</f>
        <v>Completado en SUCURSAL</v>
      </c>
      <c r="J3451" s="1">
        <f t="shared" si="3"/>
        <v>5</v>
      </c>
      <c r="K3451" s="1" t="str">
        <f t="shared" si="4"/>
        <v>Tus Lentes estan LISTAS PARA ENTREGAR, te esperamos.</v>
      </c>
    </row>
    <row r="3452">
      <c r="A3452" s="1">
        <f>IFERROR(__xludf.DUMMYFUNCTION("""COMPUTED_VALUE"""),87997.0)</f>
        <v>87997</v>
      </c>
      <c r="B3452" s="5">
        <f>IFERROR(__xludf.DUMMYFUNCTION("""COMPUTED_VALUE"""),45000.40162711806)</f>
        <v>45000.40163</v>
      </c>
      <c r="C3452" s="1" t="str">
        <f>IFERROR(__xludf.DUMMYFUNCTION("""COMPUTED_VALUE"""),"vara silvia")</f>
        <v>vara silvia</v>
      </c>
      <c r="D3452" s="1" t="str">
        <f>IFERROR(__xludf.DUMMYFUNCTION("""COMPUTED_VALUE"""),"Reparaciones/Otros")</f>
        <v>Reparaciones/Otros</v>
      </c>
      <c r="E3452" s="1" t="str">
        <f>IFERROR(__xludf.DUMMYFUNCTION("""COMPUTED_VALUE"""),"ARTIGAS Roció")</f>
        <v>ARTIGAS Roció</v>
      </c>
      <c r="F3452" s="1" t="str">
        <f t="shared" si="1"/>
        <v>ARTIGAS </v>
      </c>
      <c r="G3452" s="1" t="str">
        <f t="shared" si="2"/>
        <v>Roció</v>
      </c>
      <c r="H3452" s="1" t="str">
        <f>IFERROR(__xludf.DUMMYFUNCTION("""COMPUTED_VALUE"""),"16/3/2023, 17:00:00")</f>
        <v>16/3/2023, 17:00:00</v>
      </c>
      <c r="I3452" s="1" t="str">
        <f>IFERROR(__xludf.DUMMYFUNCTION("""COMPUTED_VALUE"""),"Completado en SUCURSAL")</f>
        <v>Completado en SUCURSAL</v>
      </c>
      <c r="J3452" s="1">
        <f t="shared" si="3"/>
        <v>5</v>
      </c>
      <c r="K3452" s="1" t="str">
        <f t="shared" si="4"/>
        <v>Tus Lentes estan LISTAS PARA ENTREGAR, te esperamos.</v>
      </c>
    </row>
    <row r="3453">
      <c r="A3453" s="1">
        <f>IFERROR(__xludf.DUMMYFUNCTION("""COMPUTED_VALUE"""),87998.0)</f>
        <v>87998</v>
      </c>
      <c r="B3453" s="5">
        <f>IFERROR(__xludf.DUMMYFUNCTION("""COMPUTED_VALUE"""),45000.401722106486)</f>
        <v>45000.40172</v>
      </c>
      <c r="C3453" s="1" t="str">
        <f>IFERROR(__xludf.DUMMYFUNCTION("""COMPUTED_VALUE"""),"barrera ana carolina")</f>
        <v>barrera ana carolina</v>
      </c>
      <c r="D3453" s="1" t="str">
        <f>IFERROR(__xludf.DUMMYFUNCTION("""COMPUTED_VALUE"""),"Lentes de STOCK")</f>
        <v>Lentes de STOCK</v>
      </c>
      <c r="E3453" s="1"/>
      <c r="F3453" s="1" t="str">
        <f t="shared" si="1"/>
        <v>#VALUE!</v>
      </c>
      <c r="G3453" s="1" t="str">
        <f t="shared" si="2"/>
        <v>#VALUE!</v>
      </c>
      <c r="H3453" s="1" t="str">
        <f>IFERROR(__xludf.DUMMYFUNCTION("""COMPUTED_VALUE"""),"18/3/2023, 17:00:00")</f>
        <v>18/3/2023, 17:00:00</v>
      </c>
      <c r="I3453" s="1" t="str">
        <f>IFERROR(__xludf.DUMMYFUNCTION("""COMPUTED_VALUE"""),"Completado en SUCURSAL")</f>
        <v>Completado en SUCURSAL</v>
      </c>
      <c r="J3453" s="1">
        <f t="shared" si="3"/>
        <v>5</v>
      </c>
      <c r="K3453" s="1" t="str">
        <f t="shared" si="4"/>
        <v>Tus Lentes estan LISTAS PARA ENTREGAR, te esperamos.</v>
      </c>
    </row>
    <row r="3454">
      <c r="A3454" s="1">
        <f>IFERROR(__xludf.DUMMYFUNCTION("""COMPUTED_VALUE"""),87999.0)</f>
        <v>87999</v>
      </c>
      <c r="B3454" s="5">
        <f>IFERROR(__xludf.DUMMYFUNCTION("""COMPUTED_VALUE"""),45000.404172939816)</f>
        <v>45000.40417</v>
      </c>
      <c r="C3454" s="1" t="str">
        <f>IFERROR(__xludf.DUMMYFUNCTION("""COMPUTED_VALUE"""),"ANDRADA TEODORA")</f>
        <v>ANDRADA TEODORA</v>
      </c>
      <c r="D3454" s="1" t="str">
        <f>IFERROR(__xludf.DUMMYFUNCTION("""COMPUTED_VALUE"""),"Lentes de STOCK")</f>
        <v>Lentes de STOCK</v>
      </c>
      <c r="E3454" s="1" t="str">
        <f>IFERROR(__xludf.DUMMYFUNCTION("""COMPUTED_VALUE"""),"ARTIGAS Ivana P.")</f>
        <v>ARTIGAS Ivana P.</v>
      </c>
      <c r="F3454" s="1" t="str">
        <f t="shared" si="1"/>
        <v>ARTIGAS </v>
      </c>
      <c r="G3454" s="1" t="str">
        <f t="shared" si="2"/>
        <v>Ivana P.</v>
      </c>
      <c r="H3454" s="1" t="str">
        <f>IFERROR(__xludf.DUMMYFUNCTION("""COMPUTED_VALUE"""),"17/3/2023, 17:00:00")</f>
        <v>17/3/2023, 17:00:00</v>
      </c>
      <c r="I3454" s="1" t="str">
        <f>IFERROR(__xludf.DUMMYFUNCTION("""COMPUTED_VALUE"""),"Completado en SUCURSAL")</f>
        <v>Completado en SUCURSAL</v>
      </c>
      <c r="J3454" s="1">
        <f t="shared" si="3"/>
        <v>5</v>
      </c>
      <c r="K3454" s="1" t="str">
        <f t="shared" si="4"/>
        <v>Tus Lentes estan LISTAS PARA ENTREGAR, te esperamos.</v>
      </c>
    </row>
    <row r="3455">
      <c r="A3455" s="1">
        <f>IFERROR(__xludf.DUMMYFUNCTION("""COMPUTED_VALUE"""),88000.0)</f>
        <v>88000</v>
      </c>
      <c r="B3455" s="5">
        <f>IFERROR(__xludf.DUMMYFUNCTION("""COMPUTED_VALUE"""),45000.41000305556)</f>
        <v>45000.41</v>
      </c>
      <c r="C3455" s="1" t="str">
        <f>IFERROR(__xludf.DUMMYFUNCTION("""COMPUTED_VALUE"""),"JOFRE VALERIA")</f>
        <v>JOFRE VALERIA</v>
      </c>
      <c r="D3455" s="1" t="str">
        <f>IFERROR(__xludf.DUMMYFUNCTION("""COMPUTED_VALUE"""),"Reparaciones/Otros")</f>
        <v>Reparaciones/Otros</v>
      </c>
      <c r="E3455" s="1" t="str">
        <f>IFERROR(__xludf.DUMMYFUNCTION("""COMPUTED_VALUE"""),"ARTIGAS Roció")</f>
        <v>ARTIGAS Roció</v>
      </c>
      <c r="F3455" s="1" t="str">
        <f t="shared" si="1"/>
        <v>ARTIGAS </v>
      </c>
      <c r="G3455" s="1" t="str">
        <f t="shared" si="2"/>
        <v>Roció</v>
      </c>
      <c r="H3455" s="1" t="str">
        <f>IFERROR(__xludf.DUMMYFUNCTION("""COMPUTED_VALUE"""),"16/3/2023, 17:00:00")</f>
        <v>16/3/2023, 17:00:00</v>
      </c>
      <c r="I3455" s="1"/>
      <c r="J3455" s="1">
        <f t="shared" si="3"/>
        <v>0</v>
      </c>
      <c r="K3455" s="1" t="str">
        <f t="shared" si="4"/>
        <v/>
      </c>
    </row>
    <row r="3456">
      <c r="A3456" s="1">
        <f>IFERROR(__xludf.DUMMYFUNCTION("""COMPUTED_VALUE"""),88001.0)</f>
        <v>88001</v>
      </c>
      <c r="B3456" s="5">
        <f>IFERROR(__xludf.DUMMYFUNCTION("""COMPUTED_VALUE"""),45000.42005721065)</f>
        <v>45000.42006</v>
      </c>
      <c r="C3456" s="1" t="str">
        <f>IFERROR(__xludf.DUMMYFUNCTION("""COMPUTED_VALUE"""),"MORA YAQUELINA")</f>
        <v>MORA YAQUELINA</v>
      </c>
      <c r="D3456" s="1" t="str">
        <f>IFERROR(__xludf.DUMMYFUNCTION("""COMPUTED_VALUE"""),"Lentes de STOCK")</f>
        <v>Lentes de STOCK</v>
      </c>
      <c r="E3456" s="1" t="str">
        <f>IFERROR(__xludf.DUMMYFUNCTION("""COMPUTED_VALUE"""),"RIVADAVIA Santiago LOPEZ")</f>
        <v>RIVADAVIA Santiago LOPEZ</v>
      </c>
      <c r="F3456" s="1" t="str">
        <f t="shared" si="1"/>
        <v>RIVADAVIA </v>
      </c>
      <c r="G3456" s="1" t="str">
        <f t="shared" si="2"/>
        <v>Santiago LOPEZ</v>
      </c>
      <c r="H3456" s="1" t="str">
        <f>IFERROR(__xludf.DUMMYFUNCTION("""COMPUTED_VALUE"""),"21/3/2023, 17:00:00")</f>
        <v>21/3/2023, 17:00:00</v>
      </c>
      <c r="I3456" s="1" t="str">
        <f>IFERROR(__xludf.DUMMYFUNCTION("""COMPUTED_VALUE"""),"RETIRADO OK POR CLIENTE")</f>
        <v>RETIRADO OK POR CLIENTE</v>
      </c>
      <c r="J3456" s="1">
        <f t="shared" si="3"/>
        <v>6</v>
      </c>
      <c r="K3456" s="1" t="str">
        <f t="shared" si="4"/>
        <v>Entregamos tus lentes, que los disfrutes!</v>
      </c>
    </row>
    <row r="3457">
      <c r="A3457" s="1">
        <f>IFERROR(__xludf.DUMMYFUNCTION("""COMPUTED_VALUE"""),88002.0)</f>
        <v>88002</v>
      </c>
      <c r="B3457" s="5">
        <f>IFERROR(__xludf.DUMMYFUNCTION("""COMPUTED_VALUE"""),45000.430368622685)</f>
        <v>45000.43037</v>
      </c>
      <c r="C3457" s="1" t="str">
        <f>IFERROR(__xludf.DUMMYFUNCTION("""COMPUTED_VALUE"""),"ROLDAN DIEGO ")</f>
        <v>ROLDAN DIEGO </v>
      </c>
      <c r="D3457" s="1" t="str">
        <f>IFERROR(__xludf.DUMMYFUNCTION("""COMPUTED_VALUE"""),"Lentes de STOCK")</f>
        <v>Lentes de STOCK</v>
      </c>
      <c r="E3457" s="1" t="str">
        <f>IFERROR(__xludf.DUMMYFUNCTION("""COMPUTED_VALUE"""),"RIVADAVIA Christian C.")</f>
        <v>RIVADAVIA Christian C.</v>
      </c>
      <c r="F3457" s="1" t="str">
        <f t="shared" si="1"/>
        <v>RIVADAVIA </v>
      </c>
      <c r="G3457" s="1" t="str">
        <f t="shared" si="2"/>
        <v>Christian C.</v>
      </c>
      <c r="H3457" s="1" t="str">
        <f>IFERROR(__xludf.DUMMYFUNCTION("""COMPUTED_VALUE"""),"18/3/2023, 17:00:00")</f>
        <v>18/3/2023, 17:00:00</v>
      </c>
      <c r="I3457" s="1" t="str">
        <f>IFERROR(__xludf.DUMMYFUNCTION("""COMPUTED_VALUE"""),"Completado en SUCURSAL")</f>
        <v>Completado en SUCURSAL</v>
      </c>
      <c r="J3457" s="1">
        <f t="shared" si="3"/>
        <v>5</v>
      </c>
      <c r="K3457" s="1" t="str">
        <f t="shared" si="4"/>
        <v>Tus Lentes estan LISTAS PARA ENTREGAR, te esperamos.</v>
      </c>
    </row>
    <row r="3458">
      <c r="A3458" s="1">
        <f>IFERROR(__xludf.DUMMYFUNCTION("""COMPUTED_VALUE"""),88003.0)</f>
        <v>88003</v>
      </c>
      <c r="B3458" s="5">
        <f>IFERROR(__xludf.DUMMYFUNCTION("""COMPUTED_VALUE"""),45000.43261217592)</f>
        <v>45000.43261</v>
      </c>
      <c r="C3458" s="1" t="str">
        <f>IFERROR(__xludf.DUMMYFUNCTION("""COMPUTED_VALUE"""),"matera carlos geronimo ")</f>
        <v>matera carlos geronimo </v>
      </c>
      <c r="D3458" s="1" t="str">
        <f>IFERROR(__xludf.DUMMYFUNCTION("""COMPUTED_VALUE"""),"Reparaciones/Otros")</f>
        <v>Reparaciones/Otros</v>
      </c>
      <c r="E3458" s="1" t="str">
        <f>IFERROR(__xludf.DUMMYFUNCTION("""COMPUTED_VALUE"""),"ARTIGAS Roció")</f>
        <v>ARTIGAS Roció</v>
      </c>
      <c r="F3458" s="1" t="str">
        <f t="shared" si="1"/>
        <v>ARTIGAS </v>
      </c>
      <c r="G3458" s="1" t="str">
        <f t="shared" si="2"/>
        <v>Roció</v>
      </c>
      <c r="H3458" s="1" t="str">
        <f>IFERROR(__xludf.DUMMYFUNCTION("""COMPUTED_VALUE"""),"16/3/2023, 17:00:00")</f>
        <v>16/3/2023, 17:00:00</v>
      </c>
      <c r="I3458" s="1" t="str">
        <f>IFERROR(__xludf.DUMMYFUNCTION("""COMPUTED_VALUE"""),"Completado en SUCURSAL")</f>
        <v>Completado en SUCURSAL</v>
      </c>
      <c r="J3458" s="1">
        <f t="shared" si="3"/>
        <v>5</v>
      </c>
      <c r="K3458" s="1" t="str">
        <f t="shared" si="4"/>
        <v>Tus Lentes estan LISTAS PARA ENTREGAR, te esperamos.</v>
      </c>
    </row>
    <row r="3459">
      <c r="A3459" s="1">
        <f>IFERROR(__xludf.DUMMYFUNCTION("""COMPUTED_VALUE"""),88004.0)</f>
        <v>88004</v>
      </c>
      <c r="B3459" s="5">
        <f>IFERROR(__xludf.DUMMYFUNCTION("""COMPUTED_VALUE"""),45000.435445752315)</f>
        <v>45000.43545</v>
      </c>
      <c r="C3459" s="1" t="str">
        <f>IFERROR(__xludf.DUMMYFUNCTION("""COMPUTED_VALUE"""),"PRIETO ROBERTO")</f>
        <v>PRIETO ROBERTO</v>
      </c>
      <c r="D3459" s="1" t="str">
        <f>IFERROR(__xludf.DUMMYFUNCTION("""COMPUTED_VALUE"""),"Reparaciones/Otros")</f>
        <v>Reparaciones/Otros</v>
      </c>
      <c r="E3459" s="1" t="str">
        <f>IFERROR(__xludf.DUMMYFUNCTION("""COMPUTED_VALUE"""),"RIVADAVIA Daniel CM")</f>
        <v>RIVADAVIA Daniel CM</v>
      </c>
      <c r="F3459" s="1" t="str">
        <f t="shared" si="1"/>
        <v>RIVADAVIA </v>
      </c>
      <c r="G3459" s="1" t="str">
        <f t="shared" si="2"/>
        <v>Daniel CM</v>
      </c>
      <c r="H3459" s="1" t="str">
        <f>IFERROR(__xludf.DUMMYFUNCTION("""COMPUTED_VALUE"""),"16/3/2023, 17:00:00")</f>
        <v>16/3/2023, 17:00:00</v>
      </c>
      <c r="I3459" s="1" t="str">
        <f>IFERROR(__xludf.DUMMYFUNCTION("""COMPUTED_VALUE"""),"Recibido en Laboratorio")</f>
        <v>Recibido en Laboratorio</v>
      </c>
      <c r="J3459" s="1">
        <f t="shared" si="3"/>
        <v>2</v>
      </c>
      <c r="K3459" s="1" t="str">
        <f t="shared" si="4"/>
        <v>Nuestro Laboratorio esta trabajando en tus lentes, los entregaremos en la fecha acordada.</v>
      </c>
    </row>
    <row r="3460">
      <c r="A3460" s="1">
        <f>IFERROR(__xludf.DUMMYFUNCTION("""COMPUTED_VALUE"""),88005.0)</f>
        <v>88005</v>
      </c>
      <c r="B3460" s="5">
        <f>IFERROR(__xludf.DUMMYFUNCTION("""COMPUTED_VALUE"""),45000.43642854167)</f>
        <v>45000.43643</v>
      </c>
      <c r="C3460" s="1" t="str">
        <f>IFERROR(__xludf.DUMMYFUNCTION("""COMPUTED_VALUE"""),"alba elena beatriz")</f>
        <v>alba elena beatriz</v>
      </c>
      <c r="D3460" s="1" t="str">
        <f>IFERROR(__xludf.DUMMYFUNCTION("""COMPUTED_VALUE"""),"Lentes de STOCK")</f>
        <v>Lentes de STOCK</v>
      </c>
      <c r="E3460" s="1" t="str">
        <f>IFERROR(__xludf.DUMMYFUNCTION("""COMPUTED_VALUE"""),"RIVADAVIA Santiago N")</f>
        <v>RIVADAVIA Santiago N</v>
      </c>
      <c r="F3460" s="1" t="str">
        <f t="shared" si="1"/>
        <v>RIVADAVIA </v>
      </c>
      <c r="G3460" s="1" t="str">
        <f t="shared" si="2"/>
        <v>Santiago N</v>
      </c>
      <c r="H3460" s="1" t="str">
        <f>IFERROR(__xludf.DUMMYFUNCTION("""COMPUTED_VALUE"""),"18/3/2023, 17:00:00")</f>
        <v>18/3/2023, 17:00:00</v>
      </c>
      <c r="I3460" s="1" t="str">
        <f>IFERROR(__xludf.DUMMYFUNCTION("""COMPUTED_VALUE"""),"RETIRADO OK POR CLIENTE")</f>
        <v>RETIRADO OK POR CLIENTE</v>
      </c>
      <c r="J3460" s="1">
        <f t="shared" si="3"/>
        <v>6</v>
      </c>
      <c r="K3460" s="1" t="str">
        <f t="shared" si="4"/>
        <v>Entregamos tus lentes, que los disfrutes!</v>
      </c>
    </row>
    <row r="3461">
      <c r="A3461" s="1">
        <f>IFERROR(__xludf.DUMMYFUNCTION("""COMPUTED_VALUE"""),88006.0)</f>
        <v>88006</v>
      </c>
      <c r="B3461" s="5">
        <f>IFERROR(__xludf.DUMMYFUNCTION("""COMPUTED_VALUE"""),45000.443296956015)</f>
        <v>45000.4433</v>
      </c>
      <c r="C3461" s="1" t="str">
        <f>IFERROR(__xludf.DUMMYFUNCTION("""COMPUTED_VALUE"""),"GUZMAN BIBIANA ")</f>
        <v>GUZMAN BIBIANA </v>
      </c>
      <c r="D3461" s="1" t="str">
        <f>IFERROR(__xludf.DUMMYFUNCTION("""COMPUTED_VALUE"""),"Reparaciones/Otros")</f>
        <v>Reparaciones/Otros</v>
      </c>
      <c r="E3461" s="1" t="str">
        <f>IFERROR(__xludf.DUMMYFUNCTION("""COMPUTED_VALUE"""),"RIVADAVIA Christian C.")</f>
        <v>RIVADAVIA Christian C.</v>
      </c>
      <c r="F3461" s="1" t="str">
        <f t="shared" si="1"/>
        <v>RIVADAVIA </v>
      </c>
      <c r="G3461" s="1" t="str">
        <f t="shared" si="2"/>
        <v>Christian C.</v>
      </c>
      <c r="H3461" s="1" t="str">
        <f>IFERROR(__xludf.DUMMYFUNCTION("""COMPUTED_VALUE"""),"16/3/2023, 17:00:00")</f>
        <v>16/3/2023, 17:00:00</v>
      </c>
      <c r="I3461" s="1" t="str">
        <f>IFERROR(__xludf.DUMMYFUNCTION("""COMPUTED_VALUE"""),"Recibido en Laboratorio")</f>
        <v>Recibido en Laboratorio</v>
      </c>
      <c r="J3461" s="1">
        <f t="shared" si="3"/>
        <v>2</v>
      </c>
      <c r="K3461" s="1" t="str">
        <f t="shared" si="4"/>
        <v>Nuestro Laboratorio esta trabajando en tus lentes, los entregaremos en la fecha acordada.</v>
      </c>
    </row>
    <row r="3462">
      <c r="A3462" s="1">
        <f>IFERROR(__xludf.DUMMYFUNCTION("""COMPUTED_VALUE"""),88007.0)</f>
        <v>88007</v>
      </c>
      <c r="B3462" s="5">
        <f>IFERROR(__xludf.DUMMYFUNCTION("""COMPUTED_VALUE"""),45000.44930032408)</f>
        <v>45000.4493</v>
      </c>
      <c r="C3462" s="1" t="str">
        <f>IFERROR(__xludf.DUMMYFUNCTION("""COMPUTED_VALUE"""),"GIL RICARDO")</f>
        <v>GIL RICARDO</v>
      </c>
      <c r="D3462" s="1" t="str">
        <f>IFERROR(__xludf.DUMMYFUNCTION("""COMPUTED_VALUE"""),"Lentes MULTIFOCALES")</f>
        <v>Lentes MULTIFOCALES</v>
      </c>
      <c r="E3462" s="1" t="str">
        <f>IFERROR(__xludf.DUMMYFUNCTION("""COMPUTED_VALUE"""),"ARTIGAS Ivana P.")</f>
        <v>ARTIGAS Ivana P.</v>
      </c>
      <c r="F3462" s="1" t="str">
        <f t="shared" si="1"/>
        <v>ARTIGAS </v>
      </c>
      <c r="G3462" s="1" t="str">
        <f t="shared" si="2"/>
        <v>Ivana P.</v>
      </c>
      <c r="H3462" s="1" t="str">
        <f>IFERROR(__xludf.DUMMYFUNCTION("""COMPUTED_VALUE"""),"28/3/2023, 17:00:00")</f>
        <v>28/3/2023, 17:00:00</v>
      </c>
      <c r="I3462" s="1" t="str">
        <f>IFERROR(__xludf.DUMMYFUNCTION("""COMPUTED_VALUE"""),"RETIRADO OK POR CLIENTE")</f>
        <v>RETIRADO OK POR CLIENTE</v>
      </c>
      <c r="J3462" s="1">
        <f t="shared" si="3"/>
        <v>6</v>
      </c>
      <c r="K3462" s="1" t="str">
        <f t="shared" si="4"/>
        <v>Entregamos tus lentes, que los disfrutes!</v>
      </c>
    </row>
    <row r="3463">
      <c r="A3463" s="1">
        <f>IFERROR(__xludf.DUMMYFUNCTION("""COMPUTED_VALUE"""),88008.0)</f>
        <v>88008</v>
      </c>
      <c r="B3463" s="5">
        <f>IFERROR(__xludf.DUMMYFUNCTION("""COMPUTED_VALUE"""),45000.453584918985)</f>
        <v>45000.45358</v>
      </c>
      <c r="C3463" s="1" t="str">
        <f>IFERROR(__xludf.DUMMYFUNCTION("""COMPUTED_VALUE"""),"ALCARAZ DAYANA")</f>
        <v>ALCARAZ DAYANA</v>
      </c>
      <c r="D3463" s="1" t="str">
        <f>IFERROR(__xludf.DUMMYFUNCTION("""COMPUTED_VALUE"""),"Lentes de STOCK")</f>
        <v>Lentes de STOCK</v>
      </c>
      <c r="E3463" s="1" t="str">
        <f>IFERROR(__xludf.DUMMYFUNCTION("""COMPUTED_VALUE"""),"RIVADAVIA Santiago LOPEZ")</f>
        <v>RIVADAVIA Santiago LOPEZ</v>
      </c>
      <c r="F3463" s="1" t="str">
        <f t="shared" si="1"/>
        <v>RIVADAVIA </v>
      </c>
      <c r="G3463" s="1" t="str">
        <f t="shared" si="2"/>
        <v>Santiago LOPEZ</v>
      </c>
      <c r="H3463" s="1" t="str">
        <f>IFERROR(__xludf.DUMMYFUNCTION("""COMPUTED_VALUE"""),"17/3/2023, 17:00:00")</f>
        <v>17/3/2023, 17:00:00</v>
      </c>
      <c r="I3463" s="1" t="str">
        <f>IFERROR(__xludf.DUMMYFUNCTION("""COMPUTED_VALUE"""),"Completado en SUCURSAL")</f>
        <v>Completado en SUCURSAL</v>
      </c>
      <c r="J3463" s="1">
        <f t="shared" si="3"/>
        <v>5</v>
      </c>
      <c r="K3463" s="1" t="str">
        <f t="shared" si="4"/>
        <v>Tus Lentes estan LISTAS PARA ENTREGAR, te esperamos.</v>
      </c>
    </row>
    <row r="3464">
      <c r="A3464" s="1">
        <f>IFERROR(__xludf.DUMMYFUNCTION("""COMPUTED_VALUE"""),88009.0)</f>
        <v>88009</v>
      </c>
      <c r="B3464" s="5">
        <f>IFERROR(__xludf.DUMMYFUNCTION("""COMPUTED_VALUE"""),45000.45590560185)</f>
        <v>45000.45591</v>
      </c>
      <c r="C3464" s="1" t="str">
        <f>IFERROR(__xludf.DUMMYFUNCTION("""COMPUTED_VALUE"""),"CORONEL CARLOS ALBERTO")</f>
        <v>CORONEL CARLOS ALBERTO</v>
      </c>
      <c r="D3464" s="1" t="str">
        <f>IFERROR(__xludf.DUMMYFUNCTION("""COMPUTED_VALUE"""),"Lentes BIFOCALES")</f>
        <v>Lentes BIFOCALES</v>
      </c>
      <c r="E3464" s="1" t="str">
        <f>IFERROR(__xludf.DUMMYFUNCTION("""COMPUTED_VALUE"""),"ARTIGAS Roció")</f>
        <v>ARTIGAS Roció</v>
      </c>
      <c r="F3464" s="1" t="str">
        <f t="shared" si="1"/>
        <v>ARTIGAS </v>
      </c>
      <c r="G3464" s="1" t="str">
        <f t="shared" si="2"/>
        <v>Roció</v>
      </c>
      <c r="H3464" s="1" t="str">
        <f>IFERROR(__xludf.DUMMYFUNCTION("""COMPUTED_VALUE"""),"31/3/2023, 17:00:00")</f>
        <v>31/3/2023, 17:00:00</v>
      </c>
      <c r="I3464" s="1" t="str">
        <f>IFERROR(__xludf.DUMMYFUNCTION("""COMPUTED_VALUE"""),"Completado en SUCURSAL")</f>
        <v>Completado en SUCURSAL</v>
      </c>
      <c r="J3464" s="1">
        <f t="shared" si="3"/>
        <v>5</v>
      </c>
      <c r="K3464" s="1" t="str">
        <f t="shared" si="4"/>
        <v>Tus Lentes estan LISTAS PARA ENTREGAR, te esperamos.</v>
      </c>
    </row>
    <row r="3465">
      <c r="A3465" s="1">
        <f>IFERROR(__xludf.DUMMYFUNCTION("""COMPUTED_VALUE"""),88010.0)</f>
        <v>88010</v>
      </c>
      <c r="B3465" s="5">
        <f>IFERROR(__xludf.DUMMYFUNCTION("""COMPUTED_VALUE"""),45000.45718592593)</f>
        <v>45000.45719</v>
      </c>
      <c r="C3465" s="1" t="str">
        <f>IFERROR(__xludf.DUMMYFUNCTION("""COMPUTED_VALUE"""),"MACAGNO ROSSETO CAMILA JOSEFINA")</f>
        <v>MACAGNO ROSSETO CAMILA JOSEFINA</v>
      </c>
      <c r="D3465" s="1" t="str">
        <f>IFERROR(__xludf.DUMMYFUNCTION("""COMPUTED_VALUE"""),"Lentes de STOCK")</f>
        <v>Lentes de STOCK</v>
      </c>
      <c r="E3465" s="1" t="str">
        <f>IFERROR(__xludf.DUMMYFUNCTION("""COMPUTED_VALUE"""),"RIVADAVIA Christian C.")</f>
        <v>RIVADAVIA Christian C.</v>
      </c>
      <c r="F3465" s="1" t="str">
        <f t="shared" si="1"/>
        <v>RIVADAVIA </v>
      </c>
      <c r="G3465" s="1" t="str">
        <f t="shared" si="2"/>
        <v>Christian C.</v>
      </c>
      <c r="H3465" s="1" t="str">
        <f>IFERROR(__xludf.DUMMYFUNCTION("""COMPUTED_VALUE"""),"23/3/2023, 17:00:00")</f>
        <v>23/3/2023, 17:00:00</v>
      </c>
      <c r="I3465" s="1" t="str">
        <f>IFERROR(__xludf.DUMMYFUNCTION("""COMPUTED_VALUE"""),"RETIRADO OK POR CLIENTE")</f>
        <v>RETIRADO OK POR CLIENTE</v>
      </c>
      <c r="J3465" s="1">
        <f t="shared" si="3"/>
        <v>6</v>
      </c>
      <c r="K3465" s="1" t="str">
        <f t="shared" si="4"/>
        <v>Entregamos tus lentes, que los disfrutes!</v>
      </c>
    </row>
    <row r="3466">
      <c r="A3466" s="1">
        <f>IFERROR(__xludf.DUMMYFUNCTION("""COMPUTED_VALUE"""),88011.0)</f>
        <v>88011</v>
      </c>
      <c r="B3466" s="5">
        <f>IFERROR(__xludf.DUMMYFUNCTION("""COMPUTED_VALUE"""),45000.458707349535)</f>
        <v>45000.45871</v>
      </c>
      <c r="C3466" s="1" t="str">
        <f>IFERROR(__xludf.DUMMYFUNCTION("""COMPUTED_VALUE"""),"Ruocco Luis")</f>
        <v>Ruocco Luis</v>
      </c>
      <c r="D3466" s="1" t="str">
        <f>IFERROR(__xludf.DUMMYFUNCTION("""COMPUTED_VALUE"""),"Reparaciones/Otros")</f>
        <v>Reparaciones/Otros</v>
      </c>
      <c r="E3466" s="1" t="str">
        <f>IFERROR(__xludf.DUMMYFUNCTION("""COMPUTED_VALUE"""),"ARTIGAS Sandra G")</f>
        <v>ARTIGAS Sandra G</v>
      </c>
      <c r="F3466" s="1" t="str">
        <f t="shared" si="1"/>
        <v>ARTIGAS </v>
      </c>
      <c r="G3466" s="1" t="str">
        <f t="shared" si="2"/>
        <v>Sandra G</v>
      </c>
      <c r="H3466" s="1" t="str">
        <f>IFERROR(__xludf.DUMMYFUNCTION("""COMPUTED_VALUE"""),"16/3/2023, 17:00:00")</f>
        <v>16/3/2023, 17:00:00</v>
      </c>
      <c r="I3466" s="1"/>
      <c r="J3466" s="1">
        <f t="shared" si="3"/>
        <v>0</v>
      </c>
      <c r="K3466" s="1" t="str">
        <f t="shared" si="4"/>
        <v/>
      </c>
    </row>
    <row r="3467">
      <c r="A3467" s="1">
        <f>IFERROR(__xludf.DUMMYFUNCTION("""COMPUTED_VALUE"""),88012.0)</f>
        <v>88012</v>
      </c>
      <c r="B3467" s="5">
        <f>IFERROR(__xludf.DUMMYFUNCTION("""COMPUTED_VALUE"""),45000.460625949076)</f>
        <v>45000.46063</v>
      </c>
      <c r="C3467" s="1" t="str">
        <f>IFERROR(__xludf.DUMMYFUNCTION("""COMPUTED_VALUE"""),"LUCERO ROSA NELIDA")</f>
        <v>LUCERO ROSA NELIDA</v>
      </c>
      <c r="D3467" s="1" t="str">
        <f>IFERROR(__xludf.DUMMYFUNCTION("""COMPUTED_VALUE"""),"Lentes de STOCK")</f>
        <v>Lentes de STOCK</v>
      </c>
      <c r="E3467" s="1" t="str">
        <f>IFERROR(__xludf.DUMMYFUNCTION("""COMPUTED_VALUE"""),"ARTIGAS Roció")</f>
        <v>ARTIGAS Roció</v>
      </c>
      <c r="F3467" s="1" t="str">
        <f t="shared" si="1"/>
        <v>ARTIGAS </v>
      </c>
      <c r="G3467" s="1" t="str">
        <f t="shared" si="2"/>
        <v>Roció</v>
      </c>
      <c r="H3467" s="1" t="str">
        <f>IFERROR(__xludf.DUMMYFUNCTION("""COMPUTED_VALUE"""),"23/3/2023, 17:00:00")</f>
        <v>23/3/2023, 17:00:00</v>
      </c>
      <c r="I3467" s="1" t="str">
        <f>IFERROR(__xludf.DUMMYFUNCTION("""COMPUTED_VALUE"""),"RETIRADO OK POR CLIENTE")</f>
        <v>RETIRADO OK POR CLIENTE</v>
      </c>
      <c r="J3467" s="1">
        <f t="shared" si="3"/>
        <v>6</v>
      </c>
      <c r="K3467" s="1" t="str">
        <f t="shared" si="4"/>
        <v>Entregamos tus lentes, que los disfrutes!</v>
      </c>
    </row>
    <row r="3468">
      <c r="A3468" s="1">
        <f>IFERROR(__xludf.DUMMYFUNCTION("""COMPUTED_VALUE"""),88013.0)</f>
        <v>88013</v>
      </c>
      <c r="B3468" s="5">
        <f>IFERROR(__xludf.DUMMYFUNCTION("""COMPUTED_VALUE"""),45000.46208751157)</f>
        <v>45000.46209</v>
      </c>
      <c r="C3468" s="1" t="str">
        <f>IFERROR(__xludf.DUMMYFUNCTION("""COMPUTED_VALUE"""),"lucero juliana")</f>
        <v>lucero juliana</v>
      </c>
      <c r="D3468" s="1" t="str">
        <f>IFERROR(__xludf.DUMMYFUNCTION("""COMPUTED_VALUE"""),"Lentes de STOCK")</f>
        <v>Lentes de STOCK</v>
      </c>
      <c r="E3468" s="1" t="str">
        <f>IFERROR(__xludf.DUMMYFUNCTION("""COMPUTED_VALUE"""),"RIVADAVIA Santiago LOPEZ")</f>
        <v>RIVADAVIA Santiago LOPEZ</v>
      </c>
      <c r="F3468" s="1" t="str">
        <f t="shared" si="1"/>
        <v>RIVADAVIA </v>
      </c>
      <c r="G3468" s="1" t="str">
        <f t="shared" si="2"/>
        <v>Santiago LOPEZ</v>
      </c>
      <c r="H3468" s="1" t="str">
        <f>IFERROR(__xludf.DUMMYFUNCTION("""COMPUTED_VALUE"""),"20/3/2023, 17:00:00")</f>
        <v>20/3/2023, 17:00:00</v>
      </c>
      <c r="I3468" s="1" t="str">
        <f>IFERROR(__xludf.DUMMYFUNCTION("""COMPUTED_VALUE"""),"Completado en SUCURSAL")</f>
        <v>Completado en SUCURSAL</v>
      </c>
      <c r="J3468" s="1">
        <f t="shared" si="3"/>
        <v>5</v>
      </c>
      <c r="K3468" s="1" t="str">
        <f t="shared" si="4"/>
        <v>Tus Lentes estan LISTAS PARA ENTREGAR, te esperamos.</v>
      </c>
    </row>
    <row r="3469">
      <c r="A3469" s="1">
        <f>IFERROR(__xludf.DUMMYFUNCTION("""COMPUTED_VALUE"""),88014.0)</f>
        <v>88014</v>
      </c>
      <c r="B3469" s="5">
        <f>IFERROR(__xludf.DUMMYFUNCTION("""COMPUTED_VALUE"""),45000.46622761574)</f>
        <v>45000.46623</v>
      </c>
      <c r="C3469" s="1" t="str">
        <f>IFERROR(__xludf.DUMMYFUNCTION("""COMPUTED_VALUE"""),"abeldano ramona")</f>
        <v>abeldano ramona</v>
      </c>
      <c r="D3469" s="1" t="str">
        <f>IFERROR(__xludf.DUMMYFUNCTION("""COMPUTED_VALUE"""),"Lentes BIFOCALES")</f>
        <v>Lentes BIFOCALES</v>
      </c>
      <c r="E3469" s="1" t="str">
        <f>IFERROR(__xludf.DUMMYFUNCTION("""COMPUTED_VALUE"""),"ARTIGAS Roció")</f>
        <v>ARTIGAS Roció</v>
      </c>
      <c r="F3469" s="1" t="str">
        <f t="shared" si="1"/>
        <v>ARTIGAS </v>
      </c>
      <c r="G3469" s="1" t="str">
        <f t="shared" si="2"/>
        <v>Roció</v>
      </c>
      <c r="H3469" s="1" t="str">
        <f>IFERROR(__xludf.DUMMYFUNCTION("""COMPUTED_VALUE"""),"22/3/2023, 17:00:00")</f>
        <v>22/3/2023, 17:00:00</v>
      </c>
      <c r="I3469" s="1" t="str">
        <f>IFERROR(__xludf.DUMMYFUNCTION("""COMPUTED_VALUE"""),"Completado en SUCURSAL")</f>
        <v>Completado en SUCURSAL</v>
      </c>
      <c r="J3469" s="1">
        <f t="shared" si="3"/>
        <v>5</v>
      </c>
      <c r="K3469" s="1" t="str">
        <f t="shared" si="4"/>
        <v>Tus Lentes estan LISTAS PARA ENTREGAR, te esperamos.</v>
      </c>
    </row>
    <row r="3470">
      <c r="A3470" s="1">
        <f>IFERROR(__xludf.DUMMYFUNCTION("""COMPUTED_VALUE"""),88015.0)</f>
        <v>88015</v>
      </c>
      <c r="B3470" s="5">
        <f>IFERROR(__xludf.DUMMYFUNCTION("""COMPUTED_VALUE"""),45000.468776712965)</f>
        <v>45000.46878</v>
      </c>
      <c r="C3470" s="1" t="str">
        <f>IFERROR(__xludf.DUMMYFUNCTION("""COMPUTED_VALUE"""),"RODRIGUEZ THIAGO BENJAMIN")</f>
        <v>RODRIGUEZ THIAGO BENJAMIN</v>
      </c>
      <c r="D3470" s="1" t="str">
        <f>IFERROR(__xludf.DUMMYFUNCTION("""COMPUTED_VALUE"""),"Lentes de LABORATORIO")</f>
        <v>Lentes de LABORATORIO</v>
      </c>
      <c r="E3470" s="1" t="str">
        <f>IFERROR(__xludf.DUMMYFUNCTION("""COMPUTED_VALUE"""),"RIVADAVIA Marcela L")</f>
        <v>RIVADAVIA Marcela L</v>
      </c>
      <c r="F3470" s="1" t="str">
        <f t="shared" si="1"/>
        <v>RIVADAVIA </v>
      </c>
      <c r="G3470" s="1" t="str">
        <f t="shared" si="2"/>
        <v>Marcela L</v>
      </c>
      <c r="H3470" s="1" t="str">
        <f>IFERROR(__xludf.DUMMYFUNCTION("""COMPUTED_VALUE"""),"30/3/2023, 17:00:00")</f>
        <v>30/3/2023, 17:00:00</v>
      </c>
      <c r="I3470" s="1" t="str">
        <f>IFERROR(__xludf.DUMMYFUNCTION("""COMPUTED_VALUE"""),"Completado en SUCURSAL")</f>
        <v>Completado en SUCURSAL</v>
      </c>
      <c r="J3470" s="1">
        <f t="shared" si="3"/>
        <v>5</v>
      </c>
      <c r="K3470" s="1" t="str">
        <f t="shared" si="4"/>
        <v>Tus Lentes estan LISTAS PARA ENTREGAR, te esperamos.</v>
      </c>
    </row>
    <row r="3471">
      <c r="A3471" s="1">
        <f>IFERROR(__xludf.DUMMYFUNCTION("""COMPUTED_VALUE"""),88016.0)</f>
        <v>88016</v>
      </c>
      <c r="B3471" s="5">
        <f>IFERROR(__xludf.DUMMYFUNCTION("""COMPUTED_VALUE"""),45000.470647766204)</f>
        <v>45000.47065</v>
      </c>
      <c r="C3471" s="1" t="str">
        <f>IFERROR(__xludf.DUMMYFUNCTION("""COMPUTED_VALUE"""),"CACERES GARCIA ALEJANDRA")</f>
        <v>CACERES GARCIA ALEJANDRA</v>
      </c>
      <c r="D3471" s="1" t="str">
        <f>IFERROR(__xludf.DUMMYFUNCTION("""COMPUTED_VALUE"""),"Lentes de STOCK")</f>
        <v>Lentes de STOCK</v>
      </c>
      <c r="E3471" s="1" t="str">
        <f>IFERROR(__xludf.DUMMYFUNCTION("""COMPUTED_VALUE"""),"RIVADAVIA Christian C.")</f>
        <v>RIVADAVIA Christian C.</v>
      </c>
      <c r="F3471" s="1" t="str">
        <f t="shared" si="1"/>
        <v>RIVADAVIA </v>
      </c>
      <c r="G3471" s="1" t="str">
        <f t="shared" si="2"/>
        <v>Christian C.</v>
      </c>
      <c r="H3471" s="1" t="str">
        <f>IFERROR(__xludf.DUMMYFUNCTION("""COMPUTED_VALUE"""),"23/3/2023, 17:00:00")</f>
        <v>23/3/2023, 17:00:00</v>
      </c>
      <c r="I3471" s="1" t="str">
        <f>IFERROR(__xludf.DUMMYFUNCTION("""COMPUTED_VALUE"""),"Completado en SUCURSAL")</f>
        <v>Completado en SUCURSAL</v>
      </c>
      <c r="J3471" s="1">
        <f t="shared" si="3"/>
        <v>5</v>
      </c>
      <c r="K3471" s="1" t="str">
        <f t="shared" si="4"/>
        <v>Tus Lentes estan LISTAS PARA ENTREGAR, te esperamos.</v>
      </c>
    </row>
    <row r="3472">
      <c r="A3472" s="1">
        <f>IFERROR(__xludf.DUMMYFUNCTION("""COMPUTED_VALUE"""),88017.0)</f>
        <v>88017</v>
      </c>
      <c r="B3472" s="5">
        <f>IFERROR(__xludf.DUMMYFUNCTION("""COMPUTED_VALUE"""),45000.472168622684)</f>
        <v>45000.47217</v>
      </c>
      <c r="C3472" s="1" t="str">
        <f>IFERROR(__xludf.DUMMYFUNCTION("""COMPUTED_VALUE"""),"escudero maria cristina")</f>
        <v>escudero maria cristina</v>
      </c>
      <c r="D3472" s="1" t="str">
        <f>IFERROR(__xludf.DUMMYFUNCTION("""COMPUTED_VALUE"""),"Lentes de STOCK")</f>
        <v>Lentes de STOCK</v>
      </c>
      <c r="E3472" s="1" t="str">
        <f>IFERROR(__xludf.DUMMYFUNCTION("""COMPUTED_VALUE"""),"ARTIGAS Roció")</f>
        <v>ARTIGAS Roció</v>
      </c>
      <c r="F3472" s="1" t="str">
        <f t="shared" si="1"/>
        <v>ARTIGAS </v>
      </c>
      <c r="G3472" s="1" t="str">
        <f t="shared" si="2"/>
        <v>Roció</v>
      </c>
      <c r="H3472" s="1" t="str">
        <f>IFERROR(__xludf.DUMMYFUNCTION("""COMPUTED_VALUE"""),"22/3/2023, 17:00:00")</f>
        <v>22/3/2023, 17:00:00</v>
      </c>
      <c r="I3472" s="1" t="str">
        <f>IFERROR(__xludf.DUMMYFUNCTION("""COMPUTED_VALUE"""),"RETIRADO OK POR CLIENTE")</f>
        <v>RETIRADO OK POR CLIENTE</v>
      </c>
      <c r="J3472" s="1">
        <f t="shared" si="3"/>
        <v>6</v>
      </c>
      <c r="K3472" s="1" t="str">
        <f t="shared" si="4"/>
        <v>Entregamos tus lentes, que los disfrutes!</v>
      </c>
    </row>
    <row r="3473">
      <c r="A3473" s="1">
        <f>IFERROR(__xludf.DUMMYFUNCTION("""COMPUTED_VALUE"""),88018.0)</f>
        <v>88018</v>
      </c>
      <c r="B3473" s="5">
        <f>IFERROR(__xludf.DUMMYFUNCTION("""COMPUTED_VALUE"""),45000.47872975694)</f>
        <v>45000.47873</v>
      </c>
      <c r="C3473" s="1" t="str">
        <f>IFERROR(__xludf.DUMMYFUNCTION("""COMPUTED_VALUE"""),"CARNEVALE CAROLINA")</f>
        <v>CARNEVALE CAROLINA</v>
      </c>
      <c r="D3473" s="1" t="str">
        <f>IFERROR(__xludf.DUMMYFUNCTION("""COMPUTED_VALUE"""),"Lentes de STOCK")</f>
        <v>Lentes de STOCK</v>
      </c>
      <c r="E3473" s="1" t="str">
        <f>IFERROR(__xludf.DUMMYFUNCTION("""COMPUTED_VALUE"""),"RIVADAVIA Christian C.")</f>
        <v>RIVADAVIA Christian C.</v>
      </c>
      <c r="F3473" s="1" t="str">
        <f t="shared" si="1"/>
        <v>RIVADAVIA </v>
      </c>
      <c r="G3473" s="1" t="str">
        <f t="shared" si="2"/>
        <v>Christian C.</v>
      </c>
      <c r="H3473" s="1" t="str">
        <f>IFERROR(__xludf.DUMMYFUNCTION("""COMPUTED_VALUE"""),"23/3/2023, 17:00:00")</f>
        <v>23/3/2023, 17:00:00</v>
      </c>
      <c r="I3473" s="1" t="str">
        <f>IFERROR(__xludf.DUMMYFUNCTION("""COMPUTED_VALUE"""),"RETIRADO OK POR CLIENTE")</f>
        <v>RETIRADO OK POR CLIENTE</v>
      </c>
      <c r="J3473" s="1">
        <f t="shared" si="3"/>
        <v>6</v>
      </c>
      <c r="K3473" s="1" t="str">
        <f t="shared" si="4"/>
        <v>Entregamos tus lentes, que los disfrutes!</v>
      </c>
    </row>
    <row r="3474">
      <c r="A3474" s="1">
        <f>IFERROR(__xludf.DUMMYFUNCTION("""COMPUTED_VALUE"""),88019.0)</f>
        <v>88019</v>
      </c>
      <c r="B3474" s="5">
        <f>IFERROR(__xludf.DUMMYFUNCTION("""COMPUTED_VALUE"""),45000.48253180555)</f>
        <v>45000.48253</v>
      </c>
      <c r="C3474" s="1" t="str">
        <f>IFERROR(__xludf.DUMMYFUNCTION("""COMPUTED_VALUE"""),"ORDOÑEZ NESTOR")</f>
        <v>ORDOÑEZ NESTOR</v>
      </c>
      <c r="D3474" s="1" t="str">
        <f>IFERROR(__xludf.DUMMYFUNCTION("""COMPUTED_VALUE"""),"Lentes MULTIFOCALES")</f>
        <v>Lentes MULTIFOCALES</v>
      </c>
      <c r="E3474" s="1" t="str">
        <f>IFERROR(__xludf.DUMMYFUNCTION("""COMPUTED_VALUE"""),"ARTIGAS Ivana P.")</f>
        <v>ARTIGAS Ivana P.</v>
      </c>
      <c r="F3474" s="1" t="str">
        <f t="shared" si="1"/>
        <v>ARTIGAS </v>
      </c>
      <c r="G3474" s="1" t="str">
        <f t="shared" si="2"/>
        <v>Ivana P.</v>
      </c>
      <c r="H3474" s="1" t="str">
        <f>IFERROR(__xludf.DUMMYFUNCTION("""COMPUTED_VALUE"""),"29/3/2023, 17:00:00")</f>
        <v>29/3/2023, 17:00:00</v>
      </c>
      <c r="I3474" s="1" t="str">
        <f>IFERROR(__xludf.DUMMYFUNCTION("""COMPUTED_VALUE"""),"Completado en SUCURSAL")</f>
        <v>Completado en SUCURSAL</v>
      </c>
      <c r="J3474" s="1">
        <f t="shared" si="3"/>
        <v>5</v>
      </c>
      <c r="K3474" s="1" t="str">
        <f t="shared" si="4"/>
        <v>Tus Lentes estan LISTAS PARA ENTREGAR, te esperamos.</v>
      </c>
    </row>
    <row r="3475">
      <c r="A3475" s="1">
        <f>IFERROR(__xludf.DUMMYFUNCTION("""COMPUTED_VALUE"""),88020.0)</f>
        <v>88020</v>
      </c>
      <c r="B3475" s="5">
        <f>IFERROR(__xludf.DUMMYFUNCTION("""COMPUTED_VALUE"""),45000.492957951385)</f>
        <v>45000.49296</v>
      </c>
      <c r="C3475" s="1" t="str">
        <f>IFERROR(__xludf.DUMMYFUNCTION("""COMPUTED_VALUE"""),"GOMEZ ACOSTA BENICIO")</f>
        <v>GOMEZ ACOSTA BENICIO</v>
      </c>
      <c r="D3475" s="1" t="str">
        <f>IFERROR(__xludf.DUMMYFUNCTION("""COMPUTED_VALUE"""),"Lentes de STOCK")</f>
        <v>Lentes de STOCK</v>
      </c>
      <c r="E3475" s="1" t="str">
        <f>IFERROR(__xludf.DUMMYFUNCTION("""COMPUTED_VALUE"""),"ARTIGAS Roció")</f>
        <v>ARTIGAS Roció</v>
      </c>
      <c r="F3475" s="1" t="str">
        <f t="shared" si="1"/>
        <v>ARTIGAS </v>
      </c>
      <c r="G3475" s="1" t="str">
        <f t="shared" si="2"/>
        <v>Roció</v>
      </c>
      <c r="H3475" s="1" t="str">
        <f>IFERROR(__xludf.DUMMYFUNCTION("""COMPUTED_VALUE"""),"21/3/2023, 17:00:00")</f>
        <v>21/3/2023, 17:00:00</v>
      </c>
      <c r="I3475" s="1" t="str">
        <f>IFERROR(__xludf.DUMMYFUNCTION("""COMPUTED_VALUE"""),"Completado en SUCURSAL")</f>
        <v>Completado en SUCURSAL</v>
      </c>
      <c r="J3475" s="1">
        <f t="shared" si="3"/>
        <v>5</v>
      </c>
      <c r="K3475" s="1" t="str">
        <f t="shared" si="4"/>
        <v>Tus Lentes estan LISTAS PARA ENTREGAR, te esperamos.</v>
      </c>
    </row>
    <row r="3476">
      <c r="A3476" s="1">
        <f>IFERROR(__xludf.DUMMYFUNCTION("""COMPUTED_VALUE"""),88021.0)</f>
        <v>88021</v>
      </c>
      <c r="B3476" s="5">
        <f>IFERROR(__xludf.DUMMYFUNCTION("""COMPUTED_VALUE"""),45000.494067604166)</f>
        <v>45000.49407</v>
      </c>
      <c r="C3476" s="1" t="str">
        <f>IFERROR(__xludf.DUMMYFUNCTION("""COMPUTED_VALUE"""),"ORDOÑEZ NESTOR")</f>
        <v>ORDOÑEZ NESTOR</v>
      </c>
      <c r="D3476" s="1" t="str">
        <f>IFERROR(__xludf.DUMMYFUNCTION("""COMPUTED_VALUE"""),"Lentes de STOCK")</f>
        <v>Lentes de STOCK</v>
      </c>
      <c r="E3476" s="1"/>
      <c r="F3476" s="1" t="str">
        <f t="shared" si="1"/>
        <v>#VALUE!</v>
      </c>
      <c r="G3476" s="1" t="str">
        <f t="shared" si="2"/>
        <v>#VALUE!</v>
      </c>
      <c r="H3476" s="1" t="str">
        <f>IFERROR(__xludf.DUMMYFUNCTION("""COMPUTED_VALUE"""),"17/3/2023, 17:00:00")</f>
        <v>17/3/2023, 17:00:00</v>
      </c>
      <c r="I3476" s="1"/>
      <c r="J3476" s="1">
        <f t="shared" si="3"/>
        <v>0</v>
      </c>
      <c r="K3476" s="1" t="str">
        <f t="shared" si="4"/>
        <v/>
      </c>
    </row>
    <row r="3477">
      <c r="A3477" s="1">
        <f>IFERROR(__xludf.DUMMYFUNCTION("""COMPUTED_VALUE"""),88022.0)</f>
        <v>88022</v>
      </c>
      <c r="B3477" s="5">
        <f>IFERROR(__xludf.DUMMYFUNCTION("""COMPUTED_VALUE"""),45000.49714346065)</f>
        <v>45000.49714</v>
      </c>
      <c r="C3477" s="1" t="str">
        <f>IFERROR(__xludf.DUMMYFUNCTION("""COMPUTED_VALUE"""),"CASTILLO EMILIA ELIZABETH")</f>
        <v>CASTILLO EMILIA ELIZABETH</v>
      </c>
      <c r="D3477" s="1" t="str">
        <f>IFERROR(__xludf.DUMMYFUNCTION("""COMPUTED_VALUE"""),"Reparaciones/Otros")</f>
        <v>Reparaciones/Otros</v>
      </c>
      <c r="E3477" s="1" t="str">
        <f>IFERROR(__xludf.DUMMYFUNCTION("""COMPUTED_VALUE"""),"RIVADAVIA Marcela L")</f>
        <v>RIVADAVIA Marcela L</v>
      </c>
      <c r="F3477" s="1" t="str">
        <f t="shared" si="1"/>
        <v>RIVADAVIA </v>
      </c>
      <c r="G3477" s="1" t="str">
        <f t="shared" si="2"/>
        <v>Marcela L</v>
      </c>
      <c r="H3477" s="1" t="str">
        <f>IFERROR(__xludf.DUMMYFUNCTION("""COMPUTED_VALUE"""),"16/3/2023, 17:00:00")</f>
        <v>16/3/2023, 17:00:00</v>
      </c>
      <c r="I3477" s="1"/>
      <c r="J3477" s="1">
        <f t="shared" si="3"/>
        <v>0</v>
      </c>
      <c r="K3477" s="1" t="str">
        <f t="shared" si="4"/>
        <v/>
      </c>
    </row>
    <row r="3478">
      <c r="A3478" s="1">
        <f>IFERROR(__xludf.DUMMYFUNCTION("""COMPUTED_VALUE"""),88023.0)</f>
        <v>88023</v>
      </c>
      <c r="B3478" s="5">
        <f>IFERROR(__xludf.DUMMYFUNCTION("""COMPUTED_VALUE"""),45000.50632050926)</f>
        <v>45000.50632</v>
      </c>
      <c r="C3478" s="1" t="str">
        <f>IFERROR(__xludf.DUMMYFUNCTION("""COMPUTED_VALUE"""),"GOMEZ GATICA MAGALI MABEL")</f>
        <v>GOMEZ GATICA MAGALI MABEL</v>
      </c>
      <c r="D3478" s="1" t="str">
        <f>IFERROR(__xludf.DUMMYFUNCTION("""COMPUTED_VALUE"""),"Lentes de STOCK")</f>
        <v>Lentes de STOCK</v>
      </c>
      <c r="E3478" s="1" t="str">
        <f>IFERROR(__xludf.DUMMYFUNCTION("""COMPUTED_VALUE"""),"RIVADAVIA Marcela L")</f>
        <v>RIVADAVIA Marcela L</v>
      </c>
      <c r="F3478" s="1" t="str">
        <f t="shared" si="1"/>
        <v>RIVADAVIA </v>
      </c>
      <c r="G3478" s="1" t="str">
        <f t="shared" si="2"/>
        <v>Marcela L</v>
      </c>
      <c r="H3478" s="1" t="str">
        <f>IFERROR(__xludf.DUMMYFUNCTION("""COMPUTED_VALUE"""),"20/3/2023, 17:00:00")</f>
        <v>20/3/2023, 17:00:00</v>
      </c>
      <c r="I3478" s="1" t="str">
        <f>IFERROR(__xludf.DUMMYFUNCTION("""COMPUTED_VALUE"""),"Completado en SUCURSAL")</f>
        <v>Completado en SUCURSAL</v>
      </c>
      <c r="J3478" s="1">
        <f t="shared" si="3"/>
        <v>5</v>
      </c>
      <c r="K3478" s="1" t="str">
        <f t="shared" si="4"/>
        <v>Tus Lentes estan LISTAS PARA ENTREGAR, te esperamos.</v>
      </c>
    </row>
    <row r="3479">
      <c r="A3479" s="1">
        <f>IFERROR(__xludf.DUMMYFUNCTION("""COMPUTED_VALUE"""),88024.0)</f>
        <v>88024</v>
      </c>
      <c r="B3479" s="5">
        <f>IFERROR(__xludf.DUMMYFUNCTION("""COMPUTED_VALUE"""),45000.51128179398)</f>
        <v>45000.51128</v>
      </c>
      <c r="C3479" s="1" t="str">
        <f>IFERROR(__xludf.DUMMYFUNCTION("""COMPUTED_VALUE"""),"AGUILAR CANDIDA")</f>
        <v>AGUILAR CANDIDA</v>
      </c>
      <c r="D3479" s="1" t="str">
        <f>IFERROR(__xludf.DUMMYFUNCTION("""COMPUTED_VALUE"""),"Lentes de STOCK")</f>
        <v>Lentes de STOCK</v>
      </c>
      <c r="E3479" s="1" t="str">
        <f>IFERROR(__xludf.DUMMYFUNCTION("""COMPUTED_VALUE"""),"ARTIGAS Ivana P.")</f>
        <v>ARTIGAS Ivana P.</v>
      </c>
      <c r="F3479" s="1" t="str">
        <f t="shared" si="1"/>
        <v>ARTIGAS </v>
      </c>
      <c r="G3479" s="1" t="str">
        <f t="shared" si="2"/>
        <v>Ivana P.</v>
      </c>
      <c r="H3479" s="1" t="str">
        <f>IFERROR(__xludf.DUMMYFUNCTION("""COMPUTED_VALUE"""),"21/3/2023, 17:00:00")</f>
        <v>21/3/2023, 17:00:00</v>
      </c>
      <c r="I3479" s="1" t="str">
        <f>IFERROR(__xludf.DUMMYFUNCTION("""COMPUTED_VALUE"""),"Completado en SUCURSAL")</f>
        <v>Completado en SUCURSAL</v>
      </c>
      <c r="J3479" s="1">
        <f t="shared" si="3"/>
        <v>5</v>
      </c>
      <c r="K3479" s="1" t="str">
        <f t="shared" si="4"/>
        <v>Tus Lentes estan LISTAS PARA ENTREGAR, te esperamos.</v>
      </c>
    </row>
    <row r="3480">
      <c r="A3480" s="1">
        <f>IFERROR(__xludf.DUMMYFUNCTION("""COMPUTED_VALUE"""),88025.0)</f>
        <v>88025</v>
      </c>
      <c r="B3480" s="5">
        <f>IFERROR(__xludf.DUMMYFUNCTION("""COMPUTED_VALUE"""),45000.52805709491)</f>
        <v>45000.52806</v>
      </c>
      <c r="C3480" s="1" t="str">
        <f>IFERROR(__xludf.DUMMYFUNCTION("""COMPUTED_VALUE"""),"ROMERO DANIEL CEFERINO")</f>
        <v>ROMERO DANIEL CEFERINO</v>
      </c>
      <c r="D3480" s="1" t="str">
        <f>IFERROR(__xludf.DUMMYFUNCTION("""COMPUTED_VALUE"""),"Lentes de STOCK")</f>
        <v>Lentes de STOCK</v>
      </c>
      <c r="E3480" s="1" t="str">
        <f>IFERROR(__xludf.DUMMYFUNCTION("""COMPUTED_VALUE"""),"RIVADAVIA Marcela L")</f>
        <v>RIVADAVIA Marcela L</v>
      </c>
      <c r="F3480" s="1" t="str">
        <f t="shared" si="1"/>
        <v>RIVADAVIA </v>
      </c>
      <c r="G3480" s="1" t="str">
        <f t="shared" si="2"/>
        <v>Marcela L</v>
      </c>
      <c r="H3480" s="1" t="str">
        <f>IFERROR(__xludf.DUMMYFUNCTION("""COMPUTED_VALUE"""),"17/3/2023, 17:00:00")</f>
        <v>17/3/2023, 17:00:00</v>
      </c>
      <c r="I3480" s="1" t="str">
        <f>IFERROR(__xludf.DUMMYFUNCTION("""COMPUTED_VALUE"""),"Completado en SUCURSAL")</f>
        <v>Completado en SUCURSAL</v>
      </c>
      <c r="J3480" s="1">
        <f t="shared" si="3"/>
        <v>5</v>
      </c>
      <c r="K3480" s="1" t="str">
        <f t="shared" si="4"/>
        <v>Tus Lentes estan LISTAS PARA ENTREGAR, te esperamos.</v>
      </c>
    </row>
    <row r="3481">
      <c r="A3481" s="1">
        <f>IFERROR(__xludf.DUMMYFUNCTION("""COMPUTED_VALUE"""),88026.0)</f>
        <v>88026</v>
      </c>
      <c r="B3481" s="5">
        <f>IFERROR(__xludf.DUMMYFUNCTION("""COMPUTED_VALUE"""),45000.52841309027)</f>
        <v>45000.52841</v>
      </c>
      <c r="C3481" s="1" t="str">
        <f>IFERROR(__xludf.DUMMYFUNCTION("""COMPUTED_VALUE"""),"scalet irma ines")</f>
        <v>scalet irma ines</v>
      </c>
      <c r="D3481" s="1" t="str">
        <f>IFERROR(__xludf.DUMMYFUNCTION("""COMPUTED_VALUE"""),"Lentes MULTIFOCALES")</f>
        <v>Lentes MULTIFOCALES</v>
      </c>
      <c r="E3481" s="1" t="str">
        <f>IFERROR(__xludf.DUMMYFUNCTION("""COMPUTED_VALUE"""),"RIVADAVIA Santiago N")</f>
        <v>RIVADAVIA Santiago N</v>
      </c>
      <c r="F3481" s="1" t="str">
        <f t="shared" si="1"/>
        <v>RIVADAVIA </v>
      </c>
      <c r="G3481" s="1" t="str">
        <f t="shared" si="2"/>
        <v>Santiago N</v>
      </c>
      <c r="H3481" s="1" t="str">
        <f>IFERROR(__xludf.DUMMYFUNCTION("""COMPUTED_VALUE"""),"28/3/2023, 17:00:00")</f>
        <v>28/3/2023, 17:00:00</v>
      </c>
      <c r="I3481" s="1" t="str">
        <f>IFERROR(__xludf.DUMMYFUNCTION("""COMPUTED_VALUE"""),"Completado en SUCURSAL")</f>
        <v>Completado en SUCURSAL</v>
      </c>
      <c r="J3481" s="1">
        <f t="shared" si="3"/>
        <v>5</v>
      </c>
      <c r="K3481" s="1" t="str">
        <f t="shared" si="4"/>
        <v>Tus Lentes estan LISTAS PARA ENTREGAR, te esperamos.</v>
      </c>
    </row>
    <row r="3482">
      <c r="A3482" s="1">
        <f>IFERROR(__xludf.DUMMYFUNCTION("""COMPUTED_VALUE"""),88027.0)</f>
        <v>88027</v>
      </c>
      <c r="B3482" s="5">
        <f>IFERROR(__xludf.DUMMYFUNCTION("""COMPUTED_VALUE"""),45000.52984998842)</f>
        <v>45000.52985</v>
      </c>
      <c r="C3482" s="1" t="str">
        <f>IFERROR(__xludf.DUMMYFUNCTION("""COMPUTED_VALUE"""),"CABAÑEZ CLAUDIO ")</f>
        <v>CABAÑEZ CLAUDIO </v>
      </c>
      <c r="D3482" s="1" t="str">
        <f>IFERROR(__xludf.DUMMYFUNCTION("""COMPUTED_VALUE"""),"Reparaciones/Otros")</f>
        <v>Reparaciones/Otros</v>
      </c>
      <c r="E3482" s="1" t="str">
        <f>IFERROR(__xludf.DUMMYFUNCTION("""COMPUTED_VALUE"""),"RIVADAVIA Christian C.")</f>
        <v>RIVADAVIA Christian C.</v>
      </c>
      <c r="F3482" s="1" t="str">
        <f t="shared" si="1"/>
        <v>RIVADAVIA </v>
      </c>
      <c r="G3482" s="1" t="str">
        <f t="shared" si="2"/>
        <v>Christian C.</v>
      </c>
      <c r="H3482" s="1" t="str">
        <f>IFERROR(__xludf.DUMMYFUNCTION("""COMPUTED_VALUE"""),"16/3/2023, 17:00:00")</f>
        <v>16/3/2023, 17:00:00</v>
      </c>
      <c r="I3482" s="1" t="str">
        <f>IFERROR(__xludf.DUMMYFUNCTION("""COMPUTED_VALUE"""),"Recibido en Laboratorio")</f>
        <v>Recibido en Laboratorio</v>
      </c>
      <c r="J3482" s="1">
        <f t="shared" si="3"/>
        <v>2</v>
      </c>
      <c r="K3482" s="1" t="str">
        <f t="shared" si="4"/>
        <v>Nuestro Laboratorio esta trabajando en tus lentes, los entregaremos en la fecha acordada.</v>
      </c>
    </row>
    <row r="3483">
      <c r="A3483" s="1">
        <f>IFERROR(__xludf.DUMMYFUNCTION("""COMPUTED_VALUE"""),88028.0)</f>
        <v>88028</v>
      </c>
      <c r="B3483" s="5">
        <f>IFERROR(__xludf.DUMMYFUNCTION("""COMPUTED_VALUE"""),45000.53196571759)</f>
        <v>45000.53197</v>
      </c>
      <c r="C3483" s="1" t="str">
        <f>IFERROR(__xludf.DUMMYFUNCTION("""COMPUTED_VALUE"""),"MANZI ADRIAN")</f>
        <v>MANZI ADRIAN</v>
      </c>
      <c r="D3483" s="1" t="str">
        <f>IFERROR(__xludf.DUMMYFUNCTION("""COMPUTED_VALUE"""),"Lentes de STOCK")</f>
        <v>Lentes de STOCK</v>
      </c>
      <c r="E3483" s="1" t="str">
        <f>IFERROR(__xludf.DUMMYFUNCTION("""COMPUTED_VALUE"""),"ARTIGAS Ivana P.")</f>
        <v>ARTIGAS Ivana P.</v>
      </c>
      <c r="F3483" s="1" t="str">
        <f t="shared" si="1"/>
        <v>ARTIGAS </v>
      </c>
      <c r="G3483" s="1" t="str">
        <f t="shared" si="2"/>
        <v>Ivana P.</v>
      </c>
      <c r="H3483" s="1" t="str">
        <f>IFERROR(__xludf.DUMMYFUNCTION("""COMPUTED_VALUE"""),"23/3/2023, 17:00:00")</f>
        <v>23/3/2023, 17:00:00</v>
      </c>
      <c r="I3483" s="1" t="str">
        <f>IFERROR(__xludf.DUMMYFUNCTION("""COMPUTED_VALUE"""),"RETIRADO OK POR CLIENTE")</f>
        <v>RETIRADO OK POR CLIENTE</v>
      </c>
      <c r="J3483" s="1">
        <f t="shared" si="3"/>
        <v>6</v>
      </c>
      <c r="K3483" s="1" t="str">
        <f t="shared" si="4"/>
        <v>Entregamos tus lentes, que los disfrutes!</v>
      </c>
    </row>
    <row r="3484">
      <c r="A3484" s="1">
        <f>IFERROR(__xludf.DUMMYFUNCTION("""COMPUTED_VALUE"""),88029.0)</f>
        <v>88029</v>
      </c>
      <c r="B3484" s="5">
        <f>IFERROR(__xludf.DUMMYFUNCTION("""COMPUTED_VALUE"""),45000.54055983796)</f>
        <v>45000.54056</v>
      </c>
      <c r="C3484" s="1" t="str">
        <f>IFERROR(__xludf.DUMMYFUNCTION("""COMPUTED_VALUE"""),"SAADA BENETONILIA")</f>
        <v>SAADA BENETONILIA</v>
      </c>
      <c r="D3484" s="1" t="str">
        <f>IFERROR(__xludf.DUMMYFUNCTION("""COMPUTED_VALUE"""),"Reparaciones/Otros")</f>
        <v>Reparaciones/Otros</v>
      </c>
      <c r="E3484" s="1" t="str">
        <f>IFERROR(__xludf.DUMMYFUNCTION("""COMPUTED_VALUE"""),"RIVADAVIA Christian C.")</f>
        <v>RIVADAVIA Christian C.</v>
      </c>
      <c r="F3484" s="1" t="str">
        <f t="shared" si="1"/>
        <v>RIVADAVIA </v>
      </c>
      <c r="G3484" s="1" t="str">
        <f t="shared" si="2"/>
        <v>Christian C.</v>
      </c>
      <c r="H3484" s="1" t="str">
        <f>IFERROR(__xludf.DUMMYFUNCTION("""COMPUTED_VALUE"""),"16/3/2023, 17:00:00")</f>
        <v>16/3/2023, 17:00:00</v>
      </c>
      <c r="I3484" s="1" t="str">
        <f>IFERROR(__xludf.DUMMYFUNCTION("""COMPUTED_VALUE"""),"Recibido en Laboratorio")</f>
        <v>Recibido en Laboratorio</v>
      </c>
      <c r="J3484" s="1">
        <f t="shared" si="3"/>
        <v>2</v>
      </c>
      <c r="K3484" s="1" t="str">
        <f t="shared" si="4"/>
        <v>Nuestro Laboratorio esta trabajando en tus lentes, los entregaremos en la fecha acordada.</v>
      </c>
    </row>
    <row r="3485">
      <c r="A3485" s="1">
        <f>IFERROR(__xludf.DUMMYFUNCTION("""COMPUTED_VALUE"""),88030.0)</f>
        <v>88030</v>
      </c>
      <c r="B3485" s="5">
        <f>IFERROR(__xludf.DUMMYFUNCTION("""COMPUTED_VALUE"""),45000.55434028935)</f>
        <v>45000.55434</v>
      </c>
      <c r="C3485" s="1" t="str">
        <f>IFERROR(__xludf.DUMMYFUNCTION("""COMPUTED_VALUE"""),"BARAHONA RAQUEL")</f>
        <v>BARAHONA RAQUEL</v>
      </c>
      <c r="D3485" s="1" t="str">
        <f>IFERROR(__xludf.DUMMYFUNCTION("""COMPUTED_VALUE"""),"Reparaciones/Otros")</f>
        <v>Reparaciones/Otros</v>
      </c>
      <c r="E3485" s="1" t="str">
        <f>IFERROR(__xludf.DUMMYFUNCTION("""COMPUTED_VALUE"""),"ARTIGAS Roció")</f>
        <v>ARTIGAS Roció</v>
      </c>
      <c r="F3485" s="1" t="str">
        <f t="shared" si="1"/>
        <v>ARTIGAS </v>
      </c>
      <c r="G3485" s="1" t="str">
        <f t="shared" si="2"/>
        <v>Roció</v>
      </c>
      <c r="H3485" s="1" t="str">
        <f>IFERROR(__xludf.DUMMYFUNCTION("""COMPUTED_VALUE"""),"16/3/2023, 17:00:00")</f>
        <v>16/3/2023, 17:00:00</v>
      </c>
      <c r="I3485" s="1" t="str">
        <f>IFERROR(__xludf.DUMMYFUNCTION("""COMPUTED_VALUE"""),"Completado en SUCURSAL")</f>
        <v>Completado en SUCURSAL</v>
      </c>
      <c r="J3485" s="1">
        <f t="shared" si="3"/>
        <v>5</v>
      </c>
      <c r="K3485" s="1" t="str">
        <f t="shared" si="4"/>
        <v>Tus Lentes estan LISTAS PARA ENTREGAR, te esperamos.</v>
      </c>
    </row>
    <row r="3486">
      <c r="A3486" s="1">
        <f>IFERROR(__xludf.DUMMYFUNCTION("""COMPUTED_VALUE"""),88031.0)</f>
        <v>88031</v>
      </c>
      <c r="B3486" s="5">
        <f>IFERROR(__xludf.DUMMYFUNCTION("""COMPUTED_VALUE"""),45000.563007199074)</f>
        <v>45000.56301</v>
      </c>
      <c r="C3486" s="1" t="str">
        <f>IFERROR(__xludf.DUMMYFUNCTION("""COMPUTED_VALUE"""),"martinez higinia")</f>
        <v>martinez higinia</v>
      </c>
      <c r="D3486" s="1" t="str">
        <f>IFERROR(__xludf.DUMMYFUNCTION("""COMPUTED_VALUE"""),"Reparaciones/Otros")</f>
        <v>Reparaciones/Otros</v>
      </c>
      <c r="E3486" s="1" t="str">
        <f>IFERROR(__xludf.DUMMYFUNCTION("""COMPUTED_VALUE"""),"ARTIGAS Roció")</f>
        <v>ARTIGAS Roció</v>
      </c>
      <c r="F3486" s="1" t="str">
        <f t="shared" si="1"/>
        <v>ARTIGAS </v>
      </c>
      <c r="G3486" s="1" t="str">
        <f t="shared" si="2"/>
        <v>Roció</v>
      </c>
      <c r="H3486" s="1" t="str">
        <f>IFERROR(__xludf.DUMMYFUNCTION("""COMPUTED_VALUE"""),"16/3/2023, 17:00:00")</f>
        <v>16/3/2023, 17:00:00</v>
      </c>
      <c r="I3486" s="1" t="str">
        <f>IFERROR(__xludf.DUMMYFUNCTION("""COMPUTED_VALUE"""),"Completado en SUCURSAL")</f>
        <v>Completado en SUCURSAL</v>
      </c>
      <c r="J3486" s="1">
        <f t="shared" si="3"/>
        <v>5</v>
      </c>
      <c r="K3486" s="1" t="str">
        <f t="shared" si="4"/>
        <v>Tus Lentes estan LISTAS PARA ENTREGAR, te esperamos.</v>
      </c>
    </row>
    <row r="3487">
      <c r="A3487" s="1">
        <f>IFERROR(__xludf.DUMMYFUNCTION("""COMPUTED_VALUE"""),88032.0)</f>
        <v>88032</v>
      </c>
      <c r="B3487" s="5">
        <f>IFERROR(__xludf.DUMMYFUNCTION("""COMPUTED_VALUE"""),45000.56600372685)</f>
        <v>45000.566</v>
      </c>
      <c r="C3487" s="1" t="str">
        <f>IFERROR(__xludf.DUMMYFUNCTION("""COMPUTED_VALUE"""),"lara ponce ariel")</f>
        <v>lara ponce ariel</v>
      </c>
      <c r="D3487" s="1" t="str">
        <f>IFERROR(__xludf.DUMMYFUNCTION("""COMPUTED_VALUE"""),"Lentes de LABORATORIO")</f>
        <v>Lentes de LABORATORIO</v>
      </c>
      <c r="E3487" s="1" t="str">
        <f>IFERROR(__xludf.DUMMYFUNCTION("""COMPUTED_VALUE"""),"ARTIGAS Roció")</f>
        <v>ARTIGAS Roció</v>
      </c>
      <c r="F3487" s="1" t="str">
        <f t="shared" si="1"/>
        <v>ARTIGAS </v>
      </c>
      <c r="G3487" s="1" t="str">
        <f t="shared" si="2"/>
        <v>Roció</v>
      </c>
      <c r="H3487" s="1" t="str">
        <f>IFERROR(__xludf.DUMMYFUNCTION("""COMPUTED_VALUE"""),"30/3/2023, 17:00:00")</f>
        <v>30/3/2023, 17:00:00</v>
      </c>
      <c r="I3487" s="1" t="str">
        <f>IFERROR(__xludf.DUMMYFUNCTION("""COMPUTED_VALUE"""),"RETIRADO OK POR CLIENTE")</f>
        <v>RETIRADO OK POR CLIENTE</v>
      </c>
      <c r="J3487" s="1">
        <f t="shared" si="3"/>
        <v>6</v>
      </c>
      <c r="K3487" s="1" t="str">
        <f t="shared" si="4"/>
        <v>Entregamos tus lentes, que los disfrutes!</v>
      </c>
    </row>
    <row r="3488" hidden="1">
      <c r="A3488" s="1">
        <f>IFERROR(__xludf.DUMMYFUNCTION("""COMPUTED_VALUE"""),88033.0)</f>
        <v>88033</v>
      </c>
      <c r="B3488" s="5">
        <f>IFERROR(__xludf.DUMMYFUNCTION("""COMPUTED_VALUE"""),45000.609945185184)</f>
        <v>45000.60995</v>
      </c>
      <c r="C3488" s="1" t="str">
        <f>IFERROR(__xludf.DUMMYFUNCTION("""COMPUTED_VALUE"""),"AMIEVA MICAELA -EMPLEADA -")</f>
        <v>AMIEVA MICAELA -EMPLEADA -</v>
      </c>
      <c r="D3488" s="1" t="str">
        <f>IFERROR(__xludf.DUMMYFUNCTION("""COMPUTED_VALUE"""),"Lentes de STOCK")</f>
        <v>Lentes de STOCK</v>
      </c>
      <c r="E3488" s="1" t="str">
        <f>IFERROR(__xludf.DUMMYFUNCTION("""COMPUTED_VALUE"""),"ARTIGAS Ivana P.")</f>
        <v>ARTIGAS Ivana P.</v>
      </c>
      <c r="F3488" s="1" t="str">
        <f t="shared" si="1"/>
        <v>ARTIGAS </v>
      </c>
      <c r="G3488" s="1" t="str">
        <f t="shared" si="2"/>
        <v>Ivana P.</v>
      </c>
      <c r="H3488" s="1" t="str">
        <f>IFERROR(__xludf.DUMMYFUNCTION("""COMPUTED_VALUE"""),"18/3/2023, 17:00:00")</f>
        <v>18/3/2023, 17:00:00</v>
      </c>
      <c r="I3488" s="1" t="str">
        <f>IFERROR(__xludf.DUMMYFUNCTION("""COMPUTED_VALUE"""),"DEMORADO")</f>
        <v>DEMORADO</v>
      </c>
      <c r="J3488" s="1" t="str">
        <f t="shared" si="3"/>
        <v/>
      </c>
      <c r="K3488" s="1" t="str">
        <f t="shared" si="4"/>
        <v>Tuvimos una demora con tus lentes y no podremos entregarlo en las fecha acordada, estamos trabajando para terminarlos cuanto antes, te mantendremos al tanto, si es necesario contactanos via whatsapp.</v>
      </c>
    </row>
    <row r="3489">
      <c r="A3489" s="1">
        <f>IFERROR(__xludf.DUMMYFUNCTION("""COMPUTED_VALUE"""),88034.0)</f>
        <v>88034</v>
      </c>
      <c r="B3489" s="5">
        <f>IFERROR(__xludf.DUMMYFUNCTION("""COMPUTED_VALUE"""),45000.69666400463)</f>
        <v>45000.69666</v>
      </c>
      <c r="C3489" s="1" t="str">
        <f>IFERROR(__xludf.DUMMYFUNCTION("""COMPUTED_VALUE"""),"AMARO TERESA")</f>
        <v>AMARO TERESA</v>
      </c>
      <c r="D3489" s="1" t="str">
        <f>IFERROR(__xludf.DUMMYFUNCTION("""COMPUTED_VALUE"""),"Lentes de STOCK")</f>
        <v>Lentes de STOCK</v>
      </c>
      <c r="E3489" s="1" t="str">
        <f>IFERROR(__xludf.DUMMYFUNCTION("""COMPUTED_VALUE"""),"ARTIGAS Ivana P.")</f>
        <v>ARTIGAS Ivana P.</v>
      </c>
      <c r="F3489" s="1" t="str">
        <f t="shared" si="1"/>
        <v>ARTIGAS </v>
      </c>
      <c r="G3489" s="1" t="str">
        <f t="shared" si="2"/>
        <v>Ivana P.</v>
      </c>
      <c r="H3489" s="1" t="str">
        <f>IFERROR(__xludf.DUMMYFUNCTION("""COMPUTED_VALUE"""),"22/3/2023, 17:00:00")</f>
        <v>22/3/2023, 17:00:00</v>
      </c>
      <c r="I3489" s="1"/>
      <c r="J3489" s="1">
        <f t="shared" si="3"/>
        <v>0</v>
      </c>
      <c r="K3489" s="1" t="str">
        <f t="shared" si="4"/>
        <v/>
      </c>
    </row>
    <row r="3490">
      <c r="A3490" s="1">
        <f>IFERROR(__xludf.DUMMYFUNCTION("""COMPUTED_VALUE"""),88035.0)</f>
        <v>88035</v>
      </c>
      <c r="B3490" s="5">
        <f>IFERROR(__xludf.DUMMYFUNCTION("""COMPUTED_VALUE"""),45000.69981982639)</f>
        <v>45000.69982</v>
      </c>
      <c r="C3490" s="1" t="str">
        <f>IFERROR(__xludf.DUMMYFUNCTION("""COMPUTED_VALUE"""),"AMARO TERESA")</f>
        <v>AMARO TERESA</v>
      </c>
      <c r="D3490" s="1" t="str">
        <f>IFERROR(__xludf.DUMMYFUNCTION("""COMPUTED_VALUE"""),"Lentes de STOCK")</f>
        <v>Lentes de STOCK</v>
      </c>
      <c r="E3490" s="1" t="str">
        <f>IFERROR(__xludf.DUMMYFUNCTION("""COMPUTED_VALUE"""),"ARTIGAS Ivana P.")</f>
        <v>ARTIGAS Ivana P.</v>
      </c>
      <c r="F3490" s="1" t="str">
        <f t="shared" si="1"/>
        <v>ARTIGAS </v>
      </c>
      <c r="G3490" s="1" t="str">
        <f t="shared" si="2"/>
        <v>Ivana P.</v>
      </c>
      <c r="H3490" s="1" t="str">
        <f>IFERROR(__xludf.DUMMYFUNCTION("""COMPUTED_VALUE"""),"22/3/2023, 17:00:00")</f>
        <v>22/3/2023, 17:00:00</v>
      </c>
      <c r="I3490" s="1" t="str">
        <f>IFERROR(__xludf.DUMMYFUNCTION("""COMPUTED_VALUE"""),"Completado en SUCURSAL")</f>
        <v>Completado en SUCURSAL</v>
      </c>
      <c r="J3490" s="1">
        <f t="shared" si="3"/>
        <v>5</v>
      </c>
      <c r="K3490" s="1" t="str">
        <f t="shared" si="4"/>
        <v>Tus Lentes estan LISTAS PARA ENTREGAR, te esperamos.</v>
      </c>
    </row>
    <row r="3491">
      <c r="A3491" s="1">
        <f>IFERROR(__xludf.DUMMYFUNCTION("""COMPUTED_VALUE"""),88036.0)</f>
        <v>88036</v>
      </c>
      <c r="B3491" s="5">
        <f>IFERROR(__xludf.DUMMYFUNCTION("""COMPUTED_VALUE"""),45000.71143092593)</f>
        <v>45000.71143</v>
      </c>
      <c r="C3491" s="1" t="str">
        <f>IFERROR(__xludf.DUMMYFUNCTION("""COMPUTED_VALUE"""),"QUINTERO CARLA")</f>
        <v>QUINTERO CARLA</v>
      </c>
      <c r="D3491" s="1" t="str">
        <f>IFERROR(__xludf.DUMMYFUNCTION("""COMPUTED_VALUE"""),"Lentes de LABORATORIO")</f>
        <v>Lentes de LABORATORIO</v>
      </c>
      <c r="E3491" s="1" t="str">
        <f>IFERROR(__xludf.DUMMYFUNCTION("""COMPUTED_VALUE"""),"ARTIGAS Roció")</f>
        <v>ARTIGAS Roció</v>
      </c>
      <c r="F3491" s="1" t="str">
        <f t="shared" si="1"/>
        <v>ARTIGAS </v>
      </c>
      <c r="G3491" s="1" t="str">
        <f t="shared" si="2"/>
        <v>Roció</v>
      </c>
      <c r="H3491" s="1" t="str">
        <f>IFERROR(__xludf.DUMMYFUNCTION("""COMPUTED_VALUE"""),"31/3/2023, 17:00:00")</f>
        <v>31/3/2023, 17:00:00</v>
      </c>
      <c r="I3491" s="1" t="str">
        <f>IFERROR(__xludf.DUMMYFUNCTION("""COMPUTED_VALUE"""),"RETIRADO OK POR CLIENTE")</f>
        <v>RETIRADO OK POR CLIENTE</v>
      </c>
      <c r="J3491" s="1">
        <f t="shared" si="3"/>
        <v>6</v>
      </c>
      <c r="K3491" s="1" t="str">
        <f t="shared" si="4"/>
        <v>Entregamos tus lentes, que los disfrutes!</v>
      </c>
    </row>
    <row r="3492">
      <c r="A3492" s="1">
        <f>IFERROR(__xludf.DUMMYFUNCTION("""COMPUTED_VALUE"""),88037.0)</f>
        <v>88037</v>
      </c>
      <c r="B3492" s="5">
        <f>IFERROR(__xludf.DUMMYFUNCTION("""COMPUTED_VALUE"""),45000.71935921296)</f>
        <v>45000.71936</v>
      </c>
      <c r="C3492" s="1" t="str">
        <f>IFERROR(__xludf.DUMMYFUNCTION("""COMPUTED_VALUE"""),"randazzo maria belen")</f>
        <v>randazzo maria belen</v>
      </c>
      <c r="D3492" s="1" t="str">
        <f>IFERROR(__xludf.DUMMYFUNCTION("""COMPUTED_VALUE"""),"Lentes de STOCK")</f>
        <v>Lentes de STOCK</v>
      </c>
      <c r="E3492" s="1" t="str">
        <f>IFERROR(__xludf.DUMMYFUNCTION("""COMPUTED_VALUE"""),"RIVADAVIA Santiago N")</f>
        <v>RIVADAVIA Santiago N</v>
      </c>
      <c r="F3492" s="1" t="str">
        <f t="shared" si="1"/>
        <v>RIVADAVIA </v>
      </c>
      <c r="G3492" s="1" t="str">
        <f t="shared" si="2"/>
        <v>Santiago N</v>
      </c>
      <c r="H3492" s="1" t="str">
        <f>IFERROR(__xludf.DUMMYFUNCTION("""COMPUTED_VALUE"""),"18/3/2023, 17:00:00")</f>
        <v>18/3/2023, 17:00:00</v>
      </c>
      <c r="I3492" s="1" t="str">
        <f>IFERROR(__xludf.DUMMYFUNCTION("""COMPUTED_VALUE"""),"Completado en SUCURSAL")</f>
        <v>Completado en SUCURSAL</v>
      </c>
      <c r="J3492" s="1">
        <f t="shared" si="3"/>
        <v>5</v>
      </c>
      <c r="K3492" s="1" t="str">
        <f t="shared" si="4"/>
        <v>Tus Lentes estan LISTAS PARA ENTREGAR, te esperamos.</v>
      </c>
    </row>
    <row r="3493">
      <c r="A3493" s="1">
        <f>IFERROR(__xludf.DUMMYFUNCTION("""COMPUTED_VALUE"""),88038.0)</f>
        <v>88038</v>
      </c>
      <c r="B3493" s="5">
        <f>IFERROR(__xludf.DUMMYFUNCTION("""COMPUTED_VALUE"""),45000.72094505787)</f>
        <v>45000.72095</v>
      </c>
      <c r="C3493" s="1" t="str">
        <f>IFERROR(__xludf.DUMMYFUNCTION("""COMPUTED_VALUE"""),"torres susana")</f>
        <v>torres susana</v>
      </c>
      <c r="D3493" s="1" t="str">
        <f>IFERROR(__xludf.DUMMYFUNCTION("""COMPUTED_VALUE"""),"Reparaciones/Otros")</f>
        <v>Reparaciones/Otros</v>
      </c>
      <c r="E3493" s="1" t="str">
        <f>IFERROR(__xludf.DUMMYFUNCTION("""COMPUTED_VALUE"""),"RIVADAVIA Santiago N")</f>
        <v>RIVADAVIA Santiago N</v>
      </c>
      <c r="F3493" s="1" t="str">
        <f t="shared" si="1"/>
        <v>RIVADAVIA </v>
      </c>
      <c r="G3493" s="1" t="str">
        <f t="shared" si="2"/>
        <v>Santiago N</v>
      </c>
      <c r="H3493" s="1" t="str">
        <f>IFERROR(__xludf.DUMMYFUNCTION("""COMPUTED_VALUE"""),"16/3/2023, 17:00:00")</f>
        <v>16/3/2023, 17:00:00</v>
      </c>
      <c r="I3493" s="1" t="str">
        <f>IFERROR(__xludf.DUMMYFUNCTION("""COMPUTED_VALUE"""),"Completado en SUCURSAL")</f>
        <v>Completado en SUCURSAL</v>
      </c>
      <c r="J3493" s="1">
        <f t="shared" si="3"/>
        <v>5</v>
      </c>
      <c r="K3493" s="1" t="str">
        <f t="shared" si="4"/>
        <v>Tus Lentes estan LISTAS PARA ENTREGAR, te esperamos.</v>
      </c>
    </row>
    <row r="3494">
      <c r="A3494" s="1">
        <f>IFERROR(__xludf.DUMMYFUNCTION("""COMPUTED_VALUE"""),88039.0)</f>
        <v>88039</v>
      </c>
      <c r="B3494" s="5">
        <f>IFERROR(__xludf.DUMMYFUNCTION("""COMPUTED_VALUE"""),45000.72499300926)</f>
        <v>45000.72499</v>
      </c>
      <c r="C3494" s="1" t="str">
        <f>IFERROR(__xludf.DUMMYFUNCTION("""COMPUTED_VALUE"""),"escuedro w javier")</f>
        <v>escuedro w javier</v>
      </c>
      <c r="D3494" s="1" t="str">
        <f>IFERROR(__xludf.DUMMYFUNCTION("""COMPUTED_VALUE"""),"Lentes de STOCK")</f>
        <v>Lentes de STOCK</v>
      </c>
      <c r="E3494" s="1" t="str">
        <f>IFERROR(__xludf.DUMMYFUNCTION("""COMPUTED_VALUE"""),"RIVADAVIA Santiago N")</f>
        <v>RIVADAVIA Santiago N</v>
      </c>
      <c r="F3494" s="1" t="str">
        <f t="shared" si="1"/>
        <v>RIVADAVIA </v>
      </c>
      <c r="G3494" s="1" t="str">
        <f t="shared" si="2"/>
        <v>Santiago N</v>
      </c>
      <c r="H3494" s="1" t="str">
        <f>IFERROR(__xludf.DUMMYFUNCTION("""COMPUTED_VALUE"""),"18/3/2023, 17:00:00")</f>
        <v>18/3/2023, 17:00:00</v>
      </c>
      <c r="I3494" s="1" t="str">
        <f>IFERROR(__xludf.DUMMYFUNCTION("""COMPUTED_VALUE"""),"Completado en SUCURSAL")</f>
        <v>Completado en SUCURSAL</v>
      </c>
      <c r="J3494" s="1">
        <f t="shared" si="3"/>
        <v>5</v>
      </c>
      <c r="K3494" s="1" t="str">
        <f t="shared" si="4"/>
        <v>Tus Lentes estan LISTAS PARA ENTREGAR, te esperamos.</v>
      </c>
    </row>
    <row r="3495">
      <c r="A3495" s="1">
        <f>IFERROR(__xludf.DUMMYFUNCTION("""COMPUTED_VALUE"""),88040.0)</f>
        <v>88040</v>
      </c>
      <c r="B3495" s="5">
        <f>IFERROR(__xludf.DUMMYFUNCTION("""COMPUTED_VALUE"""),45000.73363165509)</f>
        <v>45000.73363</v>
      </c>
      <c r="C3495" s="1" t="str">
        <f>IFERROR(__xludf.DUMMYFUNCTION("""COMPUTED_VALUE"""),"BELLO MIGUEL ANTONIO")</f>
        <v>BELLO MIGUEL ANTONIO</v>
      </c>
      <c r="D3495" s="1" t="str">
        <f>IFERROR(__xludf.DUMMYFUNCTION("""COMPUTED_VALUE"""),"Reparaciones/Otros")</f>
        <v>Reparaciones/Otros</v>
      </c>
      <c r="E3495" s="1" t="str">
        <f>IFERROR(__xludf.DUMMYFUNCTION("""COMPUTED_VALUE"""),"RIVADAVIA Santiago LOPEZ")</f>
        <v>RIVADAVIA Santiago LOPEZ</v>
      </c>
      <c r="F3495" s="1" t="str">
        <f t="shared" si="1"/>
        <v>RIVADAVIA </v>
      </c>
      <c r="G3495" s="1" t="str">
        <f t="shared" si="2"/>
        <v>Santiago LOPEZ</v>
      </c>
      <c r="H3495" s="1" t="str">
        <f>IFERROR(__xludf.DUMMYFUNCTION("""COMPUTED_VALUE"""),"16/3/2023, 17:00:00")</f>
        <v>16/3/2023, 17:00:00</v>
      </c>
      <c r="I3495" s="1" t="str">
        <f>IFERROR(__xludf.DUMMYFUNCTION("""COMPUTED_VALUE"""),"Completado en SUCURSAL")</f>
        <v>Completado en SUCURSAL</v>
      </c>
      <c r="J3495" s="1">
        <f t="shared" si="3"/>
        <v>5</v>
      </c>
      <c r="K3495" s="1" t="str">
        <f t="shared" si="4"/>
        <v>Tus Lentes estan LISTAS PARA ENTREGAR, te esperamos.</v>
      </c>
    </row>
    <row r="3496">
      <c r="A3496" s="1">
        <f>IFERROR(__xludf.DUMMYFUNCTION("""COMPUTED_VALUE"""),88041.0)</f>
        <v>88041</v>
      </c>
      <c r="B3496" s="5">
        <f>IFERROR(__xludf.DUMMYFUNCTION("""COMPUTED_VALUE"""),45000.74869659722)</f>
        <v>45000.7487</v>
      </c>
      <c r="C3496" s="1" t="str">
        <f>IFERROR(__xludf.DUMMYFUNCTION("""COMPUTED_VALUE"""),"ibañez claudia")</f>
        <v>ibañez claudia</v>
      </c>
      <c r="D3496" s="1" t="str">
        <f>IFERROR(__xludf.DUMMYFUNCTION("""COMPUTED_VALUE"""),"Lentes MULTIFOCALES")</f>
        <v>Lentes MULTIFOCALES</v>
      </c>
      <c r="E3496" s="1" t="str">
        <f>IFERROR(__xludf.DUMMYFUNCTION("""COMPUTED_VALUE"""),"RIVADAVIA Santiago N")</f>
        <v>RIVADAVIA Santiago N</v>
      </c>
      <c r="F3496" s="1" t="str">
        <f t="shared" si="1"/>
        <v>RIVADAVIA </v>
      </c>
      <c r="G3496" s="1" t="str">
        <f t="shared" si="2"/>
        <v>Santiago N</v>
      </c>
      <c r="H3496" s="1" t="str">
        <f>IFERROR(__xludf.DUMMYFUNCTION("""COMPUTED_VALUE"""),"28/3/2023, 17:00:00")</f>
        <v>28/3/2023, 17:00:00</v>
      </c>
      <c r="I3496" s="1" t="str">
        <f>IFERROR(__xludf.DUMMYFUNCTION("""COMPUTED_VALUE"""),"Completado en SUCURSAL")</f>
        <v>Completado en SUCURSAL</v>
      </c>
      <c r="J3496" s="1">
        <f t="shared" si="3"/>
        <v>5</v>
      </c>
      <c r="K3496" s="1" t="str">
        <f t="shared" si="4"/>
        <v>Tus Lentes estan LISTAS PARA ENTREGAR, te esperamos.</v>
      </c>
    </row>
    <row r="3497">
      <c r="A3497" s="1">
        <f>IFERROR(__xludf.DUMMYFUNCTION("""COMPUTED_VALUE"""),88042.0)</f>
        <v>88042</v>
      </c>
      <c r="B3497" s="5">
        <f>IFERROR(__xludf.DUMMYFUNCTION("""COMPUTED_VALUE"""),45000.75693204861)</f>
        <v>45000.75693</v>
      </c>
      <c r="C3497" s="1" t="str">
        <f>IFERROR(__xludf.DUMMYFUNCTION("""COMPUTED_VALUE"""),"ochoa fabio guillermo")</f>
        <v>ochoa fabio guillermo</v>
      </c>
      <c r="D3497" s="1" t="str">
        <f>IFERROR(__xludf.DUMMYFUNCTION("""COMPUTED_VALUE"""),"Lentes de STOCK")</f>
        <v>Lentes de STOCK</v>
      </c>
      <c r="E3497" s="1" t="str">
        <f>IFERROR(__xludf.DUMMYFUNCTION("""COMPUTED_VALUE"""),"RIVADAVIA Santiago N")</f>
        <v>RIVADAVIA Santiago N</v>
      </c>
      <c r="F3497" s="1" t="str">
        <f t="shared" si="1"/>
        <v>RIVADAVIA </v>
      </c>
      <c r="G3497" s="1" t="str">
        <f t="shared" si="2"/>
        <v>Santiago N</v>
      </c>
      <c r="H3497" s="1" t="str">
        <f>IFERROR(__xludf.DUMMYFUNCTION("""COMPUTED_VALUE"""),"18/3/2023, 17:00:00")</f>
        <v>18/3/2023, 17:00:00</v>
      </c>
      <c r="I3497" s="1" t="str">
        <f>IFERROR(__xludf.DUMMYFUNCTION("""COMPUTED_VALUE"""),"Completado en SUCURSAL")</f>
        <v>Completado en SUCURSAL</v>
      </c>
      <c r="J3497" s="1">
        <f t="shared" si="3"/>
        <v>5</v>
      </c>
      <c r="K3497" s="1" t="str">
        <f t="shared" si="4"/>
        <v>Tus Lentes estan LISTAS PARA ENTREGAR, te esperamos.</v>
      </c>
    </row>
    <row r="3498">
      <c r="A3498" s="1">
        <f>IFERROR(__xludf.DUMMYFUNCTION("""COMPUTED_VALUE"""),88043.0)</f>
        <v>88043</v>
      </c>
      <c r="B3498" s="5">
        <f>IFERROR(__xludf.DUMMYFUNCTION("""COMPUTED_VALUE"""),45000.7683405787)</f>
        <v>45000.76834</v>
      </c>
      <c r="C3498" s="1" t="str">
        <f>IFERROR(__xludf.DUMMYFUNCTION("""COMPUTED_VALUE"""),"HORAK, GABRIELA JOHANA ")</f>
        <v>HORAK, GABRIELA JOHANA </v>
      </c>
      <c r="D3498" s="1" t="str">
        <f>IFERROR(__xludf.DUMMYFUNCTION("""COMPUTED_VALUE"""),"Lentes de STOCK")</f>
        <v>Lentes de STOCK</v>
      </c>
      <c r="E3498" s="1" t="str">
        <f>IFERROR(__xludf.DUMMYFUNCTION("""COMPUTED_VALUE"""),"RIVADAVIA Christian C.")</f>
        <v>RIVADAVIA Christian C.</v>
      </c>
      <c r="F3498" s="1" t="str">
        <f t="shared" si="1"/>
        <v>RIVADAVIA </v>
      </c>
      <c r="G3498" s="1" t="str">
        <f t="shared" si="2"/>
        <v>Christian C.</v>
      </c>
      <c r="H3498" s="1" t="str">
        <f>IFERROR(__xludf.DUMMYFUNCTION("""COMPUTED_VALUE"""),"23/3/2023, 17:00:00")</f>
        <v>23/3/2023, 17:00:00</v>
      </c>
      <c r="I3498" s="1" t="str">
        <f>IFERROR(__xludf.DUMMYFUNCTION("""COMPUTED_VALUE"""),"Completado en SUCURSAL")</f>
        <v>Completado en SUCURSAL</v>
      </c>
      <c r="J3498" s="1">
        <f t="shared" si="3"/>
        <v>5</v>
      </c>
      <c r="K3498" s="1" t="str">
        <f t="shared" si="4"/>
        <v>Tus Lentes estan LISTAS PARA ENTREGAR, te esperamos.</v>
      </c>
    </row>
    <row r="3499">
      <c r="A3499" s="1">
        <f>IFERROR(__xludf.DUMMYFUNCTION("""COMPUTED_VALUE"""),88044.0)</f>
        <v>88044</v>
      </c>
      <c r="B3499" s="5">
        <f>IFERROR(__xludf.DUMMYFUNCTION("""COMPUTED_VALUE"""),45000.7807628125)</f>
        <v>45000.78076</v>
      </c>
      <c r="C3499" s="1" t="str">
        <f>IFERROR(__xludf.DUMMYFUNCTION("""COMPUTED_VALUE"""),"sosa julio")</f>
        <v>sosa julio</v>
      </c>
      <c r="D3499" s="1" t="str">
        <f>IFERROR(__xludf.DUMMYFUNCTION("""COMPUTED_VALUE"""),"Reparaciones/Otros")</f>
        <v>Reparaciones/Otros</v>
      </c>
      <c r="E3499" s="1" t="str">
        <f>IFERROR(__xludf.DUMMYFUNCTION("""COMPUTED_VALUE"""),"ARTIGAS Roció")</f>
        <v>ARTIGAS Roció</v>
      </c>
      <c r="F3499" s="1" t="str">
        <f t="shared" si="1"/>
        <v>ARTIGAS </v>
      </c>
      <c r="G3499" s="1" t="str">
        <f t="shared" si="2"/>
        <v>Roció</v>
      </c>
      <c r="H3499" s="1" t="str">
        <f>IFERROR(__xludf.DUMMYFUNCTION("""COMPUTED_VALUE"""),"16/3/2023, 17:00:00")</f>
        <v>16/3/2023, 17:00:00</v>
      </c>
      <c r="I3499" s="1" t="str">
        <f>IFERROR(__xludf.DUMMYFUNCTION("""COMPUTED_VALUE"""),"Completado en SUCURSAL")</f>
        <v>Completado en SUCURSAL</v>
      </c>
      <c r="J3499" s="1">
        <f t="shared" si="3"/>
        <v>5</v>
      </c>
      <c r="K3499" s="1" t="str">
        <f t="shared" si="4"/>
        <v>Tus Lentes estan LISTAS PARA ENTREGAR, te esperamos.</v>
      </c>
    </row>
    <row r="3500">
      <c r="A3500" s="1">
        <f>IFERROR(__xludf.DUMMYFUNCTION("""COMPUTED_VALUE"""),88045.0)</f>
        <v>88045</v>
      </c>
      <c r="B3500" s="5">
        <f>IFERROR(__xludf.DUMMYFUNCTION("""COMPUTED_VALUE"""),45000.784570868054)</f>
        <v>45000.78457</v>
      </c>
      <c r="C3500" s="1" t="str">
        <f>IFERROR(__xludf.DUMMYFUNCTION("""COMPUTED_VALUE"""),"OCHOA ALBERTO ALFREDO")</f>
        <v>OCHOA ALBERTO ALFREDO</v>
      </c>
      <c r="D3500" s="1" t="str">
        <f>IFERROR(__xludf.DUMMYFUNCTION("""COMPUTED_VALUE"""),"Reparaciones/Otros")</f>
        <v>Reparaciones/Otros</v>
      </c>
      <c r="E3500" s="1" t="str">
        <f>IFERROR(__xludf.DUMMYFUNCTION("""COMPUTED_VALUE"""),"RIVADAVIA Christian C.")</f>
        <v>RIVADAVIA Christian C.</v>
      </c>
      <c r="F3500" s="1" t="str">
        <f t="shared" si="1"/>
        <v>RIVADAVIA </v>
      </c>
      <c r="G3500" s="1" t="str">
        <f t="shared" si="2"/>
        <v>Christian C.</v>
      </c>
      <c r="H3500" s="1" t="str">
        <f>IFERROR(__xludf.DUMMYFUNCTION("""COMPUTED_VALUE"""),"21/3/2023, 17:00:00")</f>
        <v>21/3/2023, 17:00:00</v>
      </c>
      <c r="I3500" s="1" t="str">
        <f>IFERROR(__xludf.DUMMYFUNCTION("""COMPUTED_VALUE"""),"Completado en SUCURSAL")</f>
        <v>Completado en SUCURSAL</v>
      </c>
      <c r="J3500" s="1">
        <f t="shared" si="3"/>
        <v>5</v>
      </c>
      <c r="K3500" s="1" t="str">
        <f t="shared" si="4"/>
        <v>Tus Lentes estan LISTAS PARA ENTREGAR, te esperamos.</v>
      </c>
    </row>
    <row r="3501">
      <c r="A3501" s="1">
        <f>IFERROR(__xludf.DUMMYFUNCTION("""COMPUTED_VALUE"""),88046.0)</f>
        <v>88046</v>
      </c>
      <c r="B3501" s="5">
        <f>IFERROR(__xludf.DUMMYFUNCTION("""COMPUTED_VALUE"""),45000.80504317129)</f>
        <v>45000.80504</v>
      </c>
      <c r="C3501" s="1" t="str">
        <f>IFERROR(__xludf.DUMMYFUNCTION("""COMPUTED_VALUE"""),"CLAVERO ERCILIA")</f>
        <v>CLAVERO ERCILIA</v>
      </c>
      <c r="D3501" s="1" t="str">
        <f>IFERROR(__xludf.DUMMYFUNCTION("""COMPUTED_VALUE"""),"Lentes de STOCK")</f>
        <v>Lentes de STOCK</v>
      </c>
      <c r="E3501" s="1" t="str">
        <f>IFERROR(__xludf.DUMMYFUNCTION("""COMPUTED_VALUE"""),"ARTIGAS Ivana P.")</f>
        <v>ARTIGAS Ivana P.</v>
      </c>
      <c r="F3501" s="1" t="str">
        <f t="shared" si="1"/>
        <v>ARTIGAS </v>
      </c>
      <c r="G3501" s="1" t="str">
        <f t="shared" si="2"/>
        <v>Ivana P.</v>
      </c>
      <c r="H3501" s="1" t="str">
        <f>IFERROR(__xludf.DUMMYFUNCTION("""COMPUTED_VALUE"""),"20/3/2023, 17:00:00")</f>
        <v>20/3/2023, 17:00:00</v>
      </c>
      <c r="I3501" s="1" t="str">
        <f>IFERROR(__xludf.DUMMYFUNCTION("""COMPUTED_VALUE"""),"Completado en SUCURSAL")</f>
        <v>Completado en SUCURSAL</v>
      </c>
      <c r="J3501" s="1">
        <f t="shared" si="3"/>
        <v>5</v>
      </c>
      <c r="K3501" s="1" t="str">
        <f t="shared" si="4"/>
        <v>Tus Lentes estan LISTAS PARA ENTREGAR, te esperamos.</v>
      </c>
    </row>
    <row r="3502">
      <c r="A3502" s="1">
        <f>IFERROR(__xludf.DUMMYFUNCTION("""COMPUTED_VALUE"""),88047.0)</f>
        <v>88047</v>
      </c>
      <c r="B3502" s="5">
        <f>IFERROR(__xludf.DUMMYFUNCTION("""COMPUTED_VALUE"""),45000.81877322917)</f>
        <v>45000.81877</v>
      </c>
      <c r="C3502" s="1" t="str">
        <f>IFERROR(__xludf.DUMMYFUNCTION("""COMPUTED_VALUE"""),"brito juana rosa")</f>
        <v>brito juana rosa</v>
      </c>
      <c r="D3502" s="1" t="str">
        <f>IFERROR(__xludf.DUMMYFUNCTION("""COMPUTED_VALUE"""),"Lentes MULTIFOCALES")</f>
        <v>Lentes MULTIFOCALES</v>
      </c>
      <c r="E3502" s="1" t="str">
        <f>IFERROR(__xludf.DUMMYFUNCTION("""COMPUTED_VALUE"""),"RIVADAVIA Santiago N")</f>
        <v>RIVADAVIA Santiago N</v>
      </c>
      <c r="F3502" s="1" t="str">
        <f t="shared" si="1"/>
        <v>RIVADAVIA </v>
      </c>
      <c r="G3502" s="1" t="str">
        <f t="shared" si="2"/>
        <v>Santiago N</v>
      </c>
      <c r="H3502" s="1" t="str">
        <f>IFERROR(__xludf.DUMMYFUNCTION("""COMPUTED_VALUE"""),"29/3/2023, 17:00:00")</f>
        <v>29/3/2023, 17:00:00</v>
      </c>
      <c r="I3502" s="1" t="str">
        <f>IFERROR(__xludf.DUMMYFUNCTION("""COMPUTED_VALUE"""),"RETIRADO OK POR CLIENTE")</f>
        <v>RETIRADO OK POR CLIENTE</v>
      </c>
      <c r="J3502" s="1">
        <f t="shared" si="3"/>
        <v>6</v>
      </c>
      <c r="K3502" s="1" t="str">
        <f t="shared" si="4"/>
        <v>Entregamos tus lentes, que los disfrutes!</v>
      </c>
    </row>
    <row r="3503">
      <c r="A3503" s="1">
        <f>IFERROR(__xludf.DUMMYFUNCTION("""COMPUTED_VALUE"""),88048.0)</f>
        <v>88048</v>
      </c>
      <c r="B3503" s="5">
        <f>IFERROR(__xludf.DUMMYFUNCTION("""COMPUTED_VALUE"""),45000.82045427083)</f>
        <v>45000.82045</v>
      </c>
      <c r="C3503" s="1" t="str">
        <f>IFERROR(__xludf.DUMMYFUNCTION("""COMPUTED_VALUE"""),"VEGA CARLOS ")</f>
        <v>VEGA CARLOS </v>
      </c>
      <c r="D3503" s="1" t="str">
        <f>IFERROR(__xludf.DUMMYFUNCTION("""COMPUTED_VALUE"""),"Reparaciones/Otros")</f>
        <v>Reparaciones/Otros</v>
      </c>
      <c r="E3503" s="1" t="str">
        <f>IFERROR(__xludf.DUMMYFUNCTION("""COMPUTED_VALUE"""),"ARTIGAS Micaela")</f>
        <v>ARTIGAS Micaela</v>
      </c>
      <c r="F3503" s="1" t="str">
        <f t="shared" si="1"/>
        <v>ARTIGAS </v>
      </c>
      <c r="G3503" s="1" t="str">
        <f t="shared" si="2"/>
        <v>Micaela</v>
      </c>
      <c r="H3503" s="1" t="str">
        <f>IFERROR(__xludf.DUMMYFUNCTION("""COMPUTED_VALUE"""),"17/3/2023, 17:00:00")</f>
        <v>17/3/2023, 17:00:00</v>
      </c>
      <c r="I3503" s="1" t="str">
        <f>IFERROR(__xludf.DUMMYFUNCTION("""COMPUTED_VALUE"""),"Completado en SUCURSAL")</f>
        <v>Completado en SUCURSAL</v>
      </c>
      <c r="J3503" s="1">
        <f t="shared" si="3"/>
        <v>5</v>
      </c>
      <c r="K3503" s="1" t="str">
        <f t="shared" si="4"/>
        <v>Tus Lentes estan LISTAS PARA ENTREGAR, te esperamos.</v>
      </c>
    </row>
    <row r="3504">
      <c r="A3504" s="1">
        <f>IFERROR(__xludf.DUMMYFUNCTION("""COMPUTED_VALUE"""),88049.0)</f>
        <v>88049</v>
      </c>
      <c r="B3504" s="5">
        <f>IFERROR(__xludf.DUMMYFUNCTION("""COMPUTED_VALUE"""),45000.821739328705)</f>
        <v>45000.82174</v>
      </c>
      <c r="C3504" s="1" t="str">
        <f>IFERROR(__xludf.DUMMYFUNCTION("""COMPUTED_VALUE"""),"MAGALLANES IAN ")</f>
        <v>MAGALLANES IAN </v>
      </c>
      <c r="D3504" s="1" t="str">
        <f>IFERROR(__xludf.DUMMYFUNCTION("""COMPUTED_VALUE"""),"Lentes de STOCK")</f>
        <v>Lentes de STOCK</v>
      </c>
      <c r="E3504" s="1" t="str">
        <f>IFERROR(__xludf.DUMMYFUNCTION("""COMPUTED_VALUE"""),"ARTIGAS Roció")</f>
        <v>ARTIGAS Roció</v>
      </c>
      <c r="F3504" s="1" t="str">
        <f t="shared" si="1"/>
        <v>ARTIGAS </v>
      </c>
      <c r="G3504" s="1" t="str">
        <f t="shared" si="2"/>
        <v>Roció</v>
      </c>
      <c r="H3504" s="1" t="str">
        <f>IFERROR(__xludf.DUMMYFUNCTION("""COMPUTED_VALUE"""),"23/3/2023, 17:00:00")</f>
        <v>23/3/2023, 17:00:00</v>
      </c>
      <c r="I3504" s="1" t="str">
        <f>IFERROR(__xludf.DUMMYFUNCTION("""COMPUTED_VALUE"""),"Completado en SUCURSAL")</f>
        <v>Completado en SUCURSAL</v>
      </c>
      <c r="J3504" s="1">
        <f t="shared" si="3"/>
        <v>5</v>
      </c>
      <c r="K3504" s="1" t="str">
        <f t="shared" si="4"/>
        <v>Tus Lentes estan LISTAS PARA ENTREGAR, te esperamos.</v>
      </c>
    </row>
    <row r="3505">
      <c r="A3505" s="1">
        <f>IFERROR(__xludf.DUMMYFUNCTION("""COMPUTED_VALUE"""),88050.0)</f>
        <v>88050</v>
      </c>
      <c r="B3505" s="5">
        <f>IFERROR(__xludf.DUMMYFUNCTION("""COMPUTED_VALUE"""),45000.82398354167)</f>
        <v>45000.82398</v>
      </c>
      <c r="C3505" s="1" t="str">
        <f>IFERROR(__xludf.DUMMYFUNCTION("""COMPUTED_VALUE"""),"alcaraz nora ")</f>
        <v>alcaraz nora </v>
      </c>
      <c r="D3505" s="1" t="str">
        <f>IFERROR(__xludf.DUMMYFUNCTION("""COMPUTED_VALUE"""),"Lentes MULTIFOCALES")</f>
        <v>Lentes MULTIFOCALES</v>
      </c>
      <c r="E3505" s="1" t="str">
        <f>IFERROR(__xludf.DUMMYFUNCTION("""COMPUTED_VALUE"""),"RIVADAVIA Santiago N")</f>
        <v>RIVADAVIA Santiago N</v>
      </c>
      <c r="F3505" s="1" t="str">
        <f t="shared" si="1"/>
        <v>RIVADAVIA </v>
      </c>
      <c r="G3505" s="1" t="str">
        <f t="shared" si="2"/>
        <v>Santiago N</v>
      </c>
      <c r="H3505" s="1" t="str">
        <f>IFERROR(__xludf.DUMMYFUNCTION("""COMPUTED_VALUE"""),"28/3/2023, 17:00:00")</f>
        <v>28/3/2023, 17:00:00</v>
      </c>
      <c r="I3505" s="1" t="str">
        <f>IFERROR(__xludf.DUMMYFUNCTION("""COMPUTED_VALUE"""),"RETIRADO OK POR CLIENTE")</f>
        <v>RETIRADO OK POR CLIENTE</v>
      </c>
      <c r="J3505" s="1">
        <f t="shared" si="3"/>
        <v>6</v>
      </c>
      <c r="K3505" s="1" t="str">
        <f t="shared" si="4"/>
        <v>Entregamos tus lentes, que los disfrutes!</v>
      </c>
    </row>
    <row r="3506">
      <c r="A3506" s="1">
        <f>IFERROR(__xludf.DUMMYFUNCTION("""COMPUTED_VALUE"""),88051.0)</f>
        <v>88051</v>
      </c>
      <c r="B3506" s="5">
        <f>IFERROR(__xludf.DUMMYFUNCTION("""COMPUTED_VALUE"""),45000.825535185184)</f>
        <v>45000.82554</v>
      </c>
      <c r="C3506" s="1" t="str">
        <f>IFERROR(__xludf.DUMMYFUNCTION("""COMPUTED_VALUE"""),"ALCARAZ HUGO DANIEL")</f>
        <v>ALCARAZ HUGO DANIEL</v>
      </c>
      <c r="D3506" s="1" t="str">
        <f>IFERROR(__xludf.DUMMYFUNCTION("""COMPUTED_VALUE"""),"Lentes de STOCK")</f>
        <v>Lentes de STOCK</v>
      </c>
      <c r="E3506" s="1" t="str">
        <f>IFERROR(__xludf.DUMMYFUNCTION("""COMPUTED_VALUE"""),"RIVADAVIA Christian C.")</f>
        <v>RIVADAVIA Christian C.</v>
      </c>
      <c r="F3506" s="1" t="str">
        <f t="shared" si="1"/>
        <v>RIVADAVIA </v>
      </c>
      <c r="G3506" s="1" t="str">
        <f t="shared" si="2"/>
        <v>Christian C.</v>
      </c>
      <c r="H3506" s="1" t="str">
        <f>IFERROR(__xludf.DUMMYFUNCTION("""COMPUTED_VALUE"""),"22/3/2023, 17:00:00")</f>
        <v>22/3/2023, 17:00:00</v>
      </c>
      <c r="I3506" s="1" t="str">
        <f>IFERROR(__xludf.DUMMYFUNCTION("""COMPUTED_VALUE"""),"Completado en SUCURSAL")</f>
        <v>Completado en SUCURSAL</v>
      </c>
      <c r="J3506" s="1">
        <f t="shared" si="3"/>
        <v>5</v>
      </c>
      <c r="K3506" s="1" t="str">
        <f t="shared" si="4"/>
        <v>Tus Lentes estan LISTAS PARA ENTREGAR, te esperamos.</v>
      </c>
    </row>
    <row r="3507">
      <c r="A3507" s="1">
        <f>IFERROR(__xludf.DUMMYFUNCTION("""COMPUTED_VALUE"""),88052.0)</f>
        <v>88052</v>
      </c>
      <c r="B3507" s="5">
        <f>IFERROR(__xludf.DUMMYFUNCTION("""COMPUTED_VALUE"""),45000.837556099534)</f>
        <v>45000.83756</v>
      </c>
      <c r="C3507" s="1" t="str">
        <f>IFERROR(__xludf.DUMMYFUNCTION("""COMPUTED_VALUE"""),"MALDONADO SERGIO")</f>
        <v>MALDONADO SERGIO</v>
      </c>
      <c r="D3507" s="1" t="str">
        <f>IFERROR(__xludf.DUMMYFUNCTION("""COMPUTED_VALUE"""),"Lentes MULTIFOCALES")</f>
        <v>Lentes MULTIFOCALES</v>
      </c>
      <c r="E3507" s="1" t="str">
        <f>IFERROR(__xludf.DUMMYFUNCTION("""COMPUTED_VALUE"""),"RIVADAVIA Santiago LOPEZ")</f>
        <v>RIVADAVIA Santiago LOPEZ</v>
      </c>
      <c r="F3507" s="1" t="str">
        <f t="shared" si="1"/>
        <v>RIVADAVIA </v>
      </c>
      <c r="G3507" s="1" t="str">
        <f t="shared" si="2"/>
        <v>Santiago LOPEZ</v>
      </c>
      <c r="H3507" s="1" t="str">
        <f>IFERROR(__xludf.DUMMYFUNCTION("""COMPUTED_VALUE"""),"29/3/2023, 17:00:00")</f>
        <v>29/3/2023, 17:00:00</v>
      </c>
      <c r="I3507" s="1" t="str">
        <f>IFERROR(__xludf.DUMMYFUNCTION("""COMPUTED_VALUE"""),"RETIRADO OK POR CLIENTE")</f>
        <v>RETIRADO OK POR CLIENTE</v>
      </c>
      <c r="J3507" s="1">
        <f t="shared" si="3"/>
        <v>6</v>
      </c>
      <c r="K3507" s="1" t="str">
        <f t="shared" si="4"/>
        <v>Entregamos tus lentes, que los disfrutes!</v>
      </c>
    </row>
    <row r="3508">
      <c r="A3508" s="1">
        <f>IFERROR(__xludf.DUMMYFUNCTION("""COMPUTED_VALUE"""),88053.0)</f>
        <v>88053</v>
      </c>
      <c r="B3508" s="5">
        <f>IFERROR(__xludf.DUMMYFUNCTION("""COMPUTED_VALUE"""),45000.837608483795)</f>
        <v>45000.83761</v>
      </c>
      <c r="C3508" s="1" t="str">
        <f>IFERROR(__xludf.DUMMYFUNCTION("""COMPUTED_VALUE"""),"SALINAS ROXANA")</f>
        <v>SALINAS ROXANA</v>
      </c>
      <c r="D3508" s="1" t="str">
        <f>IFERROR(__xludf.DUMMYFUNCTION("""COMPUTED_VALUE"""),"Lentes BIFOCALES")</f>
        <v>Lentes BIFOCALES</v>
      </c>
      <c r="E3508" s="1" t="str">
        <f>IFERROR(__xludf.DUMMYFUNCTION("""COMPUTED_VALUE"""),"RIVADAVIA Christian C.")</f>
        <v>RIVADAVIA Christian C.</v>
      </c>
      <c r="F3508" s="1" t="str">
        <f t="shared" si="1"/>
        <v>RIVADAVIA </v>
      </c>
      <c r="G3508" s="1" t="str">
        <f t="shared" si="2"/>
        <v>Christian C.</v>
      </c>
      <c r="H3508" s="1" t="str">
        <f>IFERROR(__xludf.DUMMYFUNCTION("""COMPUTED_VALUE"""),"17/3/2023, 17:00:00")</f>
        <v>17/3/2023, 17:00:00</v>
      </c>
      <c r="I3508" s="1" t="str">
        <f>IFERROR(__xludf.DUMMYFUNCTION("""COMPUTED_VALUE"""),"RETIRADO OK POR CLIENTE")</f>
        <v>RETIRADO OK POR CLIENTE</v>
      </c>
      <c r="J3508" s="1">
        <f t="shared" si="3"/>
        <v>6</v>
      </c>
      <c r="K3508" s="1" t="str">
        <f t="shared" si="4"/>
        <v>Entregamos tus lentes, que los disfrutes!</v>
      </c>
    </row>
    <row r="3509">
      <c r="A3509" s="1">
        <f>IFERROR(__xludf.DUMMYFUNCTION("""COMPUTED_VALUE"""),88054.0)</f>
        <v>88054</v>
      </c>
      <c r="B3509" s="5">
        <f>IFERROR(__xludf.DUMMYFUNCTION("""COMPUTED_VALUE"""),45000.84629400463)</f>
        <v>45000.84629</v>
      </c>
      <c r="C3509" s="1" t="str">
        <f>IFERROR(__xludf.DUMMYFUNCTION("""COMPUTED_VALUE"""),"BECERRA YOLANDA")</f>
        <v>BECERRA YOLANDA</v>
      </c>
      <c r="D3509" s="1" t="str">
        <f>IFERROR(__xludf.DUMMYFUNCTION("""COMPUTED_VALUE"""),"Lentes de STOCK")</f>
        <v>Lentes de STOCK</v>
      </c>
      <c r="E3509" s="1" t="str">
        <f>IFERROR(__xludf.DUMMYFUNCTION("""COMPUTED_VALUE"""),"RIVADAVIA Christian C.")</f>
        <v>RIVADAVIA Christian C.</v>
      </c>
      <c r="F3509" s="1" t="str">
        <f t="shared" si="1"/>
        <v>RIVADAVIA </v>
      </c>
      <c r="G3509" s="1" t="str">
        <f t="shared" si="2"/>
        <v>Christian C.</v>
      </c>
      <c r="H3509" s="1" t="str">
        <f>IFERROR(__xludf.DUMMYFUNCTION("""COMPUTED_VALUE"""),"21/3/2023, 17:00:00")</f>
        <v>21/3/2023, 17:00:00</v>
      </c>
      <c r="I3509" s="1" t="str">
        <f>IFERROR(__xludf.DUMMYFUNCTION("""COMPUTED_VALUE"""),"Recibido en Laboratorio")</f>
        <v>Recibido en Laboratorio</v>
      </c>
      <c r="J3509" s="1">
        <f t="shared" si="3"/>
        <v>2</v>
      </c>
      <c r="K3509" s="1" t="str">
        <f t="shared" si="4"/>
        <v>Nuestro Laboratorio esta trabajando en tus lentes, los entregaremos en la fecha acordada.</v>
      </c>
    </row>
    <row r="3510">
      <c r="A3510" s="1">
        <f>IFERROR(__xludf.DUMMYFUNCTION("""COMPUTED_VALUE"""),88055.0)</f>
        <v>88055</v>
      </c>
      <c r="B3510" s="5">
        <f>IFERROR(__xludf.DUMMYFUNCTION("""COMPUTED_VALUE"""),45000.852749259255)</f>
        <v>45000.85275</v>
      </c>
      <c r="C3510" s="1" t="str">
        <f>IFERROR(__xludf.DUMMYFUNCTION("""COMPUTED_VALUE"""),"rodriguez nelida")</f>
        <v>rodriguez nelida</v>
      </c>
      <c r="D3510" s="1" t="str">
        <f>IFERROR(__xludf.DUMMYFUNCTION("""COMPUTED_VALUE"""),"Lentes de STOCK")</f>
        <v>Lentes de STOCK</v>
      </c>
      <c r="E3510" s="1" t="str">
        <f>IFERROR(__xludf.DUMMYFUNCTION("""COMPUTED_VALUE"""),"RIVADAVIA Santiago N")</f>
        <v>RIVADAVIA Santiago N</v>
      </c>
      <c r="F3510" s="1" t="str">
        <f t="shared" si="1"/>
        <v>RIVADAVIA </v>
      </c>
      <c r="G3510" s="1" t="str">
        <f t="shared" si="2"/>
        <v>Santiago N</v>
      </c>
      <c r="H3510" s="1" t="str">
        <f>IFERROR(__xludf.DUMMYFUNCTION("""COMPUTED_VALUE"""),"18/3/2023, 17:00:00")</f>
        <v>18/3/2023, 17:00:00</v>
      </c>
      <c r="I3510" s="1" t="str">
        <f>IFERROR(__xludf.DUMMYFUNCTION("""COMPUTED_VALUE"""),"Completado en SUCURSAL")</f>
        <v>Completado en SUCURSAL</v>
      </c>
      <c r="J3510" s="1">
        <f t="shared" si="3"/>
        <v>5</v>
      </c>
      <c r="K3510" s="1" t="str">
        <f t="shared" si="4"/>
        <v>Tus Lentes estan LISTAS PARA ENTREGAR, te esperamos.</v>
      </c>
    </row>
    <row r="3511">
      <c r="A3511" s="1">
        <f>IFERROR(__xludf.DUMMYFUNCTION("""COMPUTED_VALUE"""),88056.0)</f>
        <v>88056</v>
      </c>
      <c r="B3511" s="5">
        <f>IFERROR(__xludf.DUMMYFUNCTION("""COMPUTED_VALUE"""),45000.85805513889)</f>
        <v>45000.85806</v>
      </c>
      <c r="C3511" s="1" t="str">
        <f>IFERROR(__xludf.DUMMYFUNCTION("""COMPUTED_VALUE"""),"PEREYRA MATIAS")</f>
        <v>PEREYRA MATIAS</v>
      </c>
      <c r="D3511" s="1" t="str">
        <f>IFERROR(__xludf.DUMMYFUNCTION("""COMPUTED_VALUE"""),"Lentes de STOCK")</f>
        <v>Lentes de STOCK</v>
      </c>
      <c r="E3511" s="1" t="str">
        <f>IFERROR(__xludf.DUMMYFUNCTION("""COMPUTED_VALUE"""),"RIVADAVIA Christian C.")</f>
        <v>RIVADAVIA Christian C.</v>
      </c>
      <c r="F3511" s="1" t="str">
        <f t="shared" si="1"/>
        <v>RIVADAVIA </v>
      </c>
      <c r="G3511" s="1" t="str">
        <f t="shared" si="2"/>
        <v>Christian C.</v>
      </c>
      <c r="H3511" s="1" t="str">
        <f>IFERROR(__xludf.DUMMYFUNCTION("""COMPUTED_VALUE"""),"22/3/2023, 17:00:00")</f>
        <v>22/3/2023, 17:00:00</v>
      </c>
      <c r="I3511" s="1" t="str">
        <f>IFERROR(__xludf.DUMMYFUNCTION("""COMPUTED_VALUE"""),"Completado en SUCURSAL")</f>
        <v>Completado en SUCURSAL</v>
      </c>
      <c r="J3511" s="1">
        <f t="shared" si="3"/>
        <v>5</v>
      </c>
      <c r="K3511" s="1" t="str">
        <f t="shared" si="4"/>
        <v>Tus Lentes estan LISTAS PARA ENTREGAR, te esperamos.</v>
      </c>
    </row>
    <row r="3512">
      <c r="A3512" s="1">
        <f>IFERROR(__xludf.DUMMYFUNCTION("""COMPUTED_VALUE"""),88057.0)</f>
        <v>88057</v>
      </c>
      <c r="B3512" s="5">
        <f>IFERROR(__xludf.DUMMYFUNCTION("""COMPUTED_VALUE"""),45000.862335937505)</f>
        <v>45000.86234</v>
      </c>
      <c r="C3512" s="1" t="str">
        <f>IFERROR(__xludf.DUMMYFUNCTION("""COMPUTED_VALUE"""),"serraimo rodriguez rocio")</f>
        <v>serraimo rodriguez rocio</v>
      </c>
      <c r="D3512" s="1" t="str">
        <f>IFERROR(__xludf.DUMMYFUNCTION("""COMPUTED_VALUE"""),"Lentes de LABORATORIO")</f>
        <v>Lentes de LABORATORIO</v>
      </c>
      <c r="E3512" s="1" t="str">
        <f>IFERROR(__xludf.DUMMYFUNCTION("""COMPUTED_VALUE"""),"RIVADAVIA Santiago N")</f>
        <v>RIVADAVIA Santiago N</v>
      </c>
      <c r="F3512" s="1" t="str">
        <f t="shared" si="1"/>
        <v>RIVADAVIA </v>
      </c>
      <c r="G3512" s="1" t="str">
        <f t="shared" si="2"/>
        <v>Santiago N</v>
      </c>
      <c r="H3512" s="1" t="str">
        <f>IFERROR(__xludf.DUMMYFUNCTION("""COMPUTED_VALUE"""),"30/3/2023, 17:00:00")</f>
        <v>30/3/2023, 17:00:00</v>
      </c>
      <c r="I3512" s="1" t="str">
        <f>IFERROR(__xludf.DUMMYFUNCTION("""COMPUTED_VALUE"""),"RETIRADO OK POR CLIENTE")</f>
        <v>RETIRADO OK POR CLIENTE</v>
      </c>
      <c r="J3512" s="1">
        <f t="shared" si="3"/>
        <v>6</v>
      </c>
      <c r="K3512" s="1" t="str">
        <f t="shared" si="4"/>
        <v>Entregamos tus lentes, que los disfrutes!</v>
      </c>
    </row>
    <row r="3513">
      <c r="A3513" s="1">
        <f>IFERROR(__xludf.DUMMYFUNCTION("""COMPUTED_VALUE"""),88058.0)</f>
        <v>88058</v>
      </c>
      <c r="B3513" s="5">
        <f>IFERROR(__xludf.DUMMYFUNCTION("""COMPUTED_VALUE"""),45001.38099984954)</f>
        <v>45001.381</v>
      </c>
      <c r="C3513" s="1" t="str">
        <f>IFERROR(__xludf.DUMMYFUNCTION("""COMPUTED_VALUE"""),"saez josel")</f>
        <v>saez josel</v>
      </c>
      <c r="D3513" s="1" t="str">
        <f>IFERROR(__xludf.DUMMYFUNCTION("""COMPUTED_VALUE"""),"Lentes de STOCK")</f>
        <v>Lentes de STOCK</v>
      </c>
      <c r="E3513" s="1" t="str">
        <f>IFERROR(__xludf.DUMMYFUNCTION("""COMPUTED_VALUE"""),"RIVADAVIA Daniel CM")</f>
        <v>RIVADAVIA Daniel CM</v>
      </c>
      <c r="F3513" s="1" t="str">
        <f t="shared" si="1"/>
        <v>RIVADAVIA </v>
      </c>
      <c r="G3513" s="1" t="str">
        <f t="shared" si="2"/>
        <v>Daniel CM</v>
      </c>
      <c r="H3513" s="1" t="str">
        <f>IFERROR(__xludf.DUMMYFUNCTION("""COMPUTED_VALUE"""),"20/3/2023, 17:00:00")</f>
        <v>20/3/2023, 17:00:00</v>
      </c>
      <c r="I3513" s="1" t="str">
        <f>IFERROR(__xludf.DUMMYFUNCTION("""COMPUTED_VALUE"""),"Completado en SUCURSAL")</f>
        <v>Completado en SUCURSAL</v>
      </c>
      <c r="J3513" s="1">
        <f t="shared" si="3"/>
        <v>5</v>
      </c>
      <c r="K3513" s="1" t="str">
        <f t="shared" si="4"/>
        <v>Tus Lentes estan LISTAS PARA ENTREGAR, te esperamos.</v>
      </c>
    </row>
    <row r="3514">
      <c r="A3514" s="1">
        <f>IFERROR(__xludf.DUMMYFUNCTION("""COMPUTED_VALUE"""),88059.0)</f>
        <v>88059</v>
      </c>
      <c r="B3514" s="5">
        <f>IFERROR(__xludf.DUMMYFUNCTION("""COMPUTED_VALUE"""),45001.383541504634)</f>
        <v>45001.38354</v>
      </c>
      <c r="C3514" s="1" t="str">
        <f>IFERROR(__xludf.DUMMYFUNCTION("""COMPUTED_VALUE"""),"saez zoe")</f>
        <v>saez zoe</v>
      </c>
      <c r="D3514" s="1" t="str">
        <f>IFERROR(__xludf.DUMMYFUNCTION("""COMPUTED_VALUE"""),"Lentes de STOCK")</f>
        <v>Lentes de STOCK</v>
      </c>
      <c r="E3514" s="1" t="str">
        <f>IFERROR(__xludf.DUMMYFUNCTION("""COMPUTED_VALUE"""),"RIVADAVIA Daniel CM")</f>
        <v>RIVADAVIA Daniel CM</v>
      </c>
      <c r="F3514" s="1" t="str">
        <f t="shared" si="1"/>
        <v>RIVADAVIA </v>
      </c>
      <c r="G3514" s="1" t="str">
        <f t="shared" si="2"/>
        <v>Daniel CM</v>
      </c>
      <c r="H3514" s="1" t="str">
        <f>IFERROR(__xludf.DUMMYFUNCTION("""COMPUTED_VALUE"""),"20/3/2023, 17:00:00")</f>
        <v>20/3/2023, 17:00:00</v>
      </c>
      <c r="I3514" s="1" t="str">
        <f>IFERROR(__xludf.DUMMYFUNCTION("""COMPUTED_VALUE"""),"Completado en SUCURSAL")</f>
        <v>Completado en SUCURSAL</v>
      </c>
      <c r="J3514" s="1">
        <f t="shared" si="3"/>
        <v>5</v>
      </c>
      <c r="K3514" s="1" t="str">
        <f t="shared" si="4"/>
        <v>Tus Lentes estan LISTAS PARA ENTREGAR, te esperamos.</v>
      </c>
    </row>
    <row r="3515">
      <c r="A3515" s="1">
        <f>IFERROR(__xludf.DUMMYFUNCTION("""COMPUTED_VALUE"""),88060.0)</f>
        <v>88060</v>
      </c>
      <c r="B3515" s="5">
        <f>IFERROR(__xludf.DUMMYFUNCTION("""COMPUTED_VALUE"""),45001.38863357639)</f>
        <v>45001.38863</v>
      </c>
      <c r="C3515" s="1" t="str">
        <f>IFERROR(__xludf.DUMMYFUNCTION("""COMPUTED_VALUE"""),"MUÑOZ AMERICA DE LAS MERCEDES")</f>
        <v>MUÑOZ AMERICA DE LAS MERCEDES</v>
      </c>
      <c r="D3515" s="1" t="str">
        <f>IFERROR(__xludf.DUMMYFUNCTION("""COMPUTED_VALUE"""),"Lentes de STOCK")</f>
        <v>Lentes de STOCK</v>
      </c>
      <c r="E3515" s="1" t="str">
        <f>IFERROR(__xludf.DUMMYFUNCTION("""COMPUTED_VALUE"""),"RIVADAVIA Marcela L")</f>
        <v>RIVADAVIA Marcela L</v>
      </c>
      <c r="F3515" s="1" t="str">
        <f t="shared" si="1"/>
        <v>RIVADAVIA </v>
      </c>
      <c r="G3515" s="1" t="str">
        <f t="shared" si="2"/>
        <v>Marcela L</v>
      </c>
      <c r="H3515" s="1" t="str">
        <f>IFERROR(__xludf.DUMMYFUNCTION("""COMPUTED_VALUE"""),"21/3/2023, 17:00:00")</f>
        <v>21/3/2023, 17:00:00</v>
      </c>
      <c r="I3515" s="1" t="str">
        <f>IFERROR(__xludf.DUMMYFUNCTION("""COMPUTED_VALUE"""),"Completado en SUCURSAL")</f>
        <v>Completado en SUCURSAL</v>
      </c>
      <c r="J3515" s="1">
        <f t="shared" si="3"/>
        <v>5</v>
      </c>
      <c r="K3515" s="1" t="str">
        <f t="shared" si="4"/>
        <v>Tus Lentes estan LISTAS PARA ENTREGAR, te esperamos.</v>
      </c>
    </row>
    <row r="3516">
      <c r="A3516" s="1">
        <f>IFERROR(__xludf.DUMMYFUNCTION("""COMPUTED_VALUE"""),88061.0)</f>
        <v>88061</v>
      </c>
      <c r="B3516" s="5">
        <f>IFERROR(__xludf.DUMMYFUNCTION("""COMPUTED_VALUE"""),45001.389937534725)</f>
        <v>45001.38994</v>
      </c>
      <c r="C3516" s="1" t="str">
        <f>IFERROR(__xludf.DUMMYFUNCTION("""COMPUTED_VALUE"""),"mitchell jorge")</f>
        <v>mitchell jorge</v>
      </c>
      <c r="D3516" s="1" t="str">
        <f>IFERROR(__xludf.DUMMYFUNCTION("""COMPUTED_VALUE"""),"Reparaciones/Otros")</f>
        <v>Reparaciones/Otros</v>
      </c>
      <c r="E3516" s="1" t="str">
        <f>IFERROR(__xludf.DUMMYFUNCTION("""COMPUTED_VALUE"""),"RIVADAVIA Daniel CM")</f>
        <v>RIVADAVIA Daniel CM</v>
      </c>
      <c r="F3516" s="1" t="str">
        <f t="shared" si="1"/>
        <v>RIVADAVIA </v>
      </c>
      <c r="G3516" s="1" t="str">
        <f t="shared" si="2"/>
        <v>Daniel CM</v>
      </c>
      <c r="H3516" s="1" t="str">
        <f>IFERROR(__xludf.DUMMYFUNCTION("""COMPUTED_VALUE"""),"17/3/2023, 17:00:00")</f>
        <v>17/3/2023, 17:00:00</v>
      </c>
      <c r="I3516" s="1" t="str">
        <f>IFERROR(__xludf.DUMMYFUNCTION("""COMPUTED_VALUE"""),"Completado en SUCURSAL")</f>
        <v>Completado en SUCURSAL</v>
      </c>
      <c r="J3516" s="1">
        <f t="shared" si="3"/>
        <v>5</v>
      </c>
      <c r="K3516" s="1" t="str">
        <f t="shared" si="4"/>
        <v>Tus Lentes estan LISTAS PARA ENTREGAR, te esperamos.</v>
      </c>
    </row>
    <row r="3517">
      <c r="A3517" s="1">
        <f>IFERROR(__xludf.DUMMYFUNCTION("""COMPUTED_VALUE"""),88062.0)</f>
        <v>88062</v>
      </c>
      <c r="B3517" s="5">
        <f>IFERROR(__xludf.DUMMYFUNCTION("""COMPUTED_VALUE"""),45001.39295934028)</f>
        <v>45001.39296</v>
      </c>
      <c r="C3517" s="1" t="str">
        <f>IFERROR(__xludf.DUMMYFUNCTION("""COMPUTED_VALUE"""),"roche alejandra")</f>
        <v>roche alejandra</v>
      </c>
      <c r="D3517" s="1" t="str">
        <f>IFERROR(__xludf.DUMMYFUNCTION("""COMPUTED_VALUE"""),"Lentes de STOCK")</f>
        <v>Lentes de STOCK</v>
      </c>
      <c r="E3517" s="1" t="str">
        <f>IFERROR(__xludf.DUMMYFUNCTION("""COMPUTED_VALUE"""),"RIVADAVIA Santiago N")</f>
        <v>RIVADAVIA Santiago N</v>
      </c>
      <c r="F3517" s="1" t="str">
        <f t="shared" si="1"/>
        <v>RIVADAVIA </v>
      </c>
      <c r="G3517" s="1" t="str">
        <f t="shared" si="2"/>
        <v>Santiago N</v>
      </c>
      <c r="H3517" s="1" t="str">
        <f>IFERROR(__xludf.DUMMYFUNCTION("""COMPUTED_VALUE"""),"20/3/2023, 17:00:00")</f>
        <v>20/3/2023, 17:00:00</v>
      </c>
      <c r="I3517" s="1" t="str">
        <f>IFERROR(__xludf.DUMMYFUNCTION("""COMPUTED_VALUE"""),"Completado en SUCURSAL")</f>
        <v>Completado en SUCURSAL</v>
      </c>
      <c r="J3517" s="1">
        <f t="shared" si="3"/>
        <v>5</v>
      </c>
      <c r="K3517" s="1" t="str">
        <f t="shared" si="4"/>
        <v>Tus Lentes estan LISTAS PARA ENTREGAR, te esperamos.</v>
      </c>
    </row>
    <row r="3518">
      <c r="A3518" s="1">
        <f>IFERROR(__xludf.DUMMYFUNCTION("""COMPUTED_VALUE"""),88063.0)</f>
        <v>88063</v>
      </c>
      <c r="B3518" s="5">
        <f>IFERROR(__xludf.DUMMYFUNCTION("""COMPUTED_VALUE"""),45001.39693614583)</f>
        <v>45001.39694</v>
      </c>
      <c r="C3518" s="1" t="str">
        <f>IFERROR(__xludf.DUMMYFUNCTION("""COMPUTED_VALUE"""),"SOSA MIRTA")</f>
        <v>SOSA MIRTA</v>
      </c>
      <c r="D3518" s="1" t="str">
        <f>IFERROR(__xludf.DUMMYFUNCTION("""COMPUTED_VALUE"""),"Lentes de STOCK")</f>
        <v>Lentes de STOCK</v>
      </c>
      <c r="E3518" s="1" t="str">
        <f>IFERROR(__xludf.DUMMYFUNCTION("""COMPUTED_VALUE"""),"ARTIGAS Ivana P.")</f>
        <v>ARTIGAS Ivana P.</v>
      </c>
      <c r="F3518" s="1" t="str">
        <f t="shared" si="1"/>
        <v>ARTIGAS </v>
      </c>
      <c r="G3518" s="1" t="str">
        <f t="shared" si="2"/>
        <v>Ivana P.</v>
      </c>
      <c r="H3518" s="1" t="str">
        <f>IFERROR(__xludf.DUMMYFUNCTION("""COMPUTED_VALUE"""),"20/3/2023, 17:00:00")</f>
        <v>20/3/2023, 17:00:00</v>
      </c>
      <c r="I3518" s="1" t="str">
        <f>IFERROR(__xludf.DUMMYFUNCTION("""COMPUTED_VALUE"""),"Completado en SUCURSAL")</f>
        <v>Completado en SUCURSAL</v>
      </c>
      <c r="J3518" s="1">
        <f t="shared" si="3"/>
        <v>5</v>
      </c>
      <c r="K3518" s="1" t="str">
        <f t="shared" si="4"/>
        <v>Tus Lentes estan LISTAS PARA ENTREGAR, te esperamos.</v>
      </c>
    </row>
    <row r="3519">
      <c r="A3519" s="1">
        <f>IFERROR(__xludf.DUMMYFUNCTION("""COMPUTED_VALUE"""),88064.0)</f>
        <v>88064</v>
      </c>
      <c r="B3519" s="5">
        <f>IFERROR(__xludf.DUMMYFUNCTION("""COMPUTED_VALUE"""),45001.39767351851)</f>
        <v>45001.39767</v>
      </c>
      <c r="C3519" s="1" t="str">
        <f>IFERROR(__xludf.DUMMYFUNCTION("""COMPUTED_VALUE"""),"ruiz veronica")</f>
        <v>ruiz veronica</v>
      </c>
      <c r="D3519" s="1" t="str">
        <f>IFERROR(__xludf.DUMMYFUNCTION("""COMPUTED_VALUE"""),"Reparaciones/Otros")</f>
        <v>Reparaciones/Otros</v>
      </c>
      <c r="E3519" s="1" t="str">
        <f>IFERROR(__xludf.DUMMYFUNCTION("""COMPUTED_VALUE"""),"RIVADAVIA Santiago N")</f>
        <v>RIVADAVIA Santiago N</v>
      </c>
      <c r="F3519" s="1" t="str">
        <f t="shared" si="1"/>
        <v>RIVADAVIA </v>
      </c>
      <c r="G3519" s="1" t="str">
        <f t="shared" si="2"/>
        <v>Santiago N</v>
      </c>
      <c r="H3519" s="1" t="str">
        <f>IFERROR(__xludf.DUMMYFUNCTION("""COMPUTED_VALUE"""),"17/3/2023, 17:00:00")</f>
        <v>17/3/2023, 17:00:00</v>
      </c>
      <c r="I3519" s="1" t="str">
        <f>IFERROR(__xludf.DUMMYFUNCTION("""COMPUTED_VALUE"""),"Completado en SUCURSAL")</f>
        <v>Completado en SUCURSAL</v>
      </c>
      <c r="J3519" s="1">
        <f t="shared" si="3"/>
        <v>5</v>
      </c>
      <c r="K3519" s="1" t="str">
        <f t="shared" si="4"/>
        <v>Tus Lentes estan LISTAS PARA ENTREGAR, te esperamos.</v>
      </c>
    </row>
    <row r="3520">
      <c r="A3520" s="1">
        <f>IFERROR(__xludf.DUMMYFUNCTION("""COMPUTED_VALUE"""),88065.0)</f>
        <v>88065</v>
      </c>
      <c r="B3520" s="5">
        <f>IFERROR(__xludf.DUMMYFUNCTION("""COMPUTED_VALUE"""),45001.40683828703)</f>
        <v>45001.40684</v>
      </c>
      <c r="C3520" s="1" t="str">
        <f>IFERROR(__xludf.DUMMYFUNCTION("""COMPUTED_VALUE"""),"SORIA MAXIMA ANTONIA")</f>
        <v>SORIA MAXIMA ANTONIA</v>
      </c>
      <c r="D3520" s="1" t="str">
        <f>IFERROR(__xludf.DUMMYFUNCTION("""COMPUTED_VALUE"""),"Lentes de STOCK")</f>
        <v>Lentes de STOCK</v>
      </c>
      <c r="E3520" s="1" t="str">
        <f>IFERROR(__xludf.DUMMYFUNCTION("""COMPUTED_VALUE"""),"RIVADAVIA Christian C.")</f>
        <v>RIVADAVIA Christian C.</v>
      </c>
      <c r="F3520" s="1" t="str">
        <f t="shared" si="1"/>
        <v>RIVADAVIA </v>
      </c>
      <c r="G3520" s="1" t="str">
        <f t="shared" si="2"/>
        <v>Christian C.</v>
      </c>
      <c r="H3520" s="1" t="str">
        <f>IFERROR(__xludf.DUMMYFUNCTION("""COMPUTED_VALUE"""),"20/3/2023, 17:00:00")</f>
        <v>20/3/2023, 17:00:00</v>
      </c>
      <c r="I3520" s="1" t="str">
        <f>IFERROR(__xludf.DUMMYFUNCTION("""COMPUTED_VALUE"""),"Completado en SUCURSAL")</f>
        <v>Completado en SUCURSAL</v>
      </c>
      <c r="J3520" s="1">
        <f t="shared" si="3"/>
        <v>5</v>
      </c>
      <c r="K3520" s="1" t="str">
        <f t="shared" si="4"/>
        <v>Tus Lentes estan LISTAS PARA ENTREGAR, te esperamos.</v>
      </c>
    </row>
    <row r="3521">
      <c r="A3521" s="1">
        <f>IFERROR(__xludf.DUMMYFUNCTION("""COMPUTED_VALUE"""),88066.0)</f>
        <v>88066</v>
      </c>
      <c r="B3521" s="5">
        <f>IFERROR(__xludf.DUMMYFUNCTION("""COMPUTED_VALUE"""),45001.40736809028)</f>
        <v>45001.40737</v>
      </c>
      <c r="C3521" s="1" t="str">
        <f>IFERROR(__xludf.DUMMYFUNCTION("""COMPUTED_VALUE"""),"ontivero baltazar")</f>
        <v>ontivero baltazar</v>
      </c>
      <c r="D3521" s="1" t="str">
        <f>IFERROR(__xludf.DUMMYFUNCTION("""COMPUTED_VALUE"""),"Lentes de STOCK")</f>
        <v>Lentes de STOCK</v>
      </c>
      <c r="E3521" s="1" t="str">
        <f>IFERROR(__xludf.DUMMYFUNCTION("""COMPUTED_VALUE"""),"ARTIGAS Roció")</f>
        <v>ARTIGAS Roció</v>
      </c>
      <c r="F3521" s="1" t="str">
        <f t="shared" si="1"/>
        <v>ARTIGAS </v>
      </c>
      <c r="G3521" s="1" t="str">
        <f t="shared" si="2"/>
        <v>Roció</v>
      </c>
      <c r="H3521" s="1" t="str">
        <f>IFERROR(__xludf.DUMMYFUNCTION("""COMPUTED_VALUE"""),"23/3/2023, 17:00:00")</f>
        <v>23/3/2023, 17:00:00</v>
      </c>
      <c r="I3521" s="1" t="str">
        <f>IFERROR(__xludf.DUMMYFUNCTION("""COMPUTED_VALUE"""),"Completado en SUCURSAL")</f>
        <v>Completado en SUCURSAL</v>
      </c>
      <c r="J3521" s="1">
        <f t="shared" si="3"/>
        <v>5</v>
      </c>
      <c r="K3521" s="1" t="str">
        <f t="shared" si="4"/>
        <v>Tus Lentes estan LISTAS PARA ENTREGAR, te esperamos.</v>
      </c>
    </row>
    <row r="3522">
      <c r="A3522" s="1">
        <f>IFERROR(__xludf.DUMMYFUNCTION("""COMPUTED_VALUE"""),88067.0)</f>
        <v>88067</v>
      </c>
      <c r="B3522" s="5">
        <f>IFERROR(__xludf.DUMMYFUNCTION("""COMPUTED_VALUE"""),45001.413207986116)</f>
        <v>45001.41321</v>
      </c>
      <c r="C3522" s="1" t="str">
        <f>IFERROR(__xludf.DUMMYFUNCTION("""COMPUTED_VALUE"""),"CALDERON MARTIN")</f>
        <v>CALDERON MARTIN</v>
      </c>
      <c r="D3522" s="1" t="str">
        <f>IFERROR(__xludf.DUMMYFUNCTION("""COMPUTED_VALUE"""),"Reparaciones/Otros")</f>
        <v>Reparaciones/Otros</v>
      </c>
      <c r="E3522" s="1" t="str">
        <f>IFERROR(__xludf.DUMMYFUNCTION("""COMPUTED_VALUE"""),"RIVADAVIA Marcela L")</f>
        <v>RIVADAVIA Marcela L</v>
      </c>
      <c r="F3522" s="1" t="str">
        <f t="shared" si="1"/>
        <v>RIVADAVIA </v>
      </c>
      <c r="G3522" s="1" t="str">
        <f t="shared" si="2"/>
        <v>Marcela L</v>
      </c>
      <c r="H3522" s="1" t="str">
        <f>IFERROR(__xludf.DUMMYFUNCTION("""COMPUTED_VALUE"""),"17/3/2023, 17:00:00")</f>
        <v>17/3/2023, 17:00:00</v>
      </c>
      <c r="I3522" s="1" t="str">
        <f>IFERROR(__xludf.DUMMYFUNCTION("""COMPUTED_VALUE"""),"Completado en SUCURSAL")</f>
        <v>Completado en SUCURSAL</v>
      </c>
      <c r="J3522" s="1">
        <f t="shared" si="3"/>
        <v>5</v>
      </c>
      <c r="K3522" s="1" t="str">
        <f t="shared" si="4"/>
        <v>Tus Lentes estan LISTAS PARA ENTREGAR, te esperamos.</v>
      </c>
    </row>
    <row r="3523">
      <c r="A3523" s="1">
        <f>IFERROR(__xludf.DUMMYFUNCTION("""COMPUTED_VALUE"""),88068.0)</f>
        <v>88068</v>
      </c>
      <c r="B3523" s="5">
        <f>IFERROR(__xludf.DUMMYFUNCTION("""COMPUTED_VALUE"""),45001.41493988426)</f>
        <v>45001.41494</v>
      </c>
      <c r="C3523" s="1" t="str">
        <f>IFERROR(__xludf.DUMMYFUNCTION("""COMPUTED_VALUE"""),"CABRERA SILVIA")</f>
        <v>CABRERA SILVIA</v>
      </c>
      <c r="D3523" s="1" t="str">
        <f>IFERROR(__xludf.DUMMYFUNCTION("""COMPUTED_VALUE"""),"Lentes MULTIFOCALES")</f>
        <v>Lentes MULTIFOCALES</v>
      </c>
      <c r="E3523" s="1" t="str">
        <f>IFERROR(__xludf.DUMMYFUNCTION("""COMPUTED_VALUE"""),"RIVADAVIA Santiago LOPEZ")</f>
        <v>RIVADAVIA Santiago LOPEZ</v>
      </c>
      <c r="F3523" s="1" t="str">
        <f t="shared" si="1"/>
        <v>RIVADAVIA </v>
      </c>
      <c r="G3523" s="1" t="str">
        <f t="shared" si="2"/>
        <v>Santiago LOPEZ</v>
      </c>
      <c r="H3523" s="1" t="str">
        <f>IFERROR(__xludf.DUMMYFUNCTION("""COMPUTED_VALUE"""),"30/3/2023, 17:00:00")</f>
        <v>30/3/2023, 17:00:00</v>
      </c>
      <c r="I3523" s="1" t="str">
        <f>IFERROR(__xludf.DUMMYFUNCTION("""COMPUTED_VALUE"""),"Completado en SUCURSAL")</f>
        <v>Completado en SUCURSAL</v>
      </c>
      <c r="J3523" s="1">
        <f t="shared" si="3"/>
        <v>5</v>
      </c>
      <c r="K3523" s="1" t="str">
        <f t="shared" si="4"/>
        <v>Tus Lentes estan LISTAS PARA ENTREGAR, te esperamos.</v>
      </c>
    </row>
    <row r="3524">
      <c r="A3524" s="1">
        <f>IFERROR(__xludf.DUMMYFUNCTION("""COMPUTED_VALUE"""),88069.0)</f>
        <v>88069</v>
      </c>
      <c r="B3524" s="5">
        <f>IFERROR(__xludf.DUMMYFUNCTION("""COMPUTED_VALUE"""),45001.425071377314)</f>
        <v>45001.42507</v>
      </c>
      <c r="C3524" s="1" t="str">
        <f>IFERROR(__xludf.DUMMYFUNCTION("""COMPUTED_VALUE"""),"NIETO NATALIA")</f>
        <v>NIETO NATALIA</v>
      </c>
      <c r="D3524" s="1" t="str">
        <f>IFERROR(__xludf.DUMMYFUNCTION("""COMPUTED_VALUE"""),"Reparaciones/Otros")</f>
        <v>Reparaciones/Otros</v>
      </c>
      <c r="E3524" s="1" t="str">
        <f>IFERROR(__xludf.DUMMYFUNCTION("""COMPUTED_VALUE"""),"RIVADAVIA Santiago LOPEZ")</f>
        <v>RIVADAVIA Santiago LOPEZ</v>
      </c>
      <c r="F3524" s="1" t="str">
        <f t="shared" si="1"/>
        <v>RIVADAVIA </v>
      </c>
      <c r="G3524" s="1" t="str">
        <f t="shared" si="2"/>
        <v>Santiago LOPEZ</v>
      </c>
      <c r="H3524" s="1" t="str">
        <f>IFERROR(__xludf.DUMMYFUNCTION("""COMPUTED_VALUE"""),"17/3/2023, 17:00:00")</f>
        <v>17/3/2023, 17:00:00</v>
      </c>
      <c r="I3524" s="1" t="str">
        <f>IFERROR(__xludf.DUMMYFUNCTION("""COMPUTED_VALUE"""),"Recibido en Laboratorio")</f>
        <v>Recibido en Laboratorio</v>
      </c>
      <c r="J3524" s="1">
        <f t="shared" si="3"/>
        <v>2</v>
      </c>
      <c r="K3524" s="1" t="str">
        <f t="shared" si="4"/>
        <v>Nuestro Laboratorio esta trabajando en tus lentes, los entregaremos en la fecha acordada.</v>
      </c>
    </row>
    <row r="3525">
      <c r="A3525" s="1">
        <f>IFERROR(__xludf.DUMMYFUNCTION("""COMPUTED_VALUE"""),88070.0)</f>
        <v>88070</v>
      </c>
      <c r="B3525" s="5">
        <f>IFERROR(__xludf.DUMMYFUNCTION("""COMPUTED_VALUE"""),45001.42630131944)</f>
        <v>45001.4263</v>
      </c>
      <c r="C3525" s="1" t="str">
        <f>IFERROR(__xludf.DUMMYFUNCTION("""COMPUTED_VALUE"""),"magallanes ibar")</f>
        <v>magallanes ibar</v>
      </c>
      <c r="D3525" s="1" t="str">
        <f>IFERROR(__xludf.DUMMYFUNCTION("""COMPUTED_VALUE"""),"Lentes de STOCK")</f>
        <v>Lentes de STOCK</v>
      </c>
      <c r="E3525" s="1" t="str">
        <f>IFERROR(__xludf.DUMMYFUNCTION("""COMPUTED_VALUE"""),"RIVADAVIA Santiago N")</f>
        <v>RIVADAVIA Santiago N</v>
      </c>
      <c r="F3525" s="1" t="str">
        <f t="shared" si="1"/>
        <v>RIVADAVIA </v>
      </c>
      <c r="G3525" s="1" t="str">
        <f t="shared" si="2"/>
        <v>Santiago N</v>
      </c>
      <c r="H3525" s="1" t="str">
        <f>IFERROR(__xludf.DUMMYFUNCTION("""COMPUTED_VALUE"""),"20/3/2023, 17:00:00")</f>
        <v>20/3/2023, 17:00:00</v>
      </c>
      <c r="I3525" s="1" t="str">
        <f>IFERROR(__xludf.DUMMYFUNCTION("""COMPUTED_VALUE"""),"Completado en SUCURSAL")</f>
        <v>Completado en SUCURSAL</v>
      </c>
      <c r="J3525" s="1">
        <f t="shared" si="3"/>
        <v>5</v>
      </c>
      <c r="K3525" s="1" t="str">
        <f t="shared" si="4"/>
        <v>Tus Lentes estan LISTAS PARA ENTREGAR, te esperamos.</v>
      </c>
    </row>
    <row r="3526">
      <c r="A3526" s="1">
        <f>IFERROR(__xludf.DUMMYFUNCTION("""COMPUTED_VALUE"""),88071.0)</f>
        <v>88071</v>
      </c>
      <c r="B3526" s="5">
        <f>IFERROR(__xludf.DUMMYFUNCTION("""COMPUTED_VALUE"""),45001.4302030324)</f>
        <v>45001.4302</v>
      </c>
      <c r="C3526" s="1" t="str">
        <f>IFERROR(__xludf.DUMMYFUNCTION("""COMPUTED_VALUE"""),"SUAREZ EVA")</f>
        <v>SUAREZ EVA</v>
      </c>
      <c r="D3526" s="1" t="str">
        <f>IFERROR(__xludf.DUMMYFUNCTION("""COMPUTED_VALUE"""),"Reparaciones/Otros")</f>
        <v>Reparaciones/Otros</v>
      </c>
      <c r="E3526" s="1" t="str">
        <f>IFERROR(__xludf.DUMMYFUNCTION("""COMPUTED_VALUE"""),"ARTIGAS Ivana P.")</f>
        <v>ARTIGAS Ivana P.</v>
      </c>
      <c r="F3526" s="1" t="str">
        <f t="shared" si="1"/>
        <v>ARTIGAS </v>
      </c>
      <c r="G3526" s="1" t="str">
        <f t="shared" si="2"/>
        <v>Ivana P.</v>
      </c>
      <c r="H3526" s="1" t="str">
        <f>IFERROR(__xludf.DUMMYFUNCTION("""COMPUTED_VALUE"""),"17/3/2023, 17:00:00")</f>
        <v>17/3/2023, 17:00:00</v>
      </c>
      <c r="I3526" s="1" t="str">
        <f>IFERROR(__xludf.DUMMYFUNCTION("""COMPUTED_VALUE"""),"Completado en SUCURSAL")</f>
        <v>Completado en SUCURSAL</v>
      </c>
      <c r="J3526" s="1">
        <f t="shared" si="3"/>
        <v>5</v>
      </c>
      <c r="K3526" s="1" t="str">
        <f t="shared" si="4"/>
        <v>Tus Lentes estan LISTAS PARA ENTREGAR, te esperamos.</v>
      </c>
    </row>
    <row r="3527">
      <c r="A3527" s="1">
        <f>IFERROR(__xludf.DUMMYFUNCTION("""COMPUTED_VALUE"""),88072.0)</f>
        <v>88072</v>
      </c>
      <c r="B3527" s="5">
        <f>IFERROR(__xludf.DUMMYFUNCTION("""COMPUTED_VALUE"""),45001.43264396991)</f>
        <v>45001.43264</v>
      </c>
      <c r="C3527" s="1" t="str">
        <f>IFERROR(__xludf.DUMMYFUNCTION("""COMPUTED_VALUE"""),"ojeda irma")</f>
        <v>ojeda irma</v>
      </c>
      <c r="D3527" s="1" t="str">
        <f>IFERROR(__xludf.DUMMYFUNCTION("""COMPUTED_VALUE"""),"Lentes de STOCK")</f>
        <v>Lentes de STOCK</v>
      </c>
      <c r="E3527" s="1" t="str">
        <f>IFERROR(__xludf.DUMMYFUNCTION("""COMPUTED_VALUE"""),"RIVADAVIA Santiago LOPEZ")</f>
        <v>RIVADAVIA Santiago LOPEZ</v>
      </c>
      <c r="F3527" s="1" t="str">
        <f t="shared" si="1"/>
        <v>RIVADAVIA </v>
      </c>
      <c r="G3527" s="1" t="str">
        <f t="shared" si="2"/>
        <v>Santiago LOPEZ</v>
      </c>
      <c r="H3527" s="1" t="str">
        <f>IFERROR(__xludf.DUMMYFUNCTION("""COMPUTED_VALUE"""),"21/3/2023, 17:00:00")</f>
        <v>21/3/2023, 17:00:00</v>
      </c>
      <c r="I3527" s="1" t="str">
        <f>IFERROR(__xludf.DUMMYFUNCTION("""COMPUTED_VALUE"""),"Completado en SUCURSAL")</f>
        <v>Completado en SUCURSAL</v>
      </c>
      <c r="J3527" s="1">
        <f t="shared" si="3"/>
        <v>5</v>
      </c>
      <c r="K3527" s="1" t="str">
        <f t="shared" si="4"/>
        <v>Tus Lentes estan LISTAS PARA ENTREGAR, te esperamos.</v>
      </c>
    </row>
    <row r="3528">
      <c r="A3528" s="1">
        <f>IFERROR(__xludf.DUMMYFUNCTION("""COMPUTED_VALUE"""),88073.0)</f>
        <v>88073</v>
      </c>
      <c r="B3528" s="5">
        <f>IFERROR(__xludf.DUMMYFUNCTION("""COMPUTED_VALUE"""),45001.436221944445)</f>
        <v>45001.43622</v>
      </c>
      <c r="C3528" s="1" t="str">
        <f>IFERROR(__xludf.DUMMYFUNCTION("""COMPUTED_VALUE"""),"busto nicolas")</f>
        <v>busto nicolas</v>
      </c>
      <c r="D3528" s="1" t="str">
        <f>IFERROR(__xludf.DUMMYFUNCTION("""COMPUTED_VALUE"""),"Lentes de STOCK")</f>
        <v>Lentes de STOCK</v>
      </c>
      <c r="E3528" s="1" t="str">
        <f>IFERROR(__xludf.DUMMYFUNCTION("""COMPUTED_VALUE"""),"ARTIGAS Roció")</f>
        <v>ARTIGAS Roció</v>
      </c>
      <c r="F3528" s="1" t="str">
        <f t="shared" si="1"/>
        <v>ARTIGAS </v>
      </c>
      <c r="G3528" s="1" t="str">
        <f t="shared" si="2"/>
        <v>Roció</v>
      </c>
      <c r="H3528" s="1" t="str">
        <f>IFERROR(__xludf.DUMMYFUNCTION("""COMPUTED_VALUE"""),"23/3/2023, 17:00:00")</f>
        <v>23/3/2023, 17:00:00</v>
      </c>
      <c r="I3528" s="1" t="str">
        <f>IFERROR(__xludf.DUMMYFUNCTION("""COMPUTED_VALUE"""),"Completado en SUCURSAL")</f>
        <v>Completado en SUCURSAL</v>
      </c>
      <c r="J3528" s="1">
        <f t="shared" si="3"/>
        <v>5</v>
      </c>
      <c r="K3528" s="1" t="str">
        <f t="shared" si="4"/>
        <v>Tus Lentes estan LISTAS PARA ENTREGAR, te esperamos.</v>
      </c>
    </row>
    <row r="3529">
      <c r="A3529" s="1">
        <f>IFERROR(__xludf.DUMMYFUNCTION("""COMPUTED_VALUE"""),88074.0)</f>
        <v>88074</v>
      </c>
      <c r="B3529" s="5">
        <f>IFERROR(__xludf.DUMMYFUNCTION("""COMPUTED_VALUE"""),45001.43956283564)</f>
        <v>45001.43956</v>
      </c>
      <c r="C3529" s="1" t="str">
        <f>IFERROR(__xludf.DUMMYFUNCTION("""COMPUTED_VALUE"""),"Rangol Carmen Aida")</f>
        <v>Rangol Carmen Aida</v>
      </c>
      <c r="D3529" s="1" t="str">
        <f>IFERROR(__xludf.DUMMYFUNCTION("""COMPUTED_VALUE"""),"Reparaciones/Otros")</f>
        <v>Reparaciones/Otros</v>
      </c>
      <c r="E3529" s="1" t="str">
        <f>IFERROR(__xludf.DUMMYFUNCTION("""COMPUTED_VALUE"""),"RIVADAVIA Christian C.")</f>
        <v>RIVADAVIA Christian C.</v>
      </c>
      <c r="F3529" s="1" t="str">
        <f t="shared" si="1"/>
        <v>RIVADAVIA </v>
      </c>
      <c r="G3529" s="1" t="str">
        <f t="shared" si="2"/>
        <v>Christian C.</v>
      </c>
      <c r="H3529" s="1" t="str">
        <f>IFERROR(__xludf.DUMMYFUNCTION("""COMPUTED_VALUE"""),"17/3/2023, 17:00:00")</f>
        <v>17/3/2023, 17:00:00</v>
      </c>
      <c r="I3529" s="1" t="str">
        <f>IFERROR(__xludf.DUMMYFUNCTION("""COMPUTED_VALUE"""),"Completado en SUCURSAL")</f>
        <v>Completado en SUCURSAL</v>
      </c>
      <c r="J3529" s="1">
        <f t="shared" si="3"/>
        <v>5</v>
      </c>
      <c r="K3529" s="1" t="str">
        <f t="shared" si="4"/>
        <v>Tus Lentes estan LISTAS PARA ENTREGAR, te esperamos.</v>
      </c>
    </row>
    <row r="3530">
      <c r="A3530" s="1">
        <f>IFERROR(__xludf.DUMMYFUNCTION("""COMPUTED_VALUE"""),88075.0)</f>
        <v>88075</v>
      </c>
      <c r="B3530" s="5">
        <f>IFERROR(__xludf.DUMMYFUNCTION("""COMPUTED_VALUE"""),45001.441813935184)</f>
        <v>45001.44181</v>
      </c>
      <c r="C3530" s="1" t="str">
        <f>IFERROR(__xludf.DUMMYFUNCTION("""COMPUTED_VALUE"""),"BIZZOTTO MARIA DEL CARMEN")</f>
        <v>BIZZOTTO MARIA DEL CARMEN</v>
      </c>
      <c r="D3530" s="1" t="str">
        <f>IFERROR(__xludf.DUMMYFUNCTION("""COMPUTED_VALUE"""),"Lentes de STOCK")</f>
        <v>Lentes de STOCK</v>
      </c>
      <c r="E3530" s="1" t="str">
        <f>IFERROR(__xludf.DUMMYFUNCTION("""COMPUTED_VALUE"""),"ARTIGAS Roció")</f>
        <v>ARTIGAS Roció</v>
      </c>
      <c r="F3530" s="1" t="str">
        <f t="shared" si="1"/>
        <v>ARTIGAS </v>
      </c>
      <c r="G3530" s="1" t="str">
        <f t="shared" si="2"/>
        <v>Roció</v>
      </c>
      <c r="H3530" s="1" t="str">
        <f>IFERROR(__xludf.DUMMYFUNCTION("""COMPUTED_VALUE"""),"23/3/2023, 17:00:00")</f>
        <v>23/3/2023, 17:00:00</v>
      </c>
      <c r="I3530" s="1" t="str">
        <f>IFERROR(__xludf.DUMMYFUNCTION("""COMPUTED_VALUE"""),"Completado en SUCURSAL")</f>
        <v>Completado en SUCURSAL</v>
      </c>
      <c r="J3530" s="1">
        <f t="shared" si="3"/>
        <v>5</v>
      </c>
      <c r="K3530" s="1" t="str">
        <f t="shared" si="4"/>
        <v>Tus Lentes estan LISTAS PARA ENTREGAR, te esperamos.</v>
      </c>
    </row>
    <row r="3531">
      <c r="A3531" s="1">
        <f>IFERROR(__xludf.DUMMYFUNCTION("""COMPUTED_VALUE"""),88076.0)</f>
        <v>88076</v>
      </c>
      <c r="B3531" s="5">
        <f>IFERROR(__xludf.DUMMYFUNCTION("""COMPUTED_VALUE"""),45001.442016493056)</f>
        <v>45001.44202</v>
      </c>
      <c r="C3531" s="1" t="str">
        <f>IFERROR(__xludf.DUMMYFUNCTION("""COMPUTED_VALUE"""),"aguilera jose")</f>
        <v>aguilera jose</v>
      </c>
      <c r="D3531" s="1" t="str">
        <f>IFERROR(__xludf.DUMMYFUNCTION("""COMPUTED_VALUE"""),"Reparaciones/Otros")</f>
        <v>Reparaciones/Otros</v>
      </c>
      <c r="E3531" s="1" t="str">
        <f>IFERROR(__xludf.DUMMYFUNCTION("""COMPUTED_VALUE"""),"RIVADAVIA Santiago LOPEZ")</f>
        <v>RIVADAVIA Santiago LOPEZ</v>
      </c>
      <c r="F3531" s="1" t="str">
        <f t="shared" si="1"/>
        <v>RIVADAVIA </v>
      </c>
      <c r="G3531" s="1" t="str">
        <f t="shared" si="2"/>
        <v>Santiago LOPEZ</v>
      </c>
      <c r="H3531" s="1" t="str">
        <f>IFERROR(__xludf.DUMMYFUNCTION("""COMPUTED_VALUE"""),"17/3/2023, 17:00:00")</f>
        <v>17/3/2023, 17:00:00</v>
      </c>
      <c r="I3531" s="1"/>
      <c r="J3531" s="1">
        <f t="shared" si="3"/>
        <v>0</v>
      </c>
      <c r="K3531" s="1" t="str">
        <f t="shared" si="4"/>
        <v/>
      </c>
    </row>
    <row r="3532">
      <c r="A3532" s="1">
        <f>IFERROR(__xludf.DUMMYFUNCTION("""COMPUTED_VALUE"""),88077.0)</f>
        <v>88077</v>
      </c>
      <c r="B3532" s="5">
        <f>IFERROR(__xludf.DUMMYFUNCTION("""COMPUTED_VALUE"""),45001.444034699074)</f>
        <v>45001.44403</v>
      </c>
      <c r="C3532" s="1" t="str">
        <f>IFERROR(__xludf.DUMMYFUNCTION("""COMPUTED_VALUE"""),"salmeron felicitas")</f>
        <v>salmeron felicitas</v>
      </c>
      <c r="D3532" s="1" t="str">
        <f>IFERROR(__xludf.DUMMYFUNCTION("""COMPUTED_VALUE"""),"Lentes de STOCK")</f>
        <v>Lentes de STOCK</v>
      </c>
      <c r="E3532" s="1" t="str">
        <f>IFERROR(__xludf.DUMMYFUNCTION("""COMPUTED_VALUE"""),"RIVADAVIA Santiago N")</f>
        <v>RIVADAVIA Santiago N</v>
      </c>
      <c r="F3532" s="1" t="str">
        <f t="shared" si="1"/>
        <v>RIVADAVIA </v>
      </c>
      <c r="G3532" s="1" t="str">
        <f t="shared" si="2"/>
        <v>Santiago N</v>
      </c>
      <c r="H3532" s="1" t="str">
        <f>IFERROR(__xludf.DUMMYFUNCTION("""COMPUTED_VALUE"""),"20/3/2023, 17:00:00")</f>
        <v>20/3/2023, 17:00:00</v>
      </c>
      <c r="I3532" s="1" t="str">
        <f>IFERROR(__xludf.DUMMYFUNCTION("""COMPUTED_VALUE"""),"Completado en SUCURSAL")</f>
        <v>Completado en SUCURSAL</v>
      </c>
      <c r="J3532" s="1">
        <f t="shared" si="3"/>
        <v>5</v>
      </c>
      <c r="K3532" s="1" t="str">
        <f t="shared" si="4"/>
        <v>Tus Lentes estan LISTAS PARA ENTREGAR, te esperamos.</v>
      </c>
    </row>
    <row r="3533">
      <c r="A3533" s="1">
        <f>IFERROR(__xludf.DUMMYFUNCTION("""COMPUTED_VALUE"""),88078.0)</f>
        <v>88078</v>
      </c>
      <c r="B3533" s="5">
        <f>IFERROR(__xludf.DUMMYFUNCTION("""COMPUTED_VALUE"""),45001.446181956024)</f>
        <v>45001.44618</v>
      </c>
      <c r="C3533" s="1" t="str">
        <f>IFERROR(__xludf.DUMMYFUNCTION("""COMPUTED_VALUE"""),"quiroga arcelia")</f>
        <v>quiroga arcelia</v>
      </c>
      <c r="D3533" s="1" t="str">
        <f>IFERROR(__xludf.DUMMYFUNCTION("""COMPUTED_VALUE"""),"Lentes de STOCK")</f>
        <v>Lentes de STOCK</v>
      </c>
      <c r="E3533" s="1" t="str">
        <f>IFERROR(__xludf.DUMMYFUNCTION("""COMPUTED_VALUE"""),"ARTIGAS Roció")</f>
        <v>ARTIGAS Roció</v>
      </c>
      <c r="F3533" s="1" t="str">
        <f t="shared" si="1"/>
        <v>ARTIGAS </v>
      </c>
      <c r="G3533" s="1" t="str">
        <f t="shared" si="2"/>
        <v>Roció</v>
      </c>
      <c r="H3533" s="1" t="str">
        <f>IFERROR(__xludf.DUMMYFUNCTION("""COMPUTED_VALUE"""),"23/3/2023, 17:00:00")</f>
        <v>23/3/2023, 17:00:00</v>
      </c>
      <c r="I3533" s="1" t="str">
        <f>IFERROR(__xludf.DUMMYFUNCTION("""COMPUTED_VALUE"""),"Completado en SUCURSAL")</f>
        <v>Completado en SUCURSAL</v>
      </c>
      <c r="J3533" s="1">
        <f t="shared" si="3"/>
        <v>5</v>
      </c>
      <c r="K3533" s="1" t="str">
        <f t="shared" si="4"/>
        <v>Tus Lentes estan LISTAS PARA ENTREGAR, te esperamos.</v>
      </c>
    </row>
    <row r="3534">
      <c r="A3534" s="1">
        <f>IFERROR(__xludf.DUMMYFUNCTION("""COMPUTED_VALUE"""),88079.0)</f>
        <v>88079</v>
      </c>
      <c r="B3534" s="5">
        <f>IFERROR(__xludf.DUMMYFUNCTION("""COMPUTED_VALUE"""),45001.446968958335)</f>
        <v>45001.44697</v>
      </c>
      <c r="C3534" s="1" t="str">
        <f>IFERROR(__xludf.DUMMYFUNCTION("""COMPUTED_VALUE"""),"SOSA HERIBERTO")</f>
        <v>SOSA HERIBERTO</v>
      </c>
      <c r="D3534" s="1" t="str">
        <f>IFERROR(__xludf.DUMMYFUNCTION("""COMPUTED_VALUE"""),"Lentes de STOCK")</f>
        <v>Lentes de STOCK</v>
      </c>
      <c r="E3534" s="1" t="str">
        <f>IFERROR(__xludf.DUMMYFUNCTION("""COMPUTED_VALUE"""),"ARTIGAS Ivana P.")</f>
        <v>ARTIGAS Ivana P.</v>
      </c>
      <c r="F3534" s="1" t="str">
        <f t="shared" si="1"/>
        <v>ARTIGAS </v>
      </c>
      <c r="G3534" s="1" t="str">
        <f t="shared" si="2"/>
        <v>Ivana P.</v>
      </c>
      <c r="H3534" s="1" t="str">
        <f>IFERROR(__xludf.DUMMYFUNCTION("""COMPUTED_VALUE"""),"20/3/2023, 17:00:00")</f>
        <v>20/3/2023, 17:00:00</v>
      </c>
      <c r="I3534" s="1" t="str">
        <f>IFERROR(__xludf.DUMMYFUNCTION("""COMPUTED_VALUE"""),"Completado en SUCURSAL")</f>
        <v>Completado en SUCURSAL</v>
      </c>
      <c r="J3534" s="1">
        <f t="shared" si="3"/>
        <v>5</v>
      </c>
      <c r="K3534" s="1" t="str">
        <f t="shared" si="4"/>
        <v>Tus Lentes estan LISTAS PARA ENTREGAR, te esperamos.</v>
      </c>
    </row>
    <row r="3535">
      <c r="A3535" s="1">
        <f>IFERROR(__xludf.DUMMYFUNCTION("""COMPUTED_VALUE"""),88080.0)</f>
        <v>88080</v>
      </c>
      <c r="B3535" s="5">
        <f>IFERROR(__xludf.DUMMYFUNCTION("""COMPUTED_VALUE"""),45001.447500486116)</f>
        <v>45001.4475</v>
      </c>
      <c r="C3535" s="1" t="str">
        <f>IFERROR(__xludf.DUMMYFUNCTION("""COMPUTED_VALUE"""),"BUSTAMANTE PRISCILA")</f>
        <v>BUSTAMANTE PRISCILA</v>
      </c>
      <c r="D3535" s="1" t="str">
        <f>IFERROR(__xludf.DUMMYFUNCTION("""COMPUTED_VALUE"""),"Lentes de STOCK")</f>
        <v>Lentes de STOCK</v>
      </c>
      <c r="E3535" s="1" t="str">
        <f>IFERROR(__xludf.DUMMYFUNCTION("""COMPUTED_VALUE"""),"RIVADAVIA Santiago N")</f>
        <v>RIVADAVIA Santiago N</v>
      </c>
      <c r="F3535" s="1" t="str">
        <f t="shared" si="1"/>
        <v>RIVADAVIA </v>
      </c>
      <c r="G3535" s="1" t="str">
        <f t="shared" si="2"/>
        <v>Santiago N</v>
      </c>
      <c r="H3535" s="1" t="str">
        <f>IFERROR(__xludf.DUMMYFUNCTION("""COMPUTED_VALUE"""),"20/3/2023, 17:00:00")</f>
        <v>20/3/2023, 17:00:00</v>
      </c>
      <c r="I3535" s="1" t="str">
        <f>IFERROR(__xludf.DUMMYFUNCTION("""COMPUTED_VALUE"""),"Completado en SUCURSAL")</f>
        <v>Completado en SUCURSAL</v>
      </c>
      <c r="J3535" s="1">
        <f t="shared" si="3"/>
        <v>5</v>
      </c>
      <c r="K3535" s="1" t="str">
        <f t="shared" si="4"/>
        <v>Tus Lentes estan LISTAS PARA ENTREGAR, te esperamos.</v>
      </c>
    </row>
    <row r="3536">
      <c r="A3536" s="1">
        <f>IFERROR(__xludf.DUMMYFUNCTION("""COMPUTED_VALUE"""),88081.0)</f>
        <v>88081</v>
      </c>
      <c r="B3536" s="5">
        <f>IFERROR(__xludf.DUMMYFUNCTION("""COMPUTED_VALUE"""),45001.44910424769)</f>
        <v>45001.4491</v>
      </c>
      <c r="C3536" s="1" t="str">
        <f>IFERROR(__xludf.DUMMYFUNCTION("""COMPUTED_VALUE"""),"JUAN DANIEL ")</f>
        <v>JUAN DANIEL </v>
      </c>
      <c r="D3536" s="1" t="str">
        <f>IFERROR(__xludf.DUMMYFUNCTION("""COMPUTED_VALUE"""),"Reparaciones/Otros")</f>
        <v>Reparaciones/Otros</v>
      </c>
      <c r="E3536" s="1" t="str">
        <f>IFERROR(__xludf.DUMMYFUNCTION("""COMPUTED_VALUE"""),"RIVADAVIA Christian C.")</f>
        <v>RIVADAVIA Christian C.</v>
      </c>
      <c r="F3536" s="1" t="str">
        <f t="shared" si="1"/>
        <v>RIVADAVIA </v>
      </c>
      <c r="G3536" s="1" t="str">
        <f t="shared" si="2"/>
        <v>Christian C.</v>
      </c>
      <c r="H3536" s="1" t="str">
        <f>IFERROR(__xludf.DUMMYFUNCTION("""COMPUTED_VALUE"""),"18/3/2023, 17:00:00")</f>
        <v>18/3/2023, 17:00:00</v>
      </c>
      <c r="I3536" s="1" t="str">
        <f>IFERROR(__xludf.DUMMYFUNCTION("""COMPUTED_VALUE"""),"Completado en SUCURSAL")</f>
        <v>Completado en SUCURSAL</v>
      </c>
      <c r="J3536" s="1">
        <f t="shared" si="3"/>
        <v>5</v>
      </c>
      <c r="K3536" s="1" t="str">
        <f t="shared" si="4"/>
        <v>Tus Lentes estan LISTAS PARA ENTREGAR, te esperamos.</v>
      </c>
    </row>
    <row r="3537">
      <c r="A3537" s="1">
        <f>IFERROR(__xludf.DUMMYFUNCTION("""COMPUTED_VALUE"""),88082.0)</f>
        <v>88082</v>
      </c>
      <c r="B3537" s="5">
        <f>IFERROR(__xludf.DUMMYFUNCTION("""COMPUTED_VALUE"""),45001.45142604166)</f>
        <v>45001.45143</v>
      </c>
      <c r="C3537" s="1" t="str">
        <f>IFERROR(__xludf.DUMMYFUNCTION("""COMPUTED_VALUE"""),"DOMINGUEZ ENRIQUE ELISEO")</f>
        <v>DOMINGUEZ ENRIQUE ELISEO</v>
      </c>
      <c r="D3537" s="1" t="str">
        <f>IFERROR(__xludf.DUMMYFUNCTION("""COMPUTED_VALUE"""),"Lentes BIFOCALES")</f>
        <v>Lentes BIFOCALES</v>
      </c>
      <c r="E3537" s="1" t="str">
        <f>IFERROR(__xludf.DUMMYFUNCTION("""COMPUTED_VALUE"""),"ARTIGAS Roció")</f>
        <v>ARTIGAS Roció</v>
      </c>
      <c r="F3537" s="1" t="str">
        <f t="shared" si="1"/>
        <v>ARTIGAS </v>
      </c>
      <c r="G3537" s="1" t="str">
        <f t="shared" si="2"/>
        <v>Roció</v>
      </c>
      <c r="H3537" s="1" t="str">
        <f>IFERROR(__xludf.DUMMYFUNCTION("""COMPUTED_VALUE"""),"31/3/2023, 17:00:00")</f>
        <v>31/3/2023, 17:00:00</v>
      </c>
      <c r="I3537" s="1" t="str">
        <f>IFERROR(__xludf.DUMMYFUNCTION("""COMPUTED_VALUE"""),"RETIRADO OK POR CLIENTE")</f>
        <v>RETIRADO OK POR CLIENTE</v>
      </c>
      <c r="J3537" s="1">
        <f t="shared" si="3"/>
        <v>6</v>
      </c>
      <c r="K3537" s="1" t="str">
        <f t="shared" si="4"/>
        <v>Entregamos tus lentes, que los disfrutes!</v>
      </c>
    </row>
    <row r="3538">
      <c r="A3538" s="1">
        <f>IFERROR(__xludf.DUMMYFUNCTION("""COMPUTED_VALUE"""),88083.0)</f>
        <v>88083</v>
      </c>
      <c r="B3538" s="5">
        <f>IFERROR(__xludf.DUMMYFUNCTION("""COMPUTED_VALUE"""),45001.45591234954)</f>
        <v>45001.45591</v>
      </c>
      <c r="C3538" s="1" t="str">
        <f>IFERROR(__xludf.DUMMYFUNCTION("""COMPUTED_VALUE"""),"macias antonio")</f>
        <v>macias antonio</v>
      </c>
      <c r="D3538" s="1" t="str">
        <f>IFERROR(__xludf.DUMMYFUNCTION("""COMPUTED_VALUE"""),"Reparaciones/Otros")</f>
        <v>Reparaciones/Otros</v>
      </c>
      <c r="E3538" s="1" t="str">
        <f>IFERROR(__xludf.DUMMYFUNCTION("""COMPUTED_VALUE"""),"ARTIGAS Roció")</f>
        <v>ARTIGAS Roció</v>
      </c>
      <c r="F3538" s="1" t="str">
        <f t="shared" si="1"/>
        <v>ARTIGAS </v>
      </c>
      <c r="G3538" s="1" t="str">
        <f t="shared" si="2"/>
        <v>Roció</v>
      </c>
      <c r="H3538" s="1" t="str">
        <f>IFERROR(__xludf.DUMMYFUNCTION("""COMPUTED_VALUE"""),"17/3/2023, 17:00:00")</f>
        <v>17/3/2023, 17:00:00</v>
      </c>
      <c r="I3538" s="1" t="str">
        <f>IFERROR(__xludf.DUMMYFUNCTION("""COMPUTED_VALUE"""),"Completado en SUCURSAL")</f>
        <v>Completado en SUCURSAL</v>
      </c>
      <c r="J3538" s="1">
        <f t="shared" si="3"/>
        <v>5</v>
      </c>
      <c r="K3538" s="1" t="str">
        <f t="shared" si="4"/>
        <v>Tus Lentes estan LISTAS PARA ENTREGAR, te esperamos.</v>
      </c>
    </row>
    <row r="3539">
      <c r="A3539" s="1">
        <f>IFERROR(__xludf.DUMMYFUNCTION("""COMPUTED_VALUE"""),88084.0)</f>
        <v>88084</v>
      </c>
      <c r="B3539" s="5">
        <f>IFERROR(__xludf.DUMMYFUNCTION("""COMPUTED_VALUE"""),45001.45690636574)</f>
        <v>45001.45691</v>
      </c>
      <c r="C3539" s="1" t="str">
        <f>IFERROR(__xludf.DUMMYFUNCTION("""COMPUTED_VALUE"""),"RINALDONI MARIELA ")</f>
        <v>RINALDONI MARIELA </v>
      </c>
      <c r="D3539" s="1" t="str">
        <f>IFERROR(__xludf.DUMMYFUNCTION("""COMPUTED_VALUE"""),"Lentes de STOCK")</f>
        <v>Lentes de STOCK</v>
      </c>
      <c r="E3539" s="1" t="str">
        <f>IFERROR(__xludf.DUMMYFUNCTION("""COMPUTED_VALUE"""),"RIVADAVIA Christian C.")</f>
        <v>RIVADAVIA Christian C.</v>
      </c>
      <c r="F3539" s="1" t="str">
        <f t="shared" si="1"/>
        <v>RIVADAVIA </v>
      </c>
      <c r="G3539" s="1" t="str">
        <f t="shared" si="2"/>
        <v>Christian C.</v>
      </c>
      <c r="H3539" s="1" t="str">
        <f>IFERROR(__xludf.DUMMYFUNCTION("""COMPUTED_VALUE"""),"27/3/2023, 17:00:00")</f>
        <v>27/3/2023, 17:00:00</v>
      </c>
      <c r="I3539" s="1" t="str">
        <f>IFERROR(__xludf.DUMMYFUNCTION("""COMPUTED_VALUE"""),"RETIRADO OK POR CLIENTE")</f>
        <v>RETIRADO OK POR CLIENTE</v>
      </c>
      <c r="J3539" s="1">
        <f t="shared" si="3"/>
        <v>6</v>
      </c>
      <c r="K3539" s="1" t="str">
        <f t="shared" si="4"/>
        <v>Entregamos tus lentes, que los disfrutes!</v>
      </c>
    </row>
    <row r="3540">
      <c r="A3540" s="1">
        <f>IFERROR(__xludf.DUMMYFUNCTION("""COMPUTED_VALUE"""),88085.0)</f>
        <v>88085</v>
      </c>
      <c r="B3540" s="5">
        <f>IFERROR(__xludf.DUMMYFUNCTION("""COMPUTED_VALUE"""),45001.460665543986)</f>
        <v>45001.46067</v>
      </c>
      <c r="C3540" s="1" t="str">
        <f>IFERROR(__xludf.DUMMYFUNCTION("""COMPUTED_VALUE"""),"Suarez Eva")</f>
        <v>Suarez Eva</v>
      </c>
      <c r="D3540" s="1" t="str">
        <f>IFERROR(__xludf.DUMMYFUNCTION("""COMPUTED_VALUE"""),"Reparaciones/Otros")</f>
        <v>Reparaciones/Otros</v>
      </c>
      <c r="E3540" s="1" t="str">
        <f>IFERROR(__xludf.DUMMYFUNCTION("""COMPUTED_VALUE"""),"ARTIGAS Sandra G")</f>
        <v>ARTIGAS Sandra G</v>
      </c>
      <c r="F3540" s="1" t="str">
        <f t="shared" si="1"/>
        <v>ARTIGAS </v>
      </c>
      <c r="G3540" s="1" t="str">
        <f t="shared" si="2"/>
        <v>Sandra G</v>
      </c>
      <c r="H3540" s="1" t="str">
        <f>IFERROR(__xludf.DUMMYFUNCTION("""COMPUTED_VALUE"""),"18/3/2023, 17:00:00")</f>
        <v>18/3/2023, 17:00:00</v>
      </c>
      <c r="I3540" s="1" t="str">
        <f>IFERROR(__xludf.DUMMYFUNCTION("""COMPUTED_VALUE"""),"Recibido en Laboratorio")</f>
        <v>Recibido en Laboratorio</v>
      </c>
      <c r="J3540" s="1">
        <f t="shared" si="3"/>
        <v>2</v>
      </c>
      <c r="K3540" s="1" t="str">
        <f t="shared" si="4"/>
        <v>Nuestro Laboratorio esta trabajando en tus lentes, los entregaremos en la fecha acordada.</v>
      </c>
    </row>
    <row r="3541">
      <c r="A3541" s="1">
        <f>IFERROR(__xludf.DUMMYFUNCTION("""COMPUTED_VALUE"""),88086.0)</f>
        <v>88086</v>
      </c>
      <c r="B3541" s="5">
        <f>IFERROR(__xludf.DUMMYFUNCTION("""COMPUTED_VALUE"""),45001.466978993056)</f>
        <v>45001.46698</v>
      </c>
      <c r="C3541" s="1" t="str">
        <f>IFERROR(__xludf.DUMMYFUNCTION("""COMPUTED_VALUE"""),"rosales andrea")</f>
        <v>rosales andrea</v>
      </c>
      <c r="D3541" s="1" t="str">
        <f>IFERROR(__xludf.DUMMYFUNCTION("""COMPUTED_VALUE"""),"Lentes de STOCK")</f>
        <v>Lentes de STOCK</v>
      </c>
      <c r="E3541" s="1" t="str">
        <f>IFERROR(__xludf.DUMMYFUNCTION("""COMPUTED_VALUE"""),"RIVADAVIA Santiago N")</f>
        <v>RIVADAVIA Santiago N</v>
      </c>
      <c r="F3541" s="1" t="str">
        <f t="shared" si="1"/>
        <v>RIVADAVIA </v>
      </c>
      <c r="G3541" s="1" t="str">
        <f t="shared" si="2"/>
        <v>Santiago N</v>
      </c>
      <c r="H3541" s="1" t="str">
        <f>IFERROR(__xludf.DUMMYFUNCTION("""COMPUTED_VALUE"""),"20/3/2023, 17:00:00")</f>
        <v>20/3/2023, 17:00:00</v>
      </c>
      <c r="I3541" s="1" t="str">
        <f>IFERROR(__xludf.DUMMYFUNCTION("""COMPUTED_VALUE"""),"Completado en SUCURSAL")</f>
        <v>Completado en SUCURSAL</v>
      </c>
      <c r="J3541" s="1">
        <f t="shared" si="3"/>
        <v>5</v>
      </c>
      <c r="K3541" s="1" t="str">
        <f t="shared" si="4"/>
        <v>Tus Lentes estan LISTAS PARA ENTREGAR, te esperamos.</v>
      </c>
    </row>
    <row r="3542">
      <c r="A3542" s="1">
        <f>IFERROR(__xludf.DUMMYFUNCTION("""COMPUTED_VALUE"""),88087.0)</f>
        <v>88087</v>
      </c>
      <c r="B3542" s="5">
        <f>IFERROR(__xludf.DUMMYFUNCTION("""COMPUTED_VALUE"""),45001.48006284722)</f>
        <v>45001.48006</v>
      </c>
      <c r="C3542" s="1" t="str">
        <f>IFERROR(__xludf.DUMMYFUNCTION("""COMPUTED_VALUE"""),"Allon ")</f>
        <v>Allon </v>
      </c>
      <c r="D3542" s="1" t="str">
        <f>IFERROR(__xludf.DUMMYFUNCTION("""COMPUTED_VALUE"""),"Reparaciones/Otros")</f>
        <v>Reparaciones/Otros</v>
      </c>
      <c r="E3542" s="1" t="str">
        <f>IFERROR(__xludf.DUMMYFUNCTION("""COMPUTED_VALUE"""),"ARTIGAS Sandra G")</f>
        <v>ARTIGAS Sandra G</v>
      </c>
      <c r="F3542" s="1" t="str">
        <f t="shared" si="1"/>
        <v>ARTIGAS </v>
      </c>
      <c r="G3542" s="1" t="str">
        <f t="shared" si="2"/>
        <v>Sandra G</v>
      </c>
      <c r="H3542" s="1" t="str">
        <f>IFERROR(__xludf.DUMMYFUNCTION("""COMPUTED_VALUE"""),"17/3/2023, 17:00:00")</f>
        <v>17/3/2023, 17:00:00</v>
      </c>
      <c r="I3542" s="1"/>
      <c r="J3542" s="1">
        <f t="shared" si="3"/>
        <v>0</v>
      </c>
      <c r="K3542" s="1" t="str">
        <f t="shared" si="4"/>
        <v/>
      </c>
    </row>
    <row r="3543">
      <c r="A3543" s="1">
        <f>IFERROR(__xludf.DUMMYFUNCTION("""COMPUTED_VALUE"""),88088.0)</f>
        <v>88088</v>
      </c>
      <c r="B3543" s="5">
        <f>IFERROR(__xludf.DUMMYFUNCTION("""COMPUTED_VALUE"""),45001.48142387731)</f>
        <v>45001.48142</v>
      </c>
      <c r="C3543" s="1" t="str">
        <f>IFERROR(__xludf.DUMMYFUNCTION("""COMPUTED_VALUE"""),"ROSALES ESTER NOEMI")</f>
        <v>ROSALES ESTER NOEMI</v>
      </c>
      <c r="D3543" s="1" t="str">
        <f>IFERROR(__xludf.DUMMYFUNCTION("""COMPUTED_VALUE"""),"Lentes de STOCK")</f>
        <v>Lentes de STOCK</v>
      </c>
      <c r="E3543" s="1" t="str">
        <f>IFERROR(__xludf.DUMMYFUNCTION("""COMPUTED_VALUE"""),"ARTIGAS Roció")</f>
        <v>ARTIGAS Roció</v>
      </c>
      <c r="F3543" s="1" t="str">
        <f t="shared" si="1"/>
        <v>ARTIGAS </v>
      </c>
      <c r="G3543" s="1" t="str">
        <f t="shared" si="2"/>
        <v>Roció</v>
      </c>
      <c r="H3543" s="1" t="str">
        <f>IFERROR(__xludf.DUMMYFUNCTION("""COMPUTED_VALUE"""),"27/3/2023, 17:00:00")</f>
        <v>27/3/2023, 17:00:00</v>
      </c>
      <c r="I3543" s="1" t="str">
        <f>IFERROR(__xludf.DUMMYFUNCTION("""COMPUTED_VALUE"""),"RETIRADO OK POR CLIENTE")</f>
        <v>RETIRADO OK POR CLIENTE</v>
      </c>
      <c r="J3543" s="1">
        <f t="shared" si="3"/>
        <v>6</v>
      </c>
      <c r="K3543" s="1" t="str">
        <f t="shared" si="4"/>
        <v>Entregamos tus lentes, que los disfrutes!</v>
      </c>
    </row>
    <row r="3544">
      <c r="A3544" s="1">
        <f>IFERROR(__xludf.DUMMYFUNCTION("""COMPUTED_VALUE"""),88089.0)</f>
        <v>88089</v>
      </c>
      <c r="B3544" s="5">
        <f>IFERROR(__xludf.DUMMYFUNCTION("""COMPUTED_VALUE"""),45001.48274789352)</f>
        <v>45001.48275</v>
      </c>
      <c r="C3544" s="1" t="str">
        <f>IFERROR(__xludf.DUMMYFUNCTION("""COMPUTED_VALUE"""),"FUNES XIOMARA CINDY")</f>
        <v>FUNES XIOMARA CINDY</v>
      </c>
      <c r="D3544" s="1" t="str">
        <f>IFERROR(__xludf.DUMMYFUNCTION("""COMPUTED_VALUE"""),"Lentes de STOCK")</f>
        <v>Lentes de STOCK</v>
      </c>
      <c r="E3544" s="1" t="str">
        <f>IFERROR(__xludf.DUMMYFUNCTION("""COMPUTED_VALUE"""),"RIVADAVIA Marcela L")</f>
        <v>RIVADAVIA Marcela L</v>
      </c>
      <c r="F3544" s="1" t="str">
        <f t="shared" si="1"/>
        <v>RIVADAVIA </v>
      </c>
      <c r="G3544" s="1" t="str">
        <f t="shared" si="2"/>
        <v>Marcela L</v>
      </c>
      <c r="H3544" s="1" t="str">
        <f>IFERROR(__xludf.DUMMYFUNCTION("""COMPUTED_VALUE"""),"22/3/2023, 17:00:00")</f>
        <v>22/3/2023, 17:00:00</v>
      </c>
      <c r="I3544" s="1" t="str">
        <f>IFERROR(__xludf.DUMMYFUNCTION("""COMPUTED_VALUE"""),"Completado en SUCURSAL")</f>
        <v>Completado en SUCURSAL</v>
      </c>
      <c r="J3544" s="1">
        <f t="shared" si="3"/>
        <v>5</v>
      </c>
      <c r="K3544" s="1" t="str">
        <f t="shared" si="4"/>
        <v>Tus Lentes estan LISTAS PARA ENTREGAR, te esperamos.</v>
      </c>
    </row>
    <row r="3545">
      <c r="A3545" s="1">
        <f>IFERROR(__xludf.DUMMYFUNCTION("""COMPUTED_VALUE"""),88090.0)</f>
        <v>88090</v>
      </c>
      <c r="B3545" s="5">
        <f>IFERROR(__xludf.DUMMYFUNCTION("""COMPUTED_VALUE"""),45001.48367400463)</f>
        <v>45001.48367</v>
      </c>
      <c r="C3545" s="1" t="str">
        <f>IFERROR(__xludf.DUMMYFUNCTION("""COMPUTED_VALUE"""),"Lozano maite")</f>
        <v>Lozano maite</v>
      </c>
      <c r="D3545" s="1" t="str">
        <f>IFERROR(__xludf.DUMMYFUNCTION("""COMPUTED_VALUE"""),"Reparaciones/Otros")</f>
        <v>Reparaciones/Otros</v>
      </c>
      <c r="E3545" s="1" t="str">
        <f>IFERROR(__xludf.DUMMYFUNCTION("""COMPUTED_VALUE"""),"ARTIGAS Sandra G")</f>
        <v>ARTIGAS Sandra G</v>
      </c>
      <c r="F3545" s="1" t="str">
        <f t="shared" si="1"/>
        <v>ARTIGAS </v>
      </c>
      <c r="G3545" s="1" t="str">
        <f t="shared" si="2"/>
        <v>Sandra G</v>
      </c>
      <c r="H3545" s="1" t="str">
        <f>IFERROR(__xludf.DUMMYFUNCTION("""COMPUTED_VALUE"""),"17/3/2023, 17:00:00")</f>
        <v>17/3/2023, 17:00:00</v>
      </c>
      <c r="I3545" s="1" t="str">
        <f>IFERROR(__xludf.DUMMYFUNCTION("""COMPUTED_VALUE"""),"Completado en SUCURSAL")</f>
        <v>Completado en SUCURSAL</v>
      </c>
      <c r="J3545" s="1">
        <f t="shared" si="3"/>
        <v>5</v>
      </c>
      <c r="K3545" s="1" t="str">
        <f t="shared" si="4"/>
        <v>Tus Lentes estan LISTAS PARA ENTREGAR, te esperamos.</v>
      </c>
    </row>
    <row r="3546">
      <c r="A3546" s="1">
        <f>IFERROR(__xludf.DUMMYFUNCTION("""COMPUTED_VALUE"""),88091.0)</f>
        <v>88091</v>
      </c>
      <c r="B3546" s="5">
        <f>IFERROR(__xludf.DUMMYFUNCTION("""COMPUTED_VALUE"""),45001.48671960648)</f>
        <v>45001.48672</v>
      </c>
      <c r="C3546" s="1" t="str">
        <f>IFERROR(__xludf.DUMMYFUNCTION("""COMPUTED_VALUE"""),"SACCONE MONICA")</f>
        <v>SACCONE MONICA</v>
      </c>
      <c r="D3546" s="1" t="str">
        <f>IFERROR(__xludf.DUMMYFUNCTION("""COMPUTED_VALUE"""),"Lentes MULTIFOCALES")</f>
        <v>Lentes MULTIFOCALES</v>
      </c>
      <c r="E3546" s="1" t="str">
        <f>IFERROR(__xludf.DUMMYFUNCTION("""COMPUTED_VALUE"""),"ARTIGAS Ivana P.")</f>
        <v>ARTIGAS Ivana P.</v>
      </c>
      <c r="F3546" s="1" t="str">
        <f t="shared" si="1"/>
        <v>ARTIGAS </v>
      </c>
      <c r="G3546" s="1" t="str">
        <f t="shared" si="2"/>
        <v>Ivana P.</v>
      </c>
      <c r="H3546" s="1" t="str">
        <f>IFERROR(__xludf.DUMMYFUNCTION("""COMPUTED_VALUE"""),"29/3/2023, 17:00:00")</f>
        <v>29/3/2023, 17:00:00</v>
      </c>
      <c r="I3546" s="1" t="str">
        <f>IFERROR(__xludf.DUMMYFUNCTION("""COMPUTED_VALUE"""),"RETIRADO OK POR CLIENTE")</f>
        <v>RETIRADO OK POR CLIENTE</v>
      </c>
      <c r="J3546" s="1">
        <f t="shared" si="3"/>
        <v>6</v>
      </c>
      <c r="K3546" s="1" t="str">
        <f t="shared" si="4"/>
        <v>Entregamos tus lentes, que los disfrutes!</v>
      </c>
    </row>
    <row r="3547">
      <c r="A3547" s="1">
        <f>IFERROR(__xludf.DUMMYFUNCTION("""COMPUTED_VALUE"""),88092.0)</f>
        <v>88092</v>
      </c>
      <c r="B3547" s="5">
        <f>IFERROR(__xludf.DUMMYFUNCTION("""COMPUTED_VALUE"""),45001.493440833336)</f>
        <v>45001.49344</v>
      </c>
      <c r="C3547" s="1" t="str">
        <f>IFERROR(__xludf.DUMMYFUNCTION("""COMPUTED_VALUE"""),"CABRERA ROSA ISABEL")</f>
        <v>CABRERA ROSA ISABEL</v>
      </c>
      <c r="D3547" s="1" t="str">
        <f>IFERROR(__xludf.DUMMYFUNCTION("""COMPUTED_VALUE"""),"Lentes de STOCK")</f>
        <v>Lentes de STOCK</v>
      </c>
      <c r="E3547" s="1" t="str">
        <f>IFERROR(__xludf.DUMMYFUNCTION("""COMPUTED_VALUE"""),"RIVADAVIA Marcela L")</f>
        <v>RIVADAVIA Marcela L</v>
      </c>
      <c r="F3547" s="1" t="str">
        <f t="shared" si="1"/>
        <v>RIVADAVIA </v>
      </c>
      <c r="G3547" s="1" t="str">
        <f t="shared" si="2"/>
        <v>Marcela L</v>
      </c>
      <c r="H3547" s="1" t="str">
        <f>IFERROR(__xludf.DUMMYFUNCTION("""COMPUTED_VALUE"""),"18/3/2023, 17:00:00")</f>
        <v>18/3/2023, 17:00:00</v>
      </c>
      <c r="I3547" s="1" t="str">
        <f>IFERROR(__xludf.DUMMYFUNCTION("""COMPUTED_VALUE"""),"Completado en SUCURSAL")</f>
        <v>Completado en SUCURSAL</v>
      </c>
      <c r="J3547" s="1">
        <f t="shared" si="3"/>
        <v>5</v>
      </c>
      <c r="K3547" s="1" t="str">
        <f t="shared" si="4"/>
        <v>Tus Lentes estan LISTAS PARA ENTREGAR, te esperamos.</v>
      </c>
    </row>
    <row r="3548">
      <c r="A3548" s="1">
        <f>IFERROR(__xludf.DUMMYFUNCTION("""COMPUTED_VALUE"""),88093.0)</f>
        <v>88093</v>
      </c>
      <c r="B3548" s="5">
        <f>IFERROR(__xludf.DUMMYFUNCTION("""COMPUTED_VALUE"""),45001.49488150463)</f>
        <v>45001.49488</v>
      </c>
      <c r="C3548" s="1" t="str">
        <f>IFERROR(__xludf.DUMMYFUNCTION("""COMPUTED_VALUE"""),"GENAULAZ MENDER")</f>
        <v>GENAULAZ MENDER</v>
      </c>
      <c r="D3548" s="1" t="str">
        <f>IFERROR(__xludf.DUMMYFUNCTION("""COMPUTED_VALUE"""),"Lentes de STOCK")</f>
        <v>Lentes de STOCK</v>
      </c>
      <c r="E3548" s="1" t="str">
        <f>IFERROR(__xludf.DUMMYFUNCTION("""COMPUTED_VALUE"""),"ARTIGAS Roció")</f>
        <v>ARTIGAS Roció</v>
      </c>
      <c r="F3548" s="1" t="str">
        <f t="shared" si="1"/>
        <v>ARTIGAS </v>
      </c>
      <c r="G3548" s="1" t="str">
        <f t="shared" si="2"/>
        <v>Roció</v>
      </c>
      <c r="H3548" s="1" t="str">
        <f>IFERROR(__xludf.DUMMYFUNCTION("""COMPUTED_VALUE"""),"23/3/2023, 17:00:00")</f>
        <v>23/3/2023, 17:00:00</v>
      </c>
      <c r="I3548" s="1" t="str">
        <f>IFERROR(__xludf.DUMMYFUNCTION("""COMPUTED_VALUE"""),"Recibido en Laboratorio")</f>
        <v>Recibido en Laboratorio</v>
      </c>
      <c r="J3548" s="1">
        <f t="shared" si="3"/>
        <v>2</v>
      </c>
      <c r="K3548" s="1" t="str">
        <f t="shared" si="4"/>
        <v>Nuestro Laboratorio esta trabajando en tus lentes, los entregaremos en la fecha acordada.</v>
      </c>
    </row>
    <row r="3549">
      <c r="A3549" s="1">
        <f>IFERROR(__xludf.DUMMYFUNCTION("""COMPUTED_VALUE"""),88094.0)</f>
        <v>88094</v>
      </c>
      <c r="B3549" s="5">
        <f>IFERROR(__xludf.DUMMYFUNCTION("""COMPUTED_VALUE"""),45001.50078855324)</f>
        <v>45001.50079</v>
      </c>
      <c r="C3549" s="1" t="str">
        <f>IFERROR(__xludf.DUMMYFUNCTION("""COMPUTED_VALUE"""),"LORETO EMA")</f>
        <v>LORETO EMA</v>
      </c>
      <c r="D3549" s="1" t="str">
        <f>IFERROR(__xludf.DUMMYFUNCTION("""COMPUTED_VALUE"""),"Lentes BIFOCALES")</f>
        <v>Lentes BIFOCALES</v>
      </c>
      <c r="E3549" s="1" t="str">
        <f>IFERROR(__xludf.DUMMYFUNCTION("""COMPUTED_VALUE"""),"ARTIGAS Ivana P.")</f>
        <v>ARTIGAS Ivana P.</v>
      </c>
      <c r="F3549" s="1" t="str">
        <f t="shared" si="1"/>
        <v>ARTIGAS </v>
      </c>
      <c r="G3549" s="1" t="str">
        <f t="shared" si="2"/>
        <v>Ivana P.</v>
      </c>
      <c r="H3549" s="1" t="str">
        <f>IFERROR(__xludf.DUMMYFUNCTION("""COMPUTED_VALUE"""),"22/3/2023, 17:00:00")</f>
        <v>22/3/2023, 17:00:00</v>
      </c>
      <c r="I3549" s="1" t="str">
        <f>IFERROR(__xludf.DUMMYFUNCTION("""COMPUTED_VALUE"""),"Completado en SUCURSAL")</f>
        <v>Completado en SUCURSAL</v>
      </c>
      <c r="J3549" s="1">
        <f t="shared" si="3"/>
        <v>5</v>
      </c>
      <c r="K3549" s="1" t="str">
        <f t="shared" si="4"/>
        <v>Tus Lentes estan LISTAS PARA ENTREGAR, te esperamos.</v>
      </c>
    </row>
    <row r="3550">
      <c r="A3550" s="1">
        <f>IFERROR(__xludf.DUMMYFUNCTION("""COMPUTED_VALUE"""),88095.0)</f>
        <v>88095</v>
      </c>
      <c r="B3550" s="5">
        <f>IFERROR(__xludf.DUMMYFUNCTION("""COMPUTED_VALUE"""),45001.50394115741)</f>
        <v>45001.50394</v>
      </c>
      <c r="C3550" s="1" t="str">
        <f>IFERROR(__xludf.DUMMYFUNCTION("""COMPUTED_VALUE"""),"LEDESMA ROSA OLGA")</f>
        <v>LEDESMA ROSA OLGA</v>
      </c>
      <c r="D3550" s="1" t="str">
        <f>IFERROR(__xludf.DUMMYFUNCTION("""COMPUTED_VALUE"""),"Lentes de STOCK")</f>
        <v>Lentes de STOCK</v>
      </c>
      <c r="E3550" s="1" t="str">
        <f>IFERROR(__xludf.DUMMYFUNCTION("""COMPUTED_VALUE"""),"ARTIGAS Roció")</f>
        <v>ARTIGAS Roció</v>
      </c>
      <c r="F3550" s="1" t="str">
        <f t="shared" si="1"/>
        <v>ARTIGAS </v>
      </c>
      <c r="G3550" s="1" t="str">
        <f t="shared" si="2"/>
        <v>Roció</v>
      </c>
      <c r="H3550" s="1" t="str">
        <f>IFERROR(__xludf.DUMMYFUNCTION("""COMPUTED_VALUE"""),"23/3/2023, 17:00:00")</f>
        <v>23/3/2023, 17:00:00</v>
      </c>
      <c r="I3550" s="1" t="str">
        <f>IFERROR(__xludf.DUMMYFUNCTION("""COMPUTED_VALUE"""),"Completado en SUCURSAL")</f>
        <v>Completado en SUCURSAL</v>
      </c>
      <c r="J3550" s="1">
        <f t="shared" si="3"/>
        <v>5</v>
      </c>
      <c r="K3550" s="1" t="str">
        <f t="shared" si="4"/>
        <v>Tus Lentes estan LISTAS PARA ENTREGAR, te esperamos.</v>
      </c>
    </row>
    <row r="3551">
      <c r="A3551" s="1">
        <f>IFERROR(__xludf.DUMMYFUNCTION("""COMPUTED_VALUE"""),88096.0)</f>
        <v>88096</v>
      </c>
      <c r="B3551" s="5">
        <f>IFERROR(__xludf.DUMMYFUNCTION("""COMPUTED_VALUE"""),45001.50760974537)</f>
        <v>45001.50761</v>
      </c>
      <c r="C3551" s="1" t="str">
        <f>IFERROR(__xludf.DUMMYFUNCTION("""COMPUTED_VALUE"""),"TOLEDO TIZIANA")</f>
        <v>TOLEDO TIZIANA</v>
      </c>
      <c r="D3551" s="1" t="str">
        <f>IFERROR(__xludf.DUMMYFUNCTION("""COMPUTED_VALUE"""),"Lentes de STOCK")</f>
        <v>Lentes de STOCK</v>
      </c>
      <c r="E3551" s="1" t="str">
        <f>IFERROR(__xludf.DUMMYFUNCTION("""COMPUTED_VALUE"""),"RIVADAVIA Santiago LOPEZ")</f>
        <v>RIVADAVIA Santiago LOPEZ</v>
      </c>
      <c r="F3551" s="1" t="str">
        <f t="shared" si="1"/>
        <v>RIVADAVIA </v>
      </c>
      <c r="G3551" s="1" t="str">
        <f t="shared" si="2"/>
        <v>Santiago LOPEZ</v>
      </c>
      <c r="H3551" s="1" t="str">
        <f>IFERROR(__xludf.DUMMYFUNCTION("""COMPUTED_VALUE"""),"21/3/2023, 17:00:00")</f>
        <v>21/3/2023, 17:00:00</v>
      </c>
      <c r="I3551" s="1" t="str">
        <f>IFERROR(__xludf.DUMMYFUNCTION("""COMPUTED_VALUE"""),"Completado en SUCURSAL")</f>
        <v>Completado en SUCURSAL</v>
      </c>
      <c r="J3551" s="1">
        <f t="shared" si="3"/>
        <v>5</v>
      </c>
      <c r="K3551" s="1" t="str">
        <f t="shared" si="4"/>
        <v>Tus Lentes estan LISTAS PARA ENTREGAR, te esperamos.</v>
      </c>
    </row>
    <row r="3552">
      <c r="A3552" s="1">
        <f>IFERROR(__xludf.DUMMYFUNCTION("""COMPUTED_VALUE"""),88097.0)</f>
        <v>88097</v>
      </c>
      <c r="B3552" s="5">
        <f>IFERROR(__xludf.DUMMYFUNCTION("""COMPUTED_VALUE"""),45001.513114120375)</f>
        <v>45001.51311</v>
      </c>
      <c r="C3552" s="1" t="str">
        <f>IFERROR(__xludf.DUMMYFUNCTION("""COMPUTED_VALUE"""),"VESPASIANO JOSE MARIA")</f>
        <v>VESPASIANO JOSE MARIA</v>
      </c>
      <c r="D3552" s="1" t="str">
        <f>IFERROR(__xludf.DUMMYFUNCTION("""COMPUTED_VALUE"""),"Lentes de STOCK")</f>
        <v>Lentes de STOCK</v>
      </c>
      <c r="E3552" s="1" t="str">
        <f>IFERROR(__xludf.DUMMYFUNCTION("""COMPUTED_VALUE"""),"RIVADAVIA Marcela L")</f>
        <v>RIVADAVIA Marcela L</v>
      </c>
      <c r="F3552" s="1" t="str">
        <f t="shared" si="1"/>
        <v>RIVADAVIA </v>
      </c>
      <c r="G3552" s="1" t="str">
        <f t="shared" si="2"/>
        <v>Marcela L</v>
      </c>
      <c r="H3552" s="1" t="str">
        <f>IFERROR(__xludf.DUMMYFUNCTION("""COMPUTED_VALUE"""),"20/3/2023, 17:00:00")</f>
        <v>20/3/2023, 17:00:00</v>
      </c>
      <c r="I3552" s="1" t="str">
        <f>IFERROR(__xludf.DUMMYFUNCTION("""COMPUTED_VALUE"""),"Completado en SUCURSAL")</f>
        <v>Completado en SUCURSAL</v>
      </c>
      <c r="J3552" s="1">
        <f t="shared" si="3"/>
        <v>5</v>
      </c>
      <c r="K3552" s="1" t="str">
        <f t="shared" si="4"/>
        <v>Tus Lentes estan LISTAS PARA ENTREGAR, te esperamos.</v>
      </c>
    </row>
    <row r="3553">
      <c r="A3553" s="1">
        <f>IFERROR(__xludf.DUMMYFUNCTION("""COMPUTED_VALUE"""),88098.0)</f>
        <v>88098</v>
      </c>
      <c r="B3553" s="5">
        <f>IFERROR(__xludf.DUMMYFUNCTION("""COMPUTED_VALUE"""),45001.514056608794)</f>
        <v>45001.51406</v>
      </c>
      <c r="C3553" s="1" t="str">
        <f>IFERROR(__xludf.DUMMYFUNCTION("""COMPUTED_VALUE"""),"QUEVEDO RUBEN ANTONIO ")</f>
        <v>QUEVEDO RUBEN ANTONIO </v>
      </c>
      <c r="D3553" s="1" t="str">
        <f>IFERROR(__xludf.DUMMYFUNCTION("""COMPUTED_VALUE"""),"Lentes de STOCK")</f>
        <v>Lentes de STOCK</v>
      </c>
      <c r="E3553" s="1" t="str">
        <f>IFERROR(__xludf.DUMMYFUNCTION("""COMPUTED_VALUE"""),"RIVADAVIA Santiago LOPEZ")</f>
        <v>RIVADAVIA Santiago LOPEZ</v>
      </c>
      <c r="F3553" s="1" t="str">
        <f t="shared" si="1"/>
        <v>RIVADAVIA </v>
      </c>
      <c r="G3553" s="1" t="str">
        <f t="shared" si="2"/>
        <v>Santiago LOPEZ</v>
      </c>
      <c r="H3553" s="1" t="str">
        <f>IFERROR(__xludf.DUMMYFUNCTION("""COMPUTED_VALUE"""),"20/3/2023, 17:00:00")</f>
        <v>20/3/2023, 17:00:00</v>
      </c>
      <c r="I3553" s="1" t="str">
        <f>IFERROR(__xludf.DUMMYFUNCTION("""COMPUTED_VALUE"""),"Completado en SUCURSAL")</f>
        <v>Completado en SUCURSAL</v>
      </c>
      <c r="J3553" s="1">
        <f t="shared" si="3"/>
        <v>5</v>
      </c>
      <c r="K3553" s="1" t="str">
        <f t="shared" si="4"/>
        <v>Tus Lentes estan LISTAS PARA ENTREGAR, te esperamos.</v>
      </c>
    </row>
    <row r="3554">
      <c r="A3554" s="1">
        <f>IFERROR(__xludf.DUMMYFUNCTION("""COMPUTED_VALUE"""),88099.0)</f>
        <v>88099</v>
      </c>
      <c r="B3554" s="5">
        <f>IFERROR(__xludf.DUMMYFUNCTION("""COMPUTED_VALUE"""),45001.51649289352)</f>
        <v>45001.51649</v>
      </c>
      <c r="C3554" s="1" t="str">
        <f>IFERROR(__xludf.DUMMYFUNCTION("""COMPUTED_VALUE"""),"arce nuñez brisa")</f>
        <v>arce nuñez brisa</v>
      </c>
      <c r="D3554" s="1" t="str">
        <f>IFERROR(__xludf.DUMMYFUNCTION("""COMPUTED_VALUE"""),"Reparaciones/Otros")</f>
        <v>Reparaciones/Otros</v>
      </c>
      <c r="E3554" s="1" t="str">
        <f>IFERROR(__xludf.DUMMYFUNCTION("""COMPUTED_VALUE"""),"RIVADAVIA Santiago LOPEZ")</f>
        <v>RIVADAVIA Santiago LOPEZ</v>
      </c>
      <c r="F3554" s="1" t="str">
        <f t="shared" si="1"/>
        <v>RIVADAVIA </v>
      </c>
      <c r="G3554" s="1" t="str">
        <f t="shared" si="2"/>
        <v>Santiago LOPEZ</v>
      </c>
      <c r="H3554" s="1" t="str">
        <f>IFERROR(__xludf.DUMMYFUNCTION("""COMPUTED_VALUE"""),"17/3/2023, 17:00:00")</f>
        <v>17/3/2023, 17:00:00</v>
      </c>
      <c r="I3554" s="1" t="str">
        <f>IFERROR(__xludf.DUMMYFUNCTION("""COMPUTED_VALUE"""),"Completado en SUCURSAL")</f>
        <v>Completado en SUCURSAL</v>
      </c>
      <c r="J3554" s="1">
        <f t="shared" si="3"/>
        <v>5</v>
      </c>
      <c r="K3554" s="1" t="str">
        <f t="shared" si="4"/>
        <v>Tus Lentes estan LISTAS PARA ENTREGAR, te esperamos.</v>
      </c>
    </row>
    <row r="3555">
      <c r="A3555" s="1">
        <f>IFERROR(__xludf.DUMMYFUNCTION("""COMPUTED_VALUE"""),88100.0)</f>
        <v>88100</v>
      </c>
      <c r="B3555" s="5">
        <f>IFERROR(__xludf.DUMMYFUNCTION("""COMPUTED_VALUE"""),45001.527641203706)</f>
        <v>45001.52764</v>
      </c>
      <c r="C3555" s="1" t="str">
        <f>IFERROR(__xludf.DUMMYFUNCTION("""COMPUTED_VALUE"""),"ESCOBAR TERESA BERTA")</f>
        <v>ESCOBAR TERESA BERTA</v>
      </c>
      <c r="D3555" s="1" t="str">
        <f>IFERROR(__xludf.DUMMYFUNCTION("""COMPUTED_VALUE"""),"Lentes BIFOCALES")</f>
        <v>Lentes BIFOCALES</v>
      </c>
      <c r="E3555" s="1" t="str">
        <f>IFERROR(__xludf.DUMMYFUNCTION("""COMPUTED_VALUE"""),"ARTIGAS Roció")</f>
        <v>ARTIGAS Roció</v>
      </c>
      <c r="F3555" s="1" t="str">
        <f t="shared" si="1"/>
        <v>ARTIGAS </v>
      </c>
      <c r="G3555" s="1" t="str">
        <f t="shared" si="2"/>
        <v>Roció</v>
      </c>
      <c r="H3555" s="1" t="str">
        <f>IFERROR(__xludf.DUMMYFUNCTION("""COMPUTED_VALUE"""),"27/3/2023, 17:00:00")</f>
        <v>27/3/2023, 17:00:00</v>
      </c>
      <c r="I3555" s="1" t="str">
        <f>IFERROR(__xludf.DUMMYFUNCTION("""COMPUTED_VALUE"""),"RETIRADO OK POR CLIENTE")</f>
        <v>RETIRADO OK POR CLIENTE</v>
      </c>
      <c r="J3555" s="1">
        <f t="shared" si="3"/>
        <v>6</v>
      </c>
      <c r="K3555" s="1" t="str">
        <f t="shared" si="4"/>
        <v>Entregamos tus lentes, que los disfrutes!</v>
      </c>
    </row>
    <row r="3556">
      <c r="A3556" s="1">
        <f>IFERROR(__xludf.DUMMYFUNCTION("""COMPUTED_VALUE"""),88101.0)</f>
        <v>88101</v>
      </c>
      <c r="B3556" s="5">
        <f>IFERROR(__xludf.DUMMYFUNCTION("""COMPUTED_VALUE"""),45001.69974256944)</f>
        <v>45001.69974</v>
      </c>
      <c r="C3556" s="1" t="str">
        <f>IFERROR(__xludf.DUMMYFUNCTION("""COMPUTED_VALUE"""),"BENITEZ TIZIANA")</f>
        <v>BENITEZ TIZIANA</v>
      </c>
      <c r="D3556" s="1" t="str">
        <f>IFERROR(__xludf.DUMMYFUNCTION("""COMPUTED_VALUE"""),"Lentes de STOCK")</f>
        <v>Lentes de STOCK</v>
      </c>
      <c r="E3556" s="1" t="str">
        <f>IFERROR(__xludf.DUMMYFUNCTION("""COMPUTED_VALUE"""),"ARTIGAS Roció")</f>
        <v>ARTIGAS Roció</v>
      </c>
      <c r="F3556" s="1" t="str">
        <f t="shared" si="1"/>
        <v>ARTIGAS </v>
      </c>
      <c r="G3556" s="1" t="str">
        <f t="shared" si="2"/>
        <v>Roció</v>
      </c>
      <c r="H3556" s="1" t="str">
        <f>IFERROR(__xludf.DUMMYFUNCTION("""COMPUTED_VALUE"""),"27/3/2023, 17:00:00")</f>
        <v>27/3/2023, 17:00:00</v>
      </c>
      <c r="I3556" s="1" t="str">
        <f>IFERROR(__xludf.DUMMYFUNCTION("""COMPUTED_VALUE"""),"RETIRADO OK POR CLIENTE")</f>
        <v>RETIRADO OK POR CLIENTE</v>
      </c>
      <c r="J3556" s="1">
        <f t="shared" si="3"/>
        <v>6</v>
      </c>
      <c r="K3556" s="1" t="str">
        <f t="shared" si="4"/>
        <v>Entregamos tus lentes, que los disfrutes!</v>
      </c>
    </row>
    <row r="3557">
      <c r="A3557" s="1">
        <f>IFERROR(__xludf.DUMMYFUNCTION("""COMPUTED_VALUE"""),88102.0)</f>
        <v>88102</v>
      </c>
      <c r="B3557" s="5">
        <f>IFERROR(__xludf.DUMMYFUNCTION("""COMPUTED_VALUE"""),45001.70381883102)</f>
        <v>45001.70382</v>
      </c>
      <c r="C3557" s="1" t="str">
        <f>IFERROR(__xludf.DUMMYFUNCTION("""COMPUTED_VALUE"""),"OCHOA RAUL")</f>
        <v>OCHOA RAUL</v>
      </c>
      <c r="D3557" s="1" t="str">
        <f>IFERROR(__xludf.DUMMYFUNCTION("""COMPUTED_VALUE"""),"Lentes de STOCK")</f>
        <v>Lentes de STOCK</v>
      </c>
      <c r="E3557" s="1" t="str">
        <f>IFERROR(__xludf.DUMMYFUNCTION("""COMPUTED_VALUE"""),"ARTIGAS Ivana P.")</f>
        <v>ARTIGAS Ivana P.</v>
      </c>
      <c r="F3557" s="1" t="str">
        <f t="shared" si="1"/>
        <v>ARTIGAS </v>
      </c>
      <c r="G3557" s="1" t="str">
        <f t="shared" si="2"/>
        <v>Ivana P.</v>
      </c>
      <c r="H3557" s="1" t="str">
        <f>IFERROR(__xludf.DUMMYFUNCTION("""COMPUTED_VALUE"""),"21/3/2023, 17:00:00")</f>
        <v>21/3/2023, 17:00:00</v>
      </c>
      <c r="I3557" s="1" t="str">
        <f>IFERROR(__xludf.DUMMYFUNCTION("""COMPUTED_VALUE"""),"RETIRADO OK POR CLIENTE")</f>
        <v>RETIRADO OK POR CLIENTE</v>
      </c>
      <c r="J3557" s="1">
        <f t="shared" si="3"/>
        <v>6</v>
      </c>
      <c r="K3557" s="1" t="str">
        <f t="shared" si="4"/>
        <v>Entregamos tus lentes, que los disfrutes!</v>
      </c>
    </row>
    <row r="3558">
      <c r="A3558" s="1">
        <f>IFERROR(__xludf.DUMMYFUNCTION("""COMPUTED_VALUE"""),88103.0)</f>
        <v>88103</v>
      </c>
      <c r="B3558" s="5">
        <f>IFERROR(__xludf.DUMMYFUNCTION("""COMPUTED_VALUE"""),45001.71693976852)</f>
        <v>45001.71694</v>
      </c>
      <c r="C3558" s="1" t="str">
        <f>IFERROR(__xludf.DUMMYFUNCTION("""COMPUTED_VALUE"""),"rua sonia mabel")</f>
        <v>rua sonia mabel</v>
      </c>
      <c r="D3558" s="1" t="str">
        <f>IFERROR(__xludf.DUMMYFUNCTION("""COMPUTED_VALUE"""),"Lentes de STOCK")</f>
        <v>Lentes de STOCK</v>
      </c>
      <c r="E3558" s="1" t="str">
        <f>IFERROR(__xludf.DUMMYFUNCTION("""COMPUTED_VALUE"""),"RIVADAVIA Daniel CM")</f>
        <v>RIVADAVIA Daniel CM</v>
      </c>
      <c r="F3558" s="1" t="str">
        <f t="shared" si="1"/>
        <v>RIVADAVIA </v>
      </c>
      <c r="G3558" s="1" t="str">
        <f t="shared" si="2"/>
        <v>Daniel CM</v>
      </c>
      <c r="H3558" s="1" t="str">
        <f>IFERROR(__xludf.DUMMYFUNCTION("""COMPUTED_VALUE"""),"20/3/2023, 17:00:00")</f>
        <v>20/3/2023, 17:00:00</v>
      </c>
      <c r="I3558" s="1" t="str">
        <f>IFERROR(__xludf.DUMMYFUNCTION("""COMPUTED_VALUE"""),"Completado en SUCURSAL")</f>
        <v>Completado en SUCURSAL</v>
      </c>
      <c r="J3558" s="1">
        <f t="shared" si="3"/>
        <v>5</v>
      </c>
      <c r="K3558" s="1" t="str">
        <f t="shared" si="4"/>
        <v>Tus Lentes estan LISTAS PARA ENTREGAR, te esperamos.</v>
      </c>
    </row>
    <row r="3559">
      <c r="A3559" s="1">
        <f>IFERROR(__xludf.DUMMYFUNCTION("""COMPUTED_VALUE"""),88104.0)</f>
        <v>88104</v>
      </c>
      <c r="B3559" s="5">
        <f>IFERROR(__xludf.DUMMYFUNCTION("""COMPUTED_VALUE"""),45001.72291162037)</f>
        <v>45001.72291</v>
      </c>
      <c r="C3559" s="1" t="str">
        <f>IFERROR(__xludf.DUMMYFUNCTION("""COMPUTED_VALUE"""),"GODOY MANUELA")</f>
        <v>GODOY MANUELA</v>
      </c>
      <c r="D3559" s="1" t="str">
        <f>IFERROR(__xludf.DUMMYFUNCTION("""COMPUTED_VALUE"""),"Lentes de STOCK")</f>
        <v>Lentes de STOCK</v>
      </c>
      <c r="E3559" s="1" t="str">
        <f>IFERROR(__xludf.DUMMYFUNCTION("""COMPUTED_VALUE"""),"RIVADAVIA Santiago LOPEZ")</f>
        <v>RIVADAVIA Santiago LOPEZ</v>
      </c>
      <c r="F3559" s="1" t="str">
        <f t="shared" si="1"/>
        <v>RIVADAVIA </v>
      </c>
      <c r="G3559" s="1" t="str">
        <f t="shared" si="2"/>
        <v>Santiago LOPEZ</v>
      </c>
      <c r="H3559" s="1" t="str">
        <f>IFERROR(__xludf.DUMMYFUNCTION("""COMPUTED_VALUE"""),"20/3/2023, 17:00:00")</f>
        <v>20/3/2023, 17:00:00</v>
      </c>
      <c r="I3559" s="1" t="str">
        <f>IFERROR(__xludf.DUMMYFUNCTION("""COMPUTED_VALUE"""),"Recibido en Laboratorio")</f>
        <v>Recibido en Laboratorio</v>
      </c>
      <c r="J3559" s="1">
        <f t="shared" si="3"/>
        <v>2</v>
      </c>
      <c r="K3559" s="1" t="str">
        <f t="shared" si="4"/>
        <v>Nuestro Laboratorio esta trabajando en tus lentes, los entregaremos en la fecha acordada.</v>
      </c>
    </row>
    <row r="3560">
      <c r="A3560" s="1">
        <f>IFERROR(__xludf.DUMMYFUNCTION("""COMPUTED_VALUE"""),88105.0)</f>
        <v>88105</v>
      </c>
      <c r="B3560" s="5">
        <f>IFERROR(__xludf.DUMMYFUNCTION("""COMPUTED_VALUE"""),45001.724388703704)</f>
        <v>45001.72439</v>
      </c>
      <c r="C3560" s="1" t="str">
        <f>IFERROR(__xludf.DUMMYFUNCTION("""COMPUTED_VALUE"""),"kowaliszynn felipe")</f>
        <v>kowaliszynn felipe</v>
      </c>
      <c r="D3560" s="1" t="str">
        <f>IFERROR(__xludf.DUMMYFUNCTION("""COMPUTED_VALUE"""),"Lentes de STOCK")</f>
        <v>Lentes de STOCK</v>
      </c>
      <c r="E3560" s="1" t="str">
        <f>IFERROR(__xludf.DUMMYFUNCTION("""COMPUTED_VALUE"""),"RIVADAVIA Santiago N")</f>
        <v>RIVADAVIA Santiago N</v>
      </c>
      <c r="F3560" s="1" t="str">
        <f t="shared" si="1"/>
        <v>RIVADAVIA </v>
      </c>
      <c r="G3560" s="1" t="str">
        <f t="shared" si="2"/>
        <v>Santiago N</v>
      </c>
      <c r="H3560" s="1" t="str">
        <f>IFERROR(__xludf.DUMMYFUNCTION("""COMPUTED_VALUE"""),"20/3/2023, 17:00:00")</f>
        <v>20/3/2023, 17:00:00</v>
      </c>
      <c r="I3560" s="1" t="str">
        <f>IFERROR(__xludf.DUMMYFUNCTION("""COMPUTED_VALUE"""),"Completado en SUCURSAL")</f>
        <v>Completado en SUCURSAL</v>
      </c>
      <c r="J3560" s="1">
        <f t="shared" si="3"/>
        <v>5</v>
      </c>
      <c r="K3560" s="1" t="str">
        <f t="shared" si="4"/>
        <v>Tus Lentes estan LISTAS PARA ENTREGAR, te esperamos.</v>
      </c>
    </row>
    <row r="3561">
      <c r="A3561" s="1">
        <f>IFERROR(__xludf.DUMMYFUNCTION("""COMPUTED_VALUE"""),88106.0)</f>
        <v>88106</v>
      </c>
      <c r="B3561" s="5">
        <f>IFERROR(__xludf.DUMMYFUNCTION("""COMPUTED_VALUE"""),45001.74279438658)</f>
        <v>45001.74279</v>
      </c>
      <c r="C3561" s="1" t="str">
        <f>IFERROR(__xludf.DUMMYFUNCTION("""COMPUTED_VALUE"""),"anzulovich griselda")</f>
        <v>anzulovich griselda</v>
      </c>
      <c r="D3561" s="1" t="str">
        <f>IFERROR(__xludf.DUMMYFUNCTION("""COMPUTED_VALUE"""),"Lentes de STOCK")</f>
        <v>Lentes de STOCK</v>
      </c>
      <c r="E3561" s="1" t="str">
        <f>IFERROR(__xludf.DUMMYFUNCTION("""COMPUTED_VALUE"""),"RIVADAVIA Santiago N")</f>
        <v>RIVADAVIA Santiago N</v>
      </c>
      <c r="F3561" s="1" t="str">
        <f t="shared" si="1"/>
        <v>RIVADAVIA </v>
      </c>
      <c r="G3561" s="1" t="str">
        <f t="shared" si="2"/>
        <v>Santiago N</v>
      </c>
      <c r="H3561" s="1" t="str">
        <f>IFERROR(__xludf.DUMMYFUNCTION("""COMPUTED_VALUE"""),"20/3/2023, 17:00:00")</f>
        <v>20/3/2023, 17:00:00</v>
      </c>
      <c r="I3561" s="1" t="str">
        <f>IFERROR(__xludf.DUMMYFUNCTION("""COMPUTED_VALUE"""),"Completado en SUCURSAL")</f>
        <v>Completado en SUCURSAL</v>
      </c>
      <c r="J3561" s="1">
        <f t="shared" si="3"/>
        <v>5</v>
      </c>
      <c r="K3561" s="1" t="str">
        <f t="shared" si="4"/>
        <v>Tus Lentes estan LISTAS PARA ENTREGAR, te esperamos.</v>
      </c>
    </row>
    <row r="3562">
      <c r="A3562" s="1">
        <f>IFERROR(__xludf.DUMMYFUNCTION("""COMPUTED_VALUE"""),88107.0)</f>
        <v>88107</v>
      </c>
      <c r="B3562" s="5">
        <f>IFERROR(__xludf.DUMMYFUNCTION("""COMPUTED_VALUE"""),45001.74780253472)</f>
        <v>45001.7478</v>
      </c>
      <c r="C3562" s="1" t="str">
        <f>IFERROR(__xludf.DUMMYFUNCTION("""COMPUTED_VALUE"""),"alfonso marcelo ")</f>
        <v>alfonso marcelo </v>
      </c>
      <c r="D3562" s="1" t="str">
        <f>IFERROR(__xludf.DUMMYFUNCTION("""COMPUTED_VALUE"""),"Lentes de STOCK")</f>
        <v>Lentes de STOCK</v>
      </c>
      <c r="E3562" s="1" t="str">
        <f>IFERROR(__xludf.DUMMYFUNCTION("""COMPUTED_VALUE"""),"ARTIGAS Roció")</f>
        <v>ARTIGAS Roció</v>
      </c>
      <c r="F3562" s="1" t="str">
        <f t="shared" si="1"/>
        <v>ARTIGAS </v>
      </c>
      <c r="G3562" s="1" t="str">
        <f t="shared" si="2"/>
        <v>Roció</v>
      </c>
      <c r="H3562" s="1" t="str">
        <f>IFERROR(__xludf.DUMMYFUNCTION("""COMPUTED_VALUE"""),"27/3/2023, 17:00:00")</f>
        <v>27/3/2023, 17:00:00</v>
      </c>
      <c r="I3562" s="1" t="str">
        <f>IFERROR(__xludf.DUMMYFUNCTION("""COMPUTED_VALUE"""),"Recibido en Laboratorio")</f>
        <v>Recibido en Laboratorio</v>
      </c>
      <c r="J3562" s="1">
        <f t="shared" si="3"/>
        <v>2</v>
      </c>
      <c r="K3562" s="1" t="str">
        <f t="shared" si="4"/>
        <v>Nuestro Laboratorio esta trabajando en tus lentes, los entregaremos en la fecha acordada.</v>
      </c>
    </row>
    <row r="3563">
      <c r="A3563" s="1">
        <f>IFERROR(__xludf.DUMMYFUNCTION("""COMPUTED_VALUE"""),88108.0)</f>
        <v>88108</v>
      </c>
      <c r="B3563" s="5">
        <f>IFERROR(__xludf.DUMMYFUNCTION("""COMPUTED_VALUE"""),45001.75219594907)</f>
        <v>45001.7522</v>
      </c>
      <c r="C3563" s="1" t="str">
        <f>IFERROR(__xludf.DUMMYFUNCTION("""COMPUTED_VALUE"""),"SARAPURA LILA")</f>
        <v>SARAPURA LILA</v>
      </c>
      <c r="D3563" s="1" t="str">
        <f>IFERROR(__xludf.DUMMYFUNCTION("""COMPUTED_VALUE"""),"Lentes de STOCK")</f>
        <v>Lentes de STOCK</v>
      </c>
      <c r="E3563" s="1" t="str">
        <f>IFERROR(__xludf.DUMMYFUNCTION("""COMPUTED_VALUE"""),"ARTIGAS Roció")</f>
        <v>ARTIGAS Roció</v>
      </c>
      <c r="F3563" s="1" t="str">
        <f t="shared" si="1"/>
        <v>ARTIGAS </v>
      </c>
      <c r="G3563" s="1" t="str">
        <f t="shared" si="2"/>
        <v>Roció</v>
      </c>
      <c r="H3563" s="1" t="str">
        <f>IFERROR(__xludf.DUMMYFUNCTION("""COMPUTED_VALUE"""),"23/3/2023, 17:00:00")</f>
        <v>23/3/2023, 17:00:00</v>
      </c>
      <c r="I3563" s="1" t="str">
        <f>IFERROR(__xludf.DUMMYFUNCTION("""COMPUTED_VALUE"""),"Completado en SUCURSAL")</f>
        <v>Completado en SUCURSAL</v>
      </c>
      <c r="J3563" s="1">
        <f t="shared" si="3"/>
        <v>5</v>
      </c>
      <c r="K3563" s="1" t="str">
        <f t="shared" si="4"/>
        <v>Tus Lentes estan LISTAS PARA ENTREGAR, te esperamos.</v>
      </c>
    </row>
    <row r="3564">
      <c r="A3564" s="1">
        <f>IFERROR(__xludf.DUMMYFUNCTION("""COMPUTED_VALUE"""),88109.0)</f>
        <v>88109</v>
      </c>
      <c r="B3564" s="5">
        <f>IFERROR(__xludf.DUMMYFUNCTION("""COMPUTED_VALUE"""),45001.7602652662)</f>
        <v>45001.76027</v>
      </c>
      <c r="C3564" s="1" t="str">
        <f>IFERROR(__xludf.DUMMYFUNCTION("""COMPUTED_VALUE"""),"VALENZUELA DAIANA")</f>
        <v>VALENZUELA DAIANA</v>
      </c>
      <c r="D3564" s="1" t="str">
        <f>IFERROR(__xludf.DUMMYFUNCTION("""COMPUTED_VALUE"""),"Lentes de STOCK")</f>
        <v>Lentes de STOCK</v>
      </c>
      <c r="E3564" s="1" t="str">
        <f>IFERROR(__xludf.DUMMYFUNCTION("""COMPUTED_VALUE"""),"ARTIGAS Ivana P.")</f>
        <v>ARTIGAS Ivana P.</v>
      </c>
      <c r="F3564" s="1" t="str">
        <f t="shared" si="1"/>
        <v>ARTIGAS </v>
      </c>
      <c r="G3564" s="1" t="str">
        <f t="shared" si="2"/>
        <v>Ivana P.</v>
      </c>
      <c r="H3564" s="1" t="str">
        <f>IFERROR(__xludf.DUMMYFUNCTION("""COMPUTED_VALUE"""),"20/3/2023, 17:00:00")</f>
        <v>20/3/2023, 17:00:00</v>
      </c>
      <c r="I3564" s="1" t="str">
        <f>IFERROR(__xludf.DUMMYFUNCTION("""COMPUTED_VALUE"""),"Completado en SUCURSAL")</f>
        <v>Completado en SUCURSAL</v>
      </c>
      <c r="J3564" s="1">
        <f t="shared" si="3"/>
        <v>5</v>
      </c>
      <c r="K3564" s="1" t="str">
        <f t="shared" si="4"/>
        <v>Tus Lentes estan LISTAS PARA ENTREGAR, te esperamos.</v>
      </c>
    </row>
    <row r="3565">
      <c r="A3565" s="1">
        <f>IFERROR(__xludf.DUMMYFUNCTION("""COMPUTED_VALUE"""),88110.0)</f>
        <v>88110</v>
      </c>
      <c r="B3565" s="5">
        <f>IFERROR(__xludf.DUMMYFUNCTION("""COMPUTED_VALUE"""),45001.77306853009)</f>
        <v>45001.77307</v>
      </c>
      <c r="C3565" s="1" t="str">
        <f>IFERROR(__xludf.DUMMYFUNCTION("""COMPUTED_VALUE"""),"BENITEZ MARGARITA")</f>
        <v>BENITEZ MARGARITA</v>
      </c>
      <c r="D3565" s="1" t="str">
        <f>IFERROR(__xludf.DUMMYFUNCTION("""COMPUTED_VALUE"""),"Lentes de STOCK")</f>
        <v>Lentes de STOCK</v>
      </c>
      <c r="E3565" s="1" t="str">
        <f>IFERROR(__xludf.DUMMYFUNCTION("""COMPUTED_VALUE"""),"ARTIGAS Ivana P.")</f>
        <v>ARTIGAS Ivana P.</v>
      </c>
      <c r="F3565" s="1" t="str">
        <f t="shared" si="1"/>
        <v>ARTIGAS </v>
      </c>
      <c r="G3565" s="1" t="str">
        <f t="shared" si="2"/>
        <v>Ivana P.</v>
      </c>
      <c r="H3565" s="1" t="str">
        <f>IFERROR(__xludf.DUMMYFUNCTION("""COMPUTED_VALUE"""),"18/3/2023, 17:00:00")</f>
        <v>18/3/2023, 17:00:00</v>
      </c>
      <c r="I3565" s="1" t="str">
        <f>IFERROR(__xludf.DUMMYFUNCTION("""COMPUTED_VALUE"""),"Completado en SUCURSAL")</f>
        <v>Completado en SUCURSAL</v>
      </c>
      <c r="J3565" s="1">
        <f t="shared" si="3"/>
        <v>5</v>
      </c>
      <c r="K3565" s="1" t="str">
        <f t="shared" si="4"/>
        <v>Tus Lentes estan LISTAS PARA ENTREGAR, te esperamos.</v>
      </c>
    </row>
    <row r="3566">
      <c r="A3566" s="1">
        <f>IFERROR(__xludf.DUMMYFUNCTION("""COMPUTED_VALUE"""),88111.0)</f>
        <v>88111</v>
      </c>
      <c r="B3566" s="5">
        <f>IFERROR(__xludf.DUMMYFUNCTION("""COMPUTED_VALUE"""),45001.79405503473)</f>
        <v>45001.79406</v>
      </c>
      <c r="C3566" s="1" t="str">
        <f>IFERROR(__xludf.DUMMYFUNCTION("""COMPUTED_VALUE"""),"RODRIGUEZ ALEJANDRA")</f>
        <v>RODRIGUEZ ALEJANDRA</v>
      </c>
      <c r="D3566" s="1" t="str">
        <f>IFERROR(__xludf.DUMMYFUNCTION("""COMPUTED_VALUE"""),"Reparaciones/Otros")</f>
        <v>Reparaciones/Otros</v>
      </c>
      <c r="E3566" s="1" t="str">
        <f>IFERROR(__xludf.DUMMYFUNCTION("""COMPUTED_VALUE"""),"ARTIGAS Roció")</f>
        <v>ARTIGAS Roció</v>
      </c>
      <c r="F3566" s="1" t="str">
        <f t="shared" si="1"/>
        <v>ARTIGAS </v>
      </c>
      <c r="G3566" s="1" t="str">
        <f t="shared" si="2"/>
        <v>Roció</v>
      </c>
      <c r="H3566" s="1" t="str">
        <f>IFERROR(__xludf.DUMMYFUNCTION("""COMPUTED_VALUE"""),"17/3/2023, 17:00:00")</f>
        <v>17/3/2023, 17:00:00</v>
      </c>
      <c r="I3566" s="1" t="str">
        <f>IFERROR(__xludf.DUMMYFUNCTION("""COMPUTED_VALUE"""),"Recibido en Laboratorio")</f>
        <v>Recibido en Laboratorio</v>
      </c>
      <c r="J3566" s="1">
        <f t="shared" si="3"/>
        <v>2</v>
      </c>
      <c r="K3566" s="1" t="str">
        <f t="shared" si="4"/>
        <v>Nuestro Laboratorio esta trabajando en tus lentes, los entregaremos en la fecha acordada.</v>
      </c>
    </row>
    <row r="3567">
      <c r="A3567" s="1">
        <f>IFERROR(__xludf.DUMMYFUNCTION("""COMPUTED_VALUE"""),88112.0)</f>
        <v>88112</v>
      </c>
      <c r="B3567" s="5">
        <f>IFERROR(__xludf.DUMMYFUNCTION("""COMPUTED_VALUE"""),45001.79483850695)</f>
        <v>45001.79484</v>
      </c>
      <c r="C3567" s="1" t="str">
        <f>IFERROR(__xludf.DUMMYFUNCTION("""COMPUTED_VALUE"""),"Soledad ANDINA ")</f>
        <v>Soledad ANDINA </v>
      </c>
      <c r="D3567" s="1" t="str">
        <f>IFERROR(__xludf.DUMMYFUNCTION("""COMPUTED_VALUE"""),"Reparaciones/Otros")</f>
        <v>Reparaciones/Otros</v>
      </c>
      <c r="E3567" s="1" t="str">
        <f>IFERROR(__xludf.DUMMYFUNCTION("""COMPUTED_VALUE"""),"ARTIGAS Micaela")</f>
        <v>ARTIGAS Micaela</v>
      </c>
      <c r="F3567" s="1" t="str">
        <f t="shared" si="1"/>
        <v>ARTIGAS </v>
      </c>
      <c r="G3567" s="1" t="str">
        <f t="shared" si="2"/>
        <v>Micaela</v>
      </c>
      <c r="H3567" s="1" t="str">
        <f>IFERROR(__xludf.DUMMYFUNCTION("""COMPUTED_VALUE"""),"17/3/2023, 17:00:00")</f>
        <v>17/3/2023, 17:00:00</v>
      </c>
      <c r="I3567" s="1" t="str">
        <f>IFERROR(__xludf.DUMMYFUNCTION("""COMPUTED_VALUE"""),"Completado en SUCURSAL")</f>
        <v>Completado en SUCURSAL</v>
      </c>
      <c r="J3567" s="1">
        <f t="shared" si="3"/>
        <v>5</v>
      </c>
      <c r="K3567" s="1" t="str">
        <f t="shared" si="4"/>
        <v>Tus Lentes estan LISTAS PARA ENTREGAR, te esperamos.</v>
      </c>
    </row>
    <row r="3568">
      <c r="A3568" s="1">
        <f>IFERROR(__xludf.DUMMYFUNCTION("""COMPUTED_VALUE"""),88113.0)</f>
        <v>88113</v>
      </c>
      <c r="B3568" s="5">
        <f>IFERROR(__xludf.DUMMYFUNCTION("""COMPUTED_VALUE"""),45001.80740726852)</f>
        <v>45001.80741</v>
      </c>
      <c r="C3568" s="1" t="str">
        <f>IFERROR(__xludf.DUMMYFUNCTION("""COMPUTED_VALUE"""),"montenegro graciela")</f>
        <v>montenegro graciela</v>
      </c>
      <c r="D3568" s="1" t="str">
        <f>IFERROR(__xludf.DUMMYFUNCTION("""COMPUTED_VALUE"""),"Lentes de STOCK")</f>
        <v>Lentes de STOCK</v>
      </c>
      <c r="E3568" s="1" t="str">
        <f>IFERROR(__xludf.DUMMYFUNCTION("""COMPUTED_VALUE"""),"RIVADAVIA Santiago N")</f>
        <v>RIVADAVIA Santiago N</v>
      </c>
      <c r="F3568" s="1" t="str">
        <f t="shared" si="1"/>
        <v>RIVADAVIA </v>
      </c>
      <c r="G3568" s="1" t="str">
        <f t="shared" si="2"/>
        <v>Santiago N</v>
      </c>
      <c r="H3568" s="1" t="str">
        <f>IFERROR(__xludf.DUMMYFUNCTION("""COMPUTED_VALUE"""),"18/3/2023, 17:00:00")</f>
        <v>18/3/2023, 17:00:00</v>
      </c>
      <c r="I3568" s="1" t="str">
        <f>IFERROR(__xludf.DUMMYFUNCTION("""COMPUTED_VALUE"""),"Completado en SUCURSAL")</f>
        <v>Completado en SUCURSAL</v>
      </c>
      <c r="J3568" s="1">
        <f t="shared" si="3"/>
        <v>5</v>
      </c>
      <c r="K3568" s="1" t="str">
        <f t="shared" si="4"/>
        <v>Tus Lentes estan LISTAS PARA ENTREGAR, te esperamos.</v>
      </c>
    </row>
    <row r="3569">
      <c r="A3569" s="1">
        <f>IFERROR(__xludf.DUMMYFUNCTION("""COMPUTED_VALUE"""),88114.0)</f>
        <v>88114</v>
      </c>
      <c r="B3569" s="5">
        <f>IFERROR(__xludf.DUMMYFUNCTION("""COMPUTED_VALUE"""),45001.811686388886)</f>
        <v>45001.81169</v>
      </c>
      <c r="C3569" s="1" t="str">
        <f>IFERROR(__xludf.DUMMYFUNCTION("""COMPUTED_VALUE"""),"VILLEGAS GARCIA MILO")</f>
        <v>VILLEGAS GARCIA MILO</v>
      </c>
      <c r="D3569" s="1" t="str">
        <f>IFERROR(__xludf.DUMMYFUNCTION("""COMPUTED_VALUE"""),"Lentes de STOCK")</f>
        <v>Lentes de STOCK</v>
      </c>
      <c r="E3569" s="1" t="str">
        <f>IFERROR(__xludf.DUMMYFUNCTION("""COMPUTED_VALUE"""),"ARTIGAS Ivana P.")</f>
        <v>ARTIGAS Ivana P.</v>
      </c>
      <c r="F3569" s="1" t="str">
        <f t="shared" si="1"/>
        <v>ARTIGAS </v>
      </c>
      <c r="G3569" s="1" t="str">
        <f t="shared" si="2"/>
        <v>Ivana P.</v>
      </c>
      <c r="H3569" s="1" t="str">
        <f>IFERROR(__xludf.DUMMYFUNCTION("""COMPUTED_VALUE"""),"20/3/2023, 17:00:00")</f>
        <v>20/3/2023, 17:00:00</v>
      </c>
      <c r="I3569" s="1" t="str">
        <f>IFERROR(__xludf.DUMMYFUNCTION("""COMPUTED_VALUE"""),"Completado en SUCURSAL")</f>
        <v>Completado en SUCURSAL</v>
      </c>
      <c r="J3569" s="1">
        <f t="shared" si="3"/>
        <v>5</v>
      </c>
      <c r="K3569" s="1" t="str">
        <f t="shared" si="4"/>
        <v>Tus Lentes estan LISTAS PARA ENTREGAR, te esperamos.</v>
      </c>
    </row>
    <row r="3570">
      <c r="A3570" s="1">
        <f>IFERROR(__xludf.DUMMYFUNCTION("""COMPUTED_VALUE"""),88115.0)</f>
        <v>88115</v>
      </c>
      <c r="B3570" s="5">
        <f>IFERROR(__xludf.DUMMYFUNCTION("""COMPUTED_VALUE"""),45001.81764962963)</f>
        <v>45001.81765</v>
      </c>
      <c r="C3570" s="1" t="str">
        <f>IFERROR(__xludf.DUMMYFUNCTION("""COMPUTED_VALUE"""),"LICEDA MARIANA BEATRIZ")</f>
        <v>LICEDA MARIANA BEATRIZ</v>
      </c>
      <c r="D3570" s="1" t="str">
        <f>IFERROR(__xludf.DUMMYFUNCTION("""COMPUTED_VALUE"""),"Reparaciones/Otros")</f>
        <v>Reparaciones/Otros</v>
      </c>
      <c r="E3570" s="1" t="str">
        <f>IFERROR(__xludf.DUMMYFUNCTION("""COMPUTED_VALUE"""),"RIVADAVIA Christian C.")</f>
        <v>RIVADAVIA Christian C.</v>
      </c>
      <c r="F3570" s="1" t="str">
        <f t="shared" si="1"/>
        <v>RIVADAVIA </v>
      </c>
      <c r="G3570" s="1" t="str">
        <f t="shared" si="2"/>
        <v>Christian C.</v>
      </c>
      <c r="H3570" s="1" t="str">
        <f>IFERROR(__xludf.DUMMYFUNCTION("""COMPUTED_VALUE"""),"20/3/2023, 17:00:00")</f>
        <v>20/3/2023, 17:00:00</v>
      </c>
      <c r="I3570" s="1" t="str">
        <f>IFERROR(__xludf.DUMMYFUNCTION("""COMPUTED_VALUE"""),"Completado en SUCURSAL")</f>
        <v>Completado en SUCURSAL</v>
      </c>
      <c r="J3570" s="1">
        <f t="shared" si="3"/>
        <v>5</v>
      </c>
      <c r="K3570" s="1" t="str">
        <f t="shared" si="4"/>
        <v>Tus Lentes estan LISTAS PARA ENTREGAR, te esperamos.</v>
      </c>
    </row>
    <row r="3571">
      <c r="A3571" s="1">
        <f>IFERROR(__xludf.DUMMYFUNCTION("""COMPUTED_VALUE"""),88116.0)</f>
        <v>88116</v>
      </c>
      <c r="B3571" s="5">
        <f>IFERROR(__xludf.DUMMYFUNCTION("""COMPUTED_VALUE"""),45001.822950497684)</f>
        <v>45001.82295</v>
      </c>
      <c r="C3571" s="1" t="str">
        <f>IFERROR(__xludf.DUMMYFUNCTION("""COMPUTED_VALUE"""),"BUSTOS ELINA")</f>
        <v>BUSTOS ELINA</v>
      </c>
      <c r="D3571" s="1" t="str">
        <f>IFERROR(__xludf.DUMMYFUNCTION("""COMPUTED_VALUE"""),"Lentes MULTIFOCALES")</f>
        <v>Lentes MULTIFOCALES</v>
      </c>
      <c r="E3571" s="1" t="str">
        <f>IFERROR(__xludf.DUMMYFUNCTION("""COMPUTED_VALUE"""),"RIVADAVIA Santiago LOPEZ")</f>
        <v>RIVADAVIA Santiago LOPEZ</v>
      </c>
      <c r="F3571" s="1" t="str">
        <f t="shared" si="1"/>
        <v>RIVADAVIA </v>
      </c>
      <c r="G3571" s="1" t="str">
        <f t="shared" si="2"/>
        <v>Santiago LOPEZ</v>
      </c>
      <c r="H3571" s="1" t="str">
        <f>IFERROR(__xludf.DUMMYFUNCTION("""COMPUTED_VALUE"""),"29/3/2023, 17:00:00")</f>
        <v>29/3/2023, 17:00:00</v>
      </c>
      <c r="I3571" s="1" t="str">
        <f>IFERROR(__xludf.DUMMYFUNCTION("""COMPUTED_VALUE"""),"RETIRADO OK POR CLIENTE")</f>
        <v>RETIRADO OK POR CLIENTE</v>
      </c>
      <c r="J3571" s="1">
        <f t="shared" si="3"/>
        <v>6</v>
      </c>
      <c r="K3571" s="1" t="str">
        <f t="shared" si="4"/>
        <v>Entregamos tus lentes, que los disfrutes!</v>
      </c>
    </row>
    <row r="3572">
      <c r="A3572" s="1">
        <f>IFERROR(__xludf.DUMMYFUNCTION("""COMPUTED_VALUE"""),88117.0)</f>
        <v>88117</v>
      </c>
      <c r="B3572" s="5">
        <f>IFERROR(__xludf.DUMMYFUNCTION("""COMPUTED_VALUE"""),45002.38128474537)</f>
        <v>45002.38128</v>
      </c>
      <c r="C3572" s="1" t="str">
        <f>IFERROR(__xludf.DUMMYFUNCTION("""COMPUTED_VALUE"""),"OLGUIN PATRICIA DANIELA")</f>
        <v>OLGUIN PATRICIA DANIELA</v>
      </c>
      <c r="D3572" s="1" t="str">
        <f>IFERROR(__xludf.DUMMYFUNCTION("""COMPUTED_VALUE"""),"Lentes de STOCK")</f>
        <v>Lentes de STOCK</v>
      </c>
      <c r="E3572" s="1" t="str">
        <f>IFERROR(__xludf.DUMMYFUNCTION("""COMPUTED_VALUE"""),"RIVADAVIA Marcela L")</f>
        <v>RIVADAVIA Marcela L</v>
      </c>
      <c r="F3572" s="1" t="str">
        <f t="shared" si="1"/>
        <v>RIVADAVIA </v>
      </c>
      <c r="G3572" s="1" t="str">
        <f t="shared" si="2"/>
        <v>Marcela L</v>
      </c>
      <c r="H3572" s="1" t="str">
        <f>IFERROR(__xludf.DUMMYFUNCTION("""COMPUTED_VALUE"""),"21/3/2023, 17:00:00")</f>
        <v>21/3/2023, 17:00:00</v>
      </c>
      <c r="I3572" s="1" t="str">
        <f>IFERROR(__xludf.DUMMYFUNCTION("""COMPUTED_VALUE"""),"RETIRADO OK POR CLIENTE")</f>
        <v>RETIRADO OK POR CLIENTE</v>
      </c>
      <c r="J3572" s="1">
        <f t="shared" si="3"/>
        <v>6</v>
      </c>
      <c r="K3572" s="1" t="str">
        <f t="shared" si="4"/>
        <v>Entregamos tus lentes, que los disfrutes!</v>
      </c>
    </row>
    <row r="3573">
      <c r="A3573" s="1">
        <f>IFERROR(__xludf.DUMMYFUNCTION("""COMPUTED_VALUE"""),88118.0)</f>
        <v>88118</v>
      </c>
      <c r="B3573" s="5">
        <f>IFERROR(__xludf.DUMMYFUNCTION("""COMPUTED_VALUE"""),45002.38800063657)</f>
        <v>45002.388</v>
      </c>
      <c r="C3573" s="1" t="str">
        <f>IFERROR(__xludf.DUMMYFUNCTION("""COMPUTED_VALUE"""),"gutirrez eduardo")</f>
        <v>gutirrez eduardo</v>
      </c>
      <c r="D3573" s="1" t="str">
        <f>IFERROR(__xludf.DUMMYFUNCTION("""COMPUTED_VALUE"""),"Lentes de STOCK")</f>
        <v>Lentes de STOCK</v>
      </c>
      <c r="E3573" s="1" t="str">
        <f>IFERROR(__xludf.DUMMYFUNCTION("""COMPUTED_VALUE"""),"RIVADAVIA Santiago N")</f>
        <v>RIVADAVIA Santiago N</v>
      </c>
      <c r="F3573" s="1" t="str">
        <f t="shared" si="1"/>
        <v>RIVADAVIA </v>
      </c>
      <c r="G3573" s="1" t="str">
        <f t="shared" si="2"/>
        <v>Santiago N</v>
      </c>
      <c r="H3573" s="1" t="str">
        <f>IFERROR(__xludf.DUMMYFUNCTION("""COMPUTED_VALUE"""),"22/3/2023, 17:00:00")</f>
        <v>22/3/2023, 17:00:00</v>
      </c>
      <c r="I3573" s="1" t="str">
        <f>IFERROR(__xludf.DUMMYFUNCTION("""COMPUTED_VALUE"""),"Completado en SUCURSAL")</f>
        <v>Completado en SUCURSAL</v>
      </c>
      <c r="J3573" s="1">
        <f t="shared" si="3"/>
        <v>5</v>
      </c>
      <c r="K3573" s="1" t="str">
        <f t="shared" si="4"/>
        <v>Tus Lentes estan LISTAS PARA ENTREGAR, te esperamos.</v>
      </c>
    </row>
    <row r="3574">
      <c r="A3574" s="1">
        <f>IFERROR(__xludf.DUMMYFUNCTION("""COMPUTED_VALUE"""),88119.0)</f>
        <v>88119</v>
      </c>
      <c r="B3574" s="5">
        <f>IFERROR(__xludf.DUMMYFUNCTION("""COMPUTED_VALUE"""),45002.38926520833)</f>
        <v>45002.38927</v>
      </c>
      <c r="C3574" s="1" t="str">
        <f>IFERROR(__xludf.DUMMYFUNCTION("""COMPUTED_VALUE"""),"flores orfilia")</f>
        <v>flores orfilia</v>
      </c>
      <c r="D3574" s="1" t="str">
        <f>IFERROR(__xludf.DUMMYFUNCTION("""COMPUTED_VALUE"""),"Reparaciones/Otros")</f>
        <v>Reparaciones/Otros</v>
      </c>
      <c r="E3574" s="1" t="str">
        <f>IFERROR(__xludf.DUMMYFUNCTION("""COMPUTED_VALUE"""),"ARTIGAS Roció")</f>
        <v>ARTIGAS Roció</v>
      </c>
      <c r="F3574" s="1" t="str">
        <f t="shared" si="1"/>
        <v>ARTIGAS </v>
      </c>
      <c r="G3574" s="1" t="str">
        <f t="shared" si="2"/>
        <v>Roció</v>
      </c>
      <c r="H3574" s="1" t="str">
        <f>IFERROR(__xludf.DUMMYFUNCTION("""COMPUTED_VALUE"""),"20/3/2023, 10:00:00")</f>
        <v>20/3/2023, 10:00:00</v>
      </c>
      <c r="I3574" s="1" t="str">
        <f>IFERROR(__xludf.DUMMYFUNCTION("""COMPUTED_VALUE"""),"Recibido en Laboratorio")</f>
        <v>Recibido en Laboratorio</v>
      </c>
      <c r="J3574" s="1">
        <f t="shared" si="3"/>
        <v>2</v>
      </c>
      <c r="K3574" s="1" t="str">
        <f t="shared" si="4"/>
        <v>Nuestro Laboratorio esta trabajando en tus lentes, los entregaremos en la fecha acordada.</v>
      </c>
    </row>
    <row r="3575">
      <c r="A3575" s="1">
        <f>IFERROR(__xludf.DUMMYFUNCTION("""COMPUTED_VALUE"""),88120.0)</f>
        <v>88120</v>
      </c>
      <c r="B3575" s="5">
        <f>IFERROR(__xludf.DUMMYFUNCTION("""COMPUTED_VALUE"""),45002.39146912037)</f>
        <v>45002.39147</v>
      </c>
      <c r="C3575" s="1" t="str">
        <f>IFERROR(__xludf.DUMMYFUNCTION("""COMPUTED_VALUE"""),"pereyra maria jose")</f>
        <v>pereyra maria jose</v>
      </c>
      <c r="D3575" s="1" t="str">
        <f>IFERROR(__xludf.DUMMYFUNCTION("""COMPUTED_VALUE"""),"Lentes de STOCK")</f>
        <v>Lentes de STOCK</v>
      </c>
      <c r="E3575" s="1" t="str">
        <f>IFERROR(__xludf.DUMMYFUNCTION("""COMPUTED_VALUE"""),"RIVADAVIA Santiago N")</f>
        <v>RIVADAVIA Santiago N</v>
      </c>
      <c r="F3575" s="1" t="str">
        <f t="shared" si="1"/>
        <v>RIVADAVIA </v>
      </c>
      <c r="G3575" s="1" t="str">
        <f t="shared" si="2"/>
        <v>Santiago N</v>
      </c>
      <c r="H3575" s="1" t="str">
        <f>IFERROR(__xludf.DUMMYFUNCTION("""COMPUTED_VALUE"""),"20/3/2023, 17:00:00")</f>
        <v>20/3/2023, 17:00:00</v>
      </c>
      <c r="I3575" s="1" t="str">
        <f>IFERROR(__xludf.DUMMYFUNCTION("""COMPUTED_VALUE"""),"Completado en SUCURSAL")</f>
        <v>Completado en SUCURSAL</v>
      </c>
      <c r="J3575" s="1">
        <f t="shared" si="3"/>
        <v>5</v>
      </c>
      <c r="K3575" s="1" t="str">
        <f t="shared" si="4"/>
        <v>Tus Lentes estan LISTAS PARA ENTREGAR, te esperamos.</v>
      </c>
    </row>
    <row r="3576">
      <c r="A3576" s="1">
        <f>IFERROR(__xludf.DUMMYFUNCTION("""COMPUTED_VALUE"""),88121.0)</f>
        <v>88121</v>
      </c>
      <c r="B3576" s="5">
        <f>IFERROR(__xludf.DUMMYFUNCTION("""COMPUTED_VALUE"""),45002.405332939816)</f>
        <v>45002.40533</v>
      </c>
      <c r="C3576" s="1" t="str">
        <f>IFERROR(__xludf.DUMMYFUNCTION("""COMPUTED_VALUE"""),"RONCO ELISA")</f>
        <v>RONCO ELISA</v>
      </c>
      <c r="D3576" s="1" t="str">
        <f>IFERROR(__xludf.DUMMYFUNCTION("""COMPUTED_VALUE"""),"Lentes de STOCK")</f>
        <v>Lentes de STOCK</v>
      </c>
      <c r="E3576" s="1" t="str">
        <f>IFERROR(__xludf.DUMMYFUNCTION("""COMPUTED_VALUE"""),"RIVADAVIA Christian C.")</f>
        <v>RIVADAVIA Christian C.</v>
      </c>
      <c r="F3576" s="1" t="str">
        <f t="shared" si="1"/>
        <v>RIVADAVIA </v>
      </c>
      <c r="G3576" s="1" t="str">
        <f t="shared" si="2"/>
        <v>Christian C.</v>
      </c>
      <c r="H3576" s="1" t="str">
        <f>IFERROR(__xludf.DUMMYFUNCTION("""COMPUTED_VALUE"""),"22/3/2023, 17:00:00")</f>
        <v>22/3/2023, 17:00:00</v>
      </c>
      <c r="I3576" s="1" t="str">
        <f>IFERROR(__xludf.DUMMYFUNCTION("""COMPUTED_VALUE"""),"RETIRADO OK POR CLIENTE")</f>
        <v>RETIRADO OK POR CLIENTE</v>
      </c>
      <c r="J3576" s="1">
        <f t="shared" si="3"/>
        <v>6</v>
      </c>
      <c r="K3576" s="1" t="str">
        <f t="shared" si="4"/>
        <v>Entregamos tus lentes, que los disfrutes!</v>
      </c>
    </row>
    <row r="3577">
      <c r="A3577" s="1">
        <f>IFERROR(__xludf.DUMMYFUNCTION("""COMPUTED_VALUE"""),88122.0)</f>
        <v>88122</v>
      </c>
      <c r="B3577" s="5">
        <f>IFERROR(__xludf.DUMMYFUNCTION("""COMPUTED_VALUE"""),45002.41065734954)</f>
        <v>45002.41066</v>
      </c>
      <c r="C3577" s="1" t="str">
        <f>IFERROR(__xludf.DUMMYFUNCTION("""COMPUTED_VALUE"""),"ALCARAZ ANA LILIANA")</f>
        <v>ALCARAZ ANA LILIANA</v>
      </c>
      <c r="D3577" s="1" t="str">
        <f>IFERROR(__xludf.DUMMYFUNCTION("""COMPUTED_VALUE"""),"Lentes de STOCK")</f>
        <v>Lentes de STOCK</v>
      </c>
      <c r="E3577" s="1" t="str">
        <f>IFERROR(__xludf.DUMMYFUNCTION("""COMPUTED_VALUE"""),"RIVADAVIA Marcela L")</f>
        <v>RIVADAVIA Marcela L</v>
      </c>
      <c r="F3577" s="1" t="str">
        <f t="shared" si="1"/>
        <v>RIVADAVIA </v>
      </c>
      <c r="G3577" s="1" t="str">
        <f t="shared" si="2"/>
        <v>Marcela L</v>
      </c>
      <c r="H3577" s="1" t="str">
        <f>IFERROR(__xludf.DUMMYFUNCTION("""COMPUTED_VALUE"""),"21/3/2023, 17:00:00")</f>
        <v>21/3/2023, 17:00:00</v>
      </c>
      <c r="I3577" s="1" t="str">
        <f>IFERROR(__xludf.DUMMYFUNCTION("""COMPUTED_VALUE"""),"Recibido en Laboratorio")</f>
        <v>Recibido en Laboratorio</v>
      </c>
      <c r="J3577" s="1">
        <f t="shared" si="3"/>
        <v>2</v>
      </c>
      <c r="K3577" s="1" t="str">
        <f t="shared" si="4"/>
        <v>Nuestro Laboratorio esta trabajando en tus lentes, los entregaremos en la fecha acordada.</v>
      </c>
    </row>
    <row r="3578">
      <c r="A3578" s="1">
        <f>IFERROR(__xludf.DUMMYFUNCTION("""COMPUTED_VALUE"""),88123.0)</f>
        <v>88123</v>
      </c>
      <c r="B3578" s="5">
        <f>IFERROR(__xludf.DUMMYFUNCTION("""COMPUTED_VALUE"""),45002.41363318287)</f>
        <v>45002.41363</v>
      </c>
      <c r="C3578" s="1" t="str">
        <f>IFERROR(__xludf.DUMMYFUNCTION("""COMPUTED_VALUE"""),"ROJO LIDIA")</f>
        <v>ROJO LIDIA</v>
      </c>
      <c r="D3578" s="1" t="str">
        <f>IFERROR(__xludf.DUMMYFUNCTION("""COMPUTED_VALUE"""),"Lentes de STOCK")</f>
        <v>Lentes de STOCK</v>
      </c>
      <c r="E3578" s="1" t="str">
        <f>IFERROR(__xludf.DUMMYFUNCTION("""COMPUTED_VALUE"""),"ARTIGAS Ivana P.")</f>
        <v>ARTIGAS Ivana P.</v>
      </c>
      <c r="F3578" s="1" t="str">
        <f t="shared" si="1"/>
        <v>ARTIGAS </v>
      </c>
      <c r="G3578" s="1" t="str">
        <f t="shared" si="2"/>
        <v>Ivana P.</v>
      </c>
      <c r="H3578" s="1" t="str">
        <f>IFERROR(__xludf.DUMMYFUNCTION("""COMPUTED_VALUE"""),"20/3/2023, 17:00:00")</f>
        <v>20/3/2023, 17:00:00</v>
      </c>
      <c r="I3578" s="1" t="str">
        <f>IFERROR(__xludf.DUMMYFUNCTION("""COMPUTED_VALUE"""),"Completado en SUCURSAL")</f>
        <v>Completado en SUCURSAL</v>
      </c>
      <c r="J3578" s="1">
        <f t="shared" si="3"/>
        <v>5</v>
      </c>
      <c r="K3578" s="1" t="str">
        <f t="shared" si="4"/>
        <v>Tus Lentes estan LISTAS PARA ENTREGAR, te esperamos.</v>
      </c>
    </row>
    <row r="3579">
      <c r="A3579" s="1">
        <f>IFERROR(__xludf.DUMMYFUNCTION("""COMPUTED_VALUE"""),88124.0)</f>
        <v>88124</v>
      </c>
      <c r="B3579" s="5">
        <f>IFERROR(__xludf.DUMMYFUNCTION("""COMPUTED_VALUE"""),45002.41478177083)</f>
        <v>45002.41478</v>
      </c>
      <c r="C3579" s="1" t="str">
        <f>IFERROR(__xludf.DUMMYFUNCTION("""COMPUTED_VALUE"""),"muñoz natalia")</f>
        <v>muñoz natalia</v>
      </c>
      <c r="D3579" s="1" t="str">
        <f>IFERROR(__xludf.DUMMYFUNCTION("""COMPUTED_VALUE"""),"Lentes de STOCK")</f>
        <v>Lentes de STOCK</v>
      </c>
      <c r="E3579" s="1" t="str">
        <f>IFERROR(__xludf.DUMMYFUNCTION("""COMPUTED_VALUE"""),"RIVADAVIA Santiago N")</f>
        <v>RIVADAVIA Santiago N</v>
      </c>
      <c r="F3579" s="1" t="str">
        <f t="shared" si="1"/>
        <v>RIVADAVIA </v>
      </c>
      <c r="G3579" s="1" t="str">
        <f t="shared" si="2"/>
        <v>Santiago N</v>
      </c>
      <c r="H3579" s="1" t="str">
        <f>IFERROR(__xludf.DUMMYFUNCTION("""COMPUTED_VALUE"""),"20/3/2023, 17:00:00")</f>
        <v>20/3/2023, 17:00:00</v>
      </c>
      <c r="I3579" s="1" t="str">
        <f>IFERROR(__xludf.DUMMYFUNCTION("""COMPUTED_VALUE"""),"Completado en SUCURSAL")</f>
        <v>Completado en SUCURSAL</v>
      </c>
      <c r="J3579" s="1">
        <f t="shared" si="3"/>
        <v>5</v>
      </c>
      <c r="K3579" s="1" t="str">
        <f t="shared" si="4"/>
        <v>Tus Lentes estan LISTAS PARA ENTREGAR, te esperamos.</v>
      </c>
    </row>
    <row r="3580">
      <c r="A3580" s="1">
        <f>IFERROR(__xludf.DUMMYFUNCTION("""COMPUTED_VALUE"""),88125.0)</f>
        <v>88125</v>
      </c>
      <c r="B3580" s="5">
        <f>IFERROR(__xludf.DUMMYFUNCTION("""COMPUTED_VALUE"""),45002.42157293981)</f>
        <v>45002.42157</v>
      </c>
      <c r="C3580" s="1" t="str">
        <f>IFERROR(__xludf.DUMMYFUNCTION("""COMPUTED_VALUE"""),"PUJOL MABEL")</f>
        <v>PUJOL MABEL</v>
      </c>
      <c r="D3580" s="1" t="str">
        <f>IFERROR(__xludf.DUMMYFUNCTION("""COMPUTED_VALUE"""),"Lentes de STOCK")</f>
        <v>Lentes de STOCK</v>
      </c>
      <c r="E3580" s="1" t="str">
        <f>IFERROR(__xludf.DUMMYFUNCTION("""COMPUTED_VALUE"""),"RIVADAVIA Marcela L")</f>
        <v>RIVADAVIA Marcela L</v>
      </c>
      <c r="F3580" s="1" t="str">
        <f t="shared" si="1"/>
        <v>RIVADAVIA </v>
      </c>
      <c r="G3580" s="1" t="str">
        <f t="shared" si="2"/>
        <v>Marcela L</v>
      </c>
      <c r="H3580" s="1" t="str">
        <f>IFERROR(__xludf.DUMMYFUNCTION("""COMPUTED_VALUE"""),"21/3/2023, 17:00:00")</f>
        <v>21/3/2023, 17:00:00</v>
      </c>
      <c r="I3580" s="1" t="str">
        <f>IFERROR(__xludf.DUMMYFUNCTION("""COMPUTED_VALUE"""),"Completado en SUCURSAL")</f>
        <v>Completado en SUCURSAL</v>
      </c>
      <c r="J3580" s="1">
        <f t="shared" si="3"/>
        <v>5</v>
      </c>
      <c r="K3580" s="1" t="str">
        <f t="shared" si="4"/>
        <v>Tus Lentes estan LISTAS PARA ENTREGAR, te esperamos.</v>
      </c>
    </row>
    <row r="3581">
      <c r="A3581" s="1">
        <f>IFERROR(__xludf.DUMMYFUNCTION("""COMPUTED_VALUE"""),88126.0)</f>
        <v>88126</v>
      </c>
      <c r="B3581" s="5">
        <f>IFERROR(__xludf.DUMMYFUNCTION("""COMPUTED_VALUE"""),45002.42847090278)</f>
        <v>45002.42847</v>
      </c>
      <c r="C3581" s="1" t="str">
        <f>IFERROR(__xludf.DUMMYFUNCTION("""COMPUTED_VALUE"""),"GATICA GISELLA AYELEN")</f>
        <v>GATICA GISELLA AYELEN</v>
      </c>
      <c r="D3581" s="1" t="str">
        <f>IFERROR(__xludf.DUMMYFUNCTION("""COMPUTED_VALUE"""),"Lentes de STOCK")</f>
        <v>Lentes de STOCK</v>
      </c>
      <c r="E3581" s="1" t="str">
        <f>IFERROR(__xludf.DUMMYFUNCTION("""COMPUTED_VALUE"""),"RIVADAVIA Marcela L")</f>
        <v>RIVADAVIA Marcela L</v>
      </c>
      <c r="F3581" s="1" t="str">
        <f t="shared" si="1"/>
        <v>RIVADAVIA </v>
      </c>
      <c r="G3581" s="1" t="str">
        <f t="shared" si="2"/>
        <v>Marcela L</v>
      </c>
      <c r="H3581" s="1" t="str">
        <f>IFERROR(__xludf.DUMMYFUNCTION("""COMPUTED_VALUE"""),"21/3/2023, 17:00:00")</f>
        <v>21/3/2023, 17:00:00</v>
      </c>
      <c r="I3581" s="1" t="str">
        <f>IFERROR(__xludf.DUMMYFUNCTION("""COMPUTED_VALUE"""),"Completado en SUCURSAL")</f>
        <v>Completado en SUCURSAL</v>
      </c>
      <c r="J3581" s="1">
        <f t="shared" si="3"/>
        <v>5</v>
      </c>
      <c r="K3581" s="1" t="str">
        <f t="shared" si="4"/>
        <v>Tus Lentes estan LISTAS PARA ENTREGAR, te esperamos.</v>
      </c>
    </row>
    <row r="3582">
      <c r="A3582" s="1">
        <f>IFERROR(__xludf.DUMMYFUNCTION("""COMPUTED_VALUE"""),88127.0)</f>
        <v>88127</v>
      </c>
      <c r="B3582" s="5">
        <f>IFERROR(__xludf.DUMMYFUNCTION("""COMPUTED_VALUE"""),45002.43471287037)</f>
        <v>45002.43471</v>
      </c>
      <c r="C3582" s="1" t="str">
        <f>IFERROR(__xludf.DUMMYFUNCTION("""COMPUTED_VALUE"""),"lucero marta ")</f>
        <v>lucero marta </v>
      </c>
      <c r="D3582" s="1" t="str">
        <f>IFERROR(__xludf.DUMMYFUNCTION("""COMPUTED_VALUE"""),"Lentes BIFOCALES")</f>
        <v>Lentes BIFOCALES</v>
      </c>
      <c r="E3582" s="1" t="str">
        <f>IFERROR(__xludf.DUMMYFUNCTION("""COMPUTED_VALUE"""),"RIVADAVIA Santiago N")</f>
        <v>RIVADAVIA Santiago N</v>
      </c>
      <c r="F3582" s="1" t="str">
        <f t="shared" si="1"/>
        <v>RIVADAVIA </v>
      </c>
      <c r="G3582" s="1" t="str">
        <f t="shared" si="2"/>
        <v>Santiago N</v>
      </c>
      <c r="H3582" s="1" t="str">
        <f>IFERROR(__xludf.DUMMYFUNCTION("""COMPUTED_VALUE"""),"31/3/2023, 17:00:00")</f>
        <v>31/3/2023, 17:00:00</v>
      </c>
      <c r="I3582" s="1" t="str">
        <f>IFERROR(__xludf.DUMMYFUNCTION("""COMPUTED_VALUE"""),"Completado en SUCURSAL")</f>
        <v>Completado en SUCURSAL</v>
      </c>
      <c r="J3582" s="1">
        <f t="shared" si="3"/>
        <v>5</v>
      </c>
      <c r="K3582" s="1" t="str">
        <f t="shared" si="4"/>
        <v>Tus Lentes estan LISTAS PARA ENTREGAR, te esperamos.</v>
      </c>
    </row>
    <row r="3583">
      <c r="A3583" s="1">
        <f>IFERROR(__xludf.DUMMYFUNCTION("""COMPUTED_VALUE"""),88128.0)</f>
        <v>88128</v>
      </c>
      <c r="B3583" s="5">
        <f>IFERROR(__xludf.DUMMYFUNCTION("""COMPUTED_VALUE"""),45002.4369296875)</f>
        <v>45002.43693</v>
      </c>
      <c r="C3583" s="1" t="str">
        <f>IFERROR(__xludf.DUMMYFUNCTION("""COMPUTED_VALUE"""),"GUIÑEZ VERONICA DEL ROSARIO")</f>
        <v>GUIÑEZ VERONICA DEL ROSARIO</v>
      </c>
      <c r="D3583" s="1" t="str">
        <f>IFERROR(__xludf.DUMMYFUNCTION("""COMPUTED_VALUE"""),"Lentes de STOCK")</f>
        <v>Lentes de STOCK</v>
      </c>
      <c r="E3583" s="1" t="str">
        <f>IFERROR(__xludf.DUMMYFUNCTION("""COMPUTED_VALUE"""),"RIVADAVIA Santiago LOPEZ")</f>
        <v>RIVADAVIA Santiago LOPEZ</v>
      </c>
      <c r="F3583" s="1" t="str">
        <f t="shared" si="1"/>
        <v>RIVADAVIA </v>
      </c>
      <c r="G3583" s="1" t="str">
        <f t="shared" si="2"/>
        <v>Santiago LOPEZ</v>
      </c>
      <c r="H3583" s="1" t="str">
        <f>IFERROR(__xludf.DUMMYFUNCTION("""COMPUTED_VALUE"""),"27/3/2023, 17:00:00")</f>
        <v>27/3/2023, 17:00:00</v>
      </c>
      <c r="I3583" s="1" t="str">
        <f>IFERROR(__xludf.DUMMYFUNCTION("""COMPUTED_VALUE"""),"Recibido en Laboratorio")</f>
        <v>Recibido en Laboratorio</v>
      </c>
      <c r="J3583" s="1">
        <f t="shared" si="3"/>
        <v>2</v>
      </c>
      <c r="K3583" s="1" t="str">
        <f t="shared" si="4"/>
        <v>Nuestro Laboratorio esta trabajando en tus lentes, los entregaremos en la fecha acordada.</v>
      </c>
    </row>
    <row r="3584">
      <c r="A3584" s="1">
        <f>IFERROR(__xludf.DUMMYFUNCTION("""COMPUTED_VALUE"""),88129.0)</f>
        <v>88129</v>
      </c>
      <c r="B3584" s="5">
        <f>IFERROR(__xludf.DUMMYFUNCTION("""COMPUTED_VALUE"""),45002.43719653935)</f>
        <v>45002.4372</v>
      </c>
      <c r="C3584" s="1" t="str">
        <f>IFERROR(__xludf.DUMMYFUNCTION("""COMPUTED_VALUE"""),"Olivero Maria Celeste")</f>
        <v>Olivero Maria Celeste</v>
      </c>
      <c r="D3584" s="1" t="str">
        <f>IFERROR(__xludf.DUMMYFUNCTION("""COMPUTED_VALUE"""),"Reparaciones/Otros")</f>
        <v>Reparaciones/Otros</v>
      </c>
      <c r="E3584" s="1" t="str">
        <f>IFERROR(__xludf.DUMMYFUNCTION("""COMPUTED_VALUE"""),"ARTIGAS Sandra G")</f>
        <v>ARTIGAS Sandra G</v>
      </c>
      <c r="F3584" s="1" t="str">
        <f t="shared" si="1"/>
        <v>ARTIGAS </v>
      </c>
      <c r="G3584" s="1" t="str">
        <f t="shared" si="2"/>
        <v>Sandra G</v>
      </c>
      <c r="H3584" s="1" t="str">
        <f>IFERROR(__xludf.DUMMYFUNCTION("""COMPUTED_VALUE"""),"20/3/2023, 17:00:00")</f>
        <v>20/3/2023, 17:00:00</v>
      </c>
      <c r="I3584" s="1" t="str">
        <f>IFERROR(__xludf.DUMMYFUNCTION("""COMPUTED_VALUE"""),"Completado en SUCURSAL")</f>
        <v>Completado en SUCURSAL</v>
      </c>
      <c r="J3584" s="1">
        <f t="shared" si="3"/>
        <v>5</v>
      </c>
      <c r="K3584" s="1" t="str">
        <f t="shared" si="4"/>
        <v>Tus Lentes estan LISTAS PARA ENTREGAR, te esperamos.</v>
      </c>
    </row>
    <row r="3585">
      <c r="A3585" s="1">
        <f>IFERROR(__xludf.DUMMYFUNCTION("""COMPUTED_VALUE"""),88130.0)</f>
        <v>88130</v>
      </c>
      <c r="B3585" s="5">
        <f>IFERROR(__xludf.DUMMYFUNCTION("""COMPUTED_VALUE"""),45002.43777355324)</f>
        <v>45002.43777</v>
      </c>
      <c r="C3585" s="1" t="str">
        <f>IFERROR(__xludf.DUMMYFUNCTION("""COMPUTED_VALUE"""),"PIZZONI ANA")</f>
        <v>PIZZONI ANA</v>
      </c>
      <c r="D3585" s="1" t="str">
        <f>IFERROR(__xludf.DUMMYFUNCTION("""COMPUTED_VALUE"""),"Lentes de STOCK")</f>
        <v>Lentes de STOCK</v>
      </c>
      <c r="E3585" s="1" t="str">
        <f>IFERROR(__xludf.DUMMYFUNCTION("""COMPUTED_VALUE"""),"ARTIGAS Roció")</f>
        <v>ARTIGAS Roció</v>
      </c>
      <c r="F3585" s="1" t="str">
        <f t="shared" si="1"/>
        <v>ARTIGAS </v>
      </c>
      <c r="G3585" s="1" t="str">
        <f t="shared" si="2"/>
        <v>Roció</v>
      </c>
      <c r="H3585" s="1" t="str">
        <f>IFERROR(__xludf.DUMMYFUNCTION("""COMPUTED_VALUE"""),"23/3/2023, 17:00:00")</f>
        <v>23/3/2023, 17:00:00</v>
      </c>
      <c r="I3585" s="1" t="str">
        <f>IFERROR(__xludf.DUMMYFUNCTION("""COMPUTED_VALUE"""),"Completado en SUCURSAL")</f>
        <v>Completado en SUCURSAL</v>
      </c>
      <c r="J3585" s="1">
        <f t="shared" si="3"/>
        <v>5</v>
      </c>
      <c r="K3585" s="1" t="str">
        <f t="shared" si="4"/>
        <v>Tus Lentes estan LISTAS PARA ENTREGAR, te esperamos.</v>
      </c>
    </row>
    <row r="3586">
      <c r="A3586" s="1">
        <f>IFERROR(__xludf.DUMMYFUNCTION("""COMPUTED_VALUE"""),88131.0)</f>
        <v>88131</v>
      </c>
      <c r="B3586" s="5">
        <f>IFERROR(__xludf.DUMMYFUNCTION("""COMPUTED_VALUE"""),45002.43901427083)</f>
        <v>45002.43901</v>
      </c>
      <c r="C3586" s="1" t="str">
        <f>IFERROR(__xludf.DUMMYFUNCTION("""COMPUTED_VALUE"""),"andrada ruben")</f>
        <v>andrada ruben</v>
      </c>
      <c r="D3586" s="1" t="str">
        <f>IFERROR(__xludf.DUMMYFUNCTION("""COMPUTED_VALUE"""),"Reparaciones/Otros")</f>
        <v>Reparaciones/Otros</v>
      </c>
      <c r="E3586" s="1" t="str">
        <f>IFERROR(__xludf.DUMMYFUNCTION("""COMPUTED_VALUE"""),"RIVADAVIA Santiago N")</f>
        <v>RIVADAVIA Santiago N</v>
      </c>
      <c r="F3586" s="1" t="str">
        <f t="shared" si="1"/>
        <v>RIVADAVIA </v>
      </c>
      <c r="G3586" s="1" t="str">
        <f t="shared" si="2"/>
        <v>Santiago N</v>
      </c>
      <c r="H3586" s="1" t="str">
        <f>IFERROR(__xludf.DUMMYFUNCTION("""COMPUTED_VALUE"""),"18/3/2023, 17:00:00")</f>
        <v>18/3/2023, 17:00:00</v>
      </c>
      <c r="I3586" s="1" t="str">
        <f>IFERROR(__xludf.DUMMYFUNCTION("""COMPUTED_VALUE"""),"Completado en SUCURSAL")</f>
        <v>Completado en SUCURSAL</v>
      </c>
      <c r="J3586" s="1">
        <f t="shared" si="3"/>
        <v>5</v>
      </c>
      <c r="K3586" s="1" t="str">
        <f t="shared" si="4"/>
        <v>Tus Lentes estan LISTAS PARA ENTREGAR, te esperamos.</v>
      </c>
    </row>
    <row r="3587">
      <c r="A3587" s="1">
        <f>IFERROR(__xludf.DUMMYFUNCTION("""COMPUTED_VALUE"""),88132.0)</f>
        <v>88132</v>
      </c>
      <c r="B3587" s="5">
        <f>IFERROR(__xludf.DUMMYFUNCTION("""COMPUTED_VALUE"""),45002.443904699074)</f>
        <v>45002.4439</v>
      </c>
      <c r="C3587" s="1" t="str">
        <f>IFERROR(__xludf.DUMMYFUNCTION("""COMPUTED_VALUE"""),"BRANDAN ANA MARIA")</f>
        <v>BRANDAN ANA MARIA</v>
      </c>
      <c r="D3587" s="1" t="str">
        <f>IFERROR(__xludf.DUMMYFUNCTION("""COMPUTED_VALUE"""),"Lentes de STOCK")</f>
        <v>Lentes de STOCK</v>
      </c>
      <c r="E3587" s="1" t="str">
        <f>IFERROR(__xludf.DUMMYFUNCTION("""COMPUTED_VALUE"""),"ARTIGAS Ivana P.")</f>
        <v>ARTIGAS Ivana P.</v>
      </c>
      <c r="F3587" s="1" t="str">
        <f t="shared" si="1"/>
        <v>ARTIGAS </v>
      </c>
      <c r="G3587" s="1" t="str">
        <f t="shared" si="2"/>
        <v>Ivana P.</v>
      </c>
      <c r="H3587" s="1" t="str">
        <f>IFERROR(__xludf.DUMMYFUNCTION("""COMPUTED_VALUE"""),"22/3/2023, 17:00:00")</f>
        <v>22/3/2023, 17:00:00</v>
      </c>
      <c r="I3587" s="1" t="str">
        <f>IFERROR(__xludf.DUMMYFUNCTION("""COMPUTED_VALUE"""),"RETIRADO OK POR CLIENTE")</f>
        <v>RETIRADO OK POR CLIENTE</v>
      </c>
      <c r="J3587" s="1">
        <f t="shared" si="3"/>
        <v>6</v>
      </c>
      <c r="K3587" s="1" t="str">
        <f t="shared" si="4"/>
        <v>Entregamos tus lentes, que los disfrutes!</v>
      </c>
    </row>
    <row r="3588">
      <c r="A3588" s="1">
        <f>IFERROR(__xludf.DUMMYFUNCTION("""COMPUTED_VALUE"""),88133.0)</f>
        <v>88133</v>
      </c>
      <c r="B3588" s="5">
        <f>IFERROR(__xludf.DUMMYFUNCTION("""COMPUTED_VALUE"""),45002.44940733796)</f>
        <v>45002.44941</v>
      </c>
      <c r="C3588" s="1" t="str">
        <f>IFERROR(__xludf.DUMMYFUNCTION("""COMPUTED_VALUE"""),"kupote maria")</f>
        <v>kupote maria</v>
      </c>
      <c r="D3588" s="1" t="str">
        <f>IFERROR(__xludf.DUMMYFUNCTION("""COMPUTED_VALUE"""),"Lentes de STOCK")</f>
        <v>Lentes de STOCK</v>
      </c>
      <c r="E3588" s="1" t="str">
        <f>IFERROR(__xludf.DUMMYFUNCTION("""COMPUTED_VALUE"""),"RIVADAVIA Daniel CM")</f>
        <v>RIVADAVIA Daniel CM</v>
      </c>
      <c r="F3588" s="1" t="str">
        <f t="shared" si="1"/>
        <v>RIVADAVIA </v>
      </c>
      <c r="G3588" s="1" t="str">
        <f t="shared" si="2"/>
        <v>Daniel CM</v>
      </c>
      <c r="H3588" s="1" t="str">
        <f>IFERROR(__xludf.DUMMYFUNCTION("""COMPUTED_VALUE"""),"22/3/2023, 17:00:00")</f>
        <v>22/3/2023, 17:00:00</v>
      </c>
      <c r="I3588" s="1" t="str">
        <f>IFERROR(__xludf.DUMMYFUNCTION("""COMPUTED_VALUE"""),"Recibido en Laboratorio")</f>
        <v>Recibido en Laboratorio</v>
      </c>
      <c r="J3588" s="1">
        <f t="shared" si="3"/>
        <v>2</v>
      </c>
      <c r="K3588" s="1" t="str">
        <f t="shared" si="4"/>
        <v>Nuestro Laboratorio esta trabajando en tus lentes, los entregaremos en la fecha acordada.</v>
      </c>
    </row>
    <row r="3589">
      <c r="A3589" s="1">
        <f>IFERROR(__xludf.DUMMYFUNCTION("""COMPUTED_VALUE"""),88134.0)</f>
        <v>88134</v>
      </c>
      <c r="B3589" s="5">
        <f>IFERROR(__xludf.DUMMYFUNCTION("""COMPUTED_VALUE"""),45002.4498549537)</f>
        <v>45002.44985</v>
      </c>
      <c r="C3589" s="1" t="str">
        <f>IFERROR(__xludf.DUMMYFUNCTION("""COMPUTED_VALUE"""),"bustos blanca nelida")</f>
        <v>bustos blanca nelida</v>
      </c>
      <c r="D3589" s="1" t="str">
        <f>IFERROR(__xludf.DUMMYFUNCTION("""COMPUTED_VALUE"""),"Lentes de STOCK")</f>
        <v>Lentes de STOCK</v>
      </c>
      <c r="E3589" s="1" t="str">
        <f>IFERROR(__xludf.DUMMYFUNCTION("""COMPUTED_VALUE"""),"ARTIGAS Roció")</f>
        <v>ARTIGAS Roció</v>
      </c>
      <c r="F3589" s="1" t="str">
        <f t="shared" si="1"/>
        <v>ARTIGAS </v>
      </c>
      <c r="G3589" s="1" t="str">
        <f t="shared" si="2"/>
        <v>Roció</v>
      </c>
      <c r="H3589" s="1" t="str">
        <f>IFERROR(__xludf.DUMMYFUNCTION("""COMPUTED_VALUE"""),"20/3/2023, 17:00:00")</f>
        <v>20/3/2023, 17:00:00</v>
      </c>
      <c r="I3589" s="1" t="str">
        <f>IFERROR(__xludf.DUMMYFUNCTION("""COMPUTED_VALUE"""),"RETIRADO OK POR CLIENTE")</f>
        <v>RETIRADO OK POR CLIENTE</v>
      </c>
      <c r="J3589" s="1">
        <f t="shared" si="3"/>
        <v>6</v>
      </c>
      <c r="K3589" s="1" t="str">
        <f t="shared" si="4"/>
        <v>Entregamos tus lentes, que los disfrutes!</v>
      </c>
    </row>
    <row r="3590">
      <c r="A3590" s="1">
        <f>IFERROR(__xludf.DUMMYFUNCTION("""COMPUTED_VALUE"""),88135.0)</f>
        <v>88135</v>
      </c>
      <c r="B3590" s="5">
        <f>IFERROR(__xludf.DUMMYFUNCTION("""COMPUTED_VALUE"""),45002.45198142361)</f>
        <v>45002.45198</v>
      </c>
      <c r="C3590" s="1" t="str">
        <f>IFERROR(__xludf.DUMMYFUNCTION("""COMPUTED_VALUE"""),"philipos fhilip")</f>
        <v>philipos fhilip</v>
      </c>
      <c r="D3590" s="1" t="str">
        <f>IFERROR(__xludf.DUMMYFUNCTION("""COMPUTED_VALUE"""),"Lentes de STOCK")</f>
        <v>Lentes de STOCK</v>
      </c>
      <c r="E3590" s="1" t="str">
        <f>IFERROR(__xludf.DUMMYFUNCTION("""COMPUTED_VALUE"""),"RIVADAVIA Daniel CM")</f>
        <v>RIVADAVIA Daniel CM</v>
      </c>
      <c r="F3590" s="1" t="str">
        <f t="shared" si="1"/>
        <v>RIVADAVIA </v>
      </c>
      <c r="G3590" s="1" t="str">
        <f t="shared" si="2"/>
        <v>Daniel CM</v>
      </c>
      <c r="H3590" s="1" t="str">
        <f>IFERROR(__xludf.DUMMYFUNCTION("""COMPUTED_VALUE"""),"20/3/2023, 17:00:00")</f>
        <v>20/3/2023, 17:00:00</v>
      </c>
      <c r="I3590" s="1" t="str">
        <f>IFERROR(__xludf.DUMMYFUNCTION("""COMPUTED_VALUE"""),"Completado en SUCURSAL")</f>
        <v>Completado en SUCURSAL</v>
      </c>
      <c r="J3590" s="1">
        <f t="shared" si="3"/>
        <v>5</v>
      </c>
      <c r="K3590" s="1" t="str">
        <f t="shared" si="4"/>
        <v>Tus Lentes estan LISTAS PARA ENTREGAR, te esperamos.</v>
      </c>
    </row>
    <row r="3591">
      <c r="A3591" s="1">
        <f>IFERROR(__xludf.DUMMYFUNCTION("""COMPUTED_VALUE"""),88136.0)</f>
        <v>88136</v>
      </c>
      <c r="B3591" s="5">
        <f>IFERROR(__xludf.DUMMYFUNCTION("""COMPUTED_VALUE"""),45002.45932618056)</f>
        <v>45002.45933</v>
      </c>
      <c r="C3591" s="1" t="str">
        <f>IFERROR(__xludf.DUMMYFUNCTION("""COMPUTED_VALUE"""),"alcaraz melisa")</f>
        <v>alcaraz melisa</v>
      </c>
      <c r="D3591" s="1" t="str">
        <f>IFERROR(__xludf.DUMMYFUNCTION("""COMPUTED_VALUE"""),"Reparaciones/Otros")</f>
        <v>Reparaciones/Otros</v>
      </c>
      <c r="E3591" s="1" t="str">
        <f>IFERROR(__xludf.DUMMYFUNCTION("""COMPUTED_VALUE"""),"RIVADAVIA Santiago N")</f>
        <v>RIVADAVIA Santiago N</v>
      </c>
      <c r="F3591" s="1" t="str">
        <f t="shared" si="1"/>
        <v>RIVADAVIA </v>
      </c>
      <c r="G3591" s="1" t="str">
        <f t="shared" si="2"/>
        <v>Santiago N</v>
      </c>
      <c r="H3591" s="1" t="str">
        <f>IFERROR(__xludf.DUMMYFUNCTION("""COMPUTED_VALUE"""),"18/3/2023, 17:00:00")</f>
        <v>18/3/2023, 17:00:00</v>
      </c>
      <c r="I3591" s="1" t="str">
        <f>IFERROR(__xludf.DUMMYFUNCTION("""COMPUTED_VALUE"""),"Completado en SUCURSAL")</f>
        <v>Completado en SUCURSAL</v>
      </c>
      <c r="J3591" s="1">
        <f t="shared" si="3"/>
        <v>5</v>
      </c>
      <c r="K3591" s="1" t="str">
        <f t="shared" si="4"/>
        <v>Tus Lentes estan LISTAS PARA ENTREGAR, te esperamos.</v>
      </c>
    </row>
    <row r="3592">
      <c r="A3592" s="1">
        <f>IFERROR(__xludf.DUMMYFUNCTION("""COMPUTED_VALUE"""),88137.0)</f>
        <v>88137</v>
      </c>
      <c r="B3592" s="5">
        <f>IFERROR(__xludf.DUMMYFUNCTION("""COMPUTED_VALUE"""),45002.460708287035)</f>
        <v>45002.46071</v>
      </c>
      <c r="C3592" s="1" t="str">
        <f>IFERROR(__xludf.DUMMYFUNCTION("""COMPUTED_VALUE"""),"CAMPAGNOLI AGUSTINA")</f>
        <v>CAMPAGNOLI AGUSTINA</v>
      </c>
      <c r="D3592" s="1" t="str">
        <f>IFERROR(__xludf.DUMMYFUNCTION("""COMPUTED_VALUE"""),"Lentes de STOCK")</f>
        <v>Lentes de STOCK</v>
      </c>
      <c r="E3592" s="1" t="str">
        <f>IFERROR(__xludf.DUMMYFUNCTION("""COMPUTED_VALUE"""),"ARTIGAS Roció")</f>
        <v>ARTIGAS Roció</v>
      </c>
      <c r="F3592" s="1" t="str">
        <f t="shared" si="1"/>
        <v>ARTIGAS </v>
      </c>
      <c r="G3592" s="1" t="str">
        <f t="shared" si="2"/>
        <v>Roció</v>
      </c>
      <c r="H3592" s="1" t="str">
        <f>IFERROR(__xludf.DUMMYFUNCTION("""COMPUTED_VALUE"""),"27/3/2023, 17:00:00")</f>
        <v>27/3/2023, 17:00:00</v>
      </c>
      <c r="I3592" s="1" t="str">
        <f>IFERROR(__xludf.DUMMYFUNCTION("""COMPUTED_VALUE"""),"RETIRADO OK POR CLIENTE")</f>
        <v>RETIRADO OK POR CLIENTE</v>
      </c>
      <c r="J3592" s="1">
        <f t="shared" si="3"/>
        <v>6</v>
      </c>
      <c r="K3592" s="1" t="str">
        <f t="shared" si="4"/>
        <v>Entregamos tus lentes, que los disfrutes!</v>
      </c>
    </row>
    <row r="3593">
      <c r="A3593" s="1">
        <f>IFERROR(__xludf.DUMMYFUNCTION("""COMPUTED_VALUE"""),88138.0)</f>
        <v>88138</v>
      </c>
      <c r="B3593" s="5">
        <f>IFERROR(__xludf.DUMMYFUNCTION("""COMPUTED_VALUE"""),45002.46132209491)</f>
        <v>45002.46132</v>
      </c>
      <c r="C3593" s="1" t="str">
        <f>IFERROR(__xludf.DUMMYFUNCTION("""COMPUTED_VALUE"""),"moyano noemi")</f>
        <v>moyano noemi</v>
      </c>
      <c r="D3593" s="1" t="str">
        <f>IFERROR(__xludf.DUMMYFUNCTION("""COMPUTED_VALUE"""),"Reparaciones/Otros")</f>
        <v>Reparaciones/Otros</v>
      </c>
      <c r="E3593" s="1" t="str">
        <f>IFERROR(__xludf.DUMMYFUNCTION("""COMPUTED_VALUE"""),"RIVADAVIA Santiago N")</f>
        <v>RIVADAVIA Santiago N</v>
      </c>
      <c r="F3593" s="1" t="str">
        <f t="shared" si="1"/>
        <v>RIVADAVIA </v>
      </c>
      <c r="G3593" s="1" t="str">
        <f t="shared" si="2"/>
        <v>Santiago N</v>
      </c>
      <c r="H3593" s="1" t="str">
        <f>IFERROR(__xludf.DUMMYFUNCTION("""COMPUTED_VALUE"""),"18/3/2023, 17:00:00")</f>
        <v>18/3/2023, 17:00:00</v>
      </c>
      <c r="I3593" s="1" t="str">
        <f>IFERROR(__xludf.DUMMYFUNCTION("""COMPUTED_VALUE"""),"Recibido en Laboratorio")</f>
        <v>Recibido en Laboratorio</v>
      </c>
      <c r="J3593" s="1">
        <f t="shared" si="3"/>
        <v>2</v>
      </c>
      <c r="K3593" s="1" t="str">
        <f t="shared" si="4"/>
        <v>Nuestro Laboratorio esta trabajando en tus lentes, los entregaremos en la fecha acordada.</v>
      </c>
    </row>
    <row r="3594">
      <c r="A3594" s="1">
        <f>IFERROR(__xludf.DUMMYFUNCTION("""COMPUTED_VALUE"""),88139.0)</f>
        <v>88139</v>
      </c>
      <c r="B3594" s="5">
        <f>IFERROR(__xludf.DUMMYFUNCTION("""COMPUTED_VALUE"""),45002.46327565973)</f>
        <v>45002.46328</v>
      </c>
      <c r="C3594" s="1" t="str">
        <f>IFERROR(__xludf.DUMMYFUNCTION("""COMPUTED_VALUE"""),"insausti elsa")</f>
        <v>insausti elsa</v>
      </c>
      <c r="D3594" s="1" t="str">
        <f>IFERROR(__xludf.DUMMYFUNCTION("""COMPUTED_VALUE"""),"Reparaciones/Otros")</f>
        <v>Reparaciones/Otros</v>
      </c>
      <c r="E3594" s="1" t="str">
        <f>IFERROR(__xludf.DUMMYFUNCTION("""COMPUTED_VALUE"""),"RIVADAVIA Daniel CM")</f>
        <v>RIVADAVIA Daniel CM</v>
      </c>
      <c r="F3594" s="1" t="str">
        <f t="shared" si="1"/>
        <v>RIVADAVIA </v>
      </c>
      <c r="G3594" s="1" t="str">
        <f t="shared" si="2"/>
        <v>Daniel CM</v>
      </c>
      <c r="H3594" s="1" t="str">
        <f>IFERROR(__xludf.DUMMYFUNCTION("""COMPUTED_VALUE"""),"18/3/2023, 17:00:00")</f>
        <v>18/3/2023, 17:00:00</v>
      </c>
      <c r="I3594" s="1" t="str">
        <f>IFERROR(__xludf.DUMMYFUNCTION("""COMPUTED_VALUE"""),"Completado en SUCURSAL")</f>
        <v>Completado en SUCURSAL</v>
      </c>
      <c r="J3594" s="1">
        <f t="shared" si="3"/>
        <v>5</v>
      </c>
      <c r="K3594" s="1" t="str">
        <f t="shared" si="4"/>
        <v>Tus Lentes estan LISTAS PARA ENTREGAR, te esperamos.</v>
      </c>
    </row>
    <row r="3595">
      <c r="A3595" s="1">
        <f>IFERROR(__xludf.DUMMYFUNCTION("""COMPUTED_VALUE"""),88140.0)</f>
        <v>88140</v>
      </c>
      <c r="B3595" s="5">
        <f>IFERROR(__xludf.DUMMYFUNCTION("""COMPUTED_VALUE"""),45002.46648525463)</f>
        <v>45002.46649</v>
      </c>
      <c r="C3595" s="1" t="str">
        <f>IFERROR(__xludf.DUMMYFUNCTION("""COMPUTED_VALUE"""),"ICAZATTI ENRIQUE ALBERTO ")</f>
        <v>ICAZATTI ENRIQUE ALBERTO </v>
      </c>
      <c r="D3595" s="1" t="str">
        <f>IFERROR(__xludf.DUMMYFUNCTION("""COMPUTED_VALUE"""),"Reparaciones/Otros")</f>
        <v>Reparaciones/Otros</v>
      </c>
      <c r="E3595" s="1" t="str">
        <f>IFERROR(__xludf.DUMMYFUNCTION("""COMPUTED_VALUE"""),"ARTIGAS Roció")</f>
        <v>ARTIGAS Roció</v>
      </c>
      <c r="F3595" s="1" t="str">
        <f t="shared" si="1"/>
        <v>ARTIGAS </v>
      </c>
      <c r="G3595" s="1" t="str">
        <f t="shared" si="2"/>
        <v>Roció</v>
      </c>
      <c r="H3595" s="1" t="str">
        <f>IFERROR(__xludf.DUMMYFUNCTION("""COMPUTED_VALUE"""),"20/3/2023, 17:00:00")</f>
        <v>20/3/2023, 17:00:00</v>
      </c>
      <c r="I3595" s="1" t="str">
        <f>IFERROR(__xludf.DUMMYFUNCTION("""COMPUTED_VALUE"""),"Completado en SUCURSAL")</f>
        <v>Completado en SUCURSAL</v>
      </c>
      <c r="J3595" s="1">
        <f t="shared" si="3"/>
        <v>5</v>
      </c>
      <c r="K3595" s="1" t="str">
        <f t="shared" si="4"/>
        <v>Tus Lentes estan LISTAS PARA ENTREGAR, te esperamos.</v>
      </c>
    </row>
    <row r="3596">
      <c r="A3596" s="1">
        <f>IFERROR(__xludf.DUMMYFUNCTION("""COMPUTED_VALUE"""),88141.0)</f>
        <v>88141</v>
      </c>
      <c r="B3596" s="5">
        <f>IFERROR(__xludf.DUMMYFUNCTION("""COMPUTED_VALUE"""),45002.46680879629)</f>
        <v>45002.46681</v>
      </c>
      <c r="C3596" s="1" t="str">
        <f>IFERROR(__xludf.DUMMYFUNCTION("""COMPUTED_VALUE"""),"GODOY DELIA")</f>
        <v>GODOY DELIA</v>
      </c>
      <c r="D3596" s="1" t="str">
        <f>IFERROR(__xludf.DUMMYFUNCTION("""COMPUTED_VALUE"""),"Lentes de STOCK")</f>
        <v>Lentes de STOCK</v>
      </c>
      <c r="E3596" s="1" t="str">
        <f>IFERROR(__xludf.DUMMYFUNCTION("""COMPUTED_VALUE"""),"RIVADAVIA Christian C.")</f>
        <v>RIVADAVIA Christian C.</v>
      </c>
      <c r="F3596" s="1" t="str">
        <f t="shared" si="1"/>
        <v>RIVADAVIA </v>
      </c>
      <c r="G3596" s="1" t="str">
        <f t="shared" si="2"/>
        <v>Christian C.</v>
      </c>
      <c r="H3596" s="1" t="str">
        <f>IFERROR(__xludf.DUMMYFUNCTION("""COMPUTED_VALUE"""),"23/3/2023, 17:00:00")</f>
        <v>23/3/2023, 17:00:00</v>
      </c>
      <c r="I3596" s="1" t="str">
        <f>IFERROR(__xludf.DUMMYFUNCTION("""COMPUTED_VALUE"""),"RETIRADO OK POR CLIENTE")</f>
        <v>RETIRADO OK POR CLIENTE</v>
      </c>
      <c r="J3596" s="1">
        <f t="shared" si="3"/>
        <v>6</v>
      </c>
      <c r="K3596" s="1" t="str">
        <f t="shared" si="4"/>
        <v>Entregamos tus lentes, que los disfrutes!</v>
      </c>
    </row>
    <row r="3597">
      <c r="A3597" s="1">
        <f>IFERROR(__xludf.DUMMYFUNCTION("""COMPUTED_VALUE"""),88142.0)</f>
        <v>88142</v>
      </c>
      <c r="B3597" s="5">
        <f>IFERROR(__xludf.DUMMYFUNCTION("""COMPUTED_VALUE"""),45002.46972677083)</f>
        <v>45002.46973</v>
      </c>
      <c r="C3597" s="1" t="str">
        <f>IFERROR(__xludf.DUMMYFUNCTION("""COMPUTED_VALUE"""),"BUSTOS PABLO ")</f>
        <v>BUSTOS PABLO </v>
      </c>
      <c r="D3597" s="1" t="str">
        <f>IFERROR(__xludf.DUMMYFUNCTION("""COMPUTED_VALUE"""),"Lentes de LABORATORIO")</f>
        <v>Lentes de LABORATORIO</v>
      </c>
      <c r="E3597" s="1" t="str">
        <f>IFERROR(__xludf.DUMMYFUNCTION("""COMPUTED_VALUE"""),"RIVADAVIA Santiago N")</f>
        <v>RIVADAVIA Santiago N</v>
      </c>
      <c r="F3597" s="1" t="str">
        <f t="shared" si="1"/>
        <v>RIVADAVIA </v>
      </c>
      <c r="G3597" s="1" t="str">
        <f t="shared" si="2"/>
        <v>Santiago N</v>
      </c>
      <c r="H3597" s="1" t="str">
        <f>IFERROR(__xludf.DUMMYFUNCTION("""COMPUTED_VALUE"""),"25/3/2023, 17:00:00")</f>
        <v>25/3/2023, 17:00:00</v>
      </c>
      <c r="I3597" s="1" t="str">
        <f>IFERROR(__xludf.DUMMYFUNCTION("""COMPUTED_VALUE"""),"Completado en SUCURSAL")</f>
        <v>Completado en SUCURSAL</v>
      </c>
      <c r="J3597" s="1">
        <f t="shared" si="3"/>
        <v>5</v>
      </c>
      <c r="K3597" s="1" t="str">
        <f t="shared" si="4"/>
        <v>Tus Lentes estan LISTAS PARA ENTREGAR, te esperamos.</v>
      </c>
    </row>
    <row r="3598">
      <c r="A3598" s="1">
        <f>IFERROR(__xludf.DUMMYFUNCTION("""COMPUTED_VALUE"""),88143.0)</f>
        <v>88143</v>
      </c>
      <c r="B3598" s="5">
        <f>IFERROR(__xludf.DUMMYFUNCTION("""COMPUTED_VALUE"""),45002.48178767361)</f>
        <v>45002.48179</v>
      </c>
      <c r="C3598" s="1" t="str">
        <f>IFERROR(__xludf.DUMMYFUNCTION("""COMPUTED_VALUE"""),"TORRES MARISA")</f>
        <v>TORRES MARISA</v>
      </c>
      <c r="D3598" s="1" t="str">
        <f>IFERROR(__xludf.DUMMYFUNCTION("""COMPUTED_VALUE"""),"Reparaciones/Otros")</f>
        <v>Reparaciones/Otros</v>
      </c>
      <c r="E3598" s="1" t="str">
        <f>IFERROR(__xludf.DUMMYFUNCTION("""COMPUTED_VALUE"""),"ARTIGAS Roció")</f>
        <v>ARTIGAS Roció</v>
      </c>
      <c r="F3598" s="1" t="str">
        <f t="shared" si="1"/>
        <v>ARTIGAS </v>
      </c>
      <c r="G3598" s="1" t="str">
        <f t="shared" si="2"/>
        <v>Roció</v>
      </c>
      <c r="H3598" s="1" t="str">
        <f>IFERROR(__xludf.DUMMYFUNCTION("""COMPUTED_VALUE"""),"21/3/2023, 17:00:00")</f>
        <v>21/3/2023, 17:00:00</v>
      </c>
      <c r="I3598" s="1" t="str">
        <f>IFERROR(__xludf.DUMMYFUNCTION("""COMPUTED_VALUE"""),"Recibido en Laboratorio")</f>
        <v>Recibido en Laboratorio</v>
      </c>
      <c r="J3598" s="1">
        <f t="shared" si="3"/>
        <v>2</v>
      </c>
      <c r="K3598" s="1" t="str">
        <f t="shared" si="4"/>
        <v>Nuestro Laboratorio esta trabajando en tus lentes, los entregaremos en la fecha acordada.</v>
      </c>
    </row>
    <row r="3599">
      <c r="A3599" s="1">
        <f>IFERROR(__xludf.DUMMYFUNCTION("""COMPUTED_VALUE"""),88144.0)</f>
        <v>88144</v>
      </c>
      <c r="B3599" s="5">
        <f>IFERROR(__xludf.DUMMYFUNCTION("""COMPUTED_VALUE"""),45002.48393623842)</f>
        <v>45002.48394</v>
      </c>
      <c r="C3599" s="1" t="str">
        <f>IFERROR(__xludf.DUMMYFUNCTION("""COMPUTED_VALUE"""),"SUAREZ MARIA DEOLINDA")</f>
        <v>SUAREZ MARIA DEOLINDA</v>
      </c>
      <c r="D3599" s="1" t="str">
        <f>IFERROR(__xludf.DUMMYFUNCTION("""COMPUTED_VALUE"""),"Lentes de STOCK")</f>
        <v>Lentes de STOCK</v>
      </c>
      <c r="E3599" s="1" t="str">
        <f>IFERROR(__xludf.DUMMYFUNCTION("""COMPUTED_VALUE"""),"RIVADAVIA Marcela L")</f>
        <v>RIVADAVIA Marcela L</v>
      </c>
      <c r="F3599" s="1" t="str">
        <f t="shared" si="1"/>
        <v>RIVADAVIA </v>
      </c>
      <c r="G3599" s="1" t="str">
        <f t="shared" si="2"/>
        <v>Marcela L</v>
      </c>
      <c r="H3599" s="1" t="str">
        <f>IFERROR(__xludf.DUMMYFUNCTION("""COMPUTED_VALUE"""),"22/3/2023, 17:00:00")</f>
        <v>22/3/2023, 17:00:00</v>
      </c>
      <c r="I3599" s="1" t="str">
        <f>IFERROR(__xludf.DUMMYFUNCTION("""COMPUTED_VALUE"""),"Completado en SUCURSAL")</f>
        <v>Completado en SUCURSAL</v>
      </c>
      <c r="J3599" s="1">
        <f t="shared" si="3"/>
        <v>5</v>
      </c>
      <c r="K3599" s="1" t="str">
        <f t="shared" si="4"/>
        <v>Tus Lentes estan LISTAS PARA ENTREGAR, te esperamos.</v>
      </c>
    </row>
    <row r="3600">
      <c r="A3600" s="1">
        <f>IFERROR(__xludf.DUMMYFUNCTION("""COMPUTED_VALUE"""),88145.0)</f>
        <v>88145</v>
      </c>
      <c r="B3600" s="5">
        <f>IFERROR(__xludf.DUMMYFUNCTION("""COMPUTED_VALUE"""),45002.48940902778)</f>
        <v>45002.48941</v>
      </c>
      <c r="C3600" s="1" t="str">
        <f>IFERROR(__xludf.DUMMYFUNCTION("""COMPUTED_VALUE"""),"MAZZOCA LUIS")</f>
        <v>MAZZOCA LUIS</v>
      </c>
      <c r="D3600" s="1" t="str">
        <f>IFERROR(__xludf.DUMMYFUNCTION("""COMPUTED_VALUE"""),"Lentes de STOCK")</f>
        <v>Lentes de STOCK</v>
      </c>
      <c r="E3600" s="1" t="str">
        <f>IFERROR(__xludf.DUMMYFUNCTION("""COMPUTED_VALUE"""),"ARTIGAS Roció")</f>
        <v>ARTIGAS Roció</v>
      </c>
      <c r="F3600" s="1" t="str">
        <f t="shared" si="1"/>
        <v>ARTIGAS </v>
      </c>
      <c r="G3600" s="1" t="str">
        <f t="shared" si="2"/>
        <v>Roció</v>
      </c>
      <c r="H3600" s="1" t="str">
        <f>IFERROR(__xludf.DUMMYFUNCTION("""COMPUTED_VALUE"""),"27/3/2023, 17:00:00")</f>
        <v>27/3/2023, 17:00:00</v>
      </c>
      <c r="I3600" s="1" t="str">
        <f>IFERROR(__xludf.DUMMYFUNCTION("""COMPUTED_VALUE"""),"Completado en SUCURSAL")</f>
        <v>Completado en SUCURSAL</v>
      </c>
      <c r="J3600" s="1">
        <f t="shared" si="3"/>
        <v>5</v>
      </c>
      <c r="K3600" s="1" t="str">
        <f t="shared" si="4"/>
        <v>Tus Lentes estan LISTAS PARA ENTREGAR, te esperamos.</v>
      </c>
    </row>
    <row r="3601">
      <c r="A3601" s="1">
        <f>IFERROR(__xludf.DUMMYFUNCTION("""COMPUTED_VALUE"""),88146.0)</f>
        <v>88146</v>
      </c>
      <c r="B3601" s="5">
        <f>IFERROR(__xludf.DUMMYFUNCTION("""COMPUTED_VALUE"""),45002.49782554398)</f>
        <v>45002.49783</v>
      </c>
      <c r="C3601" s="1" t="str">
        <f>IFERROR(__xludf.DUMMYFUNCTION("""COMPUTED_VALUE"""),"villegas myriam")</f>
        <v>villegas myriam</v>
      </c>
      <c r="D3601" s="1" t="str">
        <f>IFERROR(__xludf.DUMMYFUNCTION("""COMPUTED_VALUE"""),"Lentes de STOCK")</f>
        <v>Lentes de STOCK</v>
      </c>
      <c r="E3601" s="1" t="str">
        <f>IFERROR(__xludf.DUMMYFUNCTION("""COMPUTED_VALUE"""),"RIVADAVIA Daniel CM")</f>
        <v>RIVADAVIA Daniel CM</v>
      </c>
      <c r="F3601" s="1" t="str">
        <f t="shared" si="1"/>
        <v>RIVADAVIA </v>
      </c>
      <c r="G3601" s="1" t="str">
        <f t="shared" si="2"/>
        <v>Daniel CM</v>
      </c>
      <c r="H3601" s="1" t="str">
        <f>IFERROR(__xludf.DUMMYFUNCTION("""COMPUTED_VALUE"""),"21/3/2023, 17:00:00")</f>
        <v>21/3/2023, 17:00:00</v>
      </c>
      <c r="I3601" s="1" t="str">
        <f>IFERROR(__xludf.DUMMYFUNCTION("""COMPUTED_VALUE"""),"Completado en SUCURSAL")</f>
        <v>Completado en SUCURSAL</v>
      </c>
      <c r="J3601" s="1">
        <f t="shared" si="3"/>
        <v>5</v>
      </c>
      <c r="K3601" s="1" t="str">
        <f t="shared" si="4"/>
        <v>Tus Lentes estan LISTAS PARA ENTREGAR, te esperamos.</v>
      </c>
    </row>
    <row r="3602">
      <c r="A3602" s="1">
        <f>IFERROR(__xludf.DUMMYFUNCTION("""COMPUTED_VALUE"""),88147.0)</f>
        <v>88147</v>
      </c>
      <c r="B3602" s="5">
        <f>IFERROR(__xludf.DUMMYFUNCTION("""COMPUTED_VALUE"""),45002.49914674769)</f>
        <v>45002.49915</v>
      </c>
      <c r="C3602" s="1" t="str">
        <f>IFERROR(__xludf.DUMMYFUNCTION("""COMPUTED_VALUE"""),"VILLEGAS TERESA")</f>
        <v>VILLEGAS TERESA</v>
      </c>
      <c r="D3602" s="1" t="str">
        <f>IFERROR(__xludf.DUMMYFUNCTION("""COMPUTED_VALUE"""),"Lentes de STOCK")</f>
        <v>Lentes de STOCK</v>
      </c>
      <c r="E3602" s="1" t="str">
        <f>IFERROR(__xludf.DUMMYFUNCTION("""COMPUTED_VALUE"""),"ARTIGAS Ivana P.")</f>
        <v>ARTIGAS Ivana P.</v>
      </c>
      <c r="F3602" s="1" t="str">
        <f t="shared" si="1"/>
        <v>ARTIGAS </v>
      </c>
      <c r="G3602" s="1" t="str">
        <f t="shared" si="2"/>
        <v>Ivana P.</v>
      </c>
      <c r="H3602" s="1" t="str">
        <f>IFERROR(__xludf.DUMMYFUNCTION("""COMPUTED_VALUE"""),"22/3/2023, 17:00:00")</f>
        <v>22/3/2023, 17:00:00</v>
      </c>
      <c r="I3602" s="1" t="str">
        <f>IFERROR(__xludf.DUMMYFUNCTION("""COMPUTED_VALUE"""),"Completado en SUCURSAL")</f>
        <v>Completado en SUCURSAL</v>
      </c>
      <c r="J3602" s="1">
        <f t="shared" si="3"/>
        <v>5</v>
      </c>
      <c r="K3602" s="1" t="str">
        <f t="shared" si="4"/>
        <v>Tus Lentes estan LISTAS PARA ENTREGAR, te esperamos.</v>
      </c>
    </row>
    <row r="3603">
      <c r="A3603" s="1">
        <f>IFERROR(__xludf.DUMMYFUNCTION("""COMPUTED_VALUE"""),88148.0)</f>
        <v>88148</v>
      </c>
      <c r="B3603" s="5">
        <f>IFERROR(__xludf.DUMMYFUNCTION("""COMPUTED_VALUE"""),45002.50889577546)</f>
        <v>45002.5089</v>
      </c>
      <c r="C3603" s="1" t="str">
        <f>IFERROR(__xludf.DUMMYFUNCTION("""COMPUTED_VALUE"""),"rosel francisco")</f>
        <v>rosel francisco</v>
      </c>
      <c r="D3603" s="1" t="str">
        <f>IFERROR(__xludf.DUMMYFUNCTION("""COMPUTED_VALUE"""),"Lentes de STOCK")</f>
        <v>Lentes de STOCK</v>
      </c>
      <c r="E3603" s="1" t="str">
        <f>IFERROR(__xludf.DUMMYFUNCTION("""COMPUTED_VALUE"""),"RIVADAVIA Marcela L")</f>
        <v>RIVADAVIA Marcela L</v>
      </c>
      <c r="F3603" s="1" t="str">
        <f t="shared" si="1"/>
        <v>RIVADAVIA </v>
      </c>
      <c r="G3603" s="1" t="str">
        <f t="shared" si="2"/>
        <v>Marcela L</v>
      </c>
      <c r="H3603" s="1" t="str">
        <f>IFERROR(__xludf.DUMMYFUNCTION("""COMPUTED_VALUE"""),"22/3/2023, 17:00:00")</f>
        <v>22/3/2023, 17:00:00</v>
      </c>
      <c r="I3603" s="1" t="str">
        <f>IFERROR(__xludf.DUMMYFUNCTION("""COMPUTED_VALUE"""),"Completado en SUCURSAL")</f>
        <v>Completado en SUCURSAL</v>
      </c>
      <c r="J3603" s="1">
        <f t="shared" si="3"/>
        <v>5</v>
      </c>
      <c r="K3603" s="1" t="str">
        <f t="shared" si="4"/>
        <v>Tus Lentes estan LISTAS PARA ENTREGAR, te esperamos.</v>
      </c>
    </row>
    <row r="3604">
      <c r="A3604" s="1">
        <f>IFERROR(__xludf.DUMMYFUNCTION("""COMPUTED_VALUE"""),88149.0)</f>
        <v>88149</v>
      </c>
      <c r="B3604" s="5">
        <f>IFERROR(__xludf.DUMMYFUNCTION("""COMPUTED_VALUE"""),45002.519086747685)</f>
        <v>45002.51909</v>
      </c>
      <c r="C3604" s="1" t="str">
        <f>IFERROR(__xludf.DUMMYFUNCTION("""COMPUTED_VALUE"""),"ROSA ANSELMO ORLANDO")</f>
        <v>ROSA ANSELMO ORLANDO</v>
      </c>
      <c r="D3604" s="1" t="str">
        <f>IFERROR(__xludf.DUMMYFUNCTION("""COMPUTED_VALUE"""),"Lentes de STOCK")</f>
        <v>Lentes de STOCK</v>
      </c>
      <c r="E3604" s="1" t="str">
        <f>IFERROR(__xludf.DUMMYFUNCTION("""COMPUTED_VALUE"""),"ARTIGAS Ivana P.")</f>
        <v>ARTIGAS Ivana P.</v>
      </c>
      <c r="F3604" s="1" t="str">
        <f t="shared" si="1"/>
        <v>ARTIGAS </v>
      </c>
      <c r="G3604" s="1" t="str">
        <f t="shared" si="2"/>
        <v>Ivana P.</v>
      </c>
      <c r="H3604" s="1" t="str">
        <f>IFERROR(__xludf.DUMMYFUNCTION("""COMPUTED_VALUE"""),"21/3/2023, 17:00:00")</f>
        <v>21/3/2023, 17:00:00</v>
      </c>
      <c r="I3604" s="1" t="str">
        <f>IFERROR(__xludf.DUMMYFUNCTION("""COMPUTED_VALUE"""),"Completado en SUCURSAL")</f>
        <v>Completado en SUCURSAL</v>
      </c>
      <c r="J3604" s="1">
        <f t="shared" si="3"/>
        <v>5</v>
      </c>
      <c r="K3604" s="1" t="str">
        <f t="shared" si="4"/>
        <v>Tus Lentes estan LISTAS PARA ENTREGAR, te esperamos.</v>
      </c>
    </row>
    <row r="3605">
      <c r="A3605" s="1">
        <f>IFERROR(__xludf.DUMMYFUNCTION("""COMPUTED_VALUE"""),88150.0)</f>
        <v>88150</v>
      </c>
      <c r="B3605" s="5">
        <f>IFERROR(__xludf.DUMMYFUNCTION("""COMPUTED_VALUE"""),45002.53516028935)</f>
        <v>45002.53516</v>
      </c>
      <c r="C3605" s="1" t="str">
        <f>IFERROR(__xludf.DUMMYFUNCTION("""COMPUTED_VALUE"""),"GARFUNKEL IGNACIO ")</f>
        <v>GARFUNKEL IGNACIO </v>
      </c>
      <c r="D3605" s="1" t="str">
        <f>IFERROR(__xludf.DUMMYFUNCTION("""COMPUTED_VALUE"""),"Lentes de STOCK")</f>
        <v>Lentes de STOCK</v>
      </c>
      <c r="E3605" s="1" t="str">
        <f>IFERROR(__xludf.DUMMYFUNCTION("""COMPUTED_VALUE"""),"ARTIGAS Roció")</f>
        <v>ARTIGAS Roció</v>
      </c>
      <c r="F3605" s="1" t="str">
        <f t="shared" si="1"/>
        <v>ARTIGAS </v>
      </c>
      <c r="G3605" s="1" t="str">
        <f t="shared" si="2"/>
        <v>Roció</v>
      </c>
      <c r="H3605" s="1" t="str">
        <f>IFERROR(__xludf.DUMMYFUNCTION("""COMPUTED_VALUE"""),"23/3/2023, 17:00:00")</f>
        <v>23/3/2023, 17:00:00</v>
      </c>
      <c r="I3605" s="1" t="str">
        <f>IFERROR(__xludf.DUMMYFUNCTION("""COMPUTED_VALUE"""),"Completado en SUCURSAL")</f>
        <v>Completado en SUCURSAL</v>
      </c>
      <c r="J3605" s="1">
        <f t="shared" si="3"/>
        <v>5</v>
      </c>
      <c r="K3605" s="1" t="str">
        <f t="shared" si="4"/>
        <v>Tus Lentes estan LISTAS PARA ENTREGAR, te esperamos.</v>
      </c>
    </row>
    <row r="3606">
      <c r="A3606" s="1">
        <f>IFERROR(__xludf.DUMMYFUNCTION("""COMPUTED_VALUE"""),88151.0)</f>
        <v>88151</v>
      </c>
      <c r="B3606" s="5">
        <f>IFERROR(__xludf.DUMMYFUNCTION("""COMPUTED_VALUE"""),45002.53646310185)</f>
        <v>45002.53646</v>
      </c>
      <c r="C3606" s="1" t="str">
        <f>IFERROR(__xludf.DUMMYFUNCTION("""COMPUTED_VALUE"""),"QUIROGA OFELIA MARY")</f>
        <v>QUIROGA OFELIA MARY</v>
      </c>
      <c r="D3606" s="1" t="str">
        <f>IFERROR(__xludf.DUMMYFUNCTION("""COMPUTED_VALUE"""),"Lentes de STOCK")</f>
        <v>Lentes de STOCK</v>
      </c>
      <c r="E3606" s="1" t="str">
        <f>IFERROR(__xludf.DUMMYFUNCTION("""COMPUTED_VALUE"""),"RIVADAVIA Marcela L")</f>
        <v>RIVADAVIA Marcela L</v>
      </c>
      <c r="F3606" s="1" t="str">
        <f t="shared" si="1"/>
        <v>RIVADAVIA </v>
      </c>
      <c r="G3606" s="1" t="str">
        <f t="shared" si="2"/>
        <v>Marcela L</v>
      </c>
      <c r="H3606" s="1" t="str">
        <f>IFERROR(__xludf.DUMMYFUNCTION("""COMPUTED_VALUE"""),"21/3/2023, 17:00:00")</f>
        <v>21/3/2023, 17:00:00</v>
      </c>
      <c r="I3606" s="1" t="str">
        <f>IFERROR(__xludf.DUMMYFUNCTION("""COMPUTED_VALUE"""),"Completado en SUCURSAL")</f>
        <v>Completado en SUCURSAL</v>
      </c>
      <c r="J3606" s="1">
        <f t="shared" si="3"/>
        <v>5</v>
      </c>
      <c r="K3606" s="1" t="str">
        <f t="shared" si="4"/>
        <v>Tus Lentes estan LISTAS PARA ENTREGAR, te esperamos.</v>
      </c>
    </row>
    <row r="3607">
      <c r="A3607" s="1">
        <f>IFERROR(__xludf.DUMMYFUNCTION("""COMPUTED_VALUE"""),88152.0)</f>
        <v>88152</v>
      </c>
      <c r="B3607" s="5">
        <f>IFERROR(__xludf.DUMMYFUNCTION("""COMPUTED_VALUE"""),45002.540605243055)</f>
        <v>45002.54061</v>
      </c>
      <c r="C3607" s="1" t="str">
        <f>IFERROR(__xludf.DUMMYFUNCTION("""COMPUTED_VALUE"""),"ROBLE MARTA OFELIA")</f>
        <v>ROBLE MARTA OFELIA</v>
      </c>
      <c r="D3607" s="1" t="str">
        <f>IFERROR(__xludf.DUMMYFUNCTION("""COMPUTED_VALUE"""),"Lentes de STOCK")</f>
        <v>Lentes de STOCK</v>
      </c>
      <c r="E3607" s="1" t="str">
        <f>IFERROR(__xludf.DUMMYFUNCTION("""COMPUTED_VALUE"""),"RIVADAVIA Marcela L")</f>
        <v>RIVADAVIA Marcela L</v>
      </c>
      <c r="F3607" s="1" t="str">
        <f t="shared" si="1"/>
        <v>RIVADAVIA </v>
      </c>
      <c r="G3607" s="1" t="str">
        <f t="shared" si="2"/>
        <v>Marcela L</v>
      </c>
      <c r="H3607" s="1" t="str">
        <f>IFERROR(__xludf.DUMMYFUNCTION("""COMPUTED_VALUE"""),"21/3/2023, 17:00:00")</f>
        <v>21/3/2023, 17:00:00</v>
      </c>
      <c r="I3607" s="1" t="str">
        <f>IFERROR(__xludf.DUMMYFUNCTION("""COMPUTED_VALUE"""),"Completado en SUCURSAL")</f>
        <v>Completado en SUCURSAL</v>
      </c>
      <c r="J3607" s="1">
        <f t="shared" si="3"/>
        <v>5</v>
      </c>
      <c r="K3607" s="1" t="str">
        <f t="shared" si="4"/>
        <v>Tus Lentes estan LISTAS PARA ENTREGAR, te esperamos.</v>
      </c>
    </row>
    <row r="3608">
      <c r="A3608" s="1">
        <f>IFERROR(__xludf.DUMMYFUNCTION("""COMPUTED_VALUE"""),88153.0)</f>
        <v>88153</v>
      </c>
      <c r="B3608" s="5">
        <f>IFERROR(__xludf.DUMMYFUNCTION("""COMPUTED_VALUE"""),45002.548539571755)</f>
        <v>45002.54854</v>
      </c>
      <c r="C3608" s="1" t="str">
        <f>IFERROR(__xludf.DUMMYFUNCTION("""COMPUTED_VALUE"""),"RUIZ MIRTA")</f>
        <v>RUIZ MIRTA</v>
      </c>
      <c r="D3608" s="1" t="str">
        <f>IFERROR(__xludf.DUMMYFUNCTION("""COMPUTED_VALUE"""),"Lentes MULTIFOCALES")</f>
        <v>Lentes MULTIFOCALES</v>
      </c>
      <c r="E3608" s="1" t="str">
        <f>IFERROR(__xludf.DUMMYFUNCTION("""COMPUTED_VALUE"""),"RIVADAVIA Christian C.")</f>
        <v>RIVADAVIA Christian C.</v>
      </c>
      <c r="F3608" s="1" t="str">
        <f t="shared" si="1"/>
        <v>RIVADAVIA </v>
      </c>
      <c r="G3608" s="1" t="str">
        <f t="shared" si="2"/>
        <v>Christian C.</v>
      </c>
      <c r="H3608" s="1" t="str">
        <f>IFERROR(__xludf.DUMMYFUNCTION("""COMPUTED_VALUE"""),"3/4/2023, 17:00:00")</f>
        <v>3/4/2023, 17:00:00</v>
      </c>
      <c r="I3608" s="1" t="str">
        <f>IFERROR(__xludf.DUMMYFUNCTION("""COMPUTED_VALUE"""),"RETIRADO OK POR CLIENTE")</f>
        <v>RETIRADO OK POR CLIENTE</v>
      </c>
      <c r="J3608" s="1">
        <f t="shared" si="3"/>
        <v>6</v>
      </c>
      <c r="K3608" s="1" t="str">
        <f t="shared" si="4"/>
        <v>Entregamos tus lentes, que los disfrutes!</v>
      </c>
    </row>
    <row r="3609">
      <c r="A3609" s="1">
        <f>IFERROR(__xludf.DUMMYFUNCTION("""COMPUTED_VALUE"""),88154.0)</f>
        <v>88154</v>
      </c>
      <c r="B3609" s="5">
        <f>IFERROR(__xludf.DUMMYFUNCTION("""COMPUTED_VALUE"""),45002.55332894676)</f>
        <v>45002.55333</v>
      </c>
      <c r="C3609" s="1" t="str">
        <f>IFERROR(__xludf.DUMMYFUNCTION("""COMPUTED_VALUE"""),"MEDERO CAMILA")</f>
        <v>MEDERO CAMILA</v>
      </c>
      <c r="D3609" s="1" t="str">
        <f>IFERROR(__xludf.DUMMYFUNCTION("""COMPUTED_VALUE"""),"Lentes de STOCK")</f>
        <v>Lentes de STOCK</v>
      </c>
      <c r="E3609" s="1" t="str">
        <f>IFERROR(__xludf.DUMMYFUNCTION("""COMPUTED_VALUE"""),"ARTIGAS Roció")</f>
        <v>ARTIGAS Roció</v>
      </c>
      <c r="F3609" s="1" t="str">
        <f t="shared" si="1"/>
        <v>ARTIGAS </v>
      </c>
      <c r="G3609" s="1" t="str">
        <f t="shared" si="2"/>
        <v>Roció</v>
      </c>
      <c r="H3609" s="1" t="str">
        <f>IFERROR(__xludf.DUMMYFUNCTION("""COMPUTED_VALUE"""),"23/3/2023, 17:00:00")</f>
        <v>23/3/2023, 17:00:00</v>
      </c>
      <c r="I3609" s="1" t="str">
        <f>IFERROR(__xludf.DUMMYFUNCTION("""COMPUTED_VALUE"""),"Completado en SUCURSAL")</f>
        <v>Completado en SUCURSAL</v>
      </c>
      <c r="J3609" s="1">
        <f t="shared" si="3"/>
        <v>5</v>
      </c>
      <c r="K3609" s="1" t="str">
        <f t="shared" si="4"/>
        <v>Tus Lentes estan LISTAS PARA ENTREGAR, te esperamos.</v>
      </c>
    </row>
    <row r="3610">
      <c r="A3610" s="1">
        <f>IFERROR(__xludf.DUMMYFUNCTION("""COMPUTED_VALUE"""),88155.0)</f>
        <v>88155</v>
      </c>
      <c r="B3610" s="5">
        <f>IFERROR(__xludf.DUMMYFUNCTION("""COMPUTED_VALUE"""),45002.55744099537)</f>
        <v>45002.55744</v>
      </c>
      <c r="C3610" s="1" t="str">
        <f>IFERROR(__xludf.DUMMYFUNCTION("""COMPUTED_VALUE"""),"fernandez graciela")</f>
        <v>fernandez graciela</v>
      </c>
      <c r="D3610" s="1" t="str">
        <f>IFERROR(__xludf.DUMMYFUNCTION("""COMPUTED_VALUE"""),"Lentes BIFOCALES")</f>
        <v>Lentes BIFOCALES</v>
      </c>
      <c r="E3610" s="1" t="str">
        <f>IFERROR(__xludf.DUMMYFUNCTION("""COMPUTED_VALUE"""),"RIVADAVIA Daniel CM")</f>
        <v>RIVADAVIA Daniel CM</v>
      </c>
      <c r="F3610" s="1" t="str">
        <f t="shared" si="1"/>
        <v>RIVADAVIA </v>
      </c>
      <c r="G3610" s="1" t="str">
        <f t="shared" si="2"/>
        <v>Daniel CM</v>
      </c>
      <c r="H3610" s="1" t="str">
        <f>IFERROR(__xludf.DUMMYFUNCTION("""COMPUTED_VALUE"""),"31/3/2023, 17:00:00")</f>
        <v>31/3/2023, 17:00:00</v>
      </c>
      <c r="I3610" s="1" t="str">
        <f>IFERROR(__xludf.DUMMYFUNCTION("""COMPUTED_VALUE"""),"RETIRADO OK POR CLIENTE")</f>
        <v>RETIRADO OK POR CLIENTE</v>
      </c>
      <c r="J3610" s="1">
        <f t="shared" si="3"/>
        <v>6</v>
      </c>
      <c r="K3610" s="1" t="str">
        <f t="shared" si="4"/>
        <v>Entregamos tus lentes, que los disfrutes!</v>
      </c>
    </row>
    <row r="3611">
      <c r="A3611" s="1">
        <f>IFERROR(__xludf.DUMMYFUNCTION("""COMPUTED_VALUE"""),88156.0)</f>
        <v>88156</v>
      </c>
      <c r="B3611" s="5">
        <f>IFERROR(__xludf.DUMMYFUNCTION("""COMPUTED_VALUE"""),45002.56252623843)</f>
        <v>45002.56253</v>
      </c>
      <c r="C3611" s="1" t="str">
        <f>IFERROR(__xludf.DUMMYFUNCTION("""COMPUTED_VALUE"""),"AMPUERO ANDRES / TGN")</f>
        <v>AMPUERO ANDRES / TGN</v>
      </c>
      <c r="D3611" s="1" t="str">
        <f>IFERROR(__xludf.DUMMYFUNCTION("""COMPUTED_VALUE"""),"Lentes BIFOCALES")</f>
        <v>Lentes BIFOCALES</v>
      </c>
      <c r="E3611" s="1" t="str">
        <f>IFERROR(__xludf.DUMMYFUNCTION("""COMPUTED_VALUE"""),"ARTIGAS Ivana P.")</f>
        <v>ARTIGAS Ivana P.</v>
      </c>
      <c r="F3611" s="1" t="str">
        <f t="shared" si="1"/>
        <v>ARTIGAS </v>
      </c>
      <c r="G3611" s="1" t="str">
        <f t="shared" si="2"/>
        <v>Ivana P.</v>
      </c>
      <c r="H3611" s="1" t="str">
        <f>IFERROR(__xludf.DUMMYFUNCTION("""COMPUTED_VALUE"""),"27/3/2023, 17:00:00")</f>
        <v>27/3/2023, 17:00:00</v>
      </c>
      <c r="I3611" s="1" t="str">
        <f>IFERROR(__xludf.DUMMYFUNCTION("""COMPUTED_VALUE"""),"RETIRADO OK POR CLIENTE")</f>
        <v>RETIRADO OK POR CLIENTE</v>
      </c>
      <c r="J3611" s="1">
        <f t="shared" si="3"/>
        <v>6</v>
      </c>
      <c r="K3611" s="1" t="str">
        <f t="shared" si="4"/>
        <v>Entregamos tus lentes, que los disfrutes!</v>
      </c>
    </row>
    <row r="3612">
      <c r="A3612" s="1">
        <f>IFERROR(__xludf.DUMMYFUNCTION("""COMPUTED_VALUE"""),88157.0)</f>
        <v>88157</v>
      </c>
      <c r="B3612" s="5">
        <f>IFERROR(__xludf.DUMMYFUNCTION("""COMPUTED_VALUE"""),45002.720047951385)</f>
        <v>45002.72005</v>
      </c>
      <c r="C3612" s="1" t="str">
        <f>IFERROR(__xludf.DUMMYFUNCTION("""COMPUTED_VALUE"""),"MIRANA AGUSTINA")</f>
        <v>MIRANA AGUSTINA</v>
      </c>
      <c r="D3612" s="1" t="str">
        <f>IFERROR(__xludf.DUMMYFUNCTION("""COMPUTED_VALUE"""),"Lentes de STOCK")</f>
        <v>Lentes de STOCK</v>
      </c>
      <c r="E3612" s="1" t="str">
        <f>IFERROR(__xludf.DUMMYFUNCTION("""COMPUTED_VALUE"""),"ARTIGAS Ivana P.")</f>
        <v>ARTIGAS Ivana P.</v>
      </c>
      <c r="F3612" s="1" t="str">
        <f t="shared" si="1"/>
        <v>ARTIGAS </v>
      </c>
      <c r="G3612" s="1" t="str">
        <f t="shared" si="2"/>
        <v>Ivana P.</v>
      </c>
      <c r="H3612" s="1" t="str">
        <f>IFERROR(__xludf.DUMMYFUNCTION("""COMPUTED_VALUE"""),"21/3/2023, 17:00:00")</f>
        <v>21/3/2023, 17:00:00</v>
      </c>
      <c r="I3612" s="1" t="str">
        <f>IFERROR(__xludf.DUMMYFUNCTION("""COMPUTED_VALUE"""),"Completado en SUCURSAL")</f>
        <v>Completado en SUCURSAL</v>
      </c>
      <c r="J3612" s="1">
        <f t="shared" si="3"/>
        <v>5</v>
      </c>
      <c r="K3612" s="1" t="str">
        <f t="shared" si="4"/>
        <v>Tus Lentes estan LISTAS PARA ENTREGAR, te esperamos.</v>
      </c>
    </row>
    <row r="3613">
      <c r="A3613" s="1">
        <f>IFERROR(__xludf.DUMMYFUNCTION("""COMPUTED_VALUE"""),88158.0)</f>
        <v>88158</v>
      </c>
      <c r="B3613" s="5">
        <f>IFERROR(__xludf.DUMMYFUNCTION("""COMPUTED_VALUE"""),45002.72027304398)</f>
        <v>45002.72027</v>
      </c>
      <c r="C3613" s="1" t="str">
        <f>IFERROR(__xludf.DUMMYFUNCTION("""COMPUTED_VALUE"""),"OCHOA MATEO ELISEO")</f>
        <v>OCHOA MATEO ELISEO</v>
      </c>
      <c r="D3613" s="1" t="str">
        <f>IFERROR(__xludf.DUMMYFUNCTION("""COMPUTED_VALUE"""),"Lentes de STOCK")</f>
        <v>Lentes de STOCK</v>
      </c>
      <c r="E3613" s="1" t="str">
        <f>IFERROR(__xludf.DUMMYFUNCTION("""COMPUTED_VALUE"""),"RIVADAVIA Marcela L")</f>
        <v>RIVADAVIA Marcela L</v>
      </c>
      <c r="F3613" s="1" t="str">
        <f t="shared" si="1"/>
        <v>RIVADAVIA </v>
      </c>
      <c r="G3613" s="1" t="str">
        <f t="shared" si="2"/>
        <v>Marcela L</v>
      </c>
      <c r="H3613" s="1" t="str">
        <f>IFERROR(__xludf.DUMMYFUNCTION("""COMPUTED_VALUE"""),"22/3/2023, 17:00:00")</f>
        <v>22/3/2023, 17:00:00</v>
      </c>
      <c r="I3613" s="1" t="str">
        <f>IFERROR(__xludf.DUMMYFUNCTION("""COMPUTED_VALUE"""),"Completado en SUCURSAL")</f>
        <v>Completado en SUCURSAL</v>
      </c>
      <c r="J3613" s="1">
        <f t="shared" si="3"/>
        <v>5</v>
      </c>
      <c r="K3613" s="1" t="str">
        <f t="shared" si="4"/>
        <v>Tus Lentes estan LISTAS PARA ENTREGAR, te esperamos.</v>
      </c>
    </row>
    <row r="3614">
      <c r="A3614" s="1">
        <f>IFERROR(__xludf.DUMMYFUNCTION("""COMPUTED_VALUE"""),88159.0)</f>
        <v>88159</v>
      </c>
      <c r="B3614" s="5">
        <f>IFERROR(__xludf.DUMMYFUNCTION("""COMPUTED_VALUE"""),45002.75022832176)</f>
        <v>45002.75023</v>
      </c>
      <c r="C3614" s="1" t="str">
        <f>IFERROR(__xludf.DUMMYFUNCTION("""COMPUTED_VALUE"""),"PEREZ ARIEL")</f>
        <v>PEREZ ARIEL</v>
      </c>
      <c r="D3614" s="1" t="str">
        <f>IFERROR(__xludf.DUMMYFUNCTION("""COMPUTED_VALUE"""),"Reparaciones/Otros")</f>
        <v>Reparaciones/Otros</v>
      </c>
      <c r="E3614" s="1" t="str">
        <f>IFERROR(__xludf.DUMMYFUNCTION("""COMPUTED_VALUE"""),"ARTIGAS Ivana P.")</f>
        <v>ARTIGAS Ivana P.</v>
      </c>
      <c r="F3614" s="1" t="str">
        <f t="shared" si="1"/>
        <v>ARTIGAS </v>
      </c>
      <c r="G3614" s="1" t="str">
        <f t="shared" si="2"/>
        <v>Ivana P.</v>
      </c>
      <c r="H3614" s="1" t="str">
        <f>IFERROR(__xludf.DUMMYFUNCTION("""COMPUTED_VALUE"""),"18/3/2023, 17:00:00")</f>
        <v>18/3/2023, 17:00:00</v>
      </c>
      <c r="I3614" s="1" t="str">
        <f>IFERROR(__xludf.DUMMYFUNCTION("""COMPUTED_VALUE"""),"Recibido en Laboratorio")</f>
        <v>Recibido en Laboratorio</v>
      </c>
      <c r="J3614" s="1">
        <f t="shared" si="3"/>
        <v>2</v>
      </c>
      <c r="K3614" s="1" t="str">
        <f t="shared" si="4"/>
        <v>Nuestro Laboratorio esta trabajando en tus lentes, los entregaremos en la fecha acordada.</v>
      </c>
    </row>
    <row r="3615">
      <c r="A3615" s="1">
        <f>IFERROR(__xludf.DUMMYFUNCTION("""COMPUTED_VALUE"""),88160.0)</f>
        <v>88160</v>
      </c>
      <c r="B3615" s="5">
        <f>IFERROR(__xludf.DUMMYFUNCTION("""COMPUTED_VALUE"""),45002.75653709491)</f>
        <v>45002.75654</v>
      </c>
      <c r="C3615" s="1" t="str">
        <f>IFERROR(__xludf.DUMMYFUNCTION("""COMPUTED_VALUE"""),"bazan cristina")</f>
        <v>bazan cristina</v>
      </c>
      <c r="D3615" s="1" t="str">
        <f>IFERROR(__xludf.DUMMYFUNCTION("""COMPUTED_VALUE"""),"Lentes de STOCK")</f>
        <v>Lentes de STOCK</v>
      </c>
      <c r="E3615" s="1" t="str">
        <f>IFERROR(__xludf.DUMMYFUNCTION("""COMPUTED_VALUE"""),"RIVADAVIA Santiago N")</f>
        <v>RIVADAVIA Santiago N</v>
      </c>
      <c r="F3615" s="1" t="str">
        <f t="shared" si="1"/>
        <v>RIVADAVIA </v>
      </c>
      <c r="G3615" s="1" t="str">
        <f t="shared" si="2"/>
        <v>Santiago N</v>
      </c>
      <c r="H3615" s="1" t="str">
        <f>IFERROR(__xludf.DUMMYFUNCTION("""COMPUTED_VALUE"""),"20/3/2023, 17:00:00")</f>
        <v>20/3/2023, 17:00:00</v>
      </c>
      <c r="I3615" s="1" t="str">
        <f>IFERROR(__xludf.DUMMYFUNCTION("""COMPUTED_VALUE"""),"RETIRADO OK POR CLIENTE")</f>
        <v>RETIRADO OK POR CLIENTE</v>
      </c>
      <c r="J3615" s="1">
        <f t="shared" si="3"/>
        <v>6</v>
      </c>
      <c r="K3615" s="1" t="str">
        <f t="shared" si="4"/>
        <v>Entregamos tus lentes, que los disfrutes!</v>
      </c>
    </row>
    <row r="3616">
      <c r="A3616" s="1">
        <f>IFERROR(__xludf.DUMMYFUNCTION("""COMPUTED_VALUE"""),88161.0)</f>
        <v>88161</v>
      </c>
      <c r="B3616" s="5">
        <f>IFERROR(__xludf.DUMMYFUNCTION("""COMPUTED_VALUE"""),45002.75906586806)</f>
        <v>45002.75907</v>
      </c>
      <c r="C3616" s="1" t="str">
        <f>IFERROR(__xludf.DUMMYFUNCTION("""COMPUTED_VALUE"""),"GARRO JORGELINA TERESA")</f>
        <v>GARRO JORGELINA TERESA</v>
      </c>
      <c r="D3616" s="1" t="str">
        <f>IFERROR(__xludf.DUMMYFUNCTION("""COMPUTED_VALUE"""),"Lentes de STOCK")</f>
        <v>Lentes de STOCK</v>
      </c>
      <c r="E3616" s="1" t="str">
        <f>IFERROR(__xludf.DUMMYFUNCTION("""COMPUTED_VALUE"""),"RIVADAVIA Marcela L")</f>
        <v>RIVADAVIA Marcela L</v>
      </c>
      <c r="F3616" s="1" t="str">
        <f t="shared" si="1"/>
        <v>RIVADAVIA </v>
      </c>
      <c r="G3616" s="1" t="str">
        <f t="shared" si="2"/>
        <v>Marcela L</v>
      </c>
      <c r="H3616" s="1" t="str">
        <f>IFERROR(__xludf.DUMMYFUNCTION("""COMPUTED_VALUE"""),"22/3/2023, 17:00:00")</f>
        <v>22/3/2023, 17:00:00</v>
      </c>
      <c r="I3616" s="1" t="str">
        <f>IFERROR(__xludf.DUMMYFUNCTION("""COMPUTED_VALUE"""),"Completado en SUCURSAL")</f>
        <v>Completado en SUCURSAL</v>
      </c>
      <c r="J3616" s="1">
        <f t="shared" si="3"/>
        <v>5</v>
      </c>
      <c r="K3616" s="1" t="str">
        <f t="shared" si="4"/>
        <v>Tus Lentes estan LISTAS PARA ENTREGAR, te esperamos.</v>
      </c>
    </row>
    <row r="3617">
      <c r="A3617" s="1">
        <f>IFERROR(__xludf.DUMMYFUNCTION("""COMPUTED_VALUE"""),88162.0)</f>
        <v>88162</v>
      </c>
      <c r="B3617" s="5">
        <f>IFERROR(__xludf.DUMMYFUNCTION("""COMPUTED_VALUE"""),45002.76304770833)</f>
        <v>45002.76305</v>
      </c>
      <c r="C3617" s="1" t="str">
        <f>IFERROR(__xludf.DUMMYFUNCTION("""COMPUTED_VALUE"""),"CORTES LUCIA ANAHI")</f>
        <v>CORTES LUCIA ANAHI</v>
      </c>
      <c r="D3617" s="1" t="str">
        <f>IFERROR(__xludf.DUMMYFUNCTION("""COMPUTED_VALUE"""),"Lentes de STOCK")</f>
        <v>Lentes de STOCK</v>
      </c>
      <c r="E3617" s="1" t="str">
        <f>IFERROR(__xludf.DUMMYFUNCTION("""COMPUTED_VALUE"""),"ARTIGAS Roció")</f>
        <v>ARTIGAS Roció</v>
      </c>
      <c r="F3617" s="1" t="str">
        <f t="shared" si="1"/>
        <v>ARTIGAS </v>
      </c>
      <c r="G3617" s="1" t="str">
        <f t="shared" si="2"/>
        <v>Roció</v>
      </c>
      <c r="H3617" s="1" t="str">
        <f>IFERROR(__xludf.DUMMYFUNCTION("""COMPUTED_VALUE"""),"27/3/2023, 17:00:00")</f>
        <v>27/3/2023, 17:00:00</v>
      </c>
      <c r="I3617" s="1" t="str">
        <f>IFERROR(__xludf.DUMMYFUNCTION("""COMPUTED_VALUE"""),"RETIRADO OK POR CLIENTE")</f>
        <v>RETIRADO OK POR CLIENTE</v>
      </c>
      <c r="J3617" s="1">
        <f t="shared" si="3"/>
        <v>6</v>
      </c>
      <c r="K3617" s="1" t="str">
        <f t="shared" si="4"/>
        <v>Entregamos tus lentes, que los disfrutes!</v>
      </c>
    </row>
    <row r="3618">
      <c r="A3618" s="1">
        <f>IFERROR(__xludf.DUMMYFUNCTION("""COMPUTED_VALUE"""),88163.0)</f>
        <v>88163</v>
      </c>
      <c r="B3618" s="5">
        <f>IFERROR(__xludf.DUMMYFUNCTION("""COMPUTED_VALUE"""),45002.769213182866)</f>
        <v>45002.76921</v>
      </c>
      <c r="C3618" s="1" t="str">
        <f>IFERROR(__xludf.DUMMYFUNCTION("""COMPUTED_VALUE"""),"lavandeira ricardo")</f>
        <v>lavandeira ricardo</v>
      </c>
      <c r="D3618" s="1" t="str">
        <f>IFERROR(__xludf.DUMMYFUNCTION("""COMPUTED_VALUE"""),"Lentes BIFOCALES")</f>
        <v>Lentes BIFOCALES</v>
      </c>
      <c r="E3618" s="1" t="str">
        <f>IFERROR(__xludf.DUMMYFUNCTION("""COMPUTED_VALUE"""),"RIVADAVIA Santiago N")</f>
        <v>RIVADAVIA Santiago N</v>
      </c>
      <c r="F3618" s="1" t="str">
        <f t="shared" si="1"/>
        <v>RIVADAVIA </v>
      </c>
      <c r="G3618" s="1" t="str">
        <f t="shared" si="2"/>
        <v>Santiago N</v>
      </c>
      <c r="H3618" s="1" t="str">
        <f>IFERROR(__xludf.DUMMYFUNCTION("""COMPUTED_VALUE"""),"20/3/2023, 17:00:00")</f>
        <v>20/3/2023, 17:00:00</v>
      </c>
      <c r="I3618" s="1" t="str">
        <f>IFERROR(__xludf.DUMMYFUNCTION("""COMPUTED_VALUE"""),"RETIRADO OK POR CLIENTE")</f>
        <v>RETIRADO OK POR CLIENTE</v>
      </c>
      <c r="J3618" s="1">
        <f t="shared" si="3"/>
        <v>6</v>
      </c>
      <c r="K3618" s="1" t="str">
        <f t="shared" si="4"/>
        <v>Entregamos tus lentes, que los disfrutes!</v>
      </c>
    </row>
    <row r="3619">
      <c r="A3619" s="1">
        <f>IFERROR(__xludf.DUMMYFUNCTION("""COMPUTED_VALUE"""),88164.0)</f>
        <v>88164</v>
      </c>
      <c r="B3619" s="5">
        <f>IFERROR(__xludf.DUMMYFUNCTION("""COMPUTED_VALUE"""),45002.77947887732)</f>
        <v>45002.77948</v>
      </c>
      <c r="C3619" s="1" t="str">
        <f>IFERROR(__xludf.DUMMYFUNCTION("""COMPUTED_VALUE"""),"Macias Antonio ")</f>
        <v>Macias Antonio </v>
      </c>
      <c r="D3619" s="1" t="str">
        <f>IFERROR(__xludf.DUMMYFUNCTION("""COMPUTED_VALUE"""),"Reparaciones/Otros")</f>
        <v>Reparaciones/Otros</v>
      </c>
      <c r="E3619" s="1" t="str">
        <f>IFERROR(__xludf.DUMMYFUNCTION("""COMPUTED_VALUE"""),"ARTIGAS Micaela")</f>
        <v>ARTIGAS Micaela</v>
      </c>
      <c r="F3619" s="1" t="str">
        <f t="shared" si="1"/>
        <v>ARTIGAS </v>
      </c>
      <c r="G3619" s="1" t="str">
        <f t="shared" si="2"/>
        <v>Micaela</v>
      </c>
      <c r="H3619" s="1" t="str">
        <f>IFERROR(__xludf.DUMMYFUNCTION("""COMPUTED_VALUE"""),"20/3/2023, 17:00:00")</f>
        <v>20/3/2023, 17:00:00</v>
      </c>
      <c r="I3619" s="1" t="str">
        <f>IFERROR(__xludf.DUMMYFUNCTION("""COMPUTED_VALUE"""),"Recibido en Laboratorio")</f>
        <v>Recibido en Laboratorio</v>
      </c>
      <c r="J3619" s="1">
        <f t="shared" si="3"/>
        <v>2</v>
      </c>
      <c r="K3619" s="1" t="str">
        <f t="shared" si="4"/>
        <v>Nuestro Laboratorio esta trabajando en tus lentes, los entregaremos en la fecha acordada.</v>
      </c>
    </row>
    <row r="3620">
      <c r="A3620" s="1">
        <f>IFERROR(__xludf.DUMMYFUNCTION("""COMPUTED_VALUE"""),88165.0)</f>
        <v>88165</v>
      </c>
      <c r="B3620" s="5">
        <f>IFERROR(__xludf.DUMMYFUNCTION("""COMPUTED_VALUE"""),45002.78371649305)</f>
        <v>45002.78372</v>
      </c>
      <c r="C3620" s="1" t="str">
        <f>IFERROR(__xludf.DUMMYFUNCTION("""COMPUTED_VALUE"""),"HUARANCA PAULA")</f>
        <v>HUARANCA PAULA</v>
      </c>
      <c r="D3620" s="1" t="str">
        <f>IFERROR(__xludf.DUMMYFUNCTION("""COMPUTED_VALUE"""),"Lentes de LABORATORIO")</f>
        <v>Lentes de LABORATORIO</v>
      </c>
      <c r="E3620" s="1" t="str">
        <f>IFERROR(__xludf.DUMMYFUNCTION("""COMPUTED_VALUE"""),"ARTIGAS Ivana P.")</f>
        <v>ARTIGAS Ivana P.</v>
      </c>
      <c r="F3620" s="1" t="str">
        <f t="shared" si="1"/>
        <v>ARTIGAS </v>
      </c>
      <c r="G3620" s="1" t="str">
        <f t="shared" si="2"/>
        <v>Ivana P.</v>
      </c>
      <c r="H3620" s="1" t="str">
        <f>IFERROR(__xludf.DUMMYFUNCTION("""COMPUTED_VALUE"""),"27/3/2023, 17:00:00")</f>
        <v>27/3/2023, 17:00:00</v>
      </c>
      <c r="I3620" s="1" t="str">
        <f>IFERROR(__xludf.DUMMYFUNCTION("""COMPUTED_VALUE"""),"RETIRADO OK POR CLIENTE")</f>
        <v>RETIRADO OK POR CLIENTE</v>
      </c>
      <c r="J3620" s="1">
        <f t="shared" si="3"/>
        <v>6</v>
      </c>
      <c r="K3620" s="1" t="str">
        <f t="shared" si="4"/>
        <v>Entregamos tus lentes, que los disfrutes!</v>
      </c>
    </row>
    <row r="3621">
      <c r="A3621" s="1">
        <f>IFERROR(__xludf.DUMMYFUNCTION("""COMPUTED_VALUE"""),88166.0)</f>
        <v>88166</v>
      </c>
      <c r="B3621" s="5">
        <f>IFERROR(__xludf.DUMMYFUNCTION("""COMPUTED_VALUE"""),45002.78883619213)</f>
        <v>45002.78884</v>
      </c>
      <c r="C3621" s="1" t="str">
        <f>IFERROR(__xludf.DUMMYFUNCTION("""COMPUTED_VALUE"""),"QUIROGA BAUTISTA")</f>
        <v>QUIROGA BAUTISTA</v>
      </c>
      <c r="D3621" s="1" t="str">
        <f>IFERROR(__xludf.DUMMYFUNCTION("""COMPUTED_VALUE"""),"Lentes de STOCK")</f>
        <v>Lentes de STOCK</v>
      </c>
      <c r="E3621" s="1" t="str">
        <f>IFERROR(__xludf.DUMMYFUNCTION("""COMPUTED_VALUE"""),"ARTIGAS Ivana P.")</f>
        <v>ARTIGAS Ivana P.</v>
      </c>
      <c r="F3621" s="1" t="str">
        <f t="shared" si="1"/>
        <v>ARTIGAS </v>
      </c>
      <c r="G3621" s="1" t="str">
        <f t="shared" si="2"/>
        <v>Ivana P.</v>
      </c>
      <c r="H3621" s="1" t="str">
        <f>IFERROR(__xludf.DUMMYFUNCTION("""COMPUTED_VALUE"""),"22/3/2023, 17:00:00")</f>
        <v>22/3/2023, 17:00:00</v>
      </c>
      <c r="I3621" s="1" t="str">
        <f>IFERROR(__xludf.DUMMYFUNCTION("""COMPUTED_VALUE"""),"Recibido en Laboratorio")</f>
        <v>Recibido en Laboratorio</v>
      </c>
      <c r="J3621" s="1">
        <f t="shared" si="3"/>
        <v>2</v>
      </c>
      <c r="K3621" s="1" t="str">
        <f t="shared" si="4"/>
        <v>Nuestro Laboratorio esta trabajando en tus lentes, los entregaremos en la fecha acordada.</v>
      </c>
    </row>
    <row r="3622">
      <c r="A3622" s="1">
        <f>IFERROR(__xludf.DUMMYFUNCTION("""COMPUTED_VALUE"""),88167.0)</f>
        <v>88167</v>
      </c>
      <c r="B3622" s="5">
        <f>IFERROR(__xludf.DUMMYFUNCTION("""COMPUTED_VALUE"""),45002.79895011574)</f>
        <v>45002.79895</v>
      </c>
      <c r="C3622" s="1" t="str">
        <f>IFERROR(__xludf.DUMMYFUNCTION("""COMPUTED_VALUE"""),"PRADO EMILIO")</f>
        <v>PRADO EMILIO</v>
      </c>
      <c r="D3622" s="1" t="str">
        <f>IFERROR(__xludf.DUMMYFUNCTION("""COMPUTED_VALUE"""),"Reparaciones/Otros")</f>
        <v>Reparaciones/Otros</v>
      </c>
      <c r="E3622" s="1" t="str">
        <f>IFERROR(__xludf.DUMMYFUNCTION("""COMPUTED_VALUE"""),"ARTIGAS Roció")</f>
        <v>ARTIGAS Roció</v>
      </c>
      <c r="F3622" s="1" t="str">
        <f t="shared" si="1"/>
        <v>ARTIGAS </v>
      </c>
      <c r="G3622" s="1" t="str">
        <f t="shared" si="2"/>
        <v>Roció</v>
      </c>
      <c r="H3622" s="1" t="str">
        <f>IFERROR(__xludf.DUMMYFUNCTION("""COMPUTED_VALUE"""),"20/3/2023, 17:00:00")</f>
        <v>20/3/2023, 17:00:00</v>
      </c>
      <c r="I3622" s="1" t="str">
        <f>IFERROR(__xludf.DUMMYFUNCTION("""COMPUTED_VALUE"""),"Completado en SUCURSAL")</f>
        <v>Completado en SUCURSAL</v>
      </c>
      <c r="J3622" s="1">
        <f t="shared" si="3"/>
        <v>5</v>
      </c>
      <c r="K3622" s="1" t="str">
        <f t="shared" si="4"/>
        <v>Tus Lentes estan LISTAS PARA ENTREGAR, te esperamos.</v>
      </c>
    </row>
    <row r="3623">
      <c r="A3623" s="1">
        <f>IFERROR(__xludf.DUMMYFUNCTION("""COMPUTED_VALUE"""),88168.0)</f>
        <v>88168</v>
      </c>
      <c r="B3623" s="5">
        <f>IFERROR(__xludf.DUMMYFUNCTION("""COMPUTED_VALUE"""),45002.80186577546)</f>
        <v>45002.80187</v>
      </c>
      <c r="C3623" s="1" t="str">
        <f>IFERROR(__xludf.DUMMYFUNCTION("""COMPUTED_VALUE"""),"BAIGORRIA NANCY")</f>
        <v>BAIGORRIA NANCY</v>
      </c>
      <c r="D3623" s="1" t="str">
        <f>IFERROR(__xludf.DUMMYFUNCTION("""COMPUTED_VALUE"""),"Reparaciones/Otros")</f>
        <v>Reparaciones/Otros</v>
      </c>
      <c r="E3623" s="1" t="str">
        <f>IFERROR(__xludf.DUMMYFUNCTION("""COMPUTED_VALUE"""),"ARTIGAS Roció")</f>
        <v>ARTIGAS Roció</v>
      </c>
      <c r="F3623" s="1" t="str">
        <f t="shared" si="1"/>
        <v>ARTIGAS </v>
      </c>
      <c r="G3623" s="1" t="str">
        <f t="shared" si="2"/>
        <v>Roció</v>
      </c>
      <c r="H3623" s="1" t="str">
        <f>IFERROR(__xludf.DUMMYFUNCTION("""COMPUTED_VALUE"""),"18/3/2023, 17:00:00")</f>
        <v>18/3/2023, 17:00:00</v>
      </c>
      <c r="I3623" s="1" t="str">
        <f>IFERROR(__xludf.DUMMYFUNCTION("""COMPUTED_VALUE"""),"Recibido en Laboratorio")</f>
        <v>Recibido en Laboratorio</v>
      </c>
      <c r="J3623" s="1">
        <f t="shared" si="3"/>
        <v>2</v>
      </c>
      <c r="K3623" s="1" t="str">
        <f t="shared" si="4"/>
        <v>Nuestro Laboratorio esta trabajando en tus lentes, los entregaremos en la fecha acordada.</v>
      </c>
    </row>
    <row r="3624">
      <c r="A3624" s="1">
        <f>IFERROR(__xludf.DUMMYFUNCTION("""COMPUTED_VALUE"""),88169.0)</f>
        <v>88169</v>
      </c>
      <c r="B3624" s="5">
        <f>IFERROR(__xludf.DUMMYFUNCTION("""COMPUTED_VALUE"""),45002.80345841435)</f>
        <v>45002.80346</v>
      </c>
      <c r="C3624" s="1" t="str">
        <f>IFERROR(__xludf.DUMMYFUNCTION("""COMPUTED_VALUE"""),"LUNA NATALIA")</f>
        <v>LUNA NATALIA</v>
      </c>
      <c r="D3624" s="1" t="str">
        <f>IFERROR(__xludf.DUMMYFUNCTION("""COMPUTED_VALUE"""),"Reparaciones/Otros")</f>
        <v>Reparaciones/Otros</v>
      </c>
      <c r="E3624" s="1" t="str">
        <f>IFERROR(__xludf.DUMMYFUNCTION("""COMPUTED_VALUE"""),"ARTIGAS Ivana P.")</f>
        <v>ARTIGAS Ivana P.</v>
      </c>
      <c r="F3624" s="1" t="str">
        <f t="shared" si="1"/>
        <v>ARTIGAS </v>
      </c>
      <c r="G3624" s="1" t="str">
        <f t="shared" si="2"/>
        <v>Ivana P.</v>
      </c>
      <c r="H3624" s="1" t="str">
        <f>IFERROR(__xludf.DUMMYFUNCTION("""COMPUTED_VALUE"""),"20/3/2023, 17:00:00")</f>
        <v>20/3/2023, 17:00:00</v>
      </c>
      <c r="I3624" s="1" t="str">
        <f>IFERROR(__xludf.DUMMYFUNCTION("""COMPUTED_VALUE"""),"Completado en SUCURSAL")</f>
        <v>Completado en SUCURSAL</v>
      </c>
      <c r="J3624" s="1">
        <f t="shared" si="3"/>
        <v>5</v>
      </c>
      <c r="K3624" s="1" t="str">
        <f t="shared" si="4"/>
        <v>Tus Lentes estan LISTAS PARA ENTREGAR, te esperamos.</v>
      </c>
    </row>
    <row r="3625">
      <c r="A3625" s="1">
        <f>IFERROR(__xludf.DUMMYFUNCTION("""COMPUTED_VALUE"""),88170.0)</f>
        <v>88170</v>
      </c>
      <c r="B3625" s="5">
        <f>IFERROR(__xludf.DUMMYFUNCTION("""COMPUTED_VALUE"""),45002.80469159722)</f>
        <v>45002.80469</v>
      </c>
      <c r="C3625" s="1" t="str">
        <f>IFERROR(__xludf.DUMMYFUNCTION("""COMPUTED_VALUE"""),"LOPEZ ELSA")</f>
        <v>LOPEZ ELSA</v>
      </c>
      <c r="D3625" s="1" t="str">
        <f>IFERROR(__xludf.DUMMYFUNCTION("""COMPUTED_VALUE"""),"Lentes de STOCK")</f>
        <v>Lentes de STOCK</v>
      </c>
      <c r="E3625" s="1" t="str">
        <f>IFERROR(__xludf.DUMMYFUNCTION("""COMPUTED_VALUE"""),"RIVADAVIA Christian C.")</f>
        <v>RIVADAVIA Christian C.</v>
      </c>
      <c r="F3625" s="1" t="str">
        <f t="shared" si="1"/>
        <v>RIVADAVIA </v>
      </c>
      <c r="G3625" s="1" t="str">
        <f t="shared" si="2"/>
        <v>Christian C.</v>
      </c>
      <c r="H3625" s="1" t="str">
        <f>IFERROR(__xludf.DUMMYFUNCTION("""COMPUTED_VALUE"""),"22/3/2023, 17:00:00")</f>
        <v>22/3/2023, 17:00:00</v>
      </c>
      <c r="I3625" s="1" t="str">
        <f>IFERROR(__xludf.DUMMYFUNCTION("""COMPUTED_VALUE"""),"Completado en SUCURSAL")</f>
        <v>Completado en SUCURSAL</v>
      </c>
      <c r="J3625" s="1">
        <f t="shared" si="3"/>
        <v>5</v>
      </c>
      <c r="K3625" s="1" t="str">
        <f t="shared" si="4"/>
        <v>Tus Lentes estan LISTAS PARA ENTREGAR, te esperamos.</v>
      </c>
    </row>
    <row r="3626">
      <c r="A3626" s="1">
        <f>IFERROR(__xludf.DUMMYFUNCTION("""COMPUTED_VALUE"""),88171.0)</f>
        <v>88171</v>
      </c>
      <c r="B3626" s="5">
        <f>IFERROR(__xludf.DUMMYFUNCTION("""COMPUTED_VALUE"""),45002.813915520834)</f>
        <v>45002.81392</v>
      </c>
      <c r="C3626" s="1" t="str">
        <f>IFERROR(__xludf.DUMMYFUNCTION("""COMPUTED_VALUE"""),"AMAYA LIDIA NORMA")</f>
        <v>AMAYA LIDIA NORMA</v>
      </c>
      <c r="D3626" s="1" t="str">
        <f>IFERROR(__xludf.DUMMYFUNCTION("""COMPUTED_VALUE"""),"Lentes de STOCK")</f>
        <v>Lentes de STOCK</v>
      </c>
      <c r="E3626" s="1" t="str">
        <f>IFERROR(__xludf.DUMMYFUNCTION("""COMPUTED_VALUE"""),"ARTIGAS Roció")</f>
        <v>ARTIGAS Roció</v>
      </c>
      <c r="F3626" s="1" t="str">
        <f t="shared" si="1"/>
        <v>ARTIGAS </v>
      </c>
      <c r="G3626" s="1" t="str">
        <f t="shared" si="2"/>
        <v>Roció</v>
      </c>
      <c r="H3626" s="1" t="str">
        <f>IFERROR(__xludf.DUMMYFUNCTION("""COMPUTED_VALUE"""),"27/3/2023, 17:00:00")</f>
        <v>27/3/2023, 17:00:00</v>
      </c>
      <c r="I3626" s="1" t="str">
        <f>IFERROR(__xludf.DUMMYFUNCTION("""COMPUTED_VALUE"""),"RETIRADO OK POR CLIENTE")</f>
        <v>RETIRADO OK POR CLIENTE</v>
      </c>
      <c r="J3626" s="1">
        <f t="shared" si="3"/>
        <v>6</v>
      </c>
      <c r="K3626" s="1" t="str">
        <f t="shared" si="4"/>
        <v>Entregamos tus lentes, que los disfrutes!</v>
      </c>
    </row>
    <row r="3627">
      <c r="A3627" s="1">
        <f>IFERROR(__xludf.DUMMYFUNCTION("""COMPUTED_VALUE"""),88172.0)</f>
        <v>88172</v>
      </c>
      <c r="B3627" s="5">
        <f>IFERROR(__xludf.DUMMYFUNCTION("""COMPUTED_VALUE"""),45002.81398813658)</f>
        <v>45002.81399</v>
      </c>
      <c r="C3627" s="1" t="str">
        <f>IFERROR(__xludf.DUMMYFUNCTION("""COMPUTED_VALUE"""),"CAMARGO CARMEN ")</f>
        <v>CAMARGO CARMEN </v>
      </c>
      <c r="D3627" s="1" t="str">
        <f>IFERROR(__xludf.DUMMYFUNCTION("""COMPUTED_VALUE"""),"Lentes de STOCK")</f>
        <v>Lentes de STOCK</v>
      </c>
      <c r="E3627" s="1" t="str">
        <f>IFERROR(__xludf.DUMMYFUNCTION("""COMPUTED_VALUE"""),"RIVADAVIA Marcela L")</f>
        <v>RIVADAVIA Marcela L</v>
      </c>
      <c r="F3627" s="1" t="str">
        <f t="shared" si="1"/>
        <v>RIVADAVIA </v>
      </c>
      <c r="G3627" s="1" t="str">
        <f t="shared" si="2"/>
        <v>Marcela L</v>
      </c>
      <c r="H3627" s="1" t="str">
        <f>IFERROR(__xludf.DUMMYFUNCTION("""COMPUTED_VALUE"""),"22/3/2023, 17:00:00")</f>
        <v>22/3/2023, 17:00:00</v>
      </c>
      <c r="I3627" s="1" t="str">
        <f>IFERROR(__xludf.DUMMYFUNCTION("""COMPUTED_VALUE"""),"Completado en SUCURSAL")</f>
        <v>Completado en SUCURSAL</v>
      </c>
      <c r="J3627" s="1">
        <f t="shared" si="3"/>
        <v>5</v>
      </c>
      <c r="K3627" s="1" t="str">
        <f t="shared" si="4"/>
        <v>Tus Lentes estan LISTAS PARA ENTREGAR, te esperamos.</v>
      </c>
    </row>
    <row r="3628">
      <c r="A3628" s="1">
        <f>IFERROR(__xludf.DUMMYFUNCTION("""COMPUTED_VALUE"""),88173.0)</f>
        <v>88173</v>
      </c>
      <c r="B3628" s="5">
        <f>IFERROR(__xludf.DUMMYFUNCTION("""COMPUTED_VALUE"""),45002.81694701389)</f>
        <v>45002.81695</v>
      </c>
      <c r="C3628" s="1" t="str">
        <f>IFERROR(__xludf.DUMMYFUNCTION("""COMPUTED_VALUE"""),"CASTILLO EMILIA ELIZABETH")</f>
        <v>CASTILLO EMILIA ELIZABETH</v>
      </c>
      <c r="D3628" s="1" t="str">
        <f>IFERROR(__xludf.DUMMYFUNCTION("""COMPUTED_VALUE"""),"Lentes de STOCK")</f>
        <v>Lentes de STOCK</v>
      </c>
      <c r="E3628" s="1" t="str">
        <f>IFERROR(__xludf.DUMMYFUNCTION("""COMPUTED_VALUE"""),"RIVADAVIA Marcela L")</f>
        <v>RIVADAVIA Marcela L</v>
      </c>
      <c r="F3628" s="1" t="str">
        <f t="shared" si="1"/>
        <v>RIVADAVIA </v>
      </c>
      <c r="G3628" s="1" t="str">
        <f t="shared" si="2"/>
        <v>Marcela L</v>
      </c>
      <c r="H3628" s="1" t="str">
        <f>IFERROR(__xludf.DUMMYFUNCTION("""COMPUTED_VALUE"""),"22/3/2023, 17:00:00")</f>
        <v>22/3/2023, 17:00:00</v>
      </c>
      <c r="I3628" s="1" t="str">
        <f>IFERROR(__xludf.DUMMYFUNCTION("""COMPUTED_VALUE"""),"Completado en SUCURSAL")</f>
        <v>Completado en SUCURSAL</v>
      </c>
      <c r="J3628" s="1">
        <f t="shared" si="3"/>
        <v>5</v>
      </c>
      <c r="K3628" s="1" t="str">
        <f t="shared" si="4"/>
        <v>Tus Lentes estan LISTAS PARA ENTREGAR, te esperamos.</v>
      </c>
    </row>
    <row r="3629">
      <c r="A3629" s="1">
        <f>IFERROR(__xludf.DUMMYFUNCTION("""COMPUTED_VALUE"""),88174.0)</f>
        <v>88174</v>
      </c>
      <c r="B3629" s="5">
        <f>IFERROR(__xludf.DUMMYFUNCTION("""COMPUTED_VALUE"""),45002.825601689816)</f>
        <v>45002.8256</v>
      </c>
      <c r="C3629" s="1" t="str">
        <f>IFERROR(__xludf.DUMMYFUNCTION("""COMPUTED_VALUE"""),"RODRIGUEZ ELIDA")</f>
        <v>RODRIGUEZ ELIDA</v>
      </c>
      <c r="D3629" s="1" t="str">
        <f>IFERROR(__xludf.DUMMYFUNCTION("""COMPUTED_VALUE"""),"Lentes BIFOCALES")</f>
        <v>Lentes BIFOCALES</v>
      </c>
      <c r="E3629" s="1" t="str">
        <f>IFERROR(__xludf.DUMMYFUNCTION("""COMPUTED_VALUE"""),"ARTIGAS Ivana P.")</f>
        <v>ARTIGAS Ivana P.</v>
      </c>
      <c r="F3629" s="1" t="str">
        <f t="shared" si="1"/>
        <v>ARTIGAS </v>
      </c>
      <c r="G3629" s="1" t="str">
        <f t="shared" si="2"/>
        <v>Ivana P.</v>
      </c>
      <c r="H3629" s="1" t="str">
        <f>IFERROR(__xludf.DUMMYFUNCTION("""COMPUTED_VALUE"""),"27/3/2023, 17:00:00")</f>
        <v>27/3/2023, 17:00:00</v>
      </c>
      <c r="I3629" s="1" t="str">
        <f>IFERROR(__xludf.DUMMYFUNCTION("""COMPUTED_VALUE"""),"RETIRADO OK POR CLIENTE")</f>
        <v>RETIRADO OK POR CLIENTE</v>
      </c>
      <c r="J3629" s="1">
        <f t="shared" si="3"/>
        <v>6</v>
      </c>
      <c r="K3629" s="1" t="str">
        <f t="shared" si="4"/>
        <v>Entregamos tus lentes, que los disfrutes!</v>
      </c>
    </row>
    <row r="3630">
      <c r="A3630" s="1">
        <f>IFERROR(__xludf.DUMMYFUNCTION("""COMPUTED_VALUE"""),88175.0)</f>
        <v>88175</v>
      </c>
      <c r="B3630" s="5">
        <f>IFERROR(__xludf.DUMMYFUNCTION("""COMPUTED_VALUE"""),45002.8274346875)</f>
        <v>45002.82743</v>
      </c>
      <c r="C3630" s="1" t="str">
        <f>IFERROR(__xludf.DUMMYFUNCTION("""COMPUTED_VALUE"""),"PALACIOS JORGE")</f>
        <v>PALACIOS JORGE</v>
      </c>
      <c r="D3630" s="1" t="str">
        <f>IFERROR(__xludf.DUMMYFUNCTION("""COMPUTED_VALUE"""),"Lentes BIFOCALES")</f>
        <v>Lentes BIFOCALES</v>
      </c>
      <c r="E3630" s="1" t="str">
        <f>IFERROR(__xludf.DUMMYFUNCTION("""COMPUTED_VALUE"""),"RIVADAVIA Daniel CM")</f>
        <v>RIVADAVIA Daniel CM</v>
      </c>
      <c r="F3630" s="1" t="str">
        <f t="shared" si="1"/>
        <v>RIVADAVIA </v>
      </c>
      <c r="G3630" s="1" t="str">
        <f t="shared" si="2"/>
        <v>Daniel CM</v>
      </c>
      <c r="H3630" s="1" t="str">
        <f>IFERROR(__xludf.DUMMYFUNCTION("""COMPUTED_VALUE"""),"23/3/2023, 17:00:00")</f>
        <v>23/3/2023, 17:00:00</v>
      </c>
      <c r="I3630" s="1" t="str">
        <f>IFERROR(__xludf.DUMMYFUNCTION("""COMPUTED_VALUE"""),"RETIRADO OK POR CLIENTE")</f>
        <v>RETIRADO OK POR CLIENTE</v>
      </c>
      <c r="J3630" s="1">
        <f t="shared" si="3"/>
        <v>6</v>
      </c>
      <c r="K3630" s="1" t="str">
        <f t="shared" si="4"/>
        <v>Entregamos tus lentes, que los disfrutes!</v>
      </c>
    </row>
    <row r="3631">
      <c r="A3631" s="1">
        <f>IFERROR(__xludf.DUMMYFUNCTION("""COMPUTED_VALUE"""),88176.0)</f>
        <v>88176</v>
      </c>
      <c r="B3631" s="5">
        <f>IFERROR(__xludf.DUMMYFUNCTION("""COMPUTED_VALUE"""),45002.830133553245)</f>
        <v>45002.83013</v>
      </c>
      <c r="C3631" s="1" t="str">
        <f>IFERROR(__xludf.DUMMYFUNCTION("""COMPUTED_VALUE"""),"ABDALA PIA ")</f>
        <v>ABDALA PIA </v>
      </c>
      <c r="D3631" s="1" t="str">
        <f>IFERROR(__xludf.DUMMYFUNCTION("""COMPUTED_VALUE"""),"Lentes de LABORATORIO")</f>
        <v>Lentes de LABORATORIO</v>
      </c>
      <c r="E3631" s="1" t="str">
        <f>IFERROR(__xludf.DUMMYFUNCTION("""COMPUTED_VALUE"""),"ARTIGAS Ivana P.")</f>
        <v>ARTIGAS Ivana P.</v>
      </c>
      <c r="F3631" s="1" t="str">
        <f t="shared" si="1"/>
        <v>ARTIGAS </v>
      </c>
      <c r="G3631" s="1" t="str">
        <f t="shared" si="2"/>
        <v>Ivana P.</v>
      </c>
      <c r="H3631" s="1" t="str">
        <f>IFERROR(__xludf.DUMMYFUNCTION("""COMPUTED_VALUE"""),"27/3/2023, 17:00:00")</f>
        <v>27/3/2023, 17:00:00</v>
      </c>
      <c r="I3631" s="1" t="str">
        <f>IFERROR(__xludf.DUMMYFUNCTION("""COMPUTED_VALUE"""),"RETIRADO OK POR CLIENTE")</f>
        <v>RETIRADO OK POR CLIENTE</v>
      </c>
      <c r="J3631" s="1">
        <f t="shared" si="3"/>
        <v>6</v>
      </c>
      <c r="K3631" s="1" t="str">
        <f t="shared" si="4"/>
        <v>Entregamos tus lentes, que los disfrutes!</v>
      </c>
    </row>
    <row r="3632">
      <c r="A3632" s="1">
        <f>IFERROR(__xludf.DUMMYFUNCTION("""COMPUTED_VALUE"""),88177.0)</f>
        <v>88177</v>
      </c>
      <c r="B3632" s="5">
        <f>IFERROR(__xludf.DUMMYFUNCTION("""COMPUTED_VALUE"""),45002.83476878473)</f>
        <v>45002.83477</v>
      </c>
      <c r="C3632" s="1" t="str">
        <f>IFERROR(__xludf.DUMMYFUNCTION("""COMPUTED_VALUE"""),"FUNES IRMA EVITA")</f>
        <v>FUNES IRMA EVITA</v>
      </c>
      <c r="D3632" s="1" t="str">
        <f>IFERROR(__xludf.DUMMYFUNCTION("""COMPUTED_VALUE"""),"Lentes BIFOCALES")</f>
        <v>Lentes BIFOCALES</v>
      </c>
      <c r="E3632" s="1" t="str">
        <f>IFERROR(__xludf.DUMMYFUNCTION("""COMPUTED_VALUE"""),"RIVADAVIA Christian C.")</f>
        <v>RIVADAVIA Christian C.</v>
      </c>
      <c r="F3632" s="1" t="str">
        <f t="shared" si="1"/>
        <v>RIVADAVIA </v>
      </c>
      <c r="G3632" s="1" t="str">
        <f t="shared" si="2"/>
        <v>Christian C.</v>
      </c>
      <c r="H3632" s="1" t="str">
        <f>IFERROR(__xludf.DUMMYFUNCTION("""COMPUTED_VALUE"""),"23/3/2023, 17:00:00")</f>
        <v>23/3/2023, 17:00:00</v>
      </c>
      <c r="I3632" s="1" t="str">
        <f>IFERROR(__xludf.DUMMYFUNCTION("""COMPUTED_VALUE"""),"Completado en SUCURSAL")</f>
        <v>Completado en SUCURSAL</v>
      </c>
      <c r="J3632" s="1">
        <f t="shared" si="3"/>
        <v>5</v>
      </c>
      <c r="K3632" s="1" t="str">
        <f t="shared" si="4"/>
        <v>Tus Lentes estan LISTAS PARA ENTREGAR, te esperamos.</v>
      </c>
    </row>
    <row r="3633">
      <c r="A3633" s="1">
        <f>IFERROR(__xludf.DUMMYFUNCTION("""COMPUTED_VALUE"""),88178.0)</f>
        <v>88178</v>
      </c>
      <c r="B3633" s="5">
        <f>IFERROR(__xludf.DUMMYFUNCTION("""COMPUTED_VALUE"""),45003.41056953704)</f>
        <v>45003.41057</v>
      </c>
      <c r="C3633" s="1" t="str">
        <f>IFERROR(__xludf.DUMMYFUNCTION("""COMPUTED_VALUE"""),"CERRUDO GUZMAN ISAAD")</f>
        <v>CERRUDO GUZMAN ISAAD</v>
      </c>
      <c r="D3633" s="1" t="str">
        <f>IFERROR(__xludf.DUMMYFUNCTION("""COMPUTED_VALUE"""),"Lentes BIFOCALES")</f>
        <v>Lentes BIFOCALES</v>
      </c>
      <c r="E3633" s="1" t="str">
        <f>IFERROR(__xludf.DUMMYFUNCTION("""COMPUTED_VALUE"""),"ARTIGAS Roció")</f>
        <v>ARTIGAS Roció</v>
      </c>
      <c r="F3633" s="1" t="str">
        <f t="shared" si="1"/>
        <v>ARTIGAS </v>
      </c>
      <c r="G3633" s="1" t="str">
        <f t="shared" si="2"/>
        <v>Roció</v>
      </c>
      <c r="H3633" s="1" t="str">
        <f>IFERROR(__xludf.DUMMYFUNCTION("""COMPUTED_VALUE"""),"23/3/2023, 17:00:00")</f>
        <v>23/3/2023, 17:00:00</v>
      </c>
      <c r="I3633" s="1" t="str">
        <f>IFERROR(__xludf.DUMMYFUNCTION("""COMPUTED_VALUE"""),"Completado en SUCURSAL")</f>
        <v>Completado en SUCURSAL</v>
      </c>
      <c r="J3633" s="1">
        <f t="shared" si="3"/>
        <v>5</v>
      </c>
      <c r="K3633" s="1" t="str">
        <f t="shared" si="4"/>
        <v>Tus Lentes estan LISTAS PARA ENTREGAR, te esperamos.</v>
      </c>
    </row>
    <row r="3634">
      <c r="A3634" s="1">
        <f>IFERROR(__xludf.DUMMYFUNCTION("""COMPUTED_VALUE"""),88179.0)</f>
        <v>88179</v>
      </c>
      <c r="B3634" s="5">
        <f>IFERROR(__xludf.DUMMYFUNCTION("""COMPUTED_VALUE"""),45003.415864270835)</f>
        <v>45003.41586</v>
      </c>
      <c r="C3634" s="1" t="str">
        <f>IFERROR(__xludf.DUMMYFUNCTION("""COMPUTED_VALUE"""),"rodriguez saa rosario")</f>
        <v>rodriguez saa rosario</v>
      </c>
      <c r="D3634" s="1" t="str">
        <f>IFERROR(__xludf.DUMMYFUNCTION("""COMPUTED_VALUE"""),"Lentes de STOCK")</f>
        <v>Lentes de STOCK</v>
      </c>
      <c r="E3634" s="1" t="str">
        <f>IFERROR(__xludf.DUMMYFUNCTION("""COMPUTED_VALUE"""),"RIVADAVIA Santiago N")</f>
        <v>RIVADAVIA Santiago N</v>
      </c>
      <c r="F3634" s="1" t="str">
        <f t="shared" si="1"/>
        <v>RIVADAVIA </v>
      </c>
      <c r="G3634" s="1" t="str">
        <f t="shared" si="2"/>
        <v>Santiago N</v>
      </c>
      <c r="H3634" s="1" t="str">
        <f>IFERROR(__xludf.DUMMYFUNCTION("""COMPUTED_VALUE"""),"20/3/2023, 17:00:00")</f>
        <v>20/3/2023, 17:00:00</v>
      </c>
      <c r="I3634" s="1" t="str">
        <f>IFERROR(__xludf.DUMMYFUNCTION("""COMPUTED_VALUE"""),"RETIRADO OK POR CLIENTE")</f>
        <v>RETIRADO OK POR CLIENTE</v>
      </c>
      <c r="J3634" s="1">
        <f t="shared" si="3"/>
        <v>6</v>
      </c>
      <c r="K3634" s="1" t="str">
        <f t="shared" si="4"/>
        <v>Entregamos tus lentes, que los disfrutes!</v>
      </c>
    </row>
    <row r="3635">
      <c r="A3635" s="1">
        <f>IFERROR(__xludf.DUMMYFUNCTION("""COMPUTED_VALUE"""),88180.0)</f>
        <v>88180</v>
      </c>
      <c r="B3635" s="5">
        <f>IFERROR(__xludf.DUMMYFUNCTION("""COMPUTED_VALUE"""),45003.41588373843)</f>
        <v>45003.41588</v>
      </c>
      <c r="C3635" s="1" t="str">
        <f>IFERROR(__xludf.DUMMYFUNCTION("""COMPUTED_VALUE"""),"ESCUDERO PAULINO NOLBERTO")</f>
        <v>ESCUDERO PAULINO NOLBERTO</v>
      </c>
      <c r="D3635" s="1" t="str">
        <f>IFERROR(__xludf.DUMMYFUNCTION("""COMPUTED_VALUE"""),"Lentes de STOCK")</f>
        <v>Lentes de STOCK</v>
      </c>
      <c r="E3635" s="1" t="str">
        <f>IFERROR(__xludf.DUMMYFUNCTION("""COMPUTED_VALUE"""),"ARTIGAS Roció")</f>
        <v>ARTIGAS Roció</v>
      </c>
      <c r="F3635" s="1" t="str">
        <f t="shared" si="1"/>
        <v>ARTIGAS </v>
      </c>
      <c r="G3635" s="1" t="str">
        <f t="shared" si="2"/>
        <v>Roció</v>
      </c>
      <c r="H3635" s="1" t="str">
        <f>IFERROR(__xludf.DUMMYFUNCTION("""COMPUTED_VALUE"""),"23/3/2023, 17:00:00")</f>
        <v>23/3/2023, 17:00:00</v>
      </c>
      <c r="I3635" s="1" t="str">
        <f>IFERROR(__xludf.DUMMYFUNCTION("""COMPUTED_VALUE"""),"Completado en SUCURSAL")</f>
        <v>Completado en SUCURSAL</v>
      </c>
      <c r="J3635" s="1">
        <f t="shared" si="3"/>
        <v>5</v>
      </c>
      <c r="K3635" s="1" t="str">
        <f t="shared" si="4"/>
        <v>Tus Lentes estan LISTAS PARA ENTREGAR, te esperamos.</v>
      </c>
    </row>
    <row r="3636">
      <c r="A3636" s="1">
        <f>IFERROR(__xludf.DUMMYFUNCTION("""COMPUTED_VALUE"""),88181.0)</f>
        <v>88181</v>
      </c>
      <c r="B3636" s="5">
        <f>IFERROR(__xludf.DUMMYFUNCTION("""COMPUTED_VALUE"""),45003.42204041667)</f>
        <v>45003.42204</v>
      </c>
      <c r="C3636" s="1" t="str">
        <f>IFERROR(__xludf.DUMMYFUNCTION("""COMPUTED_VALUE"""),"CABRERA LUIS ALBERTO")</f>
        <v>CABRERA LUIS ALBERTO</v>
      </c>
      <c r="D3636" s="1" t="str">
        <f>IFERROR(__xludf.DUMMYFUNCTION("""COMPUTED_VALUE"""),"Lentes de STOCK")</f>
        <v>Lentes de STOCK</v>
      </c>
      <c r="E3636" s="1" t="str">
        <f>IFERROR(__xludf.DUMMYFUNCTION("""COMPUTED_VALUE"""),"ARTIGAS Ivana P.")</f>
        <v>ARTIGAS Ivana P.</v>
      </c>
      <c r="F3636" s="1" t="str">
        <f t="shared" si="1"/>
        <v>ARTIGAS </v>
      </c>
      <c r="G3636" s="1" t="str">
        <f t="shared" si="2"/>
        <v>Ivana P.</v>
      </c>
      <c r="H3636" s="1" t="str">
        <f>IFERROR(__xludf.DUMMYFUNCTION("""COMPUTED_VALUE"""),"21/3/2023, 17:00:00")</f>
        <v>21/3/2023, 17:00:00</v>
      </c>
      <c r="I3636" s="1" t="str">
        <f>IFERROR(__xludf.DUMMYFUNCTION("""COMPUTED_VALUE"""),"Completado en SUCURSAL")</f>
        <v>Completado en SUCURSAL</v>
      </c>
      <c r="J3636" s="1">
        <f t="shared" si="3"/>
        <v>5</v>
      </c>
      <c r="K3636" s="1" t="str">
        <f t="shared" si="4"/>
        <v>Tus Lentes estan LISTAS PARA ENTREGAR, te esperamos.</v>
      </c>
    </row>
    <row r="3637">
      <c r="A3637" s="1">
        <f>IFERROR(__xludf.DUMMYFUNCTION("""COMPUTED_VALUE"""),88182.0)</f>
        <v>88182</v>
      </c>
      <c r="B3637" s="5">
        <f>IFERROR(__xludf.DUMMYFUNCTION("""COMPUTED_VALUE"""),45003.426495625)</f>
        <v>45003.4265</v>
      </c>
      <c r="C3637" s="1" t="str">
        <f>IFERROR(__xludf.DUMMYFUNCTION("""COMPUTED_VALUE"""),"barrica auria")</f>
        <v>barrica auria</v>
      </c>
      <c r="D3637" s="1" t="str">
        <f>IFERROR(__xludf.DUMMYFUNCTION("""COMPUTED_VALUE"""),"Lentes de LABORATORIO")</f>
        <v>Lentes de LABORATORIO</v>
      </c>
      <c r="E3637" s="1" t="str">
        <f>IFERROR(__xludf.DUMMYFUNCTION("""COMPUTED_VALUE"""),"RIVADAVIA Santiago N")</f>
        <v>RIVADAVIA Santiago N</v>
      </c>
      <c r="F3637" s="1" t="str">
        <f t="shared" si="1"/>
        <v>RIVADAVIA </v>
      </c>
      <c r="G3637" s="1" t="str">
        <f t="shared" si="2"/>
        <v>Santiago N</v>
      </c>
      <c r="H3637" s="1" t="str">
        <f>IFERROR(__xludf.DUMMYFUNCTION("""COMPUTED_VALUE"""),"28/3/2023, 17:00:00")</f>
        <v>28/3/2023, 17:00:00</v>
      </c>
      <c r="I3637" s="1" t="str">
        <f>IFERROR(__xludf.DUMMYFUNCTION("""COMPUTED_VALUE"""),"Completado en SUCURSAL")</f>
        <v>Completado en SUCURSAL</v>
      </c>
      <c r="J3637" s="1">
        <f t="shared" si="3"/>
        <v>5</v>
      </c>
      <c r="K3637" s="1" t="str">
        <f t="shared" si="4"/>
        <v>Tus Lentes estan LISTAS PARA ENTREGAR, te esperamos.</v>
      </c>
    </row>
    <row r="3638">
      <c r="A3638" s="1">
        <f>IFERROR(__xludf.DUMMYFUNCTION("""COMPUTED_VALUE"""),88183.0)</f>
        <v>88183</v>
      </c>
      <c r="B3638" s="5">
        <f>IFERROR(__xludf.DUMMYFUNCTION("""COMPUTED_VALUE"""),45003.430176319445)</f>
        <v>45003.43018</v>
      </c>
      <c r="C3638" s="1" t="str">
        <f>IFERROR(__xludf.DUMMYFUNCTION("""COMPUTED_VALUE"""),"PERASSI MEATEIZ MARGARITA ")</f>
        <v>PERASSI MEATEIZ MARGARITA </v>
      </c>
      <c r="D3638" s="1" t="str">
        <f>IFERROR(__xludf.DUMMYFUNCTION("""COMPUTED_VALUE"""),"Lentes BIFOCALES")</f>
        <v>Lentes BIFOCALES</v>
      </c>
      <c r="E3638" s="1" t="str">
        <f>IFERROR(__xludf.DUMMYFUNCTION("""COMPUTED_VALUE"""),"ARTIGAS Roció")</f>
        <v>ARTIGAS Roció</v>
      </c>
      <c r="F3638" s="1" t="str">
        <f t="shared" si="1"/>
        <v>ARTIGAS </v>
      </c>
      <c r="G3638" s="1" t="str">
        <f t="shared" si="2"/>
        <v>Roció</v>
      </c>
      <c r="H3638" s="1" t="str">
        <f>IFERROR(__xludf.DUMMYFUNCTION("""COMPUTED_VALUE"""),"27/3/2023, 17:00:00")</f>
        <v>27/3/2023, 17:00:00</v>
      </c>
      <c r="I3638" s="1" t="str">
        <f>IFERROR(__xludf.DUMMYFUNCTION("""COMPUTED_VALUE"""),"RETIRADO OK POR CLIENTE")</f>
        <v>RETIRADO OK POR CLIENTE</v>
      </c>
      <c r="J3638" s="1">
        <f t="shared" si="3"/>
        <v>6</v>
      </c>
      <c r="K3638" s="1" t="str">
        <f t="shared" si="4"/>
        <v>Entregamos tus lentes, que los disfrutes!</v>
      </c>
    </row>
    <row r="3639">
      <c r="A3639" s="1">
        <f>IFERROR(__xludf.DUMMYFUNCTION("""COMPUTED_VALUE"""),88184.0)</f>
        <v>88184</v>
      </c>
      <c r="B3639" s="5">
        <f>IFERROR(__xludf.DUMMYFUNCTION("""COMPUTED_VALUE"""),45003.44024866898)</f>
        <v>45003.44025</v>
      </c>
      <c r="C3639" s="1" t="str">
        <f>IFERROR(__xludf.DUMMYFUNCTION("""COMPUTED_VALUE"""),"ARTEAGA JOSE")</f>
        <v>ARTEAGA JOSE</v>
      </c>
      <c r="D3639" s="1" t="str">
        <f>IFERROR(__xludf.DUMMYFUNCTION("""COMPUTED_VALUE"""),"Lentes de STOCK")</f>
        <v>Lentes de STOCK</v>
      </c>
      <c r="E3639" s="1" t="str">
        <f>IFERROR(__xludf.DUMMYFUNCTION("""COMPUTED_VALUE"""),"ARTIGAS Ivana P.")</f>
        <v>ARTIGAS Ivana P.</v>
      </c>
      <c r="F3639" s="1" t="str">
        <f t="shared" si="1"/>
        <v>ARTIGAS </v>
      </c>
      <c r="G3639" s="1" t="str">
        <f t="shared" si="2"/>
        <v>Ivana P.</v>
      </c>
      <c r="H3639" s="1" t="str">
        <f>IFERROR(__xludf.DUMMYFUNCTION("""COMPUTED_VALUE"""),"22/3/2023, 17:00:00")</f>
        <v>22/3/2023, 17:00:00</v>
      </c>
      <c r="I3639" s="1" t="str">
        <f>IFERROR(__xludf.DUMMYFUNCTION("""COMPUTED_VALUE"""),"Completado en SUCURSAL")</f>
        <v>Completado en SUCURSAL</v>
      </c>
      <c r="J3639" s="1">
        <f t="shared" si="3"/>
        <v>5</v>
      </c>
      <c r="K3639" s="1" t="str">
        <f t="shared" si="4"/>
        <v>Tus Lentes estan LISTAS PARA ENTREGAR, te esperamos.</v>
      </c>
    </row>
    <row r="3640">
      <c r="A3640" s="1">
        <f>IFERROR(__xludf.DUMMYFUNCTION("""COMPUTED_VALUE"""),88185.0)</f>
        <v>88185</v>
      </c>
      <c r="B3640" s="5">
        <f>IFERROR(__xludf.DUMMYFUNCTION("""COMPUTED_VALUE"""),45003.44268960648)</f>
        <v>45003.44269</v>
      </c>
      <c r="C3640" s="1" t="str">
        <f>IFERROR(__xludf.DUMMYFUNCTION("""COMPUTED_VALUE"""),"ANDINO JUAN MANUEL ")</f>
        <v>ANDINO JUAN MANUEL </v>
      </c>
      <c r="D3640" s="1" t="str">
        <f>IFERROR(__xludf.DUMMYFUNCTION("""COMPUTED_VALUE"""),"Lentes de STOCK")</f>
        <v>Lentes de STOCK</v>
      </c>
      <c r="E3640" s="1" t="str">
        <f>IFERROR(__xludf.DUMMYFUNCTION("""COMPUTED_VALUE"""),"RIVADAVIA Christian C.")</f>
        <v>RIVADAVIA Christian C.</v>
      </c>
      <c r="F3640" s="1" t="str">
        <f t="shared" si="1"/>
        <v>RIVADAVIA </v>
      </c>
      <c r="G3640" s="1" t="str">
        <f t="shared" si="2"/>
        <v>Christian C.</v>
      </c>
      <c r="H3640" s="1" t="str">
        <f>IFERROR(__xludf.DUMMYFUNCTION("""COMPUTED_VALUE"""),"23/3/2023, 17:00:00")</f>
        <v>23/3/2023, 17:00:00</v>
      </c>
      <c r="I3640" s="1" t="str">
        <f>IFERROR(__xludf.DUMMYFUNCTION("""COMPUTED_VALUE"""),"Completado en SUCURSAL")</f>
        <v>Completado en SUCURSAL</v>
      </c>
      <c r="J3640" s="1">
        <f t="shared" si="3"/>
        <v>5</v>
      </c>
      <c r="K3640" s="1" t="str">
        <f t="shared" si="4"/>
        <v>Tus Lentes estan LISTAS PARA ENTREGAR, te esperamos.</v>
      </c>
    </row>
    <row r="3641">
      <c r="A3641" s="1">
        <f>IFERROR(__xludf.DUMMYFUNCTION("""COMPUTED_VALUE"""),88186.0)</f>
        <v>88186</v>
      </c>
      <c r="B3641" s="5">
        <f>IFERROR(__xludf.DUMMYFUNCTION("""COMPUTED_VALUE"""),45003.44999621528)</f>
        <v>45003.45</v>
      </c>
      <c r="C3641" s="1" t="str">
        <f>IFERROR(__xludf.DUMMYFUNCTION("""COMPUTED_VALUE"""),"SUAREZ GERONIMO ADOLFO")</f>
        <v>SUAREZ GERONIMO ADOLFO</v>
      </c>
      <c r="D3641" s="1" t="str">
        <f>IFERROR(__xludf.DUMMYFUNCTION("""COMPUTED_VALUE"""),"Lentes de STOCK")</f>
        <v>Lentes de STOCK</v>
      </c>
      <c r="E3641" s="1" t="str">
        <f>IFERROR(__xludf.DUMMYFUNCTION("""COMPUTED_VALUE"""),"ARTIGAS Roció")</f>
        <v>ARTIGAS Roció</v>
      </c>
      <c r="F3641" s="1" t="str">
        <f t="shared" si="1"/>
        <v>ARTIGAS </v>
      </c>
      <c r="G3641" s="1" t="str">
        <f t="shared" si="2"/>
        <v>Roció</v>
      </c>
      <c r="H3641" s="1" t="str">
        <f>IFERROR(__xludf.DUMMYFUNCTION("""COMPUTED_VALUE"""),"27/3/2023, 17:00:00")</f>
        <v>27/3/2023, 17:00:00</v>
      </c>
      <c r="I3641" s="1" t="str">
        <f>IFERROR(__xludf.DUMMYFUNCTION("""COMPUTED_VALUE"""),"RETIRADO OK POR CLIENTE")</f>
        <v>RETIRADO OK POR CLIENTE</v>
      </c>
      <c r="J3641" s="1">
        <f t="shared" si="3"/>
        <v>6</v>
      </c>
      <c r="K3641" s="1" t="str">
        <f t="shared" si="4"/>
        <v>Entregamos tus lentes, que los disfrutes!</v>
      </c>
    </row>
    <row r="3642">
      <c r="A3642" s="1">
        <f>IFERROR(__xludf.DUMMYFUNCTION("""COMPUTED_VALUE"""),88187.0)</f>
        <v>88187</v>
      </c>
      <c r="B3642" s="5">
        <f>IFERROR(__xludf.DUMMYFUNCTION("""COMPUTED_VALUE"""),45003.451087256944)</f>
        <v>45003.45109</v>
      </c>
      <c r="C3642" s="1" t="str">
        <f>IFERROR(__xludf.DUMMYFUNCTION("""COMPUTED_VALUE"""),"MUÑOZ MARIA")</f>
        <v>MUÑOZ MARIA</v>
      </c>
      <c r="D3642" s="1" t="str">
        <f>IFERROR(__xludf.DUMMYFUNCTION("""COMPUTED_VALUE"""),"Lentes de STOCK")</f>
        <v>Lentes de STOCK</v>
      </c>
      <c r="E3642" s="1" t="str">
        <f>IFERROR(__xludf.DUMMYFUNCTION("""COMPUTED_VALUE"""),"ARTIGAS Ivana P.")</f>
        <v>ARTIGAS Ivana P.</v>
      </c>
      <c r="F3642" s="1" t="str">
        <f t="shared" si="1"/>
        <v>ARTIGAS </v>
      </c>
      <c r="G3642" s="1" t="str">
        <f t="shared" si="2"/>
        <v>Ivana P.</v>
      </c>
      <c r="H3642" s="1" t="str">
        <f>IFERROR(__xludf.DUMMYFUNCTION("""COMPUTED_VALUE"""),"22/3/2023, 17:00:00")</f>
        <v>22/3/2023, 17:00:00</v>
      </c>
      <c r="I3642" s="1" t="str">
        <f>IFERROR(__xludf.DUMMYFUNCTION("""COMPUTED_VALUE"""),"Completado en SUCURSAL")</f>
        <v>Completado en SUCURSAL</v>
      </c>
      <c r="J3642" s="1">
        <f t="shared" si="3"/>
        <v>5</v>
      </c>
      <c r="K3642" s="1" t="str">
        <f t="shared" si="4"/>
        <v>Tus Lentes estan LISTAS PARA ENTREGAR, te esperamos.</v>
      </c>
    </row>
    <row r="3643">
      <c r="A3643" s="1">
        <f>IFERROR(__xludf.DUMMYFUNCTION("""COMPUTED_VALUE"""),88188.0)</f>
        <v>88188</v>
      </c>
      <c r="B3643" s="5">
        <f>IFERROR(__xludf.DUMMYFUNCTION("""COMPUTED_VALUE"""),45003.45623148148)</f>
        <v>45003.45623</v>
      </c>
      <c r="C3643" s="1" t="str">
        <f>IFERROR(__xludf.DUMMYFUNCTION("""COMPUTED_VALUE"""),"CRENA ANDREA")</f>
        <v>CRENA ANDREA</v>
      </c>
      <c r="D3643" s="1" t="str">
        <f>IFERROR(__xludf.DUMMYFUNCTION("""COMPUTED_VALUE"""),"Reparaciones/Otros")</f>
        <v>Reparaciones/Otros</v>
      </c>
      <c r="E3643" s="1" t="str">
        <f>IFERROR(__xludf.DUMMYFUNCTION("""COMPUTED_VALUE"""),"RIVADAVIA Santiago LOPEZ")</f>
        <v>RIVADAVIA Santiago LOPEZ</v>
      </c>
      <c r="F3643" s="1" t="str">
        <f t="shared" si="1"/>
        <v>RIVADAVIA </v>
      </c>
      <c r="G3643" s="1" t="str">
        <f t="shared" si="2"/>
        <v>Santiago LOPEZ</v>
      </c>
      <c r="H3643" s="1" t="str">
        <f>IFERROR(__xludf.DUMMYFUNCTION("""COMPUTED_VALUE"""),"20/3/2023, 17:00:00")</f>
        <v>20/3/2023, 17:00:00</v>
      </c>
      <c r="I3643" s="1" t="str">
        <f>IFERROR(__xludf.DUMMYFUNCTION("""COMPUTED_VALUE"""),"Completado en SUCURSAL")</f>
        <v>Completado en SUCURSAL</v>
      </c>
      <c r="J3643" s="1">
        <f t="shared" si="3"/>
        <v>5</v>
      </c>
      <c r="K3643" s="1" t="str">
        <f t="shared" si="4"/>
        <v>Tus Lentes estan LISTAS PARA ENTREGAR, te esperamos.</v>
      </c>
    </row>
    <row r="3644">
      <c r="A3644" s="1">
        <f>IFERROR(__xludf.DUMMYFUNCTION("""COMPUTED_VALUE"""),88189.0)</f>
        <v>88189</v>
      </c>
      <c r="B3644" s="5">
        <f>IFERROR(__xludf.DUMMYFUNCTION("""COMPUTED_VALUE"""),45003.458819050924)</f>
        <v>45003.45882</v>
      </c>
      <c r="C3644" s="1" t="str">
        <f>IFERROR(__xludf.DUMMYFUNCTION("""COMPUTED_VALUE"""),"BRACHO MARTIN")</f>
        <v>BRACHO MARTIN</v>
      </c>
      <c r="D3644" s="1" t="str">
        <f>IFERROR(__xludf.DUMMYFUNCTION("""COMPUTED_VALUE"""),"Lentes de STOCK")</f>
        <v>Lentes de STOCK</v>
      </c>
      <c r="E3644" s="1" t="str">
        <f>IFERROR(__xludf.DUMMYFUNCTION("""COMPUTED_VALUE"""),"ARTIGAS Roció")</f>
        <v>ARTIGAS Roció</v>
      </c>
      <c r="F3644" s="1" t="str">
        <f t="shared" si="1"/>
        <v>ARTIGAS </v>
      </c>
      <c r="G3644" s="1" t="str">
        <f t="shared" si="2"/>
        <v>Roció</v>
      </c>
      <c r="H3644" s="1" t="str">
        <f>IFERROR(__xludf.DUMMYFUNCTION("""COMPUTED_VALUE"""),"27/3/2023, 17:00:00")</f>
        <v>27/3/2023, 17:00:00</v>
      </c>
      <c r="I3644" s="1" t="str">
        <f>IFERROR(__xludf.DUMMYFUNCTION("""COMPUTED_VALUE"""),"RETIRADO OK POR CLIENTE")</f>
        <v>RETIRADO OK POR CLIENTE</v>
      </c>
      <c r="J3644" s="1">
        <f t="shared" si="3"/>
        <v>6</v>
      </c>
      <c r="K3644" s="1" t="str">
        <f t="shared" si="4"/>
        <v>Entregamos tus lentes, que los disfrutes!</v>
      </c>
    </row>
    <row r="3645">
      <c r="A3645" s="1">
        <f>IFERROR(__xludf.DUMMYFUNCTION("""COMPUTED_VALUE"""),88190.0)</f>
        <v>88190</v>
      </c>
      <c r="B3645" s="5">
        <f>IFERROR(__xludf.DUMMYFUNCTION("""COMPUTED_VALUE"""),45003.45946474537)</f>
        <v>45003.45946</v>
      </c>
      <c r="C3645" s="1" t="str">
        <f>IFERROR(__xludf.DUMMYFUNCTION("""COMPUTED_VALUE"""),"GARRO FAUSTINA")</f>
        <v>GARRO FAUSTINA</v>
      </c>
      <c r="D3645" s="1" t="str">
        <f>IFERROR(__xludf.DUMMYFUNCTION("""COMPUTED_VALUE"""),"Lentes de STOCK")</f>
        <v>Lentes de STOCK</v>
      </c>
      <c r="E3645" s="1" t="str">
        <f>IFERROR(__xludf.DUMMYFUNCTION("""COMPUTED_VALUE"""),"RIVADAVIA Christian C.")</f>
        <v>RIVADAVIA Christian C.</v>
      </c>
      <c r="F3645" s="1" t="str">
        <f t="shared" si="1"/>
        <v>RIVADAVIA </v>
      </c>
      <c r="G3645" s="1" t="str">
        <f t="shared" si="2"/>
        <v>Christian C.</v>
      </c>
      <c r="H3645" s="1" t="str">
        <f>IFERROR(__xludf.DUMMYFUNCTION("""COMPUTED_VALUE"""),"23/3/2023, 17:00:00")</f>
        <v>23/3/2023, 17:00:00</v>
      </c>
      <c r="I3645" s="1" t="str">
        <f>IFERROR(__xludf.DUMMYFUNCTION("""COMPUTED_VALUE"""),"RETIRADO OK POR CLIENTE")</f>
        <v>RETIRADO OK POR CLIENTE</v>
      </c>
      <c r="J3645" s="1">
        <f t="shared" si="3"/>
        <v>6</v>
      </c>
      <c r="K3645" s="1" t="str">
        <f t="shared" si="4"/>
        <v>Entregamos tus lentes, que los disfrutes!</v>
      </c>
    </row>
    <row r="3646">
      <c r="A3646" s="1">
        <f>IFERROR(__xludf.DUMMYFUNCTION("""COMPUTED_VALUE"""),88191.0)</f>
        <v>88191</v>
      </c>
      <c r="B3646" s="5">
        <f>IFERROR(__xludf.DUMMYFUNCTION("""COMPUTED_VALUE"""),45003.45954483796)</f>
        <v>45003.45954</v>
      </c>
      <c r="C3646" s="1" t="str">
        <f>IFERROR(__xludf.DUMMYFUNCTION("""COMPUTED_VALUE"""),"CUELLO HECTOR")</f>
        <v>CUELLO HECTOR</v>
      </c>
      <c r="D3646" s="1" t="str">
        <f>IFERROR(__xludf.DUMMYFUNCTION("""COMPUTED_VALUE"""),"Lentes de STOCK")</f>
        <v>Lentes de STOCK</v>
      </c>
      <c r="E3646" s="1" t="str">
        <f>IFERROR(__xludf.DUMMYFUNCTION("""COMPUTED_VALUE"""),"ARTIGAS Ivana P.")</f>
        <v>ARTIGAS Ivana P.</v>
      </c>
      <c r="F3646" s="1" t="str">
        <f t="shared" si="1"/>
        <v>ARTIGAS </v>
      </c>
      <c r="G3646" s="1" t="str">
        <f t="shared" si="2"/>
        <v>Ivana P.</v>
      </c>
      <c r="H3646" s="1" t="str">
        <f>IFERROR(__xludf.DUMMYFUNCTION("""COMPUTED_VALUE"""),"22/3/2023, 17:00:00")</f>
        <v>22/3/2023, 17:00:00</v>
      </c>
      <c r="I3646" s="1" t="str">
        <f>IFERROR(__xludf.DUMMYFUNCTION("""COMPUTED_VALUE"""),"Completado en SUCURSAL")</f>
        <v>Completado en SUCURSAL</v>
      </c>
      <c r="J3646" s="1">
        <f t="shared" si="3"/>
        <v>5</v>
      </c>
      <c r="K3646" s="1" t="str">
        <f t="shared" si="4"/>
        <v>Tus Lentes estan LISTAS PARA ENTREGAR, te esperamos.</v>
      </c>
    </row>
    <row r="3647">
      <c r="A3647" s="1">
        <f>IFERROR(__xludf.DUMMYFUNCTION("""COMPUTED_VALUE"""),88192.0)</f>
        <v>88192</v>
      </c>
      <c r="B3647" s="5">
        <f>IFERROR(__xludf.DUMMYFUNCTION("""COMPUTED_VALUE"""),45003.463527245374)</f>
        <v>45003.46353</v>
      </c>
      <c r="C3647" s="1" t="str">
        <f>IFERROR(__xludf.DUMMYFUNCTION("""COMPUTED_VALUE"""),"PEREYRA JULIO ANDRES ")</f>
        <v>PEREYRA JULIO ANDRES </v>
      </c>
      <c r="D3647" s="1" t="str">
        <f>IFERROR(__xludf.DUMMYFUNCTION("""COMPUTED_VALUE"""),"Lentes de STOCK")</f>
        <v>Lentes de STOCK</v>
      </c>
      <c r="E3647" s="1" t="str">
        <f>IFERROR(__xludf.DUMMYFUNCTION("""COMPUTED_VALUE"""),"ARTIGAS Roció")</f>
        <v>ARTIGAS Roció</v>
      </c>
      <c r="F3647" s="1" t="str">
        <f t="shared" si="1"/>
        <v>ARTIGAS </v>
      </c>
      <c r="G3647" s="1" t="str">
        <f t="shared" si="2"/>
        <v>Roció</v>
      </c>
      <c r="H3647" s="1" t="str">
        <f>IFERROR(__xludf.DUMMYFUNCTION("""COMPUTED_VALUE"""),"28/3/2023, 17:00:00")</f>
        <v>28/3/2023, 17:00:00</v>
      </c>
      <c r="I3647" s="1" t="str">
        <f>IFERROR(__xludf.DUMMYFUNCTION("""COMPUTED_VALUE"""),"RETIRADO OK POR CLIENTE")</f>
        <v>RETIRADO OK POR CLIENTE</v>
      </c>
      <c r="J3647" s="1">
        <f t="shared" si="3"/>
        <v>6</v>
      </c>
      <c r="K3647" s="1" t="str">
        <f t="shared" si="4"/>
        <v>Entregamos tus lentes, que los disfrutes!</v>
      </c>
    </row>
    <row r="3648">
      <c r="A3648" s="1">
        <f>IFERROR(__xludf.DUMMYFUNCTION("""COMPUTED_VALUE"""),88193.0)</f>
        <v>88193</v>
      </c>
      <c r="B3648" s="5">
        <f>IFERROR(__xludf.DUMMYFUNCTION("""COMPUTED_VALUE"""),45003.46762900463)</f>
        <v>45003.46763</v>
      </c>
      <c r="C3648" s="1" t="str">
        <f>IFERROR(__xludf.DUMMYFUNCTION("""COMPUTED_VALUE"""),"DIAZ MEDINA TIZIANA")</f>
        <v>DIAZ MEDINA TIZIANA</v>
      </c>
      <c r="D3648" s="1" t="str">
        <f>IFERROR(__xludf.DUMMYFUNCTION("""COMPUTED_VALUE"""),"Lentes de STOCK")</f>
        <v>Lentes de STOCK</v>
      </c>
      <c r="E3648" s="1" t="str">
        <f>IFERROR(__xludf.DUMMYFUNCTION("""COMPUTED_VALUE"""),"RIVADAVIA Christian C.")</f>
        <v>RIVADAVIA Christian C.</v>
      </c>
      <c r="F3648" s="1" t="str">
        <f t="shared" si="1"/>
        <v>RIVADAVIA </v>
      </c>
      <c r="G3648" s="1" t="str">
        <f t="shared" si="2"/>
        <v>Christian C.</v>
      </c>
      <c r="H3648" s="1" t="str">
        <f>IFERROR(__xludf.DUMMYFUNCTION("""COMPUTED_VALUE"""),"23/3/2023, 17:00:00")</f>
        <v>23/3/2023, 17:00:00</v>
      </c>
      <c r="I3648" s="1" t="str">
        <f>IFERROR(__xludf.DUMMYFUNCTION("""COMPUTED_VALUE"""),"Completado en SUCURSAL")</f>
        <v>Completado en SUCURSAL</v>
      </c>
      <c r="J3648" s="1">
        <f t="shared" si="3"/>
        <v>5</v>
      </c>
      <c r="K3648" s="1" t="str">
        <f t="shared" si="4"/>
        <v>Tus Lentes estan LISTAS PARA ENTREGAR, te esperamos.</v>
      </c>
    </row>
    <row r="3649">
      <c r="A3649" s="1">
        <f>IFERROR(__xludf.DUMMYFUNCTION("""COMPUTED_VALUE"""),88194.0)</f>
        <v>88194</v>
      </c>
      <c r="B3649" s="5">
        <f>IFERROR(__xludf.DUMMYFUNCTION("""COMPUTED_VALUE"""),45003.47005636574)</f>
        <v>45003.47006</v>
      </c>
      <c r="C3649" s="1" t="str">
        <f>IFERROR(__xludf.DUMMYFUNCTION("""COMPUTED_VALUE"""),"PALAVECINO ALVARO")</f>
        <v>PALAVECINO ALVARO</v>
      </c>
      <c r="D3649" s="1" t="str">
        <f>IFERROR(__xludf.DUMMYFUNCTION("""COMPUTED_VALUE"""),"Lentes de STOCK")</f>
        <v>Lentes de STOCK</v>
      </c>
      <c r="E3649" s="1" t="str">
        <f>IFERROR(__xludf.DUMMYFUNCTION("""COMPUTED_VALUE"""),"ARTIGAS Roció")</f>
        <v>ARTIGAS Roció</v>
      </c>
      <c r="F3649" s="1" t="str">
        <f t="shared" si="1"/>
        <v>ARTIGAS </v>
      </c>
      <c r="G3649" s="1" t="str">
        <f t="shared" si="2"/>
        <v>Roció</v>
      </c>
      <c r="H3649" s="1" t="str">
        <f>IFERROR(__xludf.DUMMYFUNCTION("""COMPUTED_VALUE"""),"23/3/2023, 17:00:00")</f>
        <v>23/3/2023, 17:00:00</v>
      </c>
      <c r="I3649" s="1" t="str">
        <f>IFERROR(__xludf.DUMMYFUNCTION("""COMPUTED_VALUE"""),"Completado en SUCURSAL")</f>
        <v>Completado en SUCURSAL</v>
      </c>
      <c r="J3649" s="1">
        <f t="shared" si="3"/>
        <v>5</v>
      </c>
      <c r="K3649" s="1" t="str">
        <f t="shared" si="4"/>
        <v>Tus Lentes estan LISTAS PARA ENTREGAR, te esperamos.</v>
      </c>
    </row>
    <row r="3650">
      <c r="A3650" s="1">
        <f>IFERROR(__xludf.DUMMYFUNCTION("""COMPUTED_VALUE"""),88195.0)</f>
        <v>88195</v>
      </c>
      <c r="B3650" s="5">
        <f>IFERROR(__xludf.DUMMYFUNCTION("""COMPUTED_VALUE"""),45003.472573657404)</f>
        <v>45003.47257</v>
      </c>
      <c r="C3650" s="1" t="str">
        <f>IFERROR(__xludf.DUMMYFUNCTION("""COMPUTED_VALUE"""),"ALCARAZ NELIO ORASMIN")</f>
        <v>ALCARAZ NELIO ORASMIN</v>
      </c>
      <c r="D3650" s="1" t="str">
        <f>IFERROR(__xludf.DUMMYFUNCTION("""COMPUTED_VALUE"""),"Lentes de STOCK")</f>
        <v>Lentes de STOCK</v>
      </c>
      <c r="E3650" s="1" t="str">
        <f>IFERROR(__xludf.DUMMYFUNCTION("""COMPUTED_VALUE"""),"ARTIGAS Roció")</f>
        <v>ARTIGAS Roció</v>
      </c>
      <c r="F3650" s="1" t="str">
        <f t="shared" si="1"/>
        <v>ARTIGAS </v>
      </c>
      <c r="G3650" s="1" t="str">
        <f t="shared" si="2"/>
        <v>Roció</v>
      </c>
      <c r="H3650" s="1" t="str">
        <f>IFERROR(__xludf.DUMMYFUNCTION("""COMPUTED_VALUE"""),"27/3/2023, 17:00:00")</f>
        <v>27/3/2023, 17:00:00</v>
      </c>
      <c r="I3650" s="1" t="str">
        <f>IFERROR(__xludf.DUMMYFUNCTION("""COMPUTED_VALUE"""),"RETIRADO OK POR CLIENTE")</f>
        <v>RETIRADO OK POR CLIENTE</v>
      </c>
      <c r="J3650" s="1">
        <f t="shared" si="3"/>
        <v>6</v>
      </c>
      <c r="K3650" s="1" t="str">
        <f t="shared" si="4"/>
        <v>Entregamos tus lentes, que los disfrutes!</v>
      </c>
    </row>
    <row r="3651">
      <c r="A3651" s="1">
        <f>IFERROR(__xludf.DUMMYFUNCTION("""COMPUTED_VALUE"""),88196.0)</f>
        <v>88196</v>
      </c>
      <c r="B3651" s="5">
        <f>IFERROR(__xludf.DUMMYFUNCTION("""COMPUTED_VALUE"""),45003.475663888894)</f>
        <v>45003.47566</v>
      </c>
      <c r="C3651" s="1" t="str">
        <f>IFERROR(__xludf.DUMMYFUNCTION("""COMPUTED_VALUE"""),"sosa silvana")</f>
        <v>sosa silvana</v>
      </c>
      <c r="D3651" s="1" t="str">
        <f>IFERROR(__xludf.DUMMYFUNCTION("""COMPUTED_VALUE"""),"Lentes de STOCK")</f>
        <v>Lentes de STOCK</v>
      </c>
      <c r="E3651" s="1" t="str">
        <f>IFERROR(__xludf.DUMMYFUNCTION("""COMPUTED_VALUE"""),"RIVADAVIA Santiago N")</f>
        <v>RIVADAVIA Santiago N</v>
      </c>
      <c r="F3651" s="1" t="str">
        <f t="shared" si="1"/>
        <v>RIVADAVIA </v>
      </c>
      <c r="G3651" s="1" t="str">
        <f t="shared" si="2"/>
        <v>Santiago N</v>
      </c>
      <c r="H3651" s="1" t="str">
        <f>IFERROR(__xludf.DUMMYFUNCTION("""COMPUTED_VALUE"""),"23/3/2023, 17:00:00")</f>
        <v>23/3/2023, 17:00:00</v>
      </c>
      <c r="I3651" s="1" t="str">
        <f>IFERROR(__xludf.DUMMYFUNCTION("""COMPUTED_VALUE"""),"Completado en SUCURSAL")</f>
        <v>Completado en SUCURSAL</v>
      </c>
      <c r="J3651" s="1">
        <f t="shared" si="3"/>
        <v>5</v>
      </c>
      <c r="K3651" s="1" t="str">
        <f t="shared" si="4"/>
        <v>Tus Lentes estan LISTAS PARA ENTREGAR, te esperamos.</v>
      </c>
    </row>
    <row r="3652">
      <c r="A3652" s="1">
        <f>IFERROR(__xludf.DUMMYFUNCTION("""COMPUTED_VALUE"""),88197.0)</f>
        <v>88197</v>
      </c>
      <c r="B3652" s="5">
        <f>IFERROR(__xludf.DUMMYFUNCTION("""COMPUTED_VALUE"""),45003.48765458333)</f>
        <v>45003.48765</v>
      </c>
      <c r="C3652" s="1" t="str">
        <f>IFERROR(__xludf.DUMMYFUNCTION("""COMPUTED_VALUE"""),"GALANTE NILDA BEATRIZ ")</f>
        <v>GALANTE NILDA BEATRIZ </v>
      </c>
      <c r="D3652" s="1" t="str">
        <f>IFERROR(__xludf.DUMMYFUNCTION("""COMPUTED_VALUE"""),"Lentes de STOCK")</f>
        <v>Lentes de STOCK</v>
      </c>
      <c r="E3652" s="1" t="str">
        <f>IFERROR(__xludf.DUMMYFUNCTION("""COMPUTED_VALUE"""),"RIVADAVIA Santiago N")</f>
        <v>RIVADAVIA Santiago N</v>
      </c>
      <c r="F3652" s="1" t="str">
        <f t="shared" si="1"/>
        <v>RIVADAVIA </v>
      </c>
      <c r="G3652" s="1" t="str">
        <f t="shared" si="2"/>
        <v>Santiago N</v>
      </c>
      <c r="H3652" s="1" t="str">
        <f>IFERROR(__xludf.DUMMYFUNCTION("""COMPUTED_VALUE"""),"21/3/2023, 17:00:00")</f>
        <v>21/3/2023, 17:00:00</v>
      </c>
      <c r="I3652" s="1" t="str">
        <f>IFERROR(__xludf.DUMMYFUNCTION("""COMPUTED_VALUE"""),"Completado en SUCURSAL")</f>
        <v>Completado en SUCURSAL</v>
      </c>
      <c r="J3652" s="1">
        <f t="shared" si="3"/>
        <v>5</v>
      </c>
      <c r="K3652" s="1" t="str">
        <f t="shared" si="4"/>
        <v>Tus Lentes estan LISTAS PARA ENTREGAR, te esperamos.</v>
      </c>
    </row>
    <row r="3653">
      <c r="A3653" s="1">
        <f>IFERROR(__xludf.DUMMYFUNCTION("""COMPUTED_VALUE"""),88198.0)</f>
        <v>88198</v>
      </c>
      <c r="B3653" s="5">
        <f>IFERROR(__xludf.DUMMYFUNCTION("""COMPUTED_VALUE"""),45003.49830409722)</f>
        <v>45003.4983</v>
      </c>
      <c r="C3653" s="1" t="str">
        <f>IFERROR(__xludf.DUMMYFUNCTION("""COMPUTED_VALUE"""),"Damico Sheila")</f>
        <v>Damico Sheila</v>
      </c>
      <c r="D3653" s="1" t="str">
        <f>IFERROR(__xludf.DUMMYFUNCTION("""COMPUTED_VALUE"""),"Reparaciones/Otros")</f>
        <v>Reparaciones/Otros</v>
      </c>
      <c r="E3653" s="1" t="str">
        <f>IFERROR(__xludf.DUMMYFUNCTION("""COMPUTED_VALUE"""),"ARTIGAS Sandra G")</f>
        <v>ARTIGAS Sandra G</v>
      </c>
      <c r="F3653" s="1" t="str">
        <f t="shared" si="1"/>
        <v>ARTIGAS </v>
      </c>
      <c r="G3653" s="1" t="str">
        <f t="shared" si="2"/>
        <v>Sandra G</v>
      </c>
      <c r="H3653" s="1" t="str">
        <f>IFERROR(__xludf.DUMMYFUNCTION("""COMPUTED_VALUE"""),"20/3/2023, 17:00:00")</f>
        <v>20/3/2023, 17:00:00</v>
      </c>
      <c r="I3653" s="1" t="str">
        <f>IFERROR(__xludf.DUMMYFUNCTION("""COMPUTED_VALUE"""),"Completado en SUCURSAL")</f>
        <v>Completado en SUCURSAL</v>
      </c>
      <c r="J3653" s="1">
        <f t="shared" si="3"/>
        <v>5</v>
      </c>
      <c r="K3653" s="1" t="str">
        <f t="shared" si="4"/>
        <v>Tus Lentes estan LISTAS PARA ENTREGAR, te esperamos.</v>
      </c>
    </row>
    <row r="3654">
      <c r="A3654" s="1">
        <f>IFERROR(__xludf.DUMMYFUNCTION("""COMPUTED_VALUE"""),88199.0)</f>
        <v>88199</v>
      </c>
      <c r="B3654" s="5">
        <f>IFERROR(__xludf.DUMMYFUNCTION("""COMPUTED_VALUE"""),45003.50214229166)</f>
        <v>45003.50214</v>
      </c>
      <c r="C3654" s="1" t="str">
        <f>IFERROR(__xludf.DUMMYFUNCTION("""COMPUTED_VALUE"""),"GATICA GLADYS CLARA")</f>
        <v>GATICA GLADYS CLARA</v>
      </c>
      <c r="D3654" s="1" t="str">
        <f>IFERROR(__xludf.DUMMYFUNCTION("""COMPUTED_VALUE"""),"Reparaciones/Otros")</f>
        <v>Reparaciones/Otros</v>
      </c>
      <c r="E3654" s="1" t="str">
        <f>IFERROR(__xludf.DUMMYFUNCTION("""COMPUTED_VALUE"""),"ARTIGAS Roció")</f>
        <v>ARTIGAS Roció</v>
      </c>
      <c r="F3654" s="1" t="str">
        <f t="shared" si="1"/>
        <v>ARTIGAS </v>
      </c>
      <c r="G3654" s="1" t="str">
        <f t="shared" si="2"/>
        <v>Roció</v>
      </c>
      <c r="H3654" s="1" t="str">
        <f>IFERROR(__xludf.DUMMYFUNCTION("""COMPUTED_VALUE"""),"21/3/2023, 17:00:00")</f>
        <v>21/3/2023, 17:00:00</v>
      </c>
      <c r="I3654" s="1" t="str">
        <f>IFERROR(__xludf.DUMMYFUNCTION("""COMPUTED_VALUE"""),"Completado en SUCURSAL")</f>
        <v>Completado en SUCURSAL</v>
      </c>
      <c r="J3654" s="1">
        <f t="shared" si="3"/>
        <v>5</v>
      </c>
      <c r="K3654" s="1" t="str">
        <f t="shared" si="4"/>
        <v>Tus Lentes estan LISTAS PARA ENTREGAR, te esperamos.</v>
      </c>
    </row>
    <row r="3655">
      <c r="A3655" s="1">
        <f>IFERROR(__xludf.DUMMYFUNCTION("""COMPUTED_VALUE"""),88200.0)</f>
        <v>88200</v>
      </c>
      <c r="B3655" s="5">
        <f>IFERROR(__xludf.DUMMYFUNCTION("""COMPUTED_VALUE"""),45003.510588969904)</f>
        <v>45003.51059</v>
      </c>
      <c r="C3655" s="1" t="str">
        <f>IFERROR(__xludf.DUMMYFUNCTION("""COMPUTED_VALUE"""),"LEDESMA GABRIELA")</f>
        <v>LEDESMA GABRIELA</v>
      </c>
      <c r="D3655" s="1" t="str">
        <f>IFERROR(__xludf.DUMMYFUNCTION("""COMPUTED_VALUE"""),"Lentes de STOCK")</f>
        <v>Lentes de STOCK</v>
      </c>
      <c r="E3655" s="1" t="str">
        <f>IFERROR(__xludf.DUMMYFUNCTION("""COMPUTED_VALUE"""),"ARTIGAS Ivana P.")</f>
        <v>ARTIGAS Ivana P.</v>
      </c>
      <c r="F3655" s="1" t="str">
        <f t="shared" si="1"/>
        <v>ARTIGAS </v>
      </c>
      <c r="G3655" s="1" t="str">
        <f t="shared" si="2"/>
        <v>Ivana P.</v>
      </c>
      <c r="H3655" s="1" t="str">
        <f>IFERROR(__xludf.DUMMYFUNCTION("""COMPUTED_VALUE"""),"23/3/2023, 17:00:00")</f>
        <v>23/3/2023, 17:00:00</v>
      </c>
      <c r="I3655" s="1" t="str">
        <f>IFERROR(__xludf.DUMMYFUNCTION("""COMPUTED_VALUE"""),"RETIRADO OK POR CLIENTE")</f>
        <v>RETIRADO OK POR CLIENTE</v>
      </c>
      <c r="J3655" s="1">
        <f t="shared" si="3"/>
        <v>6</v>
      </c>
      <c r="K3655" s="1" t="str">
        <f t="shared" si="4"/>
        <v>Entregamos tus lentes, que los disfrutes!</v>
      </c>
    </row>
    <row r="3656">
      <c r="A3656" s="1">
        <f>IFERROR(__xludf.DUMMYFUNCTION("""COMPUTED_VALUE"""),88201.0)</f>
        <v>88201</v>
      </c>
      <c r="B3656" s="5">
        <f>IFERROR(__xludf.DUMMYFUNCTION("""COMPUTED_VALUE"""),45003.52280199074)</f>
        <v>45003.5228</v>
      </c>
      <c r="C3656" s="1" t="str">
        <f>IFERROR(__xludf.DUMMYFUNCTION("""COMPUTED_VALUE"""),"SUAREZ MACARENA")</f>
        <v>SUAREZ MACARENA</v>
      </c>
      <c r="D3656" s="1" t="str">
        <f>IFERROR(__xludf.DUMMYFUNCTION("""COMPUTED_VALUE"""),"Lentes de STOCK")</f>
        <v>Lentes de STOCK</v>
      </c>
      <c r="E3656" s="1" t="str">
        <f>IFERROR(__xludf.DUMMYFUNCTION("""COMPUTED_VALUE"""),"ARTIGAS Ivana P.")</f>
        <v>ARTIGAS Ivana P.</v>
      </c>
      <c r="F3656" s="1" t="str">
        <f t="shared" si="1"/>
        <v>ARTIGAS </v>
      </c>
      <c r="G3656" s="1" t="str">
        <f t="shared" si="2"/>
        <v>Ivana P.</v>
      </c>
      <c r="H3656" s="1" t="str">
        <f>IFERROR(__xludf.DUMMYFUNCTION("""COMPUTED_VALUE"""),"23/3/2023, 17:00:00")</f>
        <v>23/3/2023, 17:00:00</v>
      </c>
      <c r="I3656" s="1" t="str">
        <f>IFERROR(__xludf.DUMMYFUNCTION("""COMPUTED_VALUE"""),"RETIRADO OK POR CLIENTE")</f>
        <v>RETIRADO OK POR CLIENTE</v>
      </c>
      <c r="J3656" s="1">
        <f t="shared" si="3"/>
        <v>6</v>
      </c>
      <c r="K3656" s="1" t="str">
        <f t="shared" si="4"/>
        <v>Entregamos tus lentes, que los disfrutes!</v>
      </c>
    </row>
    <row r="3657">
      <c r="A3657" s="1">
        <f>IFERROR(__xludf.DUMMYFUNCTION("""COMPUTED_VALUE"""),88202.0)</f>
        <v>88202</v>
      </c>
      <c r="B3657" s="5">
        <f>IFERROR(__xludf.DUMMYFUNCTION("""COMPUTED_VALUE"""),45003.523155428236)</f>
        <v>45003.52316</v>
      </c>
      <c r="C3657" s="1" t="str">
        <f>IFERROR(__xludf.DUMMYFUNCTION("""COMPUTED_VALUE"""),"GIMENEZ RICARDO JAVIER")</f>
        <v>GIMENEZ RICARDO JAVIER</v>
      </c>
      <c r="D3657" s="1" t="str">
        <f>IFERROR(__xludf.DUMMYFUNCTION("""COMPUTED_VALUE"""),"Lentes de STOCK")</f>
        <v>Lentes de STOCK</v>
      </c>
      <c r="E3657" s="1" t="str">
        <f>IFERROR(__xludf.DUMMYFUNCTION("""COMPUTED_VALUE"""),"RIVADAVIA Daniel CM")</f>
        <v>RIVADAVIA Daniel CM</v>
      </c>
      <c r="F3657" s="1" t="str">
        <f t="shared" si="1"/>
        <v>RIVADAVIA </v>
      </c>
      <c r="G3657" s="1" t="str">
        <f t="shared" si="2"/>
        <v>Daniel CM</v>
      </c>
      <c r="H3657" s="1" t="str">
        <f>IFERROR(__xludf.DUMMYFUNCTION("""COMPUTED_VALUE"""),"22/3/2023, 17:00:00")</f>
        <v>22/3/2023, 17:00:00</v>
      </c>
      <c r="I3657" s="1" t="str">
        <f>IFERROR(__xludf.DUMMYFUNCTION("""COMPUTED_VALUE"""),"Completado en SUCURSAL")</f>
        <v>Completado en SUCURSAL</v>
      </c>
      <c r="J3657" s="1">
        <f t="shared" si="3"/>
        <v>5</v>
      </c>
      <c r="K3657" s="1" t="str">
        <f t="shared" si="4"/>
        <v>Tus Lentes estan LISTAS PARA ENTREGAR, te esperamos.</v>
      </c>
    </row>
    <row r="3658">
      <c r="A3658" s="1">
        <f>IFERROR(__xludf.DUMMYFUNCTION("""COMPUTED_VALUE"""),88203.0)</f>
        <v>88203</v>
      </c>
      <c r="B3658" s="5">
        <f>IFERROR(__xludf.DUMMYFUNCTION("""COMPUTED_VALUE"""),45003.52339041667)</f>
        <v>45003.52339</v>
      </c>
      <c r="C3658" s="1" t="str">
        <f>IFERROR(__xludf.DUMMYFUNCTION("""COMPUTED_VALUE"""),"MIRANDA AGOSTINA")</f>
        <v>MIRANDA AGOSTINA</v>
      </c>
      <c r="D3658" s="1" t="str">
        <f>IFERROR(__xludf.DUMMYFUNCTION("""COMPUTED_VALUE"""),"Lentes de STOCK")</f>
        <v>Lentes de STOCK</v>
      </c>
      <c r="E3658" s="1" t="str">
        <f>IFERROR(__xludf.DUMMYFUNCTION("""COMPUTED_VALUE"""),"RIVADAVIA Christian C.")</f>
        <v>RIVADAVIA Christian C.</v>
      </c>
      <c r="F3658" s="1" t="str">
        <f t="shared" si="1"/>
        <v>RIVADAVIA </v>
      </c>
      <c r="G3658" s="1" t="str">
        <f t="shared" si="2"/>
        <v>Christian C.</v>
      </c>
      <c r="H3658" s="1" t="str">
        <f>IFERROR(__xludf.DUMMYFUNCTION("""COMPUTED_VALUE"""),"22/3/2023, 17:00:00")</f>
        <v>22/3/2023, 17:00:00</v>
      </c>
      <c r="I3658" s="1" t="str">
        <f>IFERROR(__xludf.DUMMYFUNCTION("""COMPUTED_VALUE"""),"Completado en SUCURSAL")</f>
        <v>Completado en SUCURSAL</v>
      </c>
      <c r="J3658" s="1">
        <f t="shared" si="3"/>
        <v>5</v>
      </c>
      <c r="K3658" s="1" t="str">
        <f t="shared" si="4"/>
        <v>Tus Lentes estan LISTAS PARA ENTREGAR, te esperamos.</v>
      </c>
    </row>
    <row r="3659">
      <c r="A3659" s="1">
        <f>IFERROR(__xludf.DUMMYFUNCTION("""COMPUTED_VALUE"""),88204.0)</f>
        <v>88204</v>
      </c>
      <c r="B3659" s="5">
        <f>IFERROR(__xludf.DUMMYFUNCTION("""COMPUTED_VALUE"""),45005.348980358795)</f>
        <v>45005.34898</v>
      </c>
      <c r="C3659" s="1" t="str">
        <f>IFERROR(__xludf.DUMMYFUNCTION("""COMPUTED_VALUE"""),"LUDUEÑA JUAN")</f>
        <v>LUDUEÑA JUAN</v>
      </c>
      <c r="D3659" s="1" t="str">
        <f>IFERROR(__xludf.DUMMYFUNCTION("""COMPUTED_VALUE"""),"Reparaciones/Otros")</f>
        <v>Reparaciones/Otros</v>
      </c>
      <c r="E3659" s="1" t="str">
        <f>IFERROR(__xludf.DUMMYFUNCTION("""COMPUTED_VALUE"""),"RIVADAVIA Marcela L")</f>
        <v>RIVADAVIA Marcela L</v>
      </c>
      <c r="F3659" s="1" t="str">
        <f t="shared" si="1"/>
        <v>RIVADAVIA </v>
      </c>
      <c r="G3659" s="1" t="str">
        <f t="shared" si="2"/>
        <v>Marcela L</v>
      </c>
      <c r="H3659" s="1" t="str">
        <f>IFERROR(__xludf.DUMMYFUNCTION("""COMPUTED_VALUE"""),"21/3/2023, 17:00:00")</f>
        <v>21/3/2023, 17:00:00</v>
      </c>
      <c r="I3659" s="1" t="str">
        <f>IFERROR(__xludf.DUMMYFUNCTION("""COMPUTED_VALUE"""),"Completado en SUCURSAL")</f>
        <v>Completado en SUCURSAL</v>
      </c>
      <c r="J3659" s="1">
        <f t="shared" si="3"/>
        <v>5</v>
      </c>
      <c r="K3659" s="1" t="str">
        <f t="shared" si="4"/>
        <v>Tus Lentes estan LISTAS PARA ENTREGAR, te esperamos.</v>
      </c>
    </row>
    <row r="3660">
      <c r="A3660" s="1">
        <f>IFERROR(__xludf.DUMMYFUNCTION("""COMPUTED_VALUE"""),88205.0)</f>
        <v>88205</v>
      </c>
      <c r="B3660" s="5">
        <f>IFERROR(__xludf.DUMMYFUNCTION("""COMPUTED_VALUE"""),45005.377423611106)</f>
        <v>45005.37742</v>
      </c>
      <c r="C3660" s="1" t="str">
        <f>IFERROR(__xludf.DUMMYFUNCTION("""COMPUTED_VALUE"""),"RAMIREZ MARIA BELEN")</f>
        <v>RAMIREZ MARIA BELEN</v>
      </c>
      <c r="D3660" s="1" t="str">
        <f>IFERROR(__xludf.DUMMYFUNCTION("""COMPUTED_VALUE"""),"Reparaciones/Otros")</f>
        <v>Reparaciones/Otros</v>
      </c>
      <c r="E3660" s="1" t="str">
        <f>IFERROR(__xludf.DUMMYFUNCTION("""COMPUTED_VALUE"""),"ARTIGAS Roció")</f>
        <v>ARTIGAS Roció</v>
      </c>
      <c r="F3660" s="1" t="str">
        <f t="shared" si="1"/>
        <v>ARTIGAS </v>
      </c>
      <c r="G3660" s="1" t="str">
        <f t="shared" si="2"/>
        <v>Roció</v>
      </c>
      <c r="H3660" s="1" t="str">
        <f>IFERROR(__xludf.DUMMYFUNCTION("""COMPUTED_VALUE"""),"21/3/2023, 17:00:00")</f>
        <v>21/3/2023, 17:00:00</v>
      </c>
      <c r="I3660" s="1" t="str">
        <f>IFERROR(__xludf.DUMMYFUNCTION("""COMPUTED_VALUE"""),"Completado en SUCURSAL")</f>
        <v>Completado en SUCURSAL</v>
      </c>
      <c r="J3660" s="1">
        <f t="shared" si="3"/>
        <v>5</v>
      </c>
      <c r="K3660" s="1" t="str">
        <f t="shared" si="4"/>
        <v>Tus Lentes estan LISTAS PARA ENTREGAR, te esperamos.</v>
      </c>
    </row>
    <row r="3661">
      <c r="A3661" s="1">
        <f>IFERROR(__xludf.DUMMYFUNCTION("""COMPUTED_VALUE"""),88206.0)</f>
        <v>88206</v>
      </c>
      <c r="B3661" s="5">
        <f>IFERROR(__xludf.DUMMYFUNCTION("""COMPUTED_VALUE"""),45005.387286365745)</f>
        <v>45005.38729</v>
      </c>
      <c r="C3661" s="1" t="str">
        <f>IFERROR(__xludf.DUMMYFUNCTION("""COMPUTED_VALUE"""),"JOFRE DAIANA")</f>
        <v>JOFRE DAIANA</v>
      </c>
      <c r="D3661" s="1" t="str">
        <f>IFERROR(__xludf.DUMMYFUNCTION("""COMPUTED_VALUE"""),"Lentes de STOCK")</f>
        <v>Lentes de STOCK</v>
      </c>
      <c r="E3661" s="1" t="str">
        <f>IFERROR(__xludf.DUMMYFUNCTION("""COMPUTED_VALUE"""),"ARTIGAS Ivana P.")</f>
        <v>ARTIGAS Ivana P.</v>
      </c>
      <c r="F3661" s="1" t="str">
        <f t="shared" si="1"/>
        <v>ARTIGAS </v>
      </c>
      <c r="G3661" s="1" t="str">
        <f t="shared" si="2"/>
        <v>Ivana P.</v>
      </c>
      <c r="H3661" s="1" t="str">
        <f>IFERROR(__xludf.DUMMYFUNCTION("""COMPUTED_VALUE"""),"23/3/2023, 17:00:00")</f>
        <v>23/3/2023, 17:00:00</v>
      </c>
      <c r="I3661" s="1" t="str">
        <f>IFERROR(__xludf.DUMMYFUNCTION("""COMPUTED_VALUE"""),"Completado en SUCURSAL")</f>
        <v>Completado en SUCURSAL</v>
      </c>
      <c r="J3661" s="1">
        <f t="shared" si="3"/>
        <v>5</v>
      </c>
      <c r="K3661" s="1" t="str">
        <f t="shared" si="4"/>
        <v>Tus Lentes estan LISTAS PARA ENTREGAR, te esperamos.</v>
      </c>
    </row>
    <row r="3662">
      <c r="A3662" s="1">
        <f>IFERROR(__xludf.DUMMYFUNCTION("""COMPUTED_VALUE"""),88207.0)</f>
        <v>88207</v>
      </c>
      <c r="B3662" s="5">
        <f>IFERROR(__xludf.DUMMYFUNCTION("""COMPUTED_VALUE"""),45005.3977778125)</f>
        <v>45005.39778</v>
      </c>
      <c r="C3662" s="1" t="str">
        <f>IFERROR(__xludf.DUMMYFUNCTION("""COMPUTED_VALUE"""),"DIAZ NELIDA")</f>
        <v>DIAZ NELIDA</v>
      </c>
      <c r="D3662" s="1" t="str">
        <f>IFERROR(__xludf.DUMMYFUNCTION("""COMPUTED_VALUE"""),"Reparaciones/Otros")</f>
        <v>Reparaciones/Otros</v>
      </c>
      <c r="E3662" s="1" t="str">
        <f>IFERROR(__xludf.DUMMYFUNCTION("""COMPUTED_VALUE"""),"ARTIGAS Ivana P.")</f>
        <v>ARTIGAS Ivana P.</v>
      </c>
      <c r="F3662" s="1" t="str">
        <f t="shared" si="1"/>
        <v>ARTIGAS </v>
      </c>
      <c r="G3662" s="1" t="str">
        <f t="shared" si="2"/>
        <v>Ivana P.</v>
      </c>
      <c r="H3662" s="1" t="str">
        <f>IFERROR(__xludf.DUMMYFUNCTION("""COMPUTED_VALUE"""),"21/3/2023, 17:00:00")</f>
        <v>21/3/2023, 17:00:00</v>
      </c>
      <c r="I3662" s="1" t="str">
        <f>IFERROR(__xludf.DUMMYFUNCTION("""COMPUTED_VALUE"""),"Completado en SUCURSAL")</f>
        <v>Completado en SUCURSAL</v>
      </c>
      <c r="J3662" s="1">
        <f t="shared" si="3"/>
        <v>5</v>
      </c>
      <c r="K3662" s="1" t="str">
        <f t="shared" si="4"/>
        <v>Tus Lentes estan LISTAS PARA ENTREGAR, te esperamos.</v>
      </c>
    </row>
    <row r="3663">
      <c r="A3663" s="1">
        <f>IFERROR(__xludf.DUMMYFUNCTION("""COMPUTED_VALUE"""),88208.0)</f>
        <v>88208</v>
      </c>
      <c r="B3663" s="5">
        <f>IFERROR(__xludf.DUMMYFUNCTION("""COMPUTED_VALUE"""),45005.40024153935)</f>
        <v>45005.40024</v>
      </c>
      <c r="C3663" s="1" t="str">
        <f>IFERROR(__xludf.DUMMYFUNCTION("""COMPUTED_VALUE"""),"MALDONADO SILVIA GLADYS")</f>
        <v>MALDONADO SILVIA GLADYS</v>
      </c>
      <c r="D3663" s="1" t="str">
        <f>IFERROR(__xludf.DUMMYFUNCTION("""COMPUTED_VALUE"""),"Reparaciones/Otros")</f>
        <v>Reparaciones/Otros</v>
      </c>
      <c r="E3663" s="1" t="str">
        <f>IFERROR(__xludf.DUMMYFUNCTION("""COMPUTED_VALUE"""),"RIVADAVIA Santiago N")</f>
        <v>RIVADAVIA Santiago N</v>
      </c>
      <c r="F3663" s="1" t="str">
        <f t="shared" si="1"/>
        <v>RIVADAVIA </v>
      </c>
      <c r="G3663" s="1" t="str">
        <f t="shared" si="2"/>
        <v>Santiago N</v>
      </c>
      <c r="H3663" s="1" t="str">
        <f>IFERROR(__xludf.DUMMYFUNCTION("""COMPUTED_VALUE"""),"21/3/2023, 17:00:00")</f>
        <v>21/3/2023, 17:00:00</v>
      </c>
      <c r="I3663" s="1" t="str">
        <f>IFERROR(__xludf.DUMMYFUNCTION("""COMPUTED_VALUE"""),"Completado en SUCURSAL")</f>
        <v>Completado en SUCURSAL</v>
      </c>
      <c r="J3663" s="1">
        <f t="shared" si="3"/>
        <v>5</v>
      </c>
      <c r="K3663" s="1" t="str">
        <f t="shared" si="4"/>
        <v>Tus Lentes estan LISTAS PARA ENTREGAR, te esperamos.</v>
      </c>
    </row>
    <row r="3664">
      <c r="A3664" s="1">
        <f>IFERROR(__xludf.DUMMYFUNCTION("""COMPUTED_VALUE"""),88209.0)</f>
        <v>88209</v>
      </c>
      <c r="B3664" s="5">
        <f>IFERROR(__xludf.DUMMYFUNCTION("""COMPUTED_VALUE"""),45005.40704332176)</f>
        <v>45005.40704</v>
      </c>
      <c r="C3664" s="1" t="str">
        <f>IFERROR(__xludf.DUMMYFUNCTION("""COMPUTED_VALUE"""),"VILLEGAS MIRTA")</f>
        <v>VILLEGAS MIRTA</v>
      </c>
      <c r="D3664" s="1" t="str">
        <f>IFERROR(__xludf.DUMMYFUNCTION("""COMPUTED_VALUE"""),"Lentes de STOCK")</f>
        <v>Lentes de STOCK</v>
      </c>
      <c r="E3664" s="1" t="str">
        <f>IFERROR(__xludf.DUMMYFUNCTION("""COMPUTED_VALUE"""),"ARTIGAS Ivana P.")</f>
        <v>ARTIGAS Ivana P.</v>
      </c>
      <c r="F3664" s="1" t="str">
        <f t="shared" si="1"/>
        <v>ARTIGAS </v>
      </c>
      <c r="G3664" s="1" t="str">
        <f t="shared" si="2"/>
        <v>Ivana P.</v>
      </c>
      <c r="H3664" s="1" t="str">
        <f>IFERROR(__xludf.DUMMYFUNCTION("""COMPUTED_VALUE"""),"23/3/2023, 17:00:00")</f>
        <v>23/3/2023, 17:00:00</v>
      </c>
      <c r="I3664" s="1" t="str">
        <f>IFERROR(__xludf.DUMMYFUNCTION("""COMPUTED_VALUE"""),"RETIRADO OK POR CLIENTE")</f>
        <v>RETIRADO OK POR CLIENTE</v>
      </c>
      <c r="J3664" s="1">
        <f t="shared" si="3"/>
        <v>6</v>
      </c>
      <c r="K3664" s="1" t="str">
        <f t="shared" si="4"/>
        <v>Entregamos tus lentes, que los disfrutes!</v>
      </c>
    </row>
    <row r="3665">
      <c r="A3665" s="1">
        <f>IFERROR(__xludf.DUMMYFUNCTION("""COMPUTED_VALUE"""),88210.0)</f>
        <v>88210</v>
      </c>
      <c r="B3665" s="5">
        <f>IFERROR(__xludf.DUMMYFUNCTION("""COMPUTED_VALUE"""),45005.407560312495)</f>
        <v>45005.40756</v>
      </c>
      <c r="C3665" s="1" t="str">
        <f>IFERROR(__xludf.DUMMYFUNCTION("""COMPUTED_VALUE"""),"OLGUIN MARTA")</f>
        <v>OLGUIN MARTA</v>
      </c>
      <c r="D3665" s="1" t="str">
        <f>IFERROR(__xludf.DUMMYFUNCTION("""COMPUTED_VALUE"""),"Reparaciones/Otros")</f>
        <v>Reparaciones/Otros</v>
      </c>
      <c r="E3665" s="1" t="str">
        <f>IFERROR(__xludf.DUMMYFUNCTION("""COMPUTED_VALUE"""),"ARTIGAS Roció")</f>
        <v>ARTIGAS Roció</v>
      </c>
      <c r="F3665" s="1" t="str">
        <f t="shared" si="1"/>
        <v>ARTIGAS </v>
      </c>
      <c r="G3665" s="1" t="str">
        <f t="shared" si="2"/>
        <v>Roció</v>
      </c>
      <c r="H3665" s="1" t="str">
        <f>IFERROR(__xludf.DUMMYFUNCTION("""COMPUTED_VALUE"""),"21/3/2023, 17:00:00")</f>
        <v>21/3/2023, 17:00:00</v>
      </c>
      <c r="I3665" s="1" t="str">
        <f>IFERROR(__xludf.DUMMYFUNCTION("""COMPUTED_VALUE"""),"Completado en SUCURSAL")</f>
        <v>Completado en SUCURSAL</v>
      </c>
      <c r="J3665" s="1">
        <f t="shared" si="3"/>
        <v>5</v>
      </c>
      <c r="K3665" s="1" t="str">
        <f t="shared" si="4"/>
        <v>Tus Lentes estan LISTAS PARA ENTREGAR, te esperamos.</v>
      </c>
    </row>
    <row r="3666">
      <c r="A3666" s="1">
        <f>IFERROR(__xludf.DUMMYFUNCTION("""COMPUTED_VALUE"""),88211.0)</f>
        <v>88211</v>
      </c>
      <c r="B3666" s="5">
        <f>IFERROR(__xludf.DUMMYFUNCTION("""COMPUTED_VALUE"""),45005.41565993056)</f>
        <v>45005.41566</v>
      </c>
      <c r="C3666" s="1" t="str">
        <f>IFERROR(__xludf.DUMMYFUNCTION("""COMPUTED_VALUE"""),"BOLIVAR REYNALDO")</f>
        <v>BOLIVAR REYNALDO</v>
      </c>
      <c r="D3666" s="1" t="str">
        <f>IFERROR(__xludf.DUMMYFUNCTION("""COMPUTED_VALUE"""),"Reparaciones/Otros")</f>
        <v>Reparaciones/Otros</v>
      </c>
      <c r="E3666" s="1" t="str">
        <f>IFERROR(__xludf.DUMMYFUNCTION("""COMPUTED_VALUE"""),"ARTIGAS Ivana P.")</f>
        <v>ARTIGAS Ivana P.</v>
      </c>
      <c r="F3666" s="1" t="str">
        <f t="shared" si="1"/>
        <v>ARTIGAS </v>
      </c>
      <c r="G3666" s="1" t="str">
        <f t="shared" si="2"/>
        <v>Ivana P.</v>
      </c>
      <c r="H3666" s="1" t="str">
        <f>IFERROR(__xludf.DUMMYFUNCTION("""COMPUTED_VALUE"""),"21/3/2023, 17:00:00")</f>
        <v>21/3/2023, 17:00:00</v>
      </c>
      <c r="I3666" s="1" t="str">
        <f>IFERROR(__xludf.DUMMYFUNCTION("""COMPUTED_VALUE"""),"Completado en SUCURSAL")</f>
        <v>Completado en SUCURSAL</v>
      </c>
      <c r="J3666" s="1">
        <f t="shared" si="3"/>
        <v>5</v>
      </c>
      <c r="K3666" s="1" t="str">
        <f t="shared" si="4"/>
        <v>Tus Lentes estan LISTAS PARA ENTREGAR, te esperamos.</v>
      </c>
    </row>
    <row r="3667">
      <c r="A3667" s="1">
        <f>IFERROR(__xludf.DUMMYFUNCTION("""COMPUTED_VALUE"""),88212.0)</f>
        <v>88212</v>
      </c>
      <c r="B3667" s="5">
        <f>IFERROR(__xludf.DUMMYFUNCTION("""COMPUTED_VALUE"""),45005.417861793976)</f>
        <v>45005.41786</v>
      </c>
      <c r="C3667" s="1" t="str">
        <f>IFERROR(__xludf.DUMMYFUNCTION("""COMPUTED_VALUE"""),"Calderon Susana")</f>
        <v>Calderon Susana</v>
      </c>
      <c r="D3667" s="1" t="str">
        <f>IFERROR(__xludf.DUMMYFUNCTION("""COMPUTED_VALUE"""),"Reparaciones/Otros")</f>
        <v>Reparaciones/Otros</v>
      </c>
      <c r="E3667" s="1" t="str">
        <f>IFERROR(__xludf.DUMMYFUNCTION("""COMPUTED_VALUE"""),"ARTIGAS Roció")</f>
        <v>ARTIGAS Roció</v>
      </c>
      <c r="F3667" s="1" t="str">
        <f t="shared" si="1"/>
        <v>ARTIGAS </v>
      </c>
      <c r="G3667" s="1" t="str">
        <f t="shared" si="2"/>
        <v>Roció</v>
      </c>
      <c r="H3667" s="1" t="str">
        <f>IFERROR(__xludf.DUMMYFUNCTION("""COMPUTED_VALUE"""),"21/3/2023, 17:00:00")</f>
        <v>21/3/2023, 17:00:00</v>
      </c>
      <c r="I3667" s="1" t="str">
        <f>IFERROR(__xludf.DUMMYFUNCTION("""COMPUTED_VALUE"""),"Completado en SUCURSAL")</f>
        <v>Completado en SUCURSAL</v>
      </c>
      <c r="J3667" s="1">
        <f t="shared" si="3"/>
        <v>5</v>
      </c>
      <c r="K3667" s="1" t="str">
        <f t="shared" si="4"/>
        <v>Tus Lentes estan LISTAS PARA ENTREGAR, te esperamos.</v>
      </c>
    </row>
    <row r="3668">
      <c r="A3668" s="1">
        <f>IFERROR(__xludf.DUMMYFUNCTION("""COMPUTED_VALUE"""),88213.0)</f>
        <v>88213</v>
      </c>
      <c r="B3668" s="5">
        <f>IFERROR(__xludf.DUMMYFUNCTION("""COMPUTED_VALUE"""),45005.42056383102)</f>
        <v>45005.42056</v>
      </c>
      <c r="C3668" s="1" t="str">
        <f>IFERROR(__xludf.DUMMYFUNCTION("""COMPUTED_VALUE"""),"PAEZ ROBERTO")</f>
        <v>PAEZ ROBERTO</v>
      </c>
      <c r="D3668" s="1" t="str">
        <f>IFERROR(__xludf.DUMMYFUNCTION("""COMPUTED_VALUE"""),"Lentes de STOCK")</f>
        <v>Lentes de STOCK</v>
      </c>
      <c r="E3668" s="1" t="str">
        <f>IFERROR(__xludf.DUMMYFUNCTION("""COMPUTED_VALUE"""),"RIVADAVIA Santiago LOPEZ")</f>
        <v>RIVADAVIA Santiago LOPEZ</v>
      </c>
      <c r="F3668" s="1" t="str">
        <f t="shared" si="1"/>
        <v>RIVADAVIA </v>
      </c>
      <c r="G3668" s="1" t="str">
        <f t="shared" si="2"/>
        <v>Santiago LOPEZ</v>
      </c>
      <c r="H3668" s="1" t="str">
        <f>IFERROR(__xludf.DUMMYFUNCTION("""COMPUTED_VALUE"""),"23/3/2023, 17:00:00")</f>
        <v>23/3/2023, 17:00:00</v>
      </c>
      <c r="I3668" s="1" t="str">
        <f>IFERROR(__xludf.DUMMYFUNCTION("""COMPUTED_VALUE"""),"Completado en SUCURSAL")</f>
        <v>Completado en SUCURSAL</v>
      </c>
      <c r="J3668" s="1">
        <f t="shared" si="3"/>
        <v>5</v>
      </c>
      <c r="K3668" s="1" t="str">
        <f t="shared" si="4"/>
        <v>Tus Lentes estan LISTAS PARA ENTREGAR, te esperamos.</v>
      </c>
    </row>
    <row r="3669">
      <c r="A3669" s="1">
        <f>IFERROR(__xludf.DUMMYFUNCTION("""COMPUTED_VALUE"""),88214.0)</f>
        <v>88214</v>
      </c>
      <c r="B3669" s="5">
        <f>IFERROR(__xludf.DUMMYFUNCTION("""COMPUTED_VALUE"""),45005.420792372686)</f>
        <v>45005.42079</v>
      </c>
      <c r="C3669" s="1" t="str">
        <f>IFERROR(__xludf.DUMMYFUNCTION("""COMPUTED_VALUE"""),"rezzano jose luis chelco")</f>
        <v>rezzano jose luis chelco</v>
      </c>
      <c r="D3669" s="1" t="str">
        <f>IFERROR(__xludf.DUMMYFUNCTION("""COMPUTED_VALUE"""),"Lentes MULTIFOCALES")</f>
        <v>Lentes MULTIFOCALES</v>
      </c>
      <c r="E3669" s="1" t="str">
        <f>IFERROR(__xludf.DUMMYFUNCTION("""COMPUTED_VALUE"""),"RIVADAVIA Santiago N")</f>
        <v>RIVADAVIA Santiago N</v>
      </c>
      <c r="F3669" s="1" t="str">
        <f t="shared" si="1"/>
        <v>RIVADAVIA </v>
      </c>
      <c r="G3669" s="1" t="str">
        <f t="shared" si="2"/>
        <v>Santiago N</v>
      </c>
      <c r="H3669" s="1" t="str">
        <f>IFERROR(__xludf.DUMMYFUNCTION("""COMPUTED_VALUE"""),"3/4/2023, 17:00:00")</f>
        <v>3/4/2023, 17:00:00</v>
      </c>
      <c r="I3669" s="1" t="str">
        <f>IFERROR(__xludf.DUMMYFUNCTION("""COMPUTED_VALUE"""),"Completado en SUCURSAL")</f>
        <v>Completado en SUCURSAL</v>
      </c>
      <c r="J3669" s="1">
        <f t="shared" si="3"/>
        <v>5</v>
      </c>
      <c r="K3669" s="1" t="str">
        <f t="shared" si="4"/>
        <v>Tus Lentes estan LISTAS PARA ENTREGAR, te esperamos.</v>
      </c>
    </row>
    <row r="3670">
      <c r="A3670" s="1">
        <f>IFERROR(__xludf.DUMMYFUNCTION("""COMPUTED_VALUE"""),88215.0)</f>
        <v>88215</v>
      </c>
      <c r="B3670" s="5">
        <f>IFERROR(__xludf.DUMMYFUNCTION("""COMPUTED_VALUE"""),45005.42191612269)</f>
        <v>45005.42192</v>
      </c>
      <c r="C3670" s="1" t="str">
        <f>IFERROR(__xludf.DUMMYFUNCTION("""COMPUTED_VALUE"""),"CASTILLO CARMEN")</f>
        <v>CASTILLO CARMEN</v>
      </c>
      <c r="D3670" s="1" t="str">
        <f>IFERROR(__xludf.DUMMYFUNCTION("""COMPUTED_VALUE"""),"Lentes de STOCK")</f>
        <v>Lentes de STOCK</v>
      </c>
      <c r="E3670" s="1" t="str">
        <f>IFERROR(__xludf.DUMMYFUNCTION("""COMPUTED_VALUE"""),"ARTIGAS Ivana P.")</f>
        <v>ARTIGAS Ivana P.</v>
      </c>
      <c r="F3670" s="1" t="str">
        <f t="shared" si="1"/>
        <v>ARTIGAS </v>
      </c>
      <c r="G3670" s="1" t="str">
        <f t="shared" si="2"/>
        <v>Ivana P.</v>
      </c>
      <c r="H3670" s="1" t="str">
        <f>IFERROR(__xludf.DUMMYFUNCTION("""COMPUTED_VALUE"""),"23/3/2023, 17:00:00")</f>
        <v>23/3/2023, 17:00:00</v>
      </c>
      <c r="I3670" s="1" t="str">
        <f>IFERROR(__xludf.DUMMYFUNCTION("""COMPUTED_VALUE"""),"RETIRADO OK POR CLIENTE")</f>
        <v>RETIRADO OK POR CLIENTE</v>
      </c>
      <c r="J3670" s="1">
        <f t="shared" si="3"/>
        <v>6</v>
      </c>
      <c r="K3670" s="1" t="str">
        <f t="shared" si="4"/>
        <v>Entregamos tus lentes, que los disfrutes!</v>
      </c>
    </row>
    <row r="3671">
      <c r="A3671" s="1">
        <f>IFERROR(__xludf.DUMMYFUNCTION("""COMPUTED_VALUE"""),88216.0)</f>
        <v>88216</v>
      </c>
      <c r="B3671" s="5">
        <f>IFERROR(__xludf.DUMMYFUNCTION("""COMPUTED_VALUE"""),45005.42470369213)</f>
        <v>45005.4247</v>
      </c>
      <c r="C3671" s="1" t="str">
        <f>IFERROR(__xludf.DUMMYFUNCTION("""COMPUTED_VALUE"""),"BETULAR DORA LYDIA")</f>
        <v>BETULAR DORA LYDIA</v>
      </c>
      <c r="D3671" s="1" t="str">
        <f>IFERROR(__xludf.DUMMYFUNCTION("""COMPUTED_VALUE"""),"Lentes de STOCK")</f>
        <v>Lentes de STOCK</v>
      </c>
      <c r="E3671" s="1" t="str">
        <f>IFERROR(__xludf.DUMMYFUNCTION("""COMPUTED_VALUE"""),"ARTIGAS Roció")</f>
        <v>ARTIGAS Roció</v>
      </c>
      <c r="F3671" s="1" t="str">
        <f t="shared" si="1"/>
        <v>ARTIGAS </v>
      </c>
      <c r="G3671" s="1" t="str">
        <f t="shared" si="2"/>
        <v>Roció</v>
      </c>
      <c r="H3671" s="1" t="str">
        <f>IFERROR(__xludf.DUMMYFUNCTION("""COMPUTED_VALUE"""),"27/3/2023, 17:00:00")</f>
        <v>27/3/2023, 17:00:00</v>
      </c>
      <c r="I3671" s="1" t="str">
        <f>IFERROR(__xludf.DUMMYFUNCTION("""COMPUTED_VALUE"""),"RETIRADO OK POR CLIENTE")</f>
        <v>RETIRADO OK POR CLIENTE</v>
      </c>
      <c r="J3671" s="1">
        <f t="shared" si="3"/>
        <v>6</v>
      </c>
      <c r="K3671" s="1" t="str">
        <f t="shared" si="4"/>
        <v>Entregamos tus lentes, que los disfrutes!</v>
      </c>
    </row>
    <row r="3672">
      <c r="A3672" s="1">
        <f>IFERROR(__xludf.DUMMYFUNCTION("""COMPUTED_VALUE"""),88217.0)</f>
        <v>88217</v>
      </c>
      <c r="B3672" s="5">
        <f>IFERROR(__xludf.DUMMYFUNCTION("""COMPUTED_VALUE"""),45005.42621655093)</f>
        <v>45005.42622</v>
      </c>
      <c r="C3672" s="1" t="str">
        <f>IFERROR(__xludf.DUMMYFUNCTION("""COMPUTED_VALUE"""),"Lopez Micaela")</f>
        <v>Lopez Micaela</v>
      </c>
      <c r="D3672" s="1" t="str">
        <f>IFERROR(__xludf.DUMMYFUNCTION("""COMPUTED_VALUE"""),"Reparaciones/Otros")</f>
        <v>Reparaciones/Otros</v>
      </c>
      <c r="E3672" s="1" t="str">
        <f>IFERROR(__xludf.DUMMYFUNCTION("""COMPUTED_VALUE"""),"ARTIGAS Sandra G")</f>
        <v>ARTIGAS Sandra G</v>
      </c>
      <c r="F3672" s="1" t="str">
        <f t="shared" si="1"/>
        <v>ARTIGAS </v>
      </c>
      <c r="G3672" s="1" t="str">
        <f t="shared" si="2"/>
        <v>Sandra G</v>
      </c>
      <c r="H3672" s="1" t="str">
        <f>IFERROR(__xludf.DUMMYFUNCTION("""COMPUTED_VALUE"""),"21/3/2023, 17:00:00")</f>
        <v>21/3/2023, 17:00:00</v>
      </c>
      <c r="I3672" s="1" t="str">
        <f>IFERROR(__xludf.DUMMYFUNCTION("""COMPUTED_VALUE"""),"Completado en SUCURSAL")</f>
        <v>Completado en SUCURSAL</v>
      </c>
      <c r="J3672" s="1">
        <f t="shared" si="3"/>
        <v>5</v>
      </c>
      <c r="K3672" s="1" t="str">
        <f t="shared" si="4"/>
        <v>Tus Lentes estan LISTAS PARA ENTREGAR, te esperamos.</v>
      </c>
    </row>
    <row r="3673">
      <c r="A3673" s="1">
        <f>IFERROR(__xludf.DUMMYFUNCTION("""COMPUTED_VALUE"""),88218.0)</f>
        <v>88218</v>
      </c>
      <c r="B3673" s="5">
        <f>IFERROR(__xludf.DUMMYFUNCTION("""COMPUTED_VALUE"""),45005.42794893519)</f>
        <v>45005.42795</v>
      </c>
      <c r="C3673" s="1" t="str">
        <f>IFERROR(__xludf.DUMMYFUNCTION("""COMPUTED_VALUE"""),"CALDERON ESUSTAQUIA")</f>
        <v>CALDERON ESUSTAQUIA</v>
      </c>
      <c r="D3673" s="1" t="str">
        <f>IFERROR(__xludf.DUMMYFUNCTION("""COMPUTED_VALUE"""),"Lentes de STOCK")</f>
        <v>Lentes de STOCK</v>
      </c>
      <c r="E3673" s="1" t="str">
        <f>IFERROR(__xludf.DUMMYFUNCTION("""COMPUTED_VALUE"""),"ARTIGAS Ivana P.")</f>
        <v>ARTIGAS Ivana P.</v>
      </c>
      <c r="F3673" s="1" t="str">
        <f t="shared" si="1"/>
        <v>ARTIGAS </v>
      </c>
      <c r="G3673" s="1" t="str">
        <f t="shared" si="2"/>
        <v>Ivana P.</v>
      </c>
      <c r="H3673" s="1" t="str">
        <f>IFERROR(__xludf.DUMMYFUNCTION("""COMPUTED_VALUE"""),"22/3/2023, 17:00:00")</f>
        <v>22/3/2023, 17:00:00</v>
      </c>
      <c r="I3673" s="1" t="str">
        <f>IFERROR(__xludf.DUMMYFUNCTION("""COMPUTED_VALUE"""),"Completado en SUCURSAL")</f>
        <v>Completado en SUCURSAL</v>
      </c>
      <c r="J3673" s="1">
        <f t="shared" si="3"/>
        <v>5</v>
      </c>
      <c r="K3673" s="1" t="str">
        <f t="shared" si="4"/>
        <v>Tus Lentes estan LISTAS PARA ENTREGAR, te esperamos.</v>
      </c>
    </row>
    <row r="3674">
      <c r="A3674" s="1">
        <f>IFERROR(__xludf.DUMMYFUNCTION("""COMPUTED_VALUE"""),88219.0)</f>
        <v>88219</v>
      </c>
      <c r="B3674" s="5">
        <f>IFERROR(__xludf.DUMMYFUNCTION("""COMPUTED_VALUE"""),45005.43374216435)</f>
        <v>45005.43374</v>
      </c>
      <c r="C3674" s="1" t="str">
        <f>IFERROR(__xludf.DUMMYFUNCTION("""COMPUTED_VALUE"""),"ESCUDERO MARIA")</f>
        <v>ESCUDERO MARIA</v>
      </c>
      <c r="D3674" s="1" t="str">
        <f>IFERROR(__xludf.DUMMYFUNCTION("""COMPUTED_VALUE"""),"Lentes de STOCK")</f>
        <v>Lentes de STOCK</v>
      </c>
      <c r="E3674" s="1" t="str">
        <f>IFERROR(__xludf.DUMMYFUNCTION("""COMPUTED_VALUE"""),"ARTIGAS Ivana P.")</f>
        <v>ARTIGAS Ivana P.</v>
      </c>
      <c r="F3674" s="1" t="str">
        <f t="shared" si="1"/>
        <v>ARTIGAS </v>
      </c>
      <c r="G3674" s="1" t="str">
        <f t="shared" si="2"/>
        <v>Ivana P.</v>
      </c>
      <c r="H3674" s="1" t="str">
        <f>IFERROR(__xludf.DUMMYFUNCTION("""COMPUTED_VALUE"""),"23/3/2023, 17:00:00")</f>
        <v>23/3/2023, 17:00:00</v>
      </c>
      <c r="I3674" s="1" t="str">
        <f>IFERROR(__xludf.DUMMYFUNCTION("""COMPUTED_VALUE"""),"Recibido en Laboratorio")</f>
        <v>Recibido en Laboratorio</v>
      </c>
      <c r="J3674" s="1">
        <f t="shared" si="3"/>
        <v>2</v>
      </c>
      <c r="K3674" s="1" t="str">
        <f t="shared" si="4"/>
        <v>Nuestro Laboratorio esta trabajando en tus lentes, los entregaremos en la fecha acordada.</v>
      </c>
    </row>
    <row r="3675">
      <c r="A3675" s="1">
        <f>IFERROR(__xludf.DUMMYFUNCTION("""COMPUTED_VALUE"""),88220.0)</f>
        <v>88220</v>
      </c>
      <c r="B3675" s="5">
        <f>IFERROR(__xludf.DUMMYFUNCTION("""COMPUTED_VALUE"""),45005.44646203704)</f>
        <v>45005.44646</v>
      </c>
      <c r="C3675" s="1" t="str">
        <f>IFERROR(__xludf.DUMMYFUNCTION("""COMPUTED_VALUE"""),"MEDINA ALBERTO ANTONIO")</f>
        <v>MEDINA ALBERTO ANTONIO</v>
      </c>
      <c r="D3675" s="1" t="str">
        <f>IFERROR(__xludf.DUMMYFUNCTION("""COMPUTED_VALUE"""),"Lentes de STOCK")</f>
        <v>Lentes de STOCK</v>
      </c>
      <c r="E3675" s="1" t="str">
        <f>IFERROR(__xludf.DUMMYFUNCTION("""COMPUTED_VALUE"""),"ARTIGAS Roció")</f>
        <v>ARTIGAS Roció</v>
      </c>
      <c r="F3675" s="1" t="str">
        <f t="shared" si="1"/>
        <v>ARTIGAS </v>
      </c>
      <c r="G3675" s="1" t="str">
        <f t="shared" si="2"/>
        <v>Roció</v>
      </c>
      <c r="H3675" s="1" t="str">
        <f>IFERROR(__xludf.DUMMYFUNCTION("""COMPUTED_VALUE"""),"27/3/2023, 17:00:00")</f>
        <v>27/3/2023, 17:00:00</v>
      </c>
      <c r="I3675" s="1" t="str">
        <f>IFERROR(__xludf.DUMMYFUNCTION("""COMPUTED_VALUE"""),"RETIRADO OK POR CLIENTE")</f>
        <v>RETIRADO OK POR CLIENTE</v>
      </c>
      <c r="J3675" s="1">
        <f t="shared" si="3"/>
        <v>6</v>
      </c>
      <c r="K3675" s="1" t="str">
        <f t="shared" si="4"/>
        <v>Entregamos tus lentes, que los disfrutes!</v>
      </c>
    </row>
    <row r="3676">
      <c r="A3676" s="1">
        <f>IFERROR(__xludf.DUMMYFUNCTION("""COMPUTED_VALUE"""),88221.0)</f>
        <v>88221</v>
      </c>
      <c r="B3676" s="5">
        <f>IFERROR(__xludf.DUMMYFUNCTION("""COMPUTED_VALUE"""),45005.44868717593)</f>
        <v>45005.44869</v>
      </c>
      <c r="C3676" s="1" t="str">
        <f>IFERROR(__xludf.DUMMYFUNCTION("""COMPUTED_VALUE"""),"UYUQUIPA LIDIA")</f>
        <v>UYUQUIPA LIDIA</v>
      </c>
      <c r="D3676" s="1" t="str">
        <f>IFERROR(__xludf.DUMMYFUNCTION("""COMPUTED_VALUE"""),"Lentes de STOCK")</f>
        <v>Lentes de STOCK</v>
      </c>
      <c r="E3676" s="1" t="str">
        <f>IFERROR(__xludf.DUMMYFUNCTION("""COMPUTED_VALUE"""),"ARTIGAS Ivana P.")</f>
        <v>ARTIGAS Ivana P.</v>
      </c>
      <c r="F3676" s="1" t="str">
        <f t="shared" si="1"/>
        <v>ARTIGAS </v>
      </c>
      <c r="G3676" s="1" t="str">
        <f t="shared" si="2"/>
        <v>Ivana P.</v>
      </c>
      <c r="H3676" s="1" t="str">
        <f>IFERROR(__xludf.DUMMYFUNCTION("""COMPUTED_VALUE"""),"23/3/2023, 17:00:00")</f>
        <v>23/3/2023, 17:00:00</v>
      </c>
      <c r="I3676" s="1" t="str">
        <f>IFERROR(__xludf.DUMMYFUNCTION("""COMPUTED_VALUE"""),"RETIRADO OK POR CLIENTE")</f>
        <v>RETIRADO OK POR CLIENTE</v>
      </c>
      <c r="J3676" s="1">
        <f t="shared" si="3"/>
        <v>6</v>
      </c>
      <c r="K3676" s="1" t="str">
        <f t="shared" si="4"/>
        <v>Entregamos tus lentes, que los disfrutes!</v>
      </c>
    </row>
    <row r="3677">
      <c r="A3677" s="1">
        <f>IFERROR(__xludf.DUMMYFUNCTION("""COMPUTED_VALUE"""),88222.0)</f>
        <v>88222</v>
      </c>
      <c r="B3677" s="5">
        <f>IFERROR(__xludf.DUMMYFUNCTION("""COMPUTED_VALUE"""),45005.453348668976)</f>
        <v>45005.45335</v>
      </c>
      <c r="C3677" s="1" t="str">
        <f>IFERROR(__xludf.DUMMYFUNCTION("""COMPUTED_VALUE"""),"ANDAN CARLOS ROGELIO")</f>
        <v>ANDAN CARLOS ROGELIO</v>
      </c>
      <c r="D3677" s="1" t="str">
        <f>IFERROR(__xludf.DUMMYFUNCTION("""COMPUTED_VALUE"""),"Lentes de STOCK")</f>
        <v>Lentes de STOCK</v>
      </c>
      <c r="E3677" s="1" t="str">
        <f>IFERROR(__xludf.DUMMYFUNCTION("""COMPUTED_VALUE"""),"ARTIGAS Roció")</f>
        <v>ARTIGAS Roció</v>
      </c>
      <c r="F3677" s="1" t="str">
        <f t="shared" si="1"/>
        <v>ARTIGAS </v>
      </c>
      <c r="G3677" s="1" t="str">
        <f t="shared" si="2"/>
        <v>Roció</v>
      </c>
      <c r="H3677" s="1" t="str">
        <f>IFERROR(__xludf.DUMMYFUNCTION("""COMPUTED_VALUE"""),"27/3/2023, 17:00:00")</f>
        <v>27/3/2023, 17:00:00</v>
      </c>
      <c r="I3677" s="1" t="str">
        <f>IFERROR(__xludf.DUMMYFUNCTION("""COMPUTED_VALUE"""),"RETIRADO OK POR CLIENTE")</f>
        <v>RETIRADO OK POR CLIENTE</v>
      </c>
      <c r="J3677" s="1">
        <f t="shared" si="3"/>
        <v>6</v>
      </c>
      <c r="K3677" s="1" t="str">
        <f t="shared" si="4"/>
        <v>Entregamos tus lentes, que los disfrutes!</v>
      </c>
    </row>
    <row r="3678">
      <c r="A3678" s="1">
        <f>IFERROR(__xludf.DUMMYFUNCTION("""COMPUTED_VALUE"""),88223.0)</f>
        <v>88223</v>
      </c>
      <c r="B3678" s="5">
        <f>IFERROR(__xludf.DUMMYFUNCTION("""COMPUTED_VALUE"""),45005.45596935185)</f>
        <v>45005.45597</v>
      </c>
      <c r="C3678" s="1" t="str">
        <f>IFERROR(__xludf.DUMMYFUNCTION("""COMPUTED_VALUE"""),"ROMANO EUGENIO")</f>
        <v>ROMANO EUGENIO</v>
      </c>
      <c r="D3678" s="1" t="str">
        <f>IFERROR(__xludf.DUMMYFUNCTION("""COMPUTED_VALUE"""),"Reparaciones/Otros")</f>
        <v>Reparaciones/Otros</v>
      </c>
      <c r="E3678" s="1" t="str">
        <f>IFERROR(__xludf.DUMMYFUNCTION("""COMPUTED_VALUE"""),"ARTIGAS Roció")</f>
        <v>ARTIGAS Roció</v>
      </c>
      <c r="F3678" s="1" t="str">
        <f t="shared" si="1"/>
        <v>ARTIGAS </v>
      </c>
      <c r="G3678" s="1" t="str">
        <f t="shared" si="2"/>
        <v>Roció</v>
      </c>
      <c r="H3678" s="1" t="str">
        <f>IFERROR(__xludf.DUMMYFUNCTION("""COMPUTED_VALUE"""),"21/3/2023, 17:00:00")</f>
        <v>21/3/2023, 17:00:00</v>
      </c>
      <c r="I3678" s="1" t="str">
        <f>IFERROR(__xludf.DUMMYFUNCTION("""COMPUTED_VALUE"""),"Completado en SUCURSAL")</f>
        <v>Completado en SUCURSAL</v>
      </c>
      <c r="J3678" s="1">
        <f t="shared" si="3"/>
        <v>5</v>
      </c>
      <c r="K3678" s="1" t="str">
        <f t="shared" si="4"/>
        <v>Tus Lentes estan LISTAS PARA ENTREGAR, te esperamos.</v>
      </c>
    </row>
    <row r="3679">
      <c r="A3679" s="1">
        <f>IFERROR(__xludf.DUMMYFUNCTION("""COMPUTED_VALUE"""),88224.0)</f>
        <v>88224</v>
      </c>
      <c r="B3679" s="5">
        <f>IFERROR(__xludf.DUMMYFUNCTION("""COMPUTED_VALUE"""),45005.457186423606)</f>
        <v>45005.45719</v>
      </c>
      <c r="C3679" s="1" t="str">
        <f>IFERROR(__xludf.DUMMYFUNCTION("""COMPUTED_VALUE"""),"ALVA JOSE")</f>
        <v>ALVA JOSE</v>
      </c>
      <c r="D3679" s="1" t="str">
        <f>IFERROR(__xludf.DUMMYFUNCTION("""COMPUTED_VALUE"""),"Lentes de STOCK")</f>
        <v>Lentes de STOCK</v>
      </c>
      <c r="E3679" s="1" t="str">
        <f>IFERROR(__xludf.DUMMYFUNCTION("""COMPUTED_VALUE"""),"ARTIGAS Ivana P.")</f>
        <v>ARTIGAS Ivana P.</v>
      </c>
      <c r="F3679" s="1" t="str">
        <f t="shared" si="1"/>
        <v>ARTIGAS </v>
      </c>
      <c r="G3679" s="1" t="str">
        <f t="shared" si="2"/>
        <v>Ivana P.</v>
      </c>
      <c r="H3679" s="1" t="str">
        <f>IFERROR(__xludf.DUMMYFUNCTION("""COMPUTED_VALUE"""),"23/3/2023, 17:00:00")</f>
        <v>23/3/2023, 17:00:00</v>
      </c>
      <c r="I3679" s="1" t="str">
        <f>IFERROR(__xludf.DUMMYFUNCTION("""COMPUTED_VALUE"""),"Completado en SUCURSAL")</f>
        <v>Completado en SUCURSAL</v>
      </c>
      <c r="J3679" s="1">
        <f t="shared" si="3"/>
        <v>5</v>
      </c>
      <c r="K3679" s="1" t="str">
        <f t="shared" si="4"/>
        <v>Tus Lentes estan LISTAS PARA ENTREGAR, te esperamos.</v>
      </c>
    </row>
    <row r="3680">
      <c r="A3680" s="1">
        <f>IFERROR(__xludf.DUMMYFUNCTION("""COMPUTED_VALUE"""),88225.0)</f>
        <v>88225</v>
      </c>
      <c r="B3680" s="5">
        <f>IFERROR(__xludf.DUMMYFUNCTION("""COMPUTED_VALUE"""),45005.460685185186)</f>
        <v>45005.46069</v>
      </c>
      <c r="C3680" s="1" t="str">
        <f>IFERROR(__xludf.DUMMYFUNCTION("""COMPUTED_VALUE"""),"VILLEGAS JUAN ")</f>
        <v>VILLEGAS JUAN </v>
      </c>
      <c r="D3680" s="1" t="str">
        <f>IFERROR(__xludf.DUMMYFUNCTION("""COMPUTED_VALUE"""),"Reparaciones/Otros")</f>
        <v>Reparaciones/Otros</v>
      </c>
      <c r="E3680" s="1" t="str">
        <f>IFERROR(__xludf.DUMMYFUNCTION("""COMPUTED_VALUE"""),"RIVADAVIA Luciana")</f>
        <v>RIVADAVIA Luciana</v>
      </c>
      <c r="F3680" s="1" t="str">
        <f t="shared" si="1"/>
        <v>RIVADAVIA </v>
      </c>
      <c r="G3680" s="1" t="str">
        <f t="shared" si="2"/>
        <v>Luciana</v>
      </c>
      <c r="H3680" s="1" t="str">
        <f>IFERROR(__xludf.DUMMYFUNCTION("""COMPUTED_VALUE"""),"21/3/2023, 17:00:00")</f>
        <v>21/3/2023, 17:00:00</v>
      </c>
      <c r="I3680" s="1" t="str">
        <f>IFERROR(__xludf.DUMMYFUNCTION("""COMPUTED_VALUE"""),"Completado en SUCURSAL")</f>
        <v>Completado en SUCURSAL</v>
      </c>
      <c r="J3680" s="1">
        <f t="shared" si="3"/>
        <v>5</v>
      </c>
      <c r="K3680" s="1" t="str">
        <f t="shared" si="4"/>
        <v>Tus Lentes estan LISTAS PARA ENTREGAR, te esperamos.</v>
      </c>
    </row>
    <row r="3681">
      <c r="A3681" s="1">
        <f>IFERROR(__xludf.DUMMYFUNCTION("""COMPUTED_VALUE"""),88226.0)</f>
        <v>88226</v>
      </c>
      <c r="B3681" s="5">
        <f>IFERROR(__xludf.DUMMYFUNCTION("""COMPUTED_VALUE"""),45005.46303530093)</f>
        <v>45005.46304</v>
      </c>
      <c r="C3681" s="1" t="str">
        <f>IFERROR(__xludf.DUMMYFUNCTION("""COMPUTED_VALUE"""),"iriarte pedro")</f>
        <v>iriarte pedro</v>
      </c>
      <c r="D3681" s="1" t="str">
        <f>IFERROR(__xludf.DUMMYFUNCTION("""COMPUTED_VALUE"""),"Reparaciones/Otros")</f>
        <v>Reparaciones/Otros</v>
      </c>
      <c r="E3681" s="1" t="str">
        <f>IFERROR(__xludf.DUMMYFUNCTION("""COMPUTED_VALUE"""),"RIVADAVIA Santiago N")</f>
        <v>RIVADAVIA Santiago N</v>
      </c>
      <c r="F3681" s="1" t="str">
        <f t="shared" si="1"/>
        <v>RIVADAVIA </v>
      </c>
      <c r="G3681" s="1" t="str">
        <f t="shared" si="2"/>
        <v>Santiago N</v>
      </c>
      <c r="H3681" s="1" t="str">
        <f>IFERROR(__xludf.DUMMYFUNCTION("""COMPUTED_VALUE"""),"21/3/2023, 17:00:00")</f>
        <v>21/3/2023, 17:00:00</v>
      </c>
      <c r="I3681" s="1" t="str">
        <f>IFERROR(__xludf.DUMMYFUNCTION("""COMPUTED_VALUE"""),"Completado en SUCURSAL")</f>
        <v>Completado en SUCURSAL</v>
      </c>
      <c r="J3681" s="1">
        <f t="shared" si="3"/>
        <v>5</v>
      </c>
      <c r="K3681" s="1" t="str">
        <f t="shared" si="4"/>
        <v>Tus Lentes estan LISTAS PARA ENTREGAR, te esperamos.</v>
      </c>
    </row>
    <row r="3682">
      <c r="A3682" s="1">
        <f>IFERROR(__xludf.DUMMYFUNCTION("""COMPUTED_VALUE"""),88227.0)</f>
        <v>88227</v>
      </c>
      <c r="B3682" s="5">
        <f>IFERROR(__xludf.DUMMYFUNCTION("""COMPUTED_VALUE"""),45005.464120902776)</f>
        <v>45005.46412</v>
      </c>
      <c r="C3682" s="1" t="str">
        <f>IFERROR(__xludf.DUMMYFUNCTION("""COMPUTED_VALUE"""),"oliveras soledad")</f>
        <v>oliveras soledad</v>
      </c>
      <c r="D3682" s="1" t="str">
        <f>IFERROR(__xludf.DUMMYFUNCTION("""COMPUTED_VALUE"""),"Reparaciones/Otros")</f>
        <v>Reparaciones/Otros</v>
      </c>
      <c r="E3682" s="1" t="str">
        <f>IFERROR(__xludf.DUMMYFUNCTION("""COMPUTED_VALUE"""),"RIVADAVIA Santiago N")</f>
        <v>RIVADAVIA Santiago N</v>
      </c>
      <c r="F3682" s="1" t="str">
        <f t="shared" si="1"/>
        <v>RIVADAVIA </v>
      </c>
      <c r="G3682" s="1" t="str">
        <f t="shared" si="2"/>
        <v>Santiago N</v>
      </c>
      <c r="H3682" s="1" t="str">
        <f>IFERROR(__xludf.DUMMYFUNCTION("""COMPUTED_VALUE"""),"21/3/2023, 17:00:00")</f>
        <v>21/3/2023, 17:00:00</v>
      </c>
      <c r="I3682" s="1" t="str">
        <f>IFERROR(__xludf.DUMMYFUNCTION("""COMPUTED_VALUE"""),"Completado en SUCURSAL")</f>
        <v>Completado en SUCURSAL</v>
      </c>
      <c r="J3682" s="1">
        <f t="shared" si="3"/>
        <v>5</v>
      </c>
      <c r="K3682" s="1" t="str">
        <f t="shared" si="4"/>
        <v>Tus Lentes estan LISTAS PARA ENTREGAR, te esperamos.</v>
      </c>
    </row>
    <row r="3683">
      <c r="A3683" s="1">
        <f>IFERROR(__xludf.DUMMYFUNCTION("""COMPUTED_VALUE"""),88228.0)</f>
        <v>88228</v>
      </c>
      <c r="B3683" s="5">
        <f>IFERROR(__xludf.DUMMYFUNCTION("""COMPUTED_VALUE"""),45005.464606608795)</f>
        <v>45005.46461</v>
      </c>
      <c r="C3683" s="1" t="str">
        <f>IFERROR(__xludf.DUMMYFUNCTION("""COMPUTED_VALUE"""),"OJEDA FATIMA")</f>
        <v>OJEDA FATIMA</v>
      </c>
      <c r="D3683" s="1" t="str">
        <f>IFERROR(__xludf.DUMMYFUNCTION("""COMPUTED_VALUE"""),"Lentes de STOCK")</f>
        <v>Lentes de STOCK</v>
      </c>
      <c r="E3683" s="1" t="str">
        <f>IFERROR(__xludf.DUMMYFUNCTION("""COMPUTED_VALUE"""),"RIVADAVIA Santiago LOPEZ")</f>
        <v>RIVADAVIA Santiago LOPEZ</v>
      </c>
      <c r="F3683" s="1" t="str">
        <f t="shared" si="1"/>
        <v>RIVADAVIA </v>
      </c>
      <c r="G3683" s="1" t="str">
        <f t="shared" si="2"/>
        <v>Santiago LOPEZ</v>
      </c>
      <c r="H3683" s="1" t="str">
        <f>IFERROR(__xludf.DUMMYFUNCTION("""COMPUTED_VALUE"""),"23/3/2023, 17:00:00")</f>
        <v>23/3/2023, 17:00:00</v>
      </c>
      <c r="I3683" s="1" t="str">
        <f>IFERROR(__xludf.DUMMYFUNCTION("""COMPUTED_VALUE"""),"Completado en SUCURSAL")</f>
        <v>Completado en SUCURSAL</v>
      </c>
      <c r="J3683" s="1">
        <f t="shared" si="3"/>
        <v>5</v>
      </c>
      <c r="K3683" s="1" t="str">
        <f t="shared" si="4"/>
        <v>Tus Lentes estan LISTAS PARA ENTREGAR, te esperamos.</v>
      </c>
    </row>
    <row r="3684">
      <c r="A3684" s="1">
        <f>IFERROR(__xludf.DUMMYFUNCTION("""COMPUTED_VALUE"""),88229.0)</f>
        <v>88229</v>
      </c>
      <c r="B3684" s="5">
        <f>IFERROR(__xludf.DUMMYFUNCTION("""COMPUTED_VALUE"""),45005.46468462963)</f>
        <v>45005.46468</v>
      </c>
      <c r="C3684" s="1" t="str">
        <f>IFERROR(__xludf.DUMMYFUNCTION("""COMPUTED_VALUE"""),"TORRES CRISTINA")</f>
        <v>TORRES CRISTINA</v>
      </c>
      <c r="D3684" s="1" t="str">
        <f>IFERROR(__xludf.DUMMYFUNCTION("""COMPUTED_VALUE"""),"Lentes BIFOCALES")</f>
        <v>Lentes BIFOCALES</v>
      </c>
      <c r="E3684" s="1" t="str">
        <f>IFERROR(__xludf.DUMMYFUNCTION("""COMPUTED_VALUE"""),"RIVADAVIA Christian C.")</f>
        <v>RIVADAVIA Christian C.</v>
      </c>
      <c r="F3684" s="1" t="str">
        <f t="shared" si="1"/>
        <v>RIVADAVIA </v>
      </c>
      <c r="G3684" s="1" t="str">
        <f t="shared" si="2"/>
        <v>Christian C.</v>
      </c>
      <c r="H3684" s="1" t="str">
        <f>IFERROR(__xludf.DUMMYFUNCTION("""COMPUTED_VALUE"""),"31/3/2023, 17:00:00")</f>
        <v>31/3/2023, 17:00:00</v>
      </c>
      <c r="I3684" s="1" t="str">
        <f>IFERROR(__xludf.DUMMYFUNCTION("""COMPUTED_VALUE"""),"RETIRADO OK POR CLIENTE")</f>
        <v>RETIRADO OK POR CLIENTE</v>
      </c>
      <c r="J3684" s="1">
        <f t="shared" si="3"/>
        <v>6</v>
      </c>
      <c r="K3684" s="1" t="str">
        <f t="shared" si="4"/>
        <v>Entregamos tus lentes, que los disfrutes!</v>
      </c>
    </row>
    <row r="3685">
      <c r="A3685" s="1">
        <f>IFERROR(__xludf.DUMMYFUNCTION("""COMPUTED_VALUE"""),88230.0)</f>
        <v>88230</v>
      </c>
      <c r="B3685" s="5">
        <f>IFERROR(__xludf.DUMMYFUNCTION("""COMPUTED_VALUE"""),45005.467890196756)</f>
        <v>45005.46789</v>
      </c>
      <c r="C3685" s="1" t="str">
        <f>IFERROR(__xludf.DUMMYFUNCTION("""COMPUTED_VALUE"""),"ALEGRIA JOSE")</f>
        <v>ALEGRIA JOSE</v>
      </c>
      <c r="D3685" s="1" t="str">
        <f>IFERROR(__xludf.DUMMYFUNCTION("""COMPUTED_VALUE"""),"Reparaciones/Otros")</f>
        <v>Reparaciones/Otros</v>
      </c>
      <c r="E3685" s="1" t="str">
        <f>IFERROR(__xludf.DUMMYFUNCTION("""COMPUTED_VALUE"""),"RIVADAVIA Marcela L")</f>
        <v>RIVADAVIA Marcela L</v>
      </c>
      <c r="F3685" s="1" t="str">
        <f t="shared" si="1"/>
        <v>RIVADAVIA </v>
      </c>
      <c r="G3685" s="1" t="str">
        <f t="shared" si="2"/>
        <v>Marcela L</v>
      </c>
      <c r="H3685" s="1" t="str">
        <f>IFERROR(__xludf.DUMMYFUNCTION("""COMPUTED_VALUE"""),"21/3/2023, 17:00:00")</f>
        <v>21/3/2023, 17:00:00</v>
      </c>
      <c r="I3685" s="1" t="str">
        <f>IFERROR(__xludf.DUMMYFUNCTION("""COMPUTED_VALUE"""),"Completado en SUCURSAL")</f>
        <v>Completado en SUCURSAL</v>
      </c>
      <c r="J3685" s="1">
        <f t="shared" si="3"/>
        <v>5</v>
      </c>
      <c r="K3685" s="1" t="str">
        <f t="shared" si="4"/>
        <v>Tus Lentes estan LISTAS PARA ENTREGAR, te esperamos.</v>
      </c>
    </row>
    <row r="3686">
      <c r="A3686" s="1">
        <f>IFERROR(__xludf.DUMMYFUNCTION("""COMPUTED_VALUE"""),88231.0)</f>
        <v>88231</v>
      </c>
      <c r="B3686" s="5">
        <f>IFERROR(__xludf.DUMMYFUNCTION("""COMPUTED_VALUE"""),45005.46858350694)</f>
        <v>45005.46858</v>
      </c>
      <c r="C3686" s="1" t="str">
        <f>IFERROR(__xludf.DUMMYFUNCTION("""COMPUTED_VALUE"""),"GAUNA MATEO JEREMIAS")</f>
        <v>GAUNA MATEO JEREMIAS</v>
      </c>
      <c r="D3686" s="1" t="str">
        <f>IFERROR(__xludf.DUMMYFUNCTION("""COMPUTED_VALUE"""),"Lentes de LABORATORIO")</f>
        <v>Lentes de LABORATORIO</v>
      </c>
      <c r="E3686" s="1" t="str">
        <f>IFERROR(__xludf.DUMMYFUNCTION("""COMPUTED_VALUE"""),"ARTIGAS Roció")</f>
        <v>ARTIGAS Roció</v>
      </c>
      <c r="F3686" s="1" t="str">
        <f t="shared" si="1"/>
        <v>ARTIGAS </v>
      </c>
      <c r="G3686" s="1" t="str">
        <f t="shared" si="2"/>
        <v>Roció</v>
      </c>
      <c r="H3686" s="1" t="str">
        <f>IFERROR(__xludf.DUMMYFUNCTION("""COMPUTED_VALUE"""),"5/4/2023, 17:00:00")</f>
        <v>5/4/2023, 17:00:00</v>
      </c>
      <c r="I3686" s="1" t="str">
        <f>IFERROR(__xludf.DUMMYFUNCTION("""COMPUTED_VALUE"""),"Completado en SUCURSAL")</f>
        <v>Completado en SUCURSAL</v>
      </c>
      <c r="J3686" s="1">
        <f t="shared" si="3"/>
        <v>5</v>
      </c>
      <c r="K3686" s="1" t="str">
        <f t="shared" si="4"/>
        <v>Tus Lentes estan LISTAS PARA ENTREGAR, te esperamos.</v>
      </c>
    </row>
    <row r="3687">
      <c r="A3687" s="1">
        <f>IFERROR(__xludf.DUMMYFUNCTION("""COMPUTED_VALUE"""),88232.0)</f>
        <v>88232</v>
      </c>
      <c r="B3687" s="5">
        <f>IFERROR(__xludf.DUMMYFUNCTION("""COMPUTED_VALUE"""),45005.47324699074)</f>
        <v>45005.47325</v>
      </c>
      <c r="C3687" s="1" t="str">
        <f>IFERROR(__xludf.DUMMYFUNCTION("""COMPUTED_VALUE"""),"ESCUDERO VERONICA")</f>
        <v>ESCUDERO VERONICA</v>
      </c>
      <c r="D3687" s="1" t="str">
        <f>IFERROR(__xludf.DUMMYFUNCTION("""COMPUTED_VALUE"""),"Lentes de STOCK")</f>
        <v>Lentes de STOCK</v>
      </c>
      <c r="E3687" s="1" t="str">
        <f>IFERROR(__xludf.DUMMYFUNCTION("""COMPUTED_VALUE"""),"ARTIGAS Roció")</f>
        <v>ARTIGAS Roció</v>
      </c>
      <c r="F3687" s="1" t="str">
        <f t="shared" si="1"/>
        <v>ARTIGAS </v>
      </c>
      <c r="G3687" s="1" t="str">
        <f t="shared" si="2"/>
        <v>Roció</v>
      </c>
      <c r="H3687" s="1" t="str">
        <f>IFERROR(__xludf.DUMMYFUNCTION("""COMPUTED_VALUE"""),"28/3/2023, 17:00:00")</f>
        <v>28/3/2023, 17:00:00</v>
      </c>
      <c r="I3687" s="1" t="str">
        <f>IFERROR(__xludf.DUMMYFUNCTION("""COMPUTED_VALUE"""),"RETIRADO OK POR CLIENTE")</f>
        <v>RETIRADO OK POR CLIENTE</v>
      </c>
      <c r="J3687" s="1">
        <f t="shared" si="3"/>
        <v>6</v>
      </c>
      <c r="K3687" s="1" t="str">
        <f t="shared" si="4"/>
        <v>Entregamos tus lentes, que los disfrutes!</v>
      </c>
    </row>
    <row r="3688">
      <c r="A3688" s="1">
        <f>IFERROR(__xludf.DUMMYFUNCTION("""COMPUTED_VALUE"""),88233.0)</f>
        <v>88233</v>
      </c>
      <c r="B3688" s="5">
        <f>IFERROR(__xludf.DUMMYFUNCTION("""COMPUTED_VALUE"""),45005.48038252315)</f>
        <v>45005.48038</v>
      </c>
      <c r="C3688" s="1" t="str">
        <f>IFERROR(__xludf.DUMMYFUNCTION("""COMPUTED_VALUE"""),"carrizo gabriela")</f>
        <v>carrizo gabriela</v>
      </c>
      <c r="D3688" s="1" t="str">
        <f>IFERROR(__xludf.DUMMYFUNCTION("""COMPUTED_VALUE"""),"Reparaciones/Otros")</f>
        <v>Reparaciones/Otros</v>
      </c>
      <c r="E3688" s="1" t="str">
        <f>IFERROR(__xludf.DUMMYFUNCTION("""COMPUTED_VALUE"""),"ARTIGAS Roció")</f>
        <v>ARTIGAS Roció</v>
      </c>
      <c r="F3688" s="1" t="str">
        <f t="shared" si="1"/>
        <v>ARTIGAS </v>
      </c>
      <c r="G3688" s="1" t="str">
        <f t="shared" si="2"/>
        <v>Roció</v>
      </c>
      <c r="H3688" s="1" t="str">
        <f>IFERROR(__xludf.DUMMYFUNCTION("""COMPUTED_VALUE"""),"21/3/2023, 17:00:00")</f>
        <v>21/3/2023, 17:00:00</v>
      </c>
      <c r="I3688" s="1" t="str">
        <f>IFERROR(__xludf.DUMMYFUNCTION("""COMPUTED_VALUE"""),"Completado en SUCURSAL")</f>
        <v>Completado en SUCURSAL</v>
      </c>
      <c r="J3688" s="1">
        <f t="shared" si="3"/>
        <v>5</v>
      </c>
      <c r="K3688" s="1" t="str">
        <f t="shared" si="4"/>
        <v>Tus Lentes estan LISTAS PARA ENTREGAR, te esperamos.</v>
      </c>
    </row>
    <row r="3689">
      <c r="A3689" s="1">
        <f>IFERROR(__xludf.DUMMYFUNCTION("""COMPUTED_VALUE"""),88234.0)</f>
        <v>88234</v>
      </c>
      <c r="B3689" s="5">
        <f>IFERROR(__xludf.DUMMYFUNCTION("""COMPUTED_VALUE"""),45005.48156195602)</f>
        <v>45005.48156</v>
      </c>
      <c r="C3689" s="1" t="str">
        <f>IFERROR(__xludf.DUMMYFUNCTION("""COMPUTED_VALUE"""),"carrizo gabriela")</f>
        <v>carrizo gabriela</v>
      </c>
      <c r="D3689" s="1" t="str">
        <f>IFERROR(__xludf.DUMMYFUNCTION("""COMPUTED_VALUE"""),"Reparaciones/Otros")</f>
        <v>Reparaciones/Otros</v>
      </c>
      <c r="E3689" s="1" t="str">
        <f>IFERROR(__xludf.DUMMYFUNCTION("""COMPUTED_VALUE"""),"ARTIGAS Roció")</f>
        <v>ARTIGAS Roció</v>
      </c>
      <c r="F3689" s="1" t="str">
        <f t="shared" si="1"/>
        <v>ARTIGAS </v>
      </c>
      <c r="G3689" s="1" t="str">
        <f t="shared" si="2"/>
        <v>Roció</v>
      </c>
      <c r="H3689" s="1" t="str">
        <f>IFERROR(__xludf.DUMMYFUNCTION("""COMPUTED_VALUE"""),"21/3/2023, 17:00:00")</f>
        <v>21/3/2023, 17:00:00</v>
      </c>
      <c r="I3689" s="1" t="str">
        <f>IFERROR(__xludf.DUMMYFUNCTION("""COMPUTED_VALUE"""),"Completado en SUCURSAL")</f>
        <v>Completado en SUCURSAL</v>
      </c>
      <c r="J3689" s="1">
        <f t="shared" si="3"/>
        <v>5</v>
      </c>
      <c r="K3689" s="1" t="str">
        <f t="shared" si="4"/>
        <v>Tus Lentes estan LISTAS PARA ENTREGAR, te esperamos.</v>
      </c>
    </row>
    <row r="3690">
      <c r="A3690" s="1">
        <f>IFERROR(__xludf.DUMMYFUNCTION("""COMPUTED_VALUE"""),88235.0)</f>
        <v>88235</v>
      </c>
      <c r="B3690" s="5">
        <f>IFERROR(__xludf.DUMMYFUNCTION("""COMPUTED_VALUE"""),45005.49193905093)</f>
        <v>45005.49194</v>
      </c>
      <c r="C3690" s="1" t="str">
        <f>IFERROR(__xludf.DUMMYFUNCTION("""COMPUTED_VALUE"""),"lopez daniela")</f>
        <v>lopez daniela</v>
      </c>
      <c r="D3690" s="1" t="str">
        <f>IFERROR(__xludf.DUMMYFUNCTION("""COMPUTED_VALUE"""),"Lentes de STOCK")</f>
        <v>Lentes de STOCK</v>
      </c>
      <c r="E3690" s="1" t="str">
        <f>IFERROR(__xludf.DUMMYFUNCTION("""COMPUTED_VALUE"""),"ARTIGAS Ivana P.")</f>
        <v>ARTIGAS Ivana P.</v>
      </c>
      <c r="F3690" s="1" t="str">
        <f t="shared" si="1"/>
        <v>ARTIGAS </v>
      </c>
      <c r="G3690" s="1" t="str">
        <f t="shared" si="2"/>
        <v>Ivana P.</v>
      </c>
      <c r="H3690" s="1" t="str">
        <f>IFERROR(__xludf.DUMMYFUNCTION("""COMPUTED_VALUE"""),"23/3/2023, 17:00:00")</f>
        <v>23/3/2023, 17:00:00</v>
      </c>
      <c r="I3690" s="1" t="str">
        <f>IFERROR(__xludf.DUMMYFUNCTION("""COMPUTED_VALUE"""),"RETIRADO OK POR CLIENTE")</f>
        <v>RETIRADO OK POR CLIENTE</v>
      </c>
      <c r="J3690" s="1">
        <f t="shared" si="3"/>
        <v>6</v>
      </c>
      <c r="K3690" s="1" t="str">
        <f t="shared" si="4"/>
        <v>Entregamos tus lentes, que los disfrutes!</v>
      </c>
    </row>
    <row r="3691">
      <c r="A3691" s="1">
        <f>IFERROR(__xludf.DUMMYFUNCTION("""COMPUTED_VALUE"""),88236.0)</f>
        <v>88236</v>
      </c>
      <c r="B3691" s="5">
        <f>IFERROR(__xludf.DUMMYFUNCTION("""COMPUTED_VALUE"""),45005.49835898148)</f>
        <v>45005.49836</v>
      </c>
      <c r="C3691" s="1" t="str">
        <f>IFERROR(__xludf.DUMMYFUNCTION("""COMPUTED_VALUE"""),"OCHOA MERCEDES MAMADE JORGE")</f>
        <v>OCHOA MERCEDES MAMADE JORGE</v>
      </c>
      <c r="D3691" s="1" t="str">
        <f>IFERROR(__xludf.DUMMYFUNCTION("""COMPUTED_VALUE"""),"Lentes BIFOCALES")</f>
        <v>Lentes BIFOCALES</v>
      </c>
      <c r="E3691" s="1" t="str">
        <f>IFERROR(__xludf.DUMMYFUNCTION("""COMPUTED_VALUE"""),"ARTIGAS Ivana P.")</f>
        <v>ARTIGAS Ivana P.</v>
      </c>
      <c r="F3691" s="1" t="str">
        <f t="shared" si="1"/>
        <v>ARTIGAS </v>
      </c>
      <c r="G3691" s="1" t="str">
        <f t="shared" si="2"/>
        <v>Ivana P.</v>
      </c>
      <c r="H3691" s="1" t="str">
        <f>IFERROR(__xludf.DUMMYFUNCTION("""COMPUTED_VALUE"""),"23/3/2023, 17:00:00")</f>
        <v>23/3/2023, 17:00:00</v>
      </c>
      <c r="I3691" s="1" t="str">
        <f>IFERROR(__xludf.DUMMYFUNCTION("""COMPUTED_VALUE"""),"RETIRADO OK POR CLIENTE")</f>
        <v>RETIRADO OK POR CLIENTE</v>
      </c>
      <c r="J3691" s="1">
        <f t="shared" si="3"/>
        <v>6</v>
      </c>
      <c r="K3691" s="1" t="str">
        <f t="shared" si="4"/>
        <v>Entregamos tus lentes, que los disfrutes!</v>
      </c>
    </row>
    <row r="3692">
      <c r="A3692" s="1">
        <f>IFERROR(__xludf.DUMMYFUNCTION("""COMPUTED_VALUE"""),88237.0)</f>
        <v>88237</v>
      </c>
      <c r="B3692" s="5">
        <f>IFERROR(__xludf.DUMMYFUNCTION("""COMPUTED_VALUE"""),45005.50071013889)</f>
        <v>45005.50071</v>
      </c>
      <c r="C3692" s="1" t="str">
        <f>IFERROR(__xludf.DUMMYFUNCTION("""COMPUTED_VALUE"""),"gutierrez diaz mariano")</f>
        <v>gutierrez diaz mariano</v>
      </c>
      <c r="D3692" s="1" t="str">
        <f>IFERROR(__xludf.DUMMYFUNCTION("""COMPUTED_VALUE"""),"Lentes de STOCK")</f>
        <v>Lentes de STOCK</v>
      </c>
      <c r="E3692" s="1" t="str">
        <f>IFERROR(__xludf.DUMMYFUNCTION("""COMPUTED_VALUE"""),"RIVADAVIA Santiago N")</f>
        <v>RIVADAVIA Santiago N</v>
      </c>
      <c r="F3692" s="1" t="str">
        <f t="shared" si="1"/>
        <v>RIVADAVIA </v>
      </c>
      <c r="G3692" s="1" t="str">
        <f t="shared" si="2"/>
        <v>Santiago N</v>
      </c>
      <c r="H3692" s="1" t="str">
        <f>IFERROR(__xludf.DUMMYFUNCTION("""COMPUTED_VALUE"""),"23/3/2023, 17:00:00")</f>
        <v>23/3/2023, 17:00:00</v>
      </c>
      <c r="I3692" s="1" t="str">
        <f>IFERROR(__xludf.DUMMYFUNCTION("""COMPUTED_VALUE"""),"RETIRADO OK POR CLIENTE")</f>
        <v>RETIRADO OK POR CLIENTE</v>
      </c>
      <c r="J3692" s="1">
        <f t="shared" si="3"/>
        <v>6</v>
      </c>
      <c r="K3692" s="1" t="str">
        <f t="shared" si="4"/>
        <v>Entregamos tus lentes, que los disfrutes!</v>
      </c>
    </row>
    <row r="3693">
      <c r="A3693" s="1">
        <f>IFERROR(__xludf.DUMMYFUNCTION("""COMPUTED_VALUE"""),88238.0)</f>
        <v>88238</v>
      </c>
      <c r="B3693" s="5">
        <f>IFERROR(__xludf.DUMMYFUNCTION("""COMPUTED_VALUE"""),45005.50282436343)</f>
        <v>45005.50282</v>
      </c>
      <c r="C3693" s="1" t="str">
        <f>IFERROR(__xludf.DUMMYFUNCTION("""COMPUTED_VALUE"""),"GUZMAN NORMA BEATRIZ")</f>
        <v>GUZMAN NORMA BEATRIZ</v>
      </c>
      <c r="D3693" s="1" t="str">
        <f>IFERROR(__xludf.DUMMYFUNCTION("""COMPUTED_VALUE"""),"Lentes BIFOCALES")</f>
        <v>Lentes BIFOCALES</v>
      </c>
      <c r="E3693" s="1" t="str">
        <f>IFERROR(__xludf.DUMMYFUNCTION("""COMPUTED_VALUE"""),"RIVADAVIA Marcela L")</f>
        <v>RIVADAVIA Marcela L</v>
      </c>
      <c r="F3693" s="1" t="str">
        <f t="shared" si="1"/>
        <v>RIVADAVIA </v>
      </c>
      <c r="G3693" s="1" t="str">
        <f t="shared" si="2"/>
        <v>Marcela L</v>
      </c>
      <c r="H3693" s="1" t="str">
        <f>IFERROR(__xludf.DUMMYFUNCTION("""COMPUTED_VALUE"""),"27/3/2023, 17:00:00")</f>
        <v>27/3/2023, 17:00:00</v>
      </c>
      <c r="I3693" s="1" t="str">
        <f>IFERROR(__xludf.DUMMYFUNCTION("""COMPUTED_VALUE"""),"RETIRADO OK POR CLIENTE")</f>
        <v>RETIRADO OK POR CLIENTE</v>
      </c>
      <c r="J3693" s="1">
        <f t="shared" si="3"/>
        <v>6</v>
      </c>
      <c r="K3693" s="1" t="str">
        <f t="shared" si="4"/>
        <v>Entregamos tus lentes, que los disfrutes!</v>
      </c>
    </row>
    <row r="3694">
      <c r="A3694" s="1">
        <f>IFERROR(__xludf.DUMMYFUNCTION("""COMPUTED_VALUE"""),88239.0)</f>
        <v>88239</v>
      </c>
      <c r="B3694" s="5">
        <f>IFERROR(__xludf.DUMMYFUNCTION("""COMPUTED_VALUE"""),45005.503442546295)</f>
        <v>45005.50344</v>
      </c>
      <c r="C3694" s="1" t="str">
        <f>IFERROR(__xludf.DUMMYFUNCTION("""COMPUTED_VALUE"""),"BECERRA MORA")</f>
        <v>BECERRA MORA</v>
      </c>
      <c r="D3694" s="1" t="str">
        <f>IFERROR(__xludf.DUMMYFUNCTION("""COMPUTED_VALUE"""),"Reparaciones/Otros")</f>
        <v>Reparaciones/Otros</v>
      </c>
      <c r="E3694" s="1" t="str">
        <f>IFERROR(__xludf.DUMMYFUNCTION("""COMPUTED_VALUE"""),"RIVADAVIA Christian C.")</f>
        <v>RIVADAVIA Christian C.</v>
      </c>
      <c r="F3694" s="1" t="str">
        <f t="shared" si="1"/>
        <v>RIVADAVIA </v>
      </c>
      <c r="G3694" s="1" t="str">
        <f t="shared" si="2"/>
        <v>Christian C.</v>
      </c>
      <c r="H3694" s="1" t="str">
        <f>IFERROR(__xludf.DUMMYFUNCTION("""COMPUTED_VALUE"""),"21/3/2023, 17:00:00")</f>
        <v>21/3/2023, 17:00:00</v>
      </c>
      <c r="I3694" s="1" t="str">
        <f>IFERROR(__xludf.DUMMYFUNCTION("""COMPUTED_VALUE"""),"Completado en SUCURSAL")</f>
        <v>Completado en SUCURSAL</v>
      </c>
      <c r="J3694" s="1">
        <f t="shared" si="3"/>
        <v>5</v>
      </c>
      <c r="K3694" s="1" t="str">
        <f t="shared" si="4"/>
        <v>Tus Lentes estan LISTAS PARA ENTREGAR, te esperamos.</v>
      </c>
    </row>
    <row r="3695">
      <c r="A3695" s="1">
        <f>IFERROR(__xludf.DUMMYFUNCTION("""COMPUTED_VALUE"""),88240.0)</f>
        <v>88240</v>
      </c>
      <c r="B3695" s="5">
        <f>IFERROR(__xludf.DUMMYFUNCTION("""COMPUTED_VALUE"""),45005.503579895834)</f>
        <v>45005.50358</v>
      </c>
      <c r="C3695" s="1" t="str">
        <f>IFERROR(__xludf.DUMMYFUNCTION("""COMPUTED_VALUE"""),"OCHOA MERCEDES MAMADE JORGE")</f>
        <v>OCHOA MERCEDES MAMADE JORGE</v>
      </c>
      <c r="D3695" s="1" t="str">
        <f>IFERROR(__xludf.DUMMYFUNCTION("""COMPUTED_VALUE"""),"Lentes BIFOCALES")</f>
        <v>Lentes BIFOCALES</v>
      </c>
      <c r="E3695" s="1" t="str">
        <f>IFERROR(__xludf.DUMMYFUNCTION("""COMPUTED_VALUE"""),"ARTIGAS Ivana P.")</f>
        <v>ARTIGAS Ivana P.</v>
      </c>
      <c r="F3695" s="1" t="str">
        <f t="shared" si="1"/>
        <v>ARTIGAS </v>
      </c>
      <c r="G3695" s="1" t="str">
        <f t="shared" si="2"/>
        <v>Ivana P.</v>
      </c>
      <c r="H3695" s="1" t="str">
        <f>IFERROR(__xludf.DUMMYFUNCTION("""COMPUTED_VALUE"""),"23/3/2023, 17:00:00")</f>
        <v>23/3/2023, 17:00:00</v>
      </c>
      <c r="I3695" s="1"/>
      <c r="J3695" s="1">
        <f t="shared" si="3"/>
        <v>0</v>
      </c>
      <c r="K3695" s="1" t="str">
        <f t="shared" si="4"/>
        <v/>
      </c>
    </row>
    <row r="3696">
      <c r="A3696" s="1">
        <f>IFERROR(__xludf.DUMMYFUNCTION("""COMPUTED_VALUE"""),88241.0)</f>
        <v>88241</v>
      </c>
      <c r="B3696" s="5">
        <f>IFERROR(__xludf.DUMMYFUNCTION("""COMPUTED_VALUE"""),45005.50448318287)</f>
        <v>45005.50448</v>
      </c>
      <c r="C3696" s="1" t="str">
        <f>IFERROR(__xludf.DUMMYFUNCTION("""COMPUTED_VALUE"""),"rut vanesa ibazeta")</f>
        <v>rut vanesa ibazeta</v>
      </c>
      <c r="D3696" s="1" t="str">
        <f>IFERROR(__xludf.DUMMYFUNCTION("""COMPUTED_VALUE"""),"Lentes de STOCK")</f>
        <v>Lentes de STOCK</v>
      </c>
      <c r="E3696" s="1" t="str">
        <f>IFERROR(__xludf.DUMMYFUNCTION("""COMPUTED_VALUE"""),"RIVADAVIA Santiago N")</f>
        <v>RIVADAVIA Santiago N</v>
      </c>
      <c r="F3696" s="1" t="str">
        <f t="shared" si="1"/>
        <v>RIVADAVIA </v>
      </c>
      <c r="G3696" s="1" t="str">
        <f t="shared" si="2"/>
        <v>Santiago N</v>
      </c>
      <c r="H3696" s="1" t="str">
        <f>IFERROR(__xludf.DUMMYFUNCTION("""COMPUTED_VALUE"""),"23/3/2023, 17:00:00")</f>
        <v>23/3/2023, 17:00:00</v>
      </c>
      <c r="I3696" s="1" t="str">
        <f>IFERROR(__xludf.DUMMYFUNCTION("""COMPUTED_VALUE"""),"Completado en SUCURSAL")</f>
        <v>Completado en SUCURSAL</v>
      </c>
      <c r="J3696" s="1">
        <f t="shared" si="3"/>
        <v>5</v>
      </c>
      <c r="K3696" s="1" t="str">
        <f t="shared" si="4"/>
        <v>Tus Lentes estan LISTAS PARA ENTREGAR, te esperamos.</v>
      </c>
    </row>
    <row r="3697">
      <c r="A3697" s="1">
        <f>IFERROR(__xludf.DUMMYFUNCTION("""COMPUTED_VALUE"""),88242.0)</f>
        <v>88242</v>
      </c>
      <c r="B3697" s="5">
        <f>IFERROR(__xludf.DUMMYFUNCTION("""COMPUTED_VALUE"""),45005.50478998842)</f>
        <v>45005.50479</v>
      </c>
      <c r="C3697" s="1" t="str">
        <f>IFERROR(__xludf.DUMMYFUNCTION("""COMPUTED_VALUE"""),"PERAZZO FABIAN ALEJANDRO")</f>
        <v>PERAZZO FABIAN ALEJANDRO</v>
      </c>
      <c r="D3697" s="1" t="str">
        <f>IFERROR(__xludf.DUMMYFUNCTION("""COMPUTED_VALUE"""),"Lentes de STOCK")</f>
        <v>Lentes de STOCK</v>
      </c>
      <c r="E3697" s="1" t="str">
        <f>IFERROR(__xludf.DUMMYFUNCTION("""COMPUTED_VALUE"""),"ARTIGAS Roció")</f>
        <v>ARTIGAS Roció</v>
      </c>
      <c r="F3697" s="1" t="str">
        <f t="shared" si="1"/>
        <v>ARTIGAS </v>
      </c>
      <c r="G3697" s="1" t="str">
        <f t="shared" si="2"/>
        <v>Roció</v>
      </c>
      <c r="H3697" s="1" t="str">
        <f>IFERROR(__xludf.DUMMYFUNCTION("""COMPUTED_VALUE"""),"27/3/2023, 17:00:00")</f>
        <v>27/3/2023, 17:00:00</v>
      </c>
      <c r="I3697" s="1" t="str">
        <f>IFERROR(__xludf.DUMMYFUNCTION("""COMPUTED_VALUE"""),"Recibido en Laboratorio")</f>
        <v>Recibido en Laboratorio</v>
      </c>
      <c r="J3697" s="1">
        <f t="shared" si="3"/>
        <v>2</v>
      </c>
      <c r="K3697" s="1" t="str">
        <f t="shared" si="4"/>
        <v>Nuestro Laboratorio esta trabajando en tus lentes, los entregaremos en la fecha acordada.</v>
      </c>
    </row>
    <row r="3698">
      <c r="A3698" s="1">
        <f>IFERROR(__xludf.DUMMYFUNCTION("""COMPUTED_VALUE"""),88243.0)</f>
        <v>88243</v>
      </c>
      <c r="B3698" s="5">
        <f>IFERROR(__xludf.DUMMYFUNCTION("""COMPUTED_VALUE"""),45005.50633795139)</f>
        <v>45005.50634</v>
      </c>
      <c r="C3698" s="1" t="str">
        <f>IFERROR(__xludf.DUMMYFUNCTION("""COMPUTED_VALUE"""),"gutierrz diaz mariano")</f>
        <v>gutierrz diaz mariano</v>
      </c>
      <c r="D3698" s="1" t="str">
        <f>IFERROR(__xludf.DUMMYFUNCTION("""COMPUTED_VALUE"""),"Reparaciones/Otros")</f>
        <v>Reparaciones/Otros</v>
      </c>
      <c r="E3698" s="1" t="str">
        <f>IFERROR(__xludf.DUMMYFUNCTION("""COMPUTED_VALUE"""),"RIVADAVIA Santiago N")</f>
        <v>RIVADAVIA Santiago N</v>
      </c>
      <c r="F3698" s="1" t="str">
        <f t="shared" si="1"/>
        <v>RIVADAVIA </v>
      </c>
      <c r="G3698" s="1" t="str">
        <f t="shared" si="2"/>
        <v>Santiago N</v>
      </c>
      <c r="H3698" s="1" t="str">
        <f>IFERROR(__xludf.DUMMYFUNCTION("""COMPUTED_VALUE"""),"21/3/2023, 17:00:00")</f>
        <v>21/3/2023, 17:00:00</v>
      </c>
      <c r="I3698" s="1" t="str">
        <f>IFERROR(__xludf.DUMMYFUNCTION("""COMPUTED_VALUE"""),"Completado en SUCURSAL")</f>
        <v>Completado en SUCURSAL</v>
      </c>
      <c r="J3698" s="1">
        <f t="shared" si="3"/>
        <v>5</v>
      </c>
      <c r="K3698" s="1" t="str">
        <f t="shared" si="4"/>
        <v>Tus Lentes estan LISTAS PARA ENTREGAR, te esperamos.</v>
      </c>
    </row>
    <row r="3699">
      <c r="A3699" s="1">
        <f>IFERROR(__xludf.DUMMYFUNCTION("""COMPUTED_VALUE"""),88244.0)</f>
        <v>88244</v>
      </c>
      <c r="B3699" s="5">
        <f>IFERROR(__xludf.DUMMYFUNCTION("""COMPUTED_VALUE"""),45005.50840583333)</f>
        <v>45005.50841</v>
      </c>
      <c r="C3699" s="1" t="str">
        <f>IFERROR(__xludf.DUMMYFUNCTION("""COMPUTED_VALUE"""),"FERNANDEZ MIGUEL")</f>
        <v>FERNANDEZ MIGUEL</v>
      </c>
      <c r="D3699" s="1" t="str">
        <f>IFERROR(__xludf.DUMMYFUNCTION("""COMPUTED_VALUE"""),"Lentes de STOCK")</f>
        <v>Lentes de STOCK</v>
      </c>
      <c r="E3699" s="1" t="str">
        <f>IFERROR(__xludf.DUMMYFUNCTION("""COMPUTED_VALUE"""),"ARTIGAS Roció")</f>
        <v>ARTIGAS Roció</v>
      </c>
      <c r="F3699" s="1" t="str">
        <f t="shared" si="1"/>
        <v>ARTIGAS </v>
      </c>
      <c r="G3699" s="1" t="str">
        <f t="shared" si="2"/>
        <v>Roció</v>
      </c>
      <c r="H3699" s="1" t="str">
        <f>IFERROR(__xludf.DUMMYFUNCTION("""COMPUTED_VALUE"""),"27/3/2023, 17:00:00")</f>
        <v>27/3/2023, 17:00:00</v>
      </c>
      <c r="I3699" s="1" t="str">
        <f>IFERROR(__xludf.DUMMYFUNCTION("""COMPUTED_VALUE"""),"RETIRADO OK POR CLIENTE")</f>
        <v>RETIRADO OK POR CLIENTE</v>
      </c>
      <c r="J3699" s="1">
        <f t="shared" si="3"/>
        <v>6</v>
      </c>
      <c r="K3699" s="1" t="str">
        <f t="shared" si="4"/>
        <v>Entregamos tus lentes, que los disfrutes!</v>
      </c>
    </row>
    <row r="3700">
      <c r="A3700" s="1">
        <f>IFERROR(__xludf.DUMMYFUNCTION("""COMPUTED_VALUE"""),88245.0)</f>
        <v>88245</v>
      </c>
      <c r="B3700" s="5">
        <f>IFERROR(__xludf.DUMMYFUNCTION("""COMPUTED_VALUE"""),45005.518315775465)</f>
        <v>45005.51832</v>
      </c>
      <c r="C3700" s="1" t="str">
        <f>IFERROR(__xludf.DUMMYFUNCTION("""COMPUTED_VALUE"""),"BELLO MIGUEL ANTONIO")</f>
        <v>BELLO MIGUEL ANTONIO</v>
      </c>
      <c r="D3700" s="1" t="str">
        <f>IFERROR(__xludf.DUMMYFUNCTION("""COMPUTED_VALUE"""),"Lentes de STOCK")</f>
        <v>Lentes de STOCK</v>
      </c>
      <c r="E3700" s="1" t="str">
        <f>IFERROR(__xludf.DUMMYFUNCTION("""COMPUTED_VALUE"""),"RIVADAVIA Christian C.")</f>
        <v>RIVADAVIA Christian C.</v>
      </c>
      <c r="F3700" s="1" t="str">
        <f t="shared" si="1"/>
        <v>RIVADAVIA </v>
      </c>
      <c r="G3700" s="1" t="str">
        <f t="shared" si="2"/>
        <v>Christian C.</v>
      </c>
      <c r="H3700" s="1" t="str">
        <f>IFERROR(__xludf.DUMMYFUNCTION("""COMPUTED_VALUE"""),"30/3/2023, 17:00:00")</f>
        <v>30/3/2023, 17:00:00</v>
      </c>
      <c r="I3700" s="1" t="str">
        <f>IFERROR(__xludf.DUMMYFUNCTION("""COMPUTED_VALUE"""),"RETIRADO OK POR CLIENTE")</f>
        <v>RETIRADO OK POR CLIENTE</v>
      </c>
      <c r="J3700" s="1">
        <f t="shared" si="3"/>
        <v>6</v>
      </c>
      <c r="K3700" s="1" t="str">
        <f t="shared" si="4"/>
        <v>Entregamos tus lentes, que los disfrutes!</v>
      </c>
    </row>
    <row r="3701">
      <c r="A3701" s="1">
        <f>IFERROR(__xludf.DUMMYFUNCTION("""COMPUTED_VALUE"""),88246.0)</f>
        <v>88246</v>
      </c>
      <c r="B3701" s="5">
        <f>IFERROR(__xludf.DUMMYFUNCTION("""COMPUTED_VALUE"""),45005.518610300926)</f>
        <v>45005.51861</v>
      </c>
      <c r="C3701" s="1" t="str">
        <f>IFERROR(__xludf.DUMMYFUNCTION("""COMPUTED_VALUE"""),"GIL FANNY ")</f>
        <v>GIL FANNY </v>
      </c>
      <c r="D3701" s="1" t="str">
        <f>IFERROR(__xludf.DUMMYFUNCTION("""COMPUTED_VALUE"""),"Lentes BIFOCALES")</f>
        <v>Lentes BIFOCALES</v>
      </c>
      <c r="E3701" s="1" t="str">
        <f>IFERROR(__xludf.DUMMYFUNCTION("""COMPUTED_VALUE"""),"RIVADAVIA Christian C.")</f>
        <v>RIVADAVIA Christian C.</v>
      </c>
      <c r="F3701" s="1" t="str">
        <f t="shared" si="1"/>
        <v>RIVADAVIA </v>
      </c>
      <c r="G3701" s="1" t="str">
        <f t="shared" si="2"/>
        <v>Christian C.</v>
      </c>
      <c r="H3701" s="1" t="str">
        <f>IFERROR(__xludf.DUMMYFUNCTION("""COMPUTED_VALUE"""),"30/3/2023, 17:00:00")</f>
        <v>30/3/2023, 17:00:00</v>
      </c>
      <c r="I3701" s="1" t="str">
        <f>IFERROR(__xludf.DUMMYFUNCTION("""COMPUTED_VALUE"""),"RETIRADO OK POR CLIENTE")</f>
        <v>RETIRADO OK POR CLIENTE</v>
      </c>
      <c r="J3701" s="1">
        <f t="shared" si="3"/>
        <v>6</v>
      </c>
      <c r="K3701" s="1" t="str">
        <f t="shared" si="4"/>
        <v>Entregamos tus lentes, que los disfrutes!</v>
      </c>
    </row>
    <row r="3702">
      <c r="A3702" s="1">
        <f>IFERROR(__xludf.DUMMYFUNCTION("""COMPUTED_VALUE"""),88247.0)</f>
        <v>88247</v>
      </c>
      <c r="B3702" s="5">
        <f>IFERROR(__xludf.DUMMYFUNCTION("""COMPUTED_VALUE"""),45005.522603668986)</f>
        <v>45005.5226</v>
      </c>
      <c r="C3702" s="1" t="str">
        <f>IFERROR(__xludf.DUMMYFUNCTION("""COMPUTED_VALUE"""),"VESPASIANO JOSE MARIA")</f>
        <v>VESPASIANO JOSE MARIA</v>
      </c>
      <c r="D3702" s="1" t="str">
        <f>IFERROR(__xludf.DUMMYFUNCTION("""COMPUTED_VALUE"""),"Lentes BIFOCALES")</f>
        <v>Lentes BIFOCALES</v>
      </c>
      <c r="E3702" s="1" t="str">
        <f>IFERROR(__xludf.DUMMYFUNCTION("""COMPUTED_VALUE"""),"RIVADAVIA Marcela L")</f>
        <v>RIVADAVIA Marcela L</v>
      </c>
      <c r="F3702" s="1" t="str">
        <f t="shared" si="1"/>
        <v>RIVADAVIA </v>
      </c>
      <c r="G3702" s="1" t="str">
        <f t="shared" si="2"/>
        <v>Marcela L</v>
      </c>
      <c r="H3702" s="1" t="str">
        <f>IFERROR(__xludf.DUMMYFUNCTION("""COMPUTED_VALUE"""),"4/4/2023, 17:00:00")</f>
        <v>4/4/2023, 17:00:00</v>
      </c>
      <c r="I3702" s="1" t="str">
        <f>IFERROR(__xludf.DUMMYFUNCTION("""COMPUTED_VALUE"""),"RETIRADO OK POR CLIENTE")</f>
        <v>RETIRADO OK POR CLIENTE</v>
      </c>
      <c r="J3702" s="1">
        <f t="shared" si="3"/>
        <v>6</v>
      </c>
      <c r="K3702" s="1" t="str">
        <f t="shared" si="4"/>
        <v>Entregamos tus lentes, que los disfrutes!</v>
      </c>
    </row>
    <row r="3703">
      <c r="A3703" s="1">
        <f>IFERROR(__xludf.DUMMYFUNCTION("""COMPUTED_VALUE"""),88248.0)</f>
        <v>88248</v>
      </c>
      <c r="B3703" s="5">
        <f>IFERROR(__xludf.DUMMYFUNCTION("""COMPUTED_VALUE"""),45005.526402662035)</f>
        <v>45005.5264</v>
      </c>
      <c r="C3703" s="1" t="str">
        <f>IFERROR(__xludf.DUMMYFUNCTION("""COMPUTED_VALUE"""),"GONZALES LUIS")</f>
        <v>GONZALES LUIS</v>
      </c>
      <c r="D3703" s="1" t="str">
        <f>IFERROR(__xludf.DUMMYFUNCTION("""COMPUTED_VALUE"""),"Lentes de STOCK")</f>
        <v>Lentes de STOCK</v>
      </c>
      <c r="E3703" s="1" t="str">
        <f>IFERROR(__xludf.DUMMYFUNCTION("""COMPUTED_VALUE"""),"ARTIGAS Ivana P.")</f>
        <v>ARTIGAS Ivana P.</v>
      </c>
      <c r="F3703" s="1" t="str">
        <f t="shared" si="1"/>
        <v>ARTIGAS </v>
      </c>
      <c r="G3703" s="1" t="str">
        <f t="shared" si="2"/>
        <v>Ivana P.</v>
      </c>
      <c r="H3703" s="1" t="str">
        <f>IFERROR(__xludf.DUMMYFUNCTION("""COMPUTED_VALUE"""),"27/3/2023, 17:00:00")</f>
        <v>27/3/2023, 17:00:00</v>
      </c>
      <c r="I3703" s="1" t="str">
        <f>IFERROR(__xludf.DUMMYFUNCTION("""COMPUTED_VALUE"""),"Recibido en Laboratorio")</f>
        <v>Recibido en Laboratorio</v>
      </c>
      <c r="J3703" s="1">
        <f t="shared" si="3"/>
        <v>2</v>
      </c>
      <c r="K3703" s="1" t="str">
        <f t="shared" si="4"/>
        <v>Nuestro Laboratorio esta trabajando en tus lentes, los entregaremos en la fecha acordada.</v>
      </c>
    </row>
    <row r="3704">
      <c r="A3704" s="1">
        <f>IFERROR(__xludf.DUMMYFUNCTION("""COMPUTED_VALUE"""),88249.0)</f>
        <v>88249</v>
      </c>
      <c r="B3704" s="5">
        <f>IFERROR(__xludf.DUMMYFUNCTION("""COMPUTED_VALUE"""),45005.52891538195)</f>
        <v>45005.52892</v>
      </c>
      <c r="C3704" s="1" t="str">
        <f>IFERROR(__xludf.DUMMYFUNCTION("""COMPUTED_VALUE"""),"MUÑOZ ALFREDO")</f>
        <v>MUÑOZ ALFREDO</v>
      </c>
      <c r="D3704" s="1" t="str">
        <f>IFERROR(__xludf.DUMMYFUNCTION("""COMPUTED_VALUE"""),"Lentes BIFOCALES")</f>
        <v>Lentes BIFOCALES</v>
      </c>
      <c r="E3704" s="1" t="str">
        <f>IFERROR(__xludf.DUMMYFUNCTION("""COMPUTED_VALUE"""),"RIVADAVIA Luciana")</f>
        <v>RIVADAVIA Luciana</v>
      </c>
      <c r="F3704" s="1" t="str">
        <f t="shared" si="1"/>
        <v>RIVADAVIA </v>
      </c>
      <c r="G3704" s="1" t="str">
        <f t="shared" si="2"/>
        <v>Luciana</v>
      </c>
      <c r="H3704" s="1" t="str">
        <f>IFERROR(__xludf.DUMMYFUNCTION("""COMPUTED_VALUE"""),"30/3/2023, 17:00:00")</f>
        <v>30/3/2023, 17:00:00</v>
      </c>
      <c r="I3704" s="1" t="str">
        <f>IFERROR(__xludf.DUMMYFUNCTION("""COMPUTED_VALUE"""),"RETIRADO OK POR CLIENTE")</f>
        <v>RETIRADO OK POR CLIENTE</v>
      </c>
      <c r="J3704" s="1">
        <f t="shared" si="3"/>
        <v>6</v>
      </c>
      <c r="K3704" s="1" t="str">
        <f t="shared" si="4"/>
        <v>Entregamos tus lentes, que los disfrutes!</v>
      </c>
    </row>
    <row r="3705">
      <c r="A3705" s="1">
        <f>IFERROR(__xludf.DUMMYFUNCTION("""COMPUTED_VALUE"""),88250.0)</f>
        <v>88250</v>
      </c>
      <c r="B3705" s="5">
        <f>IFERROR(__xludf.DUMMYFUNCTION("""COMPUTED_VALUE"""),45005.53923055556)</f>
        <v>45005.53923</v>
      </c>
      <c r="C3705" s="1" t="str">
        <f>IFERROR(__xludf.DUMMYFUNCTION("""COMPUTED_VALUE"""),"DOMINGUEZ MARIO 7 TGN")</f>
        <v>DOMINGUEZ MARIO 7 TGN</v>
      </c>
      <c r="D3705" s="1" t="str">
        <f>IFERROR(__xludf.DUMMYFUNCTION("""COMPUTED_VALUE"""),"Lentes MULTIFOCALES")</f>
        <v>Lentes MULTIFOCALES</v>
      </c>
      <c r="E3705" s="1" t="str">
        <f>IFERROR(__xludf.DUMMYFUNCTION("""COMPUTED_VALUE"""),"ARTIGAS Ivana P.")</f>
        <v>ARTIGAS Ivana P.</v>
      </c>
      <c r="F3705" s="1" t="str">
        <f t="shared" si="1"/>
        <v>ARTIGAS </v>
      </c>
      <c r="G3705" s="1" t="str">
        <f t="shared" si="2"/>
        <v>Ivana P.</v>
      </c>
      <c r="H3705" s="1" t="str">
        <f>IFERROR(__xludf.DUMMYFUNCTION("""COMPUTED_VALUE"""),"3/4/2023, 17:00:00")</f>
        <v>3/4/2023, 17:00:00</v>
      </c>
      <c r="I3705" s="1" t="str">
        <f>IFERROR(__xludf.DUMMYFUNCTION("""COMPUTED_VALUE"""),"Completado en SUCURSAL")</f>
        <v>Completado en SUCURSAL</v>
      </c>
      <c r="J3705" s="1">
        <f t="shared" si="3"/>
        <v>5</v>
      </c>
      <c r="K3705" s="1" t="str">
        <f t="shared" si="4"/>
        <v>Tus Lentes estan LISTAS PARA ENTREGAR, te esperamos.</v>
      </c>
    </row>
    <row r="3706">
      <c r="A3706" s="1">
        <f>IFERROR(__xludf.DUMMYFUNCTION("""COMPUTED_VALUE"""),88251.0)</f>
        <v>88251</v>
      </c>
      <c r="B3706" s="5">
        <f>IFERROR(__xludf.DUMMYFUNCTION("""COMPUTED_VALUE"""),45005.54511274306)</f>
        <v>45005.54511</v>
      </c>
      <c r="C3706" s="1" t="str">
        <f>IFERROR(__xludf.DUMMYFUNCTION("""COMPUTED_VALUE"""),"MATERA VELAZQUEZ JANIS ALUHE")</f>
        <v>MATERA VELAZQUEZ JANIS ALUHE</v>
      </c>
      <c r="D3706" s="1" t="str">
        <f>IFERROR(__xludf.DUMMYFUNCTION("""COMPUTED_VALUE"""),"Lentes de STOCK")</f>
        <v>Lentes de STOCK</v>
      </c>
      <c r="E3706" s="1" t="str">
        <f>IFERROR(__xludf.DUMMYFUNCTION("""COMPUTED_VALUE"""),"RIVADAVIA Marcela L")</f>
        <v>RIVADAVIA Marcela L</v>
      </c>
      <c r="F3706" s="1" t="str">
        <f t="shared" si="1"/>
        <v>RIVADAVIA </v>
      </c>
      <c r="G3706" s="1" t="str">
        <f t="shared" si="2"/>
        <v>Marcela L</v>
      </c>
      <c r="H3706" s="1" t="str">
        <f>IFERROR(__xludf.DUMMYFUNCTION("""COMPUTED_VALUE"""),"23/3/2023, 17:00:00")</f>
        <v>23/3/2023, 17:00:00</v>
      </c>
      <c r="I3706" s="1" t="str">
        <f>IFERROR(__xludf.DUMMYFUNCTION("""COMPUTED_VALUE"""),"RETIRADO OK POR CLIENTE")</f>
        <v>RETIRADO OK POR CLIENTE</v>
      </c>
      <c r="J3706" s="1">
        <f t="shared" si="3"/>
        <v>6</v>
      </c>
      <c r="K3706" s="1" t="str">
        <f t="shared" si="4"/>
        <v>Entregamos tus lentes, que los disfrutes!</v>
      </c>
    </row>
    <row r="3707">
      <c r="A3707" s="1">
        <f>IFERROR(__xludf.DUMMYFUNCTION("""COMPUTED_VALUE"""),88252.0)</f>
        <v>88252</v>
      </c>
      <c r="B3707" s="5">
        <f>IFERROR(__xludf.DUMMYFUNCTION("""COMPUTED_VALUE"""),45005.54919334491)</f>
        <v>45005.54919</v>
      </c>
      <c r="C3707" s="1" t="str">
        <f>IFERROR(__xludf.DUMMYFUNCTION("""COMPUTED_VALUE"""),"MIRANDA ALMA LUJAN")</f>
        <v>MIRANDA ALMA LUJAN</v>
      </c>
      <c r="D3707" s="1" t="str">
        <f>IFERROR(__xludf.DUMMYFUNCTION("""COMPUTED_VALUE"""),"Lentes de STOCK")</f>
        <v>Lentes de STOCK</v>
      </c>
      <c r="E3707" s="1" t="str">
        <f>IFERROR(__xludf.DUMMYFUNCTION("""COMPUTED_VALUE"""),"RIVADAVIA Marcela L")</f>
        <v>RIVADAVIA Marcela L</v>
      </c>
      <c r="F3707" s="1" t="str">
        <f t="shared" si="1"/>
        <v>RIVADAVIA </v>
      </c>
      <c r="G3707" s="1" t="str">
        <f t="shared" si="2"/>
        <v>Marcela L</v>
      </c>
      <c r="H3707" s="1" t="str">
        <f>IFERROR(__xludf.DUMMYFUNCTION("""COMPUTED_VALUE"""),"22/3/2023, 17:00:00")</f>
        <v>22/3/2023, 17:00:00</v>
      </c>
      <c r="I3707" s="1" t="str">
        <f>IFERROR(__xludf.DUMMYFUNCTION("""COMPUTED_VALUE"""),"Completado en SUCURSAL")</f>
        <v>Completado en SUCURSAL</v>
      </c>
      <c r="J3707" s="1">
        <f t="shared" si="3"/>
        <v>5</v>
      </c>
      <c r="K3707" s="1" t="str">
        <f t="shared" si="4"/>
        <v>Tus Lentes estan LISTAS PARA ENTREGAR, te esperamos.</v>
      </c>
    </row>
    <row r="3708">
      <c r="A3708" s="1">
        <f>IFERROR(__xludf.DUMMYFUNCTION("""COMPUTED_VALUE"""),88253.0)</f>
        <v>88253</v>
      </c>
      <c r="B3708" s="5">
        <f>IFERROR(__xludf.DUMMYFUNCTION("""COMPUTED_VALUE"""),45005.682825358796)</f>
        <v>45005.68283</v>
      </c>
      <c r="C3708" s="1" t="str">
        <f>IFERROR(__xludf.DUMMYFUNCTION("""COMPUTED_VALUE"""),"GODOY MARIA CANDELA")</f>
        <v>GODOY MARIA CANDELA</v>
      </c>
      <c r="D3708" s="1" t="str">
        <f>IFERROR(__xludf.DUMMYFUNCTION("""COMPUTED_VALUE"""),"Lentes MULTIFOCALES")</f>
        <v>Lentes MULTIFOCALES</v>
      </c>
      <c r="E3708" s="1" t="str">
        <f>IFERROR(__xludf.DUMMYFUNCTION("""COMPUTED_VALUE"""),"ARTIGAS Ivana P.")</f>
        <v>ARTIGAS Ivana P.</v>
      </c>
      <c r="F3708" s="1" t="str">
        <f t="shared" si="1"/>
        <v>ARTIGAS </v>
      </c>
      <c r="G3708" s="1" t="str">
        <f t="shared" si="2"/>
        <v>Ivana P.</v>
      </c>
      <c r="H3708" s="1" t="str">
        <f>IFERROR(__xludf.DUMMYFUNCTION("""COMPUTED_VALUE"""),"3/4/2023, 17:00:00")</f>
        <v>3/4/2023, 17:00:00</v>
      </c>
      <c r="I3708" s="1" t="str">
        <f>IFERROR(__xludf.DUMMYFUNCTION("""COMPUTED_VALUE"""),"RETIRADO OK POR CLIENTE")</f>
        <v>RETIRADO OK POR CLIENTE</v>
      </c>
      <c r="J3708" s="1">
        <f t="shared" si="3"/>
        <v>6</v>
      </c>
      <c r="K3708" s="1" t="str">
        <f t="shared" si="4"/>
        <v>Entregamos tus lentes, que los disfrutes!</v>
      </c>
    </row>
    <row r="3709">
      <c r="A3709" s="1">
        <f>IFERROR(__xludf.DUMMYFUNCTION("""COMPUTED_VALUE"""),88254.0)</f>
        <v>88254</v>
      </c>
      <c r="B3709" s="5">
        <f>IFERROR(__xludf.DUMMYFUNCTION("""COMPUTED_VALUE"""),45005.69688878472)</f>
        <v>45005.69689</v>
      </c>
      <c r="C3709" s="1" t="str">
        <f>IFERROR(__xludf.DUMMYFUNCTION("""COMPUTED_VALUE"""),"MAMBERTO PAULA")</f>
        <v>MAMBERTO PAULA</v>
      </c>
      <c r="D3709" s="1" t="str">
        <f>IFERROR(__xludf.DUMMYFUNCTION("""COMPUTED_VALUE"""),"Lentes de STOCK")</f>
        <v>Lentes de STOCK</v>
      </c>
      <c r="E3709" s="1" t="str">
        <f>IFERROR(__xludf.DUMMYFUNCTION("""COMPUTED_VALUE"""),"ARTIGAS Ivana P.")</f>
        <v>ARTIGAS Ivana P.</v>
      </c>
      <c r="F3709" s="1" t="str">
        <f t="shared" si="1"/>
        <v>ARTIGAS </v>
      </c>
      <c r="G3709" s="1" t="str">
        <f t="shared" si="2"/>
        <v>Ivana P.</v>
      </c>
      <c r="H3709" s="1" t="str">
        <f>IFERROR(__xludf.DUMMYFUNCTION("""COMPUTED_VALUE"""),"23/3/2023, 17:00:00")</f>
        <v>23/3/2023, 17:00:00</v>
      </c>
      <c r="I3709" s="1" t="str">
        <f>IFERROR(__xludf.DUMMYFUNCTION("""COMPUTED_VALUE"""),"RETIRADO OK POR CLIENTE")</f>
        <v>RETIRADO OK POR CLIENTE</v>
      </c>
      <c r="J3709" s="1">
        <f t="shared" si="3"/>
        <v>6</v>
      </c>
      <c r="K3709" s="1" t="str">
        <f t="shared" si="4"/>
        <v>Entregamos tus lentes, que los disfrutes!</v>
      </c>
    </row>
    <row r="3710">
      <c r="A3710" s="1">
        <f>IFERROR(__xludf.DUMMYFUNCTION("""COMPUTED_VALUE"""),88255.0)</f>
        <v>88255</v>
      </c>
      <c r="B3710" s="5">
        <f>IFERROR(__xludf.DUMMYFUNCTION("""COMPUTED_VALUE"""),45005.70755896991)</f>
        <v>45005.70756</v>
      </c>
      <c r="C3710" s="1" t="str">
        <f>IFERROR(__xludf.DUMMYFUNCTION("""COMPUTED_VALUE"""),"LESCANO RUBEN")</f>
        <v>LESCANO RUBEN</v>
      </c>
      <c r="D3710" s="1" t="str">
        <f>IFERROR(__xludf.DUMMYFUNCTION("""COMPUTED_VALUE"""),"Lentes de STOCK")</f>
        <v>Lentes de STOCK</v>
      </c>
      <c r="E3710" s="1" t="str">
        <f>IFERROR(__xludf.DUMMYFUNCTION("""COMPUTED_VALUE"""),"ARTIGAS Ivana P.")</f>
        <v>ARTIGAS Ivana P.</v>
      </c>
      <c r="F3710" s="1" t="str">
        <f t="shared" si="1"/>
        <v>ARTIGAS </v>
      </c>
      <c r="G3710" s="1" t="str">
        <f t="shared" si="2"/>
        <v>Ivana P.</v>
      </c>
      <c r="H3710" s="1" t="str">
        <f>IFERROR(__xludf.DUMMYFUNCTION("""COMPUTED_VALUE"""),"23/3/2023, 17:00:00")</f>
        <v>23/3/2023, 17:00:00</v>
      </c>
      <c r="I3710" s="1" t="str">
        <f>IFERROR(__xludf.DUMMYFUNCTION("""COMPUTED_VALUE"""),"Completado en SUCURSAL")</f>
        <v>Completado en SUCURSAL</v>
      </c>
      <c r="J3710" s="1">
        <f t="shared" si="3"/>
        <v>5</v>
      </c>
      <c r="K3710" s="1" t="str">
        <f t="shared" si="4"/>
        <v>Tus Lentes estan LISTAS PARA ENTREGAR, te esperamos.</v>
      </c>
    </row>
    <row r="3711">
      <c r="A3711" s="1">
        <f>IFERROR(__xludf.DUMMYFUNCTION("""COMPUTED_VALUE"""),88256.0)</f>
        <v>88256</v>
      </c>
      <c r="B3711" s="5">
        <f>IFERROR(__xludf.DUMMYFUNCTION("""COMPUTED_VALUE"""),45005.71375707176)</f>
        <v>45005.71376</v>
      </c>
      <c r="C3711" s="1" t="str">
        <f>IFERROR(__xludf.DUMMYFUNCTION("""COMPUTED_VALUE"""),"FRIAS GILBERTO")</f>
        <v>FRIAS GILBERTO</v>
      </c>
      <c r="D3711" s="1" t="str">
        <f>IFERROR(__xludf.DUMMYFUNCTION("""COMPUTED_VALUE"""),"Lentes de STOCK")</f>
        <v>Lentes de STOCK</v>
      </c>
      <c r="E3711" s="1" t="str">
        <f>IFERROR(__xludf.DUMMYFUNCTION("""COMPUTED_VALUE"""),"ARTIGAS Roció")</f>
        <v>ARTIGAS Roció</v>
      </c>
      <c r="F3711" s="1" t="str">
        <f t="shared" si="1"/>
        <v>ARTIGAS </v>
      </c>
      <c r="G3711" s="1" t="str">
        <f t="shared" si="2"/>
        <v>Roció</v>
      </c>
      <c r="H3711" s="1" t="str">
        <f>IFERROR(__xludf.DUMMYFUNCTION("""COMPUTED_VALUE"""),"27/3/2023, 17:00:00")</f>
        <v>27/3/2023, 17:00:00</v>
      </c>
      <c r="I3711" s="1" t="str">
        <f>IFERROR(__xludf.DUMMYFUNCTION("""COMPUTED_VALUE"""),"RETIRADO OK POR CLIENTE")</f>
        <v>RETIRADO OK POR CLIENTE</v>
      </c>
      <c r="J3711" s="1">
        <f t="shared" si="3"/>
        <v>6</v>
      </c>
      <c r="K3711" s="1" t="str">
        <f t="shared" si="4"/>
        <v>Entregamos tus lentes, que los disfrutes!</v>
      </c>
    </row>
    <row r="3712">
      <c r="A3712" s="1">
        <f>IFERROR(__xludf.DUMMYFUNCTION("""COMPUTED_VALUE"""),88257.0)</f>
        <v>88257</v>
      </c>
      <c r="B3712" s="5">
        <f>IFERROR(__xludf.DUMMYFUNCTION("""COMPUTED_VALUE"""),45005.724339305554)</f>
        <v>45005.72434</v>
      </c>
      <c r="C3712" s="1" t="str">
        <f>IFERROR(__xludf.DUMMYFUNCTION("""COMPUTED_VALUE"""),"FERNANDEZ JOSE")</f>
        <v>FERNANDEZ JOSE</v>
      </c>
      <c r="D3712" s="1" t="str">
        <f>IFERROR(__xludf.DUMMYFUNCTION("""COMPUTED_VALUE"""),"Lentes de STOCK")</f>
        <v>Lentes de STOCK</v>
      </c>
      <c r="E3712" s="1" t="str">
        <f>IFERROR(__xludf.DUMMYFUNCTION("""COMPUTED_VALUE"""),"ARTIGAS Roció")</f>
        <v>ARTIGAS Roció</v>
      </c>
      <c r="F3712" s="1" t="str">
        <f t="shared" si="1"/>
        <v>ARTIGAS </v>
      </c>
      <c r="G3712" s="1" t="str">
        <f t="shared" si="2"/>
        <v>Roció</v>
      </c>
      <c r="H3712" s="1" t="str">
        <f>IFERROR(__xludf.DUMMYFUNCTION("""COMPUTED_VALUE"""),"27/3/2023, 17:00:00")</f>
        <v>27/3/2023, 17:00:00</v>
      </c>
      <c r="I3712" s="1" t="str">
        <f>IFERROR(__xludf.DUMMYFUNCTION("""COMPUTED_VALUE"""),"Recibido en Laboratorio")</f>
        <v>Recibido en Laboratorio</v>
      </c>
      <c r="J3712" s="1">
        <f t="shared" si="3"/>
        <v>2</v>
      </c>
      <c r="K3712" s="1" t="str">
        <f t="shared" si="4"/>
        <v>Nuestro Laboratorio esta trabajando en tus lentes, los entregaremos en la fecha acordada.</v>
      </c>
    </row>
    <row r="3713">
      <c r="A3713" s="1">
        <f>IFERROR(__xludf.DUMMYFUNCTION("""COMPUTED_VALUE"""),88258.0)</f>
        <v>88258</v>
      </c>
      <c r="B3713" s="5">
        <f>IFERROR(__xludf.DUMMYFUNCTION("""COMPUTED_VALUE"""),45005.74319277778)</f>
        <v>45005.74319</v>
      </c>
      <c r="C3713" s="1" t="str">
        <f>IFERROR(__xludf.DUMMYFUNCTION("""COMPUTED_VALUE"""),"OLIVERA MAGALLANES ROMA")</f>
        <v>OLIVERA MAGALLANES ROMA</v>
      </c>
      <c r="D3713" s="1" t="str">
        <f>IFERROR(__xludf.DUMMYFUNCTION("""COMPUTED_VALUE"""),"Lentes de STOCK")</f>
        <v>Lentes de STOCK</v>
      </c>
      <c r="E3713" s="1" t="str">
        <f>IFERROR(__xludf.DUMMYFUNCTION("""COMPUTED_VALUE"""),"ARTIGAS Roció")</f>
        <v>ARTIGAS Roció</v>
      </c>
      <c r="F3713" s="1" t="str">
        <f t="shared" si="1"/>
        <v>ARTIGAS </v>
      </c>
      <c r="G3713" s="1" t="str">
        <f t="shared" si="2"/>
        <v>Roció</v>
      </c>
      <c r="H3713" s="1" t="str">
        <f>IFERROR(__xludf.DUMMYFUNCTION("""COMPUTED_VALUE"""),"27/3/2023, 17:00:00")</f>
        <v>27/3/2023, 17:00:00</v>
      </c>
      <c r="I3713" s="1" t="str">
        <f>IFERROR(__xludf.DUMMYFUNCTION("""COMPUTED_VALUE"""),"Recibido en Laboratorio")</f>
        <v>Recibido en Laboratorio</v>
      </c>
      <c r="J3713" s="1">
        <f t="shared" si="3"/>
        <v>2</v>
      </c>
      <c r="K3713" s="1" t="str">
        <f t="shared" si="4"/>
        <v>Nuestro Laboratorio esta trabajando en tus lentes, los entregaremos en la fecha acordada.</v>
      </c>
    </row>
    <row r="3714">
      <c r="A3714" s="1">
        <f>IFERROR(__xludf.DUMMYFUNCTION("""COMPUTED_VALUE"""),88259.0)</f>
        <v>88259</v>
      </c>
      <c r="B3714" s="5">
        <f>IFERROR(__xludf.DUMMYFUNCTION("""COMPUTED_VALUE"""),45005.75053053241)</f>
        <v>45005.75053</v>
      </c>
      <c r="C3714" s="1" t="str">
        <f>IFERROR(__xludf.DUMMYFUNCTION("""COMPUTED_VALUE"""),"FLORES LUIS")</f>
        <v>FLORES LUIS</v>
      </c>
      <c r="D3714" s="1" t="str">
        <f>IFERROR(__xludf.DUMMYFUNCTION("""COMPUTED_VALUE"""),"Lentes de STOCK")</f>
        <v>Lentes de STOCK</v>
      </c>
      <c r="E3714" s="1" t="str">
        <f>IFERROR(__xludf.DUMMYFUNCTION("""COMPUTED_VALUE"""),"ARTIGAS Ivana P.")</f>
        <v>ARTIGAS Ivana P.</v>
      </c>
      <c r="F3714" s="1" t="str">
        <f t="shared" si="1"/>
        <v>ARTIGAS </v>
      </c>
      <c r="G3714" s="1" t="str">
        <f t="shared" si="2"/>
        <v>Ivana P.</v>
      </c>
      <c r="H3714" s="1" t="str">
        <f>IFERROR(__xludf.DUMMYFUNCTION("""COMPUTED_VALUE"""),"27/3/2023, 17:00:00")</f>
        <v>27/3/2023, 17:00:00</v>
      </c>
      <c r="I3714" s="1" t="str">
        <f>IFERROR(__xludf.DUMMYFUNCTION("""COMPUTED_VALUE"""),"RETIRADO OK POR CLIENTE")</f>
        <v>RETIRADO OK POR CLIENTE</v>
      </c>
      <c r="J3714" s="1">
        <f t="shared" si="3"/>
        <v>6</v>
      </c>
      <c r="K3714" s="1" t="str">
        <f t="shared" si="4"/>
        <v>Entregamos tus lentes, que los disfrutes!</v>
      </c>
    </row>
    <row r="3715">
      <c r="A3715" s="1">
        <f>IFERROR(__xludf.DUMMYFUNCTION("""COMPUTED_VALUE"""),88260.0)</f>
        <v>88260</v>
      </c>
      <c r="B3715" s="5">
        <f>IFERROR(__xludf.DUMMYFUNCTION("""COMPUTED_VALUE"""),45005.766279386575)</f>
        <v>45005.76628</v>
      </c>
      <c r="C3715" s="1" t="str">
        <f>IFERROR(__xludf.DUMMYFUNCTION("""COMPUTED_VALUE"""),"CADELAGO ELISABETH AGUEDA")</f>
        <v>CADELAGO ELISABETH AGUEDA</v>
      </c>
      <c r="D3715" s="1" t="str">
        <f>IFERROR(__xludf.DUMMYFUNCTION("""COMPUTED_VALUE"""),"Lentes de STOCK")</f>
        <v>Lentes de STOCK</v>
      </c>
      <c r="E3715" s="1" t="str">
        <f>IFERROR(__xludf.DUMMYFUNCTION("""COMPUTED_VALUE"""),"ARTIGAS Roció")</f>
        <v>ARTIGAS Roció</v>
      </c>
      <c r="F3715" s="1" t="str">
        <f t="shared" si="1"/>
        <v>ARTIGAS </v>
      </c>
      <c r="G3715" s="1" t="str">
        <f t="shared" si="2"/>
        <v>Roció</v>
      </c>
      <c r="H3715" s="1" t="str">
        <f>IFERROR(__xludf.DUMMYFUNCTION("""COMPUTED_VALUE"""),"22/3/2023, 17:00:00")</f>
        <v>22/3/2023, 17:00:00</v>
      </c>
      <c r="I3715" s="1" t="str">
        <f>IFERROR(__xludf.DUMMYFUNCTION("""COMPUTED_VALUE"""),"Completado en SUCURSAL")</f>
        <v>Completado en SUCURSAL</v>
      </c>
      <c r="J3715" s="1">
        <f t="shared" si="3"/>
        <v>5</v>
      </c>
      <c r="K3715" s="1" t="str">
        <f t="shared" si="4"/>
        <v>Tus Lentes estan LISTAS PARA ENTREGAR, te esperamos.</v>
      </c>
    </row>
    <row r="3716">
      <c r="A3716" s="1">
        <f>IFERROR(__xludf.DUMMYFUNCTION("""COMPUTED_VALUE"""),88261.0)</f>
        <v>88261</v>
      </c>
      <c r="B3716" s="5">
        <f>IFERROR(__xludf.DUMMYFUNCTION("""COMPUTED_VALUE"""),45005.769355578705)</f>
        <v>45005.76936</v>
      </c>
      <c r="C3716" s="1" t="str">
        <f>IFERROR(__xludf.DUMMYFUNCTION("""COMPUTED_VALUE"""),"VALLEJOS ROCIO")</f>
        <v>VALLEJOS ROCIO</v>
      </c>
      <c r="D3716" s="1" t="str">
        <f>IFERROR(__xludf.DUMMYFUNCTION("""COMPUTED_VALUE"""),"Lentes de STOCK")</f>
        <v>Lentes de STOCK</v>
      </c>
      <c r="E3716" s="1" t="str">
        <f>IFERROR(__xludf.DUMMYFUNCTION("""COMPUTED_VALUE"""),"ARTIGAS Ivana P.")</f>
        <v>ARTIGAS Ivana P.</v>
      </c>
      <c r="F3716" s="1" t="str">
        <f t="shared" si="1"/>
        <v>ARTIGAS </v>
      </c>
      <c r="G3716" s="1" t="str">
        <f t="shared" si="2"/>
        <v>Ivana P.</v>
      </c>
      <c r="H3716" s="1" t="str">
        <f>IFERROR(__xludf.DUMMYFUNCTION("""COMPUTED_VALUE"""),"23/3/2023, 17:00:00")</f>
        <v>23/3/2023, 17:00:00</v>
      </c>
      <c r="I3716" s="1" t="str">
        <f>IFERROR(__xludf.DUMMYFUNCTION("""COMPUTED_VALUE"""),"Completado en SUCURSAL")</f>
        <v>Completado en SUCURSAL</v>
      </c>
      <c r="J3716" s="1">
        <f t="shared" si="3"/>
        <v>5</v>
      </c>
      <c r="K3716" s="1" t="str">
        <f t="shared" si="4"/>
        <v>Tus Lentes estan LISTAS PARA ENTREGAR, te esperamos.</v>
      </c>
    </row>
    <row r="3717">
      <c r="A3717" s="1">
        <f>IFERROR(__xludf.DUMMYFUNCTION("""COMPUTED_VALUE"""),88262.0)</f>
        <v>88262</v>
      </c>
      <c r="B3717" s="5">
        <f>IFERROR(__xludf.DUMMYFUNCTION("""COMPUTED_VALUE"""),45005.77010879629)</f>
        <v>45005.77011</v>
      </c>
      <c r="C3717" s="1" t="str">
        <f>IFERROR(__xludf.DUMMYFUNCTION("""COMPUTED_VALUE"""),"SANTIAGO QUIROGA")</f>
        <v>SANTIAGO QUIROGA</v>
      </c>
      <c r="D3717" s="1" t="str">
        <f>IFERROR(__xludf.DUMMYFUNCTION("""COMPUTED_VALUE"""),"Reparaciones/Otros")</f>
        <v>Reparaciones/Otros</v>
      </c>
      <c r="E3717" s="1" t="str">
        <f>IFERROR(__xludf.DUMMYFUNCTION("""COMPUTED_VALUE"""),"RIVADAVIA Javier")</f>
        <v>RIVADAVIA Javier</v>
      </c>
      <c r="F3717" s="1" t="str">
        <f t="shared" si="1"/>
        <v>RIVADAVIA </v>
      </c>
      <c r="G3717" s="1" t="str">
        <f t="shared" si="2"/>
        <v>Javier</v>
      </c>
      <c r="H3717" s="1" t="str">
        <f>IFERROR(__xludf.DUMMYFUNCTION("""COMPUTED_VALUE"""),"21/3/2023, 17:00:00")</f>
        <v>21/3/2023, 17:00:00</v>
      </c>
      <c r="I3717" s="1" t="str">
        <f>IFERROR(__xludf.DUMMYFUNCTION("""COMPUTED_VALUE"""),"Completado en SUCURSAL")</f>
        <v>Completado en SUCURSAL</v>
      </c>
      <c r="J3717" s="1">
        <f t="shared" si="3"/>
        <v>5</v>
      </c>
      <c r="K3717" s="1" t="str">
        <f t="shared" si="4"/>
        <v>Tus Lentes estan LISTAS PARA ENTREGAR, te esperamos.</v>
      </c>
    </row>
    <row r="3718">
      <c r="A3718" s="1">
        <f>IFERROR(__xludf.DUMMYFUNCTION("""COMPUTED_VALUE"""),88263.0)</f>
        <v>88263</v>
      </c>
      <c r="B3718" s="5">
        <f>IFERROR(__xludf.DUMMYFUNCTION("""COMPUTED_VALUE"""),45005.77240621528)</f>
        <v>45005.77241</v>
      </c>
      <c r="C3718" s="1" t="str">
        <f>IFERROR(__xludf.DUMMYFUNCTION("""COMPUTED_VALUE"""),"RODRIGUEZ IGNACIO")</f>
        <v>RODRIGUEZ IGNACIO</v>
      </c>
      <c r="D3718" s="1" t="str">
        <f>IFERROR(__xludf.DUMMYFUNCTION("""COMPUTED_VALUE"""),"Reparaciones/Otros")</f>
        <v>Reparaciones/Otros</v>
      </c>
      <c r="E3718" s="1" t="str">
        <f>IFERROR(__xludf.DUMMYFUNCTION("""COMPUTED_VALUE"""),"RIVADAVIA Javier")</f>
        <v>RIVADAVIA Javier</v>
      </c>
      <c r="F3718" s="1" t="str">
        <f t="shared" si="1"/>
        <v>RIVADAVIA </v>
      </c>
      <c r="G3718" s="1" t="str">
        <f t="shared" si="2"/>
        <v>Javier</v>
      </c>
      <c r="H3718" s="1" t="str">
        <f>IFERROR(__xludf.DUMMYFUNCTION("""COMPUTED_VALUE"""),"21/3/2023, 17:00:00")</f>
        <v>21/3/2023, 17:00:00</v>
      </c>
      <c r="I3718" s="1" t="str">
        <f>IFERROR(__xludf.DUMMYFUNCTION("""COMPUTED_VALUE"""),"Completado en SUCURSAL")</f>
        <v>Completado en SUCURSAL</v>
      </c>
      <c r="J3718" s="1">
        <f t="shared" si="3"/>
        <v>5</v>
      </c>
      <c r="K3718" s="1" t="str">
        <f t="shared" si="4"/>
        <v>Tus Lentes estan LISTAS PARA ENTREGAR, te esperamos.</v>
      </c>
    </row>
    <row r="3719">
      <c r="A3719" s="1">
        <f>IFERROR(__xludf.DUMMYFUNCTION("""COMPUTED_VALUE"""),88264.0)</f>
        <v>88264</v>
      </c>
      <c r="B3719" s="5">
        <f>IFERROR(__xludf.DUMMYFUNCTION("""COMPUTED_VALUE"""),45005.77441320602)</f>
        <v>45005.77441</v>
      </c>
      <c r="C3719" s="1" t="str">
        <f>IFERROR(__xludf.DUMMYFUNCTION("""COMPUTED_VALUE"""),"CHAVEZ PAOLA")</f>
        <v>CHAVEZ PAOLA</v>
      </c>
      <c r="D3719" s="1" t="str">
        <f>IFERROR(__xludf.DUMMYFUNCTION("""COMPUTED_VALUE"""),"Reparaciones/Otros")</f>
        <v>Reparaciones/Otros</v>
      </c>
      <c r="E3719" s="1" t="str">
        <f>IFERROR(__xludf.DUMMYFUNCTION("""COMPUTED_VALUE"""),"RIVADAVIA Luciana")</f>
        <v>RIVADAVIA Luciana</v>
      </c>
      <c r="F3719" s="1" t="str">
        <f t="shared" si="1"/>
        <v>RIVADAVIA </v>
      </c>
      <c r="G3719" s="1" t="str">
        <f t="shared" si="2"/>
        <v>Luciana</v>
      </c>
      <c r="H3719" s="1" t="str">
        <f>IFERROR(__xludf.DUMMYFUNCTION("""COMPUTED_VALUE"""),"22/3/2023, 17:00:00")</f>
        <v>22/3/2023, 17:00:00</v>
      </c>
      <c r="I3719" s="1" t="str">
        <f>IFERROR(__xludf.DUMMYFUNCTION("""COMPUTED_VALUE"""),"Completado en SUCURSAL")</f>
        <v>Completado en SUCURSAL</v>
      </c>
      <c r="J3719" s="1">
        <f t="shared" si="3"/>
        <v>5</v>
      </c>
      <c r="K3719" s="1" t="str">
        <f t="shared" si="4"/>
        <v>Tus Lentes estan LISTAS PARA ENTREGAR, te esperamos.</v>
      </c>
    </row>
    <row r="3720">
      <c r="A3720" s="1">
        <f>IFERROR(__xludf.DUMMYFUNCTION("""COMPUTED_VALUE"""),88265.0)</f>
        <v>88265</v>
      </c>
      <c r="B3720" s="5">
        <f>IFERROR(__xludf.DUMMYFUNCTION("""COMPUTED_VALUE"""),45005.78315008101)</f>
        <v>45005.78315</v>
      </c>
      <c r="C3720" s="1" t="str">
        <f>IFERROR(__xludf.DUMMYFUNCTION("""COMPUTED_VALUE"""),"AMIEVA MAXIMILIANO")</f>
        <v>AMIEVA MAXIMILIANO</v>
      </c>
      <c r="D3720" s="1" t="str">
        <f>IFERROR(__xludf.DUMMYFUNCTION("""COMPUTED_VALUE"""),"Lentes de STOCK")</f>
        <v>Lentes de STOCK</v>
      </c>
      <c r="E3720" s="1" t="str">
        <f>IFERROR(__xludf.DUMMYFUNCTION("""COMPUTED_VALUE"""),"ARTIGAS Roció")</f>
        <v>ARTIGAS Roció</v>
      </c>
      <c r="F3720" s="1" t="str">
        <f t="shared" si="1"/>
        <v>ARTIGAS </v>
      </c>
      <c r="G3720" s="1" t="str">
        <f t="shared" si="2"/>
        <v>Roció</v>
      </c>
      <c r="H3720" s="1" t="str">
        <f>IFERROR(__xludf.DUMMYFUNCTION("""COMPUTED_VALUE"""),"28/3/2023, 17:00:00")</f>
        <v>28/3/2023, 17:00:00</v>
      </c>
      <c r="I3720" s="1" t="str">
        <f>IFERROR(__xludf.DUMMYFUNCTION("""COMPUTED_VALUE"""),"RETIRADO OK POR CLIENTE")</f>
        <v>RETIRADO OK POR CLIENTE</v>
      </c>
      <c r="J3720" s="1">
        <f t="shared" si="3"/>
        <v>6</v>
      </c>
      <c r="K3720" s="1" t="str">
        <f t="shared" si="4"/>
        <v>Entregamos tus lentes, que los disfrutes!</v>
      </c>
    </row>
    <row r="3721">
      <c r="A3721" s="1">
        <f>IFERROR(__xludf.DUMMYFUNCTION("""COMPUTED_VALUE"""),88266.0)</f>
        <v>88266</v>
      </c>
      <c r="B3721" s="5">
        <f>IFERROR(__xludf.DUMMYFUNCTION("""COMPUTED_VALUE"""),45005.79031538195)</f>
        <v>45005.79032</v>
      </c>
      <c r="C3721" s="1" t="str">
        <f>IFERROR(__xludf.DUMMYFUNCTION("""COMPUTED_VALUE"""),"GUEVARA SANTINO")</f>
        <v>GUEVARA SANTINO</v>
      </c>
      <c r="D3721" s="1" t="str">
        <f>IFERROR(__xludf.DUMMYFUNCTION("""COMPUTED_VALUE"""),"Lentes de STOCK")</f>
        <v>Lentes de STOCK</v>
      </c>
      <c r="E3721" s="1" t="str">
        <f>IFERROR(__xludf.DUMMYFUNCTION("""COMPUTED_VALUE"""),"ARTIGAS Roció")</f>
        <v>ARTIGAS Roció</v>
      </c>
      <c r="F3721" s="1" t="str">
        <f t="shared" si="1"/>
        <v>ARTIGAS </v>
      </c>
      <c r="G3721" s="1" t="str">
        <f t="shared" si="2"/>
        <v>Roció</v>
      </c>
      <c r="H3721" s="1" t="str">
        <f>IFERROR(__xludf.DUMMYFUNCTION("""COMPUTED_VALUE"""),"27/3/2023, 17:00:00")</f>
        <v>27/3/2023, 17:00:00</v>
      </c>
      <c r="I3721" s="1" t="str">
        <f>IFERROR(__xludf.DUMMYFUNCTION("""COMPUTED_VALUE"""),"RETIRADO OK POR CLIENTE")</f>
        <v>RETIRADO OK POR CLIENTE</v>
      </c>
      <c r="J3721" s="1">
        <f t="shared" si="3"/>
        <v>6</v>
      </c>
      <c r="K3721" s="1" t="str">
        <f t="shared" si="4"/>
        <v>Entregamos tus lentes, que los disfrutes!</v>
      </c>
    </row>
    <row r="3722">
      <c r="A3722" s="1">
        <f>IFERROR(__xludf.DUMMYFUNCTION("""COMPUTED_VALUE"""),88267.0)</f>
        <v>88267</v>
      </c>
      <c r="B3722" s="5">
        <f>IFERROR(__xludf.DUMMYFUNCTION("""COMPUTED_VALUE"""),45005.79175200232)</f>
        <v>45005.79175</v>
      </c>
      <c r="C3722" s="1" t="str">
        <f>IFERROR(__xludf.DUMMYFUNCTION("""COMPUTED_VALUE"""),"GUEVARA LUCIA")</f>
        <v>GUEVARA LUCIA</v>
      </c>
      <c r="D3722" s="1" t="str">
        <f>IFERROR(__xludf.DUMMYFUNCTION("""COMPUTED_VALUE"""),"Lentes de STOCK")</f>
        <v>Lentes de STOCK</v>
      </c>
      <c r="E3722" s="1" t="str">
        <f>IFERROR(__xludf.DUMMYFUNCTION("""COMPUTED_VALUE"""),"ARTIGAS Roció")</f>
        <v>ARTIGAS Roció</v>
      </c>
      <c r="F3722" s="1" t="str">
        <f t="shared" si="1"/>
        <v>ARTIGAS </v>
      </c>
      <c r="G3722" s="1" t="str">
        <f t="shared" si="2"/>
        <v>Roció</v>
      </c>
      <c r="H3722" s="1" t="str">
        <f>IFERROR(__xludf.DUMMYFUNCTION("""COMPUTED_VALUE"""),"27/3/2023, 17:00:00")</f>
        <v>27/3/2023, 17:00:00</v>
      </c>
      <c r="I3722" s="1" t="str">
        <f>IFERROR(__xludf.DUMMYFUNCTION("""COMPUTED_VALUE"""),"RETIRADO OK POR CLIENTE")</f>
        <v>RETIRADO OK POR CLIENTE</v>
      </c>
      <c r="J3722" s="1">
        <f t="shared" si="3"/>
        <v>6</v>
      </c>
      <c r="K3722" s="1" t="str">
        <f t="shared" si="4"/>
        <v>Entregamos tus lentes, que los disfrutes!</v>
      </c>
    </row>
    <row r="3723">
      <c r="A3723" s="1">
        <f>IFERROR(__xludf.DUMMYFUNCTION("""COMPUTED_VALUE"""),88268.0)</f>
        <v>88268</v>
      </c>
      <c r="B3723" s="5">
        <f>IFERROR(__xludf.DUMMYFUNCTION("""COMPUTED_VALUE"""),45005.79521074074)</f>
        <v>45005.79521</v>
      </c>
      <c r="C3723" s="1" t="str">
        <f>IFERROR(__xludf.DUMMYFUNCTION("""COMPUTED_VALUE"""),"SABATELLA DANIELA")</f>
        <v>SABATELLA DANIELA</v>
      </c>
      <c r="D3723" s="1" t="str">
        <f>IFERROR(__xludf.DUMMYFUNCTION("""COMPUTED_VALUE"""),"Lentes de STOCK")</f>
        <v>Lentes de STOCK</v>
      </c>
      <c r="E3723" s="1" t="str">
        <f>IFERROR(__xludf.DUMMYFUNCTION("""COMPUTED_VALUE"""),"RIVADAVIA Santiago LOPEZ")</f>
        <v>RIVADAVIA Santiago LOPEZ</v>
      </c>
      <c r="F3723" s="1" t="str">
        <f t="shared" si="1"/>
        <v>RIVADAVIA </v>
      </c>
      <c r="G3723" s="1" t="str">
        <f t="shared" si="2"/>
        <v>Santiago LOPEZ</v>
      </c>
      <c r="H3723" s="1" t="str">
        <f>IFERROR(__xludf.DUMMYFUNCTION("""COMPUTED_VALUE"""),"29/3/2023, 17:00:00")</f>
        <v>29/3/2023, 17:00:00</v>
      </c>
      <c r="I3723" s="1" t="str">
        <f>IFERROR(__xludf.DUMMYFUNCTION("""COMPUTED_VALUE"""),"Completado en SUCURSAL")</f>
        <v>Completado en SUCURSAL</v>
      </c>
      <c r="J3723" s="1">
        <f t="shared" si="3"/>
        <v>5</v>
      </c>
      <c r="K3723" s="1" t="str">
        <f t="shared" si="4"/>
        <v>Tus Lentes estan LISTAS PARA ENTREGAR, te esperamos.</v>
      </c>
    </row>
    <row r="3724">
      <c r="A3724" s="1">
        <f>IFERROR(__xludf.DUMMYFUNCTION("""COMPUTED_VALUE"""),88269.0)</f>
        <v>88269</v>
      </c>
      <c r="B3724" s="5">
        <f>IFERROR(__xludf.DUMMYFUNCTION("""COMPUTED_VALUE"""),45005.798787962965)</f>
        <v>45005.79879</v>
      </c>
      <c r="C3724" s="1" t="str">
        <f>IFERROR(__xludf.DUMMYFUNCTION("""COMPUTED_VALUE"""),"DELICIA EMILIA")</f>
        <v>DELICIA EMILIA</v>
      </c>
      <c r="D3724" s="1" t="str">
        <f>IFERROR(__xludf.DUMMYFUNCTION("""COMPUTED_VALUE"""),"Lentes de STOCK")</f>
        <v>Lentes de STOCK</v>
      </c>
      <c r="E3724" s="1" t="str">
        <f>IFERROR(__xludf.DUMMYFUNCTION("""COMPUTED_VALUE"""),"ARTIGAS Roció")</f>
        <v>ARTIGAS Roció</v>
      </c>
      <c r="F3724" s="1" t="str">
        <f t="shared" si="1"/>
        <v>ARTIGAS </v>
      </c>
      <c r="G3724" s="1" t="str">
        <f t="shared" si="2"/>
        <v>Roció</v>
      </c>
      <c r="H3724" s="1" t="str">
        <f>IFERROR(__xludf.DUMMYFUNCTION("""COMPUTED_VALUE"""),"28/3/2023, 17:00:00")</f>
        <v>28/3/2023, 17:00:00</v>
      </c>
      <c r="I3724" s="1" t="str">
        <f>IFERROR(__xludf.DUMMYFUNCTION("""COMPUTED_VALUE"""),"RETIRADO OK POR CLIENTE")</f>
        <v>RETIRADO OK POR CLIENTE</v>
      </c>
      <c r="J3724" s="1">
        <f t="shared" si="3"/>
        <v>6</v>
      </c>
      <c r="K3724" s="1" t="str">
        <f t="shared" si="4"/>
        <v>Entregamos tus lentes, que los disfrutes!</v>
      </c>
    </row>
    <row r="3725">
      <c r="A3725" s="1">
        <f>IFERROR(__xludf.DUMMYFUNCTION("""COMPUTED_VALUE"""),88270.0)</f>
        <v>88270</v>
      </c>
      <c r="B3725" s="5">
        <f>IFERROR(__xludf.DUMMYFUNCTION("""COMPUTED_VALUE"""),45005.799950127315)</f>
        <v>45005.79995</v>
      </c>
      <c r="C3725" s="1" t="str">
        <f>IFERROR(__xludf.DUMMYFUNCTION("""COMPUTED_VALUE"""),"SUAREZ LARISSA LUZ")</f>
        <v>SUAREZ LARISSA LUZ</v>
      </c>
      <c r="D3725" s="1" t="str">
        <f>IFERROR(__xludf.DUMMYFUNCTION("""COMPUTED_VALUE"""),"Lentes de STOCK")</f>
        <v>Lentes de STOCK</v>
      </c>
      <c r="E3725" s="1" t="str">
        <f>IFERROR(__xludf.DUMMYFUNCTION("""COMPUTED_VALUE"""),"RIVADAVIA Javier")</f>
        <v>RIVADAVIA Javier</v>
      </c>
      <c r="F3725" s="1" t="str">
        <f t="shared" si="1"/>
        <v>RIVADAVIA </v>
      </c>
      <c r="G3725" s="1" t="str">
        <f t="shared" si="2"/>
        <v>Javier</v>
      </c>
      <c r="H3725" s="1" t="str">
        <f>IFERROR(__xludf.DUMMYFUNCTION("""COMPUTED_VALUE"""),"25/3/2023, 17:00:00")</f>
        <v>25/3/2023, 17:00:00</v>
      </c>
      <c r="I3725" s="1" t="str">
        <f>IFERROR(__xludf.DUMMYFUNCTION("""COMPUTED_VALUE"""),"RETIRADO OK POR CLIENTE")</f>
        <v>RETIRADO OK POR CLIENTE</v>
      </c>
      <c r="J3725" s="1">
        <f t="shared" si="3"/>
        <v>6</v>
      </c>
      <c r="K3725" s="1" t="str">
        <f t="shared" si="4"/>
        <v>Entregamos tus lentes, que los disfrutes!</v>
      </c>
    </row>
    <row r="3726">
      <c r="A3726" s="1">
        <f>IFERROR(__xludf.DUMMYFUNCTION("""COMPUTED_VALUE"""),88271.0)</f>
        <v>88271</v>
      </c>
      <c r="B3726" s="5">
        <f>IFERROR(__xludf.DUMMYFUNCTION("""COMPUTED_VALUE"""),45005.800102187495)</f>
        <v>45005.8001</v>
      </c>
      <c r="C3726" s="1" t="str">
        <f>IFERROR(__xludf.DUMMYFUNCTION("""COMPUTED_VALUE"""),"ESCUDERO JOSE")</f>
        <v>ESCUDERO JOSE</v>
      </c>
      <c r="D3726" s="1" t="str">
        <f>IFERROR(__xludf.DUMMYFUNCTION("""COMPUTED_VALUE"""),"Lentes MULTIFOCALES")</f>
        <v>Lentes MULTIFOCALES</v>
      </c>
      <c r="E3726" s="1" t="str">
        <f>IFERROR(__xludf.DUMMYFUNCTION("""COMPUTED_VALUE"""),"ARTIGAS Ivana P.")</f>
        <v>ARTIGAS Ivana P.</v>
      </c>
      <c r="F3726" s="1" t="str">
        <f t="shared" si="1"/>
        <v>ARTIGAS </v>
      </c>
      <c r="G3726" s="1" t="str">
        <f t="shared" si="2"/>
        <v>Ivana P.</v>
      </c>
      <c r="H3726" s="1" t="str">
        <f>IFERROR(__xludf.DUMMYFUNCTION("""COMPUTED_VALUE"""),"6/4/2023, 17:00:00")</f>
        <v>6/4/2023, 17:00:00</v>
      </c>
      <c r="I3726" s="1"/>
      <c r="J3726" s="1">
        <f t="shared" si="3"/>
        <v>0</v>
      </c>
      <c r="K3726" s="1" t="str">
        <f t="shared" si="4"/>
        <v/>
      </c>
    </row>
    <row r="3727">
      <c r="A3727" s="1">
        <f>IFERROR(__xludf.DUMMYFUNCTION("""COMPUTED_VALUE"""),88272.0)</f>
        <v>88272</v>
      </c>
      <c r="B3727" s="5">
        <f>IFERROR(__xludf.DUMMYFUNCTION("""COMPUTED_VALUE"""),45005.80205947917)</f>
        <v>45005.80206</v>
      </c>
      <c r="C3727" s="1" t="str">
        <f>IFERROR(__xludf.DUMMYFUNCTION("""COMPUTED_VALUE"""),"BALMACEDA GIMENEZ CATALINA")</f>
        <v>BALMACEDA GIMENEZ CATALINA</v>
      </c>
      <c r="D3727" s="1" t="str">
        <f>IFERROR(__xludf.DUMMYFUNCTION("""COMPUTED_VALUE"""),"Lentes de STOCK")</f>
        <v>Lentes de STOCK</v>
      </c>
      <c r="E3727" s="1" t="str">
        <f>IFERROR(__xludf.DUMMYFUNCTION("""COMPUTED_VALUE"""),"ARTIGAS Roció")</f>
        <v>ARTIGAS Roció</v>
      </c>
      <c r="F3727" s="1" t="str">
        <f t="shared" si="1"/>
        <v>ARTIGAS </v>
      </c>
      <c r="G3727" s="1" t="str">
        <f t="shared" si="2"/>
        <v>Roció</v>
      </c>
      <c r="H3727" s="1" t="str">
        <f>IFERROR(__xludf.DUMMYFUNCTION("""COMPUTED_VALUE"""),"28/3/2023, 17:00:00")</f>
        <v>28/3/2023, 17:00:00</v>
      </c>
      <c r="I3727" s="1" t="str">
        <f>IFERROR(__xludf.DUMMYFUNCTION("""COMPUTED_VALUE"""),"Completado en SUCURSAL")</f>
        <v>Completado en SUCURSAL</v>
      </c>
      <c r="J3727" s="1">
        <f t="shared" si="3"/>
        <v>5</v>
      </c>
      <c r="K3727" s="1" t="str">
        <f t="shared" si="4"/>
        <v>Tus Lentes estan LISTAS PARA ENTREGAR, te esperamos.</v>
      </c>
    </row>
    <row r="3728">
      <c r="A3728" s="1">
        <f>IFERROR(__xludf.DUMMYFUNCTION("""COMPUTED_VALUE"""),88273.0)</f>
        <v>88273</v>
      </c>
      <c r="B3728" s="5">
        <f>IFERROR(__xludf.DUMMYFUNCTION("""COMPUTED_VALUE"""),45005.8025678125)</f>
        <v>45005.80257</v>
      </c>
      <c r="C3728" s="1" t="str">
        <f>IFERROR(__xludf.DUMMYFUNCTION("""COMPUTED_VALUE"""),"MOYANO MARISA")</f>
        <v>MOYANO MARISA</v>
      </c>
      <c r="D3728" s="1" t="str">
        <f>IFERROR(__xludf.DUMMYFUNCTION("""COMPUTED_VALUE"""),"Lentes de STOCK")</f>
        <v>Lentes de STOCK</v>
      </c>
      <c r="E3728" s="1" t="str">
        <f>IFERROR(__xludf.DUMMYFUNCTION("""COMPUTED_VALUE"""),"RIVADAVIA Christian C.")</f>
        <v>RIVADAVIA Christian C.</v>
      </c>
      <c r="F3728" s="1" t="str">
        <f t="shared" si="1"/>
        <v>RIVADAVIA </v>
      </c>
      <c r="G3728" s="1" t="str">
        <f t="shared" si="2"/>
        <v>Christian C.</v>
      </c>
      <c r="H3728" s="1" t="str">
        <f>IFERROR(__xludf.DUMMYFUNCTION("""COMPUTED_VALUE"""),"27/3/2023, 17:00:00")</f>
        <v>27/3/2023, 17:00:00</v>
      </c>
      <c r="I3728" s="1" t="str">
        <f>IFERROR(__xludf.DUMMYFUNCTION("""COMPUTED_VALUE"""),"Recibido en Laboratorio")</f>
        <v>Recibido en Laboratorio</v>
      </c>
      <c r="J3728" s="1">
        <f t="shared" si="3"/>
        <v>2</v>
      </c>
      <c r="K3728" s="1" t="str">
        <f t="shared" si="4"/>
        <v>Nuestro Laboratorio esta trabajando en tus lentes, los entregaremos en la fecha acordada.</v>
      </c>
    </row>
    <row r="3729">
      <c r="A3729" s="1">
        <f>IFERROR(__xludf.DUMMYFUNCTION("""COMPUTED_VALUE"""),88274.0)</f>
        <v>88274</v>
      </c>
      <c r="B3729" s="5">
        <f>IFERROR(__xludf.DUMMYFUNCTION("""COMPUTED_VALUE"""),45005.80531815972)</f>
        <v>45005.80532</v>
      </c>
      <c r="C3729" s="1" t="str">
        <f>IFERROR(__xludf.DUMMYFUNCTION("""COMPUTED_VALUE"""),"basile salvador")</f>
        <v>basile salvador</v>
      </c>
      <c r="D3729" s="1" t="str">
        <f>IFERROR(__xludf.DUMMYFUNCTION("""COMPUTED_VALUE"""),"Lentes de STOCK")</f>
        <v>Lentes de STOCK</v>
      </c>
      <c r="E3729" s="1" t="str">
        <f>IFERROR(__xludf.DUMMYFUNCTION("""COMPUTED_VALUE"""),"RIVADAVIA Santiago N")</f>
        <v>RIVADAVIA Santiago N</v>
      </c>
      <c r="F3729" s="1" t="str">
        <f t="shared" si="1"/>
        <v>RIVADAVIA </v>
      </c>
      <c r="G3729" s="1" t="str">
        <f t="shared" si="2"/>
        <v>Santiago N</v>
      </c>
      <c r="H3729" s="1" t="str">
        <f>IFERROR(__xludf.DUMMYFUNCTION("""COMPUTED_VALUE"""),"25/3/2023, 17:00:00")</f>
        <v>25/3/2023, 17:00:00</v>
      </c>
      <c r="I3729" s="1" t="str">
        <f>IFERROR(__xludf.DUMMYFUNCTION("""COMPUTED_VALUE"""),"Completado en SUCURSAL")</f>
        <v>Completado en SUCURSAL</v>
      </c>
      <c r="J3729" s="1">
        <f t="shared" si="3"/>
        <v>5</v>
      </c>
      <c r="K3729" s="1" t="str">
        <f t="shared" si="4"/>
        <v>Tus Lentes estan LISTAS PARA ENTREGAR, te esperamos.</v>
      </c>
    </row>
    <row r="3730">
      <c r="A3730" s="1">
        <f>IFERROR(__xludf.DUMMYFUNCTION("""COMPUTED_VALUE"""),88275.0)</f>
        <v>88275</v>
      </c>
      <c r="B3730" s="5">
        <f>IFERROR(__xludf.DUMMYFUNCTION("""COMPUTED_VALUE"""),45005.806133136575)</f>
        <v>45005.80613</v>
      </c>
      <c r="C3730" s="1" t="str">
        <f>IFERROR(__xludf.DUMMYFUNCTION("""COMPUTED_VALUE"""),"CEJAS RAMON HUMBERTO")</f>
        <v>CEJAS RAMON HUMBERTO</v>
      </c>
      <c r="D3730" s="1" t="str">
        <f>IFERROR(__xludf.DUMMYFUNCTION("""COMPUTED_VALUE"""),"Lentes de STOCK")</f>
        <v>Lentes de STOCK</v>
      </c>
      <c r="E3730" s="1" t="str">
        <f>IFERROR(__xludf.DUMMYFUNCTION("""COMPUTED_VALUE"""),"ARTIGAS Roció")</f>
        <v>ARTIGAS Roció</v>
      </c>
      <c r="F3730" s="1" t="str">
        <f t="shared" si="1"/>
        <v>ARTIGAS </v>
      </c>
      <c r="G3730" s="1" t="str">
        <f t="shared" si="2"/>
        <v>Roció</v>
      </c>
      <c r="H3730" s="1" t="str">
        <f>IFERROR(__xludf.DUMMYFUNCTION("""COMPUTED_VALUE"""),"28/3/2023, 17:00:00")</f>
        <v>28/3/2023, 17:00:00</v>
      </c>
      <c r="I3730" s="1" t="str">
        <f>IFERROR(__xludf.DUMMYFUNCTION("""COMPUTED_VALUE"""),"RETIRADO OK POR CLIENTE")</f>
        <v>RETIRADO OK POR CLIENTE</v>
      </c>
      <c r="J3730" s="1">
        <f t="shared" si="3"/>
        <v>6</v>
      </c>
      <c r="K3730" s="1" t="str">
        <f t="shared" si="4"/>
        <v>Entregamos tus lentes, que los disfrutes!</v>
      </c>
    </row>
    <row r="3731">
      <c r="A3731" s="1">
        <f>IFERROR(__xludf.DUMMYFUNCTION("""COMPUTED_VALUE"""),88276.0)</f>
        <v>88276</v>
      </c>
      <c r="B3731" s="5">
        <f>IFERROR(__xludf.DUMMYFUNCTION("""COMPUTED_VALUE"""),45005.807819525464)</f>
        <v>45005.80782</v>
      </c>
      <c r="C3731" s="1" t="str">
        <f>IFERROR(__xludf.DUMMYFUNCTION("""COMPUTED_VALUE"""),"ALGARAÑAZ LILIANA")</f>
        <v>ALGARAÑAZ LILIANA</v>
      </c>
      <c r="D3731" s="1" t="str">
        <f>IFERROR(__xludf.DUMMYFUNCTION("""COMPUTED_VALUE"""),"Lentes de STOCK")</f>
        <v>Lentes de STOCK</v>
      </c>
      <c r="E3731" s="1" t="str">
        <f>IFERROR(__xludf.DUMMYFUNCTION("""COMPUTED_VALUE"""),"RIVADAVIA Luciana")</f>
        <v>RIVADAVIA Luciana</v>
      </c>
      <c r="F3731" s="1" t="str">
        <f t="shared" si="1"/>
        <v>RIVADAVIA </v>
      </c>
      <c r="G3731" s="1" t="str">
        <f t="shared" si="2"/>
        <v>Luciana</v>
      </c>
      <c r="H3731" s="1" t="str">
        <f>IFERROR(__xludf.DUMMYFUNCTION("""COMPUTED_VALUE"""),"27/3/2023, 17:00:00")</f>
        <v>27/3/2023, 17:00:00</v>
      </c>
      <c r="I3731" s="1" t="str">
        <f>IFERROR(__xludf.DUMMYFUNCTION("""COMPUTED_VALUE"""),"RETIRADO OK POR CLIENTE")</f>
        <v>RETIRADO OK POR CLIENTE</v>
      </c>
      <c r="J3731" s="1">
        <f t="shared" si="3"/>
        <v>6</v>
      </c>
      <c r="K3731" s="1" t="str">
        <f t="shared" si="4"/>
        <v>Entregamos tus lentes, que los disfrutes!</v>
      </c>
    </row>
    <row r="3732">
      <c r="A3732" s="1">
        <f>IFERROR(__xludf.DUMMYFUNCTION("""COMPUTED_VALUE"""),88277.0)</f>
        <v>88277</v>
      </c>
      <c r="B3732" s="5">
        <f>IFERROR(__xludf.DUMMYFUNCTION("""COMPUTED_VALUE"""),45005.811075370366)</f>
        <v>45005.81108</v>
      </c>
      <c r="C3732" s="1" t="str">
        <f>IFERROR(__xludf.DUMMYFUNCTION("""COMPUTED_VALUE"""),"FERNANDEZ TOMAS")</f>
        <v>FERNANDEZ TOMAS</v>
      </c>
      <c r="D3732" s="1" t="str">
        <f>IFERROR(__xludf.DUMMYFUNCTION("""COMPUTED_VALUE"""),"Lentes de STOCK")</f>
        <v>Lentes de STOCK</v>
      </c>
      <c r="E3732" s="1" t="str">
        <f>IFERROR(__xludf.DUMMYFUNCTION("""COMPUTED_VALUE"""),"ARTIGAS Roció")</f>
        <v>ARTIGAS Roció</v>
      </c>
      <c r="F3732" s="1" t="str">
        <f t="shared" si="1"/>
        <v>ARTIGAS </v>
      </c>
      <c r="G3732" s="1" t="str">
        <f t="shared" si="2"/>
        <v>Roció</v>
      </c>
      <c r="H3732" s="1" t="str">
        <f>IFERROR(__xludf.DUMMYFUNCTION("""COMPUTED_VALUE"""),"27/3/2023, 17:00:00")</f>
        <v>27/3/2023, 17:00:00</v>
      </c>
      <c r="I3732" s="1" t="str">
        <f>IFERROR(__xludf.DUMMYFUNCTION("""COMPUTED_VALUE"""),"RETIRADO OK POR CLIENTE")</f>
        <v>RETIRADO OK POR CLIENTE</v>
      </c>
      <c r="J3732" s="1">
        <f t="shared" si="3"/>
        <v>6</v>
      </c>
      <c r="K3732" s="1" t="str">
        <f t="shared" si="4"/>
        <v>Entregamos tus lentes, que los disfrutes!</v>
      </c>
    </row>
    <row r="3733">
      <c r="A3733" s="1">
        <f>IFERROR(__xludf.DUMMYFUNCTION("""COMPUTED_VALUE"""),88296.0)</f>
        <v>88296</v>
      </c>
      <c r="B3733" s="5">
        <f>IFERROR(__xludf.DUMMYFUNCTION("""COMPUTED_VALUE"""),45005.826897465275)</f>
        <v>45005.8269</v>
      </c>
      <c r="C3733" s="1" t="str">
        <f>IFERROR(__xludf.DUMMYFUNCTION("""COMPUTED_VALUE"""),"GIL MATEO SIMON")</f>
        <v>GIL MATEO SIMON</v>
      </c>
      <c r="D3733" s="1" t="str">
        <f>IFERROR(__xludf.DUMMYFUNCTION("""COMPUTED_VALUE"""),"Lentes de STOCK")</f>
        <v>Lentes de STOCK</v>
      </c>
      <c r="E3733" s="1" t="str">
        <f>IFERROR(__xludf.DUMMYFUNCTION("""COMPUTED_VALUE"""),"RIVADAVIA Marcela L")</f>
        <v>RIVADAVIA Marcela L</v>
      </c>
      <c r="F3733" s="1" t="str">
        <f t="shared" si="1"/>
        <v>RIVADAVIA </v>
      </c>
      <c r="G3733" s="1" t="str">
        <f t="shared" si="2"/>
        <v>Marcela L</v>
      </c>
      <c r="H3733" s="1" t="str">
        <f>IFERROR(__xludf.DUMMYFUNCTION("""COMPUTED_VALUE"""),"27/3/2023, 17:00:00")</f>
        <v>27/3/2023, 17:00:00</v>
      </c>
      <c r="I3733" s="1" t="str">
        <f>IFERROR(__xludf.DUMMYFUNCTION("""COMPUTED_VALUE"""),"RETIRADO OK POR CLIENTE")</f>
        <v>RETIRADO OK POR CLIENTE</v>
      </c>
      <c r="J3733" s="1">
        <f t="shared" si="3"/>
        <v>6</v>
      </c>
      <c r="K3733" s="1" t="str">
        <f t="shared" si="4"/>
        <v>Entregamos tus lentes, que los disfrutes!</v>
      </c>
    </row>
    <row r="3734">
      <c r="A3734" s="1">
        <f>IFERROR(__xludf.DUMMYFUNCTION("""COMPUTED_VALUE"""),88297.0)</f>
        <v>88297</v>
      </c>
      <c r="B3734" s="5">
        <f>IFERROR(__xludf.DUMMYFUNCTION("""COMPUTED_VALUE"""),45005.83965313657)</f>
        <v>45005.83965</v>
      </c>
      <c r="C3734" s="1" t="str">
        <f>IFERROR(__xludf.DUMMYFUNCTION("""COMPUTED_VALUE"""),"RIVERO RODRIGO ")</f>
        <v>RIVERO RODRIGO </v>
      </c>
      <c r="D3734" s="1" t="str">
        <f>IFERROR(__xludf.DUMMYFUNCTION("""COMPUTED_VALUE"""),"Lentes de STOCK")</f>
        <v>Lentes de STOCK</v>
      </c>
      <c r="E3734" s="1" t="str">
        <f>IFERROR(__xludf.DUMMYFUNCTION("""COMPUTED_VALUE"""),"RIVADAVIA Christian C.")</f>
        <v>RIVADAVIA Christian C.</v>
      </c>
      <c r="F3734" s="1" t="str">
        <f t="shared" si="1"/>
        <v>RIVADAVIA </v>
      </c>
      <c r="G3734" s="1" t="str">
        <f t="shared" si="2"/>
        <v>Christian C.</v>
      </c>
      <c r="H3734" s="1" t="str">
        <f>IFERROR(__xludf.DUMMYFUNCTION("""COMPUTED_VALUE"""),"27/3/2023, 17:00:00")</f>
        <v>27/3/2023, 17:00:00</v>
      </c>
      <c r="I3734" s="1" t="str">
        <f>IFERROR(__xludf.DUMMYFUNCTION("""COMPUTED_VALUE"""),"RETIRADO OK POR CLIENTE")</f>
        <v>RETIRADO OK POR CLIENTE</v>
      </c>
      <c r="J3734" s="1">
        <f t="shared" si="3"/>
        <v>6</v>
      </c>
      <c r="K3734" s="1" t="str">
        <f t="shared" si="4"/>
        <v>Entregamos tus lentes, que los disfrutes!</v>
      </c>
    </row>
    <row r="3735">
      <c r="A3735" s="1">
        <f>IFERROR(__xludf.DUMMYFUNCTION("""COMPUTED_VALUE"""),88298.0)</f>
        <v>88298</v>
      </c>
      <c r="B3735" s="5">
        <f>IFERROR(__xludf.DUMMYFUNCTION("""COMPUTED_VALUE"""),45005.8506016551)</f>
        <v>45005.8506</v>
      </c>
      <c r="C3735" s="1" t="str">
        <f>IFERROR(__xludf.DUMMYFUNCTION("""COMPUTED_VALUE"""),"MORALES YSABEL")</f>
        <v>MORALES YSABEL</v>
      </c>
      <c r="D3735" s="1" t="str">
        <f>IFERROR(__xludf.DUMMYFUNCTION("""COMPUTED_VALUE"""),"Lentes de STOCK")</f>
        <v>Lentes de STOCK</v>
      </c>
      <c r="E3735" s="1" t="str">
        <f>IFERROR(__xludf.DUMMYFUNCTION("""COMPUTED_VALUE"""),"RIVADAVIA Christian C.")</f>
        <v>RIVADAVIA Christian C.</v>
      </c>
      <c r="F3735" s="1" t="str">
        <f t="shared" si="1"/>
        <v>RIVADAVIA </v>
      </c>
      <c r="G3735" s="1" t="str">
        <f t="shared" si="2"/>
        <v>Christian C.</v>
      </c>
      <c r="H3735" s="1" t="str">
        <f>IFERROR(__xludf.DUMMYFUNCTION("""COMPUTED_VALUE"""),"27/3/2023, 17:00:00")</f>
        <v>27/3/2023, 17:00:00</v>
      </c>
      <c r="I3735" s="1" t="str">
        <f>IFERROR(__xludf.DUMMYFUNCTION("""COMPUTED_VALUE"""),"RETIRADO OK POR CLIENTE")</f>
        <v>RETIRADO OK POR CLIENTE</v>
      </c>
      <c r="J3735" s="1">
        <f t="shared" si="3"/>
        <v>6</v>
      </c>
      <c r="K3735" s="1" t="str">
        <f t="shared" si="4"/>
        <v>Entregamos tus lentes, que los disfrutes!</v>
      </c>
    </row>
    <row r="3736">
      <c r="A3736" s="1">
        <f>IFERROR(__xludf.DUMMYFUNCTION("""COMPUTED_VALUE"""),88299.0)</f>
        <v>88299</v>
      </c>
      <c r="B3736" s="5">
        <f>IFERROR(__xludf.DUMMYFUNCTION("""COMPUTED_VALUE"""),45005.85606803241)</f>
        <v>45005.85607</v>
      </c>
      <c r="C3736" s="1" t="str">
        <f>IFERROR(__xludf.DUMMYFUNCTION("""COMPUTED_VALUE"""),"BARRERA ALICIA ")</f>
        <v>BARRERA ALICIA </v>
      </c>
      <c r="D3736" s="1" t="str">
        <f>IFERROR(__xludf.DUMMYFUNCTION("""COMPUTED_VALUE"""),"Lentes de STOCK")</f>
        <v>Lentes de STOCK</v>
      </c>
      <c r="E3736" s="1" t="str">
        <f>IFERROR(__xludf.DUMMYFUNCTION("""COMPUTED_VALUE"""),"RIVADAVIA Luciana")</f>
        <v>RIVADAVIA Luciana</v>
      </c>
      <c r="F3736" s="1" t="str">
        <f t="shared" si="1"/>
        <v>RIVADAVIA </v>
      </c>
      <c r="G3736" s="1" t="str">
        <f t="shared" si="2"/>
        <v>Luciana</v>
      </c>
      <c r="H3736" s="1" t="str">
        <f>IFERROR(__xludf.DUMMYFUNCTION("""COMPUTED_VALUE"""),"27/3/2023, 17:00:00")</f>
        <v>27/3/2023, 17:00:00</v>
      </c>
      <c r="I3736" s="1" t="str">
        <f>IFERROR(__xludf.DUMMYFUNCTION("""COMPUTED_VALUE"""),"Completado en SUCURSAL")</f>
        <v>Completado en SUCURSAL</v>
      </c>
      <c r="J3736" s="1">
        <f t="shared" si="3"/>
        <v>5</v>
      </c>
      <c r="K3736" s="1" t="str">
        <f t="shared" si="4"/>
        <v>Tus Lentes estan LISTAS PARA ENTREGAR, te esperamos.</v>
      </c>
    </row>
    <row r="3737">
      <c r="A3737" s="1">
        <f>IFERROR(__xludf.DUMMYFUNCTION("""COMPUTED_VALUE"""),88300.0)</f>
        <v>88300</v>
      </c>
      <c r="B3737" s="5">
        <f>IFERROR(__xludf.DUMMYFUNCTION("""COMPUTED_VALUE"""),45005.85676809028)</f>
        <v>45005.85677</v>
      </c>
      <c r="C3737" s="1" t="str">
        <f>IFERROR(__xludf.DUMMYFUNCTION("""COMPUTED_VALUE"""),"BARRERA ALICIA ")</f>
        <v>BARRERA ALICIA </v>
      </c>
      <c r="D3737" s="1" t="str">
        <f>IFERROR(__xludf.DUMMYFUNCTION("""COMPUTED_VALUE"""),"Lentes de STOCK")</f>
        <v>Lentes de STOCK</v>
      </c>
      <c r="E3737" s="1" t="str">
        <f>IFERROR(__xludf.DUMMYFUNCTION("""COMPUTED_VALUE"""),"RIVADAVIA Luciana")</f>
        <v>RIVADAVIA Luciana</v>
      </c>
      <c r="F3737" s="1" t="str">
        <f t="shared" si="1"/>
        <v>RIVADAVIA </v>
      </c>
      <c r="G3737" s="1" t="str">
        <f t="shared" si="2"/>
        <v>Luciana</v>
      </c>
      <c r="H3737" s="1" t="str">
        <f>IFERROR(__xludf.DUMMYFUNCTION("""COMPUTED_VALUE"""),"28/3/2023, 17:00:00")</f>
        <v>28/3/2023, 17:00:00</v>
      </c>
      <c r="I3737" s="1" t="str">
        <f>IFERROR(__xludf.DUMMYFUNCTION("""COMPUTED_VALUE"""),"RETIRADO OK POR CLIENTE")</f>
        <v>RETIRADO OK POR CLIENTE</v>
      </c>
      <c r="J3737" s="1">
        <f t="shared" si="3"/>
        <v>6</v>
      </c>
      <c r="K3737" s="1" t="str">
        <f t="shared" si="4"/>
        <v>Entregamos tus lentes, que los disfrutes!</v>
      </c>
    </row>
    <row r="3738">
      <c r="A3738" s="1">
        <f>IFERROR(__xludf.DUMMYFUNCTION("""COMPUTED_VALUE"""),88301.0)</f>
        <v>88301</v>
      </c>
      <c r="B3738" s="5">
        <f>IFERROR(__xludf.DUMMYFUNCTION("""COMPUTED_VALUE"""),45006.3424041088)</f>
        <v>45006.3424</v>
      </c>
      <c r="C3738" s="1" t="str">
        <f>IFERROR(__xludf.DUMMYFUNCTION("""COMPUTED_VALUE"""),"FRANCISCO MOYANO DAZA")</f>
        <v>FRANCISCO MOYANO DAZA</v>
      </c>
      <c r="D3738" s="1" t="str">
        <f>IFERROR(__xludf.DUMMYFUNCTION("""COMPUTED_VALUE"""),"Lentes de STOCK")</f>
        <v>Lentes de STOCK</v>
      </c>
      <c r="E3738" s="1" t="str">
        <f>IFERROR(__xludf.DUMMYFUNCTION("""COMPUTED_VALUE"""),"Online ADMIN.")</f>
        <v>Online ADMIN.</v>
      </c>
      <c r="F3738" s="1" t="str">
        <f t="shared" si="1"/>
        <v>Online </v>
      </c>
      <c r="G3738" s="1" t="str">
        <f t="shared" si="2"/>
        <v>ADMIN.</v>
      </c>
      <c r="H3738" s="1" t="str">
        <f>IFERROR(__xludf.DUMMYFUNCTION("""COMPUTED_VALUE"""),"30/3/2023, 17:00:00")</f>
        <v>30/3/2023, 17:00:00</v>
      </c>
      <c r="I3738" s="1" t="str">
        <f>IFERROR(__xludf.DUMMYFUNCTION("""COMPUTED_VALUE"""),"Completado en SUCURSAL")</f>
        <v>Completado en SUCURSAL</v>
      </c>
      <c r="J3738" s="1">
        <f t="shared" si="3"/>
        <v>5</v>
      </c>
      <c r="K3738" s="1" t="str">
        <f t="shared" si="4"/>
        <v>Tus Lentes estan LISTAS PARA ENTREGAR, te esperamos.</v>
      </c>
    </row>
    <row r="3739">
      <c r="A3739" s="1">
        <f>IFERROR(__xludf.DUMMYFUNCTION("""COMPUTED_VALUE"""),88302.0)</f>
        <v>88302</v>
      </c>
      <c r="B3739" s="5">
        <f>IFERROR(__xludf.DUMMYFUNCTION("""COMPUTED_VALUE"""),45006.35091435185)</f>
        <v>45006.35091</v>
      </c>
      <c r="C3739" s="1" t="str">
        <f>IFERROR(__xludf.DUMMYFUNCTION("""COMPUTED_VALUE"""),"TORREZ LOLA (PROGRAMA MEDICINA DEL INTERIOR GOB)")</f>
        <v>TORREZ LOLA (PROGRAMA MEDICINA DEL INTERIOR GOB)</v>
      </c>
      <c r="D3739" s="1" t="str">
        <f>IFERROR(__xludf.DUMMYFUNCTION("""COMPUTED_VALUE"""),"Lentes de STOCK")</f>
        <v>Lentes de STOCK</v>
      </c>
      <c r="E3739" s="1" t="str">
        <f>IFERROR(__xludf.DUMMYFUNCTION("""COMPUTED_VALUE"""),"Online ADMIN.")</f>
        <v>Online ADMIN.</v>
      </c>
      <c r="F3739" s="1" t="str">
        <f t="shared" si="1"/>
        <v>Online </v>
      </c>
      <c r="G3739" s="1" t="str">
        <f t="shared" si="2"/>
        <v>ADMIN.</v>
      </c>
      <c r="H3739" s="1" t="str">
        <f>IFERROR(__xludf.DUMMYFUNCTION("""COMPUTED_VALUE"""),"23/3/2023, 17:00:00")</f>
        <v>23/3/2023, 17:00:00</v>
      </c>
      <c r="I3739" s="1" t="str">
        <f>IFERROR(__xludf.DUMMYFUNCTION("""COMPUTED_VALUE"""),"Recibido en Laboratorio")</f>
        <v>Recibido en Laboratorio</v>
      </c>
      <c r="J3739" s="1">
        <f t="shared" si="3"/>
        <v>2</v>
      </c>
      <c r="K3739" s="1" t="str">
        <f t="shared" si="4"/>
        <v>Nuestro Laboratorio esta trabajando en tus lentes, los entregaremos en la fecha acordada.</v>
      </c>
    </row>
    <row r="3740">
      <c r="A3740" s="1">
        <f>IFERROR(__xludf.DUMMYFUNCTION("""COMPUTED_VALUE"""),88303.0)</f>
        <v>88303</v>
      </c>
      <c r="B3740" s="5">
        <f>IFERROR(__xludf.DUMMYFUNCTION("""COMPUTED_VALUE"""),45006.35186023148)</f>
        <v>45006.35186</v>
      </c>
      <c r="C3740" s="1" t="str">
        <f>IFERROR(__xludf.DUMMYFUNCTION("""COMPUTED_VALUE"""),"MARIA LIDIA RIOS (PROGRAMA MEDICINA DEL INTERIOR GOB)")</f>
        <v>MARIA LIDIA RIOS (PROGRAMA MEDICINA DEL INTERIOR GOB)</v>
      </c>
      <c r="D3740" s="1" t="str">
        <f>IFERROR(__xludf.DUMMYFUNCTION("""COMPUTED_VALUE"""),"Lentes de STOCK")</f>
        <v>Lentes de STOCK</v>
      </c>
      <c r="E3740" s="1" t="str">
        <f>IFERROR(__xludf.DUMMYFUNCTION("""COMPUTED_VALUE"""),"Online ADMIN.")</f>
        <v>Online ADMIN.</v>
      </c>
      <c r="F3740" s="1" t="str">
        <f t="shared" si="1"/>
        <v>Online </v>
      </c>
      <c r="G3740" s="1" t="str">
        <f t="shared" si="2"/>
        <v>ADMIN.</v>
      </c>
      <c r="H3740" s="1" t="str">
        <f>IFERROR(__xludf.DUMMYFUNCTION("""COMPUTED_VALUE"""),"23/3/2023, 17:00:00")</f>
        <v>23/3/2023, 17:00:00</v>
      </c>
      <c r="I3740" s="1" t="str">
        <f>IFERROR(__xludf.DUMMYFUNCTION("""COMPUTED_VALUE"""),"Recibido en Laboratorio")</f>
        <v>Recibido en Laboratorio</v>
      </c>
      <c r="J3740" s="1">
        <f t="shared" si="3"/>
        <v>2</v>
      </c>
      <c r="K3740" s="1" t="str">
        <f t="shared" si="4"/>
        <v>Nuestro Laboratorio esta trabajando en tus lentes, los entregaremos en la fecha acordada.</v>
      </c>
    </row>
    <row r="3741">
      <c r="A3741" s="1">
        <f>IFERROR(__xludf.DUMMYFUNCTION("""COMPUTED_VALUE"""),88304.0)</f>
        <v>88304</v>
      </c>
      <c r="B3741" s="5">
        <f>IFERROR(__xludf.DUMMYFUNCTION("""COMPUTED_VALUE"""),45006.3525516088)</f>
        <v>45006.35255</v>
      </c>
      <c r="C3741" s="1" t="str">
        <f>IFERROR(__xludf.DUMMYFUNCTION("""COMPUTED_VALUE"""),"TOBARES DYLAN (PROGRAMA MEDICINA DEL INTERIOR GOB)")</f>
        <v>TOBARES DYLAN (PROGRAMA MEDICINA DEL INTERIOR GOB)</v>
      </c>
      <c r="D3741" s="1" t="str">
        <f>IFERROR(__xludf.DUMMYFUNCTION("""COMPUTED_VALUE"""),"Lentes de STOCK")</f>
        <v>Lentes de STOCK</v>
      </c>
      <c r="E3741" s="1" t="str">
        <f>IFERROR(__xludf.DUMMYFUNCTION("""COMPUTED_VALUE"""),"Online ADMIN.")</f>
        <v>Online ADMIN.</v>
      </c>
      <c r="F3741" s="1" t="str">
        <f t="shared" si="1"/>
        <v>Online </v>
      </c>
      <c r="G3741" s="1" t="str">
        <f t="shared" si="2"/>
        <v>ADMIN.</v>
      </c>
      <c r="H3741" s="1" t="str">
        <f>IFERROR(__xludf.DUMMYFUNCTION("""COMPUTED_VALUE"""),"23/3/2023, 17:00:00")</f>
        <v>23/3/2023, 17:00:00</v>
      </c>
      <c r="I3741" s="1" t="str">
        <f>IFERROR(__xludf.DUMMYFUNCTION("""COMPUTED_VALUE"""),"Recibido en Laboratorio")</f>
        <v>Recibido en Laboratorio</v>
      </c>
      <c r="J3741" s="1">
        <f t="shared" si="3"/>
        <v>2</v>
      </c>
      <c r="K3741" s="1" t="str">
        <f t="shared" si="4"/>
        <v>Nuestro Laboratorio esta trabajando en tus lentes, los entregaremos en la fecha acordada.</v>
      </c>
    </row>
    <row r="3742">
      <c r="A3742" s="1">
        <f>IFERROR(__xludf.DUMMYFUNCTION("""COMPUTED_VALUE"""),88305.0)</f>
        <v>88305</v>
      </c>
      <c r="B3742" s="5">
        <f>IFERROR(__xludf.DUMMYFUNCTION("""COMPUTED_VALUE"""),45006.35335775463)</f>
        <v>45006.35336</v>
      </c>
      <c r="C3742" s="1" t="str">
        <f>IFERROR(__xludf.DUMMYFUNCTION("""COMPUTED_VALUE"""),"PAEZ MARIA (PROGRAMA MEDICINA DEL INTERIOR GOB)")</f>
        <v>PAEZ MARIA (PROGRAMA MEDICINA DEL INTERIOR GOB)</v>
      </c>
      <c r="D3742" s="1" t="str">
        <f>IFERROR(__xludf.DUMMYFUNCTION("""COMPUTED_VALUE"""),"Lentes de STOCK")</f>
        <v>Lentes de STOCK</v>
      </c>
      <c r="E3742" s="1" t="str">
        <f>IFERROR(__xludf.DUMMYFUNCTION("""COMPUTED_VALUE"""),"Online ADMIN.")</f>
        <v>Online ADMIN.</v>
      </c>
      <c r="F3742" s="1" t="str">
        <f t="shared" si="1"/>
        <v>Online </v>
      </c>
      <c r="G3742" s="1" t="str">
        <f t="shared" si="2"/>
        <v>ADMIN.</v>
      </c>
      <c r="H3742" s="1" t="str">
        <f>IFERROR(__xludf.DUMMYFUNCTION("""COMPUTED_VALUE"""),"23/3/2023, 17:00:00")</f>
        <v>23/3/2023, 17:00:00</v>
      </c>
      <c r="I3742" s="1" t="str">
        <f>IFERROR(__xludf.DUMMYFUNCTION("""COMPUTED_VALUE"""),"Recibido en Laboratorio")</f>
        <v>Recibido en Laboratorio</v>
      </c>
      <c r="J3742" s="1">
        <f t="shared" si="3"/>
        <v>2</v>
      </c>
      <c r="K3742" s="1" t="str">
        <f t="shared" si="4"/>
        <v>Nuestro Laboratorio esta trabajando en tus lentes, los entregaremos en la fecha acordada.</v>
      </c>
    </row>
    <row r="3743">
      <c r="A3743" s="1">
        <f>IFERROR(__xludf.DUMMYFUNCTION("""COMPUTED_VALUE"""),88306.0)</f>
        <v>88306</v>
      </c>
      <c r="B3743" s="5">
        <f>IFERROR(__xludf.DUMMYFUNCTION("""COMPUTED_VALUE"""),45006.35494783564)</f>
        <v>45006.35495</v>
      </c>
      <c r="C3743" s="1" t="str">
        <f>IFERROR(__xludf.DUMMYFUNCTION("""COMPUTED_VALUE"""),"OCHOA IRAN (PROGRAMA MEDICINA DEL INTERIOR GOB)")</f>
        <v>OCHOA IRAN (PROGRAMA MEDICINA DEL INTERIOR GOB)</v>
      </c>
      <c r="D3743" s="1" t="str">
        <f>IFERROR(__xludf.DUMMYFUNCTION("""COMPUTED_VALUE"""),"Lentes de STOCK")</f>
        <v>Lentes de STOCK</v>
      </c>
      <c r="E3743" s="1" t="str">
        <f>IFERROR(__xludf.DUMMYFUNCTION("""COMPUTED_VALUE"""),"Online ADMIN.")</f>
        <v>Online ADMIN.</v>
      </c>
      <c r="F3743" s="1" t="str">
        <f t="shared" si="1"/>
        <v>Online </v>
      </c>
      <c r="G3743" s="1" t="str">
        <f t="shared" si="2"/>
        <v>ADMIN.</v>
      </c>
      <c r="H3743" s="1" t="str">
        <f>IFERROR(__xludf.DUMMYFUNCTION("""COMPUTED_VALUE"""),"23/3/2023, 17:00:00")</f>
        <v>23/3/2023, 17:00:00</v>
      </c>
      <c r="I3743" s="1" t="str">
        <f>IFERROR(__xludf.DUMMYFUNCTION("""COMPUTED_VALUE"""),"Recibido en Laboratorio")</f>
        <v>Recibido en Laboratorio</v>
      </c>
      <c r="J3743" s="1">
        <f t="shared" si="3"/>
        <v>2</v>
      </c>
      <c r="K3743" s="1" t="str">
        <f t="shared" si="4"/>
        <v>Nuestro Laboratorio esta trabajando en tus lentes, los entregaremos en la fecha acordada.</v>
      </c>
    </row>
    <row r="3744">
      <c r="A3744" s="1">
        <f>IFERROR(__xludf.DUMMYFUNCTION("""COMPUTED_VALUE"""),88307.0)</f>
        <v>88307</v>
      </c>
      <c r="B3744" s="5">
        <f>IFERROR(__xludf.DUMMYFUNCTION("""COMPUTED_VALUE"""),45006.355675555555)</f>
        <v>45006.35568</v>
      </c>
      <c r="C3744" s="1" t="str">
        <f>IFERROR(__xludf.DUMMYFUNCTION("""COMPUTED_VALUE"""),"MARIA LIDIA RIOS (PROGRAMA MEDICINA DEL INTERIOR GOB)")</f>
        <v>MARIA LIDIA RIOS (PROGRAMA MEDICINA DEL INTERIOR GOB)</v>
      </c>
      <c r="D3744" s="1" t="str">
        <f>IFERROR(__xludf.DUMMYFUNCTION("""COMPUTED_VALUE"""),"Lentes de STOCK")</f>
        <v>Lentes de STOCK</v>
      </c>
      <c r="E3744" s="1" t="str">
        <f>IFERROR(__xludf.DUMMYFUNCTION("""COMPUTED_VALUE"""),"Online ADMIN.")</f>
        <v>Online ADMIN.</v>
      </c>
      <c r="F3744" s="1" t="str">
        <f t="shared" si="1"/>
        <v>Online </v>
      </c>
      <c r="G3744" s="1" t="str">
        <f t="shared" si="2"/>
        <v>ADMIN.</v>
      </c>
      <c r="H3744" s="1" t="str">
        <f>IFERROR(__xludf.DUMMYFUNCTION("""COMPUTED_VALUE"""),"23/3/2023, 17:00:00")</f>
        <v>23/3/2023, 17:00:00</v>
      </c>
      <c r="I3744" s="1" t="str">
        <f>IFERROR(__xludf.DUMMYFUNCTION("""COMPUTED_VALUE"""),"Recibido en Laboratorio")</f>
        <v>Recibido en Laboratorio</v>
      </c>
      <c r="J3744" s="1">
        <f t="shared" si="3"/>
        <v>2</v>
      </c>
      <c r="K3744" s="1" t="str">
        <f t="shared" si="4"/>
        <v>Nuestro Laboratorio esta trabajando en tus lentes, los entregaremos en la fecha acordada.</v>
      </c>
    </row>
    <row r="3745">
      <c r="A3745" s="1">
        <f>IFERROR(__xludf.DUMMYFUNCTION("""COMPUTED_VALUE"""),88308.0)</f>
        <v>88308</v>
      </c>
      <c r="B3745" s="5">
        <f>IFERROR(__xludf.DUMMYFUNCTION("""COMPUTED_VALUE"""),45006.35695857639)</f>
        <v>45006.35696</v>
      </c>
      <c r="C3745" s="1" t="str">
        <f>IFERROR(__xludf.DUMMYFUNCTION("""COMPUTED_VALUE"""),"OCHOA AINARA (PROGRAMA MEDICINA DEL INTERIOR GOB)")</f>
        <v>OCHOA AINARA (PROGRAMA MEDICINA DEL INTERIOR GOB)</v>
      </c>
      <c r="D3745" s="1" t="str">
        <f>IFERROR(__xludf.DUMMYFUNCTION("""COMPUTED_VALUE"""),"Lentes de LABORATORIO")</f>
        <v>Lentes de LABORATORIO</v>
      </c>
      <c r="E3745" s="1" t="str">
        <f>IFERROR(__xludf.DUMMYFUNCTION("""COMPUTED_VALUE"""),"Online ADMIN.")</f>
        <v>Online ADMIN.</v>
      </c>
      <c r="F3745" s="1" t="str">
        <f t="shared" si="1"/>
        <v>Online </v>
      </c>
      <c r="G3745" s="1" t="str">
        <f t="shared" si="2"/>
        <v>ADMIN.</v>
      </c>
      <c r="H3745" s="1" t="str">
        <f>IFERROR(__xludf.DUMMYFUNCTION("""COMPUTED_VALUE"""),"28/3/2023, 17:00:00")</f>
        <v>28/3/2023, 17:00:00</v>
      </c>
      <c r="I3745" s="1" t="str">
        <f>IFERROR(__xludf.DUMMYFUNCTION("""COMPUTED_VALUE"""),"Recibido en Laboratorio")</f>
        <v>Recibido en Laboratorio</v>
      </c>
      <c r="J3745" s="1">
        <f t="shared" si="3"/>
        <v>2</v>
      </c>
      <c r="K3745" s="1" t="str">
        <f t="shared" si="4"/>
        <v>Nuestro Laboratorio esta trabajando en tus lentes, los entregaremos en la fecha acordada.</v>
      </c>
    </row>
    <row r="3746">
      <c r="A3746" s="1">
        <f>IFERROR(__xludf.DUMMYFUNCTION("""COMPUTED_VALUE"""),88309.0)</f>
        <v>88309</v>
      </c>
      <c r="B3746" s="5">
        <f>IFERROR(__xludf.DUMMYFUNCTION("""COMPUTED_VALUE"""),45006.35800599537)</f>
        <v>45006.35801</v>
      </c>
      <c r="C3746" s="1" t="str">
        <f>IFERROR(__xludf.DUMMYFUNCTION("""COMPUTED_VALUE"""),"MERCADO TOBIAS AXEL (PROGRAMA MEDICINA DEL INTERIOR GOB)")</f>
        <v>MERCADO TOBIAS AXEL (PROGRAMA MEDICINA DEL INTERIOR GOB)</v>
      </c>
      <c r="D3746" s="1" t="str">
        <f>IFERROR(__xludf.DUMMYFUNCTION("""COMPUTED_VALUE"""),"Lentes de STOCK")</f>
        <v>Lentes de STOCK</v>
      </c>
      <c r="E3746" s="1" t="str">
        <f>IFERROR(__xludf.DUMMYFUNCTION("""COMPUTED_VALUE"""),"Online ADMIN.")</f>
        <v>Online ADMIN.</v>
      </c>
      <c r="F3746" s="1" t="str">
        <f t="shared" si="1"/>
        <v>Online </v>
      </c>
      <c r="G3746" s="1" t="str">
        <f t="shared" si="2"/>
        <v>ADMIN.</v>
      </c>
      <c r="H3746" s="1" t="str">
        <f>IFERROR(__xludf.DUMMYFUNCTION("""COMPUTED_VALUE"""),"23/3/2023, 17:00:00")</f>
        <v>23/3/2023, 17:00:00</v>
      </c>
      <c r="I3746" s="1" t="str">
        <f>IFERROR(__xludf.DUMMYFUNCTION("""COMPUTED_VALUE"""),"Recibido en Laboratorio")</f>
        <v>Recibido en Laboratorio</v>
      </c>
      <c r="J3746" s="1">
        <f t="shared" si="3"/>
        <v>2</v>
      </c>
      <c r="K3746" s="1" t="str">
        <f t="shared" si="4"/>
        <v>Nuestro Laboratorio esta trabajando en tus lentes, los entregaremos en la fecha acordada.</v>
      </c>
    </row>
    <row r="3747">
      <c r="A3747" s="1">
        <f>IFERROR(__xludf.DUMMYFUNCTION("""COMPUTED_VALUE"""),88310.0)</f>
        <v>88310</v>
      </c>
      <c r="B3747" s="5">
        <f>IFERROR(__xludf.DUMMYFUNCTION("""COMPUTED_VALUE"""),45006.359081111106)</f>
        <v>45006.35908</v>
      </c>
      <c r="C3747" s="1" t="str">
        <f>IFERROR(__xludf.DUMMYFUNCTION("""COMPUTED_VALUE"""),"JUAREZ ERIKA ALEJANDRA (PROGRAMA MEDICINA DEL INTERIOR GOB)")</f>
        <v>JUAREZ ERIKA ALEJANDRA (PROGRAMA MEDICINA DEL INTERIOR GOB)</v>
      </c>
      <c r="D3747" s="1" t="str">
        <f>IFERROR(__xludf.DUMMYFUNCTION("""COMPUTED_VALUE"""),"Lentes de STOCK")</f>
        <v>Lentes de STOCK</v>
      </c>
      <c r="E3747" s="1" t="str">
        <f>IFERROR(__xludf.DUMMYFUNCTION("""COMPUTED_VALUE"""),"Online ADMIN.")</f>
        <v>Online ADMIN.</v>
      </c>
      <c r="F3747" s="1" t="str">
        <f t="shared" si="1"/>
        <v>Online </v>
      </c>
      <c r="G3747" s="1" t="str">
        <f t="shared" si="2"/>
        <v>ADMIN.</v>
      </c>
      <c r="H3747" s="1" t="str">
        <f>IFERROR(__xludf.DUMMYFUNCTION("""COMPUTED_VALUE"""),"23/3/2023, 17:00:00")</f>
        <v>23/3/2023, 17:00:00</v>
      </c>
      <c r="I3747" s="1" t="str">
        <f>IFERROR(__xludf.DUMMYFUNCTION("""COMPUTED_VALUE"""),"Recibido en Laboratorio")</f>
        <v>Recibido en Laboratorio</v>
      </c>
      <c r="J3747" s="1">
        <f t="shared" si="3"/>
        <v>2</v>
      </c>
      <c r="K3747" s="1" t="str">
        <f t="shared" si="4"/>
        <v>Nuestro Laboratorio esta trabajando en tus lentes, los entregaremos en la fecha acordada.</v>
      </c>
    </row>
    <row r="3748">
      <c r="A3748" s="1">
        <f>IFERROR(__xludf.DUMMYFUNCTION("""COMPUTED_VALUE"""),88311.0)</f>
        <v>88311</v>
      </c>
      <c r="B3748" s="5">
        <f>IFERROR(__xludf.DUMMYFUNCTION("""COMPUTED_VALUE"""),45006.366870625)</f>
        <v>45006.36687</v>
      </c>
      <c r="C3748" s="1" t="str">
        <f>IFERROR(__xludf.DUMMYFUNCTION("""COMPUTED_VALUE"""),"GONZALEZ NAHIARA (PROGRAMA MEDICINA DEL INTERIOR GOB)")</f>
        <v>GONZALEZ NAHIARA (PROGRAMA MEDICINA DEL INTERIOR GOB)</v>
      </c>
      <c r="D3748" s="1" t="str">
        <f>IFERROR(__xludf.DUMMYFUNCTION("""COMPUTED_VALUE"""),"Lentes de LABORATORIO")</f>
        <v>Lentes de LABORATORIO</v>
      </c>
      <c r="E3748" s="1" t="str">
        <f>IFERROR(__xludf.DUMMYFUNCTION("""COMPUTED_VALUE"""),"Online ADMIN.")</f>
        <v>Online ADMIN.</v>
      </c>
      <c r="F3748" s="1" t="str">
        <f t="shared" si="1"/>
        <v>Online </v>
      </c>
      <c r="G3748" s="1" t="str">
        <f t="shared" si="2"/>
        <v>ADMIN.</v>
      </c>
      <c r="H3748" s="1" t="str">
        <f>IFERROR(__xludf.DUMMYFUNCTION("""COMPUTED_VALUE"""),"28/3/2023, 17:00:00")</f>
        <v>28/3/2023, 17:00:00</v>
      </c>
      <c r="I3748" s="1" t="str">
        <f>IFERROR(__xludf.DUMMYFUNCTION("""COMPUTED_VALUE"""),"Recibido en Laboratorio")</f>
        <v>Recibido en Laboratorio</v>
      </c>
      <c r="J3748" s="1">
        <f t="shared" si="3"/>
        <v>2</v>
      </c>
      <c r="K3748" s="1" t="str">
        <f t="shared" si="4"/>
        <v>Nuestro Laboratorio esta trabajando en tus lentes, los entregaremos en la fecha acordada.</v>
      </c>
    </row>
    <row r="3749">
      <c r="A3749" s="1">
        <f>IFERROR(__xludf.DUMMYFUNCTION("""COMPUTED_VALUE"""),88312.0)</f>
        <v>88312</v>
      </c>
      <c r="B3749" s="5">
        <f>IFERROR(__xludf.DUMMYFUNCTION("""COMPUTED_VALUE"""),45006.367661516204)</f>
        <v>45006.36766</v>
      </c>
      <c r="C3749" s="1" t="str">
        <f>IFERROR(__xludf.DUMMYFUNCTION("""COMPUTED_VALUE"""),"gonzalez lisette (PROGRAMA MEDICINA DEL INTERIOR GOB)")</f>
        <v>gonzalez lisette (PROGRAMA MEDICINA DEL INTERIOR GOB)</v>
      </c>
      <c r="D3749" s="1" t="str">
        <f>IFERROR(__xludf.DUMMYFUNCTION("""COMPUTED_VALUE"""),"Lentes de STOCK")</f>
        <v>Lentes de STOCK</v>
      </c>
      <c r="E3749" s="1" t="str">
        <f>IFERROR(__xludf.DUMMYFUNCTION("""COMPUTED_VALUE"""),"Online ADMIN.")</f>
        <v>Online ADMIN.</v>
      </c>
      <c r="F3749" s="1" t="str">
        <f t="shared" si="1"/>
        <v>Online </v>
      </c>
      <c r="G3749" s="1" t="str">
        <f t="shared" si="2"/>
        <v>ADMIN.</v>
      </c>
      <c r="H3749" s="1" t="str">
        <f>IFERROR(__xludf.DUMMYFUNCTION("""COMPUTED_VALUE"""),"23/3/2023, 17:00:00")</f>
        <v>23/3/2023, 17:00:00</v>
      </c>
      <c r="I3749" s="1" t="str">
        <f>IFERROR(__xludf.DUMMYFUNCTION("""COMPUTED_VALUE"""),"Recibido en Laboratorio")</f>
        <v>Recibido en Laboratorio</v>
      </c>
      <c r="J3749" s="1">
        <f t="shared" si="3"/>
        <v>2</v>
      </c>
      <c r="K3749" s="1" t="str">
        <f t="shared" si="4"/>
        <v>Nuestro Laboratorio esta trabajando en tus lentes, los entregaremos en la fecha acordada.</v>
      </c>
    </row>
    <row r="3750">
      <c r="A3750" s="1">
        <f>IFERROR(__xludf.DUMMYFUNCTION("""COMPUTED_VALUE"""),88313.0)</f>
        <v>88313</v>
      </c>
      <c r="B3750" s="5">
        <f>IFERROR(__xludf.DUMMYFUNCTION("""COMPUTED_VALUE"""),45006.36832579861)</f>
        <v>45006.36833</v>
      </c>
      <c r="C3750" s="1" t="str">
        <f>IFERROR(__xludf.DUMMYFUNCTION("""COMPUTED_VALUE"""),"GARRO ILSA (PROGRAMA MEDICINA DEL INTERIOR GOB)")</f>
        <v>GARRO ILSA (PROGRAMA MEDICINA DEL INTERIOR GOB)</v>
      </c>
      <c r="D3750" s="1" t="str">
        <f>IFERROR(__xludf.DUMMYFUNCTION("""COMPUTED_VALUE"""),"Lentes de STOCK")</f>
        <v>Lentes de STOCK</v>
      </c>
      <c r="E3750" s="1" t="str">
        <f>IFERROR(__xludf.DUMMYFUNCTION("""COMPUTED_VALUE"""),"Online ADMIN.")</f>
        <v>Online ADMIN.</v>
      </c>
      <c r="F3750" s="1" t="str">
        <f t="shared" si="1"/>
        <v>Online </v>
      </c>
      <c r="G3750" s="1" t="str">
        <f t="shared" si="2"/>
        <v>ADMIN.</v>
      </c>
      <c r="H3750" s="1" t="str">
        <f>IFERROR(__xludf.DUMMYFUNCTION("""COMPUTED_VALUE"""),"23/3/2023, 17:00:00")</f>
        <v>23/3/2023, 17:00:00</v>
      </c>
      <c r="I3750" s="1" t="str">
        <f>IFERROR(__xludf.DUMMYFUNCTION("""COMPUTED_VALUE"""),"Recibido en Laboratorio")</f>
        <v>Recibido en Laboratorio</v>
      </c>
      <c r="J3750" s="1">
        <f t="shared" si="3"/>
        <v>2</v>
      </c>
      <c r="K3750" s="1" t="str">
        <f t="shared" si="4"/>
        <v>Nuestro Laboratorio esta trabajando en tus lentes, los entregaremos en la fecha acordada.</v>
      </c>
    </row>
    <row r="3751">
      <c r="A3751" s="1">
        <f>IFERROR(__xludf.DUMMYFUNCTION("""COMPUTED_VALUE"""),88314.0)</f>
        <v>88314</v>
      </c>
      <c r="B3751" s="5">
        <f>IFERROR(__xludf.DUMMYFUNCTION("""COMPUTED_VALUE"""),45006.369239872685)</f>
        <v>45006.36924</v>
      </c>
      <c r="C3751" s="1" t="str">
        <f>IFERROR(__xludf.DUMMYFUNCTION("""COMPUTED_VALUE"""),"CAMPOS BRIAN (PROGRAMA MEDICINA DEL INTERIOR GOB)")</f>
        <v>CAMPOS BRIAN (PROGRAMA MEDICINA DEL INTERIOR GOB)</v>
      </c>
      <c r="D3751" s="1" t="str">
        <f>IFERROR(__xludf.DUMMYFUNCTION("""COMPUTED_VALUE"""),"Lentes de STOCK")</f>
        <v>Lentes de STOCK</v>
      </c>
      <c r="E3751" s="1" t="str">
        <f>IFERROR(__xludf.DUMMYFUNCTION("""COMPUTED_VALUE"""),"Online ADMIN.")</f>
        <v>Online ADMIN.</v>
      </c>
      <c r="F3751" s="1" t="str">
        <f t="shared" si="1"/>
        <v>Online </v>
      </c>
      <c r="G3751" s="1" t="str">
        <f t="shared" si="2"/>
        <v>ADMIN.</v>
      </c>
      <c r="H3751" s="1" t="str">
        <f>IFERROR(__xludf.DUMMYFUNCTION("""COMPUTED_VALUE"""),"23/3/2023, 17:00:00")</f>
        <v>23/3/2023, 17:00:00</v>
      </c>
      <c r="I3751" s="1" t="str">
        <f>IFERROR(__xludf.DUMMYFUNCTION("""COMPUTED_VALUE"""),"Recibido en Laboratorio")</f>
        <v>Recibido en Laboratorio</v>
      </c>
      <c r="J3751" s="1">
        <f t="shared" si="3"/>
        <v>2</v>
      </c>
      <c r="K3751" s="1" t="str">
        <f t="shared" si="4"/>
        <v>Nuestro Laboratorio esta trabajando en tus lentes, los entregaremos en la fecha acordada.</v>
      </c>
    </row>
    <row r="3752">
      <c r="A3752" s="1">
        <f>IFERROR(__xludf.DUMMYFUNCTION("""COMPUTED_VALUE"""),88315.0)</f>
        <v>88315</v>
      </c>
      <c r="B3752" s="5">
        <f>IFERROR(__xludf.DUMMYFUNCTION("""COMPUTED_VALUE"""),45006.36983710648)</f>
        <v>45006.36984</v>
      </c>
      <c r="C3752" s="1" t="str">
        <f>IFERROR(__xludf.DUMMYFUNCTION("""COMPUTED_VALUE"""),"CALDERON FACUNDO (PROGRAMA MEDICINA DEL INTERIOR GOB)")</f>
        <v>CALDERON FACUNDO (PROGRAMA MEDICINA DEL INTERIOR GOB)</v>
      </c>
      <c r="D3752" s="1" t="str">
        <f>IFERROR(__xludf.DUMMYFUNCTION("""COMPUTED_VALUE"""),"Lentes de STOCK")</f>
        <v>Lentes de STOCK</v>
      </c>
      <c r="E3752" s="1" t="str">
        <f>IFERROR(__xludf.DUMMYFUNCTION("""COMPUTED_VALUE"""),"Online ADMIN.")</f>
        <v>Online ADMIN.</v>
      </c>
      <c r="F3752" s="1" t="str">
        <f t="shared" si="1"/>
        <v>Online </v>
      </c>
      <c r="G3752" s="1" t="str">
        <f t="shared" si="2"/>
        <v>ADMIN.</v>
      </c>
      <c r="H3752" s="1" t="str">
        <f>IFERROR(__xludf.DUMMYFUNCTION("""COMPUTED_VALUE"""),"23/3/2023, 17:00:00")</f>
        <v>23/3/2023, 17:00:00</v>
      </c>
      <c r="I3752" s="1" t="str">
        <f>IFERROR(__xludf.DUMMYFUNCTION("""COMPUTED_VALUE"""),"Recibido en Laboratorio")</f>
        <v>Recibido en Laboratorio</v>
      </c>
      <c r="J3752" s="1">
        <f t="shared" si="3"/>
        <v>2</v>
      </c>
      <c r="K3752" s="1" t="str">
        <f t="shared" si="4"/>
        <v>Nuestro Laboratorio esta trabajando en tus lentes, los entregaremos en la fecha acordada.</v>
      </c>
    </row>
    <row r="3753">
      <c r="A3753" s="1">
        <f>IFERROR(__xludf.DUMMYFUNCTION("""COMPUTED_VALUE"""),88316.0)</f>
        <v>88316</v>
      </c>
      <c r="B3753" s="5">
        <f>IFERROR(__xludf.DUMMYFUNCTION("""COMPUTED_VALUE"""),45006.37049104167)</f>
        <v>45006.37049</v>
      </c>
      <c r="C3753" s="1" t="str">
        <f>IFERROR(__xludf.DUMMYFUNCTION("""COMPUTED_VALUE"""),"BERUETTA IVANNA (PROGRAMA MEDICINA DEL INTERIOR GOB)")</f>
        <v>BERUETTA IVANNA (PROGRAMA MEDICINA DEL INTERIOR GOB)</v>
      </c>
      <c r="D3753" s="1" t="str">
        <f>IFERROR(__xludf.DUMMYFUNCTION("""COMPUTED_VALUE"""),"Lentes de STOCK")</f>
        <v>Lentes de STOCK</v>
      </c>
      <c r="E3753" s="1" t="str">
        <f>IFERROR(__xludf.DUMMYFUNCTION("""COMPUTED_VALUE"""),"Online ADMIN.")</f>
        <v>Online ADMIN.</v>
      </c>
      <c r="F3753" s="1" t="str">
        <f t="shared" si="1"/>
        <v>Online </v>
      </c>
      <c r="G3753" s="1" t="str">
        <f t="shared" si="2"/>
        <v>ADMIN.</v>
      </c>
      <c r="H3753" s="1" t="str">
        <f>IFERROR(__xludf.DUMMYFUNCTION("""COMPUTED_VALUE"""),"23/3/2023, 17:00:00")</f>
        <v>23/3/2023, 17:00:00</v>
      </c>
      <c r="I3753" s="1" t="str">
        <f>IFERROR(__xludf.DUMMYFUNCTION("""COMPUTED_VALUE"""),"Recibido en Laboratorio")</f>
        <v>Recibido en Laboratorio</v>
      </c>
      <c r="J3753" s="1">
        <f t="shared" si="3"/>
        <v>2</v>
      </c>
      <c r="K3753" s="1" t="str">
        <f t="shared" si="4"/>
        <v>Nuestro Laboratorio esta trabajando en tus lentes, los entregaremos en la fecha acordada.</v>
      </c>
    </row>
    <row r="3754">
      <c r="A3754" s="1">
        <f>IFERROR(__xludf.DUMMYFUNCTION("""COMPUTED_VALUE"""),88317.0)</f>
        <v>88317</v>
      </c>
      <c r="B3754" s="5">
        <f>IFERROR(__xludf.DUMMYFUNCTION("""COMPUTED_VALUE"""),45006.37105512731)</f>
        <v>45006.37106</v>
      </c>
      <c r="C3754" s="1" t="str">
        <f>IFERROR(__xludf.DUMMYFUNCTION("""COMPUTED_VALUE"""),"BECERRA TEO(PROGRAMA MEDICINA DEL INTERIOR GOB)")</f>
        <v>BECERRA TEO(PROGRAMA MEDICINA DEL INTERIOR GOB)</v>
      </c>
      <c r="D3754" s="1" t="str">
        <f>IFERROR(__xludf.DUMMYFUNCTION("""COMPUTED_VALUE"""),"Lentes de STOCK")</f>
        <v>Lentes de STOCK</v>
      </c>
      <c r="E3754" s="1" t="str">
        <f>IFERROR(__xludf.DUMMYFUNCTION("""COMPUTED_VALUE"""),"Online ADMIN.")</f>
        <v>Online ADMIN.</v>
      </c>
      <c r="F3754" s="1" t="str">
        <f t="shared" si="1"/>
        <v>Online </v>
      </c>
      <c r="G3754" s="1" t="str">
        <f t="shared" si="2"/>
        <v>ADMIN.</v>
      </c>
      <c r="H3754" s="1" t="str">
        <f>IFERROR(__xludf.DUMMYFUNCTION("""COMPUTED_VALUE"""),"23/3/2023, 17:00:00")</f>
        <v>23/3/2023, 17:00:00</v>
      </c>
      <c r="I3754" s="1" t="str">
        <f>IFERROR(__xludf.DUMMYFUNCTION("""COMPUTED_VALUE"""),"Recibido en Laboratorio")</f>
        <v>Recibido en Laboratorio</v>
      </c>
      <c r="J3754" s="1">
        <f t="shared" si="3"/>
        <v>2</v>
      </c>
      <c r="K3754" s="1" t="str">
        <f t="shared" si="4"/>
        <v>Nuestro Laboratorio esta trabajando en tus lentes, los entregaremos en la fecha acordada.</v>
      </c>
    </row>
    <row r="3755">
      <c r="A3755" s="1">
        <f>IFERROR(__xludf.DUMMYFUNCTION("""COMPUTED_VALUE"""),88318.0)</f>
        <v>88318</v>
      </c>
      <c r="B3755" s="5">
        <f>IFERROR(__xludf.DUMMYFUNCTION("""COMPUTED_VALUE"""),45006.371537893516)</f>
        <v>45006.37154</v>
      </c>
      <c r="C3755" s="1" t="str">
        <f>IFERROR(__xludf.DUMMYFUNCTION("""COMPUTED_VALUE"""),"BECERRA ANABELA (PROGRAMA MEDICINA DEL INTERIOR GOB)")</f>
        <v>BECERRA ANABELA (PROGRAMA MEDICINA DEL INTERIOR GOB)</v>
      </c>
      <c r="D3755" s="1" t="str">
        <f>IFERROR(__xludf.DUMMYFUNCTION("""COMPUTED_VALUE"""),"Lentes de STOCK")</f>
        <v>Lentes de STOCK</v>
      </c>
      <c r="E3755" s="1" t="str">
        <f>IFERROR(__xludf.DUMMYFUNCTION("""COMPUTED_VALUE"""),"Online ADMIN.")</f>
        <v>Online ADMIN.</v>
      </c>
      <c r="F3755" s="1" t="str">
        <f t="shared" si="1"/>
        <v>Online </v>
      </c>
      <c r="G3755" s="1" t="str">
        <f t="shared" si="2"/>
        <v>ADMIN.</v>
      </c>
      <c r="H3755" s="1" t="str">
        <f>IFERROR(__xludf.DUMMYFUNCTION("""COMPUTED_VALUE"""),"23/3/2023, 17:00:00")</f>
        <v>23/3/2023, 17:00:00</v>
      </c>
      <c r="I3755" s="1" t="str">
        <f>IFERROR(__xludf.DUMMYFUNCTION("""COMPUTED_VALUE"""),"Recibido en Laboratorio")</f>
        <v>Recibido en Laboratorio</v>
      </c>
      <c r="J3755" s="1">
        <f t="shared" si="3"/>
        <v>2</v>
      </c>
      <c r="K3755" s="1" t="str">
        <f t="shared" si="4"/>
        <v>Nuestro Laboratorio esta trabajando en tus lentes, los entregaremos en la fecha acordada.</v>
      </c>
    </row>
    <row r="3756">
      <c r="A3756" s="1">
        <f>IFERROR(__xludf.DUMMYFUNCTION("""COMPUTED_VALUE"""),88319.0)</f>
        <v>88319</v>
      </c>
      <c r="B3756" s="5">
        <f>IFERROR(__xludf.DUMMYFUNCTION("""COMPUTED_VALUE"""),45006.37254892361)</f>
        <v>45006.37255</v>
      </c>
      <c r="C3756" s="1" t="str">
        <f>IFERROR(__xludf.DUMMYFUNCTION("""COMPUTED_VALUE"""),"BARRIENTOS VALENTINA (PROGRAMA MEDICINA DEL INTERIOR GOB))")</f>
        <v>BARRIENTOS VALENTINA (PROGRAMA MEDICINA DEL INTERIOR GOB))</v>
      </c>
      <c r="D3756" s="1" t="str">
        <f>IFERROR(__xludf.DUMMYFUNCTION("""COMPUTED_VALUE"""),"Lentes de STOCK")</f>
        <v>Lentes de STOCK</v>
      </c>
      <c r="E3756" s="1" t="str">
        <f>IFERROR(__xludf.DUMMYFUNCTION("""COMPUTED_VALUE"""),"Online ADMIN.")</f>
        <v>Online ADMIN.</v>
      </c>
      <c r="F3756" s="1" t="str">
        <f t="shared" si="1"/>
        <v>Online </v>
      </c>
      <c r="G3756" s="1" t="str">
        <f t="shared" si="2"/>
        <v>ADMIN.</v>
      </c>
      <c r="H3756" s="1" t="str">
        <f>IFERROR(__xludf.DUMMYFUNCTION("""COMPUTED_VALUE"""),"23/3/2023, 17:00:00")</f>
        <v>23/3/2023, 17:00:00</v>
      </c>
      <c r="I3756" s="1" t="str">
        <f>IFERROR(__xludf.DUMMYFUNCTION("""COMPUTED_VALUE"""),"Recibido en Laboratorio")</f>
        <v>Recibido en Laboratorio</v>
      </c>
      <c r="J3756" s="1">
        <f t="shared" si="3"/>
        <v>2</v>
      </c>
      <c r="K3756" s="1" t="str">
        <f t="shared" si="4"/>
        <v>Nuestro Laboratorio esta trabajando en tus lentes, los entregaremos en la fecha acordada.</v>
      </c>
    </row>
    <row r="3757">
      <c r="A3757" s="1">
        <f>IFERROR(__xludf.DUMMYFUNCTION("""COMPUTED_VALUE"""),88320.0)</f>
        <v>88320</v>
      </c>
      <c r="B3757" s="5">
        <f>IFERROR(__xludf.DUMMYFUNCTION("""COMPUTED_VALUE"""),45006.37320053241)</f>
        <v>45006.3732</v>
      </c>
      <c r="C3757" s="1" t="str">
        <f>IFERROR(__xludf.DUMMYFUNCTION("""COMPUTED_VALUE"""),"AHUMADA ANDREA (PROGRAMA MEDICINA DEL INTERIOR GOB)")</f>
        <v>AHUMADA ANDREA (PROGRAMA MEDICINA DEL INTERIOR GOB)</v>
      </c>
      <c r="D3757" s="1" t="str">
        <f>IFERROR(__xludf.DUMMYFUNCTION("""COMPUTED_VALUE"""),"Lentes de STOCK")</f>
        <v>Lentes de STOCK</v>
      </c>
      <c r="E3757" s="1" t="str">
        <f>IFERROR(__xludf.DUMMYFUNCTION("""COMPUTED_VALUE"""),"Online ADMIN.")</f>
        <v>Online ADMIN.</v>
      </c>
      <c r="F3757" s="1" t="str">
        <f t="shared" si="1"/>
        <v>Online </v>
      </c>
      <c r="G3757" s="1" t="str">
        <f t="shared" si="2"/>
        <v>ADMIN.</v>
      </c>
      <c r="H3757" s="1" t="str">
        <f>IFERROR(__xludf.DUMMYFUNCTION("""COMPUTED_VALUE"""),"23/3/2023, 17:00:00")</f>
        <v>23/3/2023, 17:00:00</v>
      </c>
      <c r="I3757" s="1" t="str">
        <f>IFERROR(__xludf.DUMMYFUNCTION("""COMPUTED_VALUE"""),"Recibido en Laboratorio")</f>
        <v>Recibido en Laboratorio</v>
      </c>
      <c r="J3757" s="1">
        <f t="shared" si="3"/>
        <v>2</v>
      </c>
      <c r="K3757" s="1" t="str">
        <f t="shared" si="4"/>
        <v>Nuestro Laboratorio esta trabajando en tus lentes, los entregaremos en la fecha acordada.</v>
      </c>
    </row>
    <row r="3758">
      <c r="A3758" s="1">
        <f>IFERROR(__xludf.DUMMYFUNCTION("""COMPUTED_VALUE"""),88321.0)</f>
        <v>88321</v>
      </c>
      <c r="B3758" s="5">
        <f>IFERROR(__xludf.DUMMYFUNCTION("""COMPUTED_VALUE"""),45006.38708598379)</f>
        <v>45006.38709</v>
      </c>
      <c r="C3758" s="1" t="str">
        <f>IFERROR(__xludf.DUMMYFUNCTION("""COMPUTED_VALUE"""),"donaires angela")</f>
        <v>donaires angela</v>
      </c>
      <c r="D3758" s="1" t="str">
        <f>IFERROR(__xludf.DUMMYFUNCTION("""COMPUTED_VALUE"""),"Reparaciones/Otros")</f>
        <v>Reparaciones/Otros</v>
      </c>
      <c r="E3758" s="1" t="str">
        <f>IFERROR(__xludf.DUMMYFUNCTION("""COMPUTED_VALUE"""),"ARTIGAS Roció")</f>
        <v>ARTIGAS Roció</v>
      </c>
      <c r="F3758" s="1" t="str">
        <f t="shared" si="1"/>
        <v>ARTIGAS </v>
      </c>
      <c r="G3758" s="1" t="str">
        <f t="shared" si="2"/>
        <v>Roció</v>
      </c>
      <c r="H3758" s="1" t="str">
        <f>IFERROR(__xludf.DUMMYFUNCTION("""COMPUTED_VALUE"""),"22/3/2023, 17:00:00")</f>
        <v>22/3/2023, 17:00:00</v>
      </c>
      <c r="I3758" s="1" t="str">
        <f>IFERROR(__xludf.DUMMYFUNCTION("""COMPUTED_VALUE"""),"Completado en SUCURSAL")</f>
        <v>Completado en SUCURSAL</v>
      </c>
      <c r="J3758" s="1">
        <f t="shared" si="3"/>
        <v>5</v>
      </c>
      <c r="K3758" s="1" t="str">
        <f t="shared" si="4"/>
        <v>Tus Lentes estan LISTAS PARA ENTREGAR, te esperamos.</v>
      </c>
    </row>
    <row r="3759">
      <c r="A3759" s="1">
        <f>IFERROR(__xludf.DUMMYFUNCTION("""COMPUTED_VALUE"""),88322.0)</f>
        <v>88322</v>
      </c>
      <c r="B3759" s="5">
        <f>IFERROR(__xludf.DUMMYFUNCTION("""COMPUTED_VALUE"""),45006.387858472226)</f>
        <v>45006.38786</v>
      </c>
      <c r="C3759" s="1" t="str">
        <f>IFERROR(__xludf.DUMMYFUNCTION("""COMPUTED_VALUE"""),"Gutierrez Maria")</f>
        <v>Gutierrez Maria</v>
      </c>
      <c r="D3759" s="1" t="str">
        <f>IFERROR(__xludf.DUMMYFUNCTION("""COMPUTED_VALUE"""),"Reparaciones/Otros")</f>
        <v>Reparaciones/Otros</v>
      </c>
      <c r="E3759" s="1" t="str">
        <f>IFERROR(__xludf.DUMMYFUNCTION("""COMPUTED_VALUE"""),"ARTIGAS Sandra G")</f>
        <v>ARTIGAS Sandra G</v>
      </c>
      <c r="F3759" s="1" t="str">
        <f t="shared" si="1"/>
        <v>ARTIGAS </v>
      </c>
      <c r="G3759" s="1" t="str">
        <f t="shared" si="2"/>
        <v>Sandra G</v>
      </c>
      <c r="H3759" s="1" t="str">
        <f>IFERROR(__xludf.DUMMYFUNCTION("""COMPUTED_VALUE"""),"22/3/2023, 17:00:00")</f>
        <v>22/3/2023, 17:00:00</v>
      </c>
      <c r="I3759" s="1" t="str">
        <f>IFERROR(__xludf.DUMMYFUNCTION("""COMPUTED_VALUE"""),"Completado en SUCURSAL")</f>
        <v>Completado en SUCURSAL</v>
      </c>
      <c r="J3759" s="1">
        <f t="shared" si="3"/>
        <v>5</v>
      </c>
      <c r="K3759" s="1" t="str">
        <f t="shared" si="4"/>
        <v>Tus Lentes estan LISTAS PARA ENTREGAR, te esperamos.</v>
      </c>
    </row>
    <row r="3760">
      <c r="A3760" s="1">
        <f>IFERROR(__xludf.DUMMYFUNCTION("""COMPUTED_VALUE"""),88323.0)</f>
        <v>88323</v>
      </c>
      <c r="B3760" s="5">
        <f>IFERROR(__xludf.DUMMYFUNCTION("""COMPUTED_VALUE"""),45006.39606834491)</f>
        <v>45006.39607</v>
      </c>
      <c r="C3760" s="1" t="str">
        <f>IFERROR(__xludf.DUMMYFUNCTION("""COMPUTED_VALUE"""),"ALBORNOZ CESAR RUBEN")</f>
        <v>ALBORNOZ CESAR RUBEN</v>
      </c>
      <c r="D3760" s="1" t="str">
        <f>IFERROR(__xludf.DUMMYFUNCTION("""COMPUTED_VALUE"""),"Reparaciones/Otros")</f>
        <v>Reparaciones/Otros</v>
      </c>
      <c r="E3760" s="1" t="str">
        <f>IFERROR(__xludf.DUMMYFUNCTION("""COMPUTED_VALUE"""),"RIVADAVIA Marcela L")</f>
        <v>RIVADAVIA Marcela L</v>
      </c>
      <c r="F3760" s="1" t="str">
        <f t="shared" si="1"/>
        <v>RIVADAVIA </v>
      </c>
      <c r="G3760" s="1" t="str">
        <f t="shared" si="2"/>
        <v>Marcela L</v>
      </c>
      <c r="H3760" s="1" t="str">
        <f>IFERROR(__xludf.DUMMYFUNCTION("""COMPUTED_VALUE"""),"22/3/2023, 17:00:00")</f>
        <v>22/3/2023, 17:00:00</v>
      </c>
      <c r="I3760" s="1"/>
      <c r="J3760" s="1">
        <f t="shared" si="3"/>
        <v>0</v>
      </c>
      <c r="K3760" s="1" t="str">
        <f t="shared" si="4"/>
        <v/>
      </c>
    </row>
    <row r="3761">
      <c r="A3761" s="1">
        <f>IFERROR(__xludf.DUMMYFUNCTION("""COMPUTED_VALUE"""),88324.0)</f>
        <v>88324</v>
      </c>
      <c r="B3761" s="5">
        <f>IFERROR(__xludf.DUMMYFUNCTION("""COMPUTED_VALUE"""),45006.398295590276)</f>
        <v>45006.3983</v>
      </c>
      <c r="C3761" s="1" t="str">
        <f>IFERROR(__xludf.DUMMYFUNCTION("""COMPUTED_VALUE"""),"MARTINEZ GUSTAVO / CARBO S.L")</f>
        <v>MARTINEZ GUSTAVO / CARBO S.L</v>
      </c>
      <c r="D3761" s="1" t="str">
        <f>IFERROR(__xludf.DUMMYFUNCTION("""COMPUTED_VALUE"""),"Lentes BIFOCALES")</f>
        <v>Lentes BIFOCALES</v>
      </c>
      <c r="E3761" s="1" t="str">
        <f>IFERROR(__xludf.DUMMYFUNCTION("""COMPUTED_VALUE"""),"ARTIGAS Ivana P.")</f>
        <v>ARTIGAS Ivana P.</v>
      </c>
      <c r="F3761" s="1" t="str">
        <f t="shared" si="1"/>
        <v>ARTIGAS </v>
      </c>
      <c r="G3761" s="1" t="str">
        <f t="shared" si="2"/>
        <v>Ivana P.</v>
      </c>
      <c r="H3761" s="1" t="str">
        <f>IFERROR(__xludf.DUMMYFUNCTION("""COMPUTED_VALUE"""),"3/4/2023, 17:00:00")</f>
        <v>3/4/2023, 17:00:00</v>
      </c>
      <c r="I3761" s="1" t="str">
        <f>IFERROR(__xludf.DUMMYFUNCTION("""COMPUTED_VALUE"""),"Completado en SUCURSAL")</f>
        <v>Completado en SUCURSAL</v>
      </c>
      <c r="J3761" s="1">
        <f t="shared" si="3"/>
        <v>5</v>
      </c>
      <c r="K3761" s="1" t="str">
        <f t="shared" si="4"/>
        <v>Tus Lentes estan LISTAS PARA ENTREGAR, te esperamos.</v>
      </c>
    </row>
    <row r="3762">
      <c r="A3762" s="1">
        <f>IFERROR(__xludf.DUMMYFUNCTION("""COMPUTED_VALUE"""),88325.0)</f>
        <v>88325</v>
      </c>
      <c r="B3762" s="5">
        <f>IFERROR(__xludf.DUMMYFUNCTION("""COMPUTED_VALUE"""),45006.398940416664)</f>
        <v>45006.39894</v>
      </c>
      <c r="C3762" s="1" t="str">
        <f>IFERROR(__xludf.DUMMYFUNCTION("""COMPUTED_VALUE"""),"gimenez lucio")</f>
        <v>gimenez lucio</v>
      </c>
      <c r="D3762" s="1" t="str">
        <f>IFERROR(__xludf.DUMMYFUNCTION("""COMPUTED_VALUE"""),"Lentes de STOCK")</f>
        <v>Lentes de STOCK</v>
      </c>
      <c r="E3762" s="1" t="str">
        <f>IFERROR(__xludf.DUMMYFUNCTION("""COMPUTED_VALUE"""),"RIVADAVIA Santiago LOPEZ")</f>
        <v>RIVADAVIA Santiago LOPEZ</v>
      </c>
      <c r="F3762" s="1" t="str">
        <f t="shared" si="1"/>
        <v>RIVADAVIA </v>
      </c>
      <c r="G3762" s="1" t="str">
        <f t="shared" si="2"/>
        <v>Santiago LOPEZ</v>
      </c>
      <c r="H3762" s="1" t="str">
        <f>IFERROR(__xludf.DUMMYFUNCTION("""COMPUTED_VALUE"""),"27/3/2023, 17:00:00")</f>
        <v>27/3/2023, 17:00:00</v>
      </c>
      <c r="I3762" s="1" t="str">
        <f>IFERROR(__xludf.DUMMYFUNCTION("""COMPUTED_VALUE"""),"RETIRADO OK POR CLIENTE")</f>
        <v>RETIRADO OK POR CLIENTE</v>
      </c>
      <c r="J3762" s="1">
        <f t="shared" si="3"/>
        <v>6</v>
      </c>
      <c r="K3762" s="1" t="str">
        <f t="shared" si="4"/>
        <v>Entregamos tus lentes, que los disfrutes!</v>
      </c>
    </row>
    <row r="3763">
      <c r="A3763" s="1">
        <f>IFERROR(__xludf.DUMMYFUNCTION("""COMPUTED_VALUE"""),88326.0)</f>
        <v>88326</v>
      </c>
      <c r="B3763" s="5">
        <f>IFERROR(__xludf.DUMMYFUNCTION("""COMPUTED_VALUE"""),45006.41003184028)</f>
        <v>45006.41003</v>
      </c>
      <c r="C3763" s="1" t="str">
        <f>IFERROR(__xludf.DUMMYFUNCTION("""COMPUTED_VALUE"""),"OLIVERA ALEJANDRO / CARBO")</f>
        <v>OLIVERA ALEJANDRO / CARBO</v>
      </c>
      <c r="D3763" s="1" t="str">
        <f>IFERROR(__xludf.DUMMYFUNCTION("""COMPUTED_VALUE"""),"Lentes de STOCK")</f>
        <v>Lentes de STOCK</v>
      </c>
      <c r="E3763" s="1" t="str">
        <f>IFERROR(__xludf.DUMMYFUNCTION("""COMPUTED_VALUE"""),"ARTIGAS Ivana P.")</f>
        <v>ARTIGAS Ivana P.</v>
      </c>
      <c r="F3763" s="1" t="str">
        <f t="shared" si="1"/>
        <v>ARTIGAS </v>
      </c>
      <c r="G3763" s="1" t="str">
        <f t="shared" si="2"/>
        <v>Ivana P.</v>
      </c>
      <c r="H3763" s="1" t="str">
        <f>IFERROR(__xludf.DUMMYFUNCTION("""COMPUTED_VALUE"""),"25/3/2023, 17:00:00")</f>
        <v>25/3/2023, 17:00:00</v>
      </c>
      <c r="I3763" s="1" t="str">
        <f>IFERROR(__xludf.DUMMYFUNCTION("""COMPUTED_VALUE"""),"Recibido en Laboratorio")</f>
        <v>Recibido en Laboratorio</v>
      </c>
      <c r="J3763" s="1">
        <f t="shared" si="3"/>
        <v>2</v>
      </c>
      <c r="K3763" s="1" t="str">
        <f t="shared" si="4"/>
        <v>Nuestro Laboratorio esta trabajando en tus lentes, los entregaremos en la fecha acordada.</v>
      </c>
    </row>
    <row r="3764">
      <c r="A3764" s="1">
        <f>IFERROR(__xludf.DUMMYFUNCTION("""COMPUTED_VALUE"""),88327.0)</f>
        <v>88327</v>
      </c>
      <c r="B3764" s="5">
        <f>IFERROR(__xludf.DUMMYFUNCTION("""COMPUTED_VALUE"""),45006.41312494213)</f>
        <v>45006.41312</v>
      </c>
      <c r="C3764" s="1" t="str">
        <f>IFERROR(__xludf.DUMMYFUNCTION("""COMPUTED_VALUE"""),"caldera jonathan")</f>
        <v>caldera jonathan</v>
      </c>
      <c r="D3764" s="1" t="str">
        <f>IFERROR(__xludf.DUMMYFUNCTION("""COMPUTED_VALUE"""),"Lentes de STOCK")</f>
        <v>Lentes de STOCK</v>
      </c>
      <c r="E3764" s="1" t="str">
        <f>IFERROR(__xludf.DUMMYFUNCTION("""COMPUTED_VALUE"""),"RIVADAVIA Santiago N")</f>
        <v>RIVADAVIA Santiago N</v>
      </c>
      <c r="F3764" s="1" t="str">
        <f t="shared" si="1"/>
        <v>RIVADAVIA </v>
      </c>
      <c r="G3764" s="1" t="str">
        <f t="shared" si="2"/>
        <v>Santiago N</v>
      </c>
      <c r="H3764" s="1" t="str">
        <f>IFERROR(__xludf.DUMMYFUNCTION("""COMPUTED_VALUE"""),"25/3/2023, 17:00:00")</f>
        <v>25/3/2023, 17:00:00</v>
      </c>
      <c r="I3764" s="1" t="str">
        <f>IFERROR(__xludf.DUMMYFUNCTION("""COMPUTED_VALUE"""),"RETIRADO OK POR CLIENTE")</f>
        <v>RETIRADO OK POR CLIENTE</v>
      </c>
      <c r="J3764" s="1">
        <f t="shared" si="3"/>
        <v>6</v>
      </c>
      <c r="K3764" s="1" t="str">
        <f t="shared" si="4"/>
        <v>Entregamos tus lentes, que los disfrutes!</v>
      </c>
    </row>
    <row r="3765">
      <c r="A3765" s="1">
        <f>IFERROR(__xludf.DUMMYFUNCTION("""COMPUTED_VALUE"""),88328.0)</f>
        <v>88328</v>
      </c>
      <c r="B3765" s="5">
        <f>IFERROR(__xludf.DUMMYFUNCTION("""COMPUTED_VALUE"""),45006.42926390046)</f>
        <v>45006.42926</v>
      </c>
      <c r="C3765" s="1" t="str">
        <f>IFERROR(__xludf.DUMMYFUNCTION("""COMPUTED_VALUE"""),"NUÑEZ FRANCO DANIEL")</f>
        <v>NUÑEZ FRANCO DANIEL</v>
      </c>
      <c r="D3765" s="1" t="str">
        <f>IFERROR(__xludf.DUMMYFUNCTION("""COMPUTED_VALUE"""),"Lentes de STOCK")</f>
        <v>Lentes de STOCK</v>
      </c>
      <c r="E3765" s="1" t="str">
        <f>IFERROR(__xludf.DUMMYFUNCTION("""COMPUTED_VALUE"""),"RIVADAVIA Marcela L")</f>
        <v>RIVADAVIA Marcela L</v>
      </c>
      <c r="F3765" s="1" t="str">
        <f t="shared" si="1"/>
        <v>RIVADAVIA </v>
      </c>
      <c r="G3765" s="1" t="str">
        <f t="shared" si="2"/>
        <v>Marcela L</v>
      </c>
      <c r="H3765" s="1" t="str">
        <f>IFERROR(__xludf.DUMMYFUNCTION("""COMPUTED_VALUE"""),"27/3/2023, 17:00:00")</f>
        <v>27/3/2023, 17:00:00</v>
      </c>
      <c r="I3765" s="1" t="str">
        <f>IFERROR(__xludf.DUMMYFUNCTION("""COMPUTED_VALUE"""),"RETIRADO OK POR CLIENTE")</f>
        <v>RETIRADO OK POR CLIENTE</v>
      </c>
      <c r="J3765" s="1">
        <f t="shared" si="3"/>
        <v>6</v>
      </c>
      <c r="K3765" s="1" t="str">
        <f t="shared" si="4"/>
        <v>Entregamos tus lentes, que los disfrutes!</v>
      </c>
    </row>
    <row r="3766">
      <c r="A3766" s="1">
        <f>IFERROR(__xludf.DUMMYFUNCTION("""COMPUTED_VALUE"""),88329.0)</f>
        <v>88329</v>
      </c>
      <c r="B3766" s="5">
        <f>IFERROR(__xludf.DUMMYFUNCTION("""COMPUTED_VALUE"""),45006.43024973379)</f>
        <v>45006.43025</v>
      </c>
      <c r="C3766" s="1" t="str">
        <f>IFERROR(__xludf.DUMMYFUNCTION("""COMPUTED_VALUE"""),"AGUILAR PELAITAY, MALENA")</f>
        <v>AGUILAR PELAITAY, MALENA</v>
      </c>
      <c r="D3766" s="1" t="str">
        <f>IFERROR(__xludf.DUMMYFUNCTION("""COMPUTED_VALUE"""),"Lentes de STOCK")</f>
        <v>Lentes de STOCK</v>
      </c>
      <c r="E3766" s="1" t="str">
        <f>IFERROR(__xludf.DUMMYFUNCTION("""COMPUTED_VALUE"""),"RIVADAVIA Christian C.")</f>
        <v>RIVADAVIA Christian C.</v>
      </c>
      <c r="F3766" s="1" t="str">
        <f t="shared" si="1"/>
        <v>RIVADAVIA </v>
      </c>
      <c r="G3766" s="1" t="str">
        <f t="shared" si="2"/>
        <v>Christian C.</v>
      </c>
      <c r="H3766" s="1" t="str">
        <f>IFERROR(__xludf.DUMMYFUNCTION("""COMPUTED_VALUE"""),"28/3/2023, 17:00:00")</f>
        <v>28/3/2023, 17:00:00</v>
      </c>
      <c r="I3766" s="1" t="str">
        <f>IFERROR(__xludf.DUMMYFUNCTION("""COMPUTED_VALUE"""),"RETIRADO OK POR CLIENTE")</f>
        <v>RETIRADO OK POR CLIENTE</v>
      </c>
      <c r="J3766" s="1">
        <f t="shared" si="3"/>
        <v>6</v>
      </c>
      <c r="K3766" s="1" t="str">
        <f t="shared" si="4"/>
        <v>Entregamos tus lentes, que los disfrutes!</v>
      </c>
    </row>
    <row r="3767">
      <c r="A3767" s="1">
        <f>IFERROR(__xludf.DUMMYFUNCTION("""COMPUTED_VALUE"""),88330.0)</f>
        <v>88330</v>
      </c>
      <c r="B3767" s="5">
        <f>IFERROR(__xludf.DUMMYFUNCTION("""COMPUTED_VALUE"""),45006.430973888884)</f>
        <v>45006.43097</v>
      </c>
      <c r="C3767" s="1" t="str">
        <f>IFERROR(__xludf.DUMMYFUNCTION("""COMPUTED_VALUE"""),"ARCE DANIELA")</f>
        <v>ARCE DANIELA</v>
      </c>
      <c r="D3767" s="1" t="str">
        <f>IFERROR(__xludf.DUMMYFUNCTION("""COMPUTED_VALUE"""),"Reparaciones/Otros")</f>
        <v>Reparaciones/Otros</v>
      </c>
      <c r="E3767" s="1" t="str">
        <f>IFERROR(__xludf.DUMMYFUNCTION("""COMPUTED_VALUE"""),"ARTIGAS Ivana P.")</f>
        <v>ARTIGAS Ivana P.</v>
      </c>
      <c r="F3767" s="1" t="str">
        <f t="shared" si="1"/>
        <v>ARTIGAS </v>
      </c>
      <c r="G3767" s="1" t="str">
        <f t="shared" si="2"/>
        <v>Ivana P.</v>
      </c>
      <c r="H3767" s="1" t="str">
        <f>IFERROR(__xludf.DUMMYFUNCTION("""COMPUTED_VALUE"""),"22/3/2023, 17:00:00")</f>
        <v>22/3/2023, 17:00:00</v>
      </c>
      <c r="I3767" s="1" t="str">
        <f>IFERROR(__xludf.DUMMYFUNCTION("""COMPUTED_VALUE"""),"Completado en SUCURSAL")</f>
        <v>Completado en SUCURSAL</v>
      </c>
      <c r="J3767" s="1">
        <f t="shared" si="3"/>
        <v>5</v>
      </c>
      <c r="K3767" s="1" t="str">
        <f t="shared" si="4"/>
        <v>Tus Lentes estan LISTAS PARA ENTREGAR, te esperamos.</v>
      </c>
    </row>
    <row r="3768">
      <c r="A3768" s="1">
        <f>IFERROR(__xludf.DUMMYFUNCTION("""COMPUTED_VALUE"""),88331.0)</f>
        <v>88331</v>
      </c>
      <c r="B3768" s="5">
        <f>IFERROR(__xludf.DUMMYFUNCTION("""COMPUTED_VALUE"""),45006.438828935185)</f>
        <v>45006.43883</v>
      </c>
      <c r="C3768" s="1" t="str">
        <f>IFERROR(__xludf.DUMMYFUNCTION("""COMPUTED_VALUE"""),"MIRANDA ABRIL ROCIO AZUL")</f>
        <v>MIRANDA ABRIL ROCIO AZUL</v>
      </c>
      <c r="D3768" s="1" t="str">
        <f>IFERROR(__xludf.DUMMYFUNCTION("""COMPUTED_VALUE"""),"Lentes de LABORATORIO")</f>
        <v>Lentes de LABORATORIO</v>
      </c>
      <c r="E3768" s="1" t="str">
        <f>IFERROR(__xludf.DUMMYFUNCTION("""COMPUTED_VALUE"""),"ARTIGAS Ivana P.")</f>
        <v>ARTIGAS Ivana P.</v>
      </c>
      <c r="F3768" s="1" t="str">
        <f t="shared" si="1"/>
        <v>ARTIGAS </v>
      </c>
      <c r="G3768" s="1" t="str">
        <f t="shared" si="2"/>
        <v>Ivana P.</v>
      </c>
      <c r="H3768" s="1" t="str">
        <f>IFERROR(__xludf.DUMMYFUNCTION("""COMPUTED_VALUE"""),"28/3/2023, 17:00:00")</f>
        <v>28/3/2023, 17:00:00</v>
      </c>
      <c r="I3768" s="1" t="str">
        <f>IFERROR(__xludf.DUMMYFUNCTION("""COMPUTED_VALUE"""),"RETIRADO OK POR CLIENTE")</f>
        <v>RETIRADO OK POR CLIENTE</v>
      </c>
      <c r="J3768" s="1">
        <f t="shared" si="3"/>
        <v>6</v>
      </c>
      <c r="K3768" s="1" t="str">
        <f t="shared" si="4"/>
        <v>Entregamos tus lentes, que los disfrutes!</v>
      </c>
    </row>
    <row r="3769">
      <c r="A3769" s="1">
        <f>IFERROR(__xludf.DUMMYFUNCTION("""COMPUTED_VALUE"""),88332.0)</f>
        <v>88332</v>
      </c>
      <c r="B3769" s="5">
        <f>IFERROR(__xludf.DUMMYFUNCTION("""COMPUTED_VALUE"""),45006.4401218287)</f>
        <v>45006.44012</v>
      </c>
      <c r="C3769" s="1" t="str">
        <f>IFERROR(__xludf.DUMMYFUNCTION("""COMPUTED_VALUE"""),"QUIROGA CLAUDIA ALEJANDRA")</f>
        <v>QUIROGA CLAUDIA ALEJANDRA</v>
      </c>
      <c r="D3769" s="1" t="str">
        <f>IFERROR(__xludf.DUMMYFUNCTION("""COMPUTED_VALUE"""),"Lentes MULTIFOCALES")</f>
        <v>Lentes MULTIFOCALES</v>
      </c>
      <c r="E3769" s="1" t="str">
        <f>IFERROR(__xludf.DUMMYFUNCTION("""COMPUTED_VALUE"""),"ARTIGAS Roció")</f>
        <v>ARTIGAS Roció</v>
      </c>
      <c r="F3769" s="1" t="str">
        <f t="shared" si="1"/>
        <v>ARTIGAS </v>
      </c>
      <c r="G3769" s="1" t="str">
        <f t="shared" si="2"/>
        <v>Roció</v>
      </c>
      <c r="H3769" s="1" t="str">
        <f>IFERROR(__xludf.DUMMYFUNCTION("""COMPUTED_VALUE"""),"5/4/2023, 17:00:00")</f>
        <v>5/4/2023, 17:00:00</v>
      </c>
      <c r="I3769" s="1" t="str">
        <f>IFERROR(__xludf.DUMMYFUNCTION("""COMPUTED_VALUE"""),"RETIRADO OK POR CLIENTE")</f>
        <v>RETIRADO OK POR CLIENTE</v>
      </c>
      <c r="J3769" s="1">
        <f t="shared" si="3"/>
        <v>6</v>
      </c>
      <c r="K3769" s="1" t="str">
        <f t="shared" si="4"/>
        <v>Entregamos tus lentes, que los disfrutes!</v>
      </c>
    </row>
    <row r="3770">
      <c r="A3770" s="1">
        <f>IFERROR(__xludf.DUMMYFUNCTION("""COMPUTED_VALUE"""),88333.0)</f>
        <v>88333</v>
      </c>
      <c r="B3770" s="5">
        <f>IFERROR(__xludf.DUMMYFUNCTION("""COMPUTED_VALUE"""),45006.44037030093)</f>
        <v>45006.44037</v>
      </c>
      <c r="C3770" s="1" t="str">
        <f>IFERROR(__xludf.DUMMYFUNCTION("""COMPUTED_VALUE"""),"MONTAÑO RODOLFO ")</f>
        <v>MONTAÑO RODOLFO </v>
      </c>
      <c r="D3770" s="1" t="str">
        <f>IFERROR(__xludf.DUMMYFUNCTION("""COMPUTED_VALUE"""),"Lentes de STOCK")</f>
        <v>Lentes de STOCK</v>
      </c>
      <c r="E3770" s="1" t="str">
        <f>IFERROR(__xludf.DUMMYFUNCTION("""COMPUTED_VALUE"""),"RIVADAVIA Luciana")</f>
        <v>RIVADAVIA Luciana</v>
      </c>
      <c r="F3770" s="1" t="str">
        <f t="shared" si="1"/>
        <v>RIVADAVIA </v>
      </c>
      <c r="G3770" s="1" t="str">
        <f t="shared" si="2"/>
        <v>Luciana</v>
      </c>
      <c r="H3770" s="1" t="str">
        <f>IFERROR(__xludf.DUMMYFUNCTION("""COMPUTED_VALUE"""),"27/3/2023, 17:00:00")</f>
        <v>27/3/2023, 17:00:00</v>
      </c>
      <c r="I3770" s="1" t="str">
        <f>IFERROR(__xludf.DUMMYFUNCTION("""COMPUTED_VALUE"""),"RETIRADO OK POR CLIENTE")</f>
        <v>RETIRADO OK POR CLIENTE</v>
      </c>
      <c r="J3770" s="1">
        <f t="shared" si="3"/>
        <v>6</v>
      </c>
      <c r="K3770" s="1" t="str">
        <f t="shared" si="4"/>
        <v>Entregamos tus lentes, que los disfrutes!</v>
      </c>
    </row>
    <row r="3771">
      <c r="A3771" s="1">
        <f>IFERROR(__xludf.DUMMYFUNCTION("""COMPUTED_VALUE"""),88334.0)</f>
        <v>88334</v>
      </c>
      <c r="B3771" s="5">
        <f>IFERROR(__xludf.DUMMYFUNCTION("""COMPUTED_VALUE"""),45006.443571006945)</f>
        <v>45006.44357</v>
      </c>
      <c r="C3771" s="1" t="str">
        <f>IFERROR(__xludf.DUMMYFUNCTION("""COMPUTED_VALUE"""),"ABAD FATIMA")</f>
        <v>ABAD FATIMA</v>
      </c>
      <c r="D3771" s="1" t="str">
        <f>IFERROR(__xludf.DUMMYFUNCTION("""COMPUTED_VALUE"""),"Lentes de LABORATORIO")</f>
        <v>Lentes de LABORATORIO</v>
      </c>
      <c r="E3771" s="1" t="str">
        <f>IFERROR(__xludf.DUMMYFUNCTION("""COMPUTED_VALUE"""),"ARTIGAS Ivana P.")</f>
        <v>ARTIGAS Ivana P.</v>
      </c>
      <c r="F3771" s="1" t="str">
        <f t="shared" si="1"/>
        <v>ARTIGAS </v>
      </c>
      <c r="G3771" s="1" t="str">
        <f t="shared" si="2"/>
        <v>Ivana P.</v>
      </c>
      <c r="H3771" s="1" t="str">
        <f>IFERROR(__xludf.DUMMYFUNCTION("""COMPUTED_VALUE"""),"29/3/2023, 17:00:00")</f>
        <v>29/3/2023, 17:00:00</v>
      </c>
      <c r="I3771" s="1" t="str">
        <f>IFERROR(__xludf.DUMMYFUNCTION("""COMPUTED_VALUE"""),"RETIRADO OK POR CLIENTE")</f>
        <v>RETIRADO OK POR CLIENTE</v>
      </c>
      <c r="J3771" s="1">
        <f t="shared" si="3"/>
        <v>6</v>
      </c>
      <c r="K3771" s="1" t="str">
        <f t="shared" si="4"/>
        <v>Entregamos tus lentes, que los disfrutes!</v>
      </c>
    </row>
    <row r="3772">
      <c r="A3772" s="1">
        <f>IFERROR(__xludf.DUMMYFUNCTION("""COMPUTED_VALUE"""),88335.0)</f>
        <v>88335</v>
      </c>
      <c r="B3772" s="5">
        <f>IFERROR(__xludf.DUMMYFUNCTION("""COMPUTED_VALUE"""),45006.44553078704)</f>
        <v>45006.44553</v>
      </c>
      <c r="C3772" s="1" t="str">
        <f>IFERROR(__xludf.DUMMYFUNCTION("""COMPUTED_VALUE"""),"FERNANDEZ AVELINA")</f>
        <v>FERNANDEZ AVELINA</v>
      </c>
      <c r="D3772" s="1" t="str">
        <f>IFERROR(__xludf.DUMMYFUNCTION("""COMPUTED_VALUE"""),"Lentes de STOCK")</f>
        <v>Lentes de STOCK</v>
      </c>
      <c r="E3772" s="1" t="str">
        <f>IFERROR(__xludf.DUMMYFUNCTION("""COMPUTED_VALUE"""),"RIVADAVIA Christian C.")</f>
        <v>RIVADAVIA Christian C.</v>
      </c>
      <c r="F3772" s="1" t="str">
        <f t="shared" si="1"/>
        <v>RIVADAVIA </v>
      </c>
      <c r="G3772" s="1" t="str">
        <f t="shared" si="2"/>
        <v>Christian C.</v>
      </c>
      <c r="H3772" s="1" t="str">
        <f>IFERROR(__xludf.DUMMYFUNCTION("""COMPUTED_VALUE"""),"28/3/2023, 17:00:00")</f>
        <v>28/3/2023, 17:00:00</v>
      </c>
      <c r="I3772" s="1" t="str">
        <f>IFERROR(__xludf.DUMMYFUNCTION("""COMPUTED_VALUE"""),"RETIRADO OK POR CLIENTE")</f>
        <v>RETIRADO OK POR CLIENTE</v>
      </c>
      <c r="J3772" s="1">
        <f t="shared" si="3"/>
        <v>6</v>
      </c>
      <c r="K3772" s="1" t="str">
        <f t="shared" si="4"/>
        <v>Entregamos tus lentes, que los disfrutes!</v>
      </c>
    </row>
    <row r="3773">
      <c r="A3773" s="1">
        <f>IFERROR(__xludf.DUMMYFUNCTION("""COMPUTED_VALUE"""),88336.0)</f>
        <v>88336</v>
      </c>
      <c r="B3773" s="5">
        <f>IFERROR(__xludf.DUMMYFUNCTION("""COMPUTED_VALUE"""),45006.45055814815)</f>
        <v>45006.45056</v>
      </c>
      <c r="C3773" s="1" t="str">
        <f>IFERROR(__xludf.DUMMYFUNCTION("""COMPUTED_VALUE"""),"MOYANO HORACIO")</f>
        <v>MOYANO HORACIO</v>
      </c>
      <c r="D3773" s="1" t="str">
        <f>IFERROR(__xludf.DUMMYFUNCTION("""COMPUTED_VALUE"""),"Reparaciones/Otros")</f>
        <v>Reparaciones/Otros</v>
      </c>
      <c r="E3773" s="1" t="str">
        <f>IFERROR(__xludf.DUMMYFUNCTION("""COMPUTED_VALUE"""),"RIVADAVIA Christian C.")</f>
        <v>RIVADAVIA Christian C.</v>
      </c>
      <c r="F3773" s="1" t="str">
        <f t="shared" si="1"/>
        <v>RIVADAVIA </v>
      </c>
      <c r="G3773" s="1" t="str">
        <f t="shared" si="2"/>
        <v>Christian C.</v>
      </c>
      <c r="H3773" s="1" t="str">
        <f>IFERROR(__xludf.DUMMYFUNCTION("""COMPUTED_VALUE"""),"22/3/2023, 17:00:00")</f>
        <v>22/3/2023, 17:00:00</v>
      </c>
      <c r="I3773" s="1" t="str">
        <f>IFERROR(__xludf.DUMMYFUNCTION("""COMPUTED_VALUE"""),"Completado en SUCURSAL")</f>
        <v>Completado en SUCURSAL</v>
      </c>
      <c r="J3773" s="1">
        <f t="shared" si="3"/>
        <v>5</v>
      </c>
      <c r="K3773" s="1" t="str">
        <f t="shared" si="4"/>
        <v>Tus Lentes estan LISTAS PARA ENTREGAR, te esperamos.</v>
      </c>
    </row>
    <row r="3774">
      <c r="A3774" s="1">
        <f>IFERROR(__xludf.DUMMYFUNCTION("""COMPUTED_VALUE"""),88337.0)</f>
        <v>88337</v>
      </c>
      <c r="B3774" s="5">
        <f>IFERROR(__xludf.DUMMYFUNCTION("""COMPUTED_VALUE"""),45006.45111365741)</f>
        <v>45006.45111</v>
      </c>
      <c r="C3774" s="1" t="str">
        <f>IFERROR(__xludf.DUMMYFUNCTION("""COMPUTED_VALUE"""),"VEGA VICTOR HUGO")</f>
        <v>VEGA VICTOR HUGO</v>
      </c>
      <c r="D3774" s="1" t="str">
        <f>IFERROR(__xludf.DUMMYFUNCTION("""COMPUTED_VALUE"""),"Reparaciones/Otros")</f>
        <v>Reparaciones/Otros</v>
      </c>
      <c r="E3774" s="1" t="str">
        <f>IFERROR(__xludf.DUMMYFUNCTION("""COMPUTED_VALUE"""),"ARTIGAS Roció")</f>
        <v>ARTIGAS Roció</v>
      </c>
      <c r="F3774" s="1" t="str">
        <f t="shared" si="1"/>
        <v>ARTIGAS </v>
      </c>
      <c r="G3774" s="1" t="str">
        <f t="shared" si="2"/>
        <v>Roció</v>
      </c>
      <c r="H3774" s="1" t="str">
        <f>IFERROR(__xludf.DUMMYFUNCTION("""COMPUTED_VALUE"""),"22/3/2023, 17:00:00")</f>
        <v>22/3/2023, 17:00:00</v>
      </c>
      <c r="I3774" s="1" t="str">
        <f>IFERROR(__xludf.DUMMYFUNCTION("""COMPUTED_VALUE"""),"Completado en SUCURSAL")</f>
        <v>Completado en SUCURSAL</v>
      </c>
      <c r="J3774" s="1">
        <f t="shared" si="3"/>
        <v>5</v>
      </c>
      <c r="K3774" s="1" t="str">
        <f t="shared" si="4"/>
        <v>Tus Lentes estan LISTAS PARA ENTREGAR, te esperamos.</v>
      </c>
    </row>
    <row r="3775">
      <c r="A3775" s="1">
        <f>IFERROR(__xludf.DUMMYFUNCTION("""COMPUTED_VALUE"""),88338.0)</f>
        <v>88338</v>
      </c>
      <c r="B3775" s="5">
        <f>IFERROR(__xludf.DUMMYFUNCTION("""COMPUTED_VALUE"""),45006.454394953704)</f>
        <v>45006.45439</v>
      </c>
      <c r="C3775" s="1" t="str">
        <f>IFERROR(__xludf.DUMMYFUNCTION("""COMPUTED_VALUE"""),"AGUIAR LAUTARO")</f>
        <v>AGUIAR LAUTARO</v>
      </c>
      <c r="D3775" s="1" t="str">
        <f>IFERROR(__xludf.DUMMYFUNCTION("""COMPUTED_VALUE"""),"Lentes de STOCK")</f>
        <v>Lentes de STOCK</v>
      </c>
      <c r="E3775" s="1" t="str">
        <f>IFERROR(__xludf.DUMMYFUNCTION("""COMPUTED_VALUE"""),"ARTIGAS Ivana P.")</f>
        <v>ARTIGAS Ivana P.</v>
      </c>
      <c r="F3775" s="1" t="str">
        <f t="shared" si="1"/>
        <v>ARTIGAS </v>
      </c>
      <c r="G3775" s="1" t="str">
        <f t="shared" si="2"/>
        <v>Ivana P.</v>
      </c>
      <c r="H3775" s="1" t="str">
        <f>IFERROR(__xludf.DUMMYFUNCTION("""COMPUTED_VALUE"""),"28/3/2023, 17:00:00")</f>
        <v>28/3/2023, 17:00:00</v>
      </c>
      <c r="I3775" s="1" t="str">
        <f>IFERROR(__xludf.DUMMYFUNCTION("""COMPUTED_VALUE"""),"RETIRADO OK POR CLIENTE")</f>
        <v>RETIRADO OK POR CLIENTE</v>
      </c>
      <c r="J3775" s="1">
        <f t="shared" si="3"/>
        <v>6</v>
      </c>
      <c r="K3775" s="1" t="str">
        <f t="shared" si="4"/>
        <v>Entregamos tus lentes, que los disfrutes!</v>
      </c>
    </row>
    <row r="3776">
      <c r="A3776" s="1">
        <f>IFERROR(__xludf.DUMMYFUNCTION("""COMPUTED_VALUE"""),88339.0)</f>
        <v>88339</v>
      </c>
      <c r="B3776" s="5">
        <f>IFERROR(__xludf.DUMMYFUNCTION("""COMPUTED_VALUE"""),45006.458543333334)</f>
        <v>45006.45854</v>
      </c>
      <c r="C3776" s="1" t="str">
        <f>IFERROR(__xludf.DUMMYFUNCTION("""COMPUTED_VALUE"""),"FLORES MARIA IGNACIA")</f>
        <v>FLORES MARIA IGNACIA</v>
      </c>
      <c r="D3776" s="1" t="str">
        <f>IFERROR(__xludf.DUMMYFUNCTION("""COMPUTED_VALUE"""),"Lentes de STOCK")</f>
        <v>Lentes de STOCK</v>
      </c>
      <c r="E3776" s="1" t="str">
        <f>IFERROR(__xludf.DUMMYFUNCTION("""COMPUTED_VALUE"""),"ARTIGAS Roció")</f>
        <v>ARTIGAS Roció</v>
      </c>
      <c r="F3776" s="1" t="str">
        <f t="shared" si="1"/>
        <v>ARTIGAS </v>
      </c>
      <c r="G3776" s="1" t="str">
        <f t="shared" si="2"/>
        <v>Roció</v>
      </c>
      <c r="H3776" s="1" t="str">
        <f>IFERROR(__xludf.DUMMYFUNCTION("""COMPUTED_VALUE"""),"25/3/2023, 17:00:00")</f>
        <v>25/3/2023, 17:00:00</v>
      </c>
      <c r="I3776" s="1" t="str">
        <f>IFERROR(__xludf.DUMMYFUNCTION("""COMPUTED_VALUE"""),"RETIRADO OK POR CLIENTE")</f>
        <v>RETIRADO OK POR CLIENTE</v>
      </c>
      <c r="J3776" s="1">
        <f t="shared" si="3"/>
        <v>6</v>
      </c>
      <c r="K3776" s="1" t="str">
        <f t="shared" si="4"/>
        <v>Entregamos tus lentes, que los disfrutes!</v>
      </c>
    </row>
    <row r="3777">
      <c r="A3777" s="1">
        <f>IFERROR(__xludf.DUMMYFUNCTION("""COMPUTED_VALUE"""),88340.0)</f>
        <v>88340</v>
      </c>
      <c r="B3777" s="5">
        <f>IFERROR(__xludf.DUMMYFUNCTION("""COMPUTED_VALUE"""),45006.49772255787)</f>
        <v>45006.49772</v>
      </c>
      <c r="C3777" s="1" t="str">
        <f>IFERROR(__xludf.DUMMYFUNCTION("""COMPUTED_VALUE"""),"ABACA GLADY SUSANA")</f>
        <v>ABACA GLADY SUSANA</v>
      </c>
      <c r="D3777" s="1" t="str">
        <f>IFERROR(__xludf.DUMMYFUNCTION("""COMPUTED_VALUE"""),"Lentes BIFOCALES")</f>
        <v>Lentes BIFOCALES</v>
      </c>
      <c r="E3777" s="1" t="str">
        <f>IFERROR(__xludf.DUMMYFUNCTION("""COMPUTED_VALUE"""),"RIVADAVIA Luciana")</f>
        <v>RIVADAVIA Luciana</v>
      </c>
      <c r="F3777" s="1" t="str">
        <f t="shared" si="1"/>
        <v>RIVADAVIA </v>
      </c>
      <c r="G3777" s="1" t="str">
        <f t="shared" si="2"/>
        <v>Luciana</v>
      </c>
      <c r="H3777" s="1" t="str">
        <f>IFERROR(__xludf.DUMMYFUNCTION("""COMPUTED_VALUE"""),"5/4/2023, 17:00:00")</f>
        <v>5/4/2023, 17:00:00</v>
      </c>
      <c r="I3777" s="1" t="str">
        <f>IFERROR(__xludf.DUMMYFUNCTION("""COMPUTED_VALUE"""),"RETIRADO OK POR CLIENTE")</f>
        <v>RETIRADO OK POR CLIENTE</v>
      </c>
      <c r="J3777" s="1">
        <f t="shared" si="3"/>
        <v>6</v>
      </c>
      <c r="K3777" s="1" t="str">
        <f t="shared" si="4"/>
        <v>Entregamos tus lentes, que los disfrutes!</v>
      </c>
    </row>
    <row r="3778">
      <c r="A3778" s="1">
        <f>IFERROR(__xludf.DUMMYFUNCTION("""COMPUTED_VALUE"""),88341.0)</f>
        <v>88341</v>
      </c>
      <c r="B3778" s="5">
        <f>IFERROR(__xludf.DUMMYFUNCTION("""COMPUTED_VALUE"""),45006.49832270833)</f>
        <v>45006.49832</v>
      </c>
      <c r="C3778" s="1" t="str">
        <f>IFERROR(__xludf.DUMMYFUNCTION("""COMPUTED_VALUE"""),"OLGUIN WALTER RUFINO")</f>
        <v>OLGUIN WALTER RUFINO</v>
      </c>
      <c r="D3778" s="1" t="str">
        <f>IFERROR(__xludf.DUMMYFUNCTION("""COMPUTED_VALUE"""),"Lentes de STOCK")</f>
        <v>Lentes de STOCK</v>
      </c>
      <c r="E3778" s="1" t="str">
        <f>IFERROR(__xludf.DUMMYFUNCTION("""COMPUTED_VALUE"""),"RIVADAVIA Marcela L")</f>
        <v>RIVADAVIA Marcela L</v>
      </c>
      <c r="F3778" s="1" t="str">
        <f t="shared" si="1"/>
        <v>RIVADAVIA </v>
      </c>
      <c r="G3778" s="1" t="str">
        <f t="shared" si="2"/>
        <v>Marcela L</v>
      </c>
      <c r="H3778" s="1" t="str">
        <f>IFERROR(__xludf.DUMMYFUNCTION("""COMPUTED_VALUE"""),"25/3/2023, 17:00:00")</f>
        <v>25/3/2023, 17:00:00</v>
      </c>
      <c r="I3778" s="1" t="str">
        <f>IFERROR(__xludf.DUMMYFUNCTION("""COMPUTED_VALUE"""),"Completado en SUCURSAL")</f>
        <v>Completado en SUCURSAL</v>
      </c>
      <c r="J3778" s="1">
        <f t="shared" si="3"/>
        <v>5</v>
      </c>
      <c r="K3778" s="1" t="str">
        <f t="shared" si="4"/>
        <v>Tus Lentes estan LISTAS PARA ENTREGAR, te esperamos.</v>
      </c>
    </row>
    <row r="3779">
      <c r="A3779" s="1">
        <f>IFERROR(__xludf.DUMMYFUNCTION("""COMPUTED_VALUE"""),88342.0)</f>
        <v>88342</v>
      </c>
      <c r="B3779" s="5">
        <f>IFERROR(__xludf.DUMMYFUNCTION("""COMPUTED_VALUE"""),45006.51216936343)</f>
        <v>45006.51217</v>
      </c>
      <c r="C3779" s="1" t="str">
        <f>IFERROR(__xludf.DUMMYFUNCTION("""COMPUTED_VALUE"""),"GUERRERO GABRIELA")</f>
        <v>GUERRERO GABRIELA</v>
      </c>
      <c r="D3779" s="1" t="str">
        <f>IFERROR(__xludf.DUMMYFUNCTION("""COMPUTED_VALUE"""),"Lentes de STOCK")</f>
        <v>Lentes de STOCK</v>
      </c>
      <c r="E3779" s="1" t="str">
        <f>IFERROR(__xludf.DUMMYFUNCTION("""COMPUTED_VALUE"""),"RIVADAVIA Christian C.")</f>
        <v>RIVADAVIA Christian C.</v>
      </c>
      <c r="F3779" s="1" t="str">
        <f t="shared" si="1"/>
        <v>RIVADAVIA </v>
      </c>
      <c r="G3779" s="1" t="str">
        <f t="shared" si="2"/>
        <v>Christian C.</v>
      </c>
      <c r="H3779" s="1" t="str">
        <f>IFERROR(__xludf.DUMMYFUNCTION("""COMPUTED_VALUE"""),"30/3/2023, 17:00:00")</f>
        <v>30/3/2023, 17:00:00</v>
      </c>
      <c r="I3779" s="1" t="str">
        <f>IFERROR(__xludf.DUMMYFUNCTION("""COMPUTED_VALUE"""),"RETIRADO OK POR CLIENTE")</f>
        <v>RETIRADO OK POR CLIENTE</v>
      </c>
      <c r="J3779" s="1">
        <f t="shared" si="3"/>
        <v>6</v>
      </c>
      <c r="K3779" s="1" t="str">
        <f t="shared" si="4"/>
        <v>Entregamos tus lentes, que los disfrutes!</v>
      </c>
    </row>
    <row r="3780">
      <c r="A3780" s="1">
        <f>IFERROR(__xludf.DUMMYFUNCTION("""COMPUTED_VALUE"""),88343.0)</f>
        <v>88343</v>
      </c>
      <c r="B3780" s="5">
        <f>IFERROR(__xludf.DUMMYFUNCTION("""COMPUTED_VALUE"""),45006.51983608796)</f>
        <v>45006.51984</v>
      </c>
      <c r="C3780" s="1" t="str">
        <f>IFERROR(__xludf.DUMMYFUNCTION("""COMPUTED_VALUE"""),"FERNANDEZ CALVO CARINA")</f>
        <v>FERNANDEZ CALVO CARINA</v>
      </c>
      <c r="D3780" s="1" t="str">
        <f>IFERROR(__xludf.DUMMYFUNCTION("""COMPUTED_VALUE"""),"Lentes de STOCK")</f>
        <v>Lentes de STOCK</v>
      </c>
      <c r="E3780" s="1" t="str">
        <f>IFERROR(__xludf.DUMMYFUNCTION("""COMPUTED_VALUE"""),"RIVADAVIA Santiago LOPEZ")</f>
        <v>RIVADAVIA Santiago LOPEZ</v>
      </c>
      <c r="F3780" s="1" t="str">
        <f t="shared" si="1"/>
        <v>RIVADAVIA </v>
      </c>
      <c r="G3780" s="1" t="str">
        <f t="shared" si="2"/>
        <v>Santiago LOPEZ</v>
      </c>
      <c r="H3780" s="1" t="str">
        <f>IFERROR(__xludf.DUMMYFUNCTION("""COMPUTED_VALUE"""),"27/3/2023, 17:00:00")</f>
        <v>27/3/2023, 17:00:00</v>
      </c>
      <c r="I3780" s="1" t="str">
        <f>IFERROR(__xludf.DUMMYFUNCTION("""COMPUTED_VALUE"""),"RETIRADO OK POR CLIENTE")</f>
        <v>RETIRADO OK POR CLIENTE</v>
      </c>
      <c r="J3780" s="1">
        <f t="shared" si="3"/>
        <v>6</v>
      </c>
      <c r="K3780" s="1" t="str">
        <f t="shared" si="4"/>
        <v>Entregamos tus lentes, que los disfrutes!</v>
      </c>
    </row>
    <row r="3781">
      <c r="A3781" s="1">
        <f>IFERROR(__xludf.DUMMYFUNCTION("""COMPUTED_VALUE"""),88344.0)</f>
        <v>88344</v>
      </c>
      <c r="B3781" s="5">
        <f>IFERROR(__xludf.DUMMYFUNCTION("""COMPUTED_VALUE"""),45006.52153582176)</f>
        <v>45006.52154</v>
      </c>
      <c r="C3781" s="1" t="str">
        <f>IFERROR(__xludf.DUMMYFUNCTION("""COMPUTED_VALUE"""),"agundez jorge alfredo")</f>
        <v>agundez jorge alfredo</v>
      </c>
      <c r="D3781" s="1" t="str">
        <f>IFERROR(__xludf.DUMMYFUNCTION("""COMPUTED_VALUE"""),"Lentes de STOCK")</f>
        <v>Lentes de STOCK</v>
      </c>
      <c r="E3781" s="1" t="str">
        <f>IFERROR(__xludf.DUMMYFUNCTION("""COMPUTED_VALUE"""),"RIVADAVIA Santiago N")</f>
        <v>RIVADAVIA Santiago N</v>
      </c>
      <c r="F3781" s="1" t="str">
        <f t="shared" si="1"/>
        <v>RIVADAVIA </v>
      </c>
      <c r="G3781" s="1" t="str">
        <f t="shared" si="2"/>
        <v>Santiago N</v>
      </c>
      <c r="H3781" s="1" t="str">
        <f>IFERROR(__xludf.DUMMYFUNCTION("""COMPUTED_VALUE"""),"23/3/2023, 17:00:00")</f>
        <v>23/3/2023, 17:00:00</v>
      </c>
      <c r="I3781" s="1" t="str">
        <f>IFERROR(__xludf.DUMMYFUNCTION("""COMPUTED_VALUE"""),"Completado en SUCURSAL")</f>
        <v>Completado en SUCURSAL</v>
      </c>
      <c r="J3781" s="1">
        <f t="shared" si="3"/>
        <v>5</v>
      </c>
      <c r="K3781" s="1" t="str">
        <f t="shared" si="4"/>
        <v>Tus Lentes estan LISTAS PARA ENTREGAR, te esperamos.</v>
      </c>
    </row>
    <row r="3782">
      <c r="A3782" s="1">
        <f>IFERROR(__xludf.DUMMYFUNCTION("""COMPUTED_VALUE"""),88345.0)</f>
        <v>88345</v>
      </c>
      <c r="B3782" s="5">
        <f>IFERROR(__xludf.DUMMYFUNCTION("""COMPUTED_VALUE"""),45006.52598666667)</f>
        <v>45006.52599</v>
      </c>
      <c r="C3782" s="1" t="str">
        <f>IFERROR(__xludf.DUMMYFUNCTION("""COMPUTED_VALUE"""),"ABACA JOSE ILARIO")</f>
        <v>ABACA JOSE ILARIO</v>
      </c>
      <c r="D3782" s="1" t="str">
        <f>IFERROR(__xludf.DUMMYFUNCTION("""COMPUTED_VALUE"""),"Lentes de STOCK")</f>
        <v>Lentes de STOCK</v>
      </c>
      <c r="E3782" s="1" t="str">
        <f>IFERROR(__xludf.DUMMYFUNCTION("""COMPUTED_VALUE"""),"RIVADAVIA Marcela L")</f>
        <v>RIVADAVIA Marcela L</v>
      </c>
      <c r="F3782" s="1" t="str">
        <f t="shared" si="1"/>
        <v>RIVADAVIA </v>
      </c>
      <c r="G3782" s="1" t="str">
        <f t="shared" si="2"/>
        <v>Marcela L</v>
      </c>
      <c r="H3782" s="1" t="str">
        <f>IFERROR(__xludf.DUMMYFUNCTION("""COMPUTED_VALUE"""),"28/3/2023, 17:00:00")</f>
        <v>28/3/2023, 17:00:00</v>
      </c>
      <c r="I3782" s="1" t="str">
        <f>IFERROR(__xludf.DUMMYFUNCTION("""COMPUTED_VALUE"""),"Completado en SUCURSAL")</f>
        <v>Completado en SUCURSAL</v>
      </c>
      <c r="J3782" s="1">
        <f t="shared" si="3"/>
        <v>5</v>
      </c>
      <c r="K3782" s="1" t="str">
        <f t="shared" si="4"/>
        <v>Tus Lentes estan LISTAS PARA ENTREGAR, te esperamos.</v>
      </c>
    </row>
    <row r="3783">
      <c r="A3783" s="1">
        <f>IFERROR(__xludf.DUMMYFUNCTION("""COMPUTED_VALUE"""),88346.0)</f>
        <v>88346</v>
      </c>
      <c r="B3783" s="5">
        <f>IFERROR(__xludf.DUMMYFUNCTION("""COMPUTED_VALUE"""),45006.52713909722)</f>
        <v>45006.52714</v>
      </c>
      <c r="C3783" s="1" t="str">
        <f>IFERROR(__xludf.DUMMYFUNCTION("""COMPUTED_VALUE"""),"MERLO ANALIA")</f>
        <v>MERLO ANALIA</v>
      </c>
      <c r="D3783" s="1" t="str">
        <f>IFERROR(__xludf.DUMMYFUNCTION("""COMPUTED_VALUE"""),"Lentes MULTIFOCALES")</f>
        <v>Lentes MULTIFOCALES</v>
      </c>
      <c r="E3783" s="1" t="str">
        <f>IFERROR(__xludf.DUMMYFUNCTION("""COMPUTED_VALUE"""),"RIVADAVIA Santiago LOPEZ")</f>
        <v>RIVADAVIA Santiago LOPEZ</v>
      </c>
      <c r="F3783" s="1" t="str">
        <f t="shared" si="1"/>
        <v>RIVADAVIA </v>
      </c>
      <c r="G3783" s="1" t="str">
        <f t="shared" si="2"/>
        <v>Santiago LOPEZ</v>
      </c>
      <c r="H3783" s="1" t="str">
        <f>IFERROR(__xludf.DUMMYFUNCTION("""COMPUTED_VALUE"""),"4/4/2023, 17:00:00")</f>
        <v>4/4/2023, 17:00:00</v>
      </c>
      <c r="I3783" s="1" t="str">
        <f>IFERROR(__xludf.DUMMYFUNCTION("""COMPUTED_VALUE"""),"Completado en SUCURSAL")</f>
        <v>Completado en SUCURSAL</v>
      </c>
      <c r="J3783" s="1">
        <f t="shared" si="3"/>
        <v>5</v>
      </c>
      <c r="K3783" s="1" t="str">
        <f t="shared" si="4"/>
        <v>Tus Lentes estan LISTAS PARA ENTREGAR, te esperamos.</v>
      </c>
    </row>
    <row r="3784">
      <c r="A3784" s="1">
        <f>IFERROR(__xludf.DUMMYFUNCTION("""COMPUTED_VALUE"""),88347.0)</f>
        <v>88347</v>
      </c>
      <c r="B3784" s="5">
        <f>IFERROR(__xludf.DUMMYFUNCTION("""COMPUTED_VALUE"""),45006.530384537036)</f>
        <v>45006.53038</v>
      </c>
      <c r="C3784" s="1" t="str">
        <f>IFERROR(__xludf.DUMMYFUNCTION("""COMPUTED_VALUE"""),"TOURANT ELIAS")</f>
        <v>TOURANT ELIAS</v>
      </c>
      <c r="D3784" s="1" t="str">
        <f>IFERROR(__xludf.DUMMYFUNCTION("""COMPUTED_VALUE"""),"Lentes de STOCK")</f>
        <v>Lentes de STOCK</v>
      </c>
      <c r="E3784" s="1" t="str">
        <f>IFERROR(__xludf.DUMMYFUNCTION("""COMPUTED_VALUE"""),"RIVADAVIA Luciana")</f>
        <v>RIVADAVIA Luciana</v>
      </c>
      <c r="F3784" s="1" t="str">
        <f t="shared" si="1"/>
        <v>RIVADAVIA </v>
      </c>
      <c r="G3784" s="1" t="str">
        <f t="shared" si="2"/>
        <v>Luciana</v>
      </c>
      <c r="H3784" s="1" t="str">
        <f>IFERROR(__xludf.DUMMYFUNCTION("""COMPUTED_VALUE"""),"27/3/2023, 17:00:00")</f>
        <v>27/3/2023, 17:00:00</v>
      </c>
      <c r="I3784" s="1" t="str">
        <f>IFERROR(__xludf.DUMMYFUNCTION("""COMPUTED_VALUE"""),"RETIRADO OK POR CLIENTE")</f>
        <v>RETIRADO OK POR CLIENTE</v>
      </c>
      <c r="J3784" s="1">
        <f t="shared" si="3"/>
        <v>6</v>
      </c>
      <c r="K3784" s="1" t="str">
        <f t="shared" si="4"/>
        <v>Entregamos tus lentes, que los disfrutes!</v>
      </c>
    </row>
    <row r="3785">
      <c r="A3785" s="1">
        <f>IFERROR(__xludf.DUMMYFUNCTION("""COMPUTED_VALUE"""),88348.0)</f>
        <v>88348</v>
      </c>
      <c r="B3785" s="5">
        <f>IFERROR(__xludf.DUMMYFUNCTION("""COMPUTED_VALUE"""),45006.53217237268)</f>
        <v>45006.53217</v>
      </c>
      <c r="C3785" s="1" t="str">
        <f>IFERROR(__xludf.DUMMYFUNCTION("""COMPUTED_VALUE"""),"BIRMAN ALBERTO")</f>
        <v>BIRMAN ALBERTO</v>
      </c>
      <c r="D3785" s="1" t="str">
        <f>IFERROR(__xludf.DUMMYFUNCTION("""COMPUTED_VALUE"""),"Lentes de LABORATORIO")</f>
        <v>Lentes de LABORATORIO</v>
      </c>
      <c r="E3785" s="1" t="str">
        <f>IFERROR(__xludf.DUMMYFUNCTION("""COMPUTED_VALUE"""),"ARTIGAS Ivana P.")</f>
        <v>ARTIGAS Ivana P.</v>
      </c>
      <c r="F3785" s="1" t="str">
        <f t="shared" si="1"/>
        <v>ARTIGAS </v>
      </c>
      <c r="G3785" s="1" t="str">
        <f t="shared" si="2"/>
        <v>Ivana P.</v>
      </c>
      <c r="H3785" s="1" t="str">
        <f>IFERROR(__xludf.DUMMYFUNCTION("""COMPUTED_VALUE"""),"5/4/2023, 17:00:00")</f>
        <v>5/4/2023, 17:00:00</v>
      </c>
      <c r="I3785" s="1" t="str">
        <f>IFERROR(__xludf.DUMMYFUNCTION("""COMPUTED_VALUE"""),"RETIRADO OK POR CLIENTE")</f>
        <v>RETIRADO OK POR CLIENTE</v>
      </c>
      <c r="J3785" s="1">
        <f t="shared" si="3"/>
        <v>6</v>
      </c>
      <c r="K3785" s="1" t="str">
        <f t="shared" si="4"/>
        <v>Entregamos tus lentes, que los disfrutes!</v>
      </c>
    </row>
    <row r="3786">
      <c r="A3786" s="1">
        <f>IFERROR(__xludf.DUMMYFUNCTION("""COMPUTED_VALUE"""),88349.0)</f>
        <v>88349</v>
      </c>
      <c r="B3786" s="5">
        <f>IFERROR(__xludf.DUMMYFUNCTION("""COMPUTED_VALUE"""),45006.53591976852)</f>
        <v>45006.53592</v>
      </c>
      <c r="C3786" s="1" t="str">
        <f>IFERROR(__xludf.DUMMYFUNCTION("""COMPUTED_VALUE"""),"SENDRA RAUL RODRIGO")</f>
        <v>SENDRA RAUL RODRIGO</v>
      </c>
      <c r="D3786" s="1" t="str">
        <f>IFERROR(__xludf.DUMMYFUNCTION("""COMPUTED_VALUE"""),"Reparaciones/Otros")</f>
        <v>Reparaciones/Otros</v>
      </c>
      <c r="E3786" s="1" t="str">
        <f>IFERROR(__xludf.DUMMYFUNCTION("""COMPUTED_VALUE"""),"RIVADAVIA Marcela L")</f>
        <v>RIVADAVIA Marcela L</v>
      </c>
      <c r="F3786" s="1" t="str">
        <f t="shared" si="1"/>
        <v>RIVADAVIA </v>
      </c>
      <c r="G3786" s="1" t="str">
        <f t="shared" si="2"/>
        <v>Marcela L</v>
      </c>
      <c r="H3786" s="1" t="str">
        <f>IFERROR(__xludf.DUMMYFUNCTION("""COMPUTED_VALUE"""),"22/3/2023, 17:00:00")</f>
        <v>22/3/2023, 17:00:00</v>
      </c>
      <c r="I3786" s="1"/>
      <c r="J3786" s="1">
        <f t="shared" si="3"/>
        <v>0</v>
      </c>
      <c r="K3786" s="1" t="str">
        <f t="shared" si="4"/>
        <v/>
      </c>
    </row>
    <row r="3787">
      <c r="A3787" s="1">
        <f>IFERROR(__xludf.DUMMYFUNCTION("""COMPUTED_VALUE"""),88350.0)</f>
        <v>88350</v>
      </c>
      <c r="B3787" s="5">
        <f>IFERROR(__xludf.DUMMYFUNCTION("""COMPUTED_VALUE"""),45006.53669599537)</f>
        <v>45006.5367</v>
      </c>
      <c r="C3787" s="1" t="str">
        <f>IFERROR(__xludf.DUMMYFUNCTION("""COMPUTED_VALUE"""),"GOMEZ JACINTO")</f>
        <v>GOMEZ JACINTO</v>
      </c>
      <c r="D3787" s="1" t="str">
        <f>IFERROR(__xludf.DUMMYFUNCTION("""COMPUTED_VALUE"""),"Reparaciones/Otros")</f>
        <v>Reparaciones/Otros</v>
      </c>
      <c r="E3787" s="1" t="str">
        <f>IFERROR(__xludf.DUMMYFUNCTION("""COMPUTED_VALUE"""),"ARTIGAS Ivana P.")</f>
        <v>ARTIGAS Ivana P.</v>
      </c>
      <c r="F3787" s="1" t="str">
        <f t="shared" si="1"/>
        <v>ARTIGAS </v>
      </c>
      <c r="G3787" s="1" t="str">
        <f t="shared" si="2"/>
        <v>Ivana P.</v>
      </c>
      <c r="H3787" s="1" t="str">
        <f>IFERROR(__xludf.DUMMYFUNCTION("""COMPUTED_VALUE"""),"22/3/2023, 17:00:00")</f>
        <v>22/3/2023, 17:00:00</v>
      </c>
      <c r="I3787" s="1" t="str">
        <f>IFERROR(__xludf.DUMMYFUNCTION("""COMPUTED_VALUE"""),"Completado en SUCURSAL")</f>
        <v>Completado en SUCURSAL</v>
      </c>
      <c r="J3787" s="1">
        <f t="shared" si="3"/>
        <v>5</v>
      </c>
      <c r="K3787" s="1" t="str">
        <f t="shared" si="4"/>
        <v>Tus Lentes estan LISTAS PARA ENTREGAR, te esperamos.</v>
      </c>
    </row>
    <row r="3788">
      <c r="A3788" s="1">
        <f>IFERROR(__xludf.DUMMYFUNCTION("""COMPUTED_VALUE"""),88351.0)</f>
        <v>88351</v>
      </c>
      <c r="B3788" s="5">
        <f>IFERROR(__xludf.DUMMYFUNCTION("""COMPUTED_VALUE"""),45006.53933924768)</f>
        <v>45006.53934</v>
      </c>
      <c r="C3788" s="1" t="str">
        <f>IFERROR(__xludf.DUMMYFUNCTION("""COMPUTED_VALUE"""),"MANDOLINI ANA MARIA")</f>
        <v>MANDOLINI ANA MARIA</v>
      </c>
      <c r="D3788" s="1" t="str">
        <f>IFERROR(__xludf.DUMMYFUNCTION("""COMPUTED_VALUE"""),"Reparaciones/Otros")</f>
        <v>Reparaciones/Otros</v>
      </c>
      <c r="E3788" s="1" t="str">
        <f>IFERROR(__xludf.DUMMYFUNCTION("""COMPUTED_VALUE"""),"ARTIGAS Sandra G")</f>
        <v>ARTIGAS Sandra G</v>
      </c>
      <c r="F3788" s="1" t="str">
        <f t="shared" si="1"/>
        <v>ARTIGAS </v>
      </c>
      <c r="G3788" s="1" t="str">
        <f t="shared" si="2"/>
        <v>Sandra G</v>
      </c>
      <c r="H3788" s="1" t="str">
        <f>IFERROR(__xludf.DUMMYFUNCTION("""COMPUTED_VALUE"""),"22/3/2023, 17:00:00")</f>
        <v>22/3/2023, 17:00:00</v>
      </c>
      <c r="I3788" s="1" t="str">
        <f>IFERROR(__xludf.DUMMYFUNCTION("""COMPUTED_VALUE"""),"Recibido en Laboratorio")</f>
        <v>Recibido en Laboratorio</v>
      </c>
      <c r="J3788" s="1">
        <f t="shared" si="3"/>
        <v>2</v>
      </c>
      <c r="K3788" s="1" t="str">
        <f t="shared" si="4"/>
        <v>Nuestro Laboratorio esta trabajando en tus lentes, los entregaremos en la fecha acordada.</v>
      </c>
    </row>
    <row r="3789">
      <c r="A3789" s="1">
        <f>IFERROR(__xludf.DUMMYFUNCTION("""COMPUTED_VALUE"""),88352.0)</f>
        <v>88352</v>
      </c>
      <c r="B3789" s="5">
        <f>IFERROR(__xludf.DUMMYFUNCTION("""COMPUTED_VALUE"""),45006.541301481484)</f>
        <v>45006.5413</v>
      </c>
      <c r="C3789" s="1" t="str">
        <f>IFERROR(__xludf.DUMMYFUNCTION("""COMPUTED_VALUE"""),"GOMEZ JACINTO")</f>
        <v>GOMEZ JACINTO</v>
      </c>
      <c r="D3789" s="1" t="str">
        <f>IFERROR(__xludf.DUMMYFUNCTION("""COMPUTED_VALUE"""),"Lentes de STOCK")</f>
        <v>Lentes de STOCK</v>
      </c>
      <c r="E3789" s="1" t="str">
        <f>IFERROR(__xludf.DUMMYFUNCTION("""COMPUTED_VALUE"""),"ARTIGAS Ivana P.")</f>
        <v>ARTIGAS Ivana P.</v>
      </c>
      <c r="F3789" s="1" t="str">
        <f t="shared" si="1"/>
        <v>ARTIGAS </v>
      </c>
      <c r="G3789" s="1" t="str">
        <f t="shared" si="2"/>
        <v>Ivana P.</v>
      </c>
      <c r="H3789" s="1" t="str">
        <f>IFERROR(__xludf.DUMMYFUNCTION("""COMPUTED_VALUE"""),"25/3/2023, 17:00:00")</f>
        <v>25/3/2023, 17:00:00</v>
      </c>
      <c r="I3789" s="1" t="str">
        <f>IFERROR(__xludf.DUMMYFUNCTION("""COMPUTED_VALUE"""),"RETIRADO OK POR CLIENTE")</f>
        <v>RETIRADO OK POR CLIENTE</v>
      </c>
      <c r="J3789" s="1">
        <f t="shared" si="3"/>
        <v>6</v>
      </c>
      <c r="K3789" s="1" t="str">
        <f t="shared" si="4"/>
        <v>Entregamos tus lentes, que los disfrutes!</v>
      </c>
    </row>
    <row r="3790">
      <c r="A3790" s="1">
        <f>IFERROR(__xludf.DUMMYFUNCTION("""COMPUTED_VALUE"""),88353.0)</f>
        <v>88353</v>
      </c>
      <c r="B3790" s="5">
        <f>IFERROR(__xludf.DUMMYFUNCTION("""COMPUTED_VALUE"""),45006.54174475695)</f>
        <v>45006.54174</v>
      </c>
      <c r="C3790" s="1" t="str">
        <f>IFERROR(__xludf.DUMMYFUNCTION("""COMPUTED_VALUE"""),"SOMARE SILVIA")</f>
        <v>SOMARE SILVIA</v>
      </c>
      <c r="D3790" s="1" t="str">
        <f>IFERROR(__xludf.DUMMYFUNCTION("""COMPUTED_VALUE"""),"Lentes de STOCK")</f>
        <v>Lentes de STOCK</v>
      </c>
      <c r="E3790" s="1" t="str">
        <f>IFERROR(__xludf.DUMMYFUNCTION("""COMPUTED_VALUE"""),"RIVADAVIA Daniel CM")</f>
        <v>RIVADAVIA Daniel CM</v>
      </c>
      <c r="F3790" s="1" t="str">
        <f t="shared" si="1"/>
        <v>RIVADAVIA </v>
      </c>
      <c r="G3790" s="1" t="str">
        <f t="shared" si="2"/>
        <v>Daniel CM</v>
      </c>
      <c r="H3790" s="1" t="str">
        <f>IFERROR(__xludf.DUMMYFUNCTION("""COMPUTED_VALUE"""),"23/3/2023, 17:00:00")</f>
        <v>23/3/2023, 17:00:00</v>
      </c>
      <c r="I3790" s="1"/>
      <c r="J3790" s="1">
        <f t="shared" si="3"/>
        <v>0</v>
      </c>
      <c r="K3790" s="1" t="str">
        <f t="shared" si="4"/>
        <v/>
      </c>
    </row>
    <row r="3791">
      <c r="A3791" s="1">
        <f>IFERROR(__xludf.DUMMYFUNCTION("""COMPUTED_VALUE"""),88354.0)</f>
        <v>88354</v>
      </c>
      <c r="B3791" s="5">
        <f>IFERROR(__xludf.DUMMYFUNCTION("""COMPUTED_VALUE"""),45006.542872777776)</f>
        <v>45006.54287</v>
      </c>
      <c r="C3791" s="1" t="str">
        <f>IFERROR(__xludf.DUMMYFUNCTION("""COMPUTED_VALUE"""),"HORMAECHE CLARA")</f>
        <v>HORMAECHE CLARA</v>
      </c>
      <c r="D3791" s="1" t="str">
        <f>IFERROR(__xludf.DUMMYFUNCTION("""COMPUTED_VALUE"""),"Lentes BIFOCALES")</f>
        <v>Lentes BIFOCALES</v>
      </c>
      <c r="E3791" s="1" t="str">
        <f>IFERROR(__xludf.DUMMYFUNCTION("""COMPUTED_VALUE"""),"RIVADAVIA Luciana")</f>
        <v>RIVADAVIA Luciana</v>
      </c>
      <c r="F3791" s="1" t="str">
        <f t="shared" si="1"/>
        <v>RIVADAVIA </v>
      </c>
      <c r="G3791" s="1" t="str">
        <f t="shared" si="2"/>
        <v>Luciana</v>
      </c>
      <c r="H3791" s="1" t="str">
        <f>IFERROR(__xludf.DUMMYFUNCTION("""COMPUTED_VALUE"""),"4/4/2023, 17:00:00")</f>
        <v>4/4/2023, 17:00:00</v>
      </c>
      <c r="I3791" s="1" t="str">
        <f>IFERROR(__xludf.DUMMYFUNCTION("""COMPUTED_VALUE"""),"Completado en SUCURSAL")</f>
        <v>Completado en SUCURSAL</v>
      </c>
      <c r="J3791" s="1">
        <f t="shared" si="3"/>
        <v>5</v>
      </c>
      <c r="K3791" s="1" t="str">
        <f t="shared" si="4"/>
        <v>Tus Lentes estan LISTAS PARA ENTREGAR, te esperamos.</v>
      </c>
    </row>
    <row r="3792">
      <c r="A3792" s="1">
        <f>IFERROR(__xludf.DUMMYFUNCTION("""COMPUTED_VALUE"""),88355.0)</f>
        <v>88355</v>
      </c>
      <c r="B3792" s="5">
        <f>IFERROR(__xludf.DUMMYFUNCTION("""COMPUTED_VALUE"""),45006.543133125)</f>
        <v>45006.54313</v>
      </c>
      <c r="C3792" s="1" t="str">
        <f>IFERROR(__xludf.DUMMYFUNCTION("""COMPUTED_VALUE"""),"Caraque Ana")</f>
        <v>Caraque Ana</v>
      </c>
      <c r="D3792" s="1" t="str">
        <f>IFERROR(__xludf.DUMMYFUNCTION("""COMPUTED_VALUE"""),"Reparaciones/Otros")</f>
        <v>Reparaciones/Otros</v>
      </c>
      <c r="E3792" s="1" t="str">
        <f>IFERROR(__xludf.DUMMYFUNCTION("""COMPUTED_VALUE"""),"ARTIGAS Sandra G")</f>
        <v>ARTIGAS Sandra G</v>
      </c>
      <c r="F3792" s="1" t="str">
        <f t="shared" si="1"/>
        <v>ARTIGAS </v>
      </c>
      <c r="G3792" s="1" t="str">
        <f t="shared" si="2"/>
        <v>Sandra G</v>
      </c>
      <c r="H3792" s="1" t="str">
        <f>IFERROR(__xludf.DUMMYFUNCTION("""COMPUTED_VALUE"""),"22/3/2023, 17:00:00")</f>
        <v>22/3/2023, 17:00:00</v>
      </c>
      <c r="I3792" s="1" t="str">
        <f>IFERROR(__xludf.DUMMYFUNCTION("""COMPUTED_VALUE"""),"Completado en SUCURSAL")</f>
        <v>Completado en SUCURSAL</v>
      </c>
      <c r="J3792" s="1">
        <f t="shared" si="3"/>
        <v>5</v>
      </c>
      <c r="K3792" s="1" t="str">
        <f t="shared" si="4"/>
        <v>Tus Lentes estan LISTAS PARA ENTREGAR, te esperamos.</v>
      </c>
    </row>
    <row r="3793">
      <c r="A3793" s="1">
        <f>IFERROR(__xludf.DUMMYFUNCTION("""COMPUTED_VALUE"""),88356.0)</f>
        <v>88356</v>
      </c>
      <c r="B3793" s="5">
        <f>IFERROR(__xludf.DUMMYFUNCTION("""COMPUTED_VALUE"""),45006.54446174769)</f>
        <v>45006.54446</v>
      </c>
      <c r="C3793" s="1" t="str">
        <f>IFERROR(__xludf.DUMMYFUNCTION("""COMPUTED_VALUE"""),"SOMARE SILVIA")</f>
        <v>SOMARE SILVIA</v>
      </c>
      <c r="D3793" s="1" t="str">
        <f>IFERROR(__xludf.DUMMYFUNCTION("""COMPUTED_VALUE"""),"Lentes de STOCK")</f>
        <v>Lentes de STOCK</v>
      </c>
      <c r="E3793" s="1" t="str">
        <f>IFERROR(__xludf.DUMMYFUNCTION("""COMPUTED_VALUE"""),"RIVADAVIA Daniel CM")</f>
        <v>RIVADAVIA Daniel CM</v>
      </c>
      <c r="F3793" s="1" t="str">
        <f t="shared" si="1"/>
        <v>RIVADAVIA </v>
      </c>
      <c r="G3793" s="1" t="str">
        <f t="shared" si="2"/>
        <v>Daniel CM</v>
      </c>
      <c r="H3793" s="1" t="str">
        <f>IFERROR(__xludf.DUMMYFUNCTION("""COMPUTED_VALUE"""),"23/3/2023, 17:00:00")</f>
        <v>23/3/2023, 17:00:00</v>
      </c>
      <c r="I3793" s="1" t="str">
        <f>IFERROR(__xludf.DUMMYFUNCTION("""COMPUTED_VALUE"""),"Completado en SUCURSAL")</f>
        <v>Completado en SUCURSAL</v>
      </c>
      <c r="J3793" s="1">
        <f t="shared" si="3"/>
        <v>5</v>
      </c>
      <c r="K3793" s="1" t="str">
        <f t="shared" si="4"/>
        <v>Tus Lentes estan LISTAS PARA ENTREGAR, te esperamos.</v>
      </c>
    </row>
    <row r="3794">
      <c r="A3794" s="1">
        <f>IFERROR(__xludf.DUMMYFUNCTION("""COMPUTED_VALUE"""),88357.0)</f>
        <v>88357</v>
      </c>
      <c r="B3794" s="5">
        <f>IFERROR(__xludf.DUMMYFUNCTION("""COMPUTED_VALUE"""),45006.54582836806)</f>
        <v>45006.54583</v>
      </c>
      <c r="C3794" s="1" t="str">
        <f>IFERROR(__xludf.DUMMYFUNCTION("""COMPUTED_VALUE"""),"UBILLOS MARCELA")</f>
        <v>UBILLOS MARCELA</v>
      </c>
      <c r="D3794" s="1" t="str">
        <f>IFERROR(__xludf.DUMMYFUNCTION("""COMPUTED_VALUE"""),"Lentes de STOCK")</f>
        <v>Lentes de STOCK</v>
      </c>
      <c r="E3794" s="1" t="str">
        <f>IFERROR(__xludf.DUMMYFUNCTION("""COMPUTED_VALUE"""),"ARTIGAS Roció")</f>
        <v>ARTIGAS Roció</v>
      </c>
      <c r="F3794" s="1" t="str">
        <f t="shared" si="1"/>
        <v>ARTIGAS </v>
      </c>
      <c r="G3794" s="1" t="str">
        <f t="shared" si="2"/>
        <v>Roció</v>
      </c>
      <c r="H3794" s="1" t="str">
        <f>IFERROR(__xludf.DUMMYFUNCTION("""COMPUTED_VALUE"""),"28/3/2023, 17:00:00")</f>
        <v>28/3/2023, 17:00:00</v>
      </c>
      <c r="I3794" s="1" t="str">
        <f>IFERROR(__xludf.DUMMYFUNCTION("""COMPUTED_VALUE"""),"RETIRADO OK POR CLIENTE")</f>
        <v>RETIRADO OK POR CLIENTE</v>
      </c>
      <c r="J3794" s="1">
        <f t="shared" si="3"/>
        <v>6</v>
      </c>
      <c r="K3794" s="1" t="str">
        <f t="shared" si="4"/>
        <v>Entregamos tus lentes, que los disfrutes!</v>
      </c>
    </row>
    <row r="3795">
      <c r="A3795" s="1">
        <f>IFERROR(__xludf.DUMMYFUNCTION("""COMPUTED_VALUE"""),88358.0)</f>
        <v>88358</v>
      </c>
      <c r="B3795" s="5">
        <f>IFERROR(__xludf.DUMMYFUNCTION("""COMPUTED_VALUE"""),45006.54619439815)</f>
        <v>45006.54619</v>
      </c>
      <c r="C3795" s="1" t="str">
        <f>IFERROR(__xludf.DUMMYFUNCTION("""COMPUTED_VALUE"""),"ORTEGA SAUL")</f>
        <v>ORTEGA SAUL</v>
      </c>
      <c r="D3795" s="1" t="str">
        <f>IFERROR(__xludf.DUMMYFUNCTION("""COMPUTED_VALUE"""),"Reparaciones/Otros")</f>
        <v>Reparaciones/Otros</v>
      </c>
      <c r="E3795" s="1" t="str">
        <f>IFERROR(__xludf.DUMMYFUNCTION("""COMPUTED_VALUE"""),"ARTIGAS Ivana P.")</f>
        <v>ARTIGAS Ivana P.</v>
      </c>
      <c r="F3795" s="1" t="str">
        <f t="shared" si="1"/>
        <v>ARTIGAS </v>
      </c>
      <c r="G3795" s="1" t="str">
        <f t="shared" si="2"/>
        <v>Ivana P.</v>
      </c>
      <c r="H3795" s="1" t="str">
        <f>IFERROR(__xludf.DUMMYFUNCTION("""COMPUTED_VALUE"""),"22/3/2023, 17:00:00")</f>
        <v>22/3/2023, 17:00:00</v>
      </c>
      <c r="I3795" s="1"/>
      <c r="J3795" s="1">
        <f t="shared" si="3"/>
        <v>0</v>
      </c>
      <c r="K3795" s="1" t="str">
        <f t="shared" si="4"/>
        <v/>
      </c>
    </row>
    <row r="3796">
      <c r="A3796" s="1">
        <f>IFERROR(__xludf.DUMMYFUNCTION("""COMPUTED_VALUE"""),88359.0)</f>
        <v>88359</v>
      </c>
      <c r="B3796" s="5">
        <f>IFERROR(__xludf.DUMMYFUNCTION("""COMPUTED_VALUE"""),45006.55518752315)</f>
        <v>45006.55519</v>
      </c>
      <c r="C3796" s="1" t="str">
        <f>IFERROR(__xludf.DUMMYFUNCTION("""COMPUTED_VALUE"""),"ALBORNOZ VANESA")</f>
        <v>ALBORNOZ VANESA</v>
      </c>
      <c r="D3796" s="1" t="str">
        <f>IFERROR(__xludf.DUMMYFUNCTION("""COMPUTED_VALUE"""),"Lentes de STOCK")</f>
        <v>Lentes de STOCK</v>
      </c>
      <c r="E3796" s="1" t="str">
        <f>IFERROR(__xludf.DUMMYFUNCTION("""COMPUTED_VALUE"""),"RIVADAVIA Santiago LOPEZ")</f>
        <v>RIVADAVIA Santiago LOPEZ</v>
      </c>
      <c r="F3796" s="1" t="str">
        <f t="shared" si="1"/>
        <v>RIVADAVIA </v>
      </c>
      <c r="G3796" s="1" t="str">
        <f t="shared" si="2"/>
        <v>Santiago LOPEZ</v>
      </c>
      <c r="H3796" s="1" t="str">
        <f>IFERROR(__xludf.DUMMYFUNCTION("""COMPUTED_VALUE"""),"25/3/2023, 17:00:00")</f>
        <v>25/3/2023, 17:00:00</v>
      </c>
      <c r="I3796" s="1" t="str">
        <f>IFERROR(__xludf.DUMMYFUNCTION("""COMPUTED_VALUE"""),"RETIRADO OK POR CLIENTE")</f>
        <v>RETIRADO OK POR CLIENTE</v>
      </c>
      <c r="J3796" s="1">
        <f t="shared" si="3"/>
        <v>6</v>
      </c>
      <c r="K3796" s="1" t="str">
        <f t="shared" si="4"/>
        <v>Entregamos tus lentes, que los disfrutes!</v>
      </c>
    </row>
    <row r="3797">
      <c r="A3797" s="1">
        <f>IFERROR(__xludf.DUMMYFUNCTION("""COMPUTED_VALUE"""),88360.0)</f>
        <v>88360</v>
      </c>
      <c r="B3797" s="5">
        <f>IFERROR(__xludf.DUMMYFUNCTION("""COMPUTED_VALUE"""),45006.55792721065)</f>
        <v>45006.55793</v>
      </c>
      <c r="C3797" s="1" t="str">
        <f>IFERROR(__xludf.DUMMYFUNCTION("""COMPUTED_VALUE"""),"OCHOA INGRID")</f>
        <v>OCHOA INGRID</v>
      </c>
      <c r="D3797" s="1" t="str">
        <f>IFERROR(__xludf.DUMMYFUNCTION("""COMPUTED_VALUE"""),"Lentes de STOCK")</f>
        <v>Lentes de STOCK</v>
      </c>
      <c r="E3797" s="1" t="str">
        <f>IFERROR(__xludf.DUMMYFUNCTION("""COMPUTED_VALUE"""),"RIVADAVIA Christian C.")</f>
        <v>RIVADAVIA Christian C.</v>
      </c>
      <c r="F3797" s="1" t="str">
        <f t="shared" si="1"/>
        <v>RIVADAVIA </v>
      </c>
      <c r="G3797" s="1" t="str">
        <f t="shared" si="2"/>
        <v>Christian C.</v>
      </c>
      <c r="H3797" s="1" t="str">
        <f>IFERROR(__xludf.DUMMYFUNCTION("""COMPUTED_VALUE"""),"29/3/2023, 17:00:00")</f>
        <v>29/3/2023, 17:00:00</v>
      </c>
      <c r="I3797" s="1" t="str">
        <f>IFERROR(__xludf.DUMMYFUNCTION("""COMPUTED_VALUE"""),"RETIRADO OK POR CLIENTE")</f>
        <v>RETIRADO OK POR CLIENTE</v>
      </c>
      <c r="J3797" s="1">
        <f t="shared" si="3"/>
        <v>6</v>
      </c>
      <c r="K3797" s="1" t="str">
        <f t="shared" si="4"/>
        <v>Entregamos tus lentes, que los disfrutes!</v>
      </c>
    </row>
    <row r="3798">
      <c r="A3798" s="1">
        <f>IFERROR(__xludf.DUMMYFUNCTION("""COMPUTED_VALUE"""),88361.0)</f>
        <v>88361</v>
      </c>
      <c r="B3798" s="5">
        <f>IFERROR(__xludf.DUMMYFUNCTION("""COMPUTED_VALUE"""),45006.55800917824)</f>
        <v>45006.55801</v>
      </c>
      <c r="C3798" s="1" t="str">
        <f>IFERROR(__xludf.DUMMYFUNCTION("""COMPUTED_VALUE"""),"VILLALBA  GERMAN")</f>
        <v>VILLALBA  GERMAN</v>
      </c>
      <c r="D3798" s="1" t="str">
        <f>IFERROR(__xludf.DUMMYFUNCTION("""COMPUTED_VALUE"""),"Lentes de STOCK")</f>
        <v>Lentes de STOCK</v>
      </c>
      <c r="E3798" s="1" t="str">
        <f>IFERROR(__xludf.DUMMYFUNCTION("""COMPUTED_VALUE"""),"RIVADAVIA Christian C.")</f>
        <v>RIVADAVIA Christian C.</v>
      </c>
      <c r="F3798" s="1" t="str">
        <f t="shared" si="1"/>
        <v>RIVADAVIA </v>
      </c>
      <c r="G3798" s="1" t="str">
        <f t="shared" si="2"/>
        <v>Christian C.</v>
      </c>
      <c r="H3798" s="1" t="str">
        <f>IFERROR(__xludf.DUMMYFUNCTION("""COMPUTED_VALUE"""),"29/3/2023, 17:00:00")</f>
        <v>29/3/2023, 17:00:00</v>
      </c>
      <c r="I3798" s="1" t="str">
        <f>IFERROR(__xludf.DUMMYFUNCTION("""COMPUTED_VALUE"""),"RETIRADO OK POR CLIENTE")</f>
        <v>RETIRADO OK POR CLIENTE</v>
      </c>
      <c r="J3798" s="1">
        <f t="shared" si="3"/>
        <v>6</v>
      </c>
      <c r="K3798" s="1" t="str">
        <f t="shared" si="4"/>
        <v>Entregamos tus lentes, que los disfrutes!</v>
      </c>
    </row>
    <row r="3799">
      <c r="A3799" s="1">
        <f>IFERROR(__xludf.DUMMYFUNCTION("""COMPUTED_VALUE"""),88362.0)</f>
        <v>88362</v>
      </c>
      <c r="B3799" s="5">
        <f>IFERROR(__xludf.DUMMYFUNCTION("""COMPUTED_VALUE"""),45006.68873052084)</f>
        <v>45006.68873</v>
      </c>
      <c r="C3799" s="1" t="str">
        <f>IFERROR(__xludf.DUMMYFUNCTION("""COMPUTED_VALUE"""),"FERNANDEZ JOSEFA")</f>
        <v>FERNANDEZ JOSEFA</v>
      </c>
      <c r="D3799" s="1" t="str">
        <f>IFERROR(__xludf.DUMMYFUNCTION("""COMPUTED_VALUE"""),"Reparaciones/Otros")</f>
        <v>Reparaciones/Otros</v>
      </c>
      <c r="E3799" s="1" t="str">
        <f>IFERROR(__xludf.DUMMYFUNCTION("""COMPUTED_VALUE"""),"ARTIGAS Ivana P.")</f>
        <v>ARTIGAS Ivana P.</v>
      </c>
      <c r="F3799" s="1" t="str">
        <f t="shared" si="1"/>
        <v>ARTIGAS </v>
      </c>
      <c r="G3799" s="1" t="str">
        <f t="shared" si="2"/>
        <v>Ivana P.</v>
      </c>
      <c r="H3799" s="1" t="str">
        <f>IFERROR(__xludf.DUMMYFUNCTION("""COMPUTED_VALUE"""),"22/3/2023, 17:00:00")</f>
        <v>22/3/2023, 17:00:00</v>
      </c>
      <c r="I3799" s="1" t="str">
        <f>IFERROR(__xludf.DUMMYFUNCTION("""COMPUTED_VALUE"""),"Completado en SUCURSAL")</f>
        <v>Completado en SUCURSAL</v>
      </c>
      <c r="J3799" s="1">
        <f t="shared" si="3"/>
        <v>5</v>
      </c>
      <c r="K3799" s="1" t="str">
        <f t="shared" si="4"/>
        <v>Tus Lentes estan LISTAS PARA ENTREGAR, te esperamos.</v>
      </c>
    </row>
    <row r="3800">
      <c r="A3800" s="1">
        <f>IFERROR(__xludf.DUMMYFUNCTION("""COMPUTED_VALUE"""),88363.0)</f>
        <v>88363</v>
      </c>
      <c r="B3800" s="5">
        <f>IFERROR(__xludf.DUMMYFUNCTION("""COMPUTED_VALUE"""),45006.699036631944)</f>
        <v>45006.69904</v>
      </c>
      <c r="C3800" s="1" t="str">
        <f>IFERROR(__xludf.DUMMYFUNCTION("""COMPUTED_VALUE"""),"ESCUDERO JOSE")</f>
        <v>ESCUDERO JOSE</v>
      </c>
      <c r="D3800" s="1" t="str">
        <f>IFERROR(__xludf.DUMMYFUNCTION("""COMPUTED_VALUE"""),"Lentes MULTIFOCALES")</f>
        <v>Lentes MULTIFOCALES</v>
      </c>
      <c r="E3800" s="1" t="str">
        <f>IFERROR(__xludf.DUMMYFUNCTION("""COMPUTED_VALUE"""),"ARTIGAS Ivana P.")</f>
        <v>ARTIGAS Ivana P.</v>
      </c>
      <c r="F3800" s="1" t="str">
        <f t="shared" si="1"/>
        <v>ARTIGAS </v>
      </c>
      <c r="G3800" s="1" t="str">
        <f t="shared" si="2"/>
        <v>Ivana P.</v>
      </c>
      <c r="H3800" s="1" t="str">
        <f>IFERROR(__xludf.DUMMYFUNCTION("""COMPUTED_VALUE"""),"28/3/2023, 17:00:00")</f>
        <v>28/3/2023, 17:00:00</v>
      </c>
      <c r="I3800" s="1" t="str">
        <f>IFERROR(__xludf.DUMMYFUNCTION("""COMPUTED_VALUE"""),"Completado en SUCURSAL")</f>
        <v>Completado en SUCURSAL</v>
      </c>
      <c r="J3800" s="1">
        <f t="shared" si="3"/>
        <v>5</v>
      </c>
      <c r="K3800" s="1" t="str">
        <f t="shared" si="4"/>
        <v>Tus Lentes estan LISTAS PARA ENTREGAR, te esperamos.</v>
      </c>
    </row>
    <row r="3801">
      <c r="A3801" s="1">
        <f>IFERROR(__xludf.DUMMYFUNCTION("""COMPUTED_VALUE"""),88364.0)</f>
        <v>88364</v>
      </c>
      <c r="B3801" s="5">
        <f>IFERROR(__xludf.DUMMYFUNCTION("""COMPUTED_VALUE"""),45006.71133479167)</f>
        <v>45006.71133</v>
      </c>
      <c r="C3801" s="1" t="str">
        <f>IFERROR(__xludf.DUMMYFUNCTION("""COMPUTED_VALUE"""),"ESCUDERO SANDRA")</f>
        <v>ESCUDERO SANDRA</v>
      </c>
      <c r="D3801" s="1" t="str">
        <f>IFERROR(__xludf.DUMMYFUNCTION("""COMPUTED_VALUE"""),"Reparaciones/Otros")</f>
        <v>Reparaciones/Otros</v>
      </c>
      <c r="E3801" s="1" t="str">
        <f>IFERROR(__xludf.DUMMYFUNCTION("""COMPUTED_VALUE"""),"RIVADAVIA Daniel CM")</f>
        <v>RIVADAVIA Daniel CM</v>
      </c>
      <c r="F3801" s="1" t="str">
        <f t="shared" si="1"/>
        <v>RIVADAVIA </v>
      </c>
      <c r="G3801" s="1" t="str">
        <f t="shared" si="2"/>
        <v>Daniel CM</v>
      </c>
      <c r="H3801" s="1" t="str">
        <f>IFERROR(__xludf.DUMMYFUNCTION("""COMPUTED_VALUE"""),"22/3/2023, 17:00:00")</f>
        <v>22/3/2023, 17:00:00</v>
      </c>
      <c r="I3801" s="1" t="str">
        <f>IFERROR(__xludf.DUMMYFUNCTION("""COMPUTED_VALUE"""),"Completado en SUCURSAL")</f>
        <v>Completado en SUCURSAL</v>
      </c>
      <c r="J3801" s="1">
        <f t="shared" si="3"/>
        <v>5</v>
      </c>
      <c r="K3801" s="1" t="str">
        <f t="shared" si="4"/>
        <v>Tus Lentes estan LISTAS PARA ENTREGAR, te esperamos.</v>
      </c>
    </row>
    <row r="3802">
      <c r="A3802" s="1">
        <f>IFERROR(__xludf.DUMMYFUNCTION("""COMPUTED_VALUE"""),88365.0)</f>
        <v>88365</v>
      </c>
      <c r="B3802" s="5">
        <f>IFERROR(__xludf.DUMMYFUNCTION("""COMPUTED_VALUE"""),45006.71818115741)</f>
        <v>45006.71818</v>
      </c>
      <c r="C3802" s="1" t="str">
        <f>IFERROR(__xludf.DUMMYFUNCTION("""COMPUTED_VALUE"""),"GONZALEZ JOSE BALTAZAR")</f>
        <v>GONZALEZ JOSE BALTAZAR</v>
      </c>
      <c r="D3802" s="1" t="str">
        <f>IFERROR(__xludf.DUMMYFUNCTION("""COMPUTED_VALUE"""),"Lentes de STOCK")</f>
        <v>Lentes de STOCK</v>
      </c>
      <c r="E3802" s="1" t="str">
        <f>IFERROR(__xludf.DUMMYFUNCTION("""COMPUTED_VALUE"""),"ARTIGAS Roció")</f>
        <v>ARTIGAS Roció</v>
      </c>
      <c r="F3802" s="1" t="str">
        <f t="shared" si="1"/>
        <v>ARTIGAS </v>
      </c>
      <c r="G3802" s="1" t="str">
        <f t="shared" si="2"/>
        <v>Roció</v>
      </c>
      <c r="H3802" s="1" t="str">
        <f>IFERROR(__xludf.DUMMYFUNCTION("""COMPUTED_VALUE"""),"23/3/2023, 17:00:00")</f>
        <v>23/3/2023, 17:00:00</v>
      </c>
      <c r="I3802" s="1" t="str">
        <f>IFERROR(__xludf.DUMMYFUNCTION("""COMPUTED_VALUE"""),"RETIRADO OK POR CLIENTE")</f>
        <v>RETIRADO OK POR CLIENTE</v>
      </c>
      <c r="J3802" s="1">
        <f t="shared" si="3"/>
        <v>6</v>
      </c>
      <c r="K3802" s="1" t="str">
        <f t="shared" si="4"/>
        <v>Entregamos tus lentes, que los disfrutes!</v>
      </c>
    </row>
    <row r="3803">
      <c r="A3803" s="1">
        <f>IFERROR(__xludf.DUMMYFUNCTION("""COMPUTED_VALUE"""),88366.0)</f>
        <v>88366</v>
      </c>
      <c r="B3803" s="5">
        <f>IFERROR(__xludf.DUMMYFUNCTION("""COMPUTED_VALUE"""),45006.71881800926)</f>
        <v>45006.71882</v>
      </c>
      <c r="C3803" s="1" t="str">
        <f>IFERROR(__xludf.DUMMYFUNCTION("""COMPUTED_VALUE"""),"DI GENNARO ROLANDO")</f>
        <v>DI GENNARO ROLANDO</v>
      </c>
      <c r="D3803" s="1" t="str">
        <f>IFERROR(__xludf.DUMMYFUNCTION("""COMPUTED_VALUE"""),"Lentes de STOCK")</f>
        <v>Lentes de STOCK</v>
      </c>
      <c r="E3803" s="1" t="str">
        <f>IFERROR(__xludf.DUMMYFUNCTION("""COMPUTED_VALUE"""),"RIVADAVIA Santiago N")</f>
        <v>RIVADAVIA Santiago N</v>
      </c>
      <c r="F3803" s="1" t="str">
        <f t="shared" si="1"/>
        <v>RIVADAVIA </v>
      </c>
      <c r="G3803" s="1" t="str">
        <f t="shared" si="2"/>
        <v>Santiago N</v>
      </c>
      <c r="H3803" s="1" t="str">
        <f>IFERROR(__xludf.DUMMYFUNCTION("""COMPUTED_VALUE"""),"25/3/2023, 17:00:00")</f>
        <v>25/3/2023, 17:00:00</v>
      </c>
      <c r="I3803" s="1" t="str">
        <f>IFERROR(__xludf.DUMMYFUNCTION("""COMPUTED_VALUE"""),"RETIRADO OK POR CLIENTE")</f>
        <v>RETIRADO OK POR CLIENTE</v>
      </c>
      <c r="J3803" s="1">
        <f t="shared" si="3"/>
        <v>6</v>
      </c>
      <c r="K3803" s="1" t="str">
        <f t="shared" si="4"/>
        <v>Entregamos tus lentes, que los disfrutes!</v>
      </c>
    </row>
    <row r="3804">
      <c r="A3804" s="1">
        <f>IFERROR(__xludf.DUMMYFUNCTION("""COMPUTED_VALUE"""),88367.0)</f>
        <v>88367</v>
      </c>
      <c r="B3804" s="5">
        <f>IFERROR(__xludf.DUMMYFUNCTION("""COMPUTED_VALUE"""),45006.724986493056)</f>
        <v>45006.72499</v>
      </c>
      <c r="C3804" s="1" t="str">
        <f>IFERROR(__xludf.DUMMYFUNCTION("""COMPUTED_VALUE"""),"GUTIERREZ ANDREA VIVIANA")</f>
        <v>GUTIERREZ ANDREA VIVIANA</v>
      </c>
      <c r="D3804" s="1" t="str">
        <f>IFERROR(__xludf.DUMMYFUNCTION("""COMPUTED_VALUE"""),"Lentes de STOCK")</f>
        <v>Lentes de STOCK</v>
      </c>
      <c r="E3804" s="1" t="str">
        <f>IFERROR(__xludf.DUMMYFUNCTION("""COMPUTED_VALUE"""),"ARTIGAS Roció")</f>
        <v>ARTIGAS Roció</v>
      </c>
      <c r="F3804" s="1" t="str">
        <f t="shared" si="1"/>
        <v>ARTIGAS </v>
      </c>
      <c r="G3804" s="1" t="str">
        <f t="shared" si="2"/>
        <v>Roció</v>
      </c>
      <c r="H3804" s="1" t="str">
        <f>IFERROR(__xludf.DUMMYFUNCTION("""COMPUTED_VALUE"""),"28/3/2023, 17:00:00")</f>
        <v>28/3/2023, 17:00:00</v>
      </c>
      <c r="I3804" s="1" t="str">
        <f>IFERROR(__xludf.DUMMYFUNCTION("""COMPUTED_VALUE"""),"RETIRADO OK POR CLIENTE")</f>
        <v>RETIRADO OK POR CLIENTE</v>
      </c>
      <c r="J3804" s="1">
        <f t="shared" si="3"/>
        <v>6</v>
      </c>
      <c r="K3804" s="1" t="str">
        <f t="shared" si="4"/>
        <v>Entregamos tus lentes, que los disfrutes!</v>
      </c>
    </row>
    <row r="3805">
      <c r="A3805" s="1">
        <f>IFERROR(__xludf.DUMMYFUNCTION("""COMPUTED_VALUE"""),88368.0)</f>
        <v>88368</v>
      </c>
      <c r="B3805" s="5">
        <f>IFERROR(__xludf.DUMMYFUNCTION("""COMPUTED_VALUE"""),45006.72541101852)</f>
        <v>45006.72541</v>
      </c>
      <c r="C3805" s="1" t="str">
        <f>IFERROR(__xludf.DUMMYFUNCTION("""COMPUTED_VALUE"""),"RODRIGUEZ NOELIA")</f>
        <v>RODRIGUEZ NOELIA</v>
      </c>
      <c r="D3805" s="1" t="str">
        <f>IFERROR(__xludf.DUMMYFUNCTION("""COMPUTED_VALUE"""),"Lentes de STOCK")</f>
        <v>Lentes de STOCK</v>
      </c>
      <c r="E3805" s="1" t="str">
        <f>IFERROR(__xludf.DUMMYFUNCTION("""COMPUTED_VALUE"""),"RIVADAVIA Daniel CM")</f>
        <v>RIVADAVIA Daniel CM</v>
      </c>
      <c r="F3805" s="1" t="str">
        <f t="shared" si="1"/>
        <v>RIVADAVIA </v>
      </c>
      <c r="G3805" s="1" t="str">
        <f t="shared" si="2"/>
        <v>Daniel CM</v>
      </c>
      <c r="H3805" s="1" t="str">
        <f>IFERROR(__xludf.DUMMYFUNCTION("""COMPUTED_VALUE"""),"27/3/2023, 17:00:00")</f>
        <v>27/3/2023, 17:00:00</v>
      </c>
      <c r="I3805" s="1" t="str">
        <f>IFERROR(__xludf.DUMMYFUNCTION("""COMPUTED_VALUE"""),"RETIRADO OK POR CLIENTE")</f>
        <v>RETIRADO OK POR CLIENTE</v>
      </c>
      <c r="J3805" s="1">
        <f t="shared" si="3"/>
        <v>6</v>
      </c>
      <c r="K3805" s="1" t="str">
        <f t="shared" si="4"/>
        <v>Entregamos tus lentes, que los disfrutes!</v>
      </c>
    </row>
    <row r="3806">
      <c r="A3806" s="1">
        <f>IFERROR(__xludf.DUMMYFUNCTION("""COMPUTED_VALUE"""),88369.0)</f>
        <v>88369</v>
      </c>
      <c r="B3806" s="5">
        <f>IFERROR(__xludf.DUMMYFUNCTION("""COMPUTED_VALUE"""),45006.7272599537)</f>
        <v>45006.72726</v>
      </c>
      <c r="C3806" s="1" t="str">
        <f>IFERROR(__xludf.DUMMYFUNCTION("""COMPUTED_VALUE"""),"PRETZEL TOMAS")</f>
        <v>PRETZEL TOMAS</v>
      </c>
      <c r="D3806" s="1" t="str">
        <f>IFERROR(__xludf.DUMMYFUNCTION("""COMPUTED_VALUE"""),"Lentes de STOCK")</f>
        <v>Lentes de STOCK</v>
      </c>
      <c r="E3806" s="1" t="str">
        <f>IFERROR(__xludf.DUMMYFUNCTION("""COMPUTED_VALUE"""),"RIVADAVIA Daniel CM")</f>
        <v>RIVADAVIA Daniel CM</v>
      </c>
      <c r="F3806" s="1" t="str">
        <f t="shared" si="1"/>
        <v>RIVADAVIA </v>
      </c>
      <c r="G3806" s="1" t="str">
        <f t="shared" si="2"/>
        <v>Daniel CM</v>
      </c>
      <c r="H3806" s="1" t="str">
        <f>IFERROR(__xludf.DUMMYFUNCTION("""COMPUTED_VALUE"""),"27/3/2023, 17:00:00")</f>
        <v>27/3/2023, 17:00:00</v>
      </c>
      <c r="I3806" s="1" t="str">
        <f>IFERROR(__xludf.DUMMYFUNCTION("""COMPUTED_VALUE"""),"RETIRADO OK POR CLIENTE")</f>
        <v>RETIRADO OK POR CLIENTE</v>
      </c>
      <c r="J3806" s="1">
        <f t="shared" si="3"/>
        <v>6</v>
      </c>
      <c r="K3806" s="1" t="str">
        <f t="shared" si="4"/>
        <v>Entregamos tus lentes, que los disfrutes!</v>
      </c>
    </row>
    <row r="3807">
      <c r="A3807" s="1">
        <f>IFERROR(__xludf.DUMMYFUNCTION("""COMPUTED_VALUE"""),88370.0)</f>
        <v>88370</v>
      </c>
      <c r="B3807" s="5">
        <f>IFERROR(__xludf.DUMMYFUNCTION("""COMPUTED_VALUE"""),45006.73017995371)</f>
        <v>45006.73018</v>
      </c>
      <c r="C3807" s="1" t="str">
        <f>IFERROR(__xludf.DUMMYFUNCTION("""COMPUTED_VALUE"""),"SACONI JUAN")</f>
        <v>SACONI JUAN</v>
      </c>
      <c r="D3807" s="1" t="str">
        <f>IFERROR(__xludf.DUMMYFUNCTION("""COMPUTED_VALUE"""),"Lentes de STOCK")</f>
        <v>Lentes de STOCK</v>
      </c>
      <c r="E3807" s="1" t="str">
        <f>IFERROR(__xludf.DUMMYFUNCTION("""COMPUTED_VALUE"""),"ARTIGAS Ivana P.")</f>
        <v>ARTIGAS Ivana P.</v>
      </c>
      <c r="F3807" s="1" t="str">
        <f t="shared" si="1"/>
        <v>ARTIGAS </v>
      </c>
      <c r="G3807" s="1" t="str">
        <f t="shared" si="2"/>
        <v>Ivana P.</v>
      </c>
      <c r="H3807" s="1" t="str">
        <f>IFERROR(__xludf.DUMMYFUNCTION("""COMPUTED_VALUE"""),"27/3/2023, 17:00:00")</f>
        <v>27/3/2023, 17:00:00</v>
      </c>
      <c r="I3807" s="1" t="str">
        <f>IFERROR(__xludf.DUMMYFUNCTION("""COMPUTED_VALUE"""),"RETIRADO OK POR CLIENTE")</f>
        <v>RETIRADO OK POR CLIENTE</v>
      </c>
      <c r="J3807" s="1">
        <f t="shared" si="3"/>
        <v>6</v>
      </c>
      <c r="K3807" s="1" t="str">
        <f t="shared" si="4"/>
        <v>Entregamos tus lentes, que los disfrutes!</v>
      </c>
    </row>
    <row r="3808">
      <c r="A3808" s="1">
        <f>IFERROR(__xludf.DUMMYFUNCTION("""COMPUTED_VALUE"""),88371.0)</f>
        <v>88371</v>
      </c>
      <c r="B3808" s="5">
        <f>IFERROR(__xludf.DUMMYFUNCTION("""COMPUTED_VALUE"""),45006.73642372685)</f>
        <v>45006.73642</v>
      </c>
      <c r="C3808" s="1" t="str">
        <f>IFERROR(__xludf.DUMMYFUNCTION("""COMPUTED_VALUE"""),"VILLEGAS MARCOS")</f>
        <v>VILLEGAS MARCOS</v>
      </c>
      <c r="D3808" s="1" t="str">
        <f>IFERROR(__xludf.DUMMYFUNCTION("""COMPUTED_VALUE"""),"Lentes de STOCK")</f>
        <v>Lentes de STOCK</v>
      </c>
      <c r="E3808" s="1" t="str">
        <f>IFERROR(__xludf.DUMMYFUNCTION("""COMPUTED_VALUE"""),"RIVADAVIA Javier")</f>
        <v>RIVADAVIA Javier</v>
      </c>
      <c r="F3808" s="1" t="str">
        <f t="shared" si="1"/>
        <v>RIVADAVIA </v>
      </c>
      <c r="G3808" s="1" t="str">
        <f t="shared" si="2"/>
        <v>Javier</v>
      </c>
      <c r="H3808" s="1" t="str">
        <f>IFERROR(__xludf.DUMMYFUNCTION("""COMPUTED_VALUE"""),"28/3/2023, 17:00:00")</f>
        <v>28/3/2023, 17:00:00</v>
      </c>
      <c r="I3808" s="1" t="str">
        <f>IFERROR(__xludf.DUMMYFUNCTION("""COMPUTED_VALUE"""),"RETIRADO OK POR CLIENTE")</f>
        <v>RETIRADO OK POR CLIENTE</v>
      </c>
      <c r="J3808" s="1">
        <f t="shared" si="3"/>
        <v>6</v>
      </c>
      <c r="K3808" s="1" t="str">
        <f t="shared" si="4"/>
        <v>Entregamos tus lentes, que los disfrutes!</v>
      </c>
    </row>
    <row r="3809">
      <c r="A3809" s="1">
        <f>IFERROR(__xludf.DUMMYFUNCTION("""COMPUTED_VALUE"""),88372.0)</f>
        <v>88372</v>
      </c>
      <c r="B3809" s="5">
        <f>IFERROR(__xludf.DUMMYFUNCTION("""COMPUTED_VALUE"""),45006.73791243056)</f>
        <v>45006.73791</v>
      </c>
      <c r="C3809" s="1" t="str">
        <f>IFERROR(__xludf.DUMMYFUNCTION("""COMPUTED_VALUE"""),"SAIRO FACUNDO")</f>
        <v>SAIRO FACUNDO</v>
      </c>
      <c r="D3809" s="1" t="str">
        <f>IFERROR(__xludf.DUMMYFUNCTION("""COMPUTED_VALUE"""),"Lentes de STOCK")</f>
        <v>Lentes de STOCK</v>
      </c>
      <c r="E3809" s="1" t="str">
        <f>IFERROR(__xludf.DUMMYFUNCTION("""COMPUTED_VALUE"""),"RIVADAVIA Santiago LOPEZ")</f>
        <v>RIVADAVIA Santiago LOPEZ</v>
      </c>
      <c r="F3809" s="1" t="str">
        <f t="shared" si="1"/>
        <v>RIVADAVIA </v>
      </c>
      <c r="G3809" s="1" t="str">
        <f t="shared" si="2"/>
        <v>Santiago LOPEZ</v>
      </c>
      <c r="H3809" s="1" t="str">
        <f>IFERROR(__xludf.DUMMYFUNCTION("""COMPUTED_VALUE"""),"29/3/2023, 17:00:00")</f>
        <v>29/3/2023, 17:00:00</v>
      </c>
      <c r="I3809" s="1" t="str">
        <f>IFERROR(__xludf.DUMMYFUNCTION("""COMPUTED_VALUE"""),"RETIRADO OK POR CLIENTE")</f>
        <v>RETIRADO OK POR CLIENTE</v>
      </c>
      <c r="J3809" s="1">
        <f t="shared" si="3"/>
        <v>6</v>
      </c>
      <c r="K3809" s="1" t="str">
        <f t="shared" si="4"/>
        <v>Entregamos tus lentes, que los disfrutes!</v>
      </c>
    </row>
    <row r="3810">
      <c r="A3810" s="1">
        <f>IFERROR(__xludf.DUMMYFUNCTION("""COMPUTED_VALUE"""),88373.0)</f>
        <v>88373</v>
      </c>
      <c r="B3810" s="5">
        <f>IFERROR(__xludf.DUMMYFUNCTION("""COMPUTED_VALUE"""),45006.74260171296)</f>
        <v>45006.7426</v>
      </c>
      <c r="C3810" s="1" t="str">
        <f>IFERROR(__xludf.DUMMYFUNCTION("""COMPUTED_VALUE"""),"eva")</f>
        <v>eva</v>
      </c>
      <c r="D3810" s="1" t="str">
        <f>IFERROR(__xludf.DUMMYFUNCTION("""COMPUTED_VALUE"""),"Reparaciones/Otros")</f>
        <v>Reparaciones/Otros</v>
      </c>
      <c r="E3810" s="1" t="str">
        <f>IFERROR(__xludf.DUMMYFUNCTION("""COMPUTED_VALUE"""),"RIVADAVIA Santiago N")</f>
        <v>RIVADAVIA Santiago N</v>
      </c>
      <c r="F3810" s="1" t="str">
        <f t="shared" si="1"/>
        <v>RIVADAVIA </v>
      </c>
      <c r="G3810" s="1" t="str">
        <f t="shared" si="2"/>
        <v>Santiago N</v>
      </c>
      <c r="H3810" s="1" t="str">
        <f>IFERROR(__xludf.DUMMYFUNCTION("""COMPUTED_VALUE"""),"22/3/2023, 17:00:00")</f>
        <v>22/3/2023, 17:00:00</v>
      </c>
      <c r="I3810" s="1" t="str">
        <f>IFERROR(__xludf.DUMMYFUNCTION("""COMPUTED_VALUE"""),"Completado en SUCURSAL")</f>
        <v>Completado en SUCURSAL</v>
      </c>
      <c r="J3810" s="1">
        <f t="shared" si="3"/>
        <v>5</v>
      </c>
      <c r="K3810" s="1" t="str">
        <f t="shared" si="4"/>
        <v>Tus Lentes estan LISTAS PARA ENTREGAR, te esperamos.</v>
      </c>
    </row>
    <row r="3811">
      <c r="A3811" s="1">
        <f>IFERROR(__xludf.DUMMYFUNCTION("""COMPUTED_VALUE"""),88374.0)</f>
        <v>88374</v>
      </c>
      <c r="B3811" s="5">
        <f>IFERROR(__xludf.DUMMYFUNCTION("""COMPUTED_VALUE"""),45006.75182818287)</f>
        <v>45006.75183</v>
      </c>
      <c r="C3811" s="1" t="str">
        <f>IFERROR(__xludf.DUMMYFUNCTION("""COMPUTED_VALUE"""),"SAIRO FACUNDO")</f>
        <v>SAIRO FACUNDO</v>
      </c>
      <c r="D3811" s="1" t="str">
        <f>IFERROR(__xludf.DUMMYFUNCTION("""COMPUTED_VALUE"""),"Lentes de LABORATORIO")</f>
        <v>Lentes de LABORATORIO</v>
      </c>
      <c r="E3811" s="1" t="str">
        <f>IFERROR(__xludf.DUMMYFUNCTION("""COMPUTED_VALUE"""),"RIVADAVIA Santiago LOPEZ")</f>
        <v>RIVADAVIA Santiago LOPEZ</v>
      </c>
      <c r="F3811" s="1" t="str">
        <f t="shared" si="1"/>
        <v>RIVADAVIA </v>
      </c>
      <c r="G3811" s="1" t="str">
        <f t="shared" si="2"/>
        <v>Santiago LOPEZ</v>
      </c>
      <c r="H3811" s="1" t="str">
        <f>IFERROR(__xludf.DUMMYFUNCTION("""COMPUTED_VALUE"""),"29/3/2023, 17:00:00")</f>
        <v>29/3/2023, 17:00:00</v>
      </c>
      <c r="I3811" s="1" t="str">
        <f>IFERROR(__xludf.DUMMYFUNCTION("""COMPUTED_VALUE"""),"RETIRADO OK POR CLIENTE")</f>
        <v>RETIRADO OK POR CLIENTE</v>
      </c>
      <c r="J3811" s="1">
        <f t="shared" si="3"/>
        <v>6</v>
      </c>
      <c r="K3811" s="1" t="str">
        <f t="shared" si="4"/>
        <v>Entregamos tus lentes, que los disfrutes!</v>
      </c>
    </row>
    <row r="3812">
      <c r="A3812" s="1">
        <f>IFERROR(__xludf.DUMMYFUNCTION("""COMPUTED_VALUE"""),88375.0)</f>
        <v>88375</v>
      </c>
      <c r="B3812" s="5">
        <f>IFERROR(__xludf.DUMMYFUNCTION("""COMPUTED_VALUE"""),45006.7524839699)</f>
        <v>45006.75248</v>
      </c>
      <c r="C3812" s="1" t="str">
        <f>IFERROR(__xludf.DUMMYFUNCTION("""COMPUTED_VALUE"""),"MUÑOZ CINTHYA ")</f>
        <v>MUÑOZ CINTHYA </v>
      </c>
      <c r="D3812" s="1" t="str">
        <f>IFERROR(__xludf.DUMMYFUNCTION("""COMPUTED_VALUE"""),"Lentes de STOCK")</f>
        <v>Lentes de STOCK</v>
      </c>
      <c r="E3812" s="1" t="str">
        <f>IFERROR(__xludf.DUMMYFUNCTION("""COMPUTED_VALUE"""),"RIVADAVIA Luciana")</f>
        <v>RIVADAVIA Luciana</v>
      </c>
      <c r="F3812" s="1" t="str">
        <f t="shared" si="1"/>
        <v>RIVADAVIA </v>
      </c>
      <c r="G3812" s="1" t="str">
        <f t="shared" si="2"/>
        <v>Luciana</v>
      </c>
      <c r="H3812" s="1" t="str">
        <f>IFERROR(__xludf.DUMMYFUNCTION("""COMPUTED_VALUE"""),"28/3/2023, 17:00:00")</f>
        <v>28/3/2023, 17:00:00</v>
      </c>
      <c r="I3812" s="1" t="str">
        <f>IFERROR(__xludf.DUMMYFUNCTION("""COMPUTED_VALUE"""),"RETIRADO OK POR CLIENTE")</f>
        <v>RETIRADO OK POR CLIENTE</v>
      </c>
      <c r="J3812" s="1">
        <f t="shared" si="3"/>
        <v>6</v>
      </c>
      <c r="K3812" s="1" t="str">
        <f t="shared" si="4"/>
        <v>Entregamos tus lentes, que los disfrutes!</v>
      </c>
    </row>
    <row r="3813">
      <c r="A3813" s="1">
        <f>IFERROR(__xludf.DUMMYFUNCTION("""COMPUTED_VALUE"""),88376.0)</f>
        <v>88376</v>
      </c>
      <c r="B3813" s="5">
        <f>IFERROR(__xludf.DUMMYFUNCTION("""COMPUTED_VALUE"""),45006.75529248842)</f>
        <v>45006.75529</v>
      </c>
      <c r="C3813" s="1" t="str">
        <f>IFERROR(__xludf.DUMMYFUNCTION("""COMPUTED_VALUE"""),"MARTINEZ SARA INES")</f>
        <v>MARTINEZ SARA INES</v>
      </c>
      <c r="D3813" s="1" t="str">
        <f>IFERROR(__xludf.DUMMYFUNCTION("""COMPUTED_VALUE"""),"Lentes BIFOCALES")</f>
        <v>Lentes BIFOCALES</v>
      </c>
      <c r="E3813" s="1" t="str">
        <f>IFERROR(__xludf.DUMMYFUNCTION("""COMPUTED_VALUE"""),"RIVADAVIA Christian C.")</f>
        <v>RIVADAVIA Christian C.</v>
      </c>
      <c r="F3813" s="1" t="str">
        <f t="shared" si="1"/>
        <v>RIVADAVIA </v>
      </c>
      <c r="G3813" s="1" t="str">
        <f t="shared" si="2"/>
        <v>Christian C.</v>
      </c>
      <c r="H3813" s="1" t="str">
        <f>IFERROR(__xludf.DUMMYFUNCTION("""COMPUTED_VALUE"""),"3/4/2023, 17:00:00")</f>
        <v>3/4/2023, 17:00:00</v>
      </c>
      <c r="I3813" s="1" t="str">
        <f>IFERROR(__xludf.DUMMYFUNCTION("""COMPUTED_VALUE"""),"Completado en SUCURSAL")</f>
        <v>Completado en SUCURSAL</v>
      </c>
      <c r="J3813" s="1">
        <f t="shared" si="3"/>
        <v>5</v>
      </c>
      <c r="K3813" s="1" t="str">
        <f t="shared" si="4"/>
        <v>Tus Lentes estan LISTAS PARA ENTREGAR, te esperamos.</v>
      </c>
    </row>
    <row r="3814">
      <c r="A3814" s="1">
        <f>IFERROR(__xludf.DUMMYFUNCTION("""COMPUTED_VALUE"""),88377.0)</f>
        <v>88377</v>
      </c>
      <c r="B3814" s="5">
        <f>IFERROR(__xludf.DUMMYFUNCTION("""COMPUTED_VALUE"""),45006.75773412037)</f>
        <v>45006.75773</v>
      </c>
      <c r="C3814" s="1" t="str">
        <f>IFERROR(__xludf.DUMMYFUNCTION("""COMPUTED_VALUE"""),"Bustos Soledad")</f>
        <v>Bustos Soledad</v>
      </c>
      <c r="D3814" s="1" t="str">
        <f>IFERROR(__xludf.DUMMYFUNCTION("""COMPUTED_VALUE"""),"Reparaciones/Otros")</f>
        <v>Reparaciones/Otros</v>
      </c>
      <c r="E3814" s="1" t="str">
        <f>IFERROR(__xludf.DUMMYFUNCTION("""COMPUTED_VALUE"""),"ARTIGAS Micaela")</f>
        <v>ARTIGAS Micaela</v>
      </c>
      <c r="F3814" s="1" t="str">
        <f t="shared" si="1"/>
        <v>ARTIGAS </v>
      </c>
      <c r="G3814" s="1" t="str">
        <f t="shared" si="2"/>
        <v>Micaela</v>
      </c>
      <c r="H3814" s="1" t="str">
        <f>IFERROR(__xludf.DUMMYFUNCTION("""COMPUTED_VALUE"""),"22/3/2023, 17:00:00")</f>
        <v>22/3/2023, 17:00:00</v>
      </c>
      <c r="I3814" s="1" t="str">
        <f>IFERROR(__xludf.DUMMYFUNCTION("""COMPUTED_VALUE"""),"Completado en SUCURSAL")</f>
        <v>Completado en SUCURSAL</v>
      </c>
      <c r="J3814" s="1">
        <f t="shared" si="3"/>
        <v>5</v>
      </c>
      <c r="K3814" s="1" t="str">
        <f t="shared" si="4"/>
        <v>Tus Lentes estan LISTAS PARA ENTREGAR, te esperamos.</v>
      </c>
    </row>
    <row r="3815">
      <c r="A3815" s="1">
        <f>IFERROR(__xludf.DUMMYFUNCTION("""COMPUTED_VALUE"""),88378.0)</f>
        <v>88378</v>
      </c>
      <c r="B3815" s="5">
        <f>IFERROR(__xludf.DUMMYFUNCTION("""COMPUTED_VALUE"""),45006.76083759259)</f>
        <v>45006.76084</v>
      </c>
      <c r="C3815" s="1" t="str">
        <f>IFERROR(__xludf.DUMMYFUNCTION("""COMPUTED_VALUE"""),"GUTIERREZ JUAN ALBERTO")</f>
        <v>GUTIERREZ JUAN ALBERTO</v>
      </c>
      <c r="D3815" s="1" t="str">
        <f>IFERROR(__xludf.DUMMYFUNCTION("""COMPUTED_VALUE"""),"Reparaciones/Otros")</f>
        <v>Reparaciones/Otros</v>
      </c>
      <c r="E3815" s="1" t="str">
        <f>IFERROR(__xludf.DUMMYFUNCTION("""COMPUTED_VALUE"""),"RIVADAVIA Christian C.")</f>
        <v>RIVADAVIA Christian C.</v>
      </c>
      <c r="F3815" s="1" t="str">
        <f t="shared" si="1"/>
        <v>RIVADAVIA </v>
      </c>
      <c r="G3815" s="1" t="str">
        <f t="shared" si="2"/>
        <v>Christian C.</v>
      </c>
      <c r="H3815" s="1" t="str">
        <f>IFERROR(__xludf.DUMMYFUNCTION("""COMPUTED_VALUE"""),"22/3/2023, 17:00:00")</f>
        <v>22/3/2023, 17:00:00</v>
      </c>
      <c r="I3815" s="1" t="str">
        <f>IFERROR(__xludf.DUMMYFUNCTION("""COMPUTED_VALUE"""),"Completado en SUCURSAL")</f>
        <v>Completado en SUCURSAL</v>
      </c>
      <c r="J3815" s="1">
        <f t="shared" si="3"/>
        <v>5</v>
      </c>
      <c r="K3815" s="1" t="str">
        <f t="shared" si="4"/>
        <v>Tus Lentes estan LISTAS PARA ENTREGAR, te esperamos.</v>
      </c>
    </row>
    <row r="3816">
      <c r="A3816" s="1">
        <f>IFERROR(__xludf.DUMMYFUNCTION("""COMPUTED_VALUE"""),88379.0)</f>
        <v>88379</v>
      </c>
      <c r="B3816" s="5">
        <f>IFERROR(__xludf.DUMMYFUNCTION("""COMPUTED_VALUE"""),45006.76496965278)</f>
        <v>45006.76497</v>
      </c>
      <c r="C3816" s="1" t="str">
        <f>IFERROR(__xludf.DUMMYFUNCTION("""COMPUTED_VALUE"""),"STORCHI SANDRA")</f>
        <v>STORCHI SANDRA</v>
      </c>
      <c r="D3816" s="1" t="str">
        <f>IFERROR(__xludf.DUMMYFUNCTION("""COMPUTED_VALUE"""),"Lentes MULTIFOCALES")</f>
        <v>Lentes MULTIFOCALES</v>
      </c>
      <c r="E3816" s="1" t="str">
        <f>IFERROR(__xludf.DUMMYFUNCTION("""COMPUTED_VALUE"""),"RIVADAVIA Santiago LOPEZ")</f>
        <v>RIVADAVIA Santiago LOPEZ</v>
      </c>
      <c r="F3816" s="1" t="str">
        <f t="shared" si="1"/>
        <v>RIVADAVIA </v>
      </c>
      <c r="G3816" s="1" t="str">
        <f t="shared" si="2"/>
        <v>Santiago LOPEZ</v>
      </c>
      <c r="H3816" s="1" t="str">
        <f>IFERROR(__xludf.DUMMYFUNCTION("""COMPUTED_VALUE"""),"6/4/2023, 17:00:00")</f>
        <v>6/4/2023, 17:00:00</v>
      </c>
      <c r="I3816" s="1" t="str">
        <f>IFERROR(__xludf.DUMMYFUNCTION("""COMPUTED_VALUE"""),"Completado en SUCURSAL")</f>
        <v>Completado en SUCURSAL</v>
      </c>
      <c r="J3816" s="1">
        <f t="shared" si="3"/>
        <v>5</v>
      </c>
      <c r="K3816" s="1" t="str">
        <f t="shared" si="4"/>
        <v>Tus Lentes estan LISTAS PARA ENTREGAR, te esperamos.</v>
      </c>
    </row>
    <row r="3817">
      <c r="A3817" s="1">
        <f>IFERROR(__xludf.DUMMYFUNCTION("""COMPUTED_VALUE"""),88380.0)</f>
        <v>88380</v>
      </c>
      <c r="B3817" s="5">
        <f>IFERROR(__xludf.DUMMYFUNCTION("""COMPUTED_VALUE"""),45006.76609988426)</f>
        <v>45006.7661</v>
      </c>
      <c r="C3817" s="1" t="str">
        <f>IFERROR(__xludf.DUMMYFUNCTION("""COMPUTED_VALUE"""),"Anello Guillermo")</f>
        <v>Anello Guillermo</v>
      </c>
      <c r="D3817" s="1" t="str">
        <f>IFERROR(__xludf.DUMMYFUNCTION("""COMPUTED_VALUE"""),"Reparaciones/Otros")</f>
        <v>Reparaciones/Otros</v>
      </c>
      <c r="E3817" s="1" t="str">
        <f>IFERROR(__xludf.DUMMYFUNCTION("""COMPUTED_VALUE"""),"ARTIGAS Micaela")</f>
        <v>ARTIGAS Micaela</v>
      </c>
      <c r="F3817" s="1" t="str">
        <f t="shared" si="1"/>
        <v>ARTIGAS </v>
      </c>
      <c r="G3817" s="1" t="str">
        <f t="shared" si="2"/>
        <v>Micaela</v>
      </c>
      <c r="H3817" s="1" t="str">
        <f>IFERROR(__xludf.DUMMYFUNCTION("""COMPUTED_VALUE"""),"22/3/2023, 17:00:00")</f>
        <v>22/3/2023, 17:00:00</v>
      </c>
      <c r="I3817" s="1" t="str">
        <f>IFERROR(__xludf.DUMMYFUNCTION("""COMPUTED_VALUE"""),"Completado en SUCURSAL")</f>
        <v>Completado en SUCURSAL</v>
      </c>
      <c r="J3817" s="1">
        <f t="shared" si="3"/>
        <v>5</v>
      </c>
      <c r="K3817" s="1" t="str">
        <f t="shared" si="4"/>
        <v>Tus Lentes estan LISTAS PARA ENTREGAR, te esperamos.</v>
      </c>
    </row>
    <row r="3818">
      <c r="A3818" s="1">
        <f>IFERROR(__xludf.DUMMYFUNCTION("""COMPUTED_VALUE"""),88381.0)</f>
        <v>88381</v>
      </c>
      <c r="B3818" s="5">
        <f>IFERROR(__xludf.DUMMYFUNCTION("""COMPUTED_VALUE"""),45006.76693491898)</f>
        <v>45006.76693</v>
      </c>
      <c r="C3818" s="1" t="str">
        <f>IFERROR(__xludf.DUMMYFUNCTION("""COMPUTED_VALUE"""),"AGUERO KEVIN")</f>
        <v>AGUERO KEVIN</v>
      </c>
      <c r="D3818" s="1" t="str">
        <f>IFERROR(__xludf.DUMMYFUNCTION("""COMPUTED_VALUE"""),"Reparaciones/Otros")</f>
        <v>Reparaciones/Otros</v>
      </c>
      <c r="E3818" s="1" t="str">
        <f>IFERROR(__xludf.DUMMYFUNCTION("""COMPUTED_VALUE"""),"RIVADAVIA Javier")</f>
        <v>RIVADAVIA Javier</v>
      </c>
      <c r="F3818" s="1" t="str">
        <f t="shared" si="1"/>
        <v>RIVADAVIA </v>
      </c>
      <c r="G3818" s="1" t="str">
        <f t="shared" si="2"/>
        <v>Javier</v>
      </c>
      <c r="H3818" s="1" t="str">
        <f>IFERROR(__xludf.DUMMYFUNCTION("""COMPUTED_VALUE"""),"22/3/2023, 17:00:00")</f>
        <v>22/3/2023, 17:00:00</v>
      </c>
      <c r="I3818" s="1" t="str">
        <f>IFERROR(__xludf.DUMMYFUNCTION("""COMPUTED_VALUE"""),"Recibido en Laboratorio")</f>
        <v>Recibido en Laboratorio</v>
      </c>
      <c r="J3818" s="1">
        <f t="shared" si="3"/>
        <v>2</v>
      </c>
      <c r="K3818" s="1" t="str">
        <f t="shared" si="4"/>
        <v>Nuestro Laboratorio esta trabajando en tus lentes, los entregaremos en la fecha acordada.</v>
      </c>
    </row>
    <row r="3819">
      <c r="A3819" s="1">
        <f>IFERROR(__xludf.DUMMYFUNCTION("""COMPUTED_VALUE"""),88382.0)</f>
        <v>88382</v>
      </c>
      <c r="B3819" s="5">
        <f>IFERROR(__xludf.DUMMYFUNCTION("""COMPUTED_VALUE"""),45006.76857641204)</f>
        <v>45006.76858</v>
      </c>
      <c r="C3819" s="1" t="str">
        <f>IFERROR(__xludf.DUMMYFUNCTION("""COMPUTED_VALUE"""),"FERNANDEZ FABRICIO")</f>
        <v>FERNANDEZ FABRICIO</v>
      </c>
      <c r="D3819" s="1" t="str">
        <f>IFERROR(__xludf.DUMMYFUNCTION("""COMPUTED_VALUE"""),"Lentes de LABORATORIO")</f>
        <v>Lentes de LABORATORIO</v>
      </c>
      <c r="E3819" s="1" t="str">
        <f>IFERROR(__xludf.DUMMYFUNCTION("""COMPUTED_VALUE"""),"ARTIGAS Ivana P.")</f>
        <v>ARTIGAS Ivana P.</v>
      </c>
      <c r="F3819" s="1" t="str">
        <f t="shared" si="1"/>
        <v>ARTIGAS </v>
      </c>
      <c r="G3819" s="1" t="str">
        <f t="shared" si="2"/>
        <v>Ivana P.</v>
      </c>
      <c r="H3819" s="1" t="str">
        <f>IFERROR(__xludf.DUMMYFUNCTION("""COMPUTED_VALUE"""),"31/3/2023, 17:00:00")</f>
        <v>31/3/2023, 17:00:00</v>
      </c>
      <c r="I3819" s="1" t="str">
        <f>IFERROR(__xludf.DUMMYFUNCTION("""COMPUTED_VALUE"""),"RETIRADO OK POR CLIENTE")</f>
        <v>RETIRADO OK POR CLIENTE</v>
      </c>
      <c r="J3819" s="1">
        <f t="shared" si="3"/>
        <v>6</v>
      </c>
      <c r="K3819" s="1" t="str">
        <f t="shared" si="4"/>
        <v>Entregamos tus lentes, que los disfrutes!</v>
      </c>
    </row>
    <row r="3820">
      <c r="A3820" s="1">
        <f>IFERROR(__xludf.DUMMYFUNCTION("""COMPUTED_VALUE"""),88383.0)</f>
        <v>88383</v>
      </c>
      <c r="B3820" s="5">
        <f>IFERROR(__xludf.DUMMYFUNCTION("""COMPUTED_VALUE"""),45006.77169674769)</f>
        <v>45006.7717</v>
      </c>
      <c r="C3820" s="1" t="str">
        <f>IFERROR(__xludf.DUMMYFUNCTION("""COMPUTED_VALUE"""),"GANIM GRACIELA RAQUEL88917")</f>
        <v>GANIM GRACIELA RAQUEL88917</v>
      </c>
      <c r="D3820" s="1" t="str">
        <f>IFERROR(__xludf.DUMMYFUNCTION("""COMPUTED_VALUE"""),"Lentes BIFOCALES")</f>
        <v>Lentes BIFOCALES</v>
      </c>
      <c r="E3820" s="1" t="str">
        <f>IFERROR(__xludf.DUMMYFUNCTION("""COMPUTED_VALUE"""),"ARTIGAS Roció")</f>
        <v>ARTIGAS Roció</v>
      </c>
      <c r="F3820" s="1" t="str">
        <f t="shared" si="1"/>
        <v>ARTIGAS </v>
      </c>
      <c r="G3820" s="1" t="str">
        <f t="shared" si="2"/>
        <v>Roció</v>
      </c>
      <c r="H3820" s="1" t="str">
        <f>IFERROR(__xludf.DUMMYFUNCTION("""COMPUTED_VALUE"""),"31/3/2023, 17:00:00")</f>
        <v>31/3/2023, 17:00:00</v>
      </c>
      <c r="I3820" s="1" t="str">
        <f>IFERROR(__xludf.DUMMYFUNCTION("""COMPUTED_VALUE"""),"Recibido en Laboratorio")</f>
        <v>Recibido en Laboratorio</v>
      </c>
      <c r="J3820" s="1">
        <f t="shared" si="3"/>
        <v>2</v>
      </c>
      <c r="K3820" s="1" t="str">
        <f t="shared" si="4"/>
        <v>Nuestro Laboratorio esta trabajando en tus lentes, los entregaremos en la fecha acordada.</v>
      </c>
    </row>
    <row r="3821">
      <c r="A3821" s="1">
        <f>IFERROR(__xludf.DUMMYFUNCTION("""COMPUTED_VALUE"""),88384.0)</f>
        <v>88384</v>
      </c>
      <c r="B3821" s="5">
        <f>IFERROR(__xludf.DUMMYFUNCTION("""COMPUTED_VALUE"""),45006.772614456015)</f>
        <v>45006.77261</v>
      </c>
      <c r="C3821" s="1" t="str">
        <f>IFERROR(__xludf.DUMMYFUNCTION("""COMPUTED_VALUE"""),"PEÑA CARLOS SEGUNDO")</f>
        <v>PEÑA CARLOS SEGUNDO</v>
      </c>
      <c r="D3821" s="1" t="str">
        <f>IFERROR(__xludf.DUMMYFUNCTION("""COMPUTED_VALUE"""),"Lentes de STOCK")</f>
        <v>Lentes de STOCK</v>
      </c>
      <c r="E3821" s="1" t="str">
        <f>IFERROR(__xludf.DUMMYFUNCTION("""COMPUTED_VALUE"""),"RIVADAVIA Christian C.")</f>
        <v>RIVADAVIA Christian C.</v>
      </c>
      <c r="F3821" s="1" t="str">
        <f t="shared" si="1"/>
        <v>RIVADAVIA </v>
      </c>
      <c r="G3821" s="1" t="str">
        <f t="shared" si="2"/>
        <v>Christian C.</v>
      </c>
      <c r="H3821" s="1" t="str">
        <f>IFERROR(__xludf.DUMMYFUNCTION("""COMPUTED_VALUE"""),"27/3/2023, 17:00:00")</f>
        <v>27/3/2023, 17:00:00</v>
      </c>
      <c r="I3821" s="1" t="str">
        <f>IFERROR(__xludf.DUMMYFUNCTION("""COMPUTED_VALUE"""),"RETIRADO OK POR CLIENTE")</f>
        <v>RETIRADO OK POR CLIENTE</v>
      </c>
      <c r="J3821" s="1">
        <f t="shared" si="3"/>
        <v>6</v>
      </c>
      <c r="K3821" s="1" t="str">
        <f t="shared" si="4"/>
        <v>Entregamos tus lentes, que los disfrutes!</v>
      </c>
    </row>
    <row r="3822">
      <c r="A3822" s="1">
        <f>IFERROR(__xludf.DUMMYFUNCTION("""COMPUTED_VALUE"""),88385.0)</f>
        <v>88385</v>
      </c>
      <c r="B3822" s="5">
        <f>IFERROR(__xludf.DUMMYFUNCTION("""COMPUTED_VALUE"""),45006.77401833334)</f>
        <v>45006.77402</v>
      </c>
      <c r="C3822" s="1" t="str">
        <f>IFERROR(__xludf.DUMMYFUNCTION("""COMPUTED_VALUE"""),"CACACE CRISTIAN")</f>
        <v>CACACE CRISTIAN</v>
      </c>
      <c r="D3822" s="1" t="str">
        <f>IFERROR(__xludf.DUMMYFUNCTION("""COMPUTED_VALUE"""),"Lentes de STOCK")</f>
        <v>Lentes de STOCK</v>
      </c>
      <c r="E3822" s="1" t="str">
        <f>IFERROR(__xludf.DUMMYFUNCTION("""COMPUTED_VALUE"""),"RIVADAVIA Javier")</f>
        <v>RIVADAVIA Javier</v>
      </c>
      <c r="F3822" s="1" t="str">
        <f t="shared" si="1"/>
        <v>RIVADAVIA </v>
      </c>
      <c r="G3822" s="1" t="str">
        <f t="shared" si="2"/>
        <v>Javier</v>
      </c>
      <c r="H3822" s="1" t="str">
        <f>IFERROR(__xludf.DUMMYFUNCTION("""COMPUTED_VALUE"""),"28/3/2023, 17:00:00")</f>
        <v>28/3/2023, 17:00:00</v>
      </c>
      <c r="I3822" s="1" t="str">
        <f>IFERROR(__xludf.DUMMYFUNCTION("""COMPUTED_VALUE"""),"RETIRADO OK POR CLIENTE")</f>
        <v>RETIRADO OK POR CLIENTE</v>
      </c>
      <c r="J3822" s="1">
        <f t="shared" si="3"/>
        <v>6</v>
      </c>
      <c r="K3822" s="1" t="str">
        <f t="shared" si="4"/>
        <v>Entregamos tus lentes, que los disfrutes!</v>
      </c>
    </row>
    <row r="3823">
      <c r="A3823" s="1">
        <f>IFERROR(__xludf.DUMMYFUNCTION("""COMPUTED_VALUE"""),88386.0)</f>
        <v>88386</v>
      </c>
      <c r="B3823" s="5">
        <f>IFERROR(__xludf.DUMMYFUNCTION("""COMPUTED_VALUE"""),45006.774975127315)</f>
        <v>45006.77498</v>
      </c>
      <c r="C3823" s="1" t="str">
        <f>IFERROR(__xludf.DUMMYFUNCTION("""COMPUTED_VALUE"""),"PEREZ ALONSO LUCIANO")</f>
        <v>PEREZ ALONSO LUCIANO</v>
      </c>
      <c r="D3823" s="1" t="str">
        <f>IFERROR(__xludf.DUMMYFUNCTION("""COMPUTED_VALUE"""),"Lentes de STOCK")</f>
        <v>Lentes de STOCK</v>
      </c>
      <c r="E3823" s="1" t="str">
        <f>IFERROR(__xludf.DUMMYFUNCTION("""COMPUTED_VALUE"""),"ARTIGAS Ivana P.")</f>
        <v>ARTIGAS Ivana P.</v>
      </c>
      <c r="F3823" s="1" t="str">
        <f t="shared" si="1"/>
        <v>ARTIGAS </v>
      </c>
      <c r="G3823" s="1" t="str">
        <f t="shared" si="2"/>
        <v>Ivana P.</v>
      </c>
      <c r="H3823" s="1" t="str">
        <f>IFERROR(__xludf.DUMMYFUNCTION("""COMPUTED_VALUE"""),"27/3/2023, 17:00:00")</f>
        <v>27/3/2023, 17:00:00</v>
      </c>
      <c r="I3823" s="1" t="str">
        <f>IFERROR(__xludf.DUMMYFUNCTION("""COMPUTED_VALUE"""),"RETIRADO OK POR CLIENTE")</f>
        <v>RETIRADO OK POR CLIENTE</v>
      </c>
      <c r="J3823" s="1">
        <f t="shared" si="3"/>
        <v>6</v>
      </c>
      <c r="K3823" s="1" t="str">
        <f t="shared" si="4"/>
        <v>Entregamos tus lentes, que los disfrutes!</v>
      </c>
    </row>
    <row r="3824">
      <c r="A3824" s="1">
        <f>IFERROR(__xludf.DUMMYFUNCTION("""COMPUTED_VALUE"""),88387.0)</f>
        <v>88387</v>
      </c>
      <c r="B3824" s="5">
        <f>IFERROR(__xludf.DUMMYFUNCTION("""COMPUTED_VALUE"""),45006.78620883102)</f>
        <v>45006.78621</v>
      </c>
      <c r="C3824" s="1" t="str">
        <f>IFERROR(__xludf.DUMMYFUNCTION("""COMPUTED_VALUE"""),"CUELLO MIRTA")</f>
        <v>CUELLO MIRTA</v>
      </c>
      <c r="D3824" s="1" t="str">
        <f>IFERROR(__xludf.DUMMYFUNCTION("""COMPUTED_VALUE"""),"Reparaciones/Otros")</f>
        <v>Reparaciones/Otros</v>
      </c>
      <c r="E3824" s="1" t="str">
        <f>IFERROR(__xludf.DUMMYFUNCTION("""COMPUTED_VALUE"""),"RIVADAVIA Daniel CM")</f>
        <v>RIVADAVIA Daniel CM</v>
      </c>
      <c r="F3824" s="1" t="str">
        <f t="shared" si="1"/>
        <v>RIVADAVIA </v>
      </c>
      <c r="G3824" s="1" t="str">
        <f t="shared" si="2"/>
        <v>Daniel CM</v>
      </c>
      <c r="H3824" s="1" t="str">
        <f>IFERROR(__xludf.DUMMYFUNCTION("""COMPUTED_VALUE"""),"22/3/2023, 17:00:00")</f>
        <v>22/3/2023, 17:00:00</v>
      </c>
      <c r="I3824" s="1" t="str">
        <f>IFERROR(__xludf.DUMMYFUNCTION("""COMPUTED_VALUE"""),"Completado en SUCURSAL")</f>
        <v>Completado en SUCURSAL</v>
      </c>
      <c r="J3824" s="1">
        <f t="shared" si="3"/>
        <v>5</v>
      </c>
      <c r="K3824" s="1" t="str">
        <f t="shared" si="4"/>
        <v>Tus Lentes estan LISTAS PARA ENTREGAR, te esperamos.</v>
      </c>
    </row>
    <row r="3825">
      <c r="A3825" s="1">
        <f>IFERROR(__xludf.DUMMYFUNCTION("""COMPUTED_VALUE"""),88388.0)</f>
        <v>88388</v>
      </c>
      <c r="B3825" s="5">
        <f>IFERROR(__xludf.DUMMYFUNCTION("""COMPUTED_VALUE"""),45006.79380127315)</f>
        <v>45006.7938</v>
      </c>
      <c r="C3825" s="1" t="str">
        <f>IFERROR(__xludf.DUMMYFUNCTION("""COMPUTED_VALUE"""),"GUZMAN ZOE")</f>
        <v>GUZMAN ZOE</v>
      </c>
      <c r="D3825" s="1" t="str">
        <f>IFERROR(__xludf.DUMMYFUNCTION("""COMPUTED_VALUE"""),"Lentes de LABORATORIO")</f>
        <v>Lentes de LABORATORIO</v>
      </c>
      <c r="E3825" s="1" t="str">
        <f>IFERROR(__xludf.DUMMYFUNCTION("""COMPUTED_VALUE"""),"ARTIGAS Roció")</f>
        <v>ARTIGAS Roció</v>
      </c>
      <c r="F3825" s="1" t="str">
        <f t="shared" si="1"/>
        <v>ARTIGAS </v>
      </c>
      <c r="G3825" s="1" t="str">
        <f t="shared" si="2"/>
        <v>Roció</v>
      </c>
      <c r="H3825" s="1" t="str">
        <f>IFERROR(__xludf.DUMMYFUNCTION("""COMPUTED_VALUE"""),"31/3/2023, 17:00:00")</f>
        <v>31/3/2023, 17:00:00</v>
      </c>
      <c r="I3825" s="1" t="str">
        <f>IFERROR(__xludf.DUMMYFUNCTION("""COMPUTED_VALUE"""),"Completado en SUCURSAL")</f>
        <v>Completado en SUCURSAL</v>
      </c>
      <c r="J3825" s="1">
        <f t="shared" si="3"/>
        <v>5</v>
      </c>
      <c r="K3825" s="1" t="str">
        <f t="shared" si="4"/>
        <v>Tus Lentes estan LISTAS PARA ENTREGAR, te esperamos.</v>
      </c>
    </row>
    <row r="3826">
      <c r="A3826" s="1">
        <f>IFERROR(__xludf.DUMMYFUNCTION("""COMPUTED_VALUE"""),88389.0)</f>
        <v>88389</v>
      </c>
      <c r="B3826" s="5">
        <f>IFERROR(__xludf.DUMMYFUNCTION("""COMPUTED_VALUE"""),45006.793867025466)</f>
        <v>45006.79387</v>
      </c>
      <c r="C3826" s="1" t="str">
        <f>IFERROR(__xludf.DUMMYFUNCTION("""COMPUTED_VALUE"""),"PILLACA JOSE")</f>
        <v>PILLACA JOSE</v>
      </c>
      <c r="D3826" s="1" t="str">
        <f>IFERROR(__xludf.DUMMYFUNCTION("""COMPUTED_VALUE"""),"Lentes de STOCK")</f>
        <v>Lentes de STOCK</v>
      </c>
      <c r="E3826" s="1" t="str">
        <f>IFERROR(__xludf.DUMMYFUNCTION("""COMPUTED_VALUE"""),"RIVADAVIA Luciana")</f>
        <v>RIVADAVIA Luciana</v>
      </c>
      <c r="F3826" s="1" t="str">
        <f t="shared" si="1"/>
        <v>RIVADAVIA </v>
      </c>
      <c r="G3826" s="1" t="str">
        <f t="shared" si="2"/>
        <v>Luciana</v>
      </c>
      <c r="H3826" s="1" t="str">
        <f>IFERROR(__xludf.DUMMYFUNCTION("""COMPUTED_VALUE"""),"31/3/2023, 17:00:00")</f>
        <v>31/3/2023, 17:00:00</v>
      </c>
      <c r="I3826" s="1" t="str">
        <f>IFERROR(__xludf.DUMMYFUNCTION("""COMPUTED_VALUE"""),"Completado en SUCURSAL")</f>
        <v>Completado en SUCURSAL</v>
      </c>
      <c r="J3826" s="1">
        <f t="shared" si="3"/>
        <v>5</v>
      </c>
      <c r="K3826" s="1" t="str">
        <f t="shared" si="4"/>
        <v>Tus Lentes estan LISTAS PARA ENTREGAR, te esperamos.</v>
      </c>
    </row>
    <row r="3827">
      <c r="A3827" s="1">
        <f>IFERROR(__xludf.DUMMYFUNCTION("""COMPUTED_VALUE"""),88390.0)</f>
        <v>88390</v>
      </c>
      <c r="B3827" s="5">
        <f>IFERROR(__xludf.DUMMYFUNCTION("""COMPUTED_VALUE"""),45006.80495884259)</f>
        <v>45006.80496</v>
      </c>
      <c r="C3827" s="1" t="str">
        <f>IFERROR(__xludf.DUMMYFUNCTION("""COMPUTED_VALUE"""),"DIAZ MARIA PAZ")</f>
        <v>DIAZ MARIA PAZ</v>
      </c>
      <c r="D3827" s="1" t="str">
        <f>IFERROR(__xludf.DUMMYFUNCTION("""COMPUTED_VALUE"""),"Lentes de STOCK")</f>
        <v>Lentes de STOCK</v>
      </c>
      <c r="E3827" s="1" t="str">
        <f>IFERROR(__xludf.DUMMYFUNCTION("""COMPUTED_VALUE"""),"ARTIGAS Ivana P.")</f>
        <v>ARTIGAS Ivana P.</v>
      </c>
      <c r="F3827" s="1" t="str">
        <f t="shared" si="1"/>
        <v>ARTIGAS </v>
      </c>
      <c r="G3827" s="1" t="str">
        <f t="shared" si="2"/>
        <v>Ivana P.</v>
      </c>
      <c r="H3827" s="1" t="str">
        <f>IFERROR(__xludf.DUMMYFUNCTION("""COMPUTED_VALUE"""),"25/3/2023, 17:00:00")</f>
        <v>25/3/2023, 17:00:00</v>
      </c>
      <c r="I3827" s="1" t="str">
        <f>IFERROR(__xludf.DUMMYFUNCTION("""COMPUTED_VALUE"""),"Recibido en Laboratorio")</f>
        <v>Recibido en Laboratorio</v>
      </c>
      <c r="J3827" s="1">
        <f t="shared" si="3"/>
        <v>2</v>
      </c>
      <c r="K3827" s="1" t="str">
        <f t="shared" si="4"/>
        <v>Nuestro Laboratorio esta trabajando en tus lentes, los entregaremos en la fecha acordada.</v>
      </c>
    </row>
    <row r="3828">
      <c r="A3828" s="1">
        <f>IFERROR(__xludf.DUMMYFUNCTION("""COMPUTED_VALUE"""),88391.0)</f>
        <v>88391</v>
      </c>
      <c r="B3828" s="5">
        <f>IFERROR(__xludf.DUMMYFUNCTION("""COMPUTED_VALUE"""),45006.81449667824)</f>
        <v>45006.8145</v>
      </c>
      <c r="C3828" s="1" t="str">
        <f>IFERROR(__xludf.DUMMYFUNCTION("""COMPUTED_VALUE"""),"DOMINGUEZ DANIELA")</f>
        <v>DOMINGUEZ DANIELA</v>
      </c>
      <c r="D3828" s="1" t="str">
        <f>IFERROR(__xludf.DUMMYFUNCTION("""COMPUTED_VALUE"""),"Lentes de STOCK")</f>
        <v>Lentes de STOCK</v>
      </c>
      <c r="E3828" s="1" t="str">
        <f>IFERROR(__xludf.DUMMYFUNCTION("""COMPUTED_VALUE"""),"ARTIGAS Roció")</f>
        <v>ARTIGAS Roció</v>
      </c>
      <c r="F3828" s="1" t="str">
        <f t="shared" si="1"/>
        <v>ARTIGAS </v>
      </c>
      <c r="G3828" s="1" t="str">
        <f t="shared" si="2"/>
        <v>Roció</v>
      </c>
      <c r="H3828" s="1" t="str">
        <f>IFERROR(__xludf.DUMMYFUNCTION("""COMPUTED_VALUE"""),"27/3/2023, 17:00:00")</f>
        <v>27/3/2023, 17:00:00</v>
      </c>
      <c r="I3828" s="1" t="str">
        <f>IFERROR(__xludf.DUMMYFUNCTION("""COMPUTED_VALUE"""),"RETIRADO OK POR CLIENTE")</f>
        <v>RETIRADO OK POR CLIENTE</v>
      </c>
      <c r="J3828" s="1">
        <f t="shared" si="3"/>
        <v>6</v>
      </c>
      <c r="K3828" s="1" t="str">
        <f t="shared" si="4"/>
        <v>Entregamos tus lentes, que los disfrutes!</v>
      </c>
    </row>
    <row r="3829">
      <c r="A3829" s="1">
        <f>IFERROR(__xludf.DUMMYFUNCTION("""COMPUTED_VALUE"""),88392.0)</f>
        <v>88392</v>
      </c>
      <c r="B3829" s="5">
        <f>IFERROR(__xludf.DUMMYFUNCTION("""COMPUTED_VALUE"""),45006.81694408564)</f>
        <v>45006.81694</v>
      </c>
      <c r="C3829" s="1" t="str">
        <f>IFERROR(__xludf.DUMMYFUNCTION("""COMPUTED_VALUE"""),"RAMIREZ MARTINA")</f>
        <v>RAMIREZ MARTINA</v>
      </c>
      <c r="D3829" s="1" t="str">
        <f>IFERROR(__xludf.DUMMYFUNCTION("""COMPUTED_VALUE"""),"Lentes de STOCK")</f>
        <v>Lentes de STOCK</v>
      </c>
      <c r="E3829" s="1" t="str">
        <f>IFERROR(__xludf.DUMMYFUNCTION("""COMPUTED_VALUE"""),"RIVADAVIA Christian C.")</f>
        <v>RIVADAVIA Christian C.</v>
      </c>
      <c r="F3829" s="1" t="str">
        <f t="shared" si="1"/>
        <v>RIVADAVIA </v>
      </c>
      <c r="G3829" s="1" t="str">
        <f t="shared" si="2"/>
        <v>Christian C.</v>
      </c>
      <c r="H3829" s="1" t="str">
        <f>IFERROR(__xludf.DUMMYFUNCTION("""COMPUTED_VALUE"""),"29/3/2023, 17:00:00")</f>
        <v>29/3/2023, 17:00:00</v>
      </c>
      <c r="I3829" s="1"/>
      <c r="J3829" s="1">
        <f t="shared" si="3"/>
        <v>0</v>
      </c>
      <c r="K3829" s="1" t="str">
        <f t="shared" si="4"/>
        <v/>
      </c>
    </row>
    <row r="3830">
      <c r="A3830" s="1">
        <f>IFERROR(__xludf.DUMMYFUNCTION("""COMPUTED_VALUE"""),88393.0)</f>
        <v>88393</v>
      </c>
      <c r="B3830" s="5">
        <f>IFERROR(__xludf.DUMMYFUNCTION("""COMPUTED_VALUE"""),45006.8197384838)</f>
        <v>45006.81974</v>
      </c>
      <c r="C3830" s="1" t="str">
        <f>IFERROR(__xludf.DUMMYFUNCTION("""COMPUTED_VALUE"""),"CORRENTI JOAQUIN")</f>
        <v>CORRENTI JOAQUIN</v>
      </c>
      <c r="D3830" s="1" t="str">
        <f>IFERROR(__xludf.DUMMYFUNCTION("""COMPUTED_VALUE"""),"Lentes de STOCK")</f>
        <v>Lentes de STOCK</v>
      </c>
      <c r="E3830" s="1" t="str">
        <f>IFERROR(__xludf.DUMMYFUNCTION("""COMPUTED_VALUE"""),"RIVADAVIA Santiago LOPEZ")</f>
        <v>RIVADAVIA Santiago LOPEZ</v>
      </c>
      <c r="F3830" s="1" t="str">
        <f t="shared" si="1"/>
        <v>RIVADAVIA </v>
      </c>
      <c r="G3830" s="1" t="str">
        <f t="shared" si="2"/>
        <v>Santiago LOPEZ</v>
      </c>
      <c r="H3830" s="1" t="str">
        <f>IFERROR(__xludf.DUMMYFUNCTION("""COMPUTED_VALUE"""),"27/3/2023, 17:00:00")</f>
        <v>27/3/2023, 17:00:00</v>
      </c>
      <c r="I3830" s="1" t="str">
        <f>IFERROR(__xludf.DUMMYFUNCTION("""COMPUTED_VALUE"""),"RETIRADO OK POR CLIENTE")</f>
        <v>RETIRADO OK POR CLIENTE</v>
      </c>
      <c r="J3830" s="1">
        <f t="shared" si="3"/>
        <v>6</v>
      </c>
      <c r="K3830" s="1" t="str">
        <f t="shared" si="4"/>
        <v>Entregamos tus lentes, que los disfrutes!</v>
      </c>
    </row>
    <row r="3831">
      <c r="A3831" s="1">
        <f>IFERROR(__xludf.DUMMYFUNCTION("""COMPUTED_VALUE"""),88394.0)</f>
        <v>88394</v>
      </c>
      <c r="B3831" s="5">
        <f>IFERROR(__xludf.DUMMYFUNCTION("""COMPUTED_VALUE"""),45006.8206687037)</f>
        <v>45006.82067</v>
      </c>
      <c r="C3831" s="1" t="str">
        <f>IFERROR(__xludf.DUMMYFUNCTION("""COMPUTED_VALUE"""),"PUEBLA JOSE")</f>
        <v>PUEBLA JOSE</v>
      </c>
      <c r="D3831" s="1" t="str">
        <f>IFERROR(__xludf.DUMMYFUNCTION("""COMPUTED_VALUE"""),"Reparaciones/Otros")</f>
        <v>Reparaciones/Otros</v>
      </c>
      <c r="E3831" s="1" t="str">
        <f>IFERROR(__xludf.DUMMYFUNCTION("""COMPUTED_VALUE"""),"ARTIGAS Roció")</f>
        <v>ARTIGAS Roció</v>
      </c>
      <c r="F3831" s="1" t="str">
        <f t="shared" si="1"/>
        <v>ARTIGAS </v>
      </c>
      <c r="G3831" s="1" t="str">
        <f t="shared" si="2"/>
        <v>Roció</v>
      </c>
      <c r="H3831" s="1" t="str">
        <f>IFERROR(__xludf.DUMMYFUNCTION("""COMPUTED_VALUE"""),"22/3/2023, 17:00:00")</f>
        <v>22/3/2023, 17:00:00</v>
      </c>
      <c r="I3831" s="1" t="str">
        <f>IFERROR(__xludf.DUMMYFUNCTION("""COMPUTED_VALUE"""),"Completado en SUCURSAL")</f>
        <v>Completado en SUCURSAL</v>
      </c>
      <c r="J3831" s="1">
        <f t="shared" si="3"/>
        <v>5</v>
      </c>
      <c r="K3831" s="1" t="str">
        <f t="shared" si="4"/>
        <v>Tus Lentes estan LISTAS PARA ENTREGAR, te esperamos.</v>
      </c>
    </row>
    <row r="3832">
      <c r="A3832" s="1">
        <f>IFERROR(__xludf.DUMMYFUNCTION("""COMPUTED_VALUE"""),88395.0)</f>
        <v>88395</v>
      </c>
      <c r="B3832" s="5">
        <f>IFERROR(__xludf.DUMMYFUNCTION("""COMPUTED_VALUE"""),45006.82885726852)</f>
        <v>45006.82886</v>
      </c>
      <c r="C3832" s="1"/>
      <c r="D3832" s="1" t="str">
        <f>IFERROR(__xludf.DUMMYFUNCTION("""COMPUTED_VALUE"""),"Lentes de STOCK")</f>
        <v>Lentes de STOCK</v>
      </c>
      <c r="E3832" s="1" t="str">
        <f>IFERROR(__xludf.DUMMYFUNCTION("""COMPUTED_VALUE"""),"RIVADAVIA Javier")</f>
        <v>RIVADAVIA Javier</v>
      </c>
      <c r="F3832" s="1" t="str">
        <f t="shared" si="1"/>
        <v>RIVADAVIA </v>
      </c>
      <c r="G3832" s="1" t="str">
        <f t="shared" si="2"/>
        <v>Javier</v>
      </c>
      <c r="H3832" s="1" t="str">
        <f>IFERROR(__xludf.DUMMYFUNCTION("""COMPUTED_VALUE"""),"29/3/2023, 17:00:00")</f>
        <v>29/3/2023, 17:00:00</v>
      </c>
      <c r="I3832" s="1" t="str">
        <f>IFERROR(__xludf.DUMMYFUNCTION("""COMPUTED_VALUE"""),"RETIRADO OK POR CLIENTE")</f>
        <v>RETIRADO OK POR CLIENTE</v>
      </c>
      <c r="J3832" s="1">
        <f t="shared" si="3"/>
        <v>6</v>
      </c>
      <c r="K3832" s="1" t="str">
        <f t="shared" si="4"/>
        <v>Entregamos tus lentes, que los disfrutes!</v>
      </c>
    </row>
    <row r="3833">
      <c r="A3833" s="1">
        <f>IFERROR(__xludf.DUMMYFUNCTION("""COMPUTED_VALUE"""),88396.0)</f>
        <v>88396</v>
      </c>
      <c r="B3833" s="5">
        <f>IFERROR(__xludf.DUMMYFUNCTION("""COMPUTED_VALUE"""),45006.82973686342)</f>
        <v>45006.82974</v>
      </c>
      <c r="C3833" s="1" t="str">
        <f>IFERROR(__xludf.DUMMYFUNCTION("""COMPUTED_VALUE"""),"RUFINO JOHANA")</f>
        <v>RUFINO JOHANA</v>
      </c>
      <c r="D3833" s="1" t="str">
        <f>IFERROR(__xludf.DUMMYFUNCTION("""COMPUTED_VALUE"""),"Lentes de STOCK")</f>
        <v>Lentes de STOCK</v>
      </c>
      <c r="E3833" s="1" t="str">
        <f>IFERROR(__xludf.DUMMYFUNCTION("""COMPUTED_VALUE"""),"RIVADAVIA Christian C.")</f>
        <v>RIVADAVIA Christian C.</v>
      </c>
      <c r="F3833" s="1" t="str">
        <f t="shared" si="1"/>
        <v>RIVADAVIA </v>
      </c>
      <c r="G3833" s="1" t="str">
        <f t="shared" si="2"/>
        <v>Christian C.</v>
      </c>
      <c r="H3833" s="1" t="str">
        <f>IFERROR(__xludf.DUMMYFUNCTION("""COMPUTED_VALUE"""),"29/3/2023, 17:00:00")</f>
        <v>29/3/2023, 17:00:00</v>
      </c>
      <c r="I3833" s="1"/>
      <c r="J3833" s="1">
        <f t="shared" si="3"/>
        <v>0</v>
      </c>
      <c r="K3833" s="1" t="str">
        <f t="shared" si="4"/>
        <v/>
      </c>
    </row>
    <row r="3834">
      <c r="A3834" s="1">
        <f>IFERROR(__xludf.DUMMYFUNCTION("""COMPUTED_VALUE"""),88397.0)</f>
        <v>88397</v>
      </c>
      <c r="B3834" s="5">
        <f>IFERROR(__xludf.DUMMYFUNCTION("""COMPUTED_VALUE"""),45006.831066099534)</f>
        <v>45006.83107</v>
      </c>
      <c r="C3834" s="1" t="str">
        <f>IFERROR(__xludf.DUMMYFUNCTION("""COMPUTED_VALUE"""),"GOMEZ ILEANA")</f>
        <v>GOMEZ ILEANA</v>
      </c>
      <c r="D3834" s="1" t="str">
        <f>IFERROR(__xludf.DUMMYFUNCTION("""COMPUTED_VALUE"""),"Lentes MULTIFOCALES")</f>
        <v>Lentes MULTIFOCALES</v>
      </c>
      <c r="E3834" s="1" t="str">
        <f>IFERROR(__xludf.DUMMYFUNCTION("""COMPUTED_VALUE"""),"ARTIGAS Ivana P.")</f>
        <v>ARTIGAS Ivana P.</v>
      </c>
      <c r="F3834" s="1" t="str">
        <f t="shared" si="1"/>
        <v>ARTIGAS </v>
      </c>
      <c r="G3834" s="1" t="str">
        <f t="shared" si="2"/>
        <v>Ivana P.</v>
      </c>
      <c r="H3834" s="1" t="str">
        <f>IFERROR(__xludf.DUMMYFUNCTION("""COMPUTED_VALUE"""),"3/4/2023, 17:00:00")</f>
        <v>3/4/2023, 17:00:00</v>
      </c>
      <c r="I3834" s="1" t="str">
        <f>IFERROR(__xludf.DUMMYFUNCTION("""COMPUTED_VALUE"""),"Completado en SUCURSAL")</f>
        <v>Completado en SUCURSAL</v>
      </c>
      <c r="J3834" s="1">
        <f t="shared" si="3"/>
        <v>5</v>
      </c>
      <c r="K3834" s="1" t="str">
        <f t="shared" si="4"/>
        <v>Tus Lentes estan LISTAS PARA ENTREGAR, te esperamos.</v>
      </c>
    </row>
    <row r="3835">
      <c r="A3835" s="1">
        <f>IFERROR(__xludf.DUMMYFUNCTION("""COMPUTED_VALUE"""),88398.0)</f>
        <v>88398</v>
      </c>
      <c r="B3835" s="5">
        <f>IFERROR(__xludf.DUMMYFUNCTION("""COMPUTED_VALUE"""),45006.84017844907)</f>
        <v>45006.84018</v>
      </c>
      <c r="C3835" s="1" t="str">
        <f>IFERROR(__xludf.DUMMYFUNCTION("""COMPUTED_VALUE"""),"reyes gonzalez jonathan")</f>
        <v>reyes gonzalez jonathan</v>
      </c>
      <c r="D3835" s="1" t="str">
        <f>IFERROR(__xludf.DUMMYFUNCTION("""COMPUTED_VALUE"""),"Lentes de STOCK")</f>
        <v>Lentes de STOCK</v>
      </c>
      <c r="E3835" s="1" t="str">
        <f>IFERROR(__xludf.DUMMYFUNCTION("""COMPUTED_VALUE"""),"RIVADAVIA Santiago N")</f>
        <v>RIVADAVIA Santiago N</v>
      </c>
      <c r="F3835" s="1" t="str">
        <f t="shared" si="1"/>
        <v>RIVADAVIA </v>
      </c>
      <c r="G3835" s="1" t="str">
        <f t="shared" si="2"/>
        <v>Santiago N</v>
      </c>
      <c r="H3835" s="1" t="str">
        <f>IFERROR(__xludf.DUMMYFUNCTION("""COMPUTED_VALUE"""),"23/3/2023, 17:00:00")</f>
        <v>23/3/2023, 17:00:00</v>
      </c>
      <c r="I3835" s="1" t="str">
        <f>IFERROR(__xludf.DUMMYFUNCTION("""COMPUTED_VALUE"""),"RETIRADO OK POR CLIENTE")</f>
        <v>RETIRADO OK POR CLIENTE</v>
      </c>
      <c r="J3835" s="1">
        <f t="shared" si="3"/>
        <v>6</v>
      </c>
      <c r="K3835" s="1" t="str">
        <f t="shared" si="4"/>
        <v>Entregamos tus lentes, que los disfrutes!</v>
      </c>
    </row>
    <row r="3836">
      <c r="A3836" s="1" t="str">
        <f>IFERROR(__xludf.DUMMYFUNCTION("""COMPUTED_VALUE"""),"QR88399")</f>
        <v>QR88399</v>
      </c>
      <c r="B3836" s="5">
        <f>IFERROR(__xludf.DUMMYFUNCTION("""COMPUTED_VALUE"""),45007.3587634838)</f>
        <v>45007.35876</v>
      </c>
      <c r="C3836" s="1" t="str">
        <f>IFERROR(__xludf.DUMMYFUNCTION("""COMPUTED_VALUE"""),"AGUILAR MATEO (PROGRAMA MEDICINA DEL INTERIOR GOB)")</f>
        <v>AGUILAR MATEO (PROGRAMA MEDICINA DEL INTERIOR GOB)</v>
      </c>
      <c r="D3836" s="1" t="str">
        <f>IFERROR(__xludf.DUMMYFUNCTION("""COMPUTED_VALUE"""),"Lentes de LABORATORIO")</f>
        <v>Lentes de LABORATORIO</v>
      </c>
      <c r="E3836" s="1" t="str">
        <f>IFERROR(__xludf.DUMMYFUNCTION("""COMPUTED_VALUE"""),"Online ADMIN.")</f>
        <v>Online ADMIN.</v>
      </c>
      <c r="F3836" s="1" t="str">
        <f t="shared" si="1"/>
        <v>Online </v>
      </c>
      <c r="G3836" s="1" t="str">
        <f t="shared" si="2"/>
        <v>ADMIN.</v>
      </c>
      <c r="H3836" s="1" t="str">
        <f>IFERROR(__xludf.DUMMYFUNCTION("""COMPUTED_VALUE"""),"29/3/2023, 15:00:00")</f>
        <v>29/3/2023, 15:00:00</v>
      </c>
      <c r="I3836" s="1" t="str">
        <f>IFERROR(__xludf.DUMMYFUNCTION("""COMPUTED_VALUE"""),"Recibido en Laboratorio")</f>
        <v>Recibido en Laboratorio</v>
      </c>
      <c r="J3836" s="1">
        <f t="shared" si="3"/>
        <v>2</v>
      </c>
      <c r="K3836" s="1" t="str">
        <f t="shared" si="4"/>
        <v>Nuestro Laboratorio esta trabajando en tus lentes, los entregaremos en la fecha acordada.</v>
      </c>
    </row>
    <row r="3837">
      <c r="A3837" s="1" t="str">
        <f>IFERROR(__xludf.DUMMYFUNCTION("""COMPUTED_VALUE"""),"QR88400")</f>
        <v>QR88400</v>
      </c>
      <c r="B3837" s="5">
        <f>IFERROR(__xludf.DUMMYFUNCTION("""COMPUTED_VALUE"""),45007.36020962963)</f>
        <v>45007.36021</v>
      </c>
      <c r="C3837" s="1" t="str">
        <f>IFERROR(__xludf.DUMMYFUNCTION("""COMPUTED_VALUE"""),"ALBARADO MAGALLANES SANDRA (PROGRAMA MEDICINA DEL INTERIOR GOB)")</f>
        <v>ALBARADO MAGALLANES SANDRA (PROGRAMA MEDICINA DEL INTERIOR GOB)</v>
      </c>
      <c r="D3837" s="1" t="str">
        <f>IFERROR(__xludf.DUMMYFUNCTION("""COMPUTED_VALUE"""),"Lentes de STOCK")</f>
        <v>Lentes de STOCK</v>
      </c>
      <c r="E3837" s="1" t="str">
        <f>IFERROR(__xludf.DUMMYFUNCTION("""COMPUTED_VALUE"""),"Online ADMIN.")</f>
        <v>Online ADMIN.</v>
      </c>
      <c r="F3837" s="1" t="str">
        <f t="shared" si="1"/>
        <v>Online </v>
      </c>
      <c r="G3837" s="1" t="str">
        <f t="shared" si="2"/>
        <v>ADMIN.</v>
      </c>
      <c r="H3837" s="1" t="str">
        <f>IFERROR(__xludf.DUMMYFUNCTION("""COMPUTED_VALUE"""),"24/3/2023, 15:00:00")</f>
        <v>24/3/2023, 15:00:00</v>
      </c>
      <c r="I3837" s="1" t="str">
        <f>IFERROR(__xludf.DUMMYFUNCTION("""COMPUTED_VALUE"""),"Recibido en Laboratorio")</f>
        <v>Recibido en Laboratorio</v>
      </c>
      <c r="J3837" s="1">
        <f t="shared" si="3"/>
        <v>2</v>
      </c>
      <c r="K3837" s="1" t="str">
        <f t="shared" si="4"/>
        <v>Nuestro Laboratorio esta trabajando en tus lentes, los entregaremos en la fecha acordada.</v>
      </c>
    </row>
    <row r="3838">
      <c r="A3838" s="1" t="str">
        <f>IFERROR(__xludf.DUMMYFUNCTION("""COMPUTED_VALUE"""),"QR88401")</f>
        <v>QR88401</v>
      </c>
      <c r="B3838" s="5">
        <f>IFERROR(__xludf.DUMMYFUNCTION("""COMPUTED_VALUE"""),45007.3612991088)</f>
        <v>45007.3613</v>
      </c>
      <c r="C3838" s="1" t="str">
        <f>IFERROR(__xludf.DUMMYFUNCTION("""COMPUTED_VALUE"""),"AVACA MARTINA GUADALUPE AHUMADA ANDREA (PROGRAMA MEDICINA DEL INTERIOR GOB)")</f>
        <v>AVACA MARTINA GUADALUPE AHUMADA ANDREA (PROGRAMA MEDICINA DEL INTERIOR GOB)</v>
      </c>
      <c r="D3838" s="1" t="str">
        <f>IFERROR(__xludf.DUMMYFUNCTION("""COMPUTED_VALUE"""),"Lentes de STOCK")</f>
        <v>Lentes de STOCK</v>
      </c>
      <c r="E3838" s="1" t="str">
        <f>IFERROR(__xludf.DUMMYFUNCTION("""COMPUTED_VALUE"""),"Online ADMIN.")</f>
        <v>Online ADMIN.</v>
      </c>
      <c r="F3838" s="1" t="str">
        <f t="shared" si="1"/>
        <v>Online </v>
      </c>
      <c r="G3838" s="1" t="str">
        <f t="shared" si="2"/>
        <v>ADMIN.</v>
      </c>
      <c r="H3838" s="1" t="str">
        <f>IFERROR(__xludf.DUMMYFUNCTION("""COMPUTED_VALUE"""),"24/3/2023, 15:00:00")</f>
        <v>24/3/2023, 15:00:00</v>
      </c>
      <c r="I3838" s="1" t="str">
        <f>IFERROR(__xludf.DUMMYFUNCTION("""COMPUTED_VALUE"""),"Recibido en Laboratorio")</f>
        <v>Recibido en Laboratorio</v>
      </c>
      <c r="J3838" s="1">
        <f t="shared" si="3"/>
        <v>2</v>
      </c>
      <c r="K3838" s="1" t="str">
        <f t="shared" si="4"/>
        <v>Nuestro Laboratorio esta trabajando en tus lentes, los entregaremos en la fecha acordada.</v>
      </c>
    </row>
    <row r="3839">
      <c r="A3839" s="1" t="str">
        <f>IFERROR(__xludf.DUMMYFUNCTION("""COMPUTED_VALUE"""),"QR88402")</f>
        <v>QR88402</v>
      </c>
      <c r="B3839" s="5">
        <f>IFERROR(__xludf.DUMMYFUNCTION("""COMPUTED_VALUE"""),45007.3624830787)</f>
        <v>45007.36248</v>
      </c>
      <c r="C3839" s="1" t="str">
        <f>IFERROR(__xludf.DUMMYFUNCTION("""COMPUTED_VALUE"""),"CAMPOS SELFA AHUMADA ANDREA (PROGRAMA MEDICINA DEL INTERIOR GOB)")</f>
        <v>CAMPOS SELFA AHUMADA ANDREA (PROGRAMA MEDICINA DEL INTERIOR GOB)</v>
      </c>
      <c r="D3839" s="1" t="str">
        <f>IFERROR(__xludf.DUMMYFUNCTION("""COMPUTED_VALUE"""),"Lentes de STOCK")</f>
        <v>Lentes de STOCK</v>
      </c>
      <c r="E3839" s="1" t="str">
        <f>IFERROR(__xludf.DUMMYFUNCTION("""COMPUTED_VALUE"""),"Online ADMIN.")</f>
        <v>Online ADMIN.</v>
      </c>
      <c r="F3839" s="1" t="str">
        <f t="shared" si="1"/>
        <v>Online </v>
      </c>
      <c r="G3839" s="1" t="str">
        <f t="shared" si="2"/>
        <v>ADMIN.</v>
      </c>
      <c r="H3839" s="1" t="str">
        <f>IFERROR(__xludf.DUMMYFUNCTION("""COMPUTED_VALUE"""),"24/3/2023, 15:00:00")</f>
        <v>24/3/2023, 15:00:00</v>
      </c>
      <c r="I3839" s="1" t="str">
        <f>IFERROR(__xludf.DUMMYFUNCTION("""COMPUTED_VALUE"""),"Recibido en Laboratorio")</f>
        <v>Recibido en Laboratorio</v>
      </c>
      <c r="J3839" s="1">
        <f t="shared" si="3"/>
        <v>2</v>
      </c>
      <c r="K3839" s="1" t="str">
        <f t="shared" si="4"/>
        <v>Nuestro Laboratorio esta trabajando en tus lentes, los entregaremos en la fecha acordada.</v>
      </c>
    </row>
    <row r="3840">
      <c r="A3840" s="1" t="str">
        <f>IFERROR(__xludf.DUMMYFUNCTION("""COMPUTED_VALUE"""),"QR88403")</f>
        <v>QR88403</v>
      </c>
      <c r="B3840" s="5">
        <f>IFERROR(__xludf.DUMMYFUNCTION("""COMPUTED_VALUE"""),45007.36323231482)</f>
        <v>45007.36323</v>
      </c>
      <c r="C3840" s="1" t="str">
        <f>IFERROR(__xludf.DUMMYFUNCTION("""COMPUTED_VALUE"""),"FERMANELLI ANGEL FABIAN (PROGRAMA MEDICINA DEL INTERIOR GOB)")</f>
        <v>FERMANELLI ANGEL FABIAN (PROGRAMA MEDICINA DEL INTERIOR GOB)</v>
      </c>
      <c r="D3840" s="1" t="str">
        <f>IFERROR(__xludf.DUMMYFUNCTION("""COMPUTED_VALUE"""),"Lentes de STOCK")</f>
        <v>Lentes de STOCK</v>
      </c>
      <c r="E3840" s="1" t="str">
        <f>IFERROR(__xludf.DUMMYFUNCTION("""COMPUTED_VALUE"""),"Online ADMIN.")</f>
        <v>Online ADMIN.</v>
      </c>
      <c r="F3840" s="1" t="str">
        <f t="shared" si="1"/>
        <v>Online </v>
      </c>
      <c r="G3840" s="1" t="str">
        <f t="shared" si="2"/>
        <v>ADMIN.</v>
      </c>
      <c r="H3840" s="1" t="str">
        <f>IFERROR(__xludf.DUMMYFUNCTION("""COMPUTED_VALUE"""),"24/3/2023, 15:00:00")</f>
        <v>24/3/2023, 15:00:00</v>
      </c>
      <c r="I3840" s="1" t="str">
        <f>IFERROR(__xludf.DUMMYFUNCTION("""COMPUTED_VALUE"""),"Recibido en Laboratorio")</f>
        <v>Recibido en Laboratorio</v>
      </c>
      <c r="J3840" s="1">
        <f t="shared" si="3"/>
        <v>2</v>
      </c>
      <c r="K3840" s="1" t="str">
        <f t="shared" si="4"/>
        <v>Nuestro Laboratorio esta trabajando en tus lentes, los entregaremos en la fecha acordada.</v>
      </c>
    </row>
    <row r="3841">
      <c r="A3841" s="1" t="str">
        <f>IFERROR(__xludf.DUMMYFUNCTION("""COMPUTED_VALUE"""),"QR88404")</f>
        <v>QR88404</v>
      </c>
      <c r="B3841" s="5">
        <f>IFERROR(__xludf.DUMMYFUNCTION("""COMPUTED_VALUE"""),45007.363941759264)</f>
        <v>45007.36394</v>
      </c>
      <c r="C3841" s="1" t="str">
        <f>IFERROR(__xludf.DUMMYFUNCTION("""COMPUTED_VALUE"""),"FIGUEROA LUISANA (PROGRAMA MEDICINA DEL INTERIOR GOB)")</f>
        <v>FIGUEROA LUISANA (PROGRAMA MEDICINA DEL INTERIOR GOB)</v>
      </c>
      <c r="D3841" s="1" t="str">
        <f>IFERROR(__xludf.DUMMYFUNCTION("""COMPUTED_VALUE"""),"Lentes de STOCK")</f>
        <v>Lentes de STOCK</v>
      </c>
      <c r="E3841" s="1" t="str">
        <f>IFERROR(__xludf.DUMMYFUNCTION("""COMPUTED_VALUE"""),"Online ADMIN.")</f>
        <v>Online ADMIN.</v>
      </c>
      <c r="F3841" s="1" t="str">
        <f t="shared" si="1"/>
        <v>Online </v>
      </c>
      <c r="G3841" s="1" t="str">
        <f t="shared" si="2"/>
        <v>ADMIN.</v>
      </c>
      <c r="H3841" s="1" t="str">
        <f>IFERROR(__xludf.DUMMYFUNCTION("""COMPUTED_VALUE"""),"24/3/2023, 15:00:00")</f>
        <v>24/3/2023, 15:00:00</v>
      </c>
      <c r="I3841" s="1" t="str">
        <f>IFERROR(__xludf.DUMMYFUNCTION("""COMPUTED_VALUE"""),"Recibido en Laboratorio")</f>
        <v>Recibido en Laboratorio</v>
      </c>
      <c r="J3841" s="1">
        <f t="shared" si="3"/>
        <v>2</v>
      </c>
      <c r="K3841" s="1" t="str">
        <f t="shared" si="4"/>
        <v>Nuestro Laboratorio esta trabajando en tus lentes, los entregaremos en la fecha acordada.</v>
      </c>
    </row>
    <row r="3842">
      <c r="A3842" s="1" t="str">
        <f>IFERROR(__xludf.DUMMYFUNCTION("""COMPUTED_VALUE"""),"QR88405")</f>
        <v>QR88405</v>
      </c>
      <c r="B3842" s="5">
        <f>IFERROR(__xludf.DUMMYFUNCTION("""COMPUTED_VALUE"""),45007.36468737268)</f>
        <v>45007.36469</v>
      </c>
      <c r="C3842" s="1" t="str">
        <f>IFERROR(__xludf.DUMMYFUNCTION("""COMPUTED_VALUE"""),"GARAMENDI FLORES SANDYBEL (PROGRAMA MEDICINA DEL INTERIOR GOB)")</f>
        <v>GARAMENDI FLORES SANDYBEL (PROGRAMA MEDICINA DEL INTERIOR GOB)</v>
      </c>
      <c r="D3842" s="1" t="str">
        <f>IFERROR(__xludf.DUMMYFUNCTION("""COMPUTED_VALUE"""),"Lentes de LABORATORIO")</f>
        <v>Lentes de LABORATORIO</v>
      </c>
      <c r="E3842" s="1" t="str">
        <f>IFERROR(__xludf.DUMMYFUNCTION("""COMPUTED_VALUE"""),"Online ADMIN.")</f>
        <v>Online ADMIN.</v>
      </c>
      <c r="F3842" s="1" t="str">
        <f t="shared" si="1"/>
        <v>Online </v>
      </c>
      <c r="G3842" s="1" t="str">
        <f t="shared" si="2"/>
        <v>ADMIN.</v>
      </c>
      <c r="H3842" s="1" t="str">
        <f>IFERROR(__xludf.DUMMYFUNCTION("""COMPUTED_VALUE"""),"29/3/2023, 15:00:00")</f>
        <v>29/3/2023, 15:00:00</v>
      </c>
      <c r="I3842" s="1" t="str">
        <f>IFERROR(__xludf.DUMMYFUNCTION("""COMPUTED_VALUE"""),"Recibido en Laboratorio")</f>
        <v>Recibido en Laboratorio</v>
      </c>
      <c r="J3842" s="1">
        <f t="shared" si="3"/>
        <v>2</v>
      </c>
      <c r="K3842" s="1" t="str">
        <f t="shared" si="4"/>
        <v>Nuestro Laboratorio esta trabajando en tus lentes, los entregaremos en la fecha acordada.</v>
      </c>
    </row>
    <row r="3843">
      <c r="A3843" s="1" t="str">
        <f>IFERROR(__xludf.DUMMYFUNCTION("""COMPUTED_VALUE"""),"QR88406")</f>
        <v>QR88406</v>
      </c>
      <c r="B3843" s="5">
        <f>IFERROR(__xludf.DUMMYFUNCTION("""COMPUTED_VALUE"""),45007.36529311343)</f>
        <v>45007.36529</v>
      </c>
      <c r="C3843" s="1" t="str">
        <f>IFERROR(__xludf.DUMMYFUNCTION("""COMPUTED_VALUE"""),"LEGUIZAMON BAUTISTA (PROGRAMA MEDICINA DEL INTERIOR GOB)")</f>
        <v>LEGUIZAMON BAUTISTA (PROGRAMA MEDICINA DEL INTERIOR GOB)</v>
      </c>
      <c r="D3843" s="1" t="str">
        <f>IFERROR(__xludf.DUMMYFUNCTION("""COMPUTED_VALUE"""),"Lentes de LABORATORIO")</f>
        <v>Lentes de LABORATORIO</v>
      </c>
      <c r="E3843" s="1" t="str">
        <f>IFERROR(__xludf.DUMMYFUNCTION("""COMPUTED_VALUE"""),"Online ADMIN.")</f>
        <v>Online ADMIN.</v>
      </c>
      <c r="F3843" s="1" t="str">
        <f t="shared" si="1"/>
        <v>Online </v>
      </c>
      <c r="G3843" s="1" t="str">
        <f t="shared" si="2"/>
        <v>ADMIN.</v>
      </c>
      <c r="H3843" s="1" t="str">
        <f>IFERROR(__xludf.DUMMYFUNCTION("""COMPUTED_VALUE"""),"29/3/2023, 15:00:00")</f>
        <v>29/3/2023, 15:00:00</v>
      </c>
      <c r="I3843" s="1"/>
      <c r="J3843" s="1">
        <f t="shared" si="3"/>
        <v>0</v>
      </c>
      <c r="K3843" s="1" t="str">
        <f t="shared" si="4"/>
        <v/>
      </c>
    </row>
    <row r="3844">
      <c r="A3844" s="1" t="str">
        <f>IFERROR(__xludf.DUMMYFUNCTION("""COMPUTED_VALUE"""),"QR88407")</f>
        <v>QR88407</v>
      </c>
      <c r="B3844" s="5">
        <f>IFERROR(__xludf.DUMMYFUNCTION("""COMPUTED_VALUE"""),45007.365800451385)</f>
        <v>45007.3658</v>
      </c>
      <c r="C3844" s="1" t="str">
        <f>IFERROR(__xludf.DUMMYFUNCTION("""COMPUTED_VALUE"""),"MAGALLANES DALIA MARISA (PROGRAMA MEDICINA DEL INTERIOR GOB)")</f>
        <v>MAGALLANES DALIA MARISA (PROGRAMA MEDICINA DEL INTERIOR GOB)</v>
      </c>
      <c r="D3844" s="1" t="str">
        <f>IFERROR(__xludf.DUMMYFUNCTION("""COMPUTED_VALUE"""),"Lentes de STOCK")</f>
        <v>Lentes de STOCK</v>
      </c>
      <c r="E3844" s="1" t="str">
        <f>IFERROR(__xludf.DUMMYFUNCTION("""COMPUTED_VALUE"""),"Online ADMIN.")</f>
        <v>Online ADMIN.</v>
      </c>
      <c r="F3844" s="1" t="str">
        <f t="shared" si="1"/>
        <v>Online </v>
      </c>
      <c r="G3844" s="1" t="str">
        <f t="shared" si="2"/>
        <v>ADMIN.</v>
      </c>
      <c r="H3844" s="1" t="str">
        <f>IFERROR(__xludf.DUMMYFUNCTION("""COMPUTED_VALUE"""),"24/3/2023, 15:00:00")</f>
        <v>24/3/2023, 15:00:00</v>
      </c>
      <c r="I3844" s="1" t="str">
        <f>IFERROR(__xludf.DUMMYFUNCTION("""COMPUTED_VALUE"""),"Recibido en Laboratorio")</f>
        <v>Recibido en Laboratorio</v>
      </c>
      <c r="J3844" s="1">
        <f t="shared" si="3"/>
        <v>2</v>
      </c>
      <c r="K3844" s="1" t="str">
        <f t="shared" si="4"/>
        <v>Nuestro Laboratorio esta trabajando en tus lentes, los entregaremos en la fecha acordada.</v>
      </c>
    </row>
    <row r="3845">
      <c r="A3845" s="1" t="str">
        <f>IFERROR(__xludf.DUMMYFUNCTION("""COMPUTED_VALUE"""),"QR88408")</f>
        <v>QR88408</v>
      </c>
      <c r="B3845" s="5">
        <f>IFERROR(__xludf.DUMMYFUNCTION("""COMPUTED_VALUE"""),45007.36637913194)</f>
        <v>45007.36638</v>
      </c>
      <c r="C3845" s="1" t="str">
        <f>IFERROR(__xludf.DUMMYFUNCTION("""COMPUTED_VALUE"""),"MAGALLANES ELIZABETH (PROGRAMA MEDICINA DEL INTERIOR GOB)")</f>
        <v>MAGALLANES ELIZABETH (PROGRAMA MEDICINA DEL INTERIOR GOB)</v>
      </c>
      <c r="D3845" s="1" t="str">
        <f>IFERROR(__xludf.DUMMYFUNCTION("""COMPUTED_VALUE"""),"Lentes de STOCK")</f>
        <v>Lentes de STOCK</v>
      </c>
      <c r="E3845" s="1" t="str">
        <f>IFERROR(__xludf.DUMMYFUNCTION("""COMPUTED_VALUE"""),"Online ADMIN.")</f>
        <v>Online ADMIN.</v>
      </c>
      <c r="F3845" s="1" t="str">
        <f t="shared" si="1"/>
        <v>Online </v>
      </c>
      <c r="G3845" s="1" t="str">
        <f t="shared" si="2"/>
        <v>ADMIN.</v>
      </c>
      <c r="H3845" s="1" t="str">
        <f>IFERROR(__xludf.DUMMYFUNCTION("""COMPUTED_VALUE"""),"24/3/2023, 15:00:00")</f>
        <v>24/3/2023, 15:00:00</v>
      </c>
      <c r="I3845" s="1" t="str">
        <f>IFERROR(__xludf.DUMMYFUNCTION("""COMPUTED_VALUE"""),"Recibido en Laboratorio")</f>
        <v>Recibido en Laboratorio</v>
      </c>
      <c r="J3845" s="1">
        <f t="shared" si="3"/>
        <v>2</v>
      </c>
      <c r="K3845" s="1" t="str">
        <f t="shared" si="4"/>
        <v>Nuestro Laboratorio esta trabajando en tus lentes, los entregaremos en la fecha acordada.</v>
      </c>
    </row>
    <row r="3846">
      <c r="A3846" s="1" t="str">
        <f>IFERROR(__xludf.DUMMYFUNCTION("""COMPUTED_VALUE"""),"QR88409")</f>
        <v>QR88409</v>
      </c>
      <c r="B3846" s="5">
        <f>IFERROR(__xludf.DUMMYFUNCTION("""COMPUTED_VALUE"""),45007.36691831019)</f>
        <v>45007.36692</v>
      </c>
      <c r="C3846" s="1" t="str">
        <f>IFERROR(__xludf.DUMMYFUNCTION("""COMPUTED_VALUE"""),"MAGALLANES GIL ESMERALDA")</f>
        <v>MAGALLANES GIL ESMERALDA</v>
      </c>
      <c r="D3846" s="1" t="str">
        <f>IFERROR(__xludf.DUMMYFUNCTION("""COMPUTED_VALUE"""),"Lentes de STOCK")</f>
        <v>Lentes de STOCK</v>
      </c>
      <c r="E3846" s="1" t="str">
        <f>IFERROR(__xludf.DUMMYFUNCTION("""COMPUTED_VALUE"""),"Online ADMIN.")</f>
        <v>Online ADMIN.</v>
      </c>
      <c r="F3846" s="1" t="str">
        <f t="shared" si="1"/>
        <v>Online </v>
      </c>
      <c r="G3846" s="1" t="str">
        <f t="shared" si="2"/>
        <v>ADMIN.</v>
      </c>
      <c r="H3846" s="1" t="str">
        <f>IFERROR(__xludf.DUMMYFUNCTION("""COMPUTED_VALUE"""),"24/3/2023, 15:00:00")</f>
        <v>24/3/2023, 15:00:00</v>
      </c>
      <c r="I3846" s="1" t="str">
        <f>IFERROR(__xludf.DUMMYFUNCTION("""COMPUTED_VALUE"""),"Recibido en Laboratorio")</f>
        <v>Recibido en Laboratorio</v>
      </c>
      <c r="J3846" s="1">
        <f t="shared" si="3"/>
        <v>2</v>
      </c>
      <c r="K3846" s="1" t="str">
        <f t="shared" si="4"/>
        <v>Nuestro Laboratorio esta trabajando en tus lentes, los entregaremos en la fecha acordada.</v>
      </c>
    </row>
    <row r="3847">
      <c r="A3847" s="1" t="str">
        <f>IFERROR(__xludf.DUMMYFUNCTION("""COMPUTED_VALUE"""),"QR88410")</f>
        <v>QR88410</v>
      </c>
      <c r="B3847" s="5">
        <f>IFERROR(__xludf.DUMMYFUNCTION("""COMPUTED_VALUE"""),45007.367533055556)</f>
        <v>45007.36753</v>
      </c>
      <c r="C3847" s="1" t="str">
        <f>IFERROR(__xludf.DUMMYFUNCTION("""COMPUTED_VALUE"""),"MIRANDA CARLOS FABIAN (PROGRAMA MEDICINA DEL INTERIOR GOB)")</f>
        <v>MIRANDA CARLOS FABIAN (PROGRAMA MEDICINA DEL INTERIOR GOB)</v>
      </c>
      <c r="D3847" s="1" t="str">
        <f>IFERROR(__xludf.DUMMYFUNCTION("""COMPUTED_VALUE"""),"Lentes de STOCK")</f>
        <v>Lentes de STOCK</v>
      </c>
      <c r="E3847" s="1" t="str">
        <f>IFERROR(__xludf.DUMMYFUNCTION("""COMPUTED_VALUE"""),"Online ADMIN.")</f>
        <v>Online ADMIN.</v>
      </c>
      <c r="F3847" s="1" t="str">
        <f t="shared" si="1"/>
        <v>Online </v>
      </c>
      <c r="G3847" s="1" t="str">
        <f t="shared" si="2"/>
        <v>ADMIN.</v>
      </c>
      <c r="H3847" s="1" t="str">
        <f>IFERROR(__xludf.DUMMYFUNCTION("""COMPUTED_VALUE"""),"24/3/2023, 15:00:00")</f>
        <v>24/3/2023, 15:00:00</v>
      </c>
      <c r="I3847" s="1" t="str">
        <f>IFERROR(__xludf.DUMMYFUNCTION("""COMPUTED_VALUE"""),"Recibido en Laboratorio")</f>
        <v>Recibido en Laboratorio</v>
      </c>
      <c r="J3847" s="1">
        <f t="shared" si="3"/>
        <v>2</v>
      </c>
      <c r="K3847" s="1" t="str">
        <f t="shared" si="4"/>
        <v>Nuestro Laboratorio esta trabajando en tus lentes, los entregaremos en la fecha acordada.</v>
      </c>
    </row>
    <row r="3848">
      <c r="A3848" s="1" t="str">
        <f>IFERROR(__xludf.DUMMYFUNCTION("""COMPUTED_VALUE"""),"QR88411")</f>
        <v>QR88411</v>
      </c>
      <c r="B3848" s="5">
        <f>IFERROR(__xludf.DUMMYFUNCTION("""COMPUTED_VALUE"""),45007.36820423611)</f>
        <v>45007.3682</v>
      </c>
      <c r="C3848" s="1" t="str">
        <f>IFERROR(__xludf.DUMMYFUNCTION("""COMPUTED_VALUE"""),"RODRIGUEZ ANDREA LAURA (PROGRAMA MEDICINA DEL INTERIOR GOB)")</f>
        <v>RODRIGUEZ ANDREA LAURA (PROGRAMA MEDICINA DEL INTERIOR GOB)</v>
      </c>
      <c r="D3848" s="1" t="str">
        <f>IFERROR(__xludf.DUMMYFUNCTION("""COMPUTED_VALUE"""),"Lentes de STOCK")</f>
        <v>Lentes de STOCK</v>
      </c>
      <c r="E3848" s="1" t="str">
        <f>IFERROR(__xludf.DUMMYFUNCTION("""COMPUTED_VALUE"""),"Online ADMIN.")</f>
        <v>Online ADMIN.</v>
      </c>
      <c r="F3848" s="1" t="str">
        <f t="shared" si="1"/>
        <v>Online </v>
      </c>
      <c r="G3848" s="1" t="str">
        <f t="shared" si="2"/>
        <v>ADMIN.</v>
      </c>
      <c r="H3848" s="1" t="str">
        <f>IFERROR(__xludf.DUMMYFUNCTION("""COMPUTED_VALUE"""),"24/3/2023, 15:00:00")</f>
        <v>24/3/2023, 15:00:00</v>
      </c>
      <c r="I3848" s="1" t="str">
        <f>IFERROR(__xludf.DUMMYFUNCTION("""COMPUTED_VALUE"""),"Recibido en Laboratorio")</f>
        <v>Recibido en Laboratorio</v>
      </c>
      <c r="J3848" s="1">
        <f t="shared" si="3"/>
        <v>2</v>
      </c>
      <c r="K3848" s="1" t="str">
        <f t="shared" si="4"/>
        <v>Nuestro Laboratorio esta trabajando en tus lentes, los entregaremos en la fecha acordada.</v>
      </c>
    </row>
    <row r="3849">
      <c r="A3849" s="1" t="str">
        <f>IFERROR(__xludf.DUMMYFUNCTION("""COMPUTED_VALUE"""),"QR88412")</f>
        <v>QR88412</v>
      </c>
      <c r="B3849" s="5">
        <f>IFERROR(__xludf.DUMMYFUNCTION("""COMPUTED_VALUE"""),45007.368796967596)</f>
        <v>45007.3688</v>
      </c>
      <c r="C3849" s="1" t="str">
        <f>IFERROR(__xludf.DUMMYFUNCTION("""COMPUTED_VALUE"""),"SUAREZ JUANA ELIZA (PROGRAMA MEDICINA DEL INTERIOR GOB)")</f>
        <v>SUAREZ JUANA ELIZA (PROGRAMA MEDICINA DEL INTERIOR GOB)</v>
      </c>
      <c r="D3849" s="1" t="str">
        <f>IFERROR(__xludf.DUMMYFUNCTION("""COMPUTED_VALUE"""),"Lentes de STOCK")</f>
        <v>Lentes de STOCK</v>
      </c>
      <c r="E3849" s="1" t="str">
        <f>IFERROR(__xludf.DUMMYFUNCTION("""COMPUTED_VALUE"""),"Online ADMIN.")</f>
        <v>Online ADMIN.</v>
      </c>
      <c r="F3849" s="1" t="str">
        <f t="shared" si="1"/>
        <v>Online </v>
      </c>
      <c r="G3849" s="1" t="str">
        <f t="shared" si="2"/>
        <v>ADMIN.</v>
      </c>
      <c r="H3849" s="1" t="str">
        <f>IFERROR(__xludf.DUMMYFUNCTION("""COMPUTED_VALUE"""),"24/3/2023, 15:00:00")</f>
        <v>24/3/2023, 15:00:00</v>
      </c>
      <c r="I3849" s="1" t="str">
        <f>IFERROR(__xludf.DUMMYFUNCTION("""COMPUTED_VALUE"""),"Recibido en Laboratorio")</f>
        <v>Recibido en Laboratorio</v>
      </c>
      <c r="J3849" s="1">
        <f t="shared" si="3"/>
        <v>2</v>
      </c>
      <c r="K3849" s="1" t="str">
        <f t="shared" si="4"/>
        <v>Nuestro Laboratorio esta trabajando en tus lentes, los entregaremos en la fecha acordada.</v>
      </c>
    </row>
    <row r="3850">
      <c r="A3850" s="1">
        <f>IFERROR(__xludf.DUMMYFUNCTION("""COMPUTED_VALUE"""),88413.0)</f>
        <v>88413</v>
      </c>
      <c r="B3850" s="5">
        <f>IFERROR(__xludf.DUMMYFUNCTION("""COMPUTED_VALUE"""),45007.37199944444)</f>
        <v>45007.372</v>
      </c>
      <c r="C3850" s="1" t="str">
        <f>IFERROR(__xludf.DUMMYFUNCTION("""COMPUTED_VALUE"""),"TEST")</f>
        <v>TEST</v>
      </c>
      <c r="D3850" s="1" t="str">
        <f>IFERROR(__xludf.DUMMYFUNCTION("""COMPUTED_VALUE"""),"Reparaciones/Otros")</f>
        <v>Reparaciones/Otros</v>
      </c>
      <c r="E3850" s="1" t="str">
        <f>IFERROR(__xludf.DUMMYFUNCTION("""COMPUTED_VALUE"""),"Online ADMIN.")</f>
        <v>Online ADMIN.</v>
      </c>
      <c r="F3850" s="1" t="str">
        <f t="shared" si="1"/>
        <v>Online </v>
      </c>
      <c r="G3850" s="1" t="str">
        <f t="shared" si="2"/>
        <v>ADMIN.</v>
      </c>
      <c r="H3850" s="1" t="str">
        <f>IFERROR(__xludf.DUMMYFUNCTION("""COMPUTED_VALUE"""),"23/3/2023, 15:00:00")</f>
        <v>23/3/2023, 15:00:00</v>
      </c>
      <c r="I3850" s="1"/>
      <c r="J3850" s="1">
        <f t="shared" si="3"/>
        <v>0</v>
      </c>
      <c r="K3850" s="1" t="str">
        <f t="shared" si="4"/>
        <v/>
      </c>
    </row>
    <row r="3851">
      <c r="A3851" s="1">
        <f>IFERROR(__xludf.DUMMYFUNCTION("""COMPUTED_VALUE"""),88414.0)</f>
        <v>88414</v>
      </c>
      <c r="B3851" s="5">
        <f>IFERROR(__xludf.DUMMYFUNCTION("""COMPUTED_VALUE"""),45007.38612087963)</f>
        <v>45007.38612</v>
      </c>
      <c r="C3851" s="1" t="str">
        <f>IFERROR(__xludf.DUMMYFUNCTION("""COMPUTED_VALUE"""),"SORIA GUADALUPE")</f>
        <v>SORIA GUADALUPE</v>
      </c>
      <c r="D3851" s="1" t="str">
        <f>IFERROR(__xludf.DUMMYFUNCTION("""COMPUTED_VALUE"""),"Lentes de STOCK")</f>
        <v>Lentes de STOCK</v>
      </c>
      <c r="E3851" s="1" t="str">
        <f>IFERROR(__xludf.DUMMYFUNCTION("""COMPUTED_VALUE"""),"ARTIGAS Roció")</f>
        <v>ARTIGAS Roció</v>
      </c>
      <c r="F3851" s="1" t="str">
        <f t="shared" si="1"/>
        <v>ARTIGAS </v>
      </c>
      <c r="G3851" s="1" t="str">
        <f t="shared" si="2"/>
        <v>Roció</v>
      </c>
      <c r="H3851" s="1" t="str">
        <f>IFERROR(__xludf.DUMMYFUNCTION("""COMPUTED_VALUE"""),"30/3/2023, 17:00:00")</f>
        <v>30/3/2023, 17:00:00</v>
      </c>
      <c r="I3851" s="1" t="str">
        <f>IFERROR(__xludf.DUMMYFUNCTION("""COMPUTED_VALUE"""),"RETIRADO OK POR CLIENTE")</f>
        <v>RETIRADO OK POR CLIENTE</v>
      </c>
      <c r="J3851" s="1">
        <f t="shared" si="3"/>
        <v>6</v>
      </c>
      <c r="K3851" s="1" t="str">
        <f t="shared" si="4"/>
        <v>Entregamos tus lentes, que los disfrutes!</v>
      </c>
    </row>
    <row r="3852">
      <c r="A3852" s="1">
        <f>IFERROR(__xludf.DUMMYFUNCTION("""COMPUTED_VALUE"""),88415.0)</f>
        <v>88415</v>
      </c>
      <c r="B3852" s="5">
        <f>IFERROR(__xludf.DUMMYFUNCTION("""COMPUTED_VALUE"""),45007.38858886574)</f>
        <v>45007.38859</v>
      </c>
      <c r="C3852" s="1" t="str">
        <f>IFERROR(__xludf.DUMMYFUNCTION("""COMPUTED_VALUE"""),"PEREZ BLANCA")</f>
        <v>PEREZ BLANCA</v>
      </c>
      <c r="D3852" s="1" t="str">
        <f>IFERROR(__xludf.DUMMYFUNCTION("""COMPUTED_VALUE"""),"Lentes de STOCK")</f>
        <v>Lentes de STOCK</v>
      </c>
      <c r="E3852" s="1" t="str">
        <f>IFERROR(__xludf.DUMMYFUNCTION("""COMPUTED_VALUE"""),"ARTIGAS Ivana P.")</f>
        <v>ARTIGAS Ivana P.</v>
      </c>
      <c r="F3852" s="1" t="str">
        <f t="shared" si="1"/>
        <v>ARTIGAS </v>
      </c>
      <c r="G3852" s="1" t="str">
        <f t="shared" si="2"/>
        <v>Ivana P.</v>
      </c>
      <c r="H3852" s="1" t="str">
        <f>IFERROR(__xludf.DUMMYFUNCTION("""COMPUTED_VALUE"""),"25/3/2023, 17:00:00")</f>
        <v>25/3/2023, 17:00:00</v>
      </c>
      <c r="I3852" s="1" t="str">
        <f>IFERROR(__xludf.DUMMYFUNCTION("""COMPUTED_VALUE"""),"RETIRADO OK POR CLIENTE")</f>
        <v>RETIRADO OK POR CLIENTE</v>
      </c>
      <c r="J3852" s="1">
        <f t="shared" si="3"/>
        <v>6</v>
      </c>
      <c r="K3852" s="1" t="str">
        <f t="shared" si="4"/>
        <v>Entregamos tus lentes, que los disfrutes!</v>
      </c>
    </row>
    <row r="3853">
      <c r="A3853" s="1">
        <f>IFERROR(__xludf.DUMMYFUNCTION("""COMPUTED_VALUE"""),88416.0)</f>
        <v>88416</v>
      </c>
      <c r="B3853" s="5">
        <f>IFERROR(__xludf.DUMMYFUNCTION("""COMPUTED_VALUE"""),45007.392603217595)</f>
        <v>45007.3926</v>
      </c>
      <c r="C3853" s="1" t="str">
        <f>IFERROR(__xludf.DUMMYFUNCTION("""COMPUTED_VALUE"""),"THOMAS PEDRO")</f>
        <v>THOMAS PEDRO</v>
      </c>
      <c r="D3853" s="1" t="str">
        <f>IFERROR(__xludf.DUMMYFUNCTION("""COMPUTED_VALUE"""),"Reparaciones/Otros")</f>
        <v>Reparaciones/Otros</v>
      </c>
      <c r="E3853" s="1" t="str">
        <f>IFERROR(__xludf.DUMMYFUNCTION("""COMPUTED_VALUE"""),"RIVADAVIA Marcela L")</f>
        <v>RIVADAVIA Marcela L</v>
      </c>
      <c r="F3853" s="1" t="str">
        <f t="shared" si="1"/>
        <v>RIVADAVIA </v>
      </c>
      <c r="G3853" s="1" t="str">
        <f t="shared" si="2"/>
        <v>Marcela L</v>
      </c>
      <c r="H3853" s="1" t="str">
        <f>IFERROR(__xludf.DUMMYFUNCTION("""COMPUTED_VALUE"""),"23/3/2023, 17:00:00")</f>
        <v>23/3/2023, 17:00:00</v>
      </c>
      <c r="I3853" s="1" t="str">
        <f>IFERROR(__xludf.DUMMYFUNCTION("""COMPUTED_VALUE"""),"Completado en SUCURSAL")</f>
        <v>Completado en SUCURSAL</v>
      </c>
      <c r="J3853" s="1">
        <f t="shared" si="3"/>
        <v>5</v>
      </c>
      <c r="K3853" s="1" t="str">
        <f t="shared" si="4"/>
        <v>Tus Lentes estan LISTAS PARA ENTREGAR, te esperamos.</v>
      </c>
    </row>
    <row r="3854">
      <c r="A3854" s="1">
        <f>IFERROR(__xludf.DUMMYFUNCTION("""COMPUTED_VALUE"""),88417.0)</f>
        <v>88417</v>
      </c>
      <c r="B3854" s="5">
        <f>IFERROR(__xludf.DUMMYFUNCTION("""COMPUTED_VALUE"""),45007.39848116898)</f>
        <v>45007.39848</v>
      </c>
      <c r="C3854" s="1" t="str">
        <f>IFERROR(__xludf.DUMMYFUNCTION("""COMPUTED_VALUE"""),"MERCHANT ANNIE")</f>
        <v>MERCHANT ANNIE</v>
      </c>
      <c r="D3854" s="1" t="str">
        <f>IFERROR(__xludf.DUMMYFUNCTION("""COMPUTED_VALUE"""),"Lentes de STOCK")</f>
        <v>Lentes de STOCK</v>
      </c>
      <c r="E3854" s="1" t="str">
        <f>IFERROR(__xludf.DUMMYFUNCTION("""COMPUTED_VALUE"""),"RIVADAVIA Christian C.")</f>
        <v>RIVADAVIA Christian C.</v>
      </c>
      <c r="F3854" s="1" t="str">
        <f t="shared" si="1"/>
        <v>RIVADAVIA </v>
      </c>
      <c r="G3854" s="1" t="str">
        <f t="shared" si="2"/>
        <v>Christian C.</v>
      </c>
      <c r="H3854" s="1" t="str">
        <f>IFERROR(__xludf.DUMMYFUNCTION("""COMPUTED_VALUE"""),"30/3/2023, 17:00:00")</f>
        <v>30/3/2023, 17:00:00</v>
      </c>
      <c r="I3854" s="1" t="str">
        <f>IFERROR(__xludf.DUMMYFUNCTION("""COMPUTED_VALUE"""),"RETIRADO OK POR CLIENTE")</f>
        <v>RETIRADO OK POR CLIENTE</v>
      </c>
      <c r="J3854" s="1">
        <f t="shared" si="3"/>
        <v>6</v>
      </c>
      <c r="K3854" s="1" t="str">
        <f t="shared" si="4"/>
        <v>Entregamos tus lentes, que los disfrutes!</v>
      </c>
    </row>
    <row r="3855">
      <c r="A3855" s="1">
        <f>IFERROR(__xludf.DUMMYFUNCTION("""COMPUTED_VALUE"""),88418.0)</f>
        <v>88418</v>
      </c>
      <c r="B3855" s="5">
        <f>IFERROR(__xludf.DUMMYFUNCTION("""COMPUTED_VALUE"""),45007.39880263889)</f>
        <v>45007.3988</v>
      </c>
      <c r="C3855" s="1" t="str">
        <f>IFERROR(__xludf.DUMMYFUNCTION("""COMPUTED_VALUE"""),"MAGALLANES NIDIA INES")</f>
        <v>MAGALLANES NIDIA INES</v>
      </c>
      <c r="D3855" s="1" t="str">
        <f>IFERROR(__xludf.DUMMYFUNCTION("""COMPUTED_VALUE"""),"Lentes de STOCK")</f>
        <v>Lentes de STOCK</v>
      </c>
      <c r="E3855" s="1" t="str">
        <f>IFERROR(__xludf.DUMMYFUNCTION("""COMPUTED_VALUE"""),"RIVADAVIA Luciana")</f>
        <v>RIVADAVIA Luciana</v>
      </c>
      <c r="F3855" s="1" t="str">
        <f t="shared" si="1"/>
        <v>RIVADAVIA </v>
      </c>
      <c r="G3855" s="1" t="str">
        <f t="shared" si="2"/>
        <v>Luciana</v>
      </c>
      <c r="H3855" s="1" t="str">
        <f>IFERROR(__xludf.DUMMYFUNCTION("""COMPUTED_VALUE"""),"27/3/2023, 17:00:00")</f>
        <v>27/3/2023, 17:00:00</v>
      </c>
      <c r="I3855" s="1" t="str">
        <f>IFERROR(__xludf.DUMMYFUNCTION("""COMPUTED_VALUE"""),"RETIRADO OK POR CLIENTE")</f>
        <v>RETIRADO OK POR CLIENTE</v>
      </c>
      <c r="J3855" s="1">
        <f t="shared" si="3"/>
        <v>6</v>
      </c>
      <c r="K3855" s="1" t="str">
        <f t="shared" si="4"/>
        <v>Entregamos tus lentes, que los disfrutes!</v>
      </c>
    </row>
    <row r="3856">
      <c r="A3856" s="1">
        <f>IFERROR(__xludf.DUMMYFUNCTION("""COMPUTED_VALUE"""),88419.0)</f>
        <v>88419</v>
      </c>
      <c r="B3856" s="5">
        <f>IFERROR(__xludf.DUMMYFUNCTION("""COMPUTED_VALUE"""),45007.40627315972)</f>
        <v>45007.40627</v>
      </c>
      <c r="C3856" s="1" t="str">
        <f>IFERROR(__xludf.DUMMYFUNCTION("""COMPUTED_VALUE"""),"PACHECO NIDIA")</f>
        <v>PACHECO NIDIA</v>
      </c>
      <c r="D3856" s="1" t="str">
        <f>IFERROR(__xludf.DUMMYFUNCTION("""COMPUTED_VALUE"""),"Lentes de STOCK")</f>
        <v>Lentes de STOCK</v>
      </c>
      <c r="E3856" s="1" t="str">
        <f>IFERROR(__xludf.DUMMYFUNCTION("""COMPUTED_VALUE"""),"ARTIGAS Ivana P.")</f>
        <v>ARTIGAS Ivana P.</v>
      </c>
      <c r="F3856" s="1" t="str">
        <f t="shared" si="1"/>
        <v>ARTIGAS </v>
      </c>
      <c r="G3856" s="1" t="str">
        <f t="shared" si="2"/>
        <v>Ivana P.</v>
      </c>
      <c r="H3856" s="1" t="str">
        <f>IFERROR(__xludf.DUMMYFUNCTION("""COMPUTED_VALUE"""),"28/3/2023, 17:00:00")</f>
        <v>28/3/2023, 17:00:00</v>
      </c>
      <c r="I3856" s="1" t="str">
        <f>IFERROR(__xludf.DUMMYFUNCTION("""COMPUTED_VALUE"""),"RETIRADO OK POR CLIENTE")</f>
        <v>RETIRADO OK POR CLIENTE</v>
      </c>
      <c r="J3856" s="1">
        <f t="shared" si="3"/>
        <v>6</v>
      </c>
      <c r="K3856" s="1" t="str">
        <f t="shared" si="4"/>
        <v>Entregamos tus lentes, que los disfrutes!</v>
      </c>
    </row>
    <row r="3857">
      <c r="A3857" s="1">
        <f>IFERROR(__xludf.DUMMYFUNCTION("""COMPUTED_VALUE"""),88420.0)</f>
        <v>88420</v>
      </c>
      <c r="B3857" s="5">
        <f>IFERROR(__xludf.DUMMYFUNCTION("""COMPUTED_VALUE"""),45007.410234571755)</f>
        <v>45007.41023</v>
      </c>
      <c r="C3857" s="1" t="str">
        <f>IFERROR(__xludf.DUMMYFUNCTION("""COMPUTED_VALUE"""),"DE GIROTI PEDRO")</f>
        <v>DE GIROTI PEDRO</v>
      </c>
      <c r="D3857" s="1" t="str">
        <f>IFERROR(__xludf.DUMMYFUNCTION("""COMPUTED_VALUE"""),"Lentes de STOCK")</f>
        <v>Lentes de STOCK</v>
      </c>
      <c r="E3857" s="1" t="str">
        <f>IFERROR(__xludf.DUMMYFUNCTION("""COMPUTED_VALUE"""),"ARTIGAS Ivana P.")</f>
        <v>ARTIGAS Ivana P.</v>
      </c>
      <c r="F3857" s="1" t="str">
        <f t="shared" si="1"/>
        <v>ARTIGAS </v>
      </c>
      <c r="G3857" s="1" t="str">
        <f t="shared" si="2"/>
        <v>Ivana P.</v>
      </c>
      <c r="H3857" s="1" t="str">
        <f>IFERROR(__xludf.DUMMYFUNCTION("""COMPUTED_VALUE"""),"28/3/2023, 17:00:00")</f>
        <v>28/3/2023, 17:00:00</v>
      </c>
      <c r="I3857" s="1" t="str">
        <f>IFERROR(__xludf.DUMMYFUNCTION("""COMPUTED_VALUE"""),"RETIRADO OK POR CLIENTE")</f>
        <v>RETIRADO OK POR CLIENTE</v>
      </c>
      <c r="J3857" s="1">
        <f t="shared" si="3"/>
        <v>6</v>
      </c>
      <c r="K3857" s="1" t="str">
        <f t="shared" si="4"/>
        <v>Entregamos tus lentes, que los disfrutes!</v>
      </c>
    </row>
    <row r="3858">
      <c r="A3858" s="1">
        <f>IFERROR(__xludf.DUMMYFUNCTION("""COMPUTED_VALUE"""),88421.0)</f>
        <v>88421</v>
      </c>
      <c r="B3858" s="5">
        <f>IFERROR(__xludf.DUMMYFUNCTION("""COMPUTED_VALUE"""),45007.41237795139)</f>
        <v>45007.41238</v>
      </c>
      <c r="C3858" s="1" t="str">
        <f>IFERROR(__xludf.DUMMYFUNCTION("""COMPUTED_VALUE"""),"GARRIDO VANESA DEL CARMEN")</f>
        <v>GARRIDO VANESA DEL CARMEN</v>
      </c>
      <c r="D3858" s="1" t="str">
        <f>IFERROR(__xludf.DUMMYFUNCTION("""COMPUTED_VALUE"""),"Lentes de STOCK")</f>
        <v>Lentes de STOCK</v>
      </c>
      <c r="E3858" s="1" t="str">
        <f>IFERROR(__xludf.DUMMYFUNCTION("""COMPUTED_VALUE"""),"RIVADAVIA Marcela L")</f>
        <v>RIVADAVIA Marcela L</v>
      </c>
      <c r="F3858" s="1" t="str">
        <f t="shared" si="1"/>
        <v>RIVADAVIA </v>
      </c>
      <c r="G3858" s="1" t="str">
        <f t="shared" si="2"/>
        <v>Marcela L</v>
      </c>
      <c r="H3858" s="1" t="str">
        <f>IFERROR(__xludf.DUMMYFUNCTION("""COMPUTED_VALUE"""),"28/3/2023, 17:00:00")</f>
        <v>28/3/2023, 17:00:00</v>
      </c>
      <c r="I3858" s="1" t="str">
        <f>IFERROR(__xludf.DUMMYFUNCTION("""COMPUTED_VALUE"""),"RETIRADO OK POR CLIENTE")</f>
        <v>RETIRADO OK POR CLIENTE</v>
      </c>
      <c r="J3858" s="1">
        <f t="shared" si="3"/>
        <v>6</v>
      </c>
      <c r="K3858" s="1" t="str">
        <f t="shared" si="4"/>
        <v>Entregamos tus lentes, que los disfrutes!</v>
      </c>
    </row>
    <row r="3859">
      <c r="A3859" s="1">
        <f>IFERROR(__xludf.DUMMYFUNCTION("""COMPUTED_VALUE"""),88422.0)</f>
        <v>88422</v>
      </c>
      <c r="B3859" s="5">
        <f>IFERROR(__xludf.DUMMYFUNCTION("""COMPUTED_VALUE"""),45007.41897947917)</f>
        <v>45007.41898</v>
      </c>
      <c r="C3859" s="1" t="str">
        <f>IFERROR(__xludf.DUMMYFUNCTION("""COMPUTED_VALUE"""),"bertin carolina")</f>
        <v>bertin carolina</v>
      </c>
      <c r="D3859" s="1" t="str">
        <f>IFERROR(__xludf.DUMMYFUNCTION("""COMPUTED_VALUE"""),"Lentes de STOCK")</f>
        <v>Lentes de STOCK</v>
      </c>
      <c r="E3859" s="1" t="str">
        <f>IFERROR(__xludf.DUMMYFUNCTION("""COMPUTED_VALUE"""),"RIVADAVIA Santiago N")</f>
        <v>RIVADAVIA Santiago N</v>
      </c>
      <c r="F3859" s="1" t="str">
        <f t="shared" si="1"/>
        <v>RIVADAVIA </v>
      </c>
      <c r="G3859" s="1" t="str">
        <f t="shared" si="2"/>
        <v>Santiago N</v>
      </c>
      <c r="H3859" s="1" t="str">
        <f>IFERROR(__xludf.DUMMYFUNCTION("""COMPUTED_VALUE"""),"25/3/2023, 17:00:00")</f>
        <v>25/3/2023, 17:00:00</v>
      </c>
      <c r="I3859" s="1" t="str">
        <f>IFERROR(__xludf.DUMMYFUNCTION("""COMPUTED_VALUE"""),"Completado en SUCURSAL")</f>
        <v>Completado en SUCURSAL</v>
      </c>
      <c r="J3859" s="1">
        <f t="shared" si="3"/>
        <v>5</v>
      </c>
      <c r="K3859" s="1" t="str">
        <f t="shared" si="4"/>
        <v>Tus Lentes estan LISTAS PARA ENTREGAR, te esperamos.</v>
      </c>
    </row>
    <row r="3860">
      <c r="A3860" s="1">
        <f>IFERROR(__xludf.DUMMYFUNCTION("""COMPUTED_VALUE"""),88423.0)</f>
        <v>88423</v>
      </c>
      <c r="B3860" s="5">
        <f>IFERROR(__xludf.DUMMYFUNCTION("""COMPUTED_VALUE"""),45007.41959471065)</f>
        <v>45007.41959</v>
      </c>
      <c r="C3860" s="1" t="str">
        <f>IFERROR(__xludf.DUMMYFUNCTION("""COMPUTED_VALUE"""),"ANTIANEZ IAN ")</f>
        <v>ANTIANEZ IAN </v>
      </c>
      <c r="D3860" s="1" t="str">
        <f>IFERROR(__xludf.DUMMYFUNCTION("""COMPUTED_VALUE"""),"Reparaciones/Otros")</f>
        <v>Reparaciones/Otros</v>
      </c>
      <c r="E3860" s="1" t="str">
        <f>IFERROR(__xludf.DUMMYFUNCTION("""COMPUTED_VALUE"""),"RIVADAVIA Christian C.")</f>
        <v>RIVADAVIA Christian C.</v>
      </c>
      <c r="F3860" s="1" t="str">
        <f t="shared" si="1"/>
        <v>RIVADAVIA </v>
      </c>
      <c r="G3860" s="1" t="str">
        <f t="shared" si="2"/>
        <v>Christian C.</v>
      </c>
      <c r="H3860" s="1" t="str">
        <f>IFERROR(__xludf.DUMMYFUNCTION("""COMPUTED_VALUE"""),"25/3/2023, 17:00:00")</f>
        <v>25/3/2023, 17:00:00</v>
      </c>
      <c r="I3860" s="1" t="str">
        <f>IFERROR(__xludf.DUMMYFUNCTION("""COMPUTED_VALUE"""),"Completado en SUCURSAL")</f>
        <v>Completado en SUCURSAL</v>
      </c>
      <c r="J3860" s="1">
        <f t="shared" si="3"/>
        <v>5</v>
      </c>
      <c r="K3860" s="1" t="str">
        <f t="shared" si="4"/>
        <v>Tus Lentes estan LISTAS PARA ENTREGAR, te esperamos.</v>
      </c>
    </row>
    <row r="3861">
      <c r="A3861" s="1">
        <f>IFERROR(__xludf.DUMMYFUNCTION("""COMPUTED_VALUE"""),88424.0)</f>
        <v>88424</v>
      </c>
      <c r="B3861" s="5">
        <f>IFERROR(__xludf.DUMMYFUNCTION("""COMPUTED_VALUE"""),45007.42001268519)</f>
        <v>45007.42001</v>
      </c>
      <c r="C3861" s="1" t="str">
        <f>IFERROR(__xludf.DUMMYFUNCTION("""COMPUTED_VALUE"""),"benitez nilda")</f>
        <v>benitez nilda</v>
      </c>
      <c r="D3861" s="1" t="str">
        <f>IFERROR(__xludf.DUMMYFUNCTION("""COMPUTED_VALUE"""),"Reparaciones/Otros")</f>
        <v>Reparaciones/Otros</v>
      </c>
      <c r="E3861" s="1" t="str">
        <f>IFERROR(__xludf.DUMMYFUNCTION("""COMPUTED_VALUE"""),"RIVADAVIA Santiago N")</f>
        <v>RIVADAVIA Santiago N</v>
      </c>
      <c r="F3861" s="1" t="str">
        <f t="shared" si="1"/>
        <v>RIVADAVIA </v>
      </c>
      <c r="G3861" s="1" t="str">
        <f t="shared" si="2"/>
        <v>Santiago N</v>
      </c>
      <c r="H3861" s="1" t="str">
        <f>IFERROR(__xludf.DUMMYFUNCTION("""COMPUTED_VALUE"""),"23/3/2023, 17:00:00")</f>
        <v>23/3/2023, 17:00:00</v>
      </c>
      <c r="I3861" s="1" t="str">
        <f>IFERROR(__xludf.DUMMYFUNCTION("""COMPUTED_VALUE"""),"Completado en SUCURSAL")</f>
        <v>Completado en SUCURSAL</v>
      </c>
      <c r="J3861" s="1">
        <f t="shared" si="3"/>
        <v>5</v>
      </c>
      <c r="K3861" s="1" t="str">
        <f t="shared" si="4"/>
        <v>Tus Lentes estan LISTAS PARA ENTREGAR, te esperamos.</v>
      </c>
    </row>
    <row r="3862">
      <c r="A3862" s="1">
        <f>IFERROR(__xludf.DUMMYFUNCTION("""COMPUTED_VALUE"""),88425.0)</f>
        <v>88425</v>
      </c>
      <c r="B3862" s="5">
        <f>IFERROR(__xludf.DUMMYFUNCTION("""COMPUTED_VALUE"""),45007.42004967593)</f>
        <v>45007.42005</v>
      </c>
      <c r="C3862" s="1" t="str">
        <f>IFERROR(__xludf.DUMMYFUNCTION("""COMPUTED_VALUE"""),"RAMERO VALENTINA")</f>
        <v>RAMERO VALENTINA</v>
      </c>
      <c r="D3862" s="1" t="str">
        <f>IFERROR(__xludf.DUMMYFUNCTION("""COMPUTED_VALUE"""),"Lentes de STOCK")</f>
        <v>Lentes de STOCK</v>
      </c>
      <c r="E3862" s="1" t="str">
        <f>IFERROR(__xludf.DUMMYFUNCTION("""COMPUTED_VALUE"""),"ARTIGAS Ivana P.")</f>
        <v>ARTIGAS Ivana P.</v>
      </c>
      <c r="F3862" s="1" t="str">
        <f t="shared" si="1"/>
        <v>ARTIGAS </v>
      </c>
      <c r="G3862" s="1" t="str">
        <f t="shared" si="2"/>
        <v>Ivana P.</v>
      </c>
      <c r="H3862" s="1" t="str">
        <f>IFERROR(__xludf.DUMMYFUNCTION("""COMPUTED_VALUE"""),"28/3/2023, 17:00:00")</f>
        <v>28/3/2023, 17:00:00</v>
      </c>
      <c r="I3862" s="1" t="str">
        <f>IFERROR(__xludf.DUMMYFUNCTION("""COMPUTED_VALUE"""),"RETIRADO OK POR CLIENTE")</f>
        <v>RETIRADO OK POR CLIENTE</v>
      </c>
      <c r="J3862" s="1">
        <f t="shared" si="3"/>
        <v>6</v>
      </c>
      <c r="K3862" s="1" t="str">
        <f t="shared" si="4"/>
        <v>Entregamos tus lentes, que los disfrutes!</v>
      </c>
    </row>
    <row r="3863">
      <c r="A3863" s="1">
        <f>IFERROR(__xludf.DUMMYFUNCTION("""COMPUTED_VALUE"""),88426.0)</f>
        <v>88426</v>
      </c>
      <c r="B3863" s="5">
        <f>IFERROR(__xludf.DUMMYFUNCTION("""COMPUTED_VALUE"""),45007.42466275463)</f>
        <v>45007.42466</v>
      </c>
      <c r="C3863" s="1" t="str">
        <f>IFERROR(__xludf.DUMMYFUNCTION("""COMPUTED_VALUE"""),"ALBORNOZ LIDIA")</f>
        <v>ALBORNOZ LIDIA</v>
      </c>
      <c r="D3863" s="1" t="str">
        <f>IFERROR(__xludf.DUMMYFUNCTION("""COMPUTED_VALUE"""),"Reparaciones/Otros")</f>
        <v>Reparaciones/Otros</v>
      </c>
      <c r="E3863" s="1" t="str">
        <f>IFERROR(__xludf.DUMMYFUNCTION("""COMPUTED_VALUE"""),"RIVADAVIA Christian C.")</f>
        <v>RIVADAVIA Christian C.</v>
      </c>
      <c r="F3863" s="1" t="str">
        <f t="shared" si="1"/>
        <v>RIVADAVIA </v>
      </c>
      <c r="G3863" s="1" t="str">
        <f t="shared" si="2"/>
        <v>Christian C.</v>
      </c>
      <c r="H3863" s="1" t="str">
        <f>IFERROR(__xludf.DUMMYFUNCTION("""COMPUTED_VALUE"""),"27/3/2023, 17:00:00")</f>
        <v>27/3/2023, 17:00:00</v>
      </c>
      <c r="I3863" s="1" t="str">
        <f>IFERROR(__xludf.DUMMYFUNCTION("""COMPUTED_VALUE"""),"Completado en SUCURSAL")</f>
        <v>Completado en SUCURSAL</v>
      </c>
      <c r="J3863" s="1">
        <f t="shared" si="3"/>
        <v>5</v>
      </c>
      <c r="K3863" s="1" t="str">
        <f t="shared" si="4"/>
        <v>Tus Lentes estan LISTAS PARA ENTREGAR, te esperamos.</v>
      </c>
    </row>
    <row r="3864">
      <c r="A3864" s="1">
        <f>IFERROR(__xludf.DUMMYFUNCTION("""COMPUTED_VALUE"""),88427.0)</f>
        <v>88427</v>
      </c>
      <c r="B3864" s="5">
        <f>IFERROR(__xludf.DUMMYFUNCTION("""COMPUTED_VALUE"""),45007.428582187495)</f>
        <v>45007.42858</v>
      </c>
      <c r="C3864" s="1" t="str">
        <f>IFERROR(__xludf.DUMMYFUNCTION("""COMPUTED_VALUE"""),"Gomez Daniela")</f>
        <v>Gomez Daniela</v>
      </c>
      <c r="D3864" s="1" t="str">
        <f>IFERROR(__xludf.DUMMYFUNCTION("""COMPUTED_VALUE"""),"Reparaciones/Otros")</f>
        <v>Reparaciones/Otros</v>
      </c>
      <c r="E3864" s="1" t="str">
        <f>IFERROR(__xludf.DUMMYFUNCTION("""COMPUTED_VALUE"""),"RIVADAVIA Santiago LOPEZ")</f>
        <v>RIVADAVIA Santiago LOPEZ</v>
      </c>
      <c r="F3864" s="1" t="str">
        <f t="shared" si="1"/>
        <v>RIVADAVIA </v>
      </c>
      <c r="G3864" s="1" t="str">
        <f t="shared" si="2"/>
        <v>Santiago LOPEZ</v>
      </c>
      <c r="H3864" s="1" t="str">
        <f>IFERROR(__xludf.DUMMYFUNCTION("""COMPUTED_VALUE"""),"23/3/2023, 17:00:00")</f>
        <v>23/3/2023, 17:00:00</v>
      </c>
      <c r="I3864" s="1" t="str">
        <f>IFERROR(__xludf.DUMMYFUNCTION("""COMPUTED_VALUE"""),"Completado en SUCURSAL")</f>
        <v>Completado en SUCURSAL</v>
      </c>
      <c r="J3864" s="1">
        <f t="shared" si="3"/>
        <v>5</v>
      </c>
      <c r="K3864" s="1" t="str">
        <f t="shared" si="4"/>
        <v>Tus Lentes estan LISTAS PARA ENTREGAR, te esperamos.</v>
      </c>
    </row>
    <row r="3865">
      <c r="A3865" s="1">
        <f>IFERROR(__xludf.DUMMYFUNCTION("""COMPUTED_VALUE"""),88428.0)</f>
        <v>88428</v>
      </c>
      <c r="B3865" s="5">
        <f>IFERROR(__xludf.DUMMYFUNCTION("""COMPUTED_VALUE"""),45007.43566008101)</f>
        <v>45007.43566</v>
      </c>
      <c r="C3865" s="1" t="str">
        <f>IFERROR(__xludf.DUMMYFUNCTION("""COMPUTED_VALUE"""),"PEGORARO DANA")</f>
        <v>PEGORARO DANA</v>
      </c>
      <c r="D3865" s="1" t="str">
        <f>IFERROR(__xludf.DUMMYFUNCTION("""COMPUTED_VALUE"""),"Lentes de STOCK")</f>
        <v>Lentes de STOCK</v>
      </c>
      <c r="E3865" s="1" t="str">
        <f>IFERROR(__xludf.DUMMYFUNCTION("""COMPUTED_VALUE"""),"RIVADAVIA Santiago LOPEZ")</f>
        <v>RIVADAVIA Santiago LOPEZ</v>
      </c>
      <c r="F3865" s="1" t="str">
        <f t="shared" si="1"/>
        <v>RIVADAVIA </v>
      </c>
      <c r="G3865" s="1" t="str">
        <f t="shared" si="2"/>
        <v>Santiago LOPEZ</v>
      </c>
      <c r="H3865" s="1" t="str">
        <f>IFERROR(__xludf.DUMMYFUNCTION("""COMPUTED_VALUE"""),"29/3/2023, 17:00:00")</f>
        <v>29/3/2023, 17:00:00</v>
      </c>
      <c r="I3865" s="1" t="str">
        <f>IFERROR(__xludf.DUMMYFUNCTION("""COMPUTED_VALUE"""),"RETIRADO OK POR CLIENTE")</f>
        <v>RETIRADO OK POR CLIENTE</v>
      </c>
      <c r="J3865" s="1">
        <f t="shared" si="3"/>
        <v>6</v>
      </c>
      <c r="K3865" s="1" t="str">
        <f t="shared" si="4"/>
        <v>Entregamos tus lentes, que los disfrutes!</v>
      </c>
    </row>
    <row r="3866">
      <c r="A3866" s="1">
        <f>IFERROR(__xludf.DUMMYFUNCTION("""COMPUTED_VALUE"""),88429.0)</f>
        <v>88429</v>
      </c>
      <c r="B3866" s="5">
        <f>IFERROR(__xludf.DUMMYFUNCTION("""COMPUTED_VALUE"""),45007.43678914352)</f>
        <v>45007.43679</v>
      </c>
      <c r="C3866" s="1" t="str">
        <f>IFERROR(__xludf.DUMMYFUNCTION("""COMPUTED_VALUE"""),"ALCARAZ ZULEMA NELLY")</f>
        <v>ALCARAZ ZULEMA NELLY</v>
      </c>
      <c r="D3866" s="1" t="str">
        <f>IFERROR(__xludf.DUMMYFUNCTION("""COMPUTED_VALUE"""),"Lentes BIFOCALES")</f>
        <v>Lentes BIFOCALES</v>
      </c>
      <c r="E3866" s="1" t="str">
        <f>IFERROR(__xludf.DUMMYFUNCTION("""COMPUTED_VALUE"""),"RIVADAVIA Marcela L")</f>
        <v>RIVADAVIA Marcela L</v>
      </c>
      <c r="F3866" s="1" t="str">
        <f t="shared" si="1"/>
        <v>RIVADAVIA </v>
      </c>
      <c r="G3866" s="1" t="str">
        <f t="shared" si="2"/>
        <v>Marcela L</v>
      </c>
      <c r="H3866" s="1" t="str">
        <f>IFERROR(__xludf.DUMMYFUNCTION("""COMPUTED_VALUE"""),"28/3/2023, 17:00:00")</f>
        <v>28/3/2023, 17:00:00</v>
      </c>
      <c r="I3866" s="1" t="str">
        <f>IFERROR(__xludf.DUMMYFUNCTION("""COMPUTED_VALUE"""),"Completado en SUCURSAL")</f>
        <v>Completado en SUCURSAL</v>
      </c>
      <c r="J3866" s="1">
        <f t="shared" si="3"/>
        <v>5</v>
      </c>
      <c r="K3866" s="1" t="str">
        <f t="shared" si="4"/>
        <v>Tus Lentes estan LISTAS PARA ENTREGAR, te esperamos.</v>
      </c>
    </row>
    <row r="3867">
      <c r="A3867" s="1">
        <f>IFERROR(__xludf.DUMMYFUNCTION("""COMPUTED_VALUE"""),88430.0)</f>
        <v>88430</v>
      </c>
      <c r="B3867" s="5">
        <f>IFERROR(__xludf.DUMMYFUNCTION("""COMPUTED_VALUE"""),45007.43795666667)</f>
        <v>45007.43796</v>
      </c>
      <c r="C3867" s="1" t="str">
        <f>IFERROR(__xludf.DUMMYFUNCTION("""COMPUTED_VALUE"""),"CAFASSO CERAFIN CLAUDIO")</f>
        <v>CAFASSO CERAFIN CLAUDIO</v>
      </c>
      <c r="D3867" s="1" t="str">
        <f>IFERROR(__xludf.DUMMYFUNCTION("""COMPUTED_VALUE"""),"Lentes de STOCK")</f>
        <v>Lentes de STOCK</v>
      </c>
      <c r="E3867" s="1" t="str">
        <f>IFERROR(__xludf.DUMMYFUNCTION("""COMPUTED_VALUE"""),"ARTIGAS Roció")</f>
        <v>ARTIGAS Roció</v>
      </c>
      <c r="F3867" s="1" t="str">
        <f t="shared" si="1"/>
        <v>ARTIGAS </v>
      </c>
      <c r="G3867" s="1" t="str">
        <f t="shared" si="2"/>
        <v>Roció</v>
      </c>
      <c r="H3867" s="1" t="str">
        <f>IFERROR(__xludf.DUMMYFUNCTION("""COMPUTED_VALUE"""),"30/3/2023, 17:00:00")</f>
        <v>30/3/2023, 17:00:00</v>
      </c>
      <c r="I3867" s="1" t="str">
        <f>IFERROR(__xludf.DUMMYFUNCTION("""COMPUTED_VALUE"""),"RETIRADO OK POR CLIENTE")</f>
        <v>RETIRADO OK POR CLIENTE</v>
      </c>
      <c r="J3867" s="1">
        <f t="shared" si="3"/>
        <v>6</v>
      </c>
      <c r="K3867" s="1" t="str">
        <f t="shared" si="4"/>
        <v>Entregamos tus lentes, que los disfrutes!</v>
      </c>
    </row>
    <row r="3868">
      <c r="A3868" s="1">
        <f>IFERROR(__xludf.DUMMYFUNCTION("""COMPUTED_VALUE"""),88431.0)</f>
        <v>88431</v>
      </c>
      <c r="B3868" s="5">
        <f>IFERROR(__xludf.DUMMYFUNCTION("""COMPUTED_VALUE"""),45007.441133622684)</f>
        <v>45007.44113</v>
      </c>
      <c r="C3868" s="1" t="str">
        <f>IFERROR(__xludf.DUMMYFUNCTION("""COMPUTED_VALUE"""),"GIMENO LAURA MARIA DEL CARMEN")</f>
        <v>GIMENO LAURA MARIA DEL CARMEN</v>
      </c>
      <c r="D3868" s="1" t="str">
        <f>IFERROR(__xludf.DUMMYFUNCTION("""COMPUTED_VALUE"""),"Lentes de STOCK")</f>
        <v>Lentes de STOCK</v>
      </c>
      <c r="E3868" s="1" t="str">
        <f>IFERROR(__xludf.DUMMYFUNCTION("""COMPUTED_VALUE"""),"RIVADAVIA Christian C.")</f>
        <v>RIVADAVIA Christian C.</v>
      </c>
      <c r="F3868" s="1" t="str">
        <f t="shared" si="1"/>
        <v>RIVADAVIA </v>
      </c>
      <c r="G3868" s="1" t="str">
        <f t="shared" si="2"/>
        <v>Christian C.</v>
      </c>
      <c r="H3868" s="1" t="str">
        <f>IFERROR(__xludf.DUMMYFUNCTION("""COMPUTED_VALUE"""),"28/3/2023, 17:00:00")</f>
        <v>28/3/2023, 17:00:00</v>
      </c>
      <c r="I3868" s="1" t="str">
        <f>IFERROR(__xludf.DUMMYFUNCTION("""COMPUTED_VALUE"""),"RETIRADO OK POR CLIENTE")</f>
        <v>RETIRADO OK POR CLIENTE</v>
      </c>
      <c r="J3868" s="1">
        <f t="shared" si="3"/>
        <v>6</v>
      </c>
      <c r="K3868" s="1" t="str">
        <f t="shared" si="4"/>
        <v>Entregamos tus lentes, que los disfrutes!</v>
      </c>
    </row>
    <row r="3869">
      <c r="A3869" s="1">
        <f>IFERROR(__xludf.DUMMYFUNCTION("""COMPUTED_VALUE"""),88432.0)</f>
        <v>88432</v>
      </c>
      <c r="B3869" s="5">
        <f>IFERROR(__xludf.DUMMYFUNCTION("""COMPUTED_VALUE"""),45007.441929189816)</f>
        <v>45007.44193</v>
      </c>
      <c r="C3869" s="1" t="str">
        <f>IFERROR(__xludf.DUMMYFUNCTION("""COMPUTED_VALUE"""),"GOMEZ JUANA")</f>
        <v>GOMEZ JUANA</v>
      </c>
      <c r="D3869" s="1" t="str">
        <f>IFERROR(__xludf.DUMMYFUNCTION("""COMPUTED_VALUE"""),"Lentes de STOCK")</f>
        <v>Lentes de STOCK</v>
      </c>
      <c r="E3869" s="1" t="str">
        <f>IFERROR(__xludf.DUMMYFUNCTION("""COMPUTED_VALUE"""),"ARTIGAS Roció")</f>
        <v>ARTIGAS Roció</v>
      </c>
      <c r="F3869" s="1" t="str">
        <f t="shared" si="1"/>
        <v>ARTIGAS </v>
      </c>
      <c r="G3869" s="1" t="str">
        <f t="shared" si="2"/>
        <v>Roció</v>
      </c>
      <c r="H3869" s="1" t="str">
        <f>IFERROR(__xludf.DUMMYFUNCTION("""COMPUTED_VALUE"""),"29/3/2023, 17:00:00")</f>
        <v>29/3/2023, 17:00:00</v>
      </c>
      <c r="I3869" s="1" t="str">
        <f>IFERROR(__xludf.DUMMYFUNCTION("""COMPUTED_VALUE"""),"RETIRADO OK POR CLIENTE")</f>
        <v>RETIRADO OK POR CLIENTE</v>
      </c>
      <c r="J3869" s="1">
        <f t="shared" si="3"/>
        <v>6</v>
      </c>
      <c r="K3869" s="1" t="str">
        <f t="shared" si="4"/>
        <v>Entregamos tus lentes, que los disfrutes!</v>
      </c>
    </row>
    <row r="3870">
      <c r="A3870" s="1">
        <f>IFERROR(__xludf.DUMMYFUNCTION("""COMPUTED_VALUE"""),88433.0)</f>
        <v>88433</v>
      </c>
      <c r="B3870" s="5">
        <f>IFERROR(__xludf.DUMMYFUNCTION("""COMPUTED_VALUE"""),45007.45411278935)</f>
        <v>45007.45411</v>
      </c>
      <c r="C3870" s="1" t="str">
        <f>IFERROR(__xludf.DUMMYFUNCTION("""COMPUTED_VALUE"""),"CORONEL MARIA")</f>
        <v>CORONEL MARIA</v>
      </c>
      <c r="D3870" s="1" t="str">
        <f>IFERROR(__xludf.DUMMYFUNCTION("""COMPUTED_VALUE"""),"Lentes de STOCK")</f>
        <v>Lentes de STOCK</v>
      </c>
      <c r="E3870" s="1" t="str">
        <f>IFERROR(__xludf.DUMMYFUNCTION("""COMPUTED_VALUE"""),"ARTIGAS Ivana P.")</f>
        <v>ARTIGAS Ivana P.</v>
      </c>
      <c r="F3870" s="1" t="str">
        <f t="shared" si="1"/>
        <v>ARTIGAS </v>
      </c>
      <c r="G3870" s="1" t="str">
        <f t="shared" si="2"/>
        <v>Ivana P.</v>
      </c>
      <c r="H3870" s="1" t="str">
        <f>IFERROR(__xludf.DUMMYFUNCTION("""COMPUTED_VALUE"""),"25/3/2023, 17:00:00")</f>
        <v>25/3/2023, 17:00:00</v>
      </c>
      <c r="I3870" s="1" t="str">
        <f>IFERROR(__xludf.DUMMYFUNCTION("""COMPUTED_VALUE"""),"RETIRADO OK POR CLIENTE")</f>
        <v>RETIRADO OK POR CLIENTE</v>
      </c>
      <c r="J3870" s="1">
        <f t="shared" si="3"/>
        <v>6</v>
      </c>
      <c r="K3870" s="1" t="str">
        <f t="shared" si="4"/>
        <v>Entregamos tus lentes, que los disfrutes!</v>
      </c>
    </row>
    <row r="3871">
      <c r="A3871" s="1">
        <f>IFERROR(__xludf.DUMMYFUNCTION("""COMPUTED_VALUE"""),88434.0)</f>
        <v>88434</v>
      </c>
      <c r="B3871" s="5">
        <f>IFERROR(__xludf.DUMMYFUNCTION("""COMPUTED_VALUE"""),45007.45458421296)</f>
        <v>45007.45458</v>
      </c>
      <c r="C3871" s="1" t="str">
        <f>IFERROR(__xludf.DUMMYFUNCTION("""COMPUTED_VALUE"""),"POMIRO TULA MACARENA")</f>
        <v>POMIRO TULA MACARENA</v>
      </c>
      <c r="D3871" s="1" t="str">
        <f>IFERROR(__xludf.DUMMYFUNCTION("""COMPUTED_VALUE"""),"Lentes de STOCK")</f>
        <v>Lentes de STOCK</v>
      </c>
      <c r="E3871" s="1" t="str">
        <f>IFERROR(__xludf.DUMMYFUNCTION("""COMPUTED_VALUE"""),"ARTIGAS Roció")</f>
        <v>ARTIGAS Roció</v>
      </c>
      <c r="F3871" s="1" t="str">
        <f t="shared" si="1"/>
        <v>ARTIGAS </v>
      </c>
      <c r="G3871" s="1" t="str">
        <f t="shared" si="2"/>
        <v>Roció</v>
      </c>
      <c r="H3871" s="1" t="str">
        <f>IFERROR(__xludf.DUMMYFUNCTION("""COMPUTED_VALUE"""),"31/3/2023, 17:00:00")</f>
        <v>31/3/2023, 17:00:00</v>
      </c>
      <c r="I3871" s="1" t="str">
        <f>IFERROR(__xludf.DUMMYFUNCTION("""COMPUTED_VALUE"""),"RETIRADO OK POR CLIENTE")</f>
        <v>RETIRADO OK POR CLIENTE</v>
      </c>
      <c r="J3871" s="1">
        <f t="shared" si="3"/>
        <v>6</v>
      </c>
      <c r="K3871" s="1" t="str">
        <f t="shared" si="4"/>
        <v>Entregamos tus lentes, que los disfrutes!</v>
      </c>
    </row>
    <row r="3872">
      <c r="A3872" s="1">
        <f>IFERROR(__xludf.DUMMYFUNCTION("""COMPUTED_VALUE"""),88435.0)</f>
        <v>88435</v>
      </c>
      <c r="B3872" s="5">
        <f>IFERROR(__xludf.DUMMYFUNCTION("""COMPUTED_VALUE"""),45007.4618887963)</f>
        <v>45007.46189</v>
      </c>
      <c r="C3872" s="1" t="str">
        <f>IFERROR(__xludf.DUMMYFUNCTION("""COMPUTED_VALUE"""),"VALENTE CARLOS")</f>
        <v>VALENTE CARLOS</v>
      </c>
      <c r="D3872" s="1" t="str">
        <f>IFERROR(__xludf.DUMMYFUNCTION("""COMPUTED_VALUE"""),"Lentes de STOCK")</f>
        <v>Lentes de STOCK</v>
      </c>
      <c r="E3872" s="1" t="str">
        <f>IFERROR(__xludf.DUMMYFUNCTION("""COMPUTED_VALUE"""),"ARTIGAS Ivana P.")</f>
        <v>ARTIGAS Ivana P.</v>
      </c>
      <c r="F3872" s="1" t="str">
        <f t="shared" si="1"/>
        <v>ARTIGAS </v>
      </c>
      <c r="G3872" s="1" t="str">
        <f t="shared" si="2"/>
        <v>Ivana P.</v>
      </c>
      <c r="H3872" s="1" t="str">
        <f>IFERROR(__xludf.DUMMYFUNCTION("""COMPUTED_VALUE"""),"25/3/2023, 17:00:00")</f>
        <v>25/3/2023, 17:00:00</v>
      </c>
      <c r="I3872" s="1" t="str">
        <f>IFERROR(__xludf.DUMMYFUNCTION("""COMPUTED_VALUE"""),"RETIRADO OK POR CLIENTE")</f>
        <v>RETIRADO OK POR CLIENTE</v>
      </c>
      <c r="J3872" s="1">
        <f t="shared" si="3"/>
        <v>6</v>
      </c>
      <c r="K3872" s="1" t="str">
        <f t="shared" si="4"/>
        <v>Entregamos tus lentes, que los disfrutes!</v>
      </c>
    </row>
    <row r="3873">
      <c r="A3873" s="1">
        <f>IFERROR(__xludf.DUMMYFUNCTION("""COMPUTED_VALUE"""),88436.0)</f>
        <v>88436</v>
      </c>
      <c r="B3873" s="5">
        <f>IFERROR(__xludf.DUMMYFUNCTION("""COMPUTED_VALUE"""),45007.46475494213)</f>
        <v>45007.46475</v>
      </c>
      <c r="C3873" s="1" t="str">
        <f>IFERROR(__xludf.DUMMYFUNCTION("""COMPUTED_VALUE"""),"MUÑOZ ANGELA MARIA")</f>
        <v>MUÑOZ ANGELA MARIA</v>
      </c>
      <c r="D3873" s="1" t="str">
        <f>IFERROR(__xludf.DUMMYFUNCTION("""COMPUTED_VALUE"""),"Lentes de STOCK")</f>
        <v>Lentes de STOCK</v>
      </c>
      <c r="E3873" s="1" t="str">
        <f>IFERROR(__xludf.DUMMYFUNCTION("""COMPUTED_VALUE"""),"RIVADAVIA Marcela L")</f>
        <v>RIVADAVIA Marcela L</v>
      </c>
      <c r="F3873" s="1" t="str">
        <f t="shared" si="1"/>
        <v>RIVADAVIA </v>
      </c>
      <c r="G3873" s="1" t="str">
        <f t="shared" si="2"/>
        <v>Marcela L</v>
      </c>
      <c r="H3873" s="1" t="str">
        <f>IFERROR(__xludf.DUMMYFUNCTION("""COMPUTED_VALUE"""),"28/3/2023, 17:00:00")</f>
        <v>28/3/2023, 17:00:00</v>
      </c>
      <c r="I3873" s="1" t="str">
        <f>IFERROR(__xludf.DUMMYFUNCTION("""COMPUTED_VALUE"""),"RETIRADO OK POR CLIENTE")</f>
        <v>RETIRADO OK POR CLIENTE</v>
      </c>
      <c r="J3873" s="1">
        <f t="shared" si="3"/>
        <v>6</v>
      </c>
      <c r="K3873" s="1" t="str">
        <f t="shared" si="4"/>
        <v>Entregamos tus lentes, que los disfrutes!</v>
      </c>
    </row>
    <row r="3874">
      <c r="A3874" s="1">
        <f>IFERROR(__xludf.DUMMYFUNCTION("""COMPUTED_VALUE"""),88437.0)</f>
        <v>88437</v>
      </c>
      <c r="B3874" s="5">
        <f>IFERROR(__xludf.DUMMYFUNCTION("""COMPUTED_VALUE"""),45007.467231180555)</f>
        <v>45007.46723</v>
      </c>
      <c r="C3874" s="1" t="str">
        <f>IFERROR(__xludf.DUMMYFUNCTION("""COMPUTED_VALUE"""),"solvestro julia")</f>
        <v>solvestro julia</v>
      </c>
      <c r="D3874" s="1" t="str">
        <f>IFERROR(__xludf.DUMMYFUNCTION("""COMPUTED_VALUE"""),"Lentes de STOCK")</f>
        <v>Lentes de STOCK</v>
      </c>
      <c r="E3874" s="1" t="str">
        <f>IFERROR(__xludf.DUMMYFUNCTION("""COMPUTED_VALUE"""),"RIVADAVIA Santiago N")</f>
        <v>RIVADAVIA Santiago N</v>
      </c>
      <c r="F3874" s="1" t="str">
        <f t="shared" si="1"/>
        <v>RIVADAVIA </v>
      </c>
      <c r="G3874" s="1" t="str">
        <f t="shared" si="2"/>
        <v>Santiago N</v>
      </c>
      <c r="H3874" s="1" t="str">
        <f>IFERROR(__xludf.DUMMYFUNCTION("""COMPUTED_VALUE"""),"25/3/2023, 17:00:00")</f>
        <v>25/3/2023, 17:00:00</v>
      </c>
      <c r="I3874" s="1" t="str">
        <f>IFERROR(__xludf.DUMMYFUNCTION("""COMPUTED_VALUE"""),"RETIRADO OK POR CLIENTE")</f>
        <v>RETIRADO OK POR CLIENTE</v>
      </c>
      <c r="J3874" s="1">
        <f t="shared" si="3"/>
        <v>6</v>
      </c>
      <c r="K3874" s="1" t="str">
        <f t="shared" si="4"/>
        <v>Entregamos tus lentes, que los disfrutes!</v>
      </c>
    </row>
    <row r="3875">
      <c r="A3875" s="1">
        <f>IFERROR(__xludf.DUMMYFUNCTION("""COMPUTED_VALUE"""),88438.0)</f>
        <v>88438</v>
      </c>
      <c r="B3875" s="5">
        <f>IFERROR(__xludf.DUMMYFUNCTION("""COMPUTED_VALUE"""),45007.47403572917)</f>
        <v>45007.47404</v>
      </c>
      <c r="C3875" s="1" t="str">
        <f>IFERROR(__xludf.DUMMYFUNCTION("""COMPUTED_VALUE"""),"FIORI MARIA DEL CARMEN")</f>
        <v>FIORI MARIA DEL CARMEN</v>
      </c>
      <c r="D3875" s="1" t="str">
        <f>IFERROR(__xludf.DUMMYFUNCTION("""COMPUTED_VALUE"""),"Reparaciones/Otros")</f>
        <v>Reparaciones/Otros</v>
      </c>
      <c r="E3875" s="1" t="str">
        <f>IFERROR(__xludf.DUMMYFUNCTION("""COMPUTED_VALUE"""),"ARTIGAS Roció")</f>
        <v>ARTIGAS Roció</v>
      </c>
      <c r="F3875" s="1" t="str">
        <f t="shared" si="1"/>
        <v>ARTIGAS </v>
      </c>
      <c r="G3875" s="1" t="str">
        <f t="shared" si="2"/>
        <v>Roció</v>
      </c>
      <c r="H3875" s="1" t="str">
        <f>IFERROR(__xludf.DUMMYFUNCTION("""COMPUTED_VALUE"""),"25/3/2023, 12:00:00")</f>
        <v>25/3/2023, 12:00:00</v>
      </c>
      <c r="I3875" s="1" t="str">
        <f>IFERROR(__xludf.DUMMYFUNCTION("""COMPUTED_VALUE"""),"RETIRADO OK POR CLIENTE")</f>
        <v>RETIRADO OK POR CLIENTE</v>
      </c>
      <c r="J3875" s="1">
        <f t="shared" si="3"/>
        <v>6</v>
      </c>
      <c r="K3875" s="1" t="str">
        <f t="shared" si="4"/>
        <v>Entregamos tus lentes, que los disfrutes!</v>
      </c>
    </row>
    <row r="3876">
      <c r="A3876" s="1">
        <f>IFERROR(__xludf.DUMMYFUNCTION("""COMPUTED_VALUE"""),88439.0)</f>
        <v>88439</v>
      </c>
      <c r="B3876" s="5">
        <f>IFERROR(__xludf.DUMMYFUNCTION("""COMPUTED_VALUE"""),45007.47437568287)</f>
        <v>45007.47438</v>
      </c>
      <c r="C3876" s="1" t="str">
        <f>IFERROR(__xludf.DUMMYFUNCTION("""COMPUTED_VALUE"""),"MERCADO BENICIO ")</f>
        <v>MERCADO BENICIO </v>
      </c>
      <c r="D3876" s="1" t="str">
        <f>IFERROR(__xludf.DUMMYFUNCTION("""COMPUTED_VALUE"""),"Lentes de STOCK")</f>
        <v>Lentes de STOCK</v>
      </c>
      <c r="E3876" s="1" t="str">
        <f>IFERROR(__xludf.DUMMYFUNCTION("""COMPUTED_VALUE"""),"RIVADAVIA Christian C.")</f>
        <v>RIVADAVIA Christian C.</v>
      </c>
      <c r="F3876" s="1" t="str">
        <f t="shared" si="1"/>
        <v>RIVADAVIA </v>
      </c>
      <c r="G3876" s="1" t="str">
        <f t="shared" si="2"/>
        <v>Christian C.</v>
      </c>
      <c r="H3876" s="1" t="str">
        <f>IFERROR(__xludf.DUMMYFUNCTION("""COMPUTED_VALUE"""),"31/3/2023, 17:00:00")</f>
        <v>31/3/2023, 17:00:00</v>
      </c>
      <c r="I3876" s="1" t="str">
        <f>IFERROR(__xludf.DUMMYFUNCTION("""COMPUTED_VALUE"""),"RETIRADO OK POR CLIENTE")</f>
        <v>RETIRADO OK POR CLIENTE</v>
      </c>
      <c r="J3876" s="1">
        <f t="shared" si="3"/>
        <v>6</v>
      </c>
      <c r="K3876" s="1" t="str">
        <f t="shared" si="4"/>
        <v>Entregamos tus lentes, que los disfrutes!</v>
      </c>
    </row>
    <row r="3877">
      <c r="A3877" s="1">
        <f>IFERROR(__xludf.DUMMYFUNCTION("""COMPUTED_VALUE"""),88440.0)</f>
        <v>88440</v>
      </c>
      <c r="B3877" s="5">
        <f>IFERROR(__xludf.DUMMYFUNCTION("""COMPUTED_VALUE"""),45007.47450293982)</f>
        <v>45007.4745</v>
      </c>
      <c r="C3877" s="1" t="str">
        <f>IFERROR(__xludf.DUMMYFUNCTION("""COMPUTED_VALUE"""),"DI GIULIO MARIA")</f>
        <v>DI GIULIO MARIA</v>
      </c>
      <c r="D3877" s="1" t="str">
        <f>IFERROR(__xludf.DUMMYFUNCTION("""COMPUTED_VALUE"""),"Lentes de STOCK")</f>
        <v>Lentes de STOCK</v>
      </c>
      <c r="E3877" s="1" t="str">
        <f>IFERROR(__xludf.DUMMYFUNCTION("""COMPUTED_VALUE"""),"ARTIGAS Ivana P.")</f>
        <v>ARTIGAS Ivana P.</v>
      </c>
      <c r="F3877" s="1" t="str">
        <f t="shared" si="1"/>
        <v>ARTIGAS </v>
      </c>
      <c r="G3877" s="1" t="str">
        <f t="shared" si="2"/>
        <v>Ivana P.</v>
      </c>
      <c r="H3877" s="1" t="str">
        <f>IFERROR(__xludf.DUMMYFUNCTION("""COMPUTED_VALUE"""),"25/3/2023, 17:00:00")</f>
        <v>25/3/2023, 17:00:00</v>
      </c>
      <c r="I3877" s="1" t="str">
        <f>IFERROR(__xludf.DUMMYFUNCTION("""COMPUTED_VALUE"""),"Completado en SUCURSAL")</f>
        <v>Completado en SUCURSAL</v>
      </c>
      <c r="J3877" s="1">
        <f t="shared" si="3"/>
        <v>5</v>
      </c>
      <c r="K3877" s="1" t="str">
        <f t="shared" si="4"/>
        <v>Tus Lentes estan LISTAS PARA ENTREGAR, te esperamos.</v>
      </c>
    </row>
    <row r="3878">
      <c r="A3878" s="1">
        <f>IFERROR(__xludf.DUMMYFUNCTION("""COMPUTED_VALUE"""),88441.0)</f>
        <v>88441</v>
      </c>
      <c r="B3878" s="5">
        <f>IFERROR(__xludf.DUMMYFUNCTION("""COMPUTED_VALUE"""),45007.48330871528)</f>
        <v>45007.48331</v>
      </c>
      <c r="C3878" s="1" t="str">
        <f>IFERROR(__xludf.DUMMYFUNCTION("""COMPUTED_VALUE"""),"BALBO VALENTINA")</f>
        <v>BALBO VALENTINA</v>
      </c>
      <c r="D3878" s="1" t="str">
        <f>IFERROR(__xludf.DUMMYFUNCTION("""COMPUTED_VALUE"""),"Lentes de STOCK")</f>
        <v>Lentes de STOCK</v>
      </c>
      <c r="E3878" s="1" t="str">
        <f>IFERROR(__xludf.DUMMYFUNCTION("""COMPUTED_VALUE"""),"ARTIGAS Ivana P.")</f>
        <v>ARTIGAS Ivana P.</v>
      </c>
      <c r="F3878" s="1" t="str">
        <f t="shared" si="1"/>
        <v>ARTIGAS </v>
      </c>
      <c r="G3878" s="1" t="str">
        <f t="shared" si="2"/>
        <v>Ivana P.</v>
      </c>
      <c r="H3878" s="1" t="str">
        <f>IFERROR(__xludf.DUMMYFUNCTION("""COMPUTED_VALUE"""),"25/3/2023, 17:00:00")</f>
        <v>25/3/2023, 17:00:00</v>
      </c>
      <c r="I3878" s="1" t="str">
        <f>IFERROR(__xludf.DUMMYFUNCTION("""COMPUTED_VALUE"""),"Completado en SUCURSAL")</f>
        <v>Completado en SUCURSAL</v>
      </c>
      <c r="J3878" s="1">
        <f t="shared" si="3"/>
        <v>5</v>
      </c>
      <c r="K3878" s="1" t="str">
        <f t="shared" si="4"/>
        <v>Tus Lentes estan LISTAS PARA ENTREGAR, te esperamos.</v>
      </c>
    </row>
    <row r="3879">
      <c r="A3879" s="1">
        <f>IFERROR(__xludf.DUMMYFUNCTION("""COMPUTED_VALUE"""),88442.0)</f>
        <v>88442</v>
      </c>
      <c r="B3879" s="5">
        <f>IFERROR(__xludf.DUMMYFUNCTION("""COMPUTED_VALUE"""),45007.49516762732)</f>
        <v>45007.49517</v>
      </c>
      <c r="C3879" s="1" t="str">
        <f>IFERROR(__xludf.DUMMYFUNCTION("""COMPUTED_VALUE"""),"ARISMENDI COILLA LESLIE")</f>
        <v>ARISMENDI COILLA LESLIE</v>
      </c>
      <c r="D3879" s="1" t="str">
        <f>IFERROR(__xludf.DUMMYFUNCTION("""COMPUTED_VALUE"""),"Lentes de LABORATORIO")</f>
        <v>Lentes de LABORATORIO</v>
      </c>
      <c r="E3879" s="1" t="str">
        <f>IFERROR(__xludf.DUMMYFUNCTION("""COMPUTED_VALUE"""),"RIVADAVIA Marcela L")</f>
        <v>RIVADAVIA Marcela L</v>
      </c>
      <c r="F3879" s="1" t="str">
        <f t="shared" si="1"/>
        <v>RIVADAVIA </v>
      </c>
      <c r="G3879" s="1" t="str">
        <f t="shared" si="2"/>
        <v>Marcela L</v>
      </c>
      <c r="H3879" s="1" t="str">
        <f>IFERROR(__xludf.DUMMYFUNCTION("""COMPUTED_VALUE"""),"10/4/2023, 17:00:00")</f>
        <v>10/4/2023, 17:00:00</v>
      </c>
      <c r="I3879" s="1" t="str">
        <f>IFERROR(__xludf.DUMMYFUNCTION("""COMPUTED_VALUE"""),"Recibido en Laboratorio")</f>
        <v>Recibido en Laboratorio</v>
      </c>
      <c r="J3879" s="1">
        <f t="shared" si="3"/>
        <v>2</v>
      </c>
      <c r="K3879" s="1" t="str">
        <f t="shared" si="4"/>
        <v>Nuestro Laboratorio esta trabajando en tus lentes, los entregaremos en la fecha acordada.</v>
      </c>
    </row>
    <row r="3880">
      <c r="A3880" s="1">
        <f>IFERROR(__xludf.DUMMYFUNCTION("""COMPUTED_VALUE"""),88443.0)</f>
        <v>88443</v>
      </c>
      <c r="B3880" s="5">
        <f>IFERROR(__xludf.DUMMYFUNCTION("""COMPUTED_VALUE"""),45007.495419687504)</f>
        <v>45007.49542</v>
      </c>
      <c r="C3880" s="1" t="str">
        <f>IFERROR(__xludf.DUMMYFUNCTION("""COMPUTED_VALUE"""),"HERRERA NIDIA")</f>
        <v>HERRERA NIDIA</v>
      </c>
      <c r="D3880" s="1" t="str">
        <f>IFERROR(__xludf.DUMMYFUNCTION("""COMPUTED_VALUE"""),"Lentes de LABORATORIO")</f>
        <v>Lentes de LABORATORIO</v>
      </c>
      <c r="E3880" s="1" t="str">
        <f>IFERROR(__xludf.DUMMYFUNCTION("""COMPUTED_VALUE"""),"ARTIGAS Ivana P.")</f>
        <v>ARTIGAS Ivana P.</v>
      </c>
      <c r="F3880" s="1" t="str">
        <f t="shared" si="1"/>
        <v>ARTIGAS </v>
      </c>
      <c r="G3880" s="1" t="str">
        <f t="shared" si="2"/>
        <v>Ivana P.</v>
      </c>
      <c r="H3880" s="1" t="str">
        <f>IFERROR(__xludf.DUMMYFUNCTION("""COMPUTED_VALUE"""),"1/4/2023, 17:00:00")</f>
        <v>1/4/2023, 17:00:00</v>
      </c>
      <c r="I3880" s="1" t="str">
        <f>IFERROR(__xludf.DUMMYFUNCTION("""COMPUTED_VALUE"""),"RETIRADO OK POR CLIENTE")</f>
        <v>RETIRADO OK POR CLIENTE</v>
      </c>
      <c r="J3880" s="1">
        <f t="shared" si="3"/>
        <v>6</v>
      </c>
      <c r="K3880" s="1" t="str">
        <f t="shared" si="4"/>
        <v>Entregamos tus lentes, que los disfrutes!</v>
      </c>
    </row>
    <row r="3881">
      <c r="A3881" s="1">
        <f>IFERROR(__xludf.DUMMYFUNCTION("""COMPUTED_VALUE"""),88444.0)</f>
        <v>88444</v>
      </c>
      <c r="B3881" s="5">
        <f>IFERROR(__xludf.DUMMYFUNCTION("""COMPUTED_VALUE"""),45007.50100986111)</f>
        <v>45007.50101</v>
      </c>
      <c r="C3881" s="1" t="str">
        <f>IFERROR(__xludf.DUMMYFUNCTION("""COMPUTED_VALUE"""),"salvarredi agostina")</f>
        <v>salvarredi agostina</v>
      </c>
      <c r="D3881" s="1" t="str">
        <f>IFERROR(__xludf.DUMMYFUNCTION("""COMPUTED_VALUE"""),"Lentes de STOCK")</f>
        <v>Lentes de STOCK</v>
      </c>
      <c r="E3881" s="1" t="str">
        <f>IFERROR(__xludf.DUMMYFUNCTION("""COMPUTED_VALUE"""),"RIVADAVIA Santiago N")</f>
        <v>RIVADAVIA Santiago N</v>
      </c>
      <c r="F3881" s="1" t="str">
        <f t="shared" si="1"/>
        <v>RIVADAVIA </v>
      </c>
      <c r="G3881" s="1" t="str">
        <f t="shared" si="2"/>
        <v>Santiago N</v>
      </c>
      <c r="H3881" s="1" t="str">
        <f>IFERROR(__xludf.DUMMYFUNCTION("""COMPUTED_VALUE"""),"28/3/2023, 17:00:00")</f>
        <v>28/3/2023, 17:00:00</v>
      </c>
      <c r="I3881" s="1" t="str">
        <f>IFERROR(__xludf.DUMMYFUNCTION("""COMPUTED_VALUE"""),"RETIRADO OK POR CLIENTE")</f>
        <v>RETIRADO OK POR CLIENTE</v>
      </c>
      <c r="J3881" s="1">
        <f t="shared" si="3"/>
        <v>6</v>
      </c>
      <c r="K3881" s="1" t="str">
        <f t="shared" si="4"/>
        <v>Entregamos tus lentes, que los disfrutes!</v>
      </c>
    </row>
    <row r="3882">
      <c r="A3882" s="1">
        <f>IFERROR(__xludf.DUMMYFUNCTION("""COMPUTED_VALUE"""),88445.0)</f>
        <v>88445</v>
      </c>
      <c r="B3882" s="5">
        <f>IFERROR(__xludf.DUMMYFUNCTION("""COMPUTED_VALUE"""),45007.50215299768)</f>
        <v>45007.50215</v>
      </c>
      <c r="C3882" s="1" t="str">
        <f>IFERROR(__xludf.DUMMYFUNCTION("""COMPUTED_VALUE"""),"MUÑOZ MARIA DEL CARMEN")</f>
        <v>MUÑOZ MARIA DEL CARMEN</v>
      </c>
      <c r="D3882" s="1" t="str">
        <f>IFERROR(__xludf.DUMMYFUNCTION("""COMPUTED_VALUE"""),"Lentes de STOCK")</f>
        <v>Lentes de STOCK</v>
      </c>
      <c r="E3882" s="1" t="str">
        <f>IFERROR(__xludf.DUMMYFUNCTION("""COMPUTED_VALUE"""),"ARTIGAS Roció")</f>
        <v>ARTIGAS Roció</v>
      </c>
      <c r="F3882" s="1" t="str">
        <f t="shared" si="1"/>
        <v>ARTIGAS </v>
      </c>
      <c r="G3882" s="1" t="str">
        <f t="shared" si="2"/>
        <v>Roció</v>
      </c>
      <c r="H3882" s="1" t="str">
        <f>IFERROR(__xludf.DUMMYFUNCTION("""COMPUTED_VALUE"""),"30/3/2023, 17:00:00")</f>
        <v>30/3/2023, 17:00:00</v>
      </c>
      <c r="I3882" s="1" t="str">
        <f>IFERROR(__xludf.DUMMYFUNCTION("""COMPUTED_VALUE"""),"RETIRADO OK POR CLIENTE")</f>
        <v>RETIRADO OK POR CLIENTE</v>
      </c>
      <c r="J3882" s="1">
        <f t="shared" si="3"/>
        <v>6</v>
      </c>
      <c r="K3882" s="1" t="str">
        <f t="shared" si="4"/>
        <v>Entregamos tus lentes, que los disfrutes!</v>
      </c>
    </row>
    <row r="3883">
      <c r="A3883" s="1">
        <f>IFERROR(__xludf.DUMMYFUNCTION("""COMPUTED_VALUE"""),88446.0)</f>
        <v>88446</v>
      </c>
      <c r="B3883" s="5">
        <f>IFERROR(__xludf.DUMMYFUNCTION("""COMPUTED_VALUE"""),45007.50426287037)</f>
        <v>45007.50426</v>
      </c>
      <c r="C3883" s="1" t="str">
        <f>IFERROR(__xludf.DUMMYFUNCTION("""COMPUTED_VALUE"""),"MORAN BIANCA")</f>
        <v>MORAN BIANCA</v>
      </c>
      <c r="D3883" s="1" t="str">
        <f>IFERROR(__xludf.DUMMYFUNCTION("""COMPUTED_VALUE"""),"Lentes de STOCK")</f>
        <v>Lentes de STOCK</v>
      </c>
      <c r="E3883" s="1" t="str">
        <f>IFERROR(__xludf.DUMMYFUNCTION("""COMPUTED_VALUE"""),"ARTIGAS Ivana P.")</f>
        <v>ARTIGAS Ivana P.</v>
      </c>
      <c r="F3883" s="1" t="str">
        <f t="shared" si="1"/>
        <v>ARTIGAS </v>
      </c>
      <c r="G3883" s="1" t="str">
        <f t="shared" si="2"/>
        <v>Ivana P.</v>
      </c>
      <c r="H3883" s="1" t="str">
        <f>IFERROR(__xludf.DUMMYFUNCTION("""COMPUTED_VALUE"""),"28/3/2023, 17:00:00")</f>
        <v>28/3/2023, 17:00:00</v>
      </c>
      <c r="I3883" s="1" t="str">
        <f>IFERROR(__xludf.DUMMYFUNCTION("""COMPUTED_VALUE"""),"RETIRADO OK POR CLIENTE")</f>
        <v>RETIRADO OK POR CLIENTE</v>
      </c>
      <c r="J3883" s="1">
        <f t="shared" si="3"/>
        <v>6</v>
      </c>
      <c r="K3883" s="1" t="str">
        <f t="shared" si="4"/>
        <v>Entregamos tus lentes, que los disfrutes!</v>
      </c>
    </row>
    <row r="3884">
      <c r="A3884" s="1">
        <f>IFERROR(__xludf.DUMMYFUNCTION("""COMPUTED_VALUE"""),88447.0)</f>
        <v>88447</v>
      </c>
      <c r="B3884" s="5">
        <f>IFERROR(__xludf.DUMMYFUNCTION("""COMPUTED_VALUE"""),45007.50544126157)</f>
        <v>45007.50544</v>
      </c>
      <c r="C3884" s="1" t="str">
        <f>IFERROR(__xludf.DUMMYFUNCTION("""COMPUTED_VALUE"""),"CHIRINO HUGO")</f>
        <v>CHIRINO HUGO</v>
      </c>
      <c r="D3884" s="1" t="str">
        <f>IFERROR(__xludf.DUMMYFUNCTION("""COMPUTED_VALUE"""),"Lentes MULTIFOCALES")</f>
        <v>Lentes MULTIFOCALES</v>
      </c>
      <c r="E3884" s="1" t="str">
        <f>IFERROR(__xludf.DUMMYFUNCTION("""COMPUTED_VALUE"""),"RIVADAVIA Luciana")</f>
        <v>RIVADAVIA Luciana</v>
      </c>
      <c r="F3884" s="1" t="str">
        <f t="shared" si="1"/>
        <v>RIVADAVIA </v>
      </c>
      <c r="G3884" s="1" t="str">
        <f t="shared" si="2"/>
        <v>Luciana</v>
      </c>
      <c r="H3884" s="1" t="str">
        <f>IFERROR(__xludf.DUMMYFUNCTION("""COMPUTED_VALUE"""),"4/4/2023, 17:00:00")</f>
        <v>4/4/2023, 17:00:00</v>
      </c>
      <c r="I3884" s="1" t="str">
        <f>IFERROR(__xludf.DUMMYFUNCTION("""COMPUTED_VALUE"""),"Completado en SUCURSAL")</f>
        <v>Completado en SUCURSAL</v>
      </c>
      <c r="J3884" s="1">
        <f t="shared" si="3"/>
        <v>5</v>
      </c>
      <c r="K3884" s="1" t="str">
        <f t="shared" si="4"/>
        <v>Tus Lentes estan LISTAS PARA ENTREGAR, te esperamos.</v>
      </c>
    </row>
    <row r="3885">
      <c r="A3885" s="1">
        <f>IFERROR(__xludf.DUMMYFUNCTION("""COMPUTED_VALUE"""),88448.0)</f>
        <v>88448</v>
      </c>
      <c r="B3885" s="5">
        <f>IFERROR(__xludf.DUMMYFUNCTION("""COMPUTED_VALUE"""),45007.5220434375)</f>
        <v>45007.52204</v>
      </c>
      <c r="C3885" s="1" t="str">
        <f>IFERROR(__xludf.DUMMYFUNCTION("""COMPUTED_VALUE"""),"TOURANT ELIAS ")</f>
        <v>TOURANT ELIAS </v>
      </c>
      <c r="D3885" s="1" t="str">
        <f>IFERROR(__xludf.DUMMYFUNCTION("""COMPUTED_VALUE"""),"Lentes de STOCK")</f>
        <v>Lentes de STOCK</v>
      </c>
      <c r="E3885" s="1" t="str">
        <f>IFERROR(__xludf.DUMMYFUNCTION("""COMPUTED_VALUE"""),"RIVADAVIA Luciana")</f>
        <v>RIVADAVIA Luciana</v>
      </c>
      <c r="F3885" s="1" t="str">
        <f t="shared" si="1"/>
        <v>RIVADAVIA </v>
      </c>
      <c r="G3885" s="1" t="str">
        <f t="shared" si="2"/>
        <v>Luciana</v>
      </c>
      <c r="H3885" s="1" t="str">
        <f>IFERROR(__xludf.DUMMYFUNCTION("""COMPUTED_VALUE"""),"28/3/2023, 17:00:00")</f>
        <v>28/3/2023, 17:00:00</v>
      </c>
      <c r="I3885" s="1" t="str">
        <f>IFERROR(__xludf.DUMMYFUNCTION("""COMPUTED_VALUE"""),"RETIRADO OK POR CLIENTE")</f>
        <v>RETIRADO OK POR CLIENTE</v>
      </c>
      <c r="J3885" s="1">
        <f t="shared" si="3"/>
        <v>6</v>
      </c>
      <c r="K3885" s="1" t="str">
        <f t="shared" si="4"/>
        <v>Entregamos tus lentes, que los disfrutes!</v>
      </c>
    </row>
    <row r="3886">
      <c r="A3886" s="1">
        <f>IFERROR(__xludf.DUMMYFUNCTION("""COMPUTED_VALUE"""),88449.0)</f>
        <v>88449</v>
      </c>
      <c r="B3886" s="5">
        <f>IFERROR(__xludf.DUMMYFUNCTION("""COMPUTED_VALUE"""),45007.529574479166)</f>
        <v>45007.52957</v>
      </c>
      <c r="C3886" s="1" t="str">
        <f>IFERROR(__xludf.DUMMYFUNCTION("""COMPUTED_VALUE"""),"VILLEGAS FELIPE")</f>
        <v>VILLEGAS FELIPE</v>
      </c>
      <c r="D3886" s="1" t="str">
        <f>IFERROR(__xludf.DUMMYFUNCTION("""COMPUTED_VALUE"""),"Lentes BIFOCALES")</f>
        <v>Lentes BIFOCALES</v>
      </c>
      <c r="E3886" s="1" t="str">
        <f>IFERROR(__xludf.DUMMYFUNCTION("""COMPUTED_VALUE"""),"RIVADAVIA Marcela L")</f>
        <v>RIVADAVIA Marcela L</v>
      </c>
      <c r="F3886" s="1" t="str">
        <f t="shared" si="1"/>
        <v>RIVADAVIA </v>
      </c>
      <c r="G3886" s="1" t="str">
        <f t="shared" si="2"/>
        <v>Marcela L</v>
      </c>
      <c r="H3886" s="1" t="str">
        <f>IFERROR(__xludf.DUMMYFUNCTION("""COMPUTED_VALUE"""),"28/3/2023, 17:00:00")</f>
        <v>28/3/2023, 17:00:00</v>
      </c>
      <c r="I3886" s="1" t="str">
        <f>IFERROR(__xludf.DUMMYFUNCTION("""COMPUTED_VALUE"""),"RETIRADO OK POR CLIENTE")</f>
        <v>RETIRADO OK POR CLIENTE</v>
      </c>
      <c r="J3886" s="1">
        <f t="shared" si="3"/>
        <v>6</v>
      </c>
      <c r="K3886" s="1" t="str">
        <f t="shared" si="4"/>
        <v>Entregamos tus lentes, que los disfrutes!</v>
      </c>
    </row>
    <row r="3887">
      <c r="A3887" s="1">
        <f>IFERROR(__xludf.DUMMYFUNCTION("""COMPUTED_VALUE"""),88450.0)</f>
        <v>88450</v>
      </c>
      <c r="B3887" s="5">
        <f>IFERROR(__xludf.DUMMYFUNCTION("""COMPUTED_VALUE"""),45007.53728561343)</f>
        <v>45007.53729</v>
      </c>
      <c r="C3887" s="1" t="str">
        <f>IFERROR(__xludf.DUMMYFUNCTION("""COMPUTED_VALUE"""),"GARRO SOSA MATIAS")</f>
        <v>GARRO SOSA MATIAS</v>
      </c>
      <c r="D3887" s="1" t="str">
        <f>IFERROR(__xludf.DUMMYFUNCTION("""COMPUTED_VALUE"""),"Lentes de STOCK")</f>
        <v>Lentes de STOCK</v>
      </c>
      <c r="E3887" s="1" t="str">
        <f>IFERROR(__xludf.DUMMYFUNCTION("""COMPUTED_VALUE"""),"RIVADAVIA Christian C.")</f>
        <v>RIVADAVIA Christian C.</v>
      </c>
      <c r="F3887" s="1" t="str">
        <f t="shared" si="1"/>
        <v>RIVADAVIA </v>
      </c>
      <c r="G3887" s="1" t="str">
        <f t="shared" si="2"/>
        <v>Christian C.</v>
      </c>
      <c r="H3887" s="1" t="str">
        <f>IFERROR(__xludf.DUMMYFUNCTION("""COMPUTED_VALUE"""),"31/3/2023, 17:00:00")</f>
        <v>31/3/2023, 17:00:00</v>
      </c>
      <c r="I3887" s="1" t="str">
        <f>IFERROR(__xludf.DUMMYFUNCTION("""COMPUTED_VALUE"""),"RETIRADO OK POR CLIENTE")</f>
        <v>RETIRADO OK POR CLIENTE</v>
      </c>
      <c r="J3887" s="1">
        <f t="shared" si="3"/>
        <v>6</v>
      </c>
      <c r="K3887" s="1" t="str">
        <f t="shared" si="4"/>
        <v>Entregamos tus lentes, que los disfrutes!</v>
      </c>
    </row>
    <row r="3888">
      <c r="A3888" s="1">
        <f>IFERROR(__xludf.DUMMYFUNCTION("""COMPUTED_VALUE"""),88451.0)</f>
        <v>88451</v>
      </c>
      <c r="B3888" s="5">
        <f>IFERROR(__xludf.DUMMYFUNCTION("""COMPUTED_VALUE"""),45007.69464181713)</f>
        <v>45007.69464</v>
      </c>
      <c r="C3888" s="1" t="str">
        <f>IFERROR(__xludf.DUMMYFUNCTION("""COMPUTED_VALUE"""),"GUTIERREZ CARLOS")</f>
        <v>GUTIERREZ CARLOS</v>
      </c>
      <c r="D3888" s="1" t="str">
        <f>IFERROR(__xludf.DUMMYFUNCTION("""COMPUTED_VALUE"""),"Lentes de STOCK")</f>
        <v>Lentes de STOCK</v>
      </c>
      <c r="E3888" s="1" t="str">
        <f>IFERROR(__xludf.DUMMYFUNCTION("""COMPUTED_VALUE"""),"ARTIGAS Roció")</f>
        <v>ARTIGAS Roció</v>
      </c>
      <c r="F3888" s="1" t="str">
        <f t="shared" si="1"/>
        <v>ARTIGAS </v>
      </c>
      <c r="G3888" s="1" t="str">
        <f t="shared" si="2"/>
        <v>Roció</v>
      </c>
      <c r="H3888" s="1" t="str">
        <f>IFERROR(__xludf.DUMMYFUNCTION("""COMPUTED_VALUE"""),"31/3/2023, 17:00:00")</f>
        <v>31/3/2023, 17:00:00</v>
      </c>
      <c r="I3888" s="1" t="str">
        <f>IFERROR(__xludf.DUMMYFUNCTION("""COMPUTED_VALUE"""),"RETIRADO OK POR CLIENTE")</f>
        <v>RETIRADO OK POR CLIENTE</v>
      </c>
      <c r="J3888" s="1">
        <f t="shared" si="3"/>
        <v>6</v>
      </c>
      <c r="K3888" s="1" t="str">
        <f t="shared" si="4"/>
        <v>Entregamos tus lentes, que los disfrutes!</v>
      </c>
    </row>
    <row r="3889">
      <c r="A3889" s="1">
        <f>IFERROR(__xludf.DUMMYFUNCTION("""COMPUTED_VALUE"""),88452.0)</f>
        <v>88452</v>
      </c>
      <c r="B3889" s="5">
        <f>IFERROR(__xludf.DUMMYFUNCTION("""COMPUTED_VALUE"""),45007.72120033565)</f>
        <v>45007.7212</v>
      </c>
      <c r="C3889" s="1" t="str">
        <f>IFERROR(__xludf.DUMMYFUNCTION("""COMPUTED_VALUE"""),"bustos fara marcela")</f>
        <v>bustos fara marcela</v>
      </c>
      <c r="D3889" s="1" t="str">
        <f>IFERROR(__xludf.DUMMYFUNCTION("""COMPUTED_VALUE"""),"Lentes de STOCK")</f>
        <v>Lentes de STOCK</v>
      </c>
      <c r="E3889" s="1" t="str">
        <f>IFERROR(__xludf.DUMMYFUNCTION("""COMPUTED_VALUE"""),"RIVADAVIA Daniel CM")</f>
        <v>RIVADAVIA Daniel CM</v>
      </c>
      <c r="F3889" s="1" t="str">
        <f t="shared" si="1"/>
        <v>RIVADAVIA </v>
      </c>
      <c r="G3889" s="1" t="str">
        <f t="shared" si="2"/>
        <v>Daniel CM</v>
      </c>
      <c r="H3889" s="1" t="str">
        <f>IFERROR(__xludf.DUMMYFUNCTION("""COMPUTED_VALUE"""),"27/3/2023, 17:00:00")</f>
        <v>27/3/2023, 17:00:00</v>
      </c>
      <c r="I3889" s="1" t="str">
        <f>IFERROR(__xludf.DUMMYFUNCTION("""COMPUTED_VALUE"""),"Recibido en Laboratorio")</f>
        <v>Recibido en Laboratorio</v>
      </c>
      <c r="J3889" s="1">
        <f t="shared" si="3"/>
        <v>2</v>
      </c>
      <c r="K3889" s="1" t="str">
        <f t="shared" si="4"/>
        <v>Nuestro Laboratorio esta trabajando en tus lentes, los entregaremos en la fecha acordada.</v>
      </c>
    </row>
    <row r="3890">
      <c r="A3890" s="1">
        <f>IFERROR(__xludf.DUMMYFUNCTION("""COMPUTED_VALUE"""),88453.0)</f>
        <v>88453</v>
      </c>
      <c r="B3890" s="5">
        <f>IFERROR(__xludf.DUMMYFUNCTION("""COMPUTED_VALUE"""),45007.74241435185)</f>
        <v>45007.74241</v>
      </c>
      <c r="C3890" s="1" t="str">
        <f>IFERROR(__xludf.DUMMYFUNCTION("""COMPUTED_VALUE"""),"HEREDIA GABRIELA MAGALI")</f>
        <v>HEREDIA GABRIELA MAGALI</v>
      </c>
      <c r="D3890" s="1" t="str">
        <f>IFERROR(__xludf.DUMMYFUNCTION("""COMPUTED_VALUE"""),"Lentes de LABORATORIO")</f>
        <v>Lentes de LABORATORIO</v>
      </c>
      <c r="E3890" s="1" t="str">
        <f>IFERROR(__xludf.DUMMYFUNCTION("""COMPUTED_VALUE"""),"ARTIGAS Roció")</f>
        <v>ARTIGAS Roció</v>
      </c>
      <c r="F3890" s="1" t="str">
        <f t="shared" si="1"/>
        <v>ARTIGAS </v>
      </c>
      <c r="G3890" s="1" t="str">
        <f t="shared" si="2"/>
        <v>Roció</v>
      </c>
      <c r="H3890" s="1" t="str">
        <f>IFERROR(__xludf.DUMMYFUNCTION("""COMPUTED_VALUE"""),"6/4/2023, 17:00:00")</f>
        <v>6/4/2023, 17:00:00</v>
      </c>
      <c r="I3890" s="1" t="str">
        <f>IFERROR(__xludf.DUMMYFUNCTION("""COMPUTED_VALUE"""),"Completado en SUCURSAL")</f>
        <v>Completado en SUCURSAL</v>
      </c>
      <c r="J3890" s="1">
        <f t="shared" si="3"/>
        <v>5</v>
      </c>
      <c r="K3890" s="1" t="str">
        <f t="shared" si="4"/>
        <v>Tus Lentes estan LISTAS PARA ENTREGAR, te esperamos.</v>
      </c>
    </row>
    <row r="3891">
      <c r="A3891" s="1">
        <f>IFERROR(__xludf.DUMMYFUNCTION("""COMPUTED_VALUE"""),88454.0)</f>
        <v>88454</v>
      </c>
      <c r="B3891" s="5">
        <f>IFERROR(__xludf.DUMMYFUNCTION("""COMPUTED_VALUE"""),45007.750836921296)</f>
        <v>45007.75084</v>
      </c>
      <c r="C3891" s="1" t="str">
        <f>IFERROR(__xludf.DUMMYFUNCTION("""COMPUTED_VALUE"""),"PONCE CARLOS")</f>
        <v>PONCE CARLOS</v>
      </c>
      <c r="D3891" s="1" t="str">
        <f>IFERROR(__xludf.DUMMYFUNCTION("""COMPUTED_VALUE"""),"Lentes de STOCK")</f>
        <v>Lentes de STOCK</v>
      </c>
      <c r="E3891" s="1" t="str">
        <f>IFERROR(__xludf.DUMMYFUNCTION("""COMPUTED_VALUE"""),"ARTIGAS Ivana P.")</f>
        <v>ARTIGAS Ivana P.</v>
      </c>
      <c r="F3891" s="1" t="str">
        <f t="shared" si="1"/>
        <v>ARTIGAS </v>
      </c>
      <c r="G3891" s="1" t="str">
        <f t="shared" si="2"/>
        <v>Ivana P.</v>
      </c>
      <c r="H3891" s="1" t="str">
        <f>IFERROR(__xludf.DUMMYFUNCTION("""COMPUTED_VALUE"""),"29/3/2023, 17:00:00")</f>
        <v>29/3/2023, 17:00:00</v>
      </c>
      <c r="I3891" s="1" t="str">
        <f>IFERROR(__xludf.DUMMYFUNCTION("""COMPUTED_VALUE"""),"RETIRADO OK POR CLIENTE")</f>
        <v>RETIRADO OK POR CLIENTE</v>
      </c>
      <c r="J3891" s="1">
        <f t="shared" si="3"/>
        <v>6</v>
      </c>
      <c r="K3891" s="1" t="str">
        <f t="shared" si="4"/>
        <v>Entregamos tus lentes, que los disfrutes!</v>
      </c>
    </row>
    <row r="3892">
      <c r="A3892" s="1">
        <f>IFERROR(__xludf.DUMMYFUNCTION("""COMPUTED_VALUE"""),88455.0)</f>
        <v>88455</v>
      </c>
      <c r="B3892" s="5">
        <f>IFERROR(__xludf.DUMMYFUNCTION("""COMPUTED_VALUE"""),45007.75563170139)</f>
        <v>45007.75563</v>
      </c>
      <c r="C3892" s="1" t="str">
        <f>IFERROR(__xludf.DUMMYFUNCTION("""COMPUTED_VALUE"""),"QUIROGA CLARA ")</f>
        <v>QUIROGA CLARA </v>
      </c>
      <c r="D3892" s="1" t="str">
        <f>IFERROR(__xludf.DUMMYFUNCTION("""COMPUTED_VALUE"""),"Lentes de STOCK")</f>
        <v>Lentes de STOCK</v>
      </c>
      <c r="E3892" s="1" t="str">
        <f>IFERROR(__xludf.DUMMYFUNCTION("""COMPUTED_VALUE"""),"ARTIGAS Ivana P.")</f>
        <v>ARTIGAS Ivana P.</v>
      </c>
      <c r="F3892" s="1" t="str">
        <f t="shared" si="1"/>
        <v>ARTIGAS </v>
      </c>
      <c r="G3892" s="1" t="str">
        <f t="shared" si="2"/>
        <v>Ivana P.</v>
      </c>
      <c r="H3892" s="1" t="str">
        <f>IFERROR(__xludf.DUMMYFUNCTION("""COMPUTED_VALUE"""),"29/3/2023, 17:00:00")</f>
        <v>29/3/2023, 17:00:00</v>
      </c>
      <c r="I3892" s="1" t="str">
        <f>IFERROR(__xludf.DUMMYFUNCTION("""COMPUTED_VALUE"""),"RETIRADO OK POR CLIENTE")</f>
        <v>RETIRADO OK POR CLIENTE</v>
      </c>
      <c r="J3892" s="1">
        <f t="shared" si="3"/>
        <v>6</v>
      </c>
      <c r="K3892" s="1" t="str">
        <f t="shared" si="4"/>
        <v>Entregamos tus lentes, que los disfrutes!</v>
      </c>
    </row>
    <row r="3893">
      <c r="A3893" s="1">
        <f>IFERROR(__xludf.DUMMYFUNCTION("""COMPUTED_VALUE"""),88456.0)</f>
        <v>88456</v>
      </c>
      <c r="B3893" s="5">
        <f>IFERROR(__xludf.DUMMYFUNCTION("""COMPUTED_VALUE"""),45007.75575737268)</f>
        <v>45007.75576</v>
      </c>
      <c r="C3893" s="1" t="str">
        <f>IFERROR(__xludf.DUMMYFUNCTION("""COMPUTED_VALUE"""),"PEREZ LAURA DE LAS MERCEDES")</f>
        <v>PEREZ LAURA DE LAS MERCEDES</v>
      </c>
      <c r="D3893" s="1" t="str">
        <f>IFERROR(__xludf.DUMMYFUNCTION("""COMPUTED_VALUE"""),"Lentes de STOCK")</f>
        <v>Lentes de STOCK</v>
      </c>
      <c r="E3893" s="1" t="str">
        <f>IFERROR(__xludf.DUMMYFUNCTION("""COMPUTED_VALUE"""),"RIVADAVIA Luciana")</f>
        <v>RIVADAVIA Luciana</v>
      </c>
      <c r="F3893" s="1" t="str">
        <f t="shared" si="1"/>
        <v>RIVADAVIA </v>
      </c>
      <c r="G3893" s="1" t="str">
        <f t="shared" si="2"/>
        <v>Luciana</v>
      </c>
      <c r="H3893" s="1" t="str">
        <f>IFERROR(__xludf.DUMMYFUNCTION("""COMPUTED_VALUE"""),"29/3/2023, 17:00:00")</f>
        <v>29/3/2023, 17:00:00</v>
      </c>
      <c r="I3893" s="1" t="str">
        <f>IFERROR(__xludf.DUMMYFUNCTION("""COMPUTED_VALUE"""),"Completado en SUCURSAL")</f>
        <v>Completado en SUCURSAL</v>
      </c>
      <c r="J3893" s="1">
        <f t="shared" si="3"/>
        <v>5</v>
      </c>
      <c r="K3893" s="1" t="str">
        <f t="shared" si="4"/>
        <v>Tus Lentes estan LISTAS PARA ENTREGAR, te esperamos.</v>
      </c>
    </row>
    <row r="3894">
      <c r="A3894" s="1">
        <f>IFERROR(__xludf.DUMMYFUNCTION("""COMPUTED_VALUE"""),88457.0)</f>
        <v>88457</v>
      </c>
      <c r="B3894" s="5">
        <f>IFERROR(__xludf.DUMMYFUNCTION("""COMPUTED_VALUE"""),45007.75747273148)</f>
        <v>45007.75747</v>
      </c>
      <c r="C3894" s="1" t="str">
        <f>IFERROR(__xludf.DUMMYFUNCTION("""COMPUTED_VALUE"""),"ANTUNEZ IAN BERNJAMIN")</f>
        <v>ANTUNEZ IAN BERNJAMIN</v>
      </c>
      <c r="D3894" s="1" t="str">
        <f>IFERROR(__xludf.DUMMYFUNCTION("""COMPUTED_VALUE"""),"Lentes de STOCK")</f>
        <v>Lentes de STOCK</v>
      </c>
      <c r="E3894" s="1" t="str">
        <f>IFERROR(__xludf.DUMMYFUNCTION("""COMPUTED_VALUE"""),"RIVADAVIA Christian C.")</f>
        <v>RIVADAVIA Christian C.</v>
      </c>
      <c r="F3894" s="1" t="str">
        <f t="shared" si="1"/>
        <v>RIVADAVIA </v>
      </c>
      <c r="G3894" s="1" t="str">
        <f t="shared" si="2"/>
        <v>Christian C.</v>
      </c>
      <c r="H3894" s="1" t="str">
        <f>IFERROR(__xludf.DUMMYFUNCTION("""COMPUTED_VALUE"""),"28/3/2023, 17:00:00")</f>
        <v>28/3/2023, 17:00:00</v>
      </c>
      <c r="I3894" s="1" t="str">
        <f>IFERROR(__xludf.DUMMYFUNCTION("""COMPUTED_VALUE"""),"RETIRADO OK POR CLIENTE")</f>
        <v>RETIRADO OK POR CLIENTE</v>
      </c>
      <c r="J3894" s="1">
        <f t="shared" si="3"/>
        <v>6</v>
      </c>
      <c r="K3894" s="1" t="str">
        <f t="shared" si="4"/>
        <v>Entregamos tus lentes, que los disfrutes!</v>
      </c>
    </row>
    <row r="3895">
      <c r="A3895" s="1">
        <f>IFERROR(__xludf.DUMMYFUNCTION("""COMPUTED_VALUE"""),88458.0)</f>
        <v>88458</v>
      </c>
      <c r="B3895" s="5">
        <f>IFERROR(__xludf.DUMMYFUNCTION("""COMPUTED_VALUE"""),45007.7673783912)</f>
        <v>45007.76738</v>
      </c>
      <c r="C3895" s="1" t="str">
        <f>IFERROR(__xludf.DUMMYFUNCTION("""COMPUTED_VALUE"""),"GULIANO ANDRES")</f>
        <v>GULIANO ANDRES</v>
      </c>
      <c r="D3895" s="1" t="str">
        <f>IFERROR(__xludf.DUMMYFUNCTION("""COMPUTED_VALUE"""),"Lentes de STOCK")</f>
        <v>Lentes de STOCK</v>
      </c>
      <c r="E3895" s="1" t="str">
        <f>IFERROR(__xludf.DUMMYFUNCTION("""COMPUTED_VALUE"""),"RIVADAVIA Santiago LOPEZ")</f>
        <v>RIVADAVIA Santiago LOPEZ</v>
      </c>
      <c r="F3895" s="1" t="str">
        <f t="shared" si="1"/>
        <v>RIVADAVIA </v>
      </c>
      <c r="G3895" s="1" t="str">
        <f t="shared" si="2"/>
        <v>Santiago LOPEZ</v>
      </c>
      <c r="H3895" s="1" t="str">
        <f>IFERROR(__xludf.DUMMYFUNCTION("""COMPUTED_VALUE"""),"27/3/2023, 17:00:00")</f>
        <v>27/3/2023, 17:00:00</v>
      </c>
      <c r="I3895" s="1" t="str">
        <f>IFERROR(__xludf.DUMMYFUNCTION("""COMPUTED_VALUE"""),"Recibido en Laboratorio")</f>
        <v>Recibido en Laboratorio</v>
      </c>
      <c r="J3895" s="1">
        <f t="shared" si="3"/>
        <v>2</v>
      </c>
      <c r="K3895" s="1" t="str">
        <f t="shared" si="4"/>
        <v>Nuestro Laboratorio esta trabajando en tus lentes, los entregaremos en la fecha acordada.</v>
      </c>
    </row>
    <row r="3896">
      <c r="A3896" s="1">
        <f>IFERROR(__xludf.DUMMYFUNCTION("""COMPUTED_VALUE"""),88459.0)</f>
        <v>88459</v>
      </c>
      <c r="B3896" s="5">
        <f>IFERROR(__xludf.DUMMYFUNCTION("""COMPUTED_VALUE"""),45007.76932820602)</f>
        <v>45007.76933</v>
      </c>
      <c r="C3896" s="1" t="str">
        <f>IFERROR(__xludf.DUMMYFUNCTION("""COMPUTED_VALUE"""),"LUCERO MICAELA")</f>
        <v>LUCERO MICAELA</v>
      </c>
      <c r="D3896" s="1" t="str">
        <f>IFERROR(__xludf.DUMMYFUNCTION("""COMPUTED_VALUE"""),"Lentes de STOCK")</f>
        <v>Lentes de STOCK</v>
      </c>
      <c r="E3896" s="1" t="str">
        <f>IFERROR(__xludf.DUMMYFUNCTION("""COMPUTED_VALUE"""),"RIVADAVIA Javier")</f>
        <v>RIVADAVIA Javier</v>
      </c>
      <c r="F3896" s="1" t="str">
        <f t="shared" si="1"/>
        <v>RIVADAVIA </v>
      </c>
      <c r="G3896" s="1" t="str">
        <f t="shared" si="2"/>
        <v>Javier</v>
      </c>
      <c r="H3896" s="1" t="str">
        <f>IFERROR(__xludf.DUMMYFUNCTION("""COMPUTED_VALUE"""),"29/3/2023, 17:00:00")</f>
        <v>29/3/2023, 17:00:00</v>
      </c>
      <c r="I3896" s="1" t="str">
        <f>IFERROR(__xludf.DUMMYFUNCTION("""COMPUTED_VALUE"""),"RETIRADO OK POR CLIENTE")</f>
        <v>RETIRADO OK POR CLIENTE</v>
      </c>
      <c r="J3896" s="1">
        <f t="shared" si="3"/>
        <v>6</v>
      </c>
      <c r="K3896" s="1" t="str">
        <f t="shared" si="4"/>
        <v>Entregamos tus lentes, que los disfrutes!</v>
      </c>
    </row>
    <row r="3897">
      <c r="A3897" s="1">
        <f>IFERROR(__xludf.DUMMYFUNCTION("""COMPUTED_VALUE"""),88460.0)</f>
        <v>88460</v>
      </c>
      <c r="B3897" s="5">
        <f>IFERROR(__xludf.DUMMYFUNCTION("""COMPUTED_VALUE"""),45007.774079201394)</f>
        <v>45007.77408</v>
      </c>
      <c r="C3897" s="1" t="str">
        <f>IFERROR(__xludf.DUMMYFUNCTION("""COMPUTED_VALUE"""),"ROMERO GLADYS DE LOURDES")</f>
        <v>ROMERO GLADYS DE LOURDES</v>
      </c>
      <c r="D3897" s="1" t="str">
        <f>IFERROR(__xludf.DUMMYFUNCTION("""COMPUTED_VALUE"""),"Lentes de STOCK")</f>
        <v>Lentes de STOCK</v>
      </c>
      <c r="E3897" s="1" t="str">
        <f>IFERROR(__xludf.DUMMYFUNCTION("""COMPUTED_VALUE"""),"ARTIGAS Roció")</f>
        <v>ARTIGAS Roció</v>
      </c>
      <c r="F3897" s="1" t="str">
        <f t="shared" si="1"/>
        <v>ARTIGAS </v>
      </c>
      <c r="G3897" s="1" t="str">
        <f t="shared" si="2"/>
        <v>Roció</v>
      </c>
      <c r="H3897" s="1" t="str">
        <f>IFERROR(__xludf.DUMMYFUNCTION("""COMPUTED_VALUE"""),"31/3/2023, 17:00:00")</f>
        <v>31/3/2023, 17:00:00</v>
      </c>
      <c r="I3897" s="1" t="str">
        <f>IFERROR(__xludf.DUMMYFUNCTION("""COMPUTED_VALUE"""),"RETIRADO OK POR CLIENTE")</f>
        <v>RETIRADO OK POR CLIENTE</v>
      </c>
      <c r="J3897" s="1">
        <f t="shared" si="3"/>
        <v>6</v>
      </c>
      <c r="K3897" s="1" t="str">
        <f t="shared" si="4"/>
        <v>Entregamos tus lentes, que los disfrutes!</v>
      </c>
    </row>
    <row r="3898">
      <c r="A3898" s="1">
        <f>IFERROR(__xludf.DUMMYFUNCTION("""COMPUTED_VALUE"""),88461.0)</f>
        <v>88461</v>
      </c>
      <c r="B3898" s="5">
        <f>IFERROR(__xludf.DUMMYFUNCTION("""COMPUTED_VALUE"""),45007.77790545139)</f>
        <v>45007.77791</v>
      </c>
      <c r="C3898" s="1" t="str">
        <f>IFERROR(__xludf.DUMMYFUNCTION("""COMPUTED_VALUE"""),"VEGA XIOMARA")</f>
        <v>VEGA XIOMARA</v>
      </c>
      <c r="D3898" s="1" t="str">
        <f>IFERROR(__xludf.DUMMYFUNCTION("""COMPUTED_VALUE"""),"Lentes de STOCK")</f>
        <v>Lentes de STOCK</v>
      </c>
      <c r="E3898" s="1" t="str">
        <f>IFERROR(__xludf.DUMMYFUNCTION("""COMPUTED_VALUE"""),"ARTIGAS Ivana P.")</f>
        <v>ARTIGAS Ivana P.</v>
      </c>
      <c r="F3898" s="1" t="str">
        <f t="shared" si="1"/>
        <v>ARTIGAS </v>
      </c>
      <c r="G3898" s="1" t="str">
        <f t="shared" si="2"/>
        <v>Ivana P.</v>
      </c>
      <c r="H3898" s="1" t="str">
        <f>IFERROR(__xludf.DUMMYFUNCTION("""COMPUTED_VALUE"""),"28/3/2023, 17:00:00")</f>
        <v>28/3/2023, 17:00:00</v>
      </c>
      <c r="I3898" s="1" t="str">
        <f>IFERROR(__xludf.DUMMYFUNCTION("""COMPUTED_VALUE"""),"RETIRADO OK POR CLIENTE")</f>
        <v>RETIRADO OK POR CLIENTE</v>
      </c>
      <c r="J3898" s="1">
        <f t="shared" si="3"/>
        <v>6</v>
      </c>
      <c r="K3898" s="1" t="str">
        <f t="shared" si="4"/>
        <v>Entregamos tus lentes, que los disfrutes!</v>
      </c>
    </row>
    <row r="3899">
      <c r="A3899" s="1">
        <f>IFERROR(__xludf.DUMMYFUNCTION("""COMPUTED_VALUE"""),88462.0)</f>
        <v>88462</v>
      </c>
      <c r="B3899" s="5">
        <f>IFERROR(__xludf.DUMMYFUNCTION("""COMPUTED_VALUE"""),45007.78508570602)</f>
        <v>45007.78509</v>
      </c>
      <c r="C3899" s="1" t="str">
        <f>IFERROR(__xludf.DUMMYFUNCTION("""COMPUTED_VALUE"""),"VEGA GUILLERMO")</f>
        <v>VEGA GUILLERMO</v>
      </c>
      <c r="D3899" s="1" t="str">
        <f>IFERROR(__xludf.DUMMYFUNCTION("""COMPUTED_VALUE"""),"Lentes de STOCK")</f>
        <v>Lentes de STOCK</v>
      </c>
      <c r="E3899" s="1" t="str">
        <f>IFERROR(__xludf.DUMMYFUNCTION("""COMPUTED_VALUE"""),"ARTIGAS Ivana P.")</f>
        <v>ARTIGAS Ivana P.</v>
      </c>
      <c r="F3899" s="1" t="str">
        <f t="shared" si="1"/>
        <v>ARTIGAS </v>
      </c>
      <c r="G3899" s="1" t="str">
        <f t="shared" si="2"/>
        <v>Ivana P.</v>
      </c>
      <c r="H3899" s="1" t="str">
        <f>IFERROR(__xludf.DUMMYFUNCTION("""COMPUTED_VALUE"""),"25/3/2023, 17:00:00")</f>
        <v>25/3/2023, 17:00:00</v>
      </c>
      <c r="I3899" s="1" t="str">
        <f>IFERROR(__xludf.DUMMYFUNCTION("""COMPUTED_VALUE"""),"RETIRADO OK POR CLIENTE")</f>
        <v>RETIRADO OK POR CLIENTE</v>
      </c>
      <c r="J3899" s="1">
        <f t="shared" si="3"/>
        <v>6</v>
      </c>
      <c r="K3899" s="1" t="str">
        <f t="shared" si="4"/>
        <v>Entregamos tus lentes, que los disfrutes!</v>
      </c>
    </row>
    <row r="3900">
      <c r="A3900" s="1">
        <f>IFERROR(__xludf.DUMMYFUNCTION("""COMPUTED_VALUE"""),88463.0)</f>
        <v>88463</v>
      </c>
      <c r="B3900" s="5">
        <f>IFERROR(__xludf.DUMMYFUNCTION("""COMPUTED_VALUE"""),45007.790714629635)</f>
        <v>45007.79071</v>
      </c>
      <c r="C3900" s="1" t="str">
        <f>IFERROR(__xludf.DUMMYFUNCTION("""COMPUTED_VALUE"""),"PEREZ PAULA GLADYS")</f>
        <v>PEREZ PAULA GLADYS</v>
      </c>
      <c r="D3900" s="1" t="str">
        <f>IFERROR(__xludf.DUMMYFUNCTION("""COMPUTED_VALUE"""),"Lentes de STOCK")</f>
        <v>Lentes de STOCK</v>
      </c>
      <c r="E3900" s="1" t="str">
        <f>IFERROR(__xludf.DUMMYFUNCTION("""COMPUTED_VALUE"""),"RIVADAVIA Christian C.")</f>
        <v>RIVADAVIA Christian C.</v>
      </c>
      <c r="F3900" s="1" t="str">
        <f t="shared" si="1"/>
        <v>RIVADAVIA </v>
      </c>
      <c r="G3900" s="1" t="str">
        <f t="shared" si="2"/>
        <v>Christian C.</v>
      </c>
      <c r="H3900" s="1" t="str">
        <f>IFERROR(__xludf.DUMMYFUNCTION("""COMPUTED_VALUE"""),"28/3/2023, 17:00:00")</f>
        <v>28/3/2023, 17:00:00</v>
      </c>
      <c r="I3900" s="1" t="str">
        <f>IFERROR(__xludf.DUMMYFUNCTION("""COMPUTED_VALUE"""),"RETIRADO OK POR CLIENTE")</f>
        <v>RETIRADO OK POR CLIENTE</v>
      </c>
      <c r="J3900" s="1">
        <f t="shared" si="3"/>
        <v>6</v>
      </c>
      <c r="K3900" s="1" t="str">
        <f t="shared" si="4"/>
        <v>Entregamos tus lentes, que los disfrutes!</v>
      </c>
    </row>
    <row r="3901">
      <c r="A3901" s="1">
        <f>IFERROR(__xludf.DUMMYFUNCTION("""COMPUTED_VALUE"""),88464.0)</f>
        <v>88464</v>
      </c>
      <c r="B3901" s="5">
        <f>IFERROR(__xludf.DUMMYFUNCTION("""COMPUTED_VALUE"""),45007.80181942129)</f>
        <v>45007.80182</v>
      </c>
      <c r="C3901" s="1" t="str">
        <f>IFERROR(__xludf.DUMMYFUNCTION("""COMPUTED_VALUE"""),"herrera jose")</f>
        <v>herrera jose</v>
      </c>
      <c r="D3901" s="1" t="str">
        <f>IFERROR(__xludf.DUMMYFUNCTION("""COMPUTED_VALUE"""),"Lentes de STOCK")</f>
        <v>Lentes de STOCK</v>
      </c>
      <c r="E3901" s="1" t="str">
        <f>IFERROR(__xludf.DUMMYFUNCTION("""COMPUTED_VALUE"""),"RIVADAVIA Santiago LOPEZ")</f>
        <v>RIVADAVIA Santiago LOPEZ</v>
      </c>
      <c r="F3901" s="1" t="str">
        <f t="shared" si="1"/>
        <v>RIVADAVIA </v>
      </c>
      <c r="G3901" s="1" t="str">
        <f t="shared" si="2"/>
        <v>Santiago LOPEZ</v>
      </c>
      <c r="H3901" s="1" t="str">
        <f>IFERROR(__xludf.DUMMYFUNCTION("""COMPUTED_VALUE"""),"28/3/2023, 17:00:00")</f>
        <v>28/3/2023, 17:00:00</v>
      </c>
      <c r="I3901" s="1" t="str">
        <f>IFERROR(__xludf.DUMMYFUNCTION("""COMPUTED_VALUE"""),"RETIRADO OK POR CLIENTE")</f>
        <v>RETIRADO OK POR CLIENTE</v>
      </c>
      <c r="J3901" s="1">
        <f t="shared" si="3"/>
        <v>6</v>
      </c>
      <c r="K3901" s="1" t="str">
        <f t="shared" si="4"/>
        <v>Entregamos tus lentes, que los disfrutes!</v>
      </c>
    </row>
    <row r="3902">
      <c r="A3902" s="1">
        <f>IFERROR(__xludf.DUMMYFUNCTION("""COMPUTED_VALUE"""),88465.0)</f>
        <v>88465</v>
      </c>
      <c r="B3902" s="5">
        <f>IFERROR(__xludf.DUMMYFUNCTION("""COMPUTED_VALUE"""),45007.80531298611)</f>
        <v>45007.80531</v>
      </c>
      <c r="C3902" s="1" t="str">
        <f>IFERROR(__xludf.DUMMYFUNCTION("""COMPUTED_VALUE"""),"olagaray francisco")</f>
        <v>olagaray francisco</v>
      </c>
      <c r="D3902" s="1" t="str">
        <f>IFERROR(__xludf.DUMMYFUNCTION("""COMPUTED_VALUE"""),"Lentes de STOCK")</f>
        <v>Lentes de STOCK</v>
      </c>
      <c r="E3902" s="1" t="str">
        <f>IFERROR(__xludf.DUMMYFUNCTION("""COMPUTED_VALUE"""),"RIVADAVIA Santiago N")</f>
        <v>RIVADAVIA Santiago N</v>
      </c>
      <c r="F3902" s="1" t="str">
        <f t="shared" si="1"/>
        <v>RIVADAVIA </v>
      </c>
      <c r="G3902" s="1" t="str">
        <f t="shared" si="2"/>
        <v>Santiago N</v>
      </c>
      <c r="H3902" s="1" t="str">
        <f>IFERROR(__xludf.DUMMYFUNCTION("""COMPUTED_VALUE"""),"25/3/2023, 17:00:00")</f>
        <v>25/3/2023, 17:00:00</v>
      </c>
      <c r="I3902" s="1" t="str">
        <f>IFERROR(__xludf.DUMMYFUNCTION("""COMPUTED_VALUE"""),"RETIRADO OK POR CLIENTE")</f>
        <v>RETIRADO OK POR CLIENTE</v>
      </c>
      <c r="J3902" s="1">
        <f t="shared" si="3"/>
        <v>6</v>
      </c>
      <c r="K3902" s="1" t="str">
        <f t="shared" si="4"/>
        <v>Entregamos tus lentes, que los disfrutes!</v>
      </c>
    </row>
    <row r="3903">
      <c r="A3903" s="1">
        <f>IFERROR(__xludf.DUMMYFUNCTION("""COMPUTED_VALUE"""),88466.0)</f>
        <v>88466</v>
      </c>
      <c r="B3903" s="5">
        <f>IFERROR(__xludf.DUMMYFUNCTION("""COMPUTED_VALUE"""),45007.805932557865)</f>
        <v>45007.80593</v>
      </c>
      <c r="C3903" s="1" t="str">
        <f>IFERROR(__xludf.DUMMYFUNCTION("""COMPUTED_VALUE"""),"JUNCO PATRICIA")</f>
        <v>JUNCO PATRICIA</v>
      </c>
      <c r="D3903" s="1" t="str">
        <f>IFERROR(__xludf.DUMMYFUNCTION("""COMPUTED_VALUE"""),"Lentes MULTIFOCALES")</f>
        <v>Lentes MULTIFOCALES</v>
      </c>
      <c r="E3903" s="1" t="str">
        <f>IFERROR(__xludf.DUMMYFUNCTION("""COMPUTED_VALUE"""),"ARTIGAS Ivana P.")</f>
        <v>ARTIGAS Ivana P.</v>
      </c>
      <c r="F3903" s="1" t="str">
        <f t="shared" si="1"/>
        <v>ARTIGAS </v>
      </c>
      <c r="G3903" s="1" t="str">
        <f t="shared" si="2"/>
        <v>Ivana P.</v>
      </c>
      <c r="H3903" s="1" t="str">
        <f>IFERROR(__xludf.DUMMYFUNCTION("""COMPUTED_VALUE"""),"4/4/2023, 17:00:00")</f>
        <v>4/4/2023, 17:00:00</v>
      </c>
      <c r="I3903" s="1" t="str">
        <f>IFERROR(__xludf.DUMMYFUNCTION("""COMPUTED_VALUE"""),"Completado en SUCURSAL")</f>
        <v>Completado en SUCURSAL</v>
      </c>
      <c r="J3903" s="1">
        <f t="shared" si="3"/>
        <v>5</v>
      </c>
      <c r="K3903" s="1" t="str">
        <f t="shared" si="4"/>
        <v>Tus Lentes estan LISTAS PARA ENTREGAR, te esperamos.</v>
      </c>
    </row>
    <row r="3904">
      <c r="A3904" s="1">
        <f>IFERROR(__xludf.DUMMYFUNCTION("""COMPUTED_VALUE"""),88467.0)</f>
        <v>88467</v>
      </c>
      <c r="B3904" s="5">
        <f>IFERROR(__xludf.DUMMYFUNCTION("""COMPUTED_VALUE"""),45007.8133621875)</f>
        <v>45007.81336</v>
      </c>
      <c r="C3904" s="1" t="str">
        <f>IFERROR(__xludf.DUMMYFUNCTION("""COMPUTED_VALUE"""),"MUÑOZ AXEL")</f>
        <v>MUÑOZ AXEL</v>
      </c>
      <c r="D3904" s="1" t="str">
        <f>IFERROR(__xludf.DUMMYFUNCTION("""COMPUTED_VALUE"""),"Lentes de STOCK")</f>
        <v>Lentes de STOCK</v>
      </c>
      <c r="E3904" s="1" t="str">
        <f>IFERROR(__xludf.DUMMYFUNCTION("""COMPUTED_VALUE"""),"ARTIGAS Ivana P.")</f>
        <v>ARTIGAS Ivana P.</v>
      </c>
      <c r="F3904" s="1" t="str">
        <f t="shared" si="1"/>
        <v>ARTIGAS </v>
      </c>
      <c r="G3904" s="1" t="str">
        <f t="shared" si="2"/>
        <v>Ivana P.</v>
      </c>
      <c r="H3904" s="1" t="str">
        <f>IFERROR(__xludf.DUMMYFUNCTION("""COMPUTED_VALUE"""),"28/3/2023, 17:00:00")</f>
        <v>28/3/2023, 17:00:00</v>
      </c>
      <c r="I3904" s="1" t="str">
        <f>IFERROR(__xludf.DUMMYFUNCTION("""COMPUTED_VALUE"""),"RETIRADO OK POR CLIENTE")</f>
        <v>RETIRADO OK POR CLIENTE</v>
      </c>
      <c r="J3904" s="1">
        <f t="shared" si="3"/>
        <v>6</v>
      </c>
      <c r="K3904" s="1" t="str">
        <f t="shared" si="4"/>
        <v>Entregamos tus lentes, que los disfrutes!</v>
      </c>
    </row>
    <row r="3905">
      <c r="A3905" s="1">
        <f>IFERROR(__xludf.DUMMYFUNCTION("""COMPUTED_VALUE"""),88468.0)</f>
        <v>88468</v>
      </c>
      <c r="B3905" s="5">
        <f>IFERROR(__xludf.DUMMYFUNCTION("""COMPUTED_VALUE"""),45007.81710986111)</f>
        <v>45007.81711</v>
      </c>
      <c r="C3905" s="1" t="str">
        <f>IFERROR(__xludf.DUMMYFUNCTION("""COMPUTED_VALUE"""),"ROY PAOLA ERIKA")</f>
        <v>ROY PAOLA ERIKA</v>
      </c>
      <c r="D3905" s="1" t="str">
        <f>IFERROR(__xludf.DUMMYFUNCTION("""COMPUTED_VALUE"""),"Lentes de LABORATORIO")</f>
        <v>Lentes de LABORATORIO</v>
      </c>
      <c r="E3905" s="1" t="str">
        <f>IFERROR(__xludf.DUMMYFUNCTION("""COMPUTED_VALUE"""),"RIVADAVIA Luciana")</f>
        <v>RIVADAVIA Luciana</v>
      </c>
      <c r="F3905" s="1" t="str">
        <f t="shared" si="1"/>
        <v>RIVADAVIA </v>
      </c>
      <c r="G3905" s="1" t="str">
        <f t="shared" si="2"/>
        <v>Luciana</v>
      </c>
      <c r="H3905" s="1" t="str">
        <f>IFERROR(__xludf.DUMMYFUNCTION("""COMPUTED_VALUE"""),"31/3/2023, 17:00:00")</f>
        <v>31/3/2023, 17:00:00</v>
      </c>
      <c r="I3905" s="1" t="str">
        <f>IFERROR(__xludf.DUMMYFUNCTION("""COMPUTED_VALUE"""),"RETIRADO OK POR CLIENTE")</f>
        <v>RETIRADO OK POR CLIENTE</v>
      </c>
      <c r="J3905" s="1">
        <f t="shared" si="3"/>
        <v>6</v>
      </c>
      <c r="K3905" s="1" t="str">
        <f t="shared" si="4"/>
        <v>Entregamos tus lentes, que los disfrutes!</v>
      </c>
    </row>
    <row r="3906">
      <c r="A3906" s="1">
        <f>IFERROR(__xludf.DUMMYFUNCTION("""COMPUTED_VALUE"""),88469.0)</f>
        <v>88469</v>
      </c>
      <c r="B3906" s="5">
        <f>IFERROR(__xludf.DUMMYFUNCTION("""COMPUTED_VALUE"""),45007.82166613426)</f>
        <v>45007.82167</v>
      </c>
      <c r="C3906" s="1" t="str">
        <f>IFERROR(__xludf.DUMMYFUNCTION("""COMPUTED_VALUE"""),"VILLCA CRISTIAN")</f>
        <v>VILLCA CRISTIAN</v>
      </c>
      <c r="D3906" s="1" t="str">
        <f>IFERROR(__xludf.DUMMYFUNCTION("""COMPUTED_VALUE"""),"Lentes de STOCK")</f>
        <v>Lentes de STOCK</v>
      </c>
      <c r="E3906" s="1" t="str">
        <f>IFERROR(__xludf.DUMMYFUNCTION("""COMPUTED_VALUE"""),"RIVADAVIA Santiago LOPEZ")</f>
        <v>RIVADAVIA Santiago LOPEZ</v>
      </c>
      <c r="F3906" s="1" t="str">
        <f t="shared" si="1"/>
        <v>RIVADAVIA </v>
      </c>
      <c r="G3906" s="1" t="str">
        <f t="shared" si="2"/>
        <v>Santiago LOPEZ</v>
      </c>
      <c r="H3906" s="1" t="str">
        <f>IFERROR(__xludf.DUMMYFUNCTION("""COMPUTED_VALUE"""),"28/3/2023, 17:00:00")</f>
        <v>28/3/2023, 17:00:00</v>
      </c>
      <c r="I3906" s="1" t="str">
        <f>IFERROR(__xludf.DUMMYFUNCTION("""COMPUTED_VALUE"""),"RETIRADO OK POR CLIENTE")</f>
        <v>RETIRADO OK POR CLIENTE</v>
      </c>
      <c r="J3906" s="1">
        <f t="shared" si="3"/>
        <v>6</v>
      </c>
      <c r="K3906" s="1" t="str">
        <f t="shared" si="4"/>
        <v>Entregamos tus lentes, que los disfrutes!</v>
      </c>
    </row>
    <row r="3907">
      <c r="A3907" s="1">
        <f>IFERROR(__xludf.DUMMYFUNCTION("""COMPUTED_VALUE"""),88470.0)</f>
        <v>88470</v>
      </c>
      <c r="B3907" s="5">
        <f>IFERROR(__xludf.DUMMYFUNCTION("""COMPUTED_VALUE"""),45007.82421615741)</f>
        <v>45007.82422</v>
      </c>
      <c r="C3907" s="1" t="str">
        <f>IFERROR(__xludf.DUMMYFUNCTION("""COMPUTED_VALUE"""),"CAVALLO SILVIA")</f>
        <v>CAVALLO SILVIA</v>
      </c>
      <c r="D3907" s="1" t="str">
        <f>IFERROR(__xludf.DUMMYFUNCTION("""COMPUTED_VALUE"""),"Lentes de STOCK")</f>
        <v>Lentes de STOCK</v>
      </c>
      <c r="E3907" s="1" t="str">
        <f>IFERROR(__xludf.DUMMYFUNCTION("""COMPUTED_VALUE"""),"RIVADAVIA Christian C.")</f>
        <v>RIVADAVIA Christian C.</v>
      </c>
      <c r="F3907" s="1" t="str">
        <f t="shared" si="1"/>
        <v>RIVADAVIA </v>
      </c>
      <c r="G3907" s="1" t="str">
        <f t="shared" si="2"/>
        <v>Christian C.</v>
      </c>
      <c r="H3907" s="1" t="str">
        <f>IFERROR(__xludf.DUMMYFUNCTION("""COMPUTED_VALUE"""),"30/3/2023, 17:00:00")</f>
        <v>30/3/2023, 17:00:00</v>
      </c>
      <c r="I3907" s="1" t="str">
        <f>IFERROR(__xludf.DUMMYFUNCTION("""COMPUTED_VALUE"""),"RETIRADO OK POR CLIENTE")</f>
        <v>RETIRADO OK POR CLIENTE</v>
      </c>
      <c r="J3907" s="1">
        <f t="shared" si="3"/>
        <v>6</v>
      </c>
      <c r="K3907" s="1" t="str">
        <f t="shared" si="4"/>
        <v>Entregamos tus lentes, que los disfrutes!</v>
      </c>
    </row>
    <row r="3908">
      <c r="A3908" s="1">
        <f>IFERROR(__xludf.DUMMYFUNCTION("""COMPUTED_VALUE"""),88471.0)</f>
        <v>88471</v>
      </c>
      <c r="B3908" s="5">
        <f>IFERROR(__xludf.DUMMYFUNCTION("""COMPUTED_VALUE"""),45007.83101414352)</f>
        <v>45007.83101</v>
      </c>
      <c r="C3908" s="1" t="str">
        <f>IFERROR(__xludf.DUMMYFUNCTION("""COMPUTED_VALUE"""),"gil raul")</f>
        <v>gil raul</v>
      </c>
      <c r="D3908" s="1" t="str">
        <f>IFERROR(__xludf.DUMMYFUNCTION("""COMPUTED_VALUE"""),"Reparaciones/Otros")</f>
        <v>Reparaciones/Otros</v>
      </c>
      <c r="E3908" s="1" t="str">
        <f>IFERROR(__xludf.DUMMYFUNCTION("""COMPUTED_VALUE"""),"ARTIGAS Roció")</f>
        <v>ARTIGAS Roció</v>
      </c>
      <c r="F3908" s="1" t="str">
        <f t="shared" si="1"/>
        <v>ARTIGAS </v>
      </c>
      <c r="G3908" s="1" t="str">
        <f t="shared" si="2"/>
        <v>Roció</v>
      </c>
      <c r="H3908" s="1" t="str">
        <f>IFERROR(__xludf.DUMMYFUNCTION("""COMPUTED_VALUE"""),"23/3/2023, 17:00:00")</f>
        <v>23/3/2023, 17:00:00</v>
      </c>
      <c r="I3908" s="1" t="str">
        <f>IFERROR(__xludf.DUMMYFUNCTION("""COMPUTED_VALUE"""),"Completado en SUCURSAL")</f>
        <v>Completado en SUCURSAL</v>
      </c>
      <c r="J3908" s="1">
        <f t="shared" si="3"/>
        <v>5</v>
      </c>
      <c r="K3908" s="1" t="str">
        <f t="shared" si="4"/>
        <v>Tus Lentes estan LISTAS PARA ENTREGAR, te esperamos.</v>
      </c>
    </row>
    <row r="3909">
      <c r="A3909" s="1">
        <f>IFERROR(__xludf.DUMMYFUNCTION("""COMPUTED_VALUE"""),88472.0)</f>
        <v>88472</v>
      </c>
      <c r="B3909" s="5">
        <f>IFERROR(__xludf.DUMMYFUNCTION("""COMPUTED_VALUE"""),45007.84487457176)</f>
        <v>45007.84487</v>
      </c>
      <c r="C3909" s="1" t="str">
        <f>IFERROR(__xludf.DUMMYFUNCTION("""COMPUTED_VALUE"""),"FARIAS VICTOR HUGO")</f>
        <v>FARIAS VICTOR HUGO</v>
      </c>
      <c r="D3909" s="1" t="str">
        <f>IFERROR(__xludf.DUMMYFUNCTION("""COMPUTED_VALUE"""),"Lentes de STOCK")</f>
        <v>Lentes de STOCK</v>
      </c>
      <c r="E3909" s="1" t="str">
        <f>IFERROR(__xludf.DUMMYFUNCTION("""COMPUTED_VALUE"""),"RIVADAVIA Christian C.")</f>
        <v>RIVADAVIA Christian C.</v>
      </c>
      <c r="F3909" s="1" t="str">
        <f t="shared" si="1"/>
        <v>RIVADAVIA </v>
      </c>
      <c r="G3909" s="1" t="str">
        <f t="shared" si="2"/>
        <v>Christian C.</v>
      </c>
      <c r="H3909" s="1" t="str">
        <f>IFERROR(__xludf.DUMMYFUNCTION("""COMPUTED_VALUE"""),"30/3/2023, 17:00:00")</f>
        <v>30/3/2023, 17:00:00</v>
      </c>
      <c r="I3909" s="1" t="str">
        <f>IFERROR(__xludf.DUMMYFUNCTION("""COMPUTED_VALUE"""),"RETIRADO OK POR CLIENTE")</f>
        <v>RETIRADO OK POR CLIENTE</v>
      </c>
      <c r="J3909" s="1">
        <f t="shared" si="3"/>
        <v>6</v>
      </c>
      <c r="K3909" s="1" t="str">
        <f t="shared" si="4"/>
        <v>Entregamos tus lentes, que los disfrutes!</v>
      </c>
    </row>
    <row r="3910">
      <c r="A3910" s="1">
        <f>IFERROR(__xludf.DUMMYFUNCTION("""COMPUTED_VALUE"""),88473.0)</f>
        <v>88473</v>
      </c>
      <c r="B3910" s="5">
        <f>IFERROR(__xludf.DUMMYFUNCTION("""COMPUTED_VALUE"""),45008.380615752314)</f>
        <v>45008.38062</v>
      </c>
      <c r="C3910" s="1" t="str">
        <f>IFERROR(__xludf.DUMMYFUNCTION("""COMPUTED_VALUE"""),"suarez becerra marcelo")</f>
        <v>suarez becerra marcelo</v>
      </c>
      <c r="D3910" s="1" t="str">
        <f>IFERROR(__xludf.DUMMYFUNCTION("""COMPUTED_VALUE"""),"Lentes de STOCK")</f>
        <v>Lentes de STOCK</v>
      </c>
      <c r="E3910" s="1" t="str">
        <f>IFERROR(__xludf.DUMMYFUNCTION("""COMPUTED_VALUE"""),"RIVADAVIA Daniel CM")</f>
        <v>RIVADAVIA Daniel CM</v>
      </c>
      <c r="F3910" s="1" t="str">
        <f t="shared" si="1"/>
        <v>RIVADAVIA </v>
      </c>
      <c r="G3910" s="1" t="str">
        <f t="shared" si="2"/>
        <v>Daniel CM</v>
      </c>
      <c r="H3910" s="1" t="str">
        <f>IFERROR(__xludf.DUMMYFUNCTION("""COMPUTED_VALUE"""),"29/3/2023, 17:00:00")</f>
        <v>29/3/2023, 17:00:00</v>
      </c>
      <c r="I3910" s="1" t="str">
        <f>IFERROR(__xludf.DUMMYFUNCTION("""COMPUTED_VALUE"""),"Completado en SUCURSAL")</f>
        <v>Completado en SUCURSAL</v>
      </c>
      <c r="J3910" s="1">
        <f t="shared" si="3"/>
        <v>5</v>
      </c>
      <c r="K3910" s="1" t="str">
        <f t="shared" si="4"/>
        <v>Tus Lentes estan LISTAS PARA ENTREGAR, te esperamos.</v>
      </c>
    </row>
    <row r="3911">
      <c r="A3911" s="1">
        <f>IFERROR(__xludf.DUMMYFUNCTION("""COMPUTED_VALUE"""),88474.0)</f>
        <v>88474</v>
      </c>
      <c r="B3911" s="5">
        <f>IFERROR(__xludf.DUMMYFUNCTION("""COMPUTED_VALUE"""),45008.383836469904)</f>
        <v>45008.38384</v>
      </c>
      <c r="C3911" s="1" t="str">
        <f>IFERROR(__xludf.DUMMYFUNCTION("""COMPUTED_VALUE"""),"LUCERO EPIFANIA")</f>
        <v>LUCERO EPIFANIA</v>
      </c>
      <c r="D3911" s="1" t="str">
        <f>IFERROR(__xludf.DUMMYFUNCTION("""COMPUTED_VALUE"""),"Lentes BIFOCALES")</f>
        <v>Lentes BIFOCALES</v>
      </c>
      <c r="E3911" s="1" t="str">
        <f>IFERROR(__xludf.DUMMYFUNCTION("""COMPUTED_VALUE"""),"RIVADAVIA Marcela L")</f>
        <v>RIVADAVIA Marcela L</v>
      </c>
      <c r="F3911" s="1" t="str">
        <f t="shared" si="1"/>
        <v>RIVADAVIA </v>
      </c>
      <c r="G3911" s="1" t="str">
        <f t="shared" si="2"/>
        <v>Marcela L</v>
      </c>
      <c r="H3911" s="1" t="str">
        <f>IFERROR(__xludf.DUMMYFUNCTION("""COMPUTED_VALUE"""),"1/4/2023, 17:00:00")</f>
        <v>1/4/2023, 17:00:00</v>
      </c>
      <c r="I3911" s="1" t="str">
        <f>IFERROR(__xludf.DUMMYFUNCTION("""COMPUTED_VALUE"""),"RETIRADO OK POR CLIENTE")</f>
        <v>RETIRADO OK POR CLIENTE</v>
      </c>
      <c r="J3911" s="1">
        <f t="shared" si="3"/>
        <v>6</v>
      </c>
      <c r="K3911" s="1" t="str">
        <f t="shared" si="4"/>
        <v>Entregamos tus lentes, que los disfrutes!</v>
      </c>
    </row>
    <row r="3912">
      <c r="A3912" s="1">
        <f>IFERROR(__xludf.DUMMYFUNCTION("""COMPUTED_VALUE"""),88475.0)</f>
        <v>88475</v>
      </c>
      <c r="B3912" s="5">
        <f>IFERROR(__xludf.DUMMYFUNCTION("""COMPUTED_VALUE"""),45008.38387263889)</f>
        <v>45008.38387</v>
      </c>
      <c r="C3912" s="1" t="str">
        <f>IFERROR(__xludf.DUMMYFUNCTION("""COMPUTED_VALUE"""),"SUAREZ MARIA ISABEL")</f>
        <v>SUAREZ MARIA ISABEL</v>
      </c>
      <c r="D3912" s="1" t="str">
        <f>IFERROR(__xludf.DUMMYFUNCTION("""COMPUTED_VALUE"""),"Reparaciones/Otros")</f>
        <v>Reparaciones/Otros</v>
      </c>
      <c r="E3912" s="1" t="str">
        <f>IFERROR(__xludf.DUMMYFUNCTION("""COMPUTED_VALUE"""),"RIVADAVIA Luciana")</f>
        <v>RIVADAVIA Luciana</v>
      </c>
      <c r="F3912" s="1" t="str">
        <f t="shared" si="1"/>
        <v>RIVADAVIA </v>
      </c>
      <c r="G3912" s="1" t="str">
        <f t="shared" si="2"/>
        <v>Luciana</v>
      </c>
      <c r="H3912" s="1" t="str">
        <f>IFERROR(__xludf.DUMMYFUNCTION("""COMPUTED_VALUE"""),"27/3/2023, 17:00:00")</f>
        <v>27/3/2023, 17:00:00</v>
      </c>
      <c r="I3912" s="1" t="str">
        <f>IFERROR(__xludf.DUMMYFUNCTION("""COMPUTED_VALUE"""),"Completado en SUCURSAL")</f>
        <v>Completado en SUCURSAL</v>
      </c>
      <c r="J3912" s="1">
        <f t="shared" si="3"/>
        <v>5</v>
      </c>
      <c r="K3912" s="1" t="str">
        <f t="shared" si="4"/>
        <v>Tus Lentes estan LISTAS PARA ENTREGAR, te esperamos.</v>
      </c>
    </row>
    <row r="3913">
      <c r="A3913" s="1">
        <f>IFERROR(__xludf.DUMMYFUNCTION("""COMPUTED_VALUE"""),88476.0)</f>
        <v>88476</v>
      </c>
      <c r="B3913" s="5">
        <f>IFERROR(__xludf.DUMMYFUNCTION("""COMPUTED_VALUE"""),45008.38596866898)</f>
        <v>45008.38597</v>
      </c>
      <c r="C3913" s="1" t="str">
        <f>IFERROR(__xludf.DUMMYFUNCTION("""COMPUTED_VALUE"""),"guevara argenis")</f>
        <v>guevara argenis</v>
      </c>
      <c r="D3913" s="1" t="str">
        <f>IFERROR(__xludf.DUMMYFUNCTION("""COMPUTED_VALUE"""),"Reparaciones/Otros")</f>
        <v>Reparaciones/Otros</v>
      </c>
      <c r="E3913" s="1" t="str">
        <f>IFERROR(__xludf.DUMMYFUNCTION("""COMPUTED_VALUE"""),"RIVADAVIA Daniel CM")</f>
        <v>RIVADAVIA Daniel CM</v>
      </c>
      <c r="F3913" s="1" t="str">
        <f t="shared" si="1"/>
        <v>RIVADAVIA </v>
      </c>
      <c r="G3913" s="1" t="str">
        <f t="shared" si="2"/>
        <v>Daniel CM</v>
      </c>
      <c r="H3913" s="1" t="str">
        <f>IFERROR(__xludf.DUMMYFUNCTION("""COMPUTED_VALUE"""),"25/3/2023, 17:00:00")</f>
        <v>25/3/2023, 17:00:00</v>
      </c>
      <c r="I3913" s="1"/>
      <c r="J3913" s="1">
        <f t="shared" si="3"/>
        <v>0</v>
      </c>
      <c r="K3913" s="1" t="str">
        <f t="shared" si="4"/>
        <v/>
      </c>
    </row>
    <row r="3914">
      <c r="A3914" s="1">
        <f>IFERROR(__xludf.DUMMYFUNCTION("""COMPUTED_VALUE"""),88477.0)</f>
        <v>88477</v>
      </c>
      <c r="B3914" s="5">
        <f>IFERROR(__xludf.DUMMYFUNCTION("""COMPUTED_VALUE"""),45008.38744960648)</f>
        <v>45008.38745</v>
      </c>
      <c r="C3914" s="1" t="str">
        <f>IFERROR(__xludf.DUMMYFUNCTION("""COMPUTED_VALUE"""),"gil florencia tatiana")</f>
        <v>gil florencia tatiana</v>
      </c>
      <c r="D3914" s="1" t="str">
        <f>IFERROR(__xludf.DUMMYFUNCTION("""COMPUTED_VALUE"""),"Lentes de LABORATORIO")</f>
        <v>Lentes de LABORATORIO</v>
      </c>
      <c r="E3914" s="1" t="str">
        <f>IFERROR(__xludf.DUMMYFUNCTION("""COMPUTED_VALUE"""),"RIVADAVIA Santiago N")</f>
        <v>RIVADAVIA Santiago N</v>
      </c>
      <c r="F3914" s="1" t="str">
        <f t="shared" si="1"/>
        <v>RIVADAVIA </v>
      </c>
      <c r="G3914" s="1" t="str">
        <f t="shared" si="2"/>
        <v>Santiago N</v>
      </c>
      <c r="H3914" s="1" t="str">
        <f>IFERROR(__xludf.DUMMYFUNCTION("""COMPUTED_VALUE"""),"8/4/2023, 17:00:00")</f>
        <v>8/4/2023, 17:00:00</v>
      </c>
      <c r="I3914" s="1" t="str">
        <f>IFERROR(__xludf.DUMMYFUNCTION("""COMPUTED_VALUE"""),"Completado en SUCURSAL")</f>
        <v>Completado en SUCURSAL</v>
      </c>
      <c r="J3914" s="1">
        <f t="shared" si="3"/>
        <v>5</v>
      </c>
      <c r="K3914" s="1" t="str">
        <f t="shared" si="4"/>
        <v>Tus Lentes estan LISTAS PARA ENTREGAR, te esperamos.</v>
      </c>
    </row>
    <row r="3915">
      <c r="A3915" s="1">
        <f>IFERROR(__xludf.DUMMYFUNCTION("""COMPUTED_VALUE"""),88478.0)</f>
        <v>88478</v>
      </c>
      <c r="B3915" s="5">
        <f>IFERROR(__xludf.DUMMYFUNCTION("""COMPUTED_VALUE"""),45008.38850956019)</f>
        <v>45008.38851</v>
      </c>
      <c r="C3915" s="1" t="str">
        <f>IFERROR(__xludf.DUMMYFUNCTION("""COMPUTED_VALUE"""),"PEREIRA RUBEN OSCAR")</f>
        <v>PEREIRA RUBEN OSCAR</v>
      </c>
      <c r="D3915" s="1" t="str">
        <f>IFERROR(__xludf.DUMMYFUNCTION("""COMPUTED_VALUE"""),"Lentes de STOCK")</f>
        <v>Lentes de STOCK</v>
      </c>
      <c r="E3915" s="1" t="str">
        <f>IFERROR(__xludf.DUMMYFUNCTION("""COMPUTED_VALUE"""),"RIVADAVIA Marcela L")</f>
        <v>RIVADAVIA Marcela L</v>
      </c>
      <c r="F3915" s="1" t="str">
        <f t="shared" si="1"/>
        <v>RIVADAVIA </v>
      </c>
      <c r="G3915" s="1" t="str">
        <f t="shared" si="2"/>
        <v>Marcela L</v>
      </c>
      <c r="H3915" s="1" t="str">
        <f>IFERROR(__xludf.DUMMYFUNCTION("""COMPUTED_VALUE"""),"29/3/2023, 17:00:00")</f>
        <v>29/3/2023, 17:00:00</v>
      </c>
      <c r="I3915" s="1" t="str">
        <f>IFERROR(__xludf.DUMMYFUNCTION("""COMPUTED_VALUE"""),"RETIRADO OK POR CLIENTE")</f>
        <v>RETIRADO OK POR CLIENTE</v>
      </c>
      <c r="J3915" s="1">
        <f t="shared" si="3"/>
        <v>6</v>
      </c>
      <c r="K3915" s="1" t="str">
        <f t="shared" si="4"/>
        <v>Entregamos tus lentes, que los disfrutes!</v>
      </c>
    </row>
    <row r="3916">
      <c r="A3916" s="1">
        <f>IFERROR(__xludf.DUMMYFUNCTION("""COMPUTED_VALUE"""),88479.0)</f>
        <v>88479</v>
      </c>
      <c r="B3916" s="5">
        <f>IFERROR(__xludf.DUMMYFUNCTION("""COMPUTED_VALUE"""),45008.39281479167)</f>
        <v>45008.39281</v>
      </c>
      <c r="C3916" s="1" t="str">
        <f>IFERROR(__xludf.DUMMYFUNCTION("""COMPUTED_VALUE"""),"echenique morena")</f>
        <v>echenique morena</v>
      </c>
      <c r="D3916" s="1" t="str">
        <f>IFERROR(__xludf.DUMMYFUNCTION("""COMPUTED_VALUE"""),"Lentes de LABORATORIO")</f>
        <v>Lentes de LABORATORIO</v>
      </c>
      <c r="E3916" s="1" t="str">
        <f>IFERROR(__xludf.DUMMYFUNCTION("""COMPUTED_VALUE"""),"RIVADAVIA Santiago N")</f>
        <v>RIVADAVIA Santiago N</v>
      </c>
      <c r="F3916" s="1" t="str">
        <f t="shared" si="1"/>
        <v>RIVADAVIA </v>
      </c>
      <c r="G3916" s="1" t="str">
        <f t="shared" si="2"/>
        <v>Santiago N</v>
      </c>
      <c r="H3916" s="1" t="str">
        <f>IFERROR(__xludf.DUMMYFUNCTION("""COMPUTED_VALUE"""),"8/4/2023, 17:00:00")</f>
        <v>8/4/2023, 17:00:00</v>
      </c>
      <c r="I3916" s="1" t="str">
        <f>IFERROR(__xludf.DUMMYFUNCTION("""COMPUTED_VALUE"""),"Completado en SUCURSAL")</f>
        <v>Completado en SUCURSAL</v>
      </c>
      <c r="J3916" s="1">
        <f t="shared" si="3"/>
        <v>5</v>
      </c>
      <c r="K3916" s="1" t="str">
        <f t="shared" si="4"/>
        <v>Tus Lentes estan LISTAS PARA ENTREGAR, te esperamos.</v>
      </c>
    </row>
    <row r="3917">
      <c r="A3917" s="1">
        <f>IFERROR(__xludf.DUMMYFUNCTION("""COMPUTED_VALUE"""),88480.0)</f>
        <v>88480</v>
      </c>
      <c r="B3917" s="5">
        <f>IFERROR(__xludf.DUMMYFUNCTION("""COMPUTED_VALUE"""),45008.39526626158)</f>
        <v>45008.39527</v>
      </c>
      <c r="C3917" s="1" t="str">
        <f>IFERROR(__xludf.DUMMYFUNCTION("""COMPUTED_VALUE"""),"ibañez leandro")</f>
        <v>ibañez leandro</v>
      </c>
      <c r="D3917" s="1" t="str">
        <f>IFERROR(__xludf.DUMMYFUNCTION("""COMPUTED_VALUE"""),"Lentes de STOCK")</f>
        <v>Lentes de STOCK</v>
      </c>
      <c r="E3917" s="1" t="str">
        <f>IFERROR(__xludf.DUMMYFUNCTION("""COMPUTED_VALUE"""),"RIVADAVIA Santiago N")</f>
        <v>RIVADAVIA Santiago N</v>
      </c>
      <c r="F3917" s="1" t="str">
        <f t="shared" si="1"/>
        <v>RIVADAVIA </v>
      </c>
      <c r="G3917" s="1" t="str">
        <f t="shared" si="2"/>
        <v>Santiago N</v>
      </c>
      <c r="H3917" s="1" t="str">
        <f>IFERROR(__xludf.DUMMYFUNCTION("""COMPUTED_VALUE"""),"27/3/2023, 17:00:00")</f>
        <v>27/3/2023, 17:00:00</v>
      </c>
      <c r="I3917" s="1" t="str">
        <f>IFERROR(__xludf.DUMMYFUNCTION("""COMPUTED_VALUE"""),"RETIRADO OK POR CLIENTE")</f>
        <v>RETIRADO OK POR CLIENTE</v>
      </c>
      <c r="J3917" s="1">
        <f t="shared" si="3"/>
        <v>6</v>
      </c>
      <c r="K3917" s="1" t="str">
        <f t="shared" si="4"/>
        <v>Entregamos tus lentes, que los disfrutes!</v>
      </c>
    </row>
    <row r="3918">
      <c r="A3918" s="1">
        <f>IFERROR(__xludf.DUMMYFUNCTION("""COMPUTED_VALUE"""),88481.0)</f>
        <v>88481</v>
      </c>
      <c r="B3918" s="5">
        <f>IFERROR(__xludf.DUMMYFUNCTION("""COMPUTED_VALUE"""),45008.398749976855)</f>
        <v>45008.39875</v>
      </c>
      <c r="C3918" s="1" t="str">
        <f>IFERROR(__xludf.DUMMYFUNCTION("""COMPUTED_VALUE"""),"ZARATE MIRTA ((PROGRAMA MEDICINA DEL INTERIOR GOB)")</f>
        <v>ZARATE MIRTA ((PROGRAMA MEDICINA DEL INTERIOR GOB)</v>
      </c>
      <c r="D3918" s="1" t="str">
        <f>IFERROR(__xludf.DUMMYFUNCTION("""COMPUTED_VALUE"""),"Lentes de STOCK")</f>
        <v>Lentes de STOCK</v>
      </c>
      <c r="E3918" s="1" t="str">
        <f>IFERROR(__xludf.DUMMYFUNCTION("""COMPUTED_VALUE"""),"Online ADMIN.")</f>
        <v>Online ADMIN.</v>
      </c>
      <c r="F3918" s="1" t="str">
        <f t="shared" si="1"/>
        <v>Online </v>
      </c>
      <c r="G3918" s="1" t="str">
        <f t="shared" si="2"/>
        <v>ADMIN.</v>
      </c>
      <c r="H3918" s="1" t="str">
        <f>IFERROR(__xludf.DUMMYFUNCTION("""COMPUTED_VALUE"""),"25/3/2023, 17:00:00")</f>
        <v>25/3/2023, 17:00:00</v>
      </c>
      <c r="I3918" s="1" t="str">
        <f>IFERROR(__xludf.DUMMYFUNCTION("""COMPUTED_VALUE"""),"Recibido en Laboratorio")</f>
        <v>Recibido en Laboratorio</v>
      </c>
      <c r="J3918" s="1">
        <f t="shared" si="3"/>
        <v>2</v>
      </c>
      <c r="K3918" s="1" t="str">
        <f t="shared" si="4"/>
        <v>Nuestro Laboratorio esta trabajando en tus lentes, los entregaremos en la fecha acordada.</v>
      </c>
    </row>
    <row r="3919">
      <c r="A3919" s="1">
        <f>IFERROR(__xludf.DUMMYFUNCTION("""COMPUTED_VALUE"""),88482.0)</f>
        <v>88482</v>
      </c>
      <c r="B3919" s="5">
        <f>IFERROR(__xludf.DUMMYFUNCTION("""COMPUTED_VALUE"""),45008.399278680554)</f>
        <v>45008.39928</v>
      </c>
      <c r="C3919" s="1" t="str">
        <f>IFERROR(__xludf.DUMMYFUNCTION("""COMPUTED_VALUE"""),"POTES HORACIO RICARDO")</f>
        <v>POTES HORACIO RICARDO</v>
      </c>
      <c r="D3919" s="1" t="str">
        <f>IFERROR(__xludf.DUMMYFUNCTION("""COMPUTED_VALUE"""),"Lentes de LABORATORIO")</f>
        <v>Lentes de LABORATORIO</v>
      </c>
      <c r="E3919" s="1" t="str">
        <f>IFERROR(__xludf.DUMMYFUNCTION("""COMPUTED_VALUE"""),"ARTIGAS Roció")</f>
        <v>ARTIGAS Roció</v>
      </c>
      <c r="F3919" s="1" t="str">
        <f t="shared" si="1"/>
        <v>ARTIGAS </v>
      </c>
      <c r="G3919" s="1" t="str">
        <f t="shared" si="2"/>
        <v>Roció</v>
      </c>
      <c r="H3919" s="1" t="str">
        <f>IFERROR(__xludf.DUMMYFUNCTION("""COMPUTED_VALUE"""),"3/4/2023, 17:00:00")</f>
        <v>3/4/2023, 17:00:00</v>
      </c>
      <c r="I3919" s="1" t="str">
        <f>IFERROR(__xludf.DUMMYFUNCTION("""COMPUTED_VALUE"""),"Completado en SUCURSAL")</f>
        <v>Completado en SUCURSAL</v>
      </c>
      <c r="J3919" s="1">
        <f t="shared" si="3"/>
        <v>5</v>
      </c>
      <c r="K3919" s="1" t="str">
        <f t="shared" si="4"/>
        <v>Tus Lentes estan LISTAS PARA ENTREGAR, te esperamos.</v>
      </c>
    </row>
    <row r="3920">
      <c r="A3920" s="1">
        <f>IFERROR(__xludf.DUMMYFUNCTION("""COMPUTED_VALUE"""),88483.0)</f>
        <v>88483</v>
      </c>
      <c r="B3920" s="5">
        <f>IFERROR(__xludf.DUMMYFUNCTION("""COMPUTED_VALUE"""),45008.399795694444)</f>
        <v>45008.3998</v>
      </c>
      <c r="C3920" s="1" t="str">
        <f>IFERROR(__xludf.DUMMYFUNCTION("""COMPUTED_VALUE"""),"VALLEJOS VERONICA (PROGRAMA MEDICINA DEL INTERIOR GOB)")</f>
        <v>VALLEJOS VERONICA (PROGRAMA MEDICINA DEL INTERIOR GOB)</v>
      </c>
      <c r="D3920" s="1" t="str">
        <f>IFERROR(__xludf.DUMMYFUNCTION("""COMPUTED_VALUE"""),"Lentes de STOCK")</f>
        <v>Lentes de STOCK</v>
      </c>
      <c r="E3920" s="1" t="str">
        <f>IFERROR(__xludf.DUMMYFUNCTION("""COMPUTED_VALUE"""),"Online ADMIN.")</f>
        <v>Online ADMIN.</v>
      </c>
      <c r="F3920" s="1" t="str">
        <f t="shared" si="1"/>
        <v>Online </v>
      </c>
      <c r="G3920" s="1" t="str">
        <f t="shared" si="2"/>
        <v>ADMIN.</v>
      </c>
      <c r="H3920" s="1" t="str">
        <f>IFERROR(__xludf.DUMMYFUNCTION("""COMPUTED_VALUE"""),"25/3/2023, 17:00:00")</f>
        <v>25/3/2023, 17:00:00</v>
      </c>
      <c r="I3920" s="1" t="str">
        <f>IFERROR(__xludf.DUMMYFUNCTION("""COMPUTED_VALUE"""),"Recibido en Laboratorio")</f>
        <v>Recibido en Laboratorio</v>
      </c>
      <c r="J3920" s="1">
        <f t="shared" si="3"/>
        <v>2</v>
      </c>
      <c r="K3920" s="1" t="str">
        <f t="shared" si="4"/>
        <v>Nuestro Laboratorio esta trabajando en tus lentes, los entregaremos en la fecha acordada.</v>
      </c>
    </row>
    <row r="3921">
      <c r="A3921" s="1">
        <f>IFERROR(__xludf.DUMMYFUNCTION("""COMPUTED_VALUE"""),88484.0)</f>
        <v>88484</v>
      </c>
      <c r="B3921" s="5">
        <f>IFERROR(__xludf.DUMMYFUNCTION("""COMPUTED_VALUE"""),45008.40070067129)</f>
        <v>45008.4007</v>
      </c>
      <c r="C3921" s="1" t="str">
        <f>IFERROR(__xludf.DUMMYFUNCTION("""COMPUTED_VALUE"""),"TEJADA NAHUEL (PROGRAMA MEDICINA DEL INTERIOR GOB)")</f>
        <v>TEJADA NAHUEL (PROGRAMA MEDICINA DEL INTERIOR GOB)</v>
      </c>
      <c r="D3921" s="1" t="str">
        <f>IFERROR(__xludf.DUMMYFUNCTION("""COMPUTED_VALUE"""),"Lentes de STOCK")</f>
        <v>Lentes de STOCK</v>
      </c>
      <c r="E3921" s="1" t="str">
        <f>IFERROR(__xludf.DUMMYFUNCTION("""COMPUTED_VALUE"""),"Online ADMIN.")</f>
        <v>Online ADMIN.</v>
      </c>
      <c r="F3921" s="1" t="str">
        <f t="shared" si="1"/>
        <v>Online </v>
      </c>
      <c r="G3921" s="1" t="str">
        <f t="shared" si="2"/>
        <v>ADMIN.</v>
      </c>
      <c r="H3921" s="1" t="str">
        <f>IFERROR(__xludf.DUMMYFUNCTION("""COMPUTED_VALUE"""),"25/3/2023, 17:00:00")</f>
        <v>25/3/2023, 17:00:00</v>
      </c>
      <c r="I3921" s="1" t="str">
        <f>IFERROR(__xludf.DUMMYFUNCTION("""COMPUTED_VALUE"""),"Recibido en Laboratorio")</f>
        <v>Recibido en Laboratorio</v>
      </c>
      <c r="J3921" s="1">
        <f t="shared" si="3"/>
        <v>2</v>
      </c>
      <c r="K3921" s="1" t="str">
        <f t="shared" si="4"/>
        <v>Nuestro Laboratorio esta trabajando en tus lentes, los entregaremos en la fecha acordada.</v>
      </c>
    </row>
    <row r="3922">
      <c r="A3922" s="1">
        <f>IFERROR(__xludf.DUMMYFUNCTION("""COMPUTED_VALUE"""),88485.0)</f>
        <v>88485</v>
      </c>
      <c r="B3922" s="5">
        <f>IFERROR(__xludf.DUMMYFUNCTION("""COMPUTED_VALUE"""),45008.40117880787)</f>
        <v>45008.40118</v>
      </c>
      <c r="C3922" s="1" t="str">
        <f>IFERROR(__xludf.DUMMYFUNCTION("""COMPUTED_VALUE"""),"SOSA ROSANA (PROGRAMA MEDICINA DEL INTERIOR GOB)")</f>
        <v>SOSA ROSANA (PROGRAMA MEDICINA DEL INTERIOR GOB)</v>
      </c>
      <c r="D3922" s="1" t="str">
        <f>IFERROR(__xludf.DUMMYFUNCTION("""COMPUTED_VALUE"""),"Lentes de STOCK")</f>
        <v>Lentes de STOCK</v>
      </c>
      <c r="E3922" s="1" t="str">
        <f>IFERROR(__xludf.DUMMYFUNCTION("""COMPUTED_VALUE"""),"Online ADMIN.")</f>
        <v>Online ADMIN.</v>
      </c>
      <c r="F3922" s="1" t="str">
        <f t="shared" si="1"/>
        <v>Online </v>
      </c>
      <c r="G3922" s="1" t="str">
        <f t="shared" si="2"/>
        <v>ADMIN.</v>
      </c>
      <c r="H3922" s="1" t="str">
        <f>IFERROR(__xludf.DUMMYFUNCTION("""COMPUTED_VALUE"""),"25/3/2023, 17:00:00")</f>
        <v>25/3/2023, 17:00:00</v>
      </c>
      <c r="I3922" s="1" t="str">
        <f>IFERROR(__xludf.DUMMYFUNCTION("""COMPUTED_VALUE"""),"Recibido en Laboratorio")</f>
        <v>Recibido en Laboratorio</v>
      </c>
      <c r="J3922" s="1">
        <f t="shared" si="3"/>
        <v>2</v>
      </c>
      <c r="K3922" s="1" t="str">
        <f t="shared" si="4"/>
        <v>Nuestro Laboratorio esta trabajando en tus lentes, los entregaremos en la fecha acordada.</v>
      </c>
    </row>
    <row r="3923">
      <c r="A3923" s="1">
        <f>IFERROR(__xludf.DUMMYFUNCTION("""COMPUTED_VALUE"""),88486.0)</f>
        <v>88486</v>
      </c>
      <c r="B3923" s="5">
        <f>IFERROR(__xludf.DUMMYFUNCTION("""COMPUTED_VALUE"""),45008.40268436343)</f>
        <v>45008.40268</v>
      </c>
      <c r="C3923" s="1" t="str">
        <f>IFERROR(__xludf.DUMMYFUNCTION("""COMPUTED_VALUE"""),"SETTE ENCARNACION ")</f>
        <v>SETTE ENCARNACION </v>
      </c>
      <c r="D3923" s="1" t="str">
        <f>IFERROR(__xludf.DUMMYFUNCTION("""COMPUTED_VALUE"""),"Lentes de STOCK")</f>
        <v>Lentes de STOCK</v>
      </c>
      <c r="E3923" s="1" t="str">
        <f>IFERROR(__xludf.DUMMYFUNCTION("""COMPUTED_VALUE"""),"ARTIGAS Roció")</f>
        <v>ARTIGAS Roció</v>
      </c>
      <c r="F3923" s="1" t="str">
        <f t="shared" si="1"/>
        <v>ARTIGAS </v>
      </c>
      <c r="G3923" s="1" t="str">
        <f t="shared" si="2"/>
        <v>Roció</v>
      </c>
      <c r="H3923" s="1" t="str">
        <f>IFERROR(__xludf.DUMMYFUNCTION("""COMPUTED_VALUE"""),"3/4/2023, 17:00:00")</f>
        <v>3/4/2023, 17:00:00</v>
      </c>
      <c r="I3923" s="1" t="str">
        <f>IFERROR(__xludf.DUMMYFUNCTION("""COMPUTED_VALUE"""),"Completado en SUCURSAL")</f>
        <v>Completado en SUCURSAL</v>
      </c>
      <c r="J3923" s="1">
        <f t="shared" si="3"/>
        <v>5</v>
      </c>
      <c r="K3923" s="1" t="str">
        <f t="shared" si="4"/>
        <v>Tus Lentes estan LISTAS PARA ENTREGAR, te esperamos.</v>
      </c>
    </row>
    <row r="3924">
      <c r="A3924" s="1">
        <f>IFERROR(__xludf.DUMMYFUNCTION("""COMPUTED_VALUE"""),88487.0)</f>
        <v>88487</v>
      </c>
      <c r="B3924" s="5">
        <f>IFERROR(__xludf.DUMMYFUNCTION("""COMPUTED_VALUE"""),45008.40374376158)</f>
        <v>45008.40374</v>
      </c>
      <c r="C3924" s="1" t="str">
        <f>IFERROR(__xludf.DUMMYFUNCTION("""COMPUTED_VALUE"""),"VILCHEZ RAMONA")</f>
        <v>VILCHEZ RAMONA</v>
      </c>
      <c r="D3924" s="1" t="str">
        <f>IFERROR(__xludf.DUMMYFUNCTION("""COMPUTED_VALUE"""),"Lentes de STOCK")</f>
        <v>Lentes de STOCK</v>
      </c>
      <c r="E3924" s="1" t="str">
        <f>IFERROR(__xludf.DUMMYFUNCTION("""COMPUTED_VALUE"""),"ARTIGAS Ivana P.")</f>
        <v>ARTIGAS Ivana P.</v>
      </c>
      <c r="F3924" s="1" t="str">
        <f t="shared" si="1"/>
        <v>ARTIGAS </v>
      </c>
      <c r="G3924" s="1" t="str">
        <f t="shared" si="2"/>
        <v>Ivana P.</v>
      </c>
      <c r="H3924" s="1" t="str">
        <f>IFERROR(__xludf.DUMMYFUNCTION("""COMPUTED_VALUE"""),"29/3/2023, 17:00:00")</f>
        <v>29/3/2023, 17:00:00</v>
      </c>
      <c r="I3924" s="1" t="str">
        <f>IFERROR(__xludf.DUMMYFUNCTION("""COMPUTED_VALUE"""),"RETIRADO OK POR CLIENTE")</f>
        <v>RETIRADO OK POR CLIENTE</v>
      </c>
      <c r="J3924" s="1">
        <f t="shared" si="3"/>
        <v>6</v>
      </c>
      <c r="K3924" s="1" t="str">
        <f t="shared" si="4"/>
        <v>Entregamos tus lentes, que los disfrutes!</v>
      </c>
    </row>
    <row r="3925">
      <c r="A3925" s="1">
        <f>IFERROR(__xludf.DUMMYFUNCTION("""COMPUTED_VALUE"""),88488.0)</f>
        <v>88488</v>
      </c>
      <c r="B3925" s="5">
        <f>IFERROR(__xludf.DUMMYFUNCTION("""COMPUTED_VALUE"""),45008.40601944445)</f>
        <v>45008.40602</v>
      </c>
      <c r="C3925" s="1" t="str">
        <f>IFERROR(__xludf.DUMMYFUNCTION("""COMPUTED_VALUE"""),"YAÑEZ VICTORIA")</f>
        <v>YAÑEZ VICTORIA</v>
      </c>
      <c r="D3925" s="1" t="str">
        <f>IFERROR(__xludf.DUMMYFUNCTION("""COMPUTED_VALUE"""),"Lentes de STOCK")</f>
        <v>Lentes de STOCK</v>
      </c>
      <c r="E3925" s="1" t="str">
        <f>IFERROR(__xludf.DUMMYFUNCTION("""COMPUTED_VALUE"""),"RIVADAVIA Santiago LOPEZ")</f>
        <v>RIVADAVIA Santiago LOPEZ</v>
      </c>
      <c r="F3925" s="1" t="str">
        <f t="shared" si="1"/>
        <v>RIVADAVIA </v>
      </c>
      <c r="G3925" s="1" t="str">
        <f t="shared" si="2"/>
        <v>Santiago LOPEZ</v>
      </c>
      <c r="H3925" s="1" t="str">
        <f>IFERROR(__xludf.DUMMYFUNCTION("""COMPUTED_VALUE"""),"28/3/2023, 17:00:00")</f>
        <v>28/3/2023, 17:00:00</v>
      </c>
      <c r="I3925" s="1" t="str">
        <f>IFERROR(__xludf.DUMMYFUNCTION("""COMPUTED_VALUE"""),"RETIRADO OK POR CLIENTE")</f>
        <v>RETIRADO OK POR CLIENTE</v>
      </c>
      <c r="J3925" s="1">
        <f t="shared" si="3"/>
        <v>6</v>
      </c>
      <c r="K3925" s="1" t="str">
        <f t="shared" si="4"/>
        <v>Entregamos tus lentes, que los disfrutes!</v>
      </c>
    </row>
    <row r="3926">
      <c r="A3926" s="1">
        <f>IFERROR(__xludf.DUMMYFUNCTION("""COMPUTED_VALUE"""),88489.0)</f>
        <v>88489</v>
      </c>
      <c r="B3926" s="5">
        <f>IFERROR(__xludf.DUMMYFUNCTION("""COMPUTED_VALUE"""),45008.406660312496)</f>
        <v>45008.40666</v>
      </c>
      <c r="C3926" s="1" t="str">
        <f>IFERROR(__xludf.DUMMYFUNCTION("""COMPUTED_VALUE"""),"ROJAS YESICA (PROGRAMA MEDICINA DEL INTERIOR GOB)")</f>
        <v>ROJAS YESICA (PROGRAMA MEDICINA DEL INTERIOR GOB)</v>
      </c>
      <c r="D3926" s="1" t="str">
        <f>IFERROR(__xludf.DUMMYFUNCTION("""COMPUTED_VALUE"""),"Lentes de STOCK")</f>
        <v>Lentes de STOCK</v>
      </c>
      <c r="E3926" s="1" t="str">
        <f>IFERROR(__xludf.DUMMYFUNCTION("""COMPUTED_VALUE"""),"Online ADMIN.")</f>
        <v>Online ADMIN.</v>
      </c>
      <c r="F3926" s="1" t="str">
        <f t="shared" si="1"/>
        <v>Online </v>
      </c>
      <c r="G3926" s="1" t="str">
        <f t="shared" si="2"/>
        <v>ADMIN.</v>
      </c>
      <c r="H3926" s="1" t="str">
        <f>IFERROR(__xludf.DUMMYFUNCTION("""COMPUTED_VALUE"""),"25/3/2023, 17:00:00")</f>
        <v>25/3/2023, 17:00:00</v>
      </c>
      <c r="I3926" s="1" t="str">
        <f>IFERROR(__xludf.DUMMYFUNCTION("""COMPUTED_VALUE"""),"Completado en SUCURSAL")</f>
        <v>Completado en SUCURSAL</v>
      </c>
      <c r="J3926" s="1">
        <f t="shared" si="3"/>
        <v>5</v>
      </c>
      <c r="K3926" s="1" t="str">
        <f t="shared" si="4"/>
        <v>Tus Lentes estan LISTAS PARA ENTREGAR, te esperamos.</v>
      </c>
    </row>
    <row r="3927">
      <c r="A3927" s="1">
        <f>IFERROR(__xludf.DUMMYFUNCTION("""COMPUTED_VALUE"""),88490.0)</f>
        <v>88490</v>
      </c>
      <c r="B3927" s="5">
        <f>IFERROR(__xludf.DUMMYFUNCTION("""COMPUTED_VALUE"""),45008.40743479166)</f>
        <v>45008.40743</v>
      </c>
      <c r="C3927" s="1" t="str">
        <f>IFERROR(__xludf.DUMMYFUNCTION("""COMPUTED_VALUE"""),"ROJAS EVELEYN (PROGRAMA MEDICINA DEL INTERIOR GOB)")</f>
        <v>ROJAS EVELEYN (PROGRAMA MEDICINA DEL INTERIOR GOB)</v>
      </c>
      <c r="D3927" s="1" t="str">
        <f>IFERROR(__xludf.DUMMYFUNCTION("""COMPUTED_VALUE"""),"Lentes de LABORATORIO")</f>
        <v>Lentes de LABORATORIO</v>
      </c>
      <c r="E3927" s="1" t="str">
        <f>IFERROR(__xludf.DUMMYFUNCTION("""COMPUTED_VALUE"""),"Online ADMIN.")</f>
        <v>Online ADMIN.</v>
      </c>
      <c r="F3927" s="1" t="str">
        <f t="shared" si="1"/>
        <v>Online </v>
      </c>
      <c r="G3927" s="1" t="str">
        <f t="shared" si="2"/>
        <v>ADMIN.</v>
      </c>
      <c r="H3927" s="1" t="str">
        <f>IFERROR(__xludf.DUMMYFUNCTION("""COMPUTED_VALUE"""),"30/3/2023, 17:00:00")</f>
        <v>30/3/2023, 17:00:00</v>
      </c>
      <c r="I3927" s="1" t="str">
        <f>IFERROR(__xludf.DUMMYFUNCTION("""COMPUTED_VALUE"""),"Completado en SUCURSAL")</f>
        <v>Completado en SUCURSAL</v>
      </c>
      <c r="J3927" s="1">
        <f t="shared" si="3"/>
        <v>5</v>
      </c>
      <c r="K3927" s="1" t="str">
        <f t="shared" si="4"/>
        <v>Tus Lentes estan LISTAS PARA ENTREGAR, te esperamos.</v>
      </c>
    </row>
    <row r="3928">
      <c r="A3928" s="1">
        <f>IFERROR(__xludf.DUMMYFUNCTION("""COMPUTED_VALUE"""),88491.0)</f>
        <v>88491</v>
      </c>
      <c r="B3928" s="5">
        <f>IFERROR(__xludf.DUMMYFUNCTION("""COMPUTED_VALUE"""),45008.41041751158)</f>
        <v>45008.41042</v>
      </c>
      <c r="C3928" s="1" t="str">
        <f>IFERROR(__xludf.DUMMYFUNCTION("""COMPUTED_VALUE"""),"FATIMA AYDEN RIDOIS (PROGRAMA MEDICINA DEL INTERIOR GOB)")</f>
        <v>FATIMA AYDEN RIDOIS (PROGRAMA MEDICINA DEL INTERIOR GOB)</v>
      </c>
      <c r="D3928" s="1" t="str">
        <f>IFERROR(__xludf.DUMMYFUNCTION("""COMPUTED_VALUE"""),"Lentes de STOCK")</f>
        <v>Lentes de STOCK</v>
      </c>
      <c r="E3928" s="1" t="str">
        <f>IFERROR(__xludf.DUMMYFUNCTION("""COMPUTED_VALUE"""),"Online ADMIN.")</f>
        <v>Online ADMIN.</v>
      </c>
      <c r="F3928" s="1" t="str">
        <f t="shared" si="1"/>
        <v>Online </v>
      </c>
      <c r="G3928" s="1" t="str">
        <f t="shared" si="2"/>
        <v>ADMIN.</v>
      </c>
      <c r="H3928" s="1" t="str">
        <f>IFERROR(__xludf.DUMMYFUNCTION("""COMPUTED_VALUE"""),"25/3/2023, 17:00:00")</f>
        <v>25/3/2023, 17:00:00</v>
      </c>
      <c r="I3928" s="1" t="str">
        <f>IFERROR(__xludf.DUMMYFUNCTION("""COMPUTED_VALUE"""),"Completado en SUCURSAL")</f>
        <v>Completado en SUCURSAL</v>
      </c>
      <c r="J3928" s="1">
        <f t="shared" si="3"/>
        <v>5</v>
      </c>
      <c r="K3928" s="1" t="str">
        <f t="shared" si="4"/>
        <v>Tus Lentes estan LISTAS PARA ENTREGAR, te esperamos.</v>
      </c>
    </row>
    <row r="3929">
      <c r="A3929" s="1">
        <f>IFERROR(__xludf.DUMMYFUNCTION("""COMPUTED_VALUE"""),88493.0)</f>
        <v>88493</v>
      </c>
      <c r="B3929" s="5">
        <f>IFERROR(__xludf.DUMMYFUNCTION("""COMPUTED_VALUE"""),45008.4117393287)</f>
        <v>45008.41174</v>
      </c>
      <c r="C3929" s="1" t="str">
        <f>IFERROR(__xludf.DUMMYFUNCTION("""COMPUTED_VALUE"""),"RIVERO DORA (PROGRAMA MEDICINA DEL INTERIOR GOB)")</f>
        <v>RIVERO DORA (PROGRAMA MEDICINA DEL INTERIOR GOB)</v>
      </c>
      <c r="D3929" s="1" t="str">
        <f>IFERROR(__xludf.DUMMYFUNCTION("""COMPUTED_VALUE"""),"Lentes de STOCK")</f>
        <v>Lentes de STOCK</v>
      </c>
      <c r="E3929" s="1" t="str">
        <f>IFERROR(__xludf.DUMMYFUNCTION("""COMPUTED_VALUE"""),"Online ADMIN.")</f>
        <v>Online ADMIN.</v>
      </c>
      <c r="F3929" s="1" t="str">
        <f t="shared" si="1"/>
        <v>Online </v>
      </c>
      <c r="G3929" s="1" t="str">
        <f t="shared" si="2"/>
        <v>ADMIN.</v>
      </c>
      <c r="H3929" s="1" t="str">
        <f>IFERROR(__xludf.DUMMYFUNCTION("""COMPUTED_VALUE"""),"25/3/2023, 17:00:00")</f>
        <v>25/3/2023, 17:00:00</v>
      </c>
      <c r="I3929" s="1" t="str">
        <f>IFERROR(__xludf.DUMMYFUNCTION("""COMPUTED_VALUE"""),"Completado en SUCURSAL")</f>
        <v>Completado en SUCURSAL</v>
      </c>
      <c r="J3929" s="1">
        <f t="shared" si="3"/>
        <v>5</v>
      </c>
      <c r="K3929" s="1" t="str">
        <f t="shared" si="4"/>
        <v>Tus Lentes estan LISTAS PARA ENTREGAR, te esperamos.</v>
      </c>
    </row>
    <row r="3930">
      <c r="A3930" s="1">
        <f>IFERROR(__xludf.DUMMYFUNCTION("""COMPUTED_VALUE"""),88494.0)</f>
        <v>88494</v>
      </c>
      <c r="B3930" s="5">
        <f>IFERROR(__xludf.DUMMYFUNCTION("""COMPUTED_VALUE"""),45008.41227509259)</f>
        <v>45008.41228</v>
      </c>
      <c r="C3930" s="1" t="str">
        <f>IFERROR(__xludf.DUMMYFUNCTION("""COMPUTED_VALUE"""),"RIVERO DORA (PROGRAMA MEDICINA DEL INTERIOR GOB)")</f>
        <v>RIVERO DORA (PROGRAMA MEDICINA DEL INTERIOR GOB)</v>
      </c>
      <c r="D3930" s="1" t="str">
        <f>IFERROR(__xludf.DUMMYFUNCTION("""COMPUTED_VALUE"""),"Lentes de STOCK")</f>
        <v>Lentes de STOCK</v>
      </c>
      <c r="E3930" s="1" t="str">
        <f>IFERROR(__xludf.DUMMYFUNCTION("""COMPUTED_VALUE"""),"Online ADMIN.")</f>
        <v>Online ADMIN.</v>
      </c>
      <c r="F3930" s="1" t="str">
        <f t="shared" si="1"/>
        <v>Online </v>
      </c>
      <c r="G3930" s="1" t="str">
        <f t="shared" si="2"/>
        <v>ADMIN.</v>
      </c>
      <c r="H3930" s="1" t="str">
        <f>IFERROR(__xludf.DUMMYFUNCTION("""COMPUTED_VALUE"""),"25/3/2023, 17:00:00")</f>
        <v>25/3/2023, 17:00:00</v>
      </c>
      <c r="I3930" s="1"/>
      <c r="J3930" s="1">
        <f t="shared" si="3"/>
        <v>0</v>
      </c>
      <c r="K3930" s="1" t="str">
        <f t="shared" si="4"/>
        <v/>
      </c>
    </row>
    <row r="3931">
      <c r="A3931" s="1">
        <f>IFERROR(__xludf.DUMMYFUNCTION("""COMPUTED_VALUE"""),88495.0)</f>
        <v>88495</v>
      </c>
      <c r="B3931" s="5">
        <f>IFERROR(__xludf.DUMMYFUNCTION("""COMPUTED_VALUE"""),45008.41321893518)</f>
        <v>45008.41322</v>
      </c>
      <c r="C3931" s="1" t="str">
        <f>IFERROR(__xludf.DUMMYFUNCTION("""COMPUTED_VALUE"""),"PEREYRA MARIA FERNANDA (PROGRAMA MEDICINA DEL INTERIOR GOB)")</f>
        <v>PEREYRA MARIA FERNANDA (PROGRAMA MEDICINA DEL INTERIOR GOB)</v>
      </c>
      <c r="D3931" s="1" t="str">
        <f>IFERROR(__xludf.DUMMYFUNCTION("""COMPUTED_VALUE"""),"Lentes de STOCK")</f>
        <v>Lentes de STOCK</v>
      </c>
      <c r="E3931" s="1" t="str">
        <f>IFERROR(__xludf.DUMMYFUNCTION("""COMPUTED_VALUE"""),"Online ADMIN.")</f>
        <v>Online ADMIN.</v>
      </c>
      <c r="F3931" s="1" t="str">
        <f t="shared" si="1"/>
        <v>Online </v>
      </c>
      <c r="G3931" s="1" t="str">
        <f t="shared" si="2"/>
        <v>ADMIN.</v>
      </c>
      <c r="H3931" s="1" t="str">
        <f>IFERROR(__xludf.DUMMYFUNCTION("""COMPUTED_VALUE"""),"25/3/2023, 17:00:00")</f>
        <v>25/3/2023, 17:00:00</v>
      </c>
      <c r="I3931" s="1" t="str">
        <f>IFERROR(__xludf.DUMMYFUNCTION("""COMPUTED_VALUE"""),"Completado en SUCURSAL")</f>
        <v>Completado en SUCURSAL</v>
      </c>
      <c r="J3931" s="1">
        <f t="shared" si="3"/>
        <v>5</v>
      </c>
      <c r="K3931" s="1" t="str">
        <f t="shared" si="4"/>
        <v>Tus Lentes estan LISTAS PARA ENTREGAR, te esperamos.</v>
      </c>
    </row>
    <row r="3932">
      <c r="A3932" s="1">
        <f>IFERROR(__xludf.DUMMYFUNCTION("""COMPUTED_VALUE"""),88496.0)</f>
        <v>88496</v>
      </c>
      <c r="B3932" s="5">
        <f>IFERROR(__xludf.DUMMYFUNCTION("""COMPUTED_VALUE"""),45008.41398658565)</f>
        <v>45008.41399</v>
      </c>
      <c r="C3932" s="1" t="str">
        <f>IFERROR(__xludf.DUMMYFUNCTION("""COMPUTED_VALUE"""),"MORAN MARIA ESTER (PROGRAMA MEDICINA DEL INTERIOR GOB)")</f>
        <v>MORAN MARIA ESTER (PROGRAMA MEDICINA DEL INTERIOR GOB)</v>
      </c>
      <c r="D3932" s="1" t="str">
        <f>IFERROR(__xludf.DUMMYFUNCTION("""COMPUTED_VALUE"""),"Lentes de LABORATORIO")</f>
        <v>Lentes de LABORATORIO</v>
      </c>
      <c r="E3932" s="1" t="str">
        <f>IFERROR(__xludf.DUMMYFUNCTION("""COMPUTED_VALUE"""),"Online ADMIN.")</f>
        <v>Online ADMIN.</v>
      </c>
      <c r="F3932" s="1" t="str">
        <f t="shared" si="1"/>
        <v>Online </v>
      </c>
      <c r="G3932" s="1" t="str">
        <f t="shared" si="2"/>
        <v>ADMIN.</v>
      </c>
      <c r="H3932" s="1" t="str">
        <f>IFERROR(__xludf.DUMMYFUNCTION("""COMPUTED_VALUE"""),"30/3/2023, 17:00:00")</f>
        <v>30/3/2023, 17:00:00</v>
      </c>
      <c r="I3932" s="1" t="str">
        <f>IFERROR(__xludf.DUMMYFUNCTION("""COMPUTED_VALUE"""),"Recibido en Laboratorio")</f>
        <v>Recibido en Laboratorio</v>
      </c>
      <c r="J3932" s="1">
        <f t="shared" si="3"/>
        <v>2</v>
      </c>
      <c r="K3932" s="1" t="str">
        <f t="shared" si="4"/>
        <v>Nuestro Laboratorio esta trabajando en tus lentes, los entregaremos en la fecha acordada.</v>
      </c>
    </row>
    <row r="3933">
      <c r="A3933" s="1">
        <f>IFERROR(__xludf.DUMMYFUNCTION("""COMPUTED_VALUE"""),88497.0)</f>
        <v>88497</v>
      </c>
      <c r="B3933" s="5">
        <f>IFERROR(__xludf.DUMMYFUNCTION("""COMPUTED_VALUE"""),45008.41509645834)</f>
        <v>45008.4151</v>
      </c>
      <c r="C3933" s="1" t="str">
        <f>IFERROR(__xludf.DUMMYFUNCTION("""COMPUTED_VALUE"""),"MORAN ROSALES ALMA TRINIDAD (PROGRAMA MEDICINA DEL INTERIOR GOB)")</f>
        <v>MORAN ROSALES ALMA TRINIDAD (PROGRAMA MEDICINA DEL INTERIOR GOB)</v>
      </c>
      <c r="D3933" s="1" t="str">
        <f>IFERROR(__xludf.DUMMYFUNCTION("""COMPUTED_VALUE"""),"Lentes de STOCK")</f>
        <v>Lentes de STOCK</v>
      </c>
      <c r="E3933" s="1" t="str">
        <f>IFERROR(__xludf.DUMMYFUNCTION("""COMPUTED_VALUE"""),"Online ADMIN.")</f>
        <v>Online ADMIN.</v>
      </c>
      <c r="F3933" s="1" t="str">
        <f t="shared" si="1"/>
        <v>Online </v>
      </c>
      <c r="G3933" s="1" t="str">
        <f t="shared" si="2"/>
        <v>ADMIN.</v>
      </c>
      <c r="H3933" s="1" t="str">
        <f>IFERROR(__xludf.DUMMYFUNCTION("""COMPUTED_VALUE"""),"25/3/2023, 17:00:00")</f>
        <v>25/3/2023, 17:00:00</v>
      </c>
      <c r="I3933" s="1" t="str">
        <f>IFERROR(__xludf.DUMMYFUNCTION("""COMPUTED_VALUE"""),"Completado en SUCURSAL")</f>
        <v>Completado en SUCURSAL</v>
      </c>
      <c r="J3933" s="1">
        <f t="shared" si="3"/>
        <v>5</v>
      </c>
      <c r="K3933" s="1" t="str">
        <f t="shared" si="4"/>
        <v>Tus Lentes estan LISTAS PARA ENTREGAR, te esperamos.</v>
      </c>
    </row>
    <row r="3934">
      <c r="A3934" s="1">
        <f>IFERROR(__xludf.DUMMYFUNCTION("""COMPUTED_VALUE"""),88498.0)</f>
        <v>88498</v>
      </c>
      <c r="B3934" s="5">
        <f>IFERROR(__xludf.DUMMYFUNCTION("""COMPUTED_VALUE"""),45008.41624576389)</f>
        <v>45008.41625</v>
      </c>
      <c r="C3934" s="1" t="str">
        <f>IFERROR(__xludf.DUMMYFUNCTION("""COMPUTED_VALUE"""),"MIRANDA FELIX (PROGRAMA MEDICINA DEL INTERIOR GOB)")</f>
        <v>MIRANDA FELIX (PROGRAMA MEDICINA DEL INTERIOR GOB)</v>
      </c>
      <c r="D3934" s="1" t="str">
        <f>IFERROR(__xludf.DUMMYFUNCTION("""COMPUTED_VALUE"""),"Lentes de LABORATORIO")</f>
        <v>Lentes de LABORATORIO</v>
      </c>
      <c r="E3934" s="1" t="str">
        <f>IFERROR(__xludf.DUMMYFUNCTION("""COMPUTED_VALUE"""),"Online ADMIN.")</f>
        <v>Online ADMIN.</v>
      </c>
      <c r="F3934" s="1" t="str">
        <f t="shared" si="1"/>
        <v>Online </v>
      </c>
      <c r="G3934" s="1" t="str">
        <f t="shared" si="2"/>
        <v>ADMIN.</v>
      </c>
      <c r="H3934" s="1" t="str">
        <f>IFERROR(__xludf.DUMMYFUNCTION("""COMPUTED_VALUE"""),"30/3/2023, 17:00:00")</f>
        <v>30/3/2023, 17:00:00</v>
      </c>
      <c r="I3934" s="1" t="str">
        <f>IFERROR(__xludf.DUMMYFUNCTION("""COMPUTED_VALUE"""),"Completado en SUCURSAL")</f>
        <v>Completado en SUCURSAL</v>
      </c>
      <c r="J3934" s="1">
        <f t="shared" si="3"/>
        <v>5</v>
      </c>
      <c r="K3934" s="1" t="str">
        <f t="shared" si="4"/>
        <v>Tus Lentes estan LISTAS PARA ENTREGAR, te esperamos.</v>
      </c>
    </row>
    <row r="3935">
      <c r="A3935" s="1">
        <f>IFERROR(__xludf.DUMMYFUNCTION("""COMPUTED_VALUE"""),88499.0)</f>
        <v>88499</v>
      </c>
      <c r="B3935" s="5">
        <f>IFERROR(__xludf.DUMMYFUNCTION("""COMPUTED_VALUE"""),45008.41683434028)</f>
        <v>45008.41683</v>
      </c>
      <c r="C3935" s="1" t="str">
        <f>IFERROR(__xludf.DUMMYFUNCTION("""COMPUTED_VALUE"""),"MALDONADO MARIO (PROGRAMA MEDICINA DEL INTERIOR GOB)")</f>
        <v>MALDONADO MARIO (PROGRAMA MEDICINA DEL INTERIOR GOB)</v>
      </c>
      <c r="D3935" s="1" t="str">
        <f>IFERROR(__xludf.DUMMYFUNCTION("""COMPUTED_VALUE"""),"Lentes de STOCK")</f>
        <v>Lentes de STOCK</v>
      </c>
      <c r="E3935" s="1" t="str">
        <f>IFERROR(__xludf.DUMMYFUNCTION("""COMPUTED_VALUE"""),"Online ADMIN.")</f>
        <v>Online ADMIN.</v>
      </c>
      <c r="F3935" s="1" t="str">
        <f t="shared" si="1"/>
        <v>Online </v>
      </c>
      <c r="G3935" s="1" t="str">
        <f t="shared" si="2"/>
        <v>ADMIN.</v>
      </c>
      <c r="H3935" s="1" t="str">
        <f>IFERROR(__xludf.DUMMYFUNCTION("""COMPUTED_VALUE"""),"25/3/2023, 17:00:00")</f>
        <v>25/3/2023, 17:00:00</v>
      </c>
      <c r="I3935" s="1"/>
      <c r="J3935" s="1">
        <f t="shared" si="3"/>
        <v>0</v>
      </c>
      <c r="K3935" s="1" t="str">
        <f t="shared" si="4"/>
        <v/>
      </c>
    </row>
    <row r="3936">
      <c r="A3936" s="1">
        <f>IFERROR(__xludf.DUMMYFUNCTION("""COMPUTED_VALUE"""),88500.0)</f>
        <v>88500</v>
      </c>
      <c r="B3936" s="5">
        <f>IFERROR(__xludf.DUMMYFUNCTION("""COMPUTED_VALUE"""),45008.41871636574)</f>
        <v>45008.41872</v>
      </c>
      <c r="C3936" s="1" t="str">
        <f>IFERROR(__xludf.DUMMYFUNCTION("""COMPUTED_VALUE"""),"BOSSA JULIO / TGN")</f>
        <v>BOSSA JULIO / TGN</v>
      </c>
      <c r="D3936" s="1" t="str">
        <f>IFERROR(__xludf.DUMMYFUNCTION("""COMPUTED_VALUE"""),"Lentes MULTIFOCALES")</f>
        <v>Lentes MULTIFOCALES</v>
      </c>
      <c r="E3936" s="1" t="str">
        <f>IFERROR(__xludf.DUMMYFUNCTION("""COMPUTED_VALUE"""),"ARTIGAS Ivana P.")</f>
        <v>ARTIGAS Ivana P.</v>
      </c>
      <c r="F3936" s="1" t="str">
        <f t="shared" si="1"/>
        <v>ARTIGAS </v>
      </c>
      <c r="G3936" s="1" t="str">
        <f t="shared" si="2"/>
        <v>Ivana P.</v>
      </c>
      <c r="H3936" s="1" t="str">
        <f>IFERROR(__xludf.DUMMYFUNCTION("""COMPUTED_VALUE"""),"5/4/2023, 17:00:00")</f>
        <v>5/4/2023, 17:00:00</v>
      </c>
      <c r="I3936" s="1" t="str">
        <f>IFERROR(__xludf.DUMMYFUNCTION("""COMPUTED_VALUE"""),"Recibido en Laboratorio")</f>
        <v>Recibido en Laboratorio</v>
      </c>
      <c r="J3936" s="1">
        <f t="shared" si="3"/>
        <v>2</v>
      </c>
      <c r="K3936" s="1" t="str">
        <f t="shared" si="4"/>
        <v>Nuestro Laboratorio esta trabajando en tus lentes, los entregaremos en la fecha acordada.</v>
      </c>
    </row>
    <row r="3937">
      <c r="A3937" s="1">
        <f>IFERROR(__xludf.DUMMYFUNCTION("""COMPUTED_VALUE"""),88501.0)</f>
        <v>88501</v>
      </c>
      <c r="B3937" s="5">
        <f>IFERROR(__xludf.DUMMYFUNCTION("""COMPUTED_VALUE"""),45008.420137002315)</f>
        <v>45008.42014</v>
      </c>
      <c r="C3937" s="1" t="str">
        <f>IFERROR(__xludf.DUMMYFUNCTION("""COMPUTED_VALUE"""),"MALDONADO MARIO (PROGRAMA MEDICINA DEL INTERIOR GOB)")</f>
        <v>MALDONADO MARIO (PROGRAMA MEDICINA DEL INTERIOR GOB)</v>
      </c>
      <c r="D3937" s="1" t="str">
        <f>IFERROR(__xludf.DUMMYFUNCTION("""COMPUTED_VALUE"""),"Lentes de STOCK")</f>
        <v>Lentes de STOCK</v>
      </c>
      <c r="E3937" s="1" t="str">
        <f>IFERROR(__xludf.DUMMYFUNCTION("""COMPUTED_VALUE"""),"Online ADMIN.")</f>
        <v>Online ADMIN.</v>
      </c>
      <c r="F3937" s="1" t="str">
        <f t="shared" si="1"/>
        <v>Online </v>
      </c>
      <c r="G3937" s="1" t="str">
        <f t="shared" si="2"/>
        <v>ADMIN.</v>
      </c>
      <c r="H3937" s="1" t="str">
        <f>IFERROR(__xludf.DUMMYFUNCTION("""COMPUTED_VALUE"""),"25/3/2023, 17:00:00")</f>
        <v>25/3/2023, 17:00:00</v>
      </c>
      <c r="I3937" s="1" t="str">
        <f>IFERROR(__xludf.DUMMYFUNCTION("""COMPUTED_VALUE"""),"Completado en SUCURSAL")</f>
        <v>Completado en SUCURSAL</v>
      </c>
      <c r="J3937" s="1">
        <f t="shared" si="3"/>
        <v>5</v>
      </c>
      <c r="K3937" s="1" t="str">
        <f t="shared" si="4"/>
        <v>Tus Lentes estan LISTAS PARA ENTREGAR, te esperamos.</v>
      </c>
    </row>
    <row r="3938">
      <c r="A3938" s="1">
        <f>IFERROR(__xludf.DUMMYFUNCTION("""COMPUTED_VALUE"""),88502.0)</f>
        <v>88502</v>
      </c>
      <c r="B3938" s="5">
        <f>IFERROR(__xludf.DUMMYFUNCTION("""COMPUTED_VALUE"""),45008.42106283565)</f>
        <v>45008.42106</v>
      </c>
      <c r="C3938" s="1" t="str">
        <f>IFERROR(__xludf.DUMMYFUNCTION("""COMPUTED_VALUE"""),"LUCERO YAMILE NAHIARA (PROGRAMA MEDICINA DEL INTERIOR GOB)")</f>
        <v>LUCERO YAMILE NAHIARA (PROGRAMA MEDICINA DEL INTERIOR GOB)</v>
      </c>
      <c r="D3938" s="1" t="str">
        <f>IFERROR(__xludf.DUMMYFUNCTION("""COMPUTED_VALUE"""),"Lentes de STOCK")</f>
        <v>Lentes de STOCK</v>
      </c>
      <c r="E3938" s="1" t="str">
        <f>IFERROR(__xludf.DUMMYFUNCTION("""COMPUTED_VALUE"""),"Online ADMIN.")</f>
        <v>Online ADMIN.</v>
      </c>
      <c r="F3938" s="1" t="str">
        <f t="shared" si="1"/>
        <v>Online </v>
      </c>
      <c r="G3938" s="1" t="str">
        <f t="shared" si="2"/>
        <v>ADMIN.</v>
      </c>
      <c r="H3938" s="1" t="str">
        <f>IFERROR(__xludf.DUMMYFUNCTION("""COMPUTED_VALUE"""),"25/3/2023, 17:00:00")</f>
        <v>25/3/2023, 17:00:00</v>
      </c>
      <c r="I3938" s="1" t="str">
        <f>IFERROR(__xludf.DUMMYFUNCTION("""COMPUTED_VALUE"""),"Completado en SUCURSAL")</f>
        <v>Completado en SUCURSAL</v>
      </c>
      <c r="J3938" s="1">
        <f t="shared" si="3"/>
        <v>5</v>
      </c>
      <c r="K3938" s="1" t="str">
        <f t="shared" si="4"/>
        <v>Tus Lentes estan LISTAS PARA ENTREGAR, te esperamos.</v>
      </c>
    </row>
    <row r="3939">
      <c r="A3939" s="1">
        <f>IFERROR(__xludf.DUMMYFUNCTION("""COMPUTED_VALUE"""),88503.0)</f>
        <v>88503</v>
      </c>
      <c r="B3939" s="5">
        <f>IFERROR(__xludf.DUMMYFUNCTION("""COMPUTED_VALUE"""),45008.42182795139)</f>
        <v>45008.42183</v>
      </c>
      <c r="C3939" s="1" t="str">
        <f>IFERROR(__xludf.DUMMYFUNCTION("""COMPUTED_VALUE"""),"LUCERO MIRIAM (PROGRAMA MEDICINA DEL INTERIOR GOB)")</f>
        <v>LUCERO MIRIAM (PROGRAMA MEDICINA DEL INTERIOR GOB)</v>
      </c>
      <c r="D3939" s="1" t="str">
        <f>IFERROR(__xludf.DUMMYFUNCTION("""COMPUTED_VALUE"""),"Lentes de LABORATORIO")</f>
        <v>Lentes de LABORATORIO</v>
      </c>
      <c r="E3939" s="1" t="str">
        <f>IFERROR(__xludf.DUMMYFUNCTION("""COMPUTED_VALUE"""),"Online ADMIN.")</f>
        <v>Online ADMIN.</v>
      </c>
      <c r="F3939" s="1" t="str">
        <f t="shared" si="1"/>
        <v>Online </v>
      </c>
      <c r="G3939" s="1" t="str">
        <f t="shared" si="2"/>
        <v>ADMIN.</v>
      </c>
      <c r="H3939" s="1" t="str">
        <f>IFERROR(__xludf.DUMMYFUNCTION("""COMPUTED_VALUE"""),"30/3/2023, 17:00:00")</f>
        <v>30/3/2023, 17:00:00</v>
      </c>
      <c r="I3939" s="1"/>
      <c r="J3939" s="1">
        <f t="shared" si="3"/>
        <v>0</v>
      </c>
      <c r="K3939" s="1" t="str">
        <f t="shared" si="4"/>
        <v/>
      </c>
    </row>
    <row r="3940">
      <c r="A3940" s="1">
        <f>IFERROR(__xludf.DUMMYFUNCTION("""COMPUTED_VALUE"""),88504.0)</f>
        <v>88504</v>
      </c>
      <c r="B3940" s="5">
        <f>IFERROR(__xludf.DUMMYFUNCTION("""COMPUTED_VALUE"""),45008.42256535879)</f>
        <v>45008.42257</v>
      </c>
      <c r="C3940" s="1" t="str">
        <f>IFERROR(__xludf.DUMMYFUNCTION("""COMPUTED_VALUE"""),"GONZALEZ NELSON (PROGRAMA MEDICINA DEL INTERIOR GOB)")</f>
        <v>GONZALEZ NELSON (PROGRAMA MEDICINA DEL INTERIOR GOB)</v>
      </c>
      <c r="D3940" s="1" t="str">
        <f>IFERROR(__xludf.DUMMYFUNCTION("""COMPUTED_VALUE"""),"Lentes de STOCK")</f>
        <v>Lentes de STOCK</v>
      </c>
      <c r="E3940" s="1" t="str">
        <f>IFERROR(__xludf.DUMMYFUNCTION("""COMPUTED_VALUE"""),"Online ADMIN.")</f>
        <v>Online ADMIN.</v>
      </c>
      <c r="F3940" s="1" t="str">
        <f t="shared" si="1"/>
        <v>Online </v>
      </c>
      <c r="G3940" s="1" t="str">
        <f t="shared" si="2"/>
        <v>ADMIN.</v>
      </c>
      <c r="H3940" s="1" t="str">
        <f>IFERROR(__xludf.DUMMYFUNCTION("""COMPUTED_VALUE"""),"25/3/2023, 17:00:00")</f>
        <v>25/3/2023, 17:00:00</v>
      </c>
      <c r="I3940" s="1" t="str">
        <f>IFERROR(__xludf.DUMMYFUNCTION("""COMPUTED_VALUE"""),"Completado en SUCURSAL")</f>
        <v>Completado en SUCURSAL</v>
      </c>
      <c r="J3940" s="1">
        <f t="shared" si="3"/>
        <v>5</v>
      </c>
      <c r="K3940" s="1" t="str">
        <f t="shared" si="4"/>
        <v>Tus Lentes estan LISTAS PARA ENTREGAR, te esperamos.</v>
      </c>
    </row>
    <row r="3941">
      <c r="A3941" s="1">
        <f>IFERROR(__xludf.DUMMYFUNCTION("""COMPUTED_VALUE"""),88505.0)</f>
        <v>88505</v>
      </c>
      <c r="B3941" s="5">
        <f>IFERROR(__xludf.DUMMYFUNCTION("""COMPUTED_VALUE"""),45008.423439375)</f>
        <v>45008.42344</v>
      </c>
      <c r="C3941" s="1" t="str">
        <f>IFERROR(__xludf.DUMMYFUNCTION("""COMPUTED_VALUE"""),"GODOY ZOE (PROGRAMA MEDICINA DEL INTERIOR GOB)")</f>
        <v>GODOY ZOE (PROGRAMA MEDICINA DEL INTERIOR GOB)</v>
      </c>
      <c r="D3941" s="1" t="str">
        <f>IFERROR(__xludf.DUMMYFUNCTION("""COMPUTED_VALUE"""),"Lentes de LABORATORIO")</f>
        <v>Lentes de LABORATORIO</v>
      </c>
      <c r="E3941" s="1" t="str">
        <f>IFERROR(__xludf.DUMMYFUNCTION("""COMPUTED_VALUE"""),"Online ADMIN.")</f>
        <v>Online ADMIN.</v>
      </c>
      <c r="F3941" s="1" t="str">
        <f t="shared" si="1"/>
        <v>Online </v>
      </c>
      <c r="G3941" s="1" t="str">
        <f t="shared" si="2"/>
        <v>ADMIN.</v>
      </c>
      <c r="H3941" s="1" t="str">
        <f>IFERROR(__xludf.DUMMYFUNCTION("""COMPUTED_VALUE"""),"30/3/2023, 17:00:00")</f>
        <v>30/3/2023, 17:00:00</v>
      </c>
      <c r="I3941" s="1" t="str">
        <f>IFERROR(__xludf.DUMMYFUNCTION("""COMPUTED_VALUE"""),"Completado en SUCURSAL")</f>
        <v>Completado en SUCURSAL</v>
      </c>
      <c r="J3941" s="1">
        <f t="shared" si="3"/>
        <v>5</v>
      </c>
      <c r="K3941" s="1" t="str">
        <f t="shared" si="4"/>
        <v>Tus Lentes estan LISTAS PARA ENTREGAR, te esperamos.</v>
      </c>
    </row>
    <row r="3942">
      <c r="A3942" s="1">
        <f>IFERROR(__xludf.DUMMYFUNCTION("""COMPUTED_VALUE"""),88506.0)</f>
        <v>88506</v>
      </c>
      <c r="B3942" s="5">
        <f>IFERROR(__xludf.DUMMYFUNCTION("""COMPUTED_VALUE"""),45008.424069050925)</f>
        <v>45008.42407</v>
      </c>
      <c r="C3942" s="1" t="str">
        <f>IFERROR(__xludf.DUMMYFUNCTION("""COMPUTED_VALUE"""),"GATICA LUZ MARIA (PROGRAMA MEDICINA DEL INTERIOR GOB)")</f>
        <v>GATICA LUZ MARIA (PROGRAMA MEDICINA DEL INTERIOR GOB)</v>
      </c>
      <c r="D3942" s="1" t="str">
        <f>IFERROR(__xludf.DUMMYFUNCTION("""COMPUTED_VALUE"""),"Lentes de STOCK")</f>
        <v>Lentes de STOCK</v>
      </c>
      <c r="E3942" s="1" t="str">
        <f>IFERROR(__xludf.DUMMYFUNCTION("""COMPUTED_VALUE"""),"Online ADMIN.")</f>
        <v>Online ADMIN.</v>
      </c>
      <c r="F3942" s="1" t="str">
        <f t="shared" si="1"/>
        <v>Online </v>
      </c>
      <c r="G3942" s="1" t="str">
        <f t="shared" si="2"/>
        <v>ADMIN.</v>
      </c>
      <c r="H3942" s="1" t="str">
        <f>IFERROR(__xludf.DUMMYFUNCTION("""COMPUTED_VALUE"""),"25/3/2023, 17:00:00")</f>
        <v>25/3/2023, 17:00:00</v>
      </c>
      <c r="I3942" s="1" t="str">
        <f>IFERROR(__xludf.DUMMYFUNCTION("""COMPUTED_VALUE"""),"Completado en SUCURSAL")</f>
        <v>Completado en SUCURSAL</v>
      </c>
      <c r="J3942" s="1">
        <f t="shared" si="3"/>
        <v>5</v>
      </c>
      <c r="K3942" s="1" t="str">
        <f t="shared" si="4"/>
        <v>Tus Lentes estan LISTAS PARA ENTREGAR, te esperamos.</v>
      </c>
    </row>
    <row r="3943">
      <c r="A3943" s="1">
        <f>IFERROR(__xludf.DUMMYFUNCTION("""COMPUTED_VALUE"""),88507.0)</f>
        <v>88507</v>
      </c>
      <c r="B3943" s="5">
        <f>IFERROR(__xludf.DUMMYFUNCTION("""COMPUTED_VALUE"""),45008.42482771991)</f>
        <v>45008.42483</v>
      </c>
      <c r="C3943" s="1" t="str">
        <f>IFERROR(__xludf.DUMMYFUNCTION("""COMPUTED_VALUE"""),"GODOY IVANA (PROGRAMA MEDICINA DEL INTERIOR GOB)")</f>
        <v>GODOY IVANA (PROGRAMA MEDICINA DEL INTERIOR GOB)</v>
      </c>
      <c r="D3943" s="1" t="str">
        <f>IFERROR(__xludf.DUMMYFUNCTION("""COMPUTED_VALUE"""),"Lentes de LABORATORIO")</f>
        <v>Lentes de LABORATORIO</v>
      </c>
      <c r="E3943" s="1" t="str">
        <f>IFERROR(__xludf.DUMMYFUNCTION("""COMPUTED_VALUE"""),"Online ADMIN.")</f>
        <v>Online ADMIN.</v>
      </c>
      <c r="F3943" s="1" t="str">
        <f t="shared" si="1"/>
        <v>Online </v>
      </c>
      <c r="G3943" s="1" t="str">
        <f t="shared" si="2"/>
        <v>ADMIN.</v>
      </c>
      <c r="H3943" s="1" t="str">
        <f>IFERROR(__xludf.DUMMYFUNCTION("""COMPUTED_VALUE"""),"30/3/2023, 17:00:00")</f>
        <v>30/3/2023, 17:00:00</v>
      </c>
      <c r="I3943" s="1" t="str">
        <f>IFERROR(__xludf.DUMMYFUNCTION("""COMPUTED_VALUE"""),"Completado en SUCURSAL")</f>
        <v>Completado en SUCURSAL</v>
      </c>
      <c r="J3943" s="1">
        <f t="shared" si="3"/>
        <v>5</v>
      </c>
      <c r="K3943" s="1" t="str">
        <f t="shared" si="4"/>
        <v>Tus Lentes estan LISTAS PARA ENTREGAR, te esperamos.</v>
      </c>
    </row>
    <row r="3944">
      <c r="A3944" s="1">
        <f>IFERROR(__xludf.DUMMYFUNCTION("""COMPUTED_VALUE"""),88508.0)</f>
        <v>88508</v>
      </c>
      <c r="B3944" s="5">
        <f>IFERROR(__xludf.DUMMYFUNCTION("""COMPUTED_VALUE"""),45008.42542895833)</f>
        <v>45008.42543</v>
      </c>
      <c r="C3944" s="1" t="str">
        <f>IFERROR(__xludf.DUMMYFUNCTION("""COMPUTED_VALUE"""),"GAREPIA ALLENDE IVANA (PROGRAMA MEDICINA DEL INTERIOR GOB)")</f>
        <v>GAREPIA ALLENDE IVANA (PROGRAMA MEDICINA DEL INTERIOR GOB)</v>
      </c>
      <c r="D3944" s="1" t="str">
        <f>IFERROR(__xludf.DUMMYFUNCTION("""COMPUTED_VALUE"""),"Lentes de STOCK")</f>
        <v>Lentes de STOCK</v>
      </c>
      <c r="E3944" s="1" t="str">
        <f>IFERROR(__xludf.DUMMYFUNCTION("""COMPUTED_VALUE"""),"Online ADMIN.")</f>
        <v>Online ADMIN.</v>
      </c>
      <c r="F3944" s="1" t="str">
        <f t="shared" si="1"/>
        <v>Online </v>
      </c>
      <c r="G3944" s="1" t="str">
        <f t="shared" si="2"/>
        <v>ADMIN.</v>
      </c>
      <c r="H3944" s="1" t="str">
        <f>IFERROR(__xludf.DUMMYFUNCTION("""COMPUTED_VALUE"""),"25/3/2023, 17:00:00")</f>
        <v>25/3/2023, 17:00:00</v>
      </c>
      <c r="I3944" s="1" t="str">
        <f>IFERROR(__xludf.DUMMYFUNCTION("""COMPUTED_VALUE"""),"Completado en SUCURSAL")</f>
        <v>Completado en SUCURSAL</v>
      </c>
      <c r="J3944" s="1">
        <f t="shared" si="3"/>
        <v>5</v>
      </c>
      <c r="K3944" s="1" t="str">
        <f t="shared" si="4"/>
        <v>Tus Lentes estan LISTAS PARA ENTREGAR, te esperamos.</v>
      </c>
    </row>
    <row r="3945">
      <c r="A3945" s="1">
        <f>IFERROR(__xludf.DUMMYFUNCTION("""COMPUTED_VALUE"""),88509.0)</f>
        <v>88509</v>
      </c>
      <c r="B3945" s="5">
        <f>IFERROR(__xludf.DUMMYFUNCTION("""COMPUTED_VALUE"""),45008.42589946759)</f>
        <v>45008.4259</v>
      </c>
      <c r="C3945" s="1" t="str">
        <f>IFERROR(__xludf.DUMMYFUNCTION("""COMPUTED_VALUE"""),"FERNANDEZ TAMAN (PROGRAMA MEDICINA DEL INTERIOR GOB)")</f>
        <v>FERNANDEZ TAMAN (PROGRAMA MEDICINA DEL INTERIOR GOB)</v>
      </c>
      <c r="D3945" s="1" t="str">
        <f>IFERROR(__xludf.DUMMYFUNCTION("""COMPUTED_VALUE"""),"Lentes de STOCK")</f>
        <v>Lentes de STOCK</v>
      </c>
      <c r="E3945" s="1" t="str">
        <f>IFERROR(__xludf.DUMMYFUNCTION("""COMPUTED_VALUE"""),"Online ADMIN.")</f>
        <v>Online ADMIN.</v>
      </c>
      <c r="F3945" s="1" t="str">
        <f t="shared" si="1"/>
        <v>Online </v>
      </c>
      <c r="G3945" s="1" t="str">
        <f t="shared" si="2"/>
        <v>ADMIN.</v>
      </c>
      <c r="H3945" s="1" t="str">
        <f>IFERROR(__xludf.DUMMYFUNCTION("""COMPUTED_VALUE"""),"25/3/2023, 17:00:00")</f>
        <v>25/3/2023, 17:00:00</v>
      </c>
      <c r="I3945" s="1"/>
      <c r="J3945" s="1">
        <f t="shared" si="3"/>
        <v>0</v>
      </c>
      <c r="K3945" s="1" t="str">
        <f t="shared" si="4"/>
        <v/>
      </c>
    </row>
    <row r="3946">
      <c r="A3946" s="1">
        <f>IFERROR(__xludf.DUMMYFUNCTION("""COMPUTED_VALUE"""),88510.0)</f>
        <v>88510</v>
      </c>
      <c r="B3946" s="5">
        <f>IFERROR(__xludf.DUMMYFUNCTION("""COMPUTED_VALUE"""),45008.42637690972)</f>
        <v>45008.42638</v>
      </c>
      <c r="C3946" s="1" t="str">
        <f>IFERROR(__xludf.DUMMYFUNCTION("""COMPUTED_VALUE"""),"FERNANDEZ ARIADNA (PROGRAMA MEDICINA DEL INTERIOR GOB)")</f>
        <v>FERNANDEZ ARIADNA (PROGRAMA MEDICINA DEL INTERIOR GOB)</v>
      </c>
      <c r="D3946" s="1" t="str">
        <f>IFERROR(__xludf.DUMMYFUNCTION("""COMPUTED_VALUE"""),"Lentes de STOCK")</f>
        <v>Lentes de STOCK</v>
      </c>
      <c r="E3946" s="1" t="str">
        <f>IFERROR(__xludf.DUMMYFUNCTION("""COMPUTED_VALUE"""),"Online ADMIN.")</f>
        <v>Online ADMIN.</v>
      </c>
      <c r="F3946" s="1" t="str">
        <f t="shared" si="1"/>
        <v>Online </v>
      </c>
      <c r="G3946" s="1" t="str">
        <f t="shared" si="2"/>
        <v>ADMIN.</v>
      </c>
      <c r="H3946" s="1" t="str">
        <f>IFERROR(__xludf.DUMMYFUNCTION("""COMPUTED_VALUE"""),"25/3/2023, 17:00:00")</f>
        <v>25/3/2023, 17:00:00</v>
      </c>
      <c r="I3946" s="1"/>
      <c r="J3946" s="1">
        <f t="shared" si="3"/>
        <v>0</v>
      </c>
      <c r="K3946" s="1" t="str">
        <f t="shared" si="4"/>
        <v/>
      </c>
    </row>
    <row r="3947">
      <c r="A3947" s="1">
        <f>IFERROR(__xludf.DUMMYFUNCTION("""COMPUTED_VALUE"""),88511.0)</f>
        <v>88511</v>
      </c>
      <c r="B3947" s="5">
        <f>IFERROR(__xludf.DUMMYFUNCTION("""COMPUTED_VALUE"""),45008.42727190972)</f>
        <v>45008.42727</v>
      </c>
      <c r="C3947" s="1" t="str">
        <f>IFERROR(__xludf.DUMMYFUNCTION("""COMPUTED_VALUE"""),"DIAZ GUADALUPE (PROGRAMA MEDICINA DEL INTERIOR GOB)")</f>
        <v>DIAZ GUADALUPE (PROGRAMA MEDICINA DEL INTERIOR GOB)</v>
      </c>
      <c r="D3947" s="1" t="str">
        <f>IFERROR(__xludf.DUMMYFUNCTION("""COMPUTED_VALUE"""),"Lentes de LABORATORIO")</f>
        <v>Lentes de LABORATORIO</v>
      </c>
      <c r="E3947" s="1" t="str">
        <f>IFERROR(__xludf.DUMMYFUNCTION("""COMPUTED_VALUE"""),"Online ADMIN.")</f>
        <v>Online ADMIN.</v>
      </c>
      <c r="F3947" s="1" t="str">
        <f t="shared" si="1"/>
        <v>Online </v>
      </c>
      <c r="G3947" s="1" t="str">
        <f t="shared" si="2"/>
        <v>ADMIN.</v>
      </c>
      <c r="H3947" s="1" t="str">
        <f>IFERROR(__xludf.DUMMYFUNCTION("""COMPUTED_VALUE"""),"30/3/2023, 17:00:00")</f>
        <v>30/3/2023, 17:00:00</v>
      </c>
      <c r="I3947" s="1" t="str">
        <f>IFERROR(__xludf.DUMMYFUNCTION("""COMPUTED_VALUE"""),"Completado en SUCURSAL")</f>
        <v>Completado en SUCURSAL</v>
      </c>
      <c r="J3947" s="1">
        <f t="shared" si="3"/>
        <v>5</v>
      </c>
      <c r="K3947" s="1" t="str">
        <f t="shared" si="4"/>
        <v>Tus Lentes estan LISTAS PARA ENTREGAR, te esperamos.</v>
      </c>
    </row>
    <row r="3948">
      <c r="A3948" s="1">
        <f>IFERROR(__xludf.DUMMYFUNCTION("""COMPUTED_VALUE"""),88512.0)</f>
        <v>88512</v>
      </c>
      <c r="B3948" s="5">
        <f>IFERROR(__xludf.DUMMYFUNCTION("""COMPUTED_VALUE"""),45008.42788697917)</f>
        <v>45008.42789</v>
      </c>
      <c r="C3948" s="1" t="str">
        <f>IFERROR(__xludf.DUMMYFUNCTION("""COMPUTED_VALUE"""),"DIAZ GILDA (PROGRAMA MEDICINA DEL INTERIOR GOB)")</f>
        <v>DIAZ GILDA (PROGRAMA MEDICINA DEL INTERIOR GOB)</v>
      </c>
      <c r="D3948" s="1" t="str">
        <f>IFERROR(__xludf.DUMMYFUNCTION("""COMPUTED_VALUE"""),"Lentes de STOCK")</f>
        <v>Lentes de STOCK</v>
      </c>
      <c r="E3948" s="1" t="str">
        <f>IFERROR(__xludf.DUMMYFUNCTION("""COMPUTED_VALUE"""),"Online ADMIN.")</f>
        <v>Online ADMIN.</v>
      </c>
      <c r="F3948" s="1" t="str">
        <f t="shared" si="1"/>
        <v>Online </v>
      </c>
      <c r="G3948" s="1" t="str">
        <f t="shared" si="2"/>
        <v>ADMIN.</v>
      </c>
      <c r="H3948" s="1" t="str">
        <f>IFERROR(__xludf.DUMMYFUNCTION("""COMPUTED_VALUE"""),"25/3/2023, 17:00:00")</f>
        <v>25/3/2023, 17:00:00</v>
      </c>
      <c r="I3948" s="1" t="str">
        <f>IFERROR(__xludf.DUMMYFUNCTION("""COMPUTED_VALUE"""),"Completado en SUCURSAL")</f>
        <v>Completado en SUCURSAL</v>
      </c>
      <c r="J3948" s="1">
        <f t="shared" si="3"/>
        <v>5</v>
      </c>
      <c r="K3948" s="1" t="str">
        <f t="shared" si="4"/>
        <v>Tus Lentes estan LISTAS PARA ENTREGAR, te esperamos.</v>
      </c>
    </row>
    <row r="3949">
      <c r="A3949" s="1">
        <f>IFERROR(__xludf.DUMMYFUNCTION("""COMPUTED_VALUE"""),88513.0)</f>
        <v>88513</v>
      </c>
      <c r="B3949" s="5">
        <f>IFERROR(__xludf.DUMMYFUNCTION("""COMPUTED_VALUE"""),45008.428342060186)</f>
        <v>45008.42834</v>
      </c>
      <c r="C3949" s="1" t="str">
        <f>IFERROR(__xludf.DUMMYFUNCTION("""COMPUTED_VALUE"""),"CRUCEÑO VERONIA (PROGRAMA MEDICINA DEL INTERIOR GOB)")</f>
        <v>CRUCEÑO VERONIA (PROGRAMA MEDICINA DEL INTERIOR GOB)</v>
      </c>
      <c r="D3949" s="1" t="str">
        <f>IFERROR(__xludf.DUMMYFUNCTION("""COMPUTED_VALUE"""),"Lentes de STOCK")</f>
        <v>Lentes de STOCK</v>
      </c>
      <c r="E3949" s="1" t="str">
        <f>IFERROR(__xludf.DUMMYFUNCTION("""COMPUTED_VALUE"""),"Online ADMIN.")</f>
        <v>Online ADMIN.</v>
      </c>
      <c r="F3949" s="1" t="str">
        <f t="shared" si="1"/>
        <v>Online </v>
      </c>
      <c r="G3949" s="1" t="str">
        <f t="shared" si="2"/>
        <v>ADMIN.</v>
      </c>
      <c r="H3949" s="1" t="str">
        <f>IFERROR(__xludf.DUMMYFUNCTION("""COMPUTED_VALUE"""),"25/3/2023, 17:00:00")</f>
        <v>25/3/2023, 17:00:00</v>
      </c>
      <c r="I3949" s="1"/>
      <c r="J3949" s="1">
        <f t="shared" si="3"/>
        <v>0</v>
      </c>
      <c r="K3949" s="1" t="str">
        <f t="shared" si="4"/>
        <v/>
      </c>
    </row>
    <row r="3950">
      <c r="A3950" s="1">
        <f>IFERROR(__xludf.DUMMYFUNCTION("""COMPUTED_VALUE"""),88514.0)</f>
        <v>88514</v>
      </c>
      <c r="B3950" s="5">
        <f>IFERROR(__xludf.DUMMYFUNCTION("""COMPUTED_VALUE"""),45008.42875640046)</f>
        <v>45008.42876</v>
      </c>
      <c r="C3950" s="1" t="str">
        <f>IFERROR(__xludf.DUMMYFUNCTION("""COMPUTED_VALUE"""),"CORDOBA ROCIO (PROGRAMA MEDICINA DEL INTERIOR GOB)")</f>
        <v>CORDOBA ROCIO (PROGRAMA MEDICINA DEL INTERIOR GOB)</v>
      </c>
      <c r="D3950" s="1" t="str">
        <f>IFERROR(__xludf.DUMMYFUNCTION("""COMPUTED_VALUE"""),"Lentes de STOCK")</f>
        <v>Lentes de STOCK</v>
      </c>
      <c r="E3950" s="1" t="str">
        <f>IFERROR(__xludf.DUMMYFUNCTION("""COMPUTED_VALUE"""),"Online ADMIN.")</f>
        <v>Online ADMIN.</v>
      </c>
      <c r="F3950" s="1" t="str">
        <f t="shared" si="1"/>
        <v>Online </v>
      </c>
      <c r="G3950" s="1" t="str">
        <f t="shared" si="2"/>
        <v>ADMIN.</v>
      </c>
      <c r="H3950" s="1" t="str">
        <f>IFERROR(__xludf.DUMMYFUNCTION("""COMPUTED_VALUE"""),"25/3/2023, 17:00:00")</f>
        <v>25/3/2023, 17:00:00</v>
      </c>
      <c r="I3950" s="1" t="str">
        <f>IFERROR(__xludf.DUMMYFUNCTION("""COMPUTED_VALUE"""),"Completado en SUCURSAL")</f>
        <v>Completado en SUCURSAL</v>
      </c>
      <c r="J3950" s="1">
        <f t="shared" si="3"/>
        <v>5</v>
      </c>
      <c r="K3950" s="1" t="str">
        <f t="shared" si="4"/>
        <v>Tus Lentes estan LISTAS PARA ENTREGAR, te esperamos.</v>
      </c>
    </row>
    <row r="3951">
      <c r="A3951" s="1">
        <f>IFERROR(__xludf.DUMMYFUNCTION("""COMPUTED_VALUE"""),88515.0)</f>
        <v>88515</v>
      </c>
      <c r="B3951" s="5">
        <f>IFERROR(__xludf.DUMMYFUNCTION("""COMPUTED_VALUE"""),45008.42944775463)</f>
        <v>45008.42945</v>
      </c>
      <c r="C3951" s="1" t="str">
        <f>IFERROR(__xludf.DUMMYFUNCTION("""COMPUTED_VALUE"""),"CERDAS GLADYS (PROGRAMA MEDICINA DEL INTERIOR GOB)")</f>
        <v>CERDAS GLADYS (PROGRAMA MEDICINA DEL INTERIOR GOB)</v>
      </c>
      <c r="D3951" s="1" t="str">
        <f>IFERROR(__xludf.DUMMYFUNCTION("""COMPUTED_VALUE"""),"Lentes de STOCK")</f>
        <v>Lentes de STOCK</v>
      </c>
      <c r="E3951" s="1" t="str">
        <f>IFERROR(__xludf.DUMMYFUNCTION("""COMPUTED_VALUE"""),"Online ADMIN.")</f>
        <v>Online ADMIN.</v>
      </c>
      <c r="F3951" s="1" t="str">
        <f t="shared" si="1"/>
        <v>Online </v>
      </c>
      <c r="G3951" s="1" t="str">
        <f t="shared" si="2"/>
        <v>ADMIN.</v>
      </c>
      <c r="H3951" s="1" t="str">
        <f>IFERROR(__xludf.DUMMYFUNCTION("""COMPUTED_VALUE"""),"25/3/2023, 17:00:00")</f>
        <v>25/3/2023, 17:00:00</v>
      </c>
      <c r="I3951" s="1" t="str">
        <f>IFERROR(__xludf.DUMMYFUNCTION("""COMPUTED_VALUE"""),"Completado en SUCURSAL")</f>
        <v>Completado en SUCURSAL</v>
      </c>
      <c r="J3951" s="1">
        <f t="shared" si="3"/>
        <v>5</v>
      </c>
      <c r="K3951" s="1" t="str">
        <f t="shared" si="4"/>
        <v>Tus Lentes estan LISTAS PARA ENTREGAR, te esperamos.</v>
      </c>
    </row>
    <row r="3952">
      <c r="A3952" s="1">
        <f>IFERROR(__xludf.DUMMYFUNCTION("""COMPUTED_VALUE"""),88516.0)</f>
        <v>88516</v>
      </c>
      <c r="B3952" s="5">
        <f>IFERROR(__xludf.DUMMYFUNCTION("""COMPUTED_VALUE"""),45008.42996190972)</f>
        <v>45008.42996</v>
      </c>
      <c r="C3952" s="1" t="str">
        <f>IFERROR(__xludf.DUMMYFUNCTION("""COMPUTED_VALUE"""),"CAMAYA PAULA (PROGRAMA MEDICINA DEL INTERIOR GOB)")</f>
        <v>CAMAYA PAULA (PROGRAMA MEDICINA DEL INTERIOR GOB)</v>
      </c>
      <c r="D3952" s="1" t="str">
        <f>IFERROR(__xludf.DUMMYFUNCTION("""COMPUTED_VALUE"""),"Lentes de STOCK")</f>
        <v>Lentes de STOCK</v>
      </c>
      <c r="E3952" s="1" t="str">
        <f>IFERROR(__xludf.DUMMYFUNCTION("""COMPUTED_VALUE"""),"Online ADMIN.")</f>
        <v>Online ADMIN.</v>
      </c>
      <c r="F3952" s="1" t="str">
        <f t="shared" si="1"/>
        <v>Online </v>
      </c>
      <c r="G3952" s="1" t="str">
        <f t="shared" si="2"/>
        <v>ADMIN.</v>
      </c>
      <c r="H3952" s="1" t="str">
        <f>IFERROR(__xludf.DUMMYFUNCTION("""COMPUTED_VALUE"""),"25/3/2023, 17:00:00")</f>
        <v>25/3/2023, 17:00:00</v>
      </c>
      <c r="I3952" s="1" t="str">
        <f>IFERROR(__xludf.DUMMYFUNCTION("""COMPUTED_VALUE"""),"Completado en SUCURSAL")</f>
        <v>Completado en SUCURSAL</v>
      </c>
      <c r="J3952" s="1">
        <f t="shared" si="3"/>
        <v>5</v>
      </c>
      <c r="K3952" s="1" t="str">
        <f t="shared" si="4"/>
        <v>Tus Lentes estan LISTAS PARA ENTREGAR, te esperamos.</v>
      </c>
    </row>
    <row r="3953">
      <c r="A3953" s="1">
        <f>IFERROR(__xludf.DUMMYFUNCTION("""COMPUTED_VALUE"""),88517.0)</f>
        <v>88517</v>
      </c>
      <c r="B3953" s="5">
        <f>IFERROR(__xludf.DUMMYFUNCTION("""COMPUTED_VALUE"""),45008.430456574075)</f>
        <v>45008.43046</v>
      </c>
      <c r="C3953" s="1" t="str">
        <f>IFERROR(__xludf.DUMMYFUNCTION("""COMPUTED_VALUE"""),"CAMAYA MARA JOSE  (PROGRAMA MEDICINA DEL INTERIOR GOB)")</f>
        <v>CAMAYA MARA JOSE  (PROGRAMA MEDICINA DEL INTERIOR GOB)</v>
      </c>
      <c r="D3953" s="1" t="str">
        <f>IFERROR(__xludf.DUMMYFUNCTION("""COMPUTED_VALUE"""),"Lentes de STOCK")</f>
        <v>Lentes de STOCK</v>
      </c>
      <c r="E3953" s="1" t="str">
        <f>IFERROR(__xludf.DUMMYFUNCTION("""COMPUTED_VALUE"""),"Online ADMIN.")</f>
        <v>Online ADMIN.</v>
      </c>
      <c r="F3953" s="1" t="str">
        <f t="shared" si="1"/>
        <v>Online </v>
      </c>
      <c r="G3953" s="1" t="str">
        <f t="shared" si="2"/>
        <v>ADMIN.</v>
      </c>
      <c r="H3953" s="1" t="str">
        <f>IFERROR(__xludf.DUMMYFUNCTION("""COMPUTED_VALUE"""),"25/3/2023, 17:00:00")</f>
        <v>25/3/2023, 17:00:00</v>
      </c>
      <c r="I3953" s="1"/>
      <c r="J3953" s="1">
        <f t="shared" si="3"/>
        <v>0</v>
      </c>
      <c r="K3953" s="1" t="str">
        <f t="shared" si="4"/>
        <v/>
      </c>
    </row>
    <row r="3954">
      <c r="A3954" s="1">
        <f>IFERROR(__xludf.DUMMYFUNCTION("""COMPUTED_VALUE"""),88518.0)</f>
        <v>88518</v>
      </c>
      <c r="B3954" s="5">
        <f>IFERROR(__xludf.DUMMYFUNCTION("""COMPUTED_VALUE"""),45008.43114701389)</f>
        <v>45008.43115</v>
      </c>
      <c r="C3954" s="1" t="str">
        <f>IFERROR(__xludf.DUMMYFUNCTION("""COMPUTED_VALUE"""),"BARROSO AGUSTIN (PROGRAMA MEDICINA DEL INTERIOR GOB)")</f>
        <v>BARROSO AGUSTIN (PROGRAMA MEDICINA DEL INTERIOR GOB)</v>
      </c>
      <c r="D3954" s="1" t="str">
        <f>IFERROR(__xludf.DUMMYFUNCTION("""COMPUTED_VALUE"""),"Lentes de LABORATORIO")</f>
        <v>Lentes de LABORATORIO</v>
      </c>
      <c r="E3954" s="1" t="str">
        <f>IFERROR(__xludf.DUMMYFUNCTION("""COMPUTED_VALUE"""),"Online ADMIN.")</f>
        <v>Online ADMIN.</v>
      </c>
      <c r="F3954" s="1" t="str">
        <f t="shared" si="1"/>
        <v>Online </v>
      </c>
      <c r="G3954" s="1" t="str">
        <f t="shared" si="2"/>
        <v>ADMIN.</v>
      </c>
      <c r="H3954" s="1" t="str">
        <f>IFERROR(__xludf.DUMMYFUNCTION("""COMPUTED_VALUE"""),"30/3/2023, 17:00:00")</f>
        <v>30/3/2023, 17:00:00</v>
      </c>
      <c r="I3954" s="1" t="str">
        <f>IFERROR(__xludf.DUMMYFUNCTION("""COMPUTED_VALUE"""),"Completado en SUCURSAL")</f>
        <v>Completado en SUCURSAL</v>
      </c>
      <c r="J3954" s="1">
        <f t="shared" si="3"/>
        <v>5</v>
      </c>
      <c r="K3954" s="1" t="str">
        <f t="shared" si="4"/>
        <v>Tus Lentes estan LISTAS PARA ENTREGAR, te esperamos.</v>
      </c>
    </row>
    <row r="3955">
      <c r="A3955" s="1">
        <f>IFERROR(__xludf.DUMMYFUNCTION("""COMPUTED_VALUE"""),88519.0)</f>
        <v>88519</v>
      </c>
      <c r="B3955" s="5">
        <f>IFERROR(__xludf.DUMMYFUNCTION("""COMPUTED_VALUE"""),45008.43164310185)</f>
        <v>45008.43164</v>
      </c>
      <c r="C3955" s="1" t="str">
        <f>IFERROR(__xludf.DUMMYFUNCTION("""COMPUTED_VALUE"""),"AMAYA ANTONELLA (PROGRAMA MEDICINA DEL INTERIOR GOB)")</f>
        <v>AMAYA ANTONELLA (PROGRAMA MEDICINA DEL INTERIOR GOB)</v>
      </c>
      <c r="D3955" s="1" t="str">
        <f>IFERROR(__xludf.DUMMYFUNCTION("""COMPUTED_VALUE"""),"Lentes de STOCK")</f>
        <v>Lentes de STOCK</v>
      </c>
      <c r="E3955" s="1" t="str">
        <f>IFERROR(__xludf.DUMMYFUNCTION("""COMPUTED_VALUE"""),"Online ADMIN.")</f>
        <v>Online ADMIN.</v>
      </c>
      <c r="F3955" s="1" t="str">
        <f t="shared" si="1"/>
        <v>Online </v>
      </c>
      <c r="G3955" s="1" t="str">
        <f t="shared" si="2"/>
        <v>ADMIN.</v>
      </c>
      <c r="H3955" s="1" t="str">
        <f>IFERROR(__xludf.DUMMYFUNCTION("""COMPUTED_VALUE"""),"25/3/2023, 17:00:00")</f>
        <v>25/3/2023, 17:00:00</v>
      </c>
      <c r="I3955" s="1"/>
      <c r="J3955" s="1">
        <f t="shared" si="3"/>
        <v>0</v>
      </c>
      <c r="K3955" s="1" t="str">
        <f t="shared" si="4"/>
        <v/>
      </c>
    </row>
    <row r="3956">
      <c r="A3956" s="1">
        <f>IFERROR(__xludf.DUMMYFUNCTION("""COMPUTED_VALUE"""),88520.0)</f>
        <v>88520</v>
      </c>
      <c r="B3956" s="5">
        <f>IFERROR(__xludf.DUMMYFUNCTION("""COMPUTED_VALUE"""),45008.43243052083)</f>
        <v>45008.43243</v>
      </c>
      <c r="C3956" s="1" t="str">
        <f>IFERROR(__xludf.DUMMYFUNCTION("""COMPUTED_VALUE"""),"ALCARAZ CLAUDIA ANA (PROGRAMA MEDICINA DEL INTERIOR GOB)")</f>
        <v>ALCARAZ CLAUDIA ANA (PROGRAMA MEDICINA DEL INTERIOR GOB)</v>
      </c>
      <c r="D3956" s="1" t="str">
        <f>IFERROR(__xludf.DUMMYFUNCTION("""COMPUTED_VALUE"""),"Lentes de LABORATORIO")</f>
        <v>Lentes de LABORATORIO</v>
      </c>
      <c r="E3956" s="1" t="str">
        <f>IFERROR(__xludf.DUMMYFUNCTION("""COMPUTED_VALUE"""),"Online ADMIN.")</f>
        <v>Online ADMIN.</v>
      </c>
      <c r="F3956" s="1" t="str">
        <f t="shared" si="1"/>
        <v>Online </v>
      </c>
      <c r="G3956" s="1" t="str">
        <f t="shared" si="2"/>
        <v>ADMIN.</v>
      </c>
      <c r="H3956" s="1" t="str">
        <f>IFERROR(__xludf.DUMMYFUNCTION("""COMPUTED_VALUE"""),"30/3/2023, 17:00:00")</f>
        <v>30/3/2023, 17:00:00</v>
      </c>
      <c r="I3956" s="1"/>
      <c r="J3956" s="1">
        <f t="shared" si="3"/>
        <v>0</v>
      </c>
      <c r="K3956" s="1" t="str">
        <f t="shared" si="4"/>
        <v/>
      </c>
    </row>
    <row r="3957">
      <c r="A3957" s="1">
        <f>IFERROR(__xludf.DUMMYFUNCTION("""COMPUTED_VALUE"""),88521.0)</f>
        <v>88521</v>
      </c>
      <c r="B3957" s="5">
        <f>IFERROR(__xludf.DUMMYFUNCTION("""COMPUTED_VALUE"""),45008.43291322917)</f>
        <v>45008.43291</v>
      </c>
      <c r="C3957" s="1" t="str">
        <f>IFERROR(__xludf.DUMMYFUNCTION("""COMPUTED_VALUE"""),"ACOSTA JESICA (PROGRAMA MEDICINA DEL INTERIOR GOB)")</f>
        <v>ACOSTA JESICA (PROGRAMA MEDICINA DEL INTERIOR GOB)</v>
      </c>
      <c r="D3957" s="1" t="str">
        <f>IFERROR(__xludf.DUMMYFUNCTION("""COMPUTED_VALUE"""),"Lentes de STOCK")</f>
        <v>Lentes de STOCK</v>
      </c>
      <c r="E3957" s="1" t="str">
        <f>IFERROR(__xludf.DUMMYFUNCTION("""COMPUTED_VALUE"""),"Online ADMIN.")</f>
        <v>Online ADMIN.</v>
      </c>
      <c r="F3957" s="1" t="str">
        <f t="shared" si="1"/>
        <v>Online </v>
      </c>
      <c r="G3957" s="1" t="str">
        <f t="shared" si="2"/>
        <v>ADMIN.</v>
      </c>
      <c r="H3957" s="1" t="str">
        <f>IFERROR(__xludf.DUMMYFUNCTION("""COMPUTED_VALUE"""),"25/3/2023, 17:00:00")</f>
        <v>25/3/2023, 17:00:00</v>
      </c>
      <c r="I3957" s="1" t="str">
        <f>IFERROR(__xludf.DUMMYFUNCTION("""COMPUTED_VALUE"""),"Completado en SUCURSAL")</f>
        <v>Completado en SUCURSAL</v>
      </c>
      <c r="J3957" s="1">
        <f t="shared" si="3"/>
        <v>5</v>
      </c>
      <c r="K3957" s="1" t="str">
        <f t="shared" si="4"/>
        <v>Tus Lentes estan LISTAS PARA ENTREGAR, te esperamos.</v>
      </c>
    </row>
    <row r="3958">
      <c r="A3958" s="1">
        <f>IFERROR(__xludf.DUMMYFUNCTION("""COMPUTED_VALUE"""),88522.0)</f>
        <v>88522</v>
      </c>
      <c r="B3958" s="5">
        <f>IFERROR(__xludf.DUMMYFUNCTION("""COMPUTED_VALUE"""),45008.43394379629)</f>
        <v>45008.43394</v>
      </c>
      <c r="C3958" s="1" t="str">
        <f>IFERROR(__xludf.DUMMYFUNCTION("""COMPUTED_VALUE"""),"ABARCA BLANCA (PROGRAMA MEDICINA DEL INTERIOR GOB)")</f>
        <v>ABARCA BLANCA (PROGRAMA MEDICINA DEL INTERIOR GOB)</v>
      </c>
      <c r="D3958" s="1" t="str">
        <f>IFERROR(__xludf.DUMMYFUNCTION("""COMPUTED_VALUE"""),"Lentes de LABORATORIO")</f>
        <v>Lentes de LABORATORIO</v>
      </c>
      <c r="E3958" s="1" t="str">
        <f>IFERROR(__xludf.DUMMYFUNCTION("""COMPUTED_VALUE"""),"Online ADMIN.")</f>
        <v>Online ADMIN.</v>
      </c>
      <c r="F3958" s="1" t="str">
        <f t="shared" si="1"/>
        <v>Online </v>
      </c>
      <c r="G3958" s="1" t="str">
        <f t="shared" si="2"/>
        <v>ADMIN.</v>
      </c>
      <c r="H3958" s="1" t="str">
        <f>IFERROR(__xludf.DUMMYFUNCTION("""COMPUTED_VALUE"""),"30/3/2023, 17:00:00")</f>
        <v>30/3/2023, 17:00:00</v>
      </c>
      <c r="I3958" s="1" t="str">
        <f>IFERROR(__xludf.DUMMYFUNCTION("""COMPUTED_VALUE"""),"Completado en SUCURSAL")</f>
        <v>Completado en SUCURSAL</v>
      </c>
      <c r="J3958" s="1">
        <f t="shared" si="3"/>
        <v>5</v>
      </c>
      <c r="K3958" s="1" t="str">
        <f t="shared" si="4"/>
        <v>Tus Lentes estan LISTAS PARA ENTREGAR, te esperamos.</v>
      </c>
    </row>
    <row r="3959">
      <c r="A3959" s="1">
        <f>IFERROR(__xludf.DUMMYFUNCTION("""COMPUTED_VALUE"""),88523.0)</f>
        <v>88523</v>
      </c>
      <c r="B3959" s="5">
        <f>IFERROR(__xludf.DUMMYFUNCTION("""COMPUTED_VALUE"""),45008.4348141088)</f>
        <v>45008.43481</v>
      </c>
      <c r="C3959" s="1" t="str">
        <f>IFERROR(__xludf.DUMMYFUNCTION("""COMPUTED_VALUE"""),"GARRO SUSANA")</f>
        <v>GARRO SUSANA</v>
      </c>
      <c r="D3959" s="1" t="str">
        <f>IFERROR(__xludf.DUMMYFUNCTION("""COMPUTED_VALUE"""),"Reparaciones/Otros")</f>
        <v>Reparaciones/Otros</v>
      </c>
      <c r="E3959" s="1" t="str">
        <f>IFERROR(__xludf.DUMMYFUNCTION("""COMPUTED_VALUE"""),"ARTIGAS Roció")</f>
        <v>ARTIGAS Roció</v>
      </c>
      <c r="F3959" s="1" t="str">
        <f t="shared" si="1"/>
        <v>ARTIGAS </v>
      </c>
      <c r="G3959" s="1" t="str">
        <f t="shared" si="2"/>
        <v>Roció</v>
      </c>
      <c r="H3959" s="1" t="str">
        <f>IFERROR(__xludf.DUMMYFUNCTION("""COMPUTED_VALUE"""),"28/3/2023, 17:00:00")</f>
        <v>28/3/2023, 17:00:00</v>
      </c>
      <c r="I3959" s="1" t="str">
        <f>IFERROR(__xludf.DUMMYFUNCTION("""COMPUTED_VALUE"""),"Recibido en Laboratorio")</f>
        <v>Recibido en Laboratorio</v>
      </c>
      <c r="J3959" s="1">
        <f t="shared" si="3"/>
        <v>2</v>
      </c>
      <c r="K3959" s="1" t="str">
        <f t="shared" si="4"/>
        <v>Nuestro Laboratorio esta trabajando en tus lentes, los entregaremos en la fecha acordada.</v>
      </c>
    </row>
    <row r="3960">
      <c r="A3960" s="1">
        <f>IFERROR(__xludf.DUMMYFUNCTION("""COMPUTED_VALUE"""),88524.0)</f>
        <v>88524</v>
      </c>
      <c r="B3960" s="5">
        <f>IFERROR(__xludf.DUMMYFUNCTION("""COMPUTED_VALUE"""),45008.44503721065)</f>
        <v>45008.44504</v>
      </c>
      <c r="C3960" s="1" t="str">
        <f>IFERROR(__xludf.DUMMYFUNCTION("""COMPUTED_VALUE"""),"MARTIN VICTOR OMAR")</f>
        <v>MARTIN VICTOR OMAR</v>
      </c>
      <c r="D3960" s="1" t="str">
        <f>IFERROR(__xludf.DUMMYFUNCTION("""COMPUTED_VALUE"""),"Lentes de STOCK")</f>
        <v>Lentes de STOCK</v>
      </c>
      <c r="E3960" s="1" t="str">
        <f>IFERROR(__xludf.DUMMYFUNCTION("""COMPUTED_VALUE"""),"ARTIGAS Roció")</f>
        <v>ARTIGAS Roció</v>
      </c>
      <c r="F3960" s="1" t="str">
        <f t="shared" si="1"/>
        <v>ARTIGAS </v>
      </c>
      <c r="G3960" s="1" t="str">
        <f t="shared" si="2"/>
        <v>Roció</v>
      </c>
      <c r="H3960" s="1" t="str">
        <f>IFERROR(__xludf.DUMMYFUNCTION("""COMPUTED_VALUE"""),"3/4/2023, 17:00:00")</f>
        <v>3/4/2023, 17:00:00</v>
      </c>
      <c r="I3960" s="1" t="str">
        <f>IFERROR(__xludf.DUMMYFUNCTION("""COMPUTED_VALUE"""),"Recibido en Laboratorio")</f>
        <v>Recibido en Laboratorio</v>
      </c>
      <c r="J3960" s="1">
        <f t="shared" si="3"/>
        <v>2</v>
      </c>
      <c r="K3960" s="1" t="str">
        <f t="shared" si="4"/>
        <v>Nuestro Laboratorio esta trabajando en tus lentes, los entregaremos en la fecha acordada.</v>
      </c>
    </row>
    <row r="3961">
      <c r="A3961" s="1">
        <f>IFERROR(__xludf.DUMMYFUNCTION("""COMPUTED_VALUE"""),88525.0)</f>
        <v>88525</v>
      </c>
      <c r="B3961" s="5">
        <f>IFERROR(__xludf.DUMMYFUNCTION("""COMPUTED_VALUE"""),45008.44687939815)</f>
        <v>45008.44688</v>
      </c>
      <c r="C3961" s="1" t="str">
        <f>IFERROR(__xludf.DUMMYFUNCTION("""COMPUTED_VALUE"""),"CALDERON ANDREA")</f>
        <v>CALDERON ANDREA</v>
      </c>
      <c r="D3961" s="1" t="str">
        <f>IFERROR(__xludf.DUMMYFUNCTION("""COMPUTED_VALUE"""),"Lentes de LABORATORIO")</f>
        <v>Lentes de LABORATORIO</v>
      </c>
      <c r="E3961" s="1" t="str">
        <f>IFERROR(__xludf.DUMMYFUNCTION("""COMPUTED_VALUE"""),"RIVADAVIA Luciana")</f>
        <v>RIVADAVIA Luciana</v>
      </c>
      <c r="F3961" s="1" t="str">
        <f t="shared" si="1"/>
        <v>RIVADAVIA </v>
      </c>
      <c r="G3961" s="1" t="str">
        <f t="shared" si="2"/>
        <v>Luciana</v>
      </c>
      <c r="H3961" s="1" t="str">
        <f>IFERROR(__xludf.DUMMYFUNCTION("""COMPUTED_VALUE"""),"10/4/2023, 17:00:00")</f>
        <v>10/4/2023, 17:00:00</v>
      </c>
      <c r="I3961" s="1" t="str">
        <f>IFERROR(__xludf.DUMMYFUNCTION("""COMPUTED_VALUE"""),"RETIRADO OK POR CLIENTE")</f>
        <v>RETIRADO OK POR CLIENTE</v>
      </c>
      <c r="J3961" s="1">
        <f t="shared" si="3"/>
        <v>6</v>
      </c>
      <c r="K3961" s="1" t="str">
        <f t="shared" si="4"/>
        <v>Entregamos tus lentes, que los disfrutes!</v>
      </c>
    </row>
    <row r="3962">
      <c r="A3962" s="1">
        <f>IFERROR(__xludf.DUMMYFUNCTION("""COMPUTED_VALUE"""),88526.0)</f>
        <v>88526</v>
      </c>
      <c r="B3962" s="5">
        <f>IFERROR(__xludf.DUMMYFUNCTION("""COMPUTED_VALUE"""),45008.44688488426)</f>
        <v>45008.44688</v>
      </c>
      <c r="C3962" s="1" t="str">
        <f>IFERROR(__xludf.DUMMYFUNCTION("""COMPUTED_VALUE"""),"QUIROGA CARMEN")</f>
        <v>QUIROGA CARMEN</v>
      </c>
      <c r="D3962" s="1" t="str">
        <f>IFERROR(__xludf.DUMMYFUNCTION("""COMPUTED_VALUE"""),"Lentes de STOCK")</f>
        <v>Lentes de STOCK</v>
      </c>
      <c r="E3962" s="1" t="str">
        <f>IFERROR(__xludf.DUMMYFUNCTION("""COMPUTED_VALUE"""),"ARTIGAS Ivana P.")</f>
        <v>ARTIGAS Ivana P.</v>
      </c>
      <c r="F3962" s="1" t="str">
        <f t="shared" si="1"/>
        <v>ARTIGAS </v>
      </c>
      <c r="G3962" s="1" t="str">
        <f t="shared" si="2"/>
        <v>Ivana P.</v>
      </c>
      <c r="H3962" s="1" t="str">
        <f>IFERROR(__xludf.DUMMYFUNCTION("""COMPUTED_VALUE"""),"25/3/2023, 17:00:00")</f>
        <v>25/3/2023, 17:00:00</v>
      </c>
      <c r="I3962" s="1" t="str">
        <f>IFERROR(__xludf.DUMMYFUNCTION("""COMPUTED_VALUE"""),"RETIRADO OK POR CLIENTE")</f>
        <v>RETIRADO OK POR CLIENTE</v>
      </c>
      <c r="J3962" s="1">
        <f t="shared" si="3"/>
        <v>6</v>
      </c>
      <c r="K3962" s="1" t="str">
        <f t="shared" si="4"/>
        <v>Entregamos tus lentes, que los disfrutes!</v>
      </c>
    </row>
    <row r="3963">
      <c r="A3963" s="1">
        <f>IFERROR(__xludf.DUMMYFUNCTION("""COMPUTED_VALUE"""),88527.0)</f>
        <v>88527</v>
      </c>
      <c r="B3963" s="5">
        <f>IFERROR(__xludf.DUMMYFUNCTION("""COMPUTED_VALUE"""),45008.459118796294)</f>
        <v>45008.45912</v>
      </c>
      <c r="C3963" s="1" t="str">
        <f>IFERROR(__xludf.DUMMYFUNCTION("""COMPUTED_VALUE"""),"MUÑOZ KAREM")</f>
        <v>MUÑOZ KAREM</v>
      </c>
      <c r="D3963" s="1" t="str">
        <f>IFERROR(__xludf.DUMMYFUNCTION("""COMPUTED_VALUE"""),"Lentes de STOCK")</f>
        <v>Lentes de STOCK</v>
      </c>
      <c r="E3963" s="1" t="str">
        <f>IFERROR(__xludf.DUMMYFUNCTION("""COMPUTED_VALUE"""),"RIVADAVIA Santiago LOPEZ")</f>
        <v>RIVADAVIA Santiago LOPEZ</v>
      </c>
      <c r="F3963" s="1" t="str">
        <f t="shared" si="1"/>
        <v>RIVADAVIA </v>
      </c>
      <c r="G3963" s="1" t="str">
        <f t="shared" si="2"/>
        <v>Santiago LOPEZ</v>
      </c>
      <c r="H3963" s="1" t="str">
        <f>IFERROR(__xludf.DUMMYFUNCTION("""COMPUTED_VALUE"""),"30/3/2023, 17:00:00")</f>
        <v>30/3/2023, 17:00:00</v>
      </c>
      <c r="I3963" s="1" t="str">
        <f>IFERROR(__xludf.DUMMYFUNCTION("""COMPUTED_VALUE"""),"Completado en SUCURSAL")</f>
        <v>Completado en SUCURSAL</v>
      </c>
      <c r="J3963" s="1">
        <f t="shared" si="3"/>
        <v>5</v>
      </c>
      <c r="K3963" s="1" t="str">
        <f t="shared" si="4"/>
        <v>Tus Lentes estan LISTAS PARA ENTREGAR, te esperamos.</v>
      </c>
    </row>
    <row r="3964">
      <c r="A3964" s="1">
        <f>IFERROR(__xludf.DUMMYFUNCTION("""COMPUTED_VALUE"""),88528.0)</f>
        <v>88528</v>
      </c>
      <c r="B3964" s="5">
        <f>IFERROR(__xludf.DUMMYFUNCTION("""COMPUTED_VALUE"""),45008.46024011574)</f>
        <v>45008.46024</v>
      </c>
      <c r="C3964" s="1" t="str">
        <f>IFERROR(__xludf.DUMMYFUNCTION("""COMPUTED_VALUE"""),"GUZMAN YANINA ANDREA")</f>
        <v>GUZMAN YANINA ANDREA</v>
      </c>
      <c r="D3964" s="1" t="str">
        <f>IFERROR(__xludf.DUMMYFUNCTION("""COMPUTED_VALUE"""),"Lentes de STOCK")</f>
        <v>Lentes de STOCK</v>
      </c>
      <c r="E3964" s="1" t="str">
        <f>IFERROR(__xludf.DUMMYFUNCTION("""COMPUTED_VALUE"""),"ARTIGAS Roció")</f>
        <v>ARTIGAS Roció</v>
      </c>
      <c r="F3964" s="1" t="str">
        <f t="shared" si="1"/>
        <v>ARTIGAS </v>
      </c>
      <c r="G3964" s="1" t="str">
        <f t="shared" si="2"/>
        <v>Roció</v>
      </c>
      <c r="H3964" s="1" t="str">
        <f>IFERROR(__xludf.DUMMYFUNCTION("""COMPUTED_VALUE"""),"3/4/2023, 17:00:00")</f>
        <v>3/4/2023, 17:00:00</v>
      </c>
      <c r="I3964" s="1" t="str">
        <f>IFERROR(__xludf.DUMMYFUNCTION("""COMPUTED_VALUE"""),"Completado en SUCURSAL")</f>
        <v>Completado en SUCURSAL</v>
      </c>
      <c r="J3964" s="1">
        <f t="shared" si="3"/>
        <v>5</v>
      </c>
      <c r="K3964" s="1" t="str">
        <f t="shared" si="4"/>
        <v>Tus Lentes estan LISTAS PARA ENTREGAR, te esperamos.</v>
      </c>
    </row>
    <row r="3965">
      <c r="A3965" s="1">
        <f>IFERROR(__xludf.DUMMYFUNCTION("""COMPUTED_VALUE"""),88529.0)</f>
        <v>88529</v>
      </c>
      <c r="B3965" s="5">
        <f>IFERROR(__xludf.DUMMYFUNCTION("""COMPUTED_VALUE"""),45008.460316979166)</f>
        <v>45008.46032</v>
      </c>
      <c r="C3965" s="1" t="str">
        <f>IFERROR(__xludf.DUMMYFUNCTION("""COMPUTED_VALUE"""),"ZAPATA BRIAN")</f>
        <v>ZAPATA BRIAN</v>
      </c>
      <c r="D3965" s="1" t="str">
        <f>IFERROR(__xludf.DUMMYFUNCTION("""COMPUTED_VALUE"""),"Lentes de LABORATORIO")</f>
        <v>Lentes de LABORATORIO</v>
      </c>
      <c r="E3965" s="1" t="str">
        <f>IFERROR(__xludf.DUMMYFUNCTION("""COMPUTED_VALUE"""),"ARTIGAS Ivana P.")</f>
        <v>ARTIGAS Ivana P.</v>
      </c>
      <c r="F3965" s="1" t="str">
        <f t="shared" si="1"/>
        <v>ARTIGAS </v>
      </c>
      <c r="G3965" s="1" t="str">
        <f t="shared" si="2"/>
        <v>Ivana P.</v>
      </c>
      <c r="H3965" s="1" t="str">
        <f>IFERROR(__xludf.DUMMYFUNCTION("""COMPUTED_VALUE"""),"5/4/2023, 17:00:00")</f>
        <v>5/4/2023, 17:00:00</v>
      </c>
      <c r="I3965" s="1" t="str">
        <f>IFERROR(__xludf.DUMMYFUNCTION("""COMPUTED_VALUE"""),"RETIRADO OK POR CLIENTE")</f>
        <v>RETIRADO OK POR CLIENTE</v>
      </c>
      <c r="J3965" s="1">
        <f t="shared" si="3"/>
        <v>6</v>
      </c>
      <c r="K3965" s="1" t="str">
        <f t="shared" si="4"/>
        <v>Entregamos tus lentes, que los disfrutes!</v>
      </c>
    </row>
    <row r="3966">
      <c r="A3966" s="1">
        <f>IFERROR(__xludf.DUMMYFUNCTION("""COMPUTED_VALUE"""),88530.0)</f>
        <v>88530</v>
      </c>
      <c r="B3966" s="5">
        <f>IFERROR(__xludf.DUMMYFUNCTION("""COMPUTED_VALUE"""),45008.46515166666)</f>
        <v>45008.46515</v>
      </c>
      <c r="C3966" s="1" t="str">
        <f>IFERROR(__xludf.DUMMYFUNCTION("""COMPUTED_VALUE"""),"LUCERO NELIDA AURELIA")</f>
        <v>LUCERO NELIDA AURELIA</v>
      </c>
      <c r="D3966" s="1" t="str">
        <f>IFERROR(__xludf.DUMMYFUNCTION("""COMPUTED_VALUE"""),"Lentes de STOCK")</f>
        <v>Lentes de STOCK</v>
      </c>
      <c r="E3966" s="1" t="str">
        <f>IFERROR(__xludf.DUMMYFUNCTION("""COMPUTED_VALUE"""),"RIVADAVIA Marcela L")</f>
        <v>RIVADAVIA Marcela L</v>
      </c>
      <c r="F3966" s="1" t="str">
        <f t="shared" si="1"/>
        <v>RIVADAVIA </v>
      </c>
      <c r="G3966" s="1" t="str">
        <f t="shared" si="2"/>
        <v>Marcela L</v>
      </c>
      <c r="H3966" s="1" t="str">
        <f>IFERROR(__xludf.DUMMYFUNCTION("""COMPUTED_VALUE"""),"29/3/2023, 17:00:00")</f>
        <v>29/3/2023, 17:00:00</v>
      </c>
      <c r="I3966" s="1" t="str">
        <f>IFERROR(__xludf.DUMMYFUNCTION("""COMPUTED_VALUE"""),"RETIRADO OK POR CLIENTE")</f>
        <v>RETIRADO OK POR CLIENTE</v>
      </c>
      <c r="J3966" s="1">
        <f t="shared" si="3"/>
        <v>6</v>
      </c>
      <c r="K3966" s="1" t="str">
        <f t="shared" si="4"/>
        <v>Entregamos tus lentes, que los disfrutes!</v>
      </c>
    </row>
    <row r="3967">
      <c r="A3967" s="1">
        <f>IFERROR(__xludf.DUMMYFUNCTION("""COMPUTED_VALUE"""),88531.0)</f>
        <v>88531</v>
      </c>
      <c r="B3967" s="5">
        <f>IFERROR(__xludf.DUMMYFUNCTION("""COMPUTED_VALUE"""),45008.46539517361)</f>
        <v>45008.4654</v>
      </c>
      <c r="C3967" s="1" t="str">
        <f>IFERROR(__xludf.DUMMYFUNCTION("""COMPUTED_VALUE"""),"PACHECO JORGE")</f>
        <v>PACHECO JORGE</v>
      </c>
      <c r="D3967" s="1" t="str">
        <f>IFERROR(__xludf.DUMMYFUNCTION("""COMPUTED_VALUE"""),"Lentes BIFOCALES")</f>
        <v>Lentes BIFOCALES</v>
      </c>
      <c r="E3967" s="1" t="str">
        <f>IFERROR(__xludf.DUMMYFUNCTION("""COMPUTED_VALUE"""),"RIVADAVIA Christian C.")</f>
        <v>RIVADAVIA Christian C.</v>
      </c>
      <c r="F3967" s="1" t="str">
        <f t="shared" si="1"/>
        <v>RIVADAVIA </v>
      </c>
      <c r="G3967" s="1" t="str">
        <f t="shared" si="2"/>
        <v>Christian C.</v>
      </c>
      <c r="H3967" s="1" t="str">
        <f>IFERROR(__xludf.DUMMYFUNCTION("""COMPUTED_VALUE"""),"30/3/2023, 17:00:00")</f>
        <v>30/3/2023, 17:00:00</v>
      </c>
      <c r="I3967" s="1" t="str">
        <f>IFERROR(__xludf.DUMMYFUNCTION("""COMPUTED_VALUE"""),"RETIRADO OK POR CLIENTE")</f>
        <v>RETIRADO OK POR CLIENTE</v>
      </c>
      <c r="J3967" s="1">
        <f t="shared" si="3"/>
        <v>6</v>
      </c>
      <c r="K3967" s="1" t="str">
        <f t="shared" si="4"/>
        <v>Entregamos tus lentes, que los disfrutes!</v>
      </c>
    </row>
    <row r="3968">
      <c r="A3968" s="1">
        <f>IFERROR(__xludf.DUMMYFUNCTION("""COMPUTED_VALUE"""),88532.0)</f>
        <v>88532</v>
      </c>
      <c r="B3968" s="5">
        <f>IFERROR(__xludf.DUMMYFUNCTION("""COMPUTED_VALUE"""),45008.47073994213)</f>
        <v>45008.47074</v>
      </c>
      <c r="C3968" s="1" t="str">
        <f>IFERROR(__xludf.DUMMYFUNCTION("""COMPUTED_VALUE"""),"FREIRE BLANCA AHIDA")</f>
        <v>FREIRE BLANCA AHIDA</v>
      </c>
      <c r="D3968" s="1" t="str">
        <f>IFERROR(__xludf.DUMMYFUNCTION("""COMPUTED_VALUE"""),"Lentes de STOCK")</f>
        <v>Lentes de STOCK</v>
      </c>
      <c r="E3968" s="1" t="str">
        <f>IFERROR(__xludf.DUMMYFUNCTION("""COMPUTED_VALUE"""),"ARTIGAS Roció")</f>
        <v>ARTIGAS Roció</v>
      </c>
      <c r="F3968" s="1" t="str">
        <f t="shared" si="1"/>
        <v>ARTIGAS </v>
      </c>
      <c r="G3968" s="1" t="str">
        <f t="shared" si="2"/>
        <v>Roció</v>
      </c>
      <c r="H3968" s="1" t="str">
        <f>IFERROR(__xludf.DUMMYFUNCTION("""COMPUTED_VALUE"""),"3/4/2023, 17:00:00")</f>
        <v>3/4/2023, 17:00:00</v>
      </c>
      <c r="I3968" s="1" t="str">
        <f>IFERROR(__xludf.DUMMYFUNCTION("""COMPUTED_VALUE"""),"RETIRADO OK POR CLIENTE")</f>
        <v>RETIRADO OK POR CLIENTE</v>
      </c>
      <c r="J3968" s="1">
        <f t="shared" si="3"/>
        <v>6</v>
      </c>
      <c r="K3968" s="1" t="str">
        <f t="shared" si="4"/>
        <v>Entregamos tus lentes, que los disfrutes!</v>
      </c>
    </row>
    <row r="3969">
      <c r="A3969" s="1">
        <f>IFERROR(__xludf.DUMMYFUNCTION("""COMPUTED_VALUE"""),88533.0)</f>
        <v>88533</v>
      </c>
      <c r="B3969" s="5">
        <f>IFERROR(__xludf.DUMMYFUNCTION("""COMPUTED_VALUE"""),45008.48676621528)</f>
        <v>45008.48677</v>
      </c>
      <c r="C3969" s="1" t="str">
        <f>IFERROR(__xludf.DUMMYFUNCTION("""COMPUTED_VALUE"""),"POMIRO ANA MARIA CRISTINA")</f>
        <v>POMIRO ANA MARIA CRISTINA</v>
      </c>
      <c r="D3969" s="1" t="str">
        <f>IFERROR(__xludf.DUMMYFUNCTION("""COMPUTED_VALUE"""),"Lentes BIFOCALES")</f>
        <v>Lentes BIFOCALES</v>
      </c>
      <c r="E3969" s="1" t="str">
        <f>IFERROR(__xludf.DUMMYFUNCTION("""COMPUTED_VALUE"""),"RIVADAVIA Christian C.")</f>
        <v>RIVADAVIA Christian C.</v>
      </c>
      <c r="F3969" s="1" t="str">
        <f t="shared" si="1"/>
        <v>RIVADAVIA </v>
      </c>
      <c r="G3969" s="1" t="str">
        <f t="shared" si="2"/>
        <v>Christian C.</v>
      </c>
      <c r="H3969" s="1" t="str">
        <f>IFERROR(__xludf.DUMMYFUNCTION("""COMPUTED_VALUE"""),"30/3/2023, 17:00:00")</f>
        <v>30/3/2023, 17:00:00</v>
      </c>
      <c r="I3969" s="1" t="str">
        <f>IFERROR(__xludf.DUMMYFUNCTION("""COMPUTED_VALUE"""),"RETIRADO OK POR CLIENTE")</f>
        <v>RETIRADO OK POR CLIENTE</v>
      </c>
      <c r="J3969" s="1">
        <f t="shared" si="3"/>
        <v>6</v>
      </c>
      <c r="K3969" s="1" t="str">
        <f t="shared" si="4"/>
        <v>Entregamos tus lentes, que los disfrutes!</v>
      </c>
    </row>
    <row r="3970">
      <c r="A3970" s="1">
        <f>IFERROR(__xludf.DUMMYFUNCTION("""COMPUTED_VALUE"""),88534.0)</f>
        <v>88534</v>
      </c>
      <c r="B3970" s="5">
        <f>IFERROR(__xludf.DUMMYFUNCTION("""COMPUTED_VALUE"""),45008.48713451389)</f>
        <v>45008.48713</v>
      </c>
      <c r="C3970" s="1" t="str">
        <f>IFERROR(__xludf.DUMMYFUNCTION("""COMPUTED_VALUE"""),"BARRIO VILMA LILIA")</f>
        <v>BARRIO VILMA LILIA</v>
      </c>
      <c r="D3970" s="1" t="str">
        <f>IFERROR(__xludf.DUMMYFUNCTION("""COMPUTED_VALUE"""),"Lentes de STOCK")</f>
        <v>Lentes de STOCK</v>
      </c>
      <c r="E3970" s="1" t="str">
        <f>IFERROR(__xludf.DUMMYFUNCTION("""COMPUTED_VALUE"""),"ARTIGAS Roció")</f>
        <v>ARTIGAS Roció</v>
      </c>
      <c r="F3970" s="1" t="str">
        <f t="shared" si="1"/>
        <v>ARTIGAS </v>
      </c>
      <c r="G3970" s="1" t="str">
        <f t="shared" si="2"/>
        <v>Roció</v>
      </c>
      <c r="H3970" s="1" t="str">
        <f>IFERROR(__xludf.DUMMYFUNCTION("""COMPUTED_VALUE"""),"3/4/2023, 17:00:00")</f>
        <v>3/4/2023, 17:00:00</v>
      </c>
      <c r="I3970" s="1" t="str">
        <f>IFERROR(__xludf.DUMMYFUNCTION("""COMPUTED_VALUE"""),"RETIRADO OK POR CLIENTE")</f>
        <v>RETIRADO OK POR CLIENTE</v>
      </c>
      <c r="J3970" s="1">
        <f t="shared" si="3"/>
        <v>6</v>
      </c>
      <c r="K3970" s="1" t="str">
        <f t="shared" si="4"/>
        <v>Entregamos tus lentes, que los disfrutes!</v>
      </c>
    </row>
    <row r="3971">
      <c r="A3971" s="1">
        <f>IFERROR(__xludf.DUMMYFUNCTION("""COMPUTED_VALUE"""),88535.0)</f>
        <v>88535</v>
      </c>
      <c r="B3971" s="5">
        <f>IFERROR(__xludf.DUMMYFUNCTION("""COMPUTED_VALUE"""),45008.488659270835)</f>
        <v>45008.48866</v>
      </c>
      <c r="C3971" s="1" t="str">
        <f>IFERROR(__xludf.DUMMYFUNCTION("""COMPUTED_VALUE"""),"BRITTO ISIDRO GILBERTO")</f>
        <v>BRITTO ISIDRO GILBERTO</v>
      </c>
      <c r="D3971" s="1" t="str">
        <f>IFERROR(__xludf.DUMMYFUNCTION("""COMPUTED_VALUE"""),"Lentes de STOCK")</f>
        <v>Lentes de STOCK</v>
      </c>
      <c r="E3971" s="1" t="str">
        <f>IFERROR(__xludf.DUMMYFUNCTION("""COMPUTED_VALUE"""),"ARTIGAS Roció")</f>
        <v>ARTIGAS Roció</v>
      </c>
      <c r="F3971" s="1" t="str">
        <f t="shared" si="1"/>
        <v>ARTIGAS </v>
      </c>
      <c r="G3971" s="1" t="str">
        <f t="shared" si="2"/>
        <v>Roció</v>
      </c>
      <c r="H3971" s="1" t="str">
        <f>IFERROR(__xludf.DUMMYFUNCTION("""COMPUTED_VALUE"""),"3/4/2023, 17:00:00")</f>
        <v>3/4/2023, 17:00:00</v>
      </c>
      <c r="I3971" s="1" t="str">
        <f>IFERROR(__xludf.DUMMYFUNCTION("""COMPUTED_VALUE"""),"RETIRADO OK POR CLIENTE")</f>
        <v>RETIRADO OK POR CLIENTE</v>
      </c>
      <c r="J3971" s="1">
        <f t="shared" si="3"/>
        <v>6</v>
      </c>
      <c r="K3971" s="1" t="str">
        <f t="shared" si="4"/>
        <v>Entregamos tus lentes, que los disfrutes!</v>
      </c>
    </row>
    <row r="3972">
      <c r="A3972" s="1">
        <f>IFERROR(__xludf.DUMMYFUNCTION("""COMPUTED_VALUE"""),88536.0)</f>
        <v>88536</v>
      </c>
      <c r="B3972" s="5">
        <f>IFERROR(__xludf.DUMMYFUNCTION("""COMPUTED_VALUE"""),45008.493064814815)</f>
        <v>45008.49306</v>
      </c>
      <c r="C3972" s="1" t="str">
        <f>IFERROR(__xludf.DUMMYFUNCTION("""COMPUTED_VALUE"""),"GARRO MUÑOZ ANTONIO")</f>
        <v>GARRO MUÑOZ ANTONIO</v>
      </c>
      <c r="D3972" s="1" t="str">
        <f>IFERROR(__xludf.DUMMYFUNCTION("""COMPUTED_VALUE"""),"Lentes de STOCK")</f>
        <v>Lentes de STOCK</v>
      </c>
      <c r="E3972" s="1" t="str">
        <f>IFERROR(__xludf.DUMMYFUNCTION("""COMPUTED_VALUE"""),"ARTIGAS Ivana P.")</f>
        <v>ARTIGAS Ivana P.</v>
      </c>
      <c r="F3972" s="1" t="str">
        <f t="shared" si="1"/>
        <v>ARTIGAS </v>
      </c>
      <c r="G3972" s="1" t="str">
        <f t="shared" si="2"/>
        <v>Ivana P.</v>
      </c>
      <c r="H3972" s="1" t="str">
        <f>IFERROR(__xludf.DUMMYFUNCTION("""COMPUTED_VALUE"""),"28/3/2023, 17:00:00")</f>
        <v>28/3/2023, 17:00:00</v>
      </c>
      <c r="I3972" s="1" t="str">
        <f>IFERROR(__xludf.DUMMYFUNCTION("""COMPUTED_VALUE"""),"RETIRADO OK POR CLIENTE")</f>
        <v>RETIRADO OK POR CLIENTE</v>
      </c>
      <c r="J3972" s="1">
        <f t="shared" si="3"/>
        <v>6</v>
      </c>
      <c r="K3972" s="1" t="str">
        <f t="shared" si="4"/>
        <v>Entregamos tus lentes, que los disfrutes!</v>
      </c>
    </row>
    <row r="3973">
      <c r="A3973" s="1">
        <f>IFERROR(__xludf.DUMMYFUNCTION("""COMPUTED_VALUE"""),88537.0)</f>
        <v>88537</v>
      </c>
      <c r="B3973" s="5">
        <f>IFERROR(__xludf.DUMMYFUNCTION("""COMPUTED_VALUE"""),45008.495771284724)</f>
        <v>45008.49577</v>
      </c>
      <c r="C3973" s="1" t="str">
        <f>IFERROR(__xludf.DUMMYFUNCTION("""COMPUTED_VALUE"""),"MARCONI AIDE")</f>
        <v>MARCONI AIDE</v>
      </c>
      <c r="D3973" s="1" t="str">
        <f>IFERROR(__xludf.DUMMYFUNCTION("""COMPUTED_VALUE"""),"Reparaciones/Otros")</f>
        <v>Reparaciones/Otros</v>
      </c>
      <c r="E3973" s="1" t="str">
        <f>IFERROR(__xludf.DUMMYFUNCTION("""COMPUTED_VALUE"""),"RIVADAVIA Christian C.")</f>
        <v>RIVADAVIA Christian C.</v>
      </c>
      <c r="F3973" s="1" t="str">
        <f t="shared" si="1"/>
        <v>RIVADAVIA </v>
      </c>
      <c r="G3973" s="1" t="str">
        <f t="shared" si="2"/>
        <v>Christian C.</v>
      </c>
      <c r="H3973" s="1" t="str">
        <f>IFERROR(__xludf.DUMMYFUNCTION("""COMPUTED_VALUE"""),"27/3/2023, 17:00:00")</f>
        <v>27/3/2023, 17:00:00</v>
      </c>
      <c r="I3973" s="1" t="str">
        <f>IFERROR(__xludf.DUMMYFUNCTION("""COMPUTED_VALUE"""),"Completado en SUCURSAL")</f>
        <v>Completado en SUCURSAL</v>
      </c>
      <c r="J3973" s="1">
        <f t="shared" si="3"/>
        <v>5</v>
      </c>
      <c r="K3973" s="1" t="str">
        <f t="shared" si="4"/>
        <v>Tus Lentes estan LISTAS PARA ENTREGAR, te esperamos.</v>
      </c>
    </row>
    <row r="3974">
      <c r="A3974" s="1">
        <f>IFERROR(__xludf.DUMMYFUNCTION("""COMPUTED_VALUE"""),88538.0)</f>
        <v>88538</v>
      </c>
      <c r="B3974" s="5">
        <f>IFERROR(__xludf.DUMMYFUNCTION("""COMPUTED_VALUE"""),45008.498970347224)</f>
        <v>45008.49897</v>
      </c>
      <c r="C3974" s="1" t="str">
        <f>IFERROR(__xludf.DUMMYFUNCTION("""COMPUTED_VALUE"""),"torres anahi ")</f>
        <v>torres anahi </v>
      </c>
      <c r="D3974" s="1" t="str">
        <f>IFERROR(__xludf.DUMMYFUNCTION("""COMPUTED_VALUE"""),"Lentes de LABORATORIO")</f>
        <v>Lentes de LABORATORIO</v>
      </c>
      <c r="E3974" s="1" t="str">
        <f>IFERROR(__xludf.DUMMYFUNCTION("""COMPUTED_VALUE"""),"RIVADAVIA Santiago N")</f>
        <v>RIVADAVIA Santiago N</v>
      </c>
      <c r="F3974" s="1" t="str">
        <f t="shared" si="1"/>
        <v>RIVADAVIA </v>
      </c>
      <c r="G3974" s="1" t="str">
        <f t="shared" si="2"/>
        <v>Santiago N</v>
      </c>
      <c r="H3974" s="1" t="str">
        <f>IFERROR(__xludf.DUMMYFUNCTION("""COMPUTED_VALUE"""),"8/4/2023, 17:00:00")</f>
        <v>8/4/2023, 17:00:00</v>
      </c>
      <c r="I3974" s="1" t="str">
        <f>IFERROR(__xludf.DUMMYFUNCTION("""COMPUTED_VALUE"""),"RETIRADO OK POR CLIENTE")</f>
        <v>RETIRADO OK POR CLIENTE</v>
      </c>
      <c r="J3974" s="1">
        <f t="shared" si="3"/>
        <v>6</v>
      </c>
      <c r="K3974" s="1" t="str">
        <f t="shared" si="4"/>
        <v>Entregamos tus lentes, que los disfrutes!</v>
      </c>
    </row>
    <row r="3975">
      <c r="A3975" s="1">
        <f>IFERROR(__xludf.DUMMYFUNCTION("""COMPUTED_VALUE"""),88539.0)</f>
        <v>88539</v>
      </c>
      <c r="B3975" s="5">
        <f>IFERROR(__xludf.DUMMYFUNCTION("""COMPUTED_VALUE"""),45008.510312812505)</f>
        <v>45008.51031</v>
      </c>
      <c r="C3975" s="1" t="str">
        <f>IFERROR(__xludf.DUMMYFUNCTION("""COMPUTED_VALUE"""),"ROSALEZ MARIA")</f>
        <v>ROSALEZ MARIA</v>
      </c>
      <c r="D3975" s="1" t="str">
        <f>IFERROR(__xludf.DUMMYFUNCTION("""COMPUTED_VALUE"""),"Reparaciones/Otros")</f>
        <v>Reparaciones/Otros</v>
      </c>
      <c r="E3975" s="1" t="str">
        <f>IFERROR(__xludf.DUMMYFUNCTION("""COMPUTED_VALUE"""),"ARTIGAS Roció")</f>
        <v>ARTIGAS Roció</v>
      </c>
      <c r="F3975" s="1" t="str">
        <f t="shared" si="1"/>
        <v>ARTIGAS </v>
      </c>
      <c r="G3975" s="1" t="str">
        <f t="shared" si="2"/>
        <v>Roció</v>
      </c>
      <c r="H3975" s="1" t="str">
        <f>IFERROR(__xludf.DUMMYFUNCTION("""COMPUTED_VALUE"""),"28/3/2023, 17:00:00")</f>
        <v>28/3/2023, 17:00:00</v>
      </c>
      <c r="I3975" s="1" t="str">
        <f>IFERROR(__xludf.DUMMYFUNCTION("""COMPUTED_VALUE"""),"Completado en SUCURSAL")</f>
        <v>Completado en SUCURSAL</v>
      </c>
      <c r="J3975" s="1">
        <f t="shared" si="3"/>
        <v>5</v>
      </c>
      <c r="K3975" s="1" t="str">
        <f t="shared" si="4"/>
        <v>Tus Lentes estan LISTAS PARA ENTREGAR, te esperamos.</v>
      </c>
    </row>
    <row r="3976">
      <c r="A3976" s="1">
        <f>IFERROR(__xludf.DUMMYFUNCTION("""COMPUTED_VALUE"""),88540.0)</f>
        <v>88540</v>
      </c>
      <c r="B3976" s="5">
        <f>IFERROR(__xludf.DUMMYFUNCTION("""COMPUTED_VALUE"""),45008.511666886574)</f>
        <v>45008.51167</v>
      </c>
      <c r="C3976" s="1" t="str">
        <f>IFERROR(__xludf.DUMMYFUNCTION("""COMPUTED_VALUE"""),"TORRES ZULMA SUSANA")</f>
        <v>TORRES ZULMA SUSANA</v>
      </c>
      <c r="D3976" s="1" t="str">
        <f>IFERROR(__xludf.DUMMYFUNCTION("""COMPUTED_VALUE"""),"Lentes de STOCK")</f>
        <v>Lentes de STOCK</v>
      </c>
      <c r="E3976" s="1" t="str">
        <f>IFERROR(__xludf.DUMMYFUNCTION("""COMPUTED_VALUE"""),"RIVADAVIA Marcela L")</f>
        <v>RIVADAVIA Marcela L</v>
      </c>
      <c r="F3976" s="1" t="str">
        <f t="shared" si="1"/>
        <v>RIVADAVIA </v>
      </c>
      <c r="G3976" s="1" t="str">
        <f t="shared" si="2"/>
        <v>Marcela L</v>
      </c>
      <c r="H3976" s="1" t="str">
        <f>IFERROR(__xludf.DUMMYFUNCTION("""COMPUTED_VALUE"""),"28/3/2023, 17:00:00")</f>
        <v>28/3/2023, 17:00:00</v>
      </c>
      <c r="I3976" s="1" t="str">
        <f>IFERROR(__xludf.DUMMYFUNCTION("""COMPUTED_VALUE"""),"RETIRADO OK POR CLIENTE")</f>
        <v>RETIRADO OK POR CLIENTE</v>
      </c>
      <c r="J3976" s="1">
        <f t="shared" si="3"/>
        <v>6</v>
      </c>
      <c r="K3976" s="1" t="str">
        <f t="shared" si="4"/>
        <v>Entregamos tus lentes, que los disfrutes!</v>
      </c>
    </row>
    <row r="3977">
      <c r="A3977" s="1">
        <f>IFERROR(__xludf.DUMMYFUNCTION("""COMPUTED_VALUE"""),88541.0)</f>
        <v>88541</v>
      </c>
      <c r="B3977" s="5">
        <f>IFERROR(__xludf.DUMMYFUNCTION("""COMPUTED_VALUE"""),45008.52797896991)</f>
        <v>45008.52798</v>
      </c>
      <c r="C3977" s="1" t="str">
        <f>IFERROR(__xludf.DUMMYFUNCTION("""COMPUTED_VALUE"""),"AVILA LUDMILA")</f>
        <v>AVILA LUDMILA</v>
      </c>
      <c r="D3977" s="1" t="str">
        <f>IFERROR(__xludf.DUMMYFUNCTION("""COMPUTED_VALUE"""),"Reparaciones/Otros")</f>
        <v>Reparaciones/Otros</v>
      </c>
      <c r="E3977" s="1" t="str">
        <f>IFERROR(__xludf.DUMMYFUNCTION("""COMPUTED_VALUE"""),"RIVADAVIA Marcela L")</f>
        <v>RIVADAVIA Marcela L</v>
      </c>
      <c r="F3977" s="1" t="str">
        <f t="shared" si="1"/>
        <v>RIVADAVIA </v>
      </c>
      <c r="G3977" s="1" t="str">
        <f t="shared" si="2"/>
        <v>Marcela L</v>
      </c>
      <c r="H3977" s="1" t="str">
        <f>IFERROR(__xludf.DUMMYFUNCTION("""COMPUTED_VALUE"""),"27/3/2023, 17:00:00")</f>
        <v>27/3/2023, 17:00:00</v>
      </c>
      <c r="I3977" s="1" t="str">
        <f>IFERROR(__xludf.DUMMYFUNCTION("""COMPUTED_VALUE"""),"RETIRADO OK POR CLIENTE")</f>
        <v>RETIRADO OK POR CLIENTE</v>
      </c>
      <c r="J3977" s="1">
        <f t="shared" si="3"/>
        <v>6</v>
      </c>
      <c r="K3977" s="1" t="str">
        <f t="shared" si="4"/>
        <v>Entregamos tus lentes, que los disfrutes!</v>
      </c>
    </row>
    <row r="3978">
      <c r="A3978" s="1">
        <f>IFERROR(__xludf.DUMMYFUNCTION("""COMPUTED_VALUE"""),88542.0)</f>
        <v>88542</v>
      </c>
      <c r="B3978" s="5">
        <f>IFERROR(__xludf.DUMMYFUNCTION("""COMPUTED_VALUE"""),45008.528241064814)</f>
        <v>45008.52824</v>
      </c>
      <c r="C3978" s="1" t="str">
        <f>IFERROR(__xludf.DUMMYFUNCTION("""COMPUTED_VALUE"""),"EMIN IRIS")</f>
        <v>EMIN IRIS</v>
      </c>
      <c r="D3978" s="1" t="str">
        <f>IFERROR(__xludf.DUMMYFUNCTION("""COMPUTED_VALUE"""),"Lentes BIFOCALES")</f>
        <v>Lentes BIFOCALES</v>
      </c>
      <c r="E3978" s="1" t="str">
        <f>IFERROR(__xludf.DUMMYFUNCTION("""COMPUTED_VALUE"""),"ARTIGAS Ivana P.")</f>
        <v>ARTIGAS Ivana P.</v>
      </c>
      <c r="F3978" s="1" t="str">
        <f t="shared" si="1"/>
        <v>ARTIGAS </v>
      </c>
      <c r="G3978" s="1" t="str">
        <f t="shared" si="2"/>
        <v>Ivana P.</v>
      </c>
      <c r="H3978" s="1" t="str">
        <f>IFERROR(__xludf.DUMMYFUNCTION("""COMPUTED_VALUE"""),"29/3/2023, 17:00:00")</f>
        <v>29/3/2023, 17:00:00</v>
      </c>
      <c r="I3978" s="1" t="str">
        <f>IFERROR(__xludf.DUMMYFUNCTION("""COMPUTED_VALUE"""),"RETIRADO OK POR CLIENTE")</f>
        <v>RETIRADO OK POR CLIENTE</v>
      </c>
      <c r="J3978" s="1">
        <f t="shared" si="3"/>
        <v>6</v>
      </c>
      <c r="K3978" s="1" t="str">
        <f t="shared" si="4"/>
        <v>Entregamos tus lentes, que los disfrutes!</v>
      </c>
    </row>
    <row r="3979">
      <c r="A3979" s="1">
        <f>IFERROR(__xludf.DUMMYFUNCTION("""COMPUTED_VALUE"""),88543.0)</f>
        <v>88543</v>
      </c>
      <c r="B3979" s="5">
        <f>IFERROR(__xludf.DUMMYFUNCTION("""COMPUTED_VALUE"""),45008.53916305555)</f>
        <v>45008.53916</v>
      </c>
      <c r="C3979" s="1" t="str">
        <f>IFERROR(__xludf.DUMMYFUNCTION("""COMPUTED_VALUE"""),"GARCIA SUAREZ SOFIA ")</f>
        <v>GARCIA SUAREZ SOFIA </v>
      </c>
      <c r="D3979" s="1" t="str">
        <f>IFERROR(__xludf.DUMMYFUNCTION("""COMPUTED_VALUE"""),"Lentes de STOCK")</f>
        <v>Lentes de STOCK</v>
      </c>
      <c r="E3979" s="1" t="str">
        <f>IFERROR(__xludf.DUMMYFUNCTION("""COMPUTED_VALUE"""),"RIVADAVIA Christian C.")</f>
        <v>RIVADAVIA Christian C.</v>
      </c>
      <c r="F3979" s="1" t="str">
        <f t="shared" si="1"/>
        <v>RIVADAVIA </v>
      </c>
      <c r="G3979" s="1" t="str">
        <f t="shared" si="2"/>
        <v>Christian C.</v>
      </c>
      <c r="H3979" s="1" t="str">
        <f>IFERROR(__xludf.DUMMYFUNCTION("""COMPUTED_VALUE"""),"30/3/2023, 17:00:00")</f>
        <v>30/3/2023, 17:00:00</v>
      </c>
      <c r="I3979" s="1" t="str">
        <f>IFERROR(__xludf.DUMMYFUNCTION("""COMPUTED_VALUE"""),"RETIRADO OK POR CLIENTE")</f>
        <v>RETIRADO OK POR CLIENTE</v>
      </c>
      <c r="J3979" s="1">
        <f t="shared" si="3"/>
        <v>6</v>
      </c>
      <c r="K3979" s="1" t="str">
        <f t="shared" si="4"/>
        <v>Entregamos tus lentes, que los disfrutes!</v>
      </c>
    </row>
    <row r="3980">
      <c r="A3980" s="1">
        <f>IFERROR(__xludf.DUMMYFUNCTION("""COMPUTED_VALUE"""),88544.0)</f>
        <v>88544</v>
      </c>
      <c r="B3980" s="5">
        <f>IFERROR(__xludf.DUMMYFUNCTION("""COMPUTED_VALUE"""),45008.706350057866)</f>
        <v>45008.70635</v>
      </c>
      <c r="C3980" s="1" t="str">
        <f>IFERROR(__xludf.DUMMYFUNCTION("""COMPUTED_VALUE"""),"anzulovich milagros")</f>
        <v>anzulovich milagros</v>
      </c>
      <c r="D3980" s="1" t="str">
        <f>IFERROR(__xludf.DUMMYFUNCTION("""COMPUTED_VALUE"""),"Lentes de STOCK")</f>
        <v>Lentes de STOCK</v>
      </c>
      <c r="E3980" s="1" t="str">
        <f>IFERROR(__xludf.DUMMYFUNCTION("""COMPUTED_VALUE"""),"RIVADAVIA Santiago N")</f>
        <v>RIVADAVIA Santiago N</v>
      </c>
      <c r="F3980" s="1" t="str">
        <f t="shared" si="1"/>
        <v>RIVADAVIA </v>
      </c>
      <c r="G3980" s="1" t="str">
        <f t="shared" si="2"/>
        <v>Santiago N</v>
      </c>
      <c r="H3980" s="1" t="str">
        <f>IFERROR(__xludf.DUMMYFUNCTION("""COMPUTED_VALUE"""),"27/3/2023, 17:00:00")</f>
        <v>27/3/2023, 17:00:00</v>
      </c>
      <c r="I3980" s="1" t="str">
        <f>IFERROR(__xludf.DUMMYFUNCTION("""COMPUTED_VALUE"""),"RETIRADO OK POR CLIENTE")</f>
        <v>RETIRADO OK POR CLIENTE</v>
      </c>
      <c r="J3980" s="1">
        <f t="shared" si="3"/>
        <v>6</v>
      </c>
      <c r="K3980" s="1" t="str">
        <f t="shared" si="4"/>
        <v>Entregamos tus lentes, que los disfrutes!</v>
      </c>
    </row>
    <row r="3981">
      <c r="A3981" s="1">
        <f>IFERROR(__xludf.DUMMYFUNCTION("""COMPUTED_VALUE"""),88545.0)</f>
        <v>88545</v>
      </c>
      <c r="B3981" s="5">
        <f>IFERROR(__xludf.DUMMYFUNCTION("""COMPUTED_VALUE"""),45008.70800545139)</f>
        <v>45008.70801</v>
      </c>
      <c r="C3981" s="1" t="str">
        <f>IFERROR(__xludf.DUMMYFUNCTION("""COMPUTED_VALUE"""),"ORELLANO JUAN CARLOS")</f>
        <v>ORELLANO JUAN CARLOS</v>
      </c>
      <c r="D3981" s="1" t="str">
        <f>IFERROR(__xludf.DUMMYFUNCTION("""COMPUTED_VALUE"""),"Lentes de STOCK")</f>
        <v>Lentes de STOCK</v>
      </c>
      <c r="E3981" s="1" t="str">
        <f>IFERROR(__xludf.DUMMYFUNCTION("""COMPUTED_VALUE"""),"RIVADAVIA Luciana")</f>
        <v>RIVADAVIA Luciana</v>
      </c>
      <c r="F3981" s="1" t="str">
        <f t="shared" si="1"/>
        <v>RIVADAVIA </v>
      </c>
      <c r="G3981" s="1" t="str">
        <f t="shared" si="2"/>
        <v>Luciana</v>
      </c>
      <c r="H3981" s="1" t="str">
        <f>IFERROR(__xludf.DUMMYFUNCTION("""COMPUTED_VALUE"""),"29/3/2023, 17:00:00")</f>
        <v>29/3/2023, 17:00:00</v>
      </c>
      <c r="I3981" s="1" t="str">
        <f>IFERROR(__xludf.DUMMYFUNCTION("""COMPUTED_VALUE"""),"RETIRADO OK POR CLIENTE")</f>
        <v>RETIRADO OK POR CLIENTE</v>
      </c>
      <c r="J3981" s="1">
        <f t="shared" si="3"/>
        <v>6</v>
      </c>
      <c r="K3981" s="1" t="str">
        <f t="shared" si="4"/>
        <v>Entregamos tus lentes, que los disfrutes!</v>
      </c>
    </row>
    <row r="3982">
      <c r="A3982" s="1">
        <f>IFERROR(__xludf.DUMMYFUNCTION("""COMPUTED_VALUE"""),88546.0)</f>
        <v>88546</v>
      </c>
      <c r="B3982" s="5">
        <f>IFERROR(__xludf.DUMMYFUNCTION("""COMPUTED_VALUE"""),45008.710164212964)</f>
        <v>45008.71016</v>
      </c>
      <c r="C3982" s="1" t="str">
        <f>IFERROR(__xludf.DUMMYFUNCTION("""COMPUTED_VALUE"""),"Mario Pretel ")</f>
        <v>Mario Pretel </v>
      </c>
      <c r="D3982" s="1" t="str">
        <f>IFERROR(__xludf.DUMMYFUNCTION("""COMPUTED_VALUE"""),"Reparaciones/Otros")</f>
        <v>Reparaciones/Otros</v>
      </c>
      <c r="E3982" s="1" t="str">
        <f>IFERROR(__xludf.DUMMYFUNCTION("""COMPUTED_VALUE"""),"ARTIGAS Micaela")</f>
        <v>ARTIGAS Micaela</v>
      </c>
      <c r="F3982" s="1" t="str">
        <f t="shared" si="1"/>
        <v>ARTIGAS </v>
      </c>
      <c r="G3982" s="1" t="str">
        <f t="shared" si="2"/>
        <v>Micaela</v>
      </c>
      <c r="H3982" s="1" t="str">
        <f>IFERROR(__xludf.DUMMYFUNCTION("""COMPUTED_VALUE"""),"27/3/2023, 17:00:00")</f>
        <v>27/3/2023, 17:00:00</v>
      </c>
      <c r="I3982" s="1" t="str">
        <f>IFERROR(__xludf.DUMMYFUNCTION("""COMPUTED_VALUE"""),"Recibido en Laboratorio")</f>
        <v>Recibido en Laboratorio</v>
      </c>
      <c r="J3982" s="1">
        <f t="shared" si="3"/>
        <v>2</v>
      </c>
      <c r="K3982" s="1" t="str">
        <f t="shared" si="4"/>
        <v>Nuestro Laboratorio esta trabajando en tus lentes, los entregaremos en la fecha acordada.</v>
      </c>
    </row>
    <row r="3983">
      <c r="A3983" s="1">
        <f>IFERROR(__xludf.DUMMYFUNCTION("""COMPUTED_VALUE"""),88547.0)</f>
        <v>88547</v>
      </c>
      <c r="B3983" s="5">
        <f>IFERROR(__xludf.DUMMYFUNCTION("""COMPUTED_VALUE"""),45008.71413128472)</f>
        <v>45008.71413</v>
      </c>
      <c r="C3983" s="1" t="str">
        <f>IFERROR(__xludf.DUMMYFUNCTION("""COMPUTED_VALUE"""),"PARNISARI JUAN PABLO")</f>
        <v>PARNISARI JUAN PABLO</v>
      </c>
      <c r="D3983" s="1" t="str">
        <f>IFERROR(__xludf.DUMMYFUNCTION("""COMPUTED_VALUE"""),"Lentes de STOCK")</f>
        <v>Lentes de STOCK</v>
      </c>
      <c r="E3983" s="1" t="str">
        <f>IFERROR(__xludf.DUMMYFUNCTION("""COMPUTED_VALUE"""),"RIVADAVIA Santiago N")</f>
        <v>RIVADAVIA Santiago N</v>
      </c>
      <c r="F3983" s="1" t="str">
        <f t="shared" si="1"/>
        <v>RIVADAVIA </v>
      </c>
      <c r="G3983" s="1" t="str">
        <f t="shared" si="2"/>
        <v>Santiago N</v>
      </c>
      <c r="H3983" s="1" t="str">
        <f>IFERROR(__xludf.DUMMYFUNCTION("""COMPUTED_VALUE"""),"27/3/2023, 17:00:00")</f>
        <v>27/3/2023, 17:00:00</v>
      </c>
      <c r="I3983" s="1" t="str">
        <f>IFERROR(__xludf.DUMMYFUNCTION("""COMPUTED_VALUE"""),"Completado en SUCURSAL")</f>
        <v>Completado en SUCURSAL</v>
      </c>
      <c r="J3983" s="1">
        <f t="shared" si="3"/>
        <v>5</v>
      </c>
      <c r="K3983" s="1" t="str">
        <f t="shared" si="4"/>
        <v>Tus Lentes estan LISTAS PARA ENTREGAR, te esperamos.</v>
      </c>
    </row>
    <row r="3984">
      <c r="A3984" s="1">
        <f>IFERROR(__xludf.DUMMYFUNCTION("""COMPUTED_VALUE"""),88548.0)</f>
        <v>88548</v>
      </c>
      <c r="B3984" s="5">
        <f>IFERROR(__xludf.DUMMYFUNCTION("""COMPUTED_VALUE"""),45008.71593846065)</f>
        <v>45008.71594</v>
      </c>
      <c r="C3984" s="1" t="str">
        <f>IFERROR(__xludf.DUMMYFUNCTION("""COMPUTED_VALUE"""),"FERNANDEZ MARIANO")</f>
        <v>FERNANDEZ MARIANO</v>
      </c>
      <c r="D3984" s="1" t="str">
        <f>IFERROR(__xludf.DUMMYFUNCTION("""COMPUTED_VALUE"""),"Lentes de STOCK")</f>
        <v>Lentes de STOCK</v>
      </c>
      <c r="E3984" s="1" t="str">
        <f>IFERROR(__xludf.DUMMYFUNCTION("""COMPUTED_VALUE"""),"ARTIGAS Ivana P.")</f>
        <v>ARTIGAS Ivana P.</v>
      </c>
      <c r="F3984" s="1" t="str">
        <f t="shared" si="1"/>
        <v>ARTIGAS </v>
      </c>
      <c r="G3984" s="1" t="str">
        <f t="shared" si="2"/>
        <v>Ivana P.</v>
      </c>
      <c r="H3984" s="1" t="str">
        <f>IFERROR(__xludf.DUMMYFUNCTION("""COMPUTED_VALUE"""),"28/3/2023, 17:00:00")</f>
        <v>28/3/2023, 17:00:00</v>
      </c>
      <c r="I3984" s="1" t="str">
        <f>IFERROR(__xludf.DUMMYFUNCTION("""COMPUTED_VALUE"""),"RETIRADO OK POR CLIENTE")</f>
        <v>RETIRADO OK POR CLIENTE</v>
      </c>
      <c r="J3984" s="1">
        <f t="shared" si="3"/>
        <v>6</v>
      </c>
      <c r="K3984" s="1" t="str">
        <f t="shared" si="4"/>
        <v>Entregamos tus lentes, que los disfrutes!</v>
      </c>
    </row>
    <row r="3985">
      <c r="A3985" s="1">
        <f>IFERROR(__xludf.DUMMYFUNCTION("""COMPUTED_VALUE"""),88549.0)</f>
        <v>88549</v>
      </c>
      <c r="B3985" s="5">
        <f>IFERROR(__xludf.DUMMYFUNCTION("""COMPUTED_VALUE"""),45008.718353414355)</f>
        <v>45008.71835</v>
      </c>
      <c r="C3985" s="1" t="str">
        <f>IFERROR(__xludf.DUMMYFUNCTION("""COMPUTED_VALUE"""),"lopez mayordomo alejandro")</f>
        <v>lopez mayordomo alejandro</v>
      </c>
      <c r="D3985" s="1" t="str">
        <f>IFERROR(__xludf.DUMMYFUNCTION("""COMPUTED_VALUE"""),"Lentes de STOCK")</f>
        <v>Lentes de STOCK</v>
      </c>
      <c r="E3985" s="1" t="str">
        <f>IFERROR(__xludf.DUMMYFUNCTION("""COMPUTED_VALUE"""),"RIVADAVIA Daniel CM")</f>
        <v>RIVADAVIA Daniel CM</v>
      </c>
      <c r="F3985" s="1" t="str">
        <f t="shared" si="1"/>
        <v>RIVADAVIA </v>
      </c>
      <c r="G3985" s="1" t="str">
        <f t="shared" si="2"/>
        <v>Daniel CM</v>
      </c>
      <c r="H3985" s="1" t="str">
        <f>IFERROR(__xludf.DUMMYFUNCTION("""COMPUTED_VALUE"""),"29/3/2023, 17:00:00")</f>
        <v>29/3/2023, 17:00:00</v>
      </c>
      <c r="I3985" s="1" t="str">
        <f>IFERROR(__xludf.DUMMYFUNCTION("""COMPUTED_VALUE"""),"RETIRADO OK POR CLIENTE")</f>
        <v>RETIRADO OK POR CLIENTE</v>
      </c>
      <c r="J3985" s="1">
        <f t="shared" si="3"/>
        <v>6</v>
      </c>
      <c r="K3985" s="1" t="str">
        <f t="shared" si="4"/>
        <v>Entregamos tus lentes, que los disfrutes!</v>
      </c>
    </row>
    <row r="3986">
      <c r="A3986" s="1">
        <f>IFERROR(__xludf.DUMMYFUNCTION("""COMPUTED_VALUE"""),88550.0)</f>
        <v>88550</v>
      </c>
      <c r="B3986" s="5">
        <f>IFERROR(__xludf.DUMMYFUNCTION("""COMPUTED_VALUE"""),45008.72175070602)</f>
        <v>45008.72175</v>
      </c>
      <c r="C3986" s="1" t="str">
        <f>IFERROR(__xludf.DUMMYFUNCTION("""COMPUTED_VALUE"""),"delpiano fabio")</f>
        <v>delpiano fabio</v>
      </c>
      <c r="D3986" s="1" t="str">
        <f>IFERROR(__xludf.DUMMYFUNCTION("""COMPUTED_VALUE"""),"Lentes de STOCK")</f>
        <v>Lentes de STOCK</v>
      </c>
      <c r="E3986" s="1" t="str">
        <f>IFERROR(__xludf.DUMMYFUNCTION("""COMPUTED_VALUE"""),"RIVADAVIA Santiago N")</f>
        <v>RIVADAVIA Santiago N</v>
      </c>
      <c r="F3986" s="1" t="str">
        <f t="shared" si="1"/>
        <v>RIVADAVIA </v>
      </c>
      <c r="G3986" s="1" t="str">
        <f t="shared" si="2"/>
        <v>Santiago N</v>
      </c>
      <c r="H3986" s="1" t="str">
        <f>IFERROR(__xludf.DUMMYFUNCTION("""COMPUTED_VALUE"""),"27/3/2023, 17:00:00")</f>
        <v>27/3/2023, 17:00:00</v>
      </c>
      <c r="I3986" s="1" t="str">
        <f>IFERROR(__xludf.DUMMYFUNCTION("""COMPUTED_VALUE"""),"RETIRADO OK POR CLIENTE")</f>
        <v>RETIRADO OK POR CLIENTE</v>
      </c>
      <c r="J3986" s="1">
        <f t="shared" si="3"/>
        <v>6</v>
      </c>
      <c r="K3986" s="1" t="str">
        <f t="shared" si="4"/>
        <v>Entregamos tus lentes, que los disfrutes!</v>
      </c>
    </row>
    <row r="3987">
      <c r="A3987" s="1">
        <f>IFERROR(__xludf.DUMMYFUNCTION("""COMPUTED_VALUE"""),88551.0)</f>
        <v>88551</v>
      </c>
      <c r="B3987" s="5">
        <f>IFERROR(__xludf.DUMMYFUNCTION("""COMPUTED_VALUE"""),45008.72794880787)</f>
        <v>45008.72795</v>
      </c>
      <c r="C3987" s="1" t="str">
        <f>IFERROR(__xludf.DUMMYFUNCTION("""COMPUTED_VALUE"""),"LAZCANO LUCAS ")</f>
        <v>LAZCANO LUCAS </v>
      </c>
      <c r="D3987" s="1" t="str">
        <f>IFERROR(__xludf.DUMMYFUNCTION("""COMPUTED_VALUE"""),"Lentes de STOCK")</f>
        <v>Lentes de STOCK</v>
      </c>
      <c r="E3987" s="1" t="str">
        <f>IFERROR(__xludf.DUMMYFUNCTION("""COMPUTED_VALUE"""),"ARTIGAS Roció")</f>
        <v>ARTIGAS Roció</v>
      </c>
      <c r="F3987" s="1" t="str">
        <f t="shared" si="1"/>
        <v>ARTIGAS </v>
      </c>
      <c r="G3987" s="1" t="str">
        <f t="shared" si="2"/>
        <v>Roció</v>
      </c>
      <c r="H3987" s="1" t="str">
        <f>IFERROR(__xludf.DUMMYFUNCTION("""COMPUTED_VALUE"""),"31/3/2023, 17:00:00")</f>
        <v>31/3/2023, 17:00:00</v>
      </c>
      <c r="I3987" s="1" t="str">
        <f>IFERROR(__xludf.DUMMYFUNCTION("""COMPUTED_VALUE"""),"RETIRADO OK POR CLIENTE")</f>
        <v>RETIRADO OK POR CLIENTE</v>
      </c>
      <c r="J3987" s="1">
        <f t="shared" si="3"/>
        <v>6</v>
      </c>
      <c r="K3987" s="1" t="str">
        <f t="shared" si="4"/>
        <v>Entregamos tus lentes, que los disfrutes!</v>
      </c>
    </row>
    <row r="3988">
      <c r="A3988" s="1">
        <f>IFERROR(__xludf.DUMMYFUNCTION("""COMPUTED_VALUE"""),88552.0)</f>
        <v>88552</v>
      </c>
      <c r="B3988" s="5">
        <f>IFERROR(__xludf.DUMMYFUNCTION("""COMPUTED_VALUE"""),45008.76298608797)</f>
        <v>45008.76299</v>
      </c>
      <c r="C3988" s="1" t="str">
        <f>IFERROR(__xludf.DUMMYFUNCTION("""COMPUTED_VALUE"""),"SAIEG SOFIA ")</f>
        <v>SAIEG SOFIA </v>
      </c>
      <c r="D3988" s="1" t="str">
        <f>IFERROR(__xludf.DUMMYFUNCTION("""COMPUTED_VALUE"""),"Reparaciones/Otros")</f>
        <v>Reparaciones/Otros</v>
      </c>
      <c r="E3988" s="1" t="str">
        <f>IFERROR(__xludf.DUMMYFUNCTION("""COMPUTED_VALUE"""),"RIVADAVIA Christian C.")</f>
        <v>RIVADAVIA Christian C.</v>
      </c>
      <c r="F3988" s="1" t="str">
        <f t="shared" si="1"/>
        <v>RIVADAVIA </v>
      </c>
      <c r="G3988" s="1" t="str">
        <f t="shared" si="2"/>
        <v>Christian C.</v>
      </c>
      <c r="H3988" s="1" t="str">
        <f>IFERROR(__xludf.DUMMYFUNCTION("""COMPUTED_VALUE"""),"27/3/2023, 17:00:00")</f>
        <v>27/3/2023, 17:00:00</v>
      </c>
      <c r="I3988" s="1" t="str">
        <f>IFERROR(__xludf.DUMMYFUNCTION("""COMPUTED_VALUE"""),"Completado en SUCURSAL")</f>
        <v>Completado en SUCURSAL</v>
      </c>
      <c r="J3988" s="1">
        <f t="shared" si="3"/>
        <v>5</v>
      </c>
      <c r="K3988" s="1" t="str">
        <f t="shared" si="4"/>
        <v>Tus Lentes estan LISTAS PARA ENTREGAR, te esperamos.</v>
      </c>
    </row>
    <row r="3989">
      <c r="A3989" s="1">
        <f>IFERROR(__xludf.DUMMYFUNCTION("""COMPUTED_VALUE"""),88553.0)</f>
        <v>88553</v>
      </c>
      <c r="B3989" s="5">
        <f>IFERROR(__xludf.DUMMYFUNCTION("""COMPUTED_VALUE"""),45008.772233888885)</f>
        <v>45008.77223</v>
      </c>
      <c r="C3989" s="1" t="str">
        <f>IFERROR(__xludf.DUMMYFUNCTION("""COMPUTED_VALUE"""),"DIAZ DELIA DORA")</f>
        <v>DIAZ DELIA DORA</v>
      </c>
      <c r="D3989" s="1" t="str">
        <f>IFERROR(__xludf.DUMMYFUNCTION("""COMPUTED_VALUE"""),"Lentes de STOCK")</f>
        <v>Lentes de STOCK</v>
      </c>
      <c r="E3989" s="1" t="str">
        <f>IFERROR(__xludf.DUMMYFUNCTION("""COMPUTED_VALUE"""),"RIVADAVIA Javier")</f>
        <v>RIVADAVIA Javier</v>
      </c>
      <c r="F3989" s="1" t="str">
        <f t="shared" si="1"/>
        <v>RIVADAVIA </v>
      </c>
      <c r="G3989" s="1" t="str">
        <f t="shared" si="2"/>
        <v>Javier</v>
      </c>
      <c r="H3989" s="1" t="str">
        <f>IFERROR(__xludf.DUMMYFUNCTION("""COMPUTED_VALUE"""),"29/3/2023, 17:00:00")</f>
        <v>29/3/2023, 17:00:00</v>
      </c>
      <c r="I3989" s="1" t="str">
        <f>IFERROR(__xludf.DUMMYFUNCTION("""COMPUTED_VALUE"""),"RETIRADO OK POR CLIENTE")</f>
        <v>RETIRADO OK POR CLIENTE</v>
      </c>
      <c r="J3989" s="1">
        <f t="shared" si="3"/>
        <v>6</v>
      </c>
      <c r="K3989" s="1" t="str">
        <f t="shared" si="4"/>
        <v>Entregamos tus lentes, que los disfrutes!</v>
      </c>
    </row>
    <row r="3990">
      <c r="A3990" s="1">
        <f>IFERROR(__xludf.DUMMYFUNCTION("""COMPUTED_VALUE"""),88554.0)</f>
        <v>88554</v>
      </c>
      <c r="B3990" s="5">
        <f>IFERROR(__xludf.DUMMYFUNCTION("""COMPUTED_VALUE"""),45008.783104664355)</f>
        <v>45008.7831</v>
      </c>
      <c r="C3990" s="1" t="str">
        <f>IFERROR(__xludf.DUMMYFUNCTION("""COMPUTED_VALUE"""),"GARTAY ANGEL ")</f>
        <v>GARTAY ANGEL </v>
      </c>
      <c r="D3990" s="1" t="str">
        <f>IFERROR(__xludf.DUMMYFUNCTION("""COMPUTED_VALUE"""),"Lentes de STOCK")</f>
        <v>Lentes de STOCK</v>
      </c>
      <c r="E3990" s="1" t="str">
        <f>IFERROR(__xludf.DUMMYFUNCTION("""COMPUTED_VALUE"""),"RIVADAVIA Christian C.")</f>
        <v>RIVADAVIA Christian C.</v>
      </c>
      <c r="F3990" s="1" t="str">
        <f t="shared" si="1"/>
        <v>RIVADAVIA </v>
      </c>
      <c r="G3990" s="1" t="str">
        <f t="shared" si="2"/>
        <v>Christian C.</v>
      </c>
      <c r="H3990" s="1" t="str">
        <f>IFERROR(__xludf.DUMMYFUNCTION("""COMPUTED_VALUE"""),"29/3/2023, 17:00:00")</f>
        <v>29/3/2023, 17:00:00</v>
      </c>
      <c r="I3990" s="1" t="str">
        <f>IFERROR(__xludf.DUMMYFUNCTION("""COMPUTED_VALUE"""),"RETIRADO OK POR CLIENTE")</f>
        <v>RETIRADO OK POR CLIENTE</v>
      </c>
      <c r="J3990" s="1">
        <f t="shared" si="3"/>
        <v>6</v>
      </c>
      <c r="K3990" s="1" t="str">
        <f t="shared" si="4"/>
        <v>Entregamos tus lentes, que los disfrutes!</v>
      </c>
    </row>
    <row r="3991">
      <c r="A3991" s="1">
        <f>IFERROR(__xludf.DUMMYFUNCTION("""COMPUTED_VALUE"""),88555.0)</f>
        <v>88555</v>
      </c>
      <c r="B3991" s="5">
        <f>IFERROR(__xludf.DUMMYFUNCTION("""COMPUTED_VALUE"""),45008.784406782404)</f>
        <v>45008.78441</v>
      </c>
      <c r="C3991" s="1" t="str">
        <f>IFERROR(__xludf.DUMMYFUNCTION("""COMPUTED_VALUE"""),"ALBORNOZ MAITE")</f>
        <v>ALBORNOZ MAITE</v>
      </c>
      <c r="D3991" s="1" t="str">
        <f>IFERROR(__xludf.DUMMYFUNCTION("""COMPUTED_VALUE"""),"Reparaciones/Otros")</f>
        <v>Reparaciones/Otros</v>
      </c>
      <c r="E3991" s="1" t="str">
        <f>IFERROR(__xludf.DUMMYFUNCTION("""COMPUTED_VALUE"""),"RIVADAVIA Javier")</f>
        <v>RIVADAVIA Javier</v>
      </c>
      <c r="F3991" s="1" t="str">
        <f t="shared" si="1"/>
        <v>RIVADAVIA </v>
      </c>
      <c r="G3991" s="1" t="str">
        <f t="shared" si="2"/>
        <v>Javier</v>
      </c>
      <c r="H3991" s="1" t="str">
        <f>IFERROR(__xludf.DUMMYFUNCTION("""COMPUTED_VALUE"""),"25/3/2023, 17:00:00")</f>
        <v>25/3/2023, 17:00:00</v>
      </c>
      <c r="I3991" s="1"/>
      <c r="J3991" s="1">
        <f t="shared" si="3"/>
        <v>0</v>
      </c>
      <c r="K3991" s="1" t="str">
        <f t="shared" si="4"/>
        <v/>
      </c>
    </row>
    <row r="3992">
      <c r="A3992" s="1">
        <f>IFERROR(__xludf.DUMMYFUNCTION("""COMPUTED_VALUE"""),88556.0)</f>
        <v>88556</v>
      </c>
      <c r="B3992" s="5">
        <f>IFERROR(__xludf.DUMMYFUNCTION("""COMPUTED_VALUE"""),45008.79133876157)</f>
        <v>45008.79134</v>
      </c>
      <c r="C3992" s="1" t="str">
        <f>IFERROR(__xludf.DUMMYFUNCTION("""COMPUTED_VALUE"""),"SORIA MARGARITA NELIDA")</f>
        <v>SORIA MARGARITA NELIDA</v>
      </c>
      <c r="D3992" s="1" t="str">
        <f>IFERROR(__xludf.DUMMYFUNCTION("""COMPUTED_VALUE"""),"Lentes de STOCK")</f>
        <v>Lentes de STOCK</v>
      </c>
      <c r="E3992" s="1" t="str">
        <f>IFERROR(__xludf.DUMMYFUNCTION("""COMPUTED_VALUE"""),"RIVADAVIA Christian C.")</f>
        <v>RIVADAVIA Christian C.</v>
      </c>
      <c r="F3992" s="1" t="str">
        <f t="shared" si="1"/>
        <v>RIVADAVIA </v>
      </c>
      <c r="G3992" s="1" t="str">
        <f t="shared" si="2"/>
        <v>Christian C.</v>
      </c>
      <c r="H3992" s="1" t="str">
        <f>IFERROR(__xludf.DUMMYFUNCTION("""COMPUTED_VALUE"""),"30/3/2023, 17:00:00")</f>
        <v>30/3/2023, 17:00:00</v>
      </c>
      <c r="I3992" s="1" t="str">
        <f>IFERROR(__xludf.DUMMYFUNCTION("""COMPUTED_VALUE"""),"RETIRADO OK POR CLIENTE")</f>
        <v>RETIRADO OK POR CLIENTE</v>
      </c>
      <c r="J3992" s="1">
        <f t="shared" si="3"/>
        <v>6</v>
      </c>
      <c r="K3992" s="1" t="str">
        <f t="shared" si="4"/>
        <v>Entregamos tus lentes, que los disfrutes!</v>
      </c>
    </row>
    <row r="3993">
      <c r="A3993" s="1">
        <f>IFERROR(__xludf.DUMMYFUNCTION("""COMPUTED_VALUE"""),88557.0)</f>
        <v>88557</v>
      </c>
      <c r="B3993" s="5">
        <f>IFERROR(__xludf.DUMMYFUNCTION("""COMPUTED_VALUE"""),45008.795808842595)</f>
        <v>45008.79581</v>
      </c>
      <c r="C3993" s="1" t="str">
        <f>IFERROR(__xludf.DUMMYFUNCTION("""COMPUTED_VALUE"""),"URQUIZA GONZALO")</f>
        <v>URQUIZA GONZALO</v>
      </c>
      <c r="D3993" s="1" t="str">
        <f>IFERROR(__xludf.DUMMYFUNCTION("""COMPUTED_VALUE"""),"Lentes de LABORATORIO")</f>
        <v>Lentes de LABORATORIO</v>
      </c>
      <c r="E3993" s="1" t="str">
        <f>IFERROR(__xludf.DUMMYFUNCTION("""COMPUTED_VALUE"""),"RIVADAVIA Javier")</f>
        <v>RIVADAVIA Javier</v>
      </c>
      <c r="F3993" s="1" t="str">
        <f t="shared" si="1"/>
        <v>RIVADAVIA </v>
      </c>
      <c r="G3993" s="1" t="str">
        <f t="shared" si="2"/>
        <v>Javier</v>
      </c>
      <c r="H3993" s="1" t="str">
        <f>IFERROR(__xludf.DUMMYFUNCTION("""COMPUTED_VALUE"""),"10/4/2023, 17:00:00")</f>
        <v>10/4/2023, 17:00:00</v>
      </c>
      <c r="I3993" s="1" t="str">
        <f>IFERROR(__xludf.DUMMYFUNCTION("""COMPUTED_VALUE"""),"Completado en SUCURSAL")</f>
        <v>Completado en SUCURSAL</v>
      </c>
      <c r="J3993" s="1">
        <f t="shared" si="3"/>
        <v>5</v>
      </c>
      <c r="K3993" s="1" t="str">
        <f t="shared" si="4"/>
        <v>Tus Lentes estan LISTAS PARA ENTREGAR, te esperamos.</v>
      </c>
    </row>
    <row r="3994">
      <c r="A3994" s="1">
        <f>IFERROR(__xludf.DUMMYFUNCTION("""COMPUTED_VALUE"""),88558.0)</f>
        <v>88558</v>
      </c>
      <c r="B3994" s="5">
        <f>IFERROR(__xludf.DUMMYFUNCTION("""COMPUTED_VALUE"""),45008.80071256944)</f>
        <v>45008.80071</v>
      </c>
      <c r="C3994" s="1" t="str">
        <f>IFERROR(__xludf.DUMMYFUNCTION("""COMPUTED_VALUE"""),"ROJAS JORGE")</f>
        <v>ROJAS JORGE</v>
      </c>
      <c r="D3994" s="1" t="str">
        <f>IFERROR(__xludf.DUMMYFUNCTION("""COMPUTED_VALUE"""),"Lentes de STOCK")</f>
        <v>Lentes de STOCK</v>
      </c>
      <c r="E3994" s="1" t="str">
        <f>IFERROR(__xludf.DUMMYFUNCTION("""COMPUTED_VALUE"""),"ARTIGAS Ivana P.")</f>
        <v>ARTIGAS Ivana P.</v>
      </c>
      <c r="F3994" s="1" t="str">
        <f t="shared" si="1"/>
        <v>ARTIGAS </v>
      </c>
      <c r="G3994" s="1" t="str">
        <f t="shared" si="2"/>
        <v>Ivana P.</v>
      </c>
      <c r="H3994" s="1" t="str">
        <f>IFERROR(__xludf.DUMMYFUNCTION("""COMPUTED_VALUE"""),"28/3/2023, 17:00:00")</f>
        <v>28/3/2023, 17:00:00</v>
      </c>
      <c r="I3994" s="1" t="str">
        <f>IFERROR(__xludf.DUMMYFUNCTION("""COMPUTED_VALUE"""),"RETIRADO OK POR CLIENTE")</f>
        <v>RETIRADO OK POR CLIENTE</v>
      </c>
      <c r="J3994" s="1">
        <f t="shared" si="3"/>
        <v>6</v>
      </c>
      <c r="K3994" s="1" t="str">
        <f t="shared" si="4"/>
        <v>Entregamos tus lentes, que los disfrutes!</v>
      </c>
    </row>
    <row r="3995">
      <c r="A3995" s="1">
        <f>IFERROR(__xludf.DUMMYFUNCTION("""COMPUTED_VALUE"""),88559.0)</f>
        <v>88559</v>
      </c>
      <c r="B3995" s="5">
        <f>IFERROR(__xludf.DUMMYFUNCTION("""COMPUTED_VALUE"""),45008.805601319444)</f>
        <v>45008.8056</v>
      </c>
      <c r="C3995" s="1" t="str">
        <f>IFERROR(__xludf.DUMMYFUNCTION("""COMPUTED_VALUE"""),"GARCIA DAVID")</f>
        <v>GARCIA DAVID</v>
      </c>
      <c r="D3995" s="1" t="str">
        <f>IFERROR(__xludf.DUMMYFUNCTION("""COMPUTED_VALUE"""),"Lentes de LABORATORIO")</f>
        <v>Lentes de LABORATORIO</v>
      </c>
      <c r="E3995" s="1" t="str">
        <f>IFERROR(__xludf.DUMMYFUNCTION("""COMPUTED_VALUE"""),"ARTIGAS Roció")</f>
        <v>ARTIGAS Roció</v>
      </c>
      <c r="F3995" s="1" t="str">
        <f t="shared" si="1"/>
        <v>ARTIGAS </v>
      </c>
      <c r="G3995" s="1" t="str">
        <f t="shared" si="2"/>
        <v>Roció</v>
      </c>
      <c r="H3995" s="1" t="str">
        <f>IFERROR(__xludf.DUMMYFUNCTION("""COMPUTED_VALUE"""),"4/4/2023, 17:00:00")</f>
        <v>4/4/2023, 17:00:00</v>
      </c>
      <c r="I3995" s="1" t="str">
        <f>IFERROR(__xludf.DUMMYFUNCTION("""COMPUTED_VALUE"""),"Completado en SUCURSAL")</f>
        <v>Completado en SUCURSAL</v>
      </c>
      <c r="J3995" s="1">
        <f t="shared" si="3"/>
        <v>5</v>
      </c>
      <c r="K3995" s="1" t="str">
        <f t="shared" si="4"/>
        <v>Tus Lentes estan LISTAS PARA ENTREGAR, te esperamos.</v>
      </c>
    </row>
    <row r="3996">
      <c r="A3996" s="1">
        <f>IFERROR(__xludf.DUMMYFUNCTION("""COMPUTED_VALUE"""),88560.0)</f>
        <v>88560</v>
      </c>
      <c r="B3996" s="5">
        <f>IFERROR(__xludf.DUMMYFUNCTION("""COMPUTED_VALUE"""),45008.808272766204)</f>
        <v>45008.80827</v>
      </c>
      <c r="C3996" s="1" t="str">
        <f>IFERROR(__xludf.DUMMYFUNCTION("""COMPUTED_VALUE"""),"ASSAYAS MARIA PAZ")</f>
        <v>ASSAYAS MARIA PAZ</v>
      </c>
      <c r="D3996" s="1" t="str">
        <f>IFERROR(__xludf.DUMMYFUNCTION("""COMPUTED_VALUE"""),"Lentes de STOCK")</f>
        <v>Lentes de STOCK</v>
      </c>
      <c r="E3996" s="1" t="str">
        <f>IFERROR(__xludf.DUMMYFUNCTION("""COMPUTED_VALUE"""),"RIVADAVIA Christian C.")</f>
        <v>RIVADAVIA Christian C.</v>
      </c>
      <c r="F3996" s="1" t="str">
        <f t="shared" si="1"/>
        <v>RIVADAVIA </v>
      </c>
      <c r="G3996" s="1" t="str">
        <f t="shared" si="2"/>
        <v>Christian C.</v>
      </c>
      <c r="H3996" s="1" t="str">
        <f>IFERROR(__xludf.DUMMYFUNCTION("""COMPUTED_VALUE"""),"28/3/2023, 17:00:00")</f>
        <v>28/3/2023, 17:00:00</v>
      </c>
      <c r="I3996" s="1" t="str">
        <f>IFERROR(__xludf.DUMMYFUNCTION("""COMPUTED_VALUE"""),"RETIRADO OK POR CLIENTE")</f>
        <v>RETIRADO OK POR CLIENTE</v>
      </c>
      <c r="J3996" s="1">
        <f t="shared" si="3"/>
        <v>6</v>
      </c>
      <c r="K3996" s="1" t="str">
        <f t="shared" si="4"/>
        <v>Entregamos tus lentes, que los disfrutes!</v>
      </c>
    </row>
    <row r="3997">
      <c r="A3997" s="1">
        <f>IFERROR(__xludf.DUMMYFUNCTION("""COMPUTED_VALUE"""),88561.0)</f>
        <v>88561</v>
      </c>
      <c r="B3997" s="5">
        <f>IFERROR(__xludf.DUMMYFUNCTION("""COMPUTED_VALUE"""),45008.810158333334)</f>
        <v>45008.81016</v>
      </c>
      <c r="C3997" s="1" t="str">
        <f>IFERROR(__xludf.DUMMYFUNCTION("""COMPUTED_VALUE"""),"ALLENDE SILVIA")</f>
        <v>ALLENDE SILVIA</v>
      </c>
      <c r="D3997" s="1" t="str">
        <f>IFERROR(__xludf.DUMMYFUNCTION("""COMPUTED_VALUE"""),"Lentes MULTIFOCALES")</f>
        <v>Lentes MULTIFOCALES</v>
      </c>
      <c r="E3997" s="1" t="str">
        <f>IFERROR(__xludf.DUMMYFUNCTION("""COMPUTED_VALUE"""),"ARTIGAS Ivana P.")</f>
        <v>ARTIGAS Ivana P.</v>
      </c>
      <c r="F3997" s="1" t="str">
        <f t="shared" si="1"/>
        <v>ARTIGAS </v>
      </c>
      <c r="G3997" s="1" t="str">
        <f t="shared" si="2"/>
        <v>Ivana P.</v>
      </c>
      <c r="H3997" s="1" t="str">
        <f>IFERROR(__xludf.DUMMYFUNCTION("""COMPUTED_VALUE"""),"5/4/2023, 17:00:00")</f>
        <v>5/4/2023, 17:00:00</v>
      </c>
      <c r="I3997" s="1" t="str">
        <f>IFERROR(__xludf.DUMMYFUNCTION("""COMPUTED_VALUE"""),"Completado en SUCURSAL")</f>
        <v>Completado en SUCURSAL</v>
      </c>
      <c r="J3997" s="1">
        <f t="shared" si="3"/>
        <v>5</v>
      </c>
      <c r="K3997" s="1" t="str">
        <f t="shared" si="4"/>
        <v>Tus Lentes estan LISTAS PARA ENTREGAR, te esperamos.</v>
      </c>
    </row>
    <row r="3998">
      <c r="A3998" s="1">
        <f>IFERROR(__xludf.DUMMYFUNCTION("""COMPUTED_VALUE"""),88562.0)</f>
        <v>88562</v>
      </c>
      <c r="B3998" s="5">
        <f>IFERROR(__xludf.DUMMYFUNCTION("""COMPUTED_VALUE"""),45008.81090652778)</f>
        <v>45008.81091</v>
      </c>
      <c r="C3998" s="1" t="str">
        <f>IFERROR(__xludf.DUMMYFUNCTION("""COMPUTED_VALUE"""),"TROMBINO VIVIANA LAURA")</f>
        <v>TROMBINO VIVIANA LAURA</v>
      </c>
      <c r="D3998" s="1" t="str">
        <f>IFERROR(__xludf.DUMMYFUNCTION("""COMPUTED_VALUE"""),"Lentes de STOCK")</f>
        <v>Lentes de STOCK</v>
      </c>
      <c r="E3998" s="1" t="str">
        <f>IFERROR(__xludf.DUMMYFUNCTION("""COMPUTED_VALUE"""),"ARTIGAS Roció")</f>
        <v>ARTIGAS Roció</v>
      </c>
      <c r="F3998" s="1" t="str">
        <f t="shared" si="1"/>
        <v>ARTIGAS </v>
      </c>
      <c r="G3998" s="1" t="str">
        <f t="shared" si="2"/>
        <v>Roció</v>
      </c>
      <c r="H3998" s="1" t="str">
        <f>IFERROR(__xludf.DUMMYFUNCTION("""COMPUTED_VALUE"""),"31/3/2023, 17:00:00")</f>
        <v>31/3/2023, 17:00:00</v>
      </c>
      <c r="I3998" s="1" t="str">
        <f>IFERROR(__xludf.DUMMYFUNCTION("""COMPUTED_VALUE"""),"RETIRADO OK POR CLIENTE")</f>
        <v>RETIRADO OK POR CLIENTE</v>
      </c>
      <c r="J3998" s="1">
        <f t="shared" si="3"/>
        <v>6</v>
      </c>
      <c r="K3998" s="1" t="str">
        <f t="shared" si="4"/>
        <v>Entregamos tus lentes, que los disfrutes!</v>
      </c>
    </row>
    <row r="3999">
      <c r="A3999" s="1">
        <f>IFERROR(__xludf.DUMMYFUNCTION("""COMPUTED_VALUE"""),88563.0)</f>
        <v>88563</v>
      </c>
      <c r="B3999" s="5">
        <f>IFERROR(__xludf.DUMMYFUNCTION("""COMPUTED_VALUE"""),45008.816057199074)</f>
        <v>45008.81606</v>
      </c>
      <c r="C3999" s="1" t="str">
        <f>IFERROR(__xludf.DUMMYFUNCTION("""COMPUTED_VALUE"""),"ARANCIBIA DELFINA")</f>
        <v>ARANCIBIA DELFINA</v>
      </c>
      <c r="D3999" s="1" t="str">
        <f>IFERROR(__xludf.DUMMYFUNCTION("""COMPUTED_VALUE"""),"Lentes de STOCK")</f>
        <v>Lentes de STOCK</v>
      </c>
      <c r="E3999" s="1" t="str">
        <f>IFERROR(__xludf.DUMMYFUNCTION("""COMPUTED_VALUE"""),"ARTIGAS Ivana P.")</f>
        <v>ARTIGAS Ivana P.</v>
      </c>
      <c r="F3999" s="1" t="str">
        <f t="shared" si="1"/>
        <v>ARTIGAS </v>
      </c>
      <c r="G3999" s="1" t="str">
        <f t="shared" si="2"/>
        <v>Ivana P.</v>
      </c>
      <c r="H3999" s="1" t="str">
        <f>IFERROR(__xludf.DUMMYFUNCTION("""COMPUTED_VALUE"""),"29/3/2023, 17:00:00")</f>
        <v>29/3/2023, 17:00:00</v>
      </c>
      <c r="I3999" s="1" t="str">
        <f>IFERROR(__xludf.DUMMYFUNCTION("""COMPUTED_VALUE"""),"RETIRADO OK POR CLIENTE")</f>
        <v>RETIRADO OK POR CLIENTE</v>
      </c>
      <c r="J3999" s="1">
        <f t="shared" si="3"/>
        <v>6</v>
      </c>
      <c r="K3999" s="1" t="str">
        <f t="shared" si="4"/>
        <v>Entregamos tus lentes, que los disfrutes!</v>
      </c>
    </row>
    <row r="4000">
      <c r="A4000" s="1">
        <f>IFERROR(__xludf.DUMMYFUNCTION("""COMPUTED_VALUE"""),88564.0)</f>
        <v>88564</v>
      </c>
      <c r="B4000" s="5">
        <f>IFERROR(__xludf.DUMMYFUNCTION("""COMPUTED_VALUE"""),45008.82286489583)</f>
        <v>45008.82286</v>
      </c>
      <c r="C4000" s="1" t="str">
        <f>IFERROR(__xludf.DUMMYFUNCTION("""COMPUTED_VALUE"""),"JOFRE GIMENEZ JOAQUIN")</f>
        <v>JOFRE GIMENEZ JOAQUIN</v>
      </c>
      <c r="D4000" s="1" t="str">
        <f>IFERROR(__xludf.DUMMYFUNCTION("""COMPUTED_VALUE"""),"Lentes de STOCK")</f>
        <v>Lentes de STOCK</v>
      </c>
      <c r="E4000" s="1" t="str">
        <f>IFERROR(__xludf.DUMMYFUNCTION("""COMPUTED_VALUE"""),"ARTIGAS Roció")</f>
        <v>ARTIGAS Roció</v>
      </c>
      <c r="F4000" s="1" t="str">
        <f t="shared" si="1"/>
        <v>ARTIGAS </v>
      </c>
      <c r="G4000" s="1" t="str">
        <f t="shared" si="2"/>
        <v>Roció</v>
      </c>
      <c r="H4000" s="1" t="str">
        <f>IFERROR(__xludf.DUMMYFUNCTION("""COMPUTED_VALUE"""),"30/3/2023, 17:00:00")</f>
        <v>30/3/2023, 17:00:00</v>
      </c>
      <c r="I4000" s="1" t="str">
        <f>IFERROR(__xludf.DUMMYFUNCTION("""COMPUTED_VALUE"""),"RETIRADO OK POR CLIENTE")</f>
        <v>RETIRADO OK POR CLIENTE</v>
      </c>
      <c r="J4000" s="1">
        <f t="shared" si="3"/>
        <v>6</v>
      </c>
      <c r="K4000" s="1" t="str">
        <f t="shared" si="4"/>
        <v>Entregamos tus lentes, que los disfrutes!</v>
      </c>
    </row>
    <row r="4001">
      <c r="A4001" s="1">
        <f>IFERROR(__xludf.DUMMYFUNCTION("""COMPUTED_VALUE"""),88565.0)</f>
        <v>88565</v>
      </c>
      <c r="B4001" s="5">
        <f>IFERROR(__xludf.DUMMYFUNCTION("""COMPUTED_VALUE"""),45008.8497621412)</f>
        <v>45008.84976</v>
      </c>
      <c r="C4001" s="1" t="str">
        <f>IFERROR(__xludf.DUMMYFUNCTION("""COMPUTED_VALUE"""),"MIRANDA CARMEN ")</f>
        <v>MIRANDA CARMEN </v>
      </c>
      <c r="D4001" s="1" t="str">
        <f>IFERROR(__xludf.DUMMYFUNCTION("""COMPUTED_VALUE"""),"Lentes de STOCK")</f>
        <v>Lentes de STOCK</v>
      </c>
      <c r="E4001" s="1" t="str">
        <f>IFERROR(__xludf.DUMMYFUNCTION("""COMPUTED_VALUE"""),"RIVADAVIA Christian C.")</f>
        <v>RIVADAVIA Christian C.</v>
      </c>
      <c r="F4001" s="1" t="str">
        <f t="shared" si="1"/>
        <v>RIVADAVIA </v>
      </c>
      <c r="G4001" s="1" t="str">
        <f t="shared" si="2"/>
        <v>Christian C.</v>
      </c>
      <c r="H4001" s="1" t="str">
        <f>IFERROR(__xludf.DUMMYFUNCTION("""COMPUTED_VALUE"""),"30/3/2023, 17:00:00")</f>
        <v>30/3/2023, 17:00:00</v>
      </c>
      <c r="I4001" s="1" t="str">
        <f>IFERROR(__xludf.DUMMYFUNCTION("""COMPUTED_VALUE"""),"RETIRADO OK POR CLIENTE")</f>
        <v>RETIRADO OK POR CLIENTE</v>
      </c>
      <c r="J4001" s="1">
        <f t="shared" si="3"/>
        <v>6</v>
      </c>
      <c r="K4001" s="1" t="str">
        <f t="shared" si="4"/>
        <v>Entregamos tus lentes, que los disfrutes!</v>
      </c>
    </row>
    <row r="4002">
      <c r="A4002" s="1">
        <f>IFERROR(__xludf.DUMMYFUNCTION("""COMPUTED_VALUE"""),88566.0)</f>
        <v>88566</v>
      </c>
      <c r="B4002" s="5">
        <f>IFERROR(__xludf.DUMMYFUNCTION("""COMPUTED_VALUE"""),45010.40194556713)</f>
        <v>45010.40195</v>
      </c>
      <c r="C4002" s="1" t="str">
        <f>IFERROR(__xludf.DUMMYFUNCTION("""COMPUTED_VALUE"""),"NUÑEZ ELVIA DOLORES")</f>
        <v>NUÑEZ ELVIA DOLORES</v>
      </c>
      <c r="D4002" s="1" t="str">
        <f>IFERROR(__xludf.DUMMYFUNCTION("""COMPUTED_VALUE"""),"Lentes de STOCK")</f>
        <v>Lentes de STOCK</v>
      </c>
      <c r="E4002" s="1" t="str">
        <f>IFERROR(__xludf.DUMMYFUNCTION("""COMPUTED_VALUE"""),"RIVADAVIA Javier")</f>
        <v>RIVADAVIA Javier</v>
      </c>
      <c r="F4002" s="1" t="str">
        <f t="shared" si="1"/>
        <v>RIVADAVIA </v>
      </c>
      <c r="G4002" s="1" t="str">
        <f t="shared" si="2"/>
        <v>Javier</v>
      </c>
      <c r="H4002" s="1" t="str">
        <f>IFERROR(__xludf.DUMMYFUNCTION("""COMPUTED_VALUE"""),"29/3/2023, 17:00:00")</f>
        <v>29/3/2023, 17:00:00</v>
      </c>
      <c r="I4002" s="1" t="str">
        <f>IFERROR(__xludf.DUMMYFUNCTION("""COMPUTED_VALUE"""),"RETIRADO OK POR CLIENTE")</f>
        <v>RETIRADO OK POR CLIENTE</v>
      </c>
      <c r="J4002" s="1">
        <f t="shared" si="3"/>
        <v>6</v>
      </c>
      <c r="K4002" s="1" t="str">
        <f t="shared" si="4"/>
        <v>Entregamos tus lentes, que los disfrutes!</v>
      </c>
    </row>
    <row r="4003">
      <c r="A4003" s="1">
        <f>IFERROR(__xludf.DUMMYFUNCTION("""COMPUTED_VALUE"""),88567.0)</f>
        <v>88567</v>
      </c>
      <c r="B4003" s="5">
        <f>IFERROR(__xludf.DUMMYFUNCTION("""COMPUTED_VALUE"""),45010.41060153935)</f>
        <v>45010.4106</v>
      </c>
      <c r="C4003" s="1" t="str">
        <f>IFERROR(__xludf.DUMMYFUNCTION("""COMPUTED_VALUE"""),"QUEVEDO ALEJANDRA")</f>
        <v>QUEVEDO ALEJANDRA</v>
      </c>
      <c r="D4003" s="1" t="str">
        <f>IFERROR(__xludf.DUMMYFUNCTION("""COMPUTED_VALUE"""),"Lentes de LABORATORIO")</f>
        <v>Lentes de LABORATORIO</v>
      </c>
      <c r="E4003" s="1" t="str">
        <f>IFERROR(__xludf.DUMMYFUNCTION("""COMPUTED_VALUE"""),"RIVADAVIA Santiago LOPEZ")</f>
        <v>RIVADAVIA Santiago LOPEZ</v>
      </c>
      <c r="F4003" s="1" t="str">
        <f t="shared" si="1"/>
        <v>RIVADAVIA </v>
      </c>
      <c r="G4003" s="1" t="str">
        <f t="shared" si="2"/>
        <v>Santiago LOPEZ</v>
      </c>
      <c r="H4003" s="1" t="str">
        <f>IFERROR(__xludf.DUMMYFUNCTION("""COMPUTED_VALUE"""),"1/4/2023, 17:00:00")</f>
        <v>1/4/2023, 17:00:00</v>
      </c>
      <c r="I4003" s="1" t="str">
        <f>IFERROR(__xludf.DUMMYFUNCTION("""COMPUTED_VALUE"""),"RETIRADO OK POR CLIENTE")</f>
        <v>RETIRADO OK POR CLIENTE</v>
      </c>
      <c r="J4003" s="1">
        <f t="shared" si="3"/>
        <v>6</v>
      </c>
      <c r="K4003" s="1" t="str">
        <f t="shared" si="4"/>
        <v>Entregamos tus lentes, que los disfrutes!</v>
      </c>
    </row>
    <row r="4004">
      <c r="A4004" s="1">
        <f>IFERROR(__xludf.DUMMYFUNCTION("""COMPUTED_VALUE"""),88568.0)</f>
        <v>88568</v>
      </c>
      <c r="B4004" s="5">
        <f>IFERROR(__xludf.DUMMYFUNCTION("""COMPUTED_VALUE"""),45010.41972820602)</f>
        <v>45010.41973</v>
      </c>
      <c r="C4004" s="1" t="str">
        <f>IFERROR(__xludf.DUMMYFUNCTION("""COMPUTED_VALUE"""),"ACOSTA GABRIEL")</f>
        <v>ACOSTA GABRIEL</v>
      </c>
      <c r="D4004" s="1" t="str">
        <f>IFERROR(__xludf.DUMMYFUNCTION("""COMPUTED_VALUE"""),"Lentes de STOCK")</f>
        <v>Lentes de STOCK</v>
      </c>
      <c r="E4004" s="1" t="str">
        <f>IFERROR(__xludf.DUMMYFUNCTION("""COMPUTED_VALUE"""),"ARTIGAS Ivana P.")</f>
        <v>ARTIGAS Ivana P.</v>
      </c>
      <c r="F4004" s="1" t="str">
        <f t="shared" si="1"/>
        <v>ARTIGAS </v>
      </c>
      <c r="G4004" s="1" t="str">
        <f t="shared" si="2"/>
        <v>Ivana P.</v>
      </c>
      <c r="H4004" s="1" t="str">
        <f>IFERROR(__xludf.DUMMYFUNCTION("""COMPUTED_VALUE"""),"27/3/2023, 17:00:00")</f>
        <v>27/3/2023, 17:00:00</v>
      </c>
      <c r="I4004" s="1" t="str">
        <f>IFERROR(__xludf.DUMMYFUNCTION("""COMPUTED_VALUE"""),"Completado en SUCURSAL")</f>
        <v>Completado en SUCURSAL</v>
      </c>
      <c r="J4004" s="1">
        <f t="shared" si="3"/>
        <v>5</v>
      </c>
      <c r="K4004" s="1" t="str">
        <f t="shared" si="4"/>
        <v>Tus Lentes estan LISTAS PARA ENTREGAR, te esperamos.</v>
      </c>
    </row>
    <row r="4005">
      <c r="A4005" s="1">
        <f>IFERROR(__xludf.DUMMYFUNCTION("""COMPUTED_VALUE"""),88569.0)</f>
        <v>88569</v>
      </c>
      <c r="B4005" s="5">
        <f>IFERROR(__xludf.DUMMYFUNCTION("""COMPUTED_VALUE"""),45010.42041082176)</f>
        <v>45010.42041</v>
      </c>
      <c r="C4005" s="1" t="str">
        <f>IFERROR(__xludf.DUMMYFUNCTION("""COMPUTED_VALUE"""),"VILLEGAS JORGE")</f>
        <v>VILLEGAS JORGE</v>
      </c>
      <c r="D4005" s="1" t="str">
        <f>IFERROR(__xludf.DUMMYFUNCTION("""COMPUTED_VALUE"""),"Lentes de STOCK")</f>
        <v>Lentes de STOCK</v>
      </c>
      <c r="E4005" s="1" t="str">
        <f>IFERROR(__xludf.DUMMYFUNCTION("""COMPUTED_VALUE"""),"ARTIGAS Roció")</f>
        <v>ARTIGAS Roció</v>
      </c>
      <c r="F4005" s="1" t="str">
        <f t="shared" si="1"/>
        <v>ARTIGAS </v>
      </c>
      <c r="G4005" s="1" t="str">
        <f t="shared" si="2"/>
        <v>Roció</v>
      </c>
      <c r="H4005" s="1" t="str">
        <f>IFERROR(__xludf.DUMMYFUNCTION("""COMPUTED_VALUE"""),"31/3/2023, 17:00:00")</f>
        <v>31/3/2023, 17:00:00</v>
      </c>
      <c r="I4005" s="1" t="str">
        <f>IFERROR(__xludf.DUMMYFUNCTION("""COMPUTED_VALUE"""),"RETIRADO OK POR CLIENTE")</f>
        <v>RETIRADO OK POR CLIENTE</v>
      </c>
      <c r="J4005" s="1">
        <f t="shared" si="3"/>
        <v>6</v>
      </c>
      <c r="K4005" s="1" t="str">
        <f t="shared" si="4"/>
        <v>Entregamos tus lentes, que los disfrutes!</v>
      </c>
    </row>
    <row r="4006">
      <c r="A4006" s="1">
        <f>IFERROR(__xludf.DUMMYFUNCTION("""COMPUTED_VALUE"""),88570.0)</f>
        <v>88570</v>
      </c>
      <c r="B4006" s="5">
        <f>IFERROR(__xludf.DUMMYFUNCTION("""COMPUTED_VALUE"""),45010.42270144676)</f>
        <v>45010.4227</v>
      </c>
      <c r="C4006" s="1" t="str">
        <f>IFERROR(__xludf.DUMMYFUNCTION("""COMPUTED_VALUE"""),"VILLEGAS JORGE")</f>
        <v>VILLEGAS JORGE</v>
      </c>
      <c r="D4006" s="1" t="str">
        <f>IFERROR(__xludf.DUMMYFUNCTION("""COMPUTED_VALUE"""),"Lentes de STOCK")</f>
        <v>Lentes de STOCK</v>
      </c>
      <c r="E4006" s="1" t="str">
        <f>IFERROR(__xludf.DUMMYFUNCTION("""COMPUTED_VALUE"""),"ARTIGAS Roció")</f>
        <v>ARTIGAS Roció</v>
      </c>
      <c r="F4006" s="1" t="str">
        <f t="shared" si="1"/>
        <v>ARTIGAS </v>
      </c>
      <c r="G4006" s="1" t="str">
        <f t="shared" si="2"/>
        <v>Roció</v>
      </c>
      <c r="H4006" s="1" t="str">
        <f>IFERROR(__xludf.DUMMYFUNCTION("""COMPUTED_VALUE"""),"31/3/2023, 17:00:00")</f>
        <v>31/3/2023, 17:00:00</v>
      </c>
      <c r="I4006" s="1" t="str">
        <f>IFERROR(__xludf.DUMMYFUNCTION("""COMPUTED_VALUE"""),"Completado en SUCURSAL")</f>
        <v>Completado en SUCURSAL</v>
      </c>
      <c r="J4006" s="1">
        <f t="shared" si="3"/>
        <v>5</v>
      </c>
      <c r="K4006" s="1" t="str">
        <f t="shared" si="4"/>
        <v>Tus Lentes estan LISTAS PARA ENTREGAR, te esperamos.</v>
      </c>
    </row>
    <row r="4007">
      <c r="A4007" s="1">
        <f>IFERROR(__xludf.DUMMYFUNCTION("""COMPUTED_VALUE"""),88571.0)</f>
        <v>88571</v>
      </c>
      <c r="B4007" s="5">
        <f>IFERROR(__xludf.DUMMYFUNCTION("""COMPUTED_VALUE"""),45010.4272555787)</f>
        <v>45010.42726</v>
      </c>
      <c r="C4007" s="1" t="str">
        <f>IFERROR(__xludf.DUMMYFUNCTION("""COMPUTED_VALUE"""),"GUTIERREZ MIRTA")</f>
        <v>GUTIERREZ MIRTA</v>
      </c>
      <c r="D4007" s="1" t="str">
        <f>IFERROR(__xludf.DUMMYFUNCTION("""COMPUTED_VALUE"""),"Lentes de STOCK")</f>
        <v>Lentes de STOCK</v>
      </c>
      <c r="E4007" s="1" t="str">
        <f>IFERROR(__xludf.DUMMYFUNCTION("""COMPUTED_VALUE"""),"ARTIGAS Ivana P.")</f>
        <v>ARTIGAS Ivana P.</v>
      </c>
      <c r="F4007" s="1" t="str">
        <f t="shared" si="1"/>
        <v>ARTIGAS </v>
      </c>
      <c r="G4007" s="1" t="str">
        <f t="shared" si="2"/>
        <v>Ivana P.</v>
      </c>
      <c r="H4007" s="1" t="str">
        <f>IFERROR(__xludf.DUMMYFUNCTION("""COMPUTED_VALUE"""),"27/3/2023, 17:00:00")</f>
        <v>27/3/2023, 17:00:00</v>
      </c>
      <c r="I4007" s="1" t="str">
        <f>IFERROR(__xludf.DUMMYFUNCTION("""COMPUTED_VALUE"""),"RETIRADO OK POR CLIENTE")</f>
        <v>RETIRADO OK POR CLIENTE</v>
      </c>
      <c r="J4007" s="1">
        <f t="shared" si="3"/>
        <v>6</v>
      </c>
      <c r="K4007" s="1" t="str">
        <f t="shared" si="4"/>
        <v>Entregamos tus lentes, que los disfrutes!</v>
      </c>
    </row>
    <row r="4008">
      <c r="A4008" s="1">
        <f>IFERROR(__xludf.DUMMYFUNCTION("""COMPUTED_VALUE"""),88572.0)</f>
        <v>88572</v>
      </c>
      <c r="B4008" s="5">
        <f>IFERROR(__xludf.DUMMYFUNCTION("""COMPUTED_VALUE"""),45010.43446921297)</f>
        <v>45010.43447</v>
      </c>
      <c r="C4008" s="1" t="str">
        <f>IFERROR(__xludf.DUMMYFUNCTION("""COMPUTED_VALUE"""),"AMAYA FRANCISCO")</f>
        <v>AMAYA FRANCISCO</v>
      </c>
      <c r="D4008" s="1" t="str">
        <f>IFERROR(__xludf.DUMMYFUNCTION("""COMPUTED_VALUE"""),"Lentes de STOCK")</f>
        <v>Lentes de STOCK</v>
      </c>
      <c r="E4008" s="1" t="str">
        <f>IFERROR(__xludf.DUMMYFUNCTION("""COMPUTED_VALUE"""),"RIVADAVIA Christian C.")</f>
        <v>RIVADAVIA Christian C.</v>
      </c>
      <c r="F4008" s="1" t="str">
        <f t="shared" si="1"/>
        <v>RIVADAVIA </v>
      </c>
      <c r="G4008" s="1" t="str">
        <f t="shared" si="2"/>
        <v>Christian C.</v>
      </c>
      <c r="H4008" s="1" t="str">
        <f>IFERROR(__xludf.DUMMYFUNCTION("""COMPUTED_VALUE"""),"31/3/2023, 17:00:00")</f>
        <v>31/3/2023, 17:00:00</v>
      </c>
      <c r="I4008" s="1" t="str">
        <f>IFERROR(__xludf.DUMMYFUNCTION("""COMPUTED_VALUE"""),"RETIRADO OK POR CLIENTE")</f>
        <v>RETIRADO OK POR CLIENTE</v>
      </c>
      <c r="J4008" s="1">
        <f t="shared" si="3"/>
        <v>6</v>
      </c>
      <c r="K4008" s="1" t="str">
        <f t="shared" si="4"/>
        <v>Entregamos tus lentes, que los disfrutes!</v>
      </c>
    </row>
    <row r="4009">
      <c r="A4009" s="1">
        <f>IFERROR(__xludf.DUMMYFUNCTION("""COMPUTED_VALUE"""),88573.0)</f>
        <v>88573</v>
      </c>
      <c r="B4009" s="5">
        <f>IFERROR(__xludf.DUMMYFUNCTION("""COMPUTED_VALUE"""),45010.43500171296)</f>
        <v>45010.435</v>
      </c>
      <c r="C4009" s="1" t="str">
        <f>IFERROR(__xludf.DUMMYFUNCTION("""COMPUTED_VALUE"""),"GARRO CAVALLARO MARCOS AGUSTIN")</f>
        <v>GARRO CAVALLARO MARCOS AGUSTIN</v>
      </c>
      <c r="D4009" s="1" t="str">
        <f>IFERROR(__xludf.DUMMYFUNCTION("""COMPUTED_VALUE"""),"Lentes de STOCK")</f>
        <v>Lentes de STOCK</v>
      </c>
      <c r="E4009" s="1" t="str">
        <f>IFERROR(__xludf.DUMMYFUNCTION("""COMPUTED_VALUE"""),"ARTIGAS Roció")</f>
        <v>ARTIGAS Roció</v>
      </c>
      <c r="F4009" s="1" t="str">
        <f t="shared" si="1"/>
        <v>ARTIGAS </v>
      </c>
      <c r="G4009" s="1" t="str">
        <f t="shared" si="2"/>
        <v>Roció</v>
      </c>
      <c r="H4009" s="1" t="str">
        <f>IFERROR(__xludf.DUMMYFUNCTION("""COMPUTED_VALUE"""),"31/3/2023, 17:00:00")</f>
        <v>31/3/2023, 17:00:00</v>
      </c>
      <c r="I4009" s="1" t="str">
        <f>IFERROR(__xludf.DUMMYFUNCTION("""COMPUTED_VALUE"""),"RETIRADO OK POR CLIENTE")</f>
        <v>RETIRADO OK POR CLIENTE</v>
      </c>
      <c r="J4009" s="1">
        <f t="shared" si="3"/>
        <v>6</v>
      </c>
      <c r="K4009" s="1" t="str">
        <f t="shared" si="4"/>
        <v>Entregamos tus lentes, que los disfrutes!</v>
      </c>
    </row>
    <row r="4010">
      <c r="A4010" s="1">
        <f>IFERROR(__xludf.DUMMYFUNCTION("""COMPUTED_VALUE"""),88574.0)</f>
        <v>88574</v>
      </c>
      <c r="B4010" s="5">
        <f>IFERROR(__xludf.DUMMYFUNCTION("""COMPUTED_VALUE"""),45010.43613148148)</f>
        <v>45010.43613</v>
      </c>
      <c r="C4010" s="1" t="str">
        <f>IFERROR(__xludf.DUMMYFUNCTION("""COMPUTED_VALUE"""),"LUCERO LEANDRO RAUL")</f>
        <v>LUCERO LEANDRO RAUL</v>
      </c>
      <c r="D4010" s="1" t="str">
        <f>IFERROR(__xludf.DUMMYFUNCTION("""COMPUTED_VALUE"""),"Lentes BIFOCALES")</f>
        <v>Lentes BIFOCALES</v>
      </c>
      <c r="E4010" s="1" t="str">
        <f>IFERROR(__xludf.DUMMYFUNCTION("""COMPUTED_VALUE"""),"RIVADAVIA Javier")</f>
        <v>RIVADAVIA Javier</v>
      </c>
      <c r="F4010" s="1" t="str">
        <f t="shared" si="1"/>
        <v>RIVADAVIA </v>
      </c>
      <c r="G4010" s="1" t="str">
        <f t="shared" si="2"/>
        <v>Javier</v>
      </c>
      <c r="H4010" s="1" t="str">
        <f>IFERROR(__xludf.DUMMYFUNCTION("""COMPUTED_VALUE"""),"3/4/2023, 17:00:00")</f>
        <v>3/4/2023, 17:00:00</v>
      </c>
      <c r="I4010" s="1" t="str">
        <f>IFERROR(__xludf.DUMMYFUNCTION("""COMPUTED_VALUE"""),"RETIRADO OK POR CLIENTE")</f>
        <v>RETIRADO OK POR CLIENTE</v>
      </c>
      <c r="J4010" s="1">
        <f t="shared" si="3"/>
        <v>6</v>
      </c>
      <c r="K4010" s="1" t="str">
        <f t="shared" si="4"/>
        <v>Entregamos tus lentes, que los disfrutes!</v>
      </c>
    </row>
    <row r="4011">
      <c r="A4011" s="1">
        <f>IFERROR(__xludf.DUMMYFUNCTION("""COMPUTED_VALUE"""),88575.0)</f>
        <v>88575</v>
      </c>
      <c r="B4011" s="5">
        <f>IFERROR(__xludf.DUMMYFUNCTION("""COMPUTED_VALUE"""),45010.44347194444)</f>
        <v>45010.44347</v>
      </c>
      <c r="C4011" s="1" t="str">
        <f>IFERROR(__xludf.DUMMYFUNCTION("""COMPUTED_VALUE"""),"GUZMAN IGNACIO PASCUAL")</f>
        <v>GUZMAN IGNACIO PASCUAL</v>
      </c>
      <c r="D4011" s="1" t="str">
        <f>IFERROR(__xludf.DUMMYFUNCTION("""COMPUTED_VALUE"""),"Lentes de STOCK")</f>
        <v>Lentes de STOCK</v>
      </c>
      <c r="E4011" s="1" t="str">
        <f>IFERROR(__xludf.DUMMYFUNCTION("""COMPUTED_VALUE"""),"ARTIGAS Roció")</f>
        <v>ARTIGAS Roció</v>
      </c>
      <c r="F4011" s="1" t="str">
        <f t="shared" si="1"/>
        <v>ARTIGAS </v>
      </c>
      <c r="G4011" s="1" t="str">
        <f t="shared" si="2"/>
        <v>Roció</v>
      </c>
      <c r="H4011" s="1" t="str">
        <f>IFERROR(__xludf.DUMMYFUNCTION("""COMPUTED_VALUE"""),"4/4/2023, 17:00:00")</f>
        <v>4/4/2023, 17:00:00</v>
      </c>
      <c r="I4011" s="1" t="str">
        <f>IFERROR(__xludf.DUMMYFUNCTION("""COMPUTED_VALUE"""),"RETIRADO OK POR CLIENTE")</f>
        <v>RETIRADO OK POR CLIENTE</v>
      </c>
      <c r="J4011" s="1">
        <f t="shared" si="3"/>
        <v>6</v>
      </c>
      <c r="K4011" s="1" t="str">
        <f t="shared" si="4"/>
        <v>Entregamos tus lentes, que los disfrutes!</v>
      </c>
    </row>
    <row r="4012">
      <c r="A4012" s="1">
        <f>IFERROR(__xludf.DUMMYFUNCTION("""COMPUTED_VALUE"""),88576.0)</f>
        <v>88576</v>
      </c>
      <c r="B4012" s="5">
        <f>IFERROR(__xludf.DUMMYFUNCTION("""COMPUTED_VALUE"""),45010.44424751158)</f>
        <v>45010.44425</v>
      </c>
      <c r="C4012" s="1" t="str">
        <f>IFERROR(__xludf.DUMMYFUNCTION("""COMPUTED_VALUE"""),"MILORO LAUTARO")</f>
        <v>MILORO LAUTARO</v>
      </c>
      <c r="D4012" s="1" t="str">
        <f>IFERROR(__xludf.DUMMYFUNCTION("""COMPUTED_VALUE"""),"Lentes de STOCK")</f>
        <v>Lentes de STOCK</v>
      </c>
      <c r="E4012" s="1" t="str">
        <f>IFERROR(__xludf.DUMMYFUNCTION("""COMPUTED_VALUE"""),"ARTIGAS Ivana P.")</f>
        <v>ARTIGAS Ivana P.</v>
      </c>
      <c r="F4012" s="1" t="str">
        <f t="shared" si="1"/>
        <v>ARTIGAS </v>
      </c>
      <c r="G4012" s="1" t="str">
        <f t="shared" si="2"/>
        <v>Ivana P.</v>
      </c>
      <c r="H4012" s="1" t="str">
        <f>IFERROR(__xludf.DUMMYFUNCTION("""COMPUTED_VALUE"""),"31/3/2023, 17:00:00")</f>
        <v>31/3/2023, 17:00:00</v>
      </c>
      <c r="I4012" s="1" t="str">
        <f>IFERROR(__xludf.DUMMYFUNCTION("""COMPUTED_VALUE"""),"RETIRADO OK POR CLIENTE")</f>
        <v>RETIRADO OK POR CLIENTE</v>
      </c>
      <c r="J4012" s="1">
        <f t="shared" si="3"/>
        <v>6</v>
      </c>
      <c r="K4012" s="1" t="str">
        <f t="shared" si="4"/>
        <v>Entregamos tus lentes, que los disfrutes!</v>
      </c>
    </row>
    <row r="4013">
      <c r="A4013" s="1">
        <f>IFERROR(__xludf.DUMMYFUNCTION("""COMPUTED_VALUE"""),88577.0)</f>
        <v>88577</v>
      </c>
      <c r="B4013" s="5">
        <f>IFERROR(__xludf.DUMMYFUNCTION("""COMPUTED_VALUE"""),45010.452818969905)</f>
        <v>45010.45282</v>
      </c>
      <c r="C4013" s="1" t="str">
        <f>IFERROR(__xludf.DUMMYFUNCTION("""COMPUTED_VALUE"""),"SOSA ESTER PAULA")</f>
        <v>SOSA ESTER PAULA</v>
      </c>
      <c r="D4013" s="1" t="str">
        <f>IFERROR(__xludf.DUMMYFUNCTION("""COMPUTED_VALUE"""),"Reparaciones/Otros")</f>
        <v>Reparaciones/Otros</v>
      </c>
      <c r="E4013" s="1" t="str">
        <f>IFERROR(__xludf.DUMMYFUNCTION("""COMPUTED_VALUE"""),"RIVADAVIA Christian C.")</f>
        <v>RIVADAVIA Christian C.</v>
      </c>
      <c r="F4013" s="1" t="str">
        <f t="shared" si="1"/>
        <v>RIVADAVIA </v>
      </c>
      <c r="G4013" s="1" t="str">
        <f t="shared" si="2"/>
        <v>Christian C.</v>
      </c>
      <c r="H4013" s="1" t="str">
        <f>IFERROR(__xludf.DUMMYFUNCTION("""COMPUTED_VALUE"""),"28/3/2023, 17:00:00")</f>
        <v>28/3/2023, 17:00:00</v>
      </c>
      <c r="I4013" s="1" t="str">
        <f>IFERROR(__xludf.DUMMYFUNCTION("""COMPUTED_VALUE"""),"RETIRADO OK POR CLIENTE")</f>
        <v>RETIRADO OK POR CLIENTE</v>
      </c>
      <c r="J4013" s="1">
        <f t="shared" si="3"/>
        <v>6</v>
      </c>
      <c r="K4013" s="1" t="str">
        <f t="shared" si="4"/>
        <v>Entregamos tus lentes, que los disfrutes!</v>
      </c>
    </row>
    <row r="4014">
      <c r="A4014" s="1">
        <f>IFERROR(__xludf.DUMMYFUNCTION("""COMPUTED_VALUE"""),88578.0)</f>
        <v>88578</v>
      </c>
      <c r="B4014" s="5">
        <f>IFERROR(__xludf.DUMMYFUNCTION("""COMPUTED_VALUE"""),45010.452949178245)</f>
        <v>45010.45295</v>
      </c>
      <c r="C4014" s="1" t="str">
        <f>IFERROR(__xludf.DUMMYFUNCTION("""COMPUTED_VALUE"""),"ALBELO ISABEL AMALIA")</f>
        <v>ALBELO ISABEL AMALIA</v>
      </c>
      <c r="D4014" s="1" t="str">
        <f>IFERROR(__xludf.DUMMYFUNCTION("""COMPUTED_VALUE"""),"Lentes de STOCK")</f>
        <v>Lentes de STOCK</v>
      </c>
      <c r="E4014" s="1" t="str">
        <f>IFERROR(__xludf.DUMMYFUNCTION("""COMPUTED_VALUE"""),"RIVADAVIA Javier")</f>
        <v>RIVADAVIA Javier</v>
      </c>
      <c r="F4014" s="1" t="str">
        <f t="shared" si="1"/>
        <v>RIVADAVIA </v>
      </c>
      <c r="G4014" s="1" t="str">
        <f t="shared" si="2"/>
        <v>Javier</v>
      </c>
      <c r="H4014" s="1" t="str">
        <f>IFERROR(__xludf.DUMMYFUNCTION("""COMPUTED_VALUE"""),"29/3/2023, 17:00:00")</f>
        <v>29/3/2023, 17:00:00</v>
      </c>
      <c r="I4014" s="1" t="str">
        <f>IFERROR(__xludf.DUMMYFUNCTION("""COMPUTED_VALUE"""),"RETIRADO OK POR CLIENTE")</f>
        <v>RETIRADO OK POR CLIENTE</v>
      </c>
      <c r="J4014" s="1">
        <f t="shared" si="3"/>
        <v>6</v>
      </c>
      <c r="K4014" s="1" t="str">
        <f t="shared" si="4"/>
        <v>Entregamos tus lentes, que los disfrutes!</v>
      </c>
    </row>
    <row r="4015">
      <c r="A4015" s="1">
        <f>IFERROR(__xludf.DUMMYFUNCTION("""COMPUTED_VALUE"""),88579.0)</f>
        <v>88579</v>
      </c>
      <c r="B4015" s="5">
        <f>IFERROR(__xludf.DUMMYFUNCTION("""COMPUTED_VALUE"""),45010.46057767361)</f>
        <v>45010.46058</v>
      </c>
      <c r="C4015" s="1" t="str">
        <f>IFERROR(__xludf.DUMMYFUNCTION("""COMPUTED_VALUE"""),"GAUNA MARIA")</f>
        <v>GAUNA MARIA</v>
      </c>
      <c r="D4015" s="1" t="str">
        <f>IFERROR(__xludf.DUMMYFUNCTION("""COMPUTED_VALUE"""),"Lentes MULTIFOCALES")</f>
        <v>Lentes MULTIFOCALES</v>
      </c>
      <c r="E4015" s="1" t="str">
        <f>IFERROR(__xludf.DUMMYFUNCTION("""COMPUTED_VALUE"""),"ARTIGAS Ivana P.")</f>
        <v>ARTIGAS Ivana P.</v>
      </c>
      <c r="F4015" s="1" t="str">
        <f t="shared" si="1"/>
        <v>ARTIGAS </v>
      </c>
      <c r="G4015" s="1" t="str">
        <f t="shared" si="2"/>
        <v>Ivana P.</v>
      </c>
      <c r="H4015" s="1" t="str">
        <f>IFERROR(__xludf.DUMMYFUNCTION("""COMPUTED_VALUE"""),"8/4/2023, 17:00:00")</f>
        <v>8/4/2023, 17:00:00</v>
      </c>
      <c r="I4015" s="1" t="str">
        <f>IFERROR(__xludf.DUMMYFUNCTION("""COMPUTED_VALUE"""),"Completado en SUCURSAL")</f>
        <v>Completado en SUCURSAL</v>
      </c>
      <c r="J4015" s="1">
        <f t="shared" si="3"/>
        <v>5</v>
      </c>
      <c r="K4015" s="1" t="str">
        <f t="shared" si="4"/>
        <v>Tus Lentes estan LISTAS PARA ENTREGAR, te esperamos.</v>
      </c>
    </row>
    <row r="4016">
      <c r="A4016" s="1">
        <f>IFERROR(__xludf.DUMMYFUNCTION("""COMPUTED_VALUE"""),88580.0)</f>
        <v>88580</v>
      </c>
      <c r="B4016" s="5">
        <f>IFERROR(__xludf.DUMMYFUNCTION("""COMPUTED_VALUE"""),45010.464523946765)</f>
        <v>45010.46452</v>
      </c>
      <c r="C4016" s="1" t="str">
        <f>IFERROR(__xludf.DUMMYFUNCTION("""COMPUTED_VALUE"""),"Quintero Oscar")</f>
        <v>Quintero Oscar</v>
      </c>
      <c r="D4016" s="1" t="str">
        <f>IFERROR(__xludf.DUMMYFUNCTION("""COMPUTED_VALUE"""),"Reparaciones/Otros")</f>
        <v>Reparaciones/Otros</v>
      </c>
      <c r="E4016" s="1" t="str">
        <f>IFERROR(__xludf.DUMMYFUNCTION("""COMPUTED_VALUE"""),"ARTIGAS Micaela")</f>
        <v>ARTIGAS Micaela</v>
      </c>
      <c r="F4016" s="1" t="str">
        <f t="shared" si="1"/>
        <v>ARTIGAS </v>
      </c>
      <c r="G4016" s="1" t="str">
        <f t="shared" si="2"/>
        <v>Micaela</v>
      </c>
      <c r="H4016" s="1" t="str">
        <f>IFERROR(__xludf.DUMMYFUNCTION("""COMPUTED_VALUE"""),"27/3/2023, 17:00:00")</f>
        <v>27/3/2023, 17:00:00</v>
      </c>
      <c r="I4016" s="1" t="str">
        <f>IFERROR(__xludf.DUMMYFUNCTION("""COMPUTED_VALUE"""),"Recibido en Laboratorio")</f>
        <v>Recibido en Laboratorio</v>
      </c>
      <c r="J4016" s="1">
        <f t="shared" si="3"/>
        <v>2</v>
      </c>
      <c r="K4016" s="1" t="str">
        <f t="shared" si="4"/>
        <v>Nuestro Laboratorio esta trabajando en tus lentes, los entregaremos en la fecha acordada.</v>
      </c>
    </row>
    <row r="4017">
      <c r="A4017" s="1">
        <f>IFERROR(__xludf.DUMMYFUNCTION("""COMPUTED_VALUE"""),88581.0)</f>
        <v>88581</v>
      </c>
      <c r="B4017" s="5">
        <f>IFERROR(__xludf.DUMMYFUNCTION("""COMPUTED_VALUE"""),45010.471156921296)</f>
        <v>45010.47116</v>
      </c>
      <c r="C4017" s="1" t="str">
        <f>IFERROR(__xludf.DUMMYFUNCTION("""COMPUTED_VALUE"""),"SARAPURA LILA ")</f>
        <v>SARAPURA LILA </v>
      </c>
      <c r="D4017" s="1" t="str">
        <f>IFERROR(__xludf.DUMMYFUNCTION("""COMPUTED_VALUE"""),"Reparaciones/Otros")</f>
        <v>Reparaciones/Otros</v>
      </c>
      <c r="E4017" s="1" t="str">
        <f>IFERROR(__xludf.DUMMYFUNCTION("""COMPUTED_VALUE"""),"ARTIGAS Micaela")</f>
        <v>ARTIGAS Micaela</v>
      </c>
      <c r="F4017" s="1" t="str">
        <f t="shared" si="1"/>
        <v>ARTIGAS </v>
      </c>
      <c r="G4017" s="1" t="str">
        <f t="shared" si="2"/>
        <v>Micaela</v>
      </c>
      <c r="H4017" s="1" t="str">
        <f>IFERROR(__xludf.DUMMYFUNCTION("""COMPUTED_VALUE"""),"27/3/2023, 17:00:00")</f>
        <v>27/3/2023, 17:00:00</v>
      </c>
      <c r="I4017" s="1" t="str">
        <f>IFERROR(__xludf.DUMMYFUNCTION("""COMPUTED_VALUE"""),"Recibido en Laboratorio")</f>
        <v>Recibido en Laboratorio</v>
      </c>
      <c r="J4017" s="1">
        <f t="shared" si="3"/>
        <v>2</v>
      </c>
      <c r="K4017" s="1" t="str">
        <f t="shared" si="4"/>
        <v>Nuestro Laboratorio esta trabajando en tus lentes, los entregaremos en la fecha acordada.</v>
      </c>
    </row>
    <row r="4018">
      <c r="A4018" s="1">
        <f>IFERROR(__xludf.DUMMYFUNCTION("""COMPUTED_VALUE"""),88582.0)</f>
        <v>88582</v>
      </c>
      <c r="B4018" s="5">
        <f>IFERROR(__xludf.DUMMYFUNCTION("""COMPUTED_VALUE"""),45010.47217309028)</f>
        <v>45010.47217</v>
      </c>
      <c r="C4018" s="1" t="str">
        <f>IFERROR(__xludf.DUMMYFUNCTION("""COMPUTED_VALUE"""),"GOLFETTO CAROLINA")</f>
        <v>GOLFETTO CAROLINA</v>
      </c>
      <c r="D4018" s="1" t="str">
        <f>IFERROR(__xludf.DUMMYFUNCTION("""COMPUTED_VALUE"""),"Lentes de STOCK")</f>
        <v>Lentes de STOCK</v>
      </c>
      <c r="E4018" s="1" t="str">
        <f>IFERROR(__xludf.DUMMYFUNCTION("""COMPUTED_VALUE"""),"RIVADAVIA Javier")</f>
        <v>RIVADAVIA Javier</v>
      </c>
      <c r="F4018" s="1" t="str">
        <f t="shared" si="1"/>
        <v>RIVADAVIA </v>
      </c>
      <c r="G4018" s="1" t="str">
        <f t="shared" si="2"/>
        <v>Javier</v>
      </c>
      <c r="H4018" s="1" t="str">
        <f>IFERROR(__xludf.DUMMYFUNCTION("""COMPUTED_VALUE"""),"29/3/2023, 17:00:00")</f>
        <v>29/3/2023, 17:00:00</v>
      </c>
      <c r="I4018" s="1" t="str">
        <f>IFERROR(__xludf.DUMMYFUNCTION("""COMPUTED_VALUE"""),"Recibido en Laboratorio")</f>
        <v>Recibido en Laboratorio</v>
      </c>
      <c r="J4018" s="1">
        <f t="shared" si="3"/>
        <v>2</v>
      </c>
      <c r="K4018" s="1" t="str">
        <f t="shared" si="4"/>
        <v>Nuestro Laboratorio esta trabajando en tus lentes, los entregaremos en la fecha acordada.</v>
      </c>
    </row>
    <row r="4019">
      <c r="A4019" s="1">
        <f>IFERROR(__xludf.DUMMYFUNCTION("""COMPUTED_VALUE"""),88583.0)</f>
        <v>88583</v>
      </c>
      <c r="B4019" s="5">
        <f>IFERROR(__xludf.DUMMYFUNCTION("""COMPUTED_VALUE"""),45010.47244366899)</f>
        <v>45010.47244</v>
      </c>
      <c r="C4019" s="1" t="str">
        <f>IFERROR(__xludf.DUMMYFUNCTION("""COMPUTED_VALUE"""),"MARIA ISABEL SUAREZ")</f>
        <v>MARIA ISABEL SUAREZ</v>
      </c>
      <c r="D4019" s="1" t="str">
        <f>IFERROR(__xludf.DUMMYFUNCTION("""COMPUTED_VALUE"""),"Lentes MULTIFOCALES")</f>
        <v>Lentes MULTIFOCALES</v>
      </c>
      <c r="E4019" s="1" t="str">
        <f>IFERROR(__xludf.DUMMYFUNCTION("""COMPUTED_VALUE"""),"RIVADAVIA Santiago LOPEZ")</f>
        <v>RIVADAVIA Santiago LOPEZ</v>
      </c>
      <c r="F4019" s="1" t="str">
        <f t="shared" si="1"/>
        <v>RIVADAVIA </v>
      </c>
      <c r="G4019" s="1" t="str">
        <f t="shared" si="2"/>
        <v>Santiago LOPEZ</v>
      </c>
      <c r="H4019" s="1" t="str">
        <f>IFERROR(__xludf.DUMMYFUNCTION("""COMPUTED_VALUE"""),"12/4/2023, 17:00:00")</f>
        <v>12/4/2023, 17:00:00</v>
      </c>
      <c r="I4019" s="1" t="str">
        <f>IFERROR(__xludf.DUMMYFUNCTION("""COMPUTED_VALUE"""),"Completado en SUCURSAL")</f>
        <v>Completado en SUCURSAL</v>
      </c>
      <c r="J4019" s="1">
        <f t="shared" si="3"/>
        <v>5</v>
      </c>
      <c r="K4019" s="1" t="str">
        <f t="shared" si="4"/>
        <v>Tus Lentes estan LISTAS PARA ENTREGAR, te esperamos.</v>
      </c>
    </row>
    <row r="4020">
      <c r="A4020" s="1">
        <f>IFERROR(__xludf.DUMMYFUNCTION("""COMPUTED_VALUE"""),88584.0)</f>
        <v>88584</v>
      </c>
      <c r="B4020" s="5">
        <f>IFERROR(__xludf.DUMMYFUNCTION("""COMPUTED_VALUE"""),45010.47328116898)</f>
        <v>45010.47328</v>
      </c>
      <c r="C4020" s="1" t="str">
        <f>IFERROR(__xludf.DUMMYFUNCTION("""COMPUTED_VALUE"""),"AGUIAR LUCILA ALEJANDRA")</f>
        <v>AGUIAR LUCILA ALEJANDRA</v>
      </c>
      <c r="D4020" s="1" t="str">
        <f>IFERROR(__xludf.DUMMYFUNCTION("""COMPUTED_VALUE"""),"Lentes de STOCK")</f>
        <v>Lentes de STOCK</v>
      </c>
      <c r="E4020" s="1" t="str">
        <f>IFERROR(__xludf.DUMMYFUNCTION("""COMPUTED_VALUE"""),"RIVADAVIA Christian C.")</f>
        <v>RIVADAVIA Christian C.</v>
      </c>
      <c r="F4020" s="1" t="str">
        <f t="shared" si="1"/>
        <v>RIVADAVIA </v>
      </c>
      <c r="G4020" s="1" t="str">
        <f t="shared" si="2"/>
        <v>Christian C.</v>
      </c>
      <c r="H4020" s="1" t="str">
        <f>IFERROR(__xludf.DUMMYFUNCTION("""COMPUTED_VALUE"""),"31/3/2023, 17:00:00")</f>
        <v>31/3/2023, 17:00:00</v>
      </c>
      <c r="I4020" s="1" t="str">
        <f>IFERROR(__xludf.DUMMYFUNCTION("""COMPUTED_VALUE"""),"RETIRADO OK POR CLIENTE")</f>
        <v>RETIRADO OK POR CLIENTE</v>
      </c>
      <c r="J4020" s="1">
        <f t="shared" si="3"/>
        <v>6</v>
      </c>
      <c r="K4020" s="1" t="str">
        <f t="shared" si="4"/>
        <v>Entregamos tus lentes, que los disfrutes!</v>
      </c>
    </row>
    <row r="4021">
      <c r="A4021" s="1">
        <f>IFERROR(__xludf.DUMMYFUNCTION("""COMPUTED_VALUE"""),88585.0)</f>
        <v>88585</v>
      </c>
      <c r="B4021" s="5">
        <f>IFERROR(__xludf.DUMMYFUNCTION("""COMPUTED_VALUE"""),45010.482527002314)</f>
        <v>45010.48253</v>
      </c>
      <c r="C4021" s="1" t="str">
        <f>IFERROR(__xludf.DUMMYFUNCTION("""COMPUTED_VALUE"""),"ROSALEZ MARIO DAVID")</f>
        <v>ROSALEZ MARIO DAVID</v>
      </c>
      <c r="D4021" s="1" t="str">
        <f>IFERROR(__xludf.DUMMYFUNCTION("""COMPUTED_VALUE"""),"Lentes de STOCK")</f>
        <v>Lentes de STOCK</v>
      </c>
      <c r="E4021" s="1" t="str">
        <f>IFERROR(__xludf.DUMMYFUNCTION("""COMPUTED_VALUE"""),"ARTIGAS Roció")</f>
        <v>ARTIGAS Roció</v>
      </c>
      <c r="F4021" s="1" t="str">
        <f t="shared" si="1"/>
        <v>ARTIGAS </v>
      </c>
      <c r="G4021" s="1" t="str">
        <f t="shared" si="2"/>
        <v>Roció</v>
      </c>
      <c r="H4021" s="1" t="str">
        <f>IFERROR(__xludf.DUMMYFUNCTION("""COMPUTED_VALUE"""),"3/4/2023, 17:00:00")</f>
        <v>3/4/2023, 17:00:00</v>
      </c>
      <c r="I4021" s="1" t="str">
        <f>IFERROR(__xludf.DUMMYFUNCTION("""COMPUTED_VALUE"""),"RETIRADO OK POR CLIENTE")</f>
        <v>RETIRADO OK POR CLIENTE</v>
      </c>
      <c r="J4021" s="1">
        <f t="shared" si="3"/>
        <v>6</v>
      </c>
      <c r="K4021" s="1" t="str">
        <f t="shared" si="4"/>
        <v>Entregamos tus lentes, que los disfrutes!</v>
      </c>
    </row>
    <row r="4022">
      <c r="A4022" s="1">
        <f>IFERROR(__xludf.DUMMYFUNCTION("""COMPUTED_VALUE"""),88586.0)</f>
        <v>88586</v>
      </c>
      <c r="B4022" s="5">
        <f>IFERROR(__xludf.DUMMYFUNCTION("""COMPUTED_VALUE"""),45010.499242060185)</f>
        <v>45010.49924</v>
      </c>
      <c r="C4022" s="1" t="str">
        <f>IFERROR(__xludf.DUMMYFUNCTION("""COMPUTED_VALUE"""),"OROZCO LILIANA MARIEL")</f>
        <v>OROZCO LILIANA MARIEL</v>
      </c>
      <c r="D4022" s="1" t="str">
        <f>IFERROR(__xludf.DUMMYFUNCTION("""COMPUTED_VALUE"""),"Lentes de STOCK")</f>
        <v>Lentes de STOCK</v>
      </c>
      <c r="E4022" s="1" t="str">
        <f>IFERROR(__xludf.DUMMYFUNCTION("""COMPUTED_VALUE"""),"ARTIGAS Roció")</f>
        <v>ARTIGAS Roció</v>
      </c>
      <c r="F4022" s="1" t="str">
        <f t="shared" si="1"/>
        <v>ARTIGAS </v>
      </c>
      <c r="G4022" s="1" t="str">
        <f t="shared" si="2"/>
        <v>Roció</v>
      </c>
      <c r="H4022" s="1" t="str">
        <f>IFERROR(__xludf.DUMMYFUNCTION("""COMPUTED_VALUE"""),"3/4/2023, 17:00:00")</f>
        <v>3/4/2023, 17:00:00</v>
      </c>
      <c r="I4022" s="1" t="str">
        <f>IFERROR(__xludf.DUMMYFUNCTION("""COMPUTED_VALUE"""),"Completado en SUCURSAL")</f>
        <v>Completado en SUCURSAL</v>
      </c>
      <c r="J4022" s="1">
        <f t="shared" si="3"/>
        <v>5</v>
      </c>
      <c r="K4022" s="1" t="str">
        <f t="shared" si="4"/>
        <v>Tus Lentes estan LISTAS PARA ENTREGAR, te esperamos.</v>
      </c>
    </row>
    <row r="4023">
      <c r="A4023" s="1">
        <f>IFERROR(__xludf.DUMMYFUNCTION("""COMPUTED_VALUE"""),88587.0)</f>
        <v>88587</v>
      </c>
      <c r="B4023" s="5">
        <f>IFERROR(__xludf.DUMMYFUNCTION("""COMPUTED_VALUE"""),45010.505889224536)</f>
        <v>45010.50589</v>
      </c>
      <c r="C4023" s="1" t="str">
        <f>IFERROR(__xludf.DUMMYFUNCTION("""COMPUTED_VALUE"""),"SUAREZ JUANA ESTELA")</f>
        <v>SUAREZ JUANA ESTELA</v>
      </c>
      <c r="D4023" s="1" t="str">
        <f>IFERROR(__xludf.DUMMYFUNCTION("""COMPUTED_VALUE"""),"Reparaciones/Otros")</f>
        <v>Reparaciones/Otros</v>
      </c>
      <c r="E4023" s="1" t="str">
        <f>IFERROR(__xludf.DUMMYFUNCTION("""COMPUTED_VALUE"""),"RIVADAVIA Javier")</f>
        <v>RIVADAVIA Javier</v>
      </c>
      <c r="F4023" s="1" t="str">
        <f t="shared" si="1"/>
        <v>RIVADAVIA </v>
      </c>
      <c r="G4023" s="1" t="str">
        <f t="shared" si="2"/>
        <v>Javier</v>
      </c>
      <c r="H4023" s="1" t="str">
        <f>IFERROR(__xludf.DUMMYFUNCTION("""COMPUTED_VALUE"""),"27/3/2023, 17:00:00")</f>
        <v>27/3/2023, 17:00:00</v>
      </c>
      <c r="I4023" s="1" t="str">
        <f>IFERROR(__xludf.DUMMYFUNCTION("""COMPUTED_VALUE"""),"Completado en SUCURSAL")</f>
        <v>Completado en SUCURSAL</v>
      </c>
      <c r="J4023" s="1">
        <f t="shared" si="3"/>
        <v>5</v>
      </c>
      <c r="K4023" s="1" t="str">
        <f t="shared" si="4"/>
        <v>Tus Lentes estan LISTAS PARA ENTREGAR, te esperamos.</v>
      </c>
    </row>
    <row r="4024">
      <c r="A4024" s="1">
        <f>IFERROR(__xludf.DUMMYFUNCTION("""COMPUTED_VALUE"""),88588.0)</f>
        <v>88588</v>
      </c>
      <c r="B4024" s="5">
        <f>IFERROR(__xludf.DUMMYFUNCTION("""COMPUTED_VALUE"""),45010.511436597226)</f>
        <v>45010.51144</v>
      </c>
      <c r="C4024" s="1" t="str">
        <f>IFERROR(__xludf.DUMMYFUNCTION("""COMPUTED_VALUE"""),"Becerra MIRTA ")</f>
        <v>Becerra MIRTA </v>
      </c>
      <c r="D4024" s="1" t="str">
        <f>IFERROR(__xludf.DUMMYFUNCTION("""COMPUTED_VALUE"""),"Reparaciones/Otros")</f>
        <v>Reparaciones/Otros</v>
      </c>
      <c r="E4024" s="1" t="str">
        <f>IFERROR(__xludf.DUMMYFUNCTION("""COMPUTED_VALUE"""),"ARTIGAS Micaela")</f>
        <v>ARTIGAS Micaela</v>
      </c>
      <c r="F4024" s="1" t="str">
        <f t="shared" si="1"/>
        <v>ARTIGAS </v>
      </c>
      <c r="G4024" s="1" t="str">
        <f t="shared" si="2"/>
        <v>Micaela</v>
      </c>
      <c r="H4024" s="1" t="str">
        <f>IFERROR(__xludf.DUMMYFUNCTION("""COMPUTED_VALUE"""),"27/3/2023, 17:00:00")</f>
        <v>27/3/2023, 17:00:00</v>
      </c>
      <c r="I4024" s="1" t="str">
        <f>IFERROR(__xludf.DUMMYFUNCTION("""COMPUTED_VALUE"""),"Recibido en Laboratorio")</f>
        <v>Recibido en Laboratorio</v>
      </c>
      <c r="J4024" s="1">
        <f t="shared" si="3"/>
        <v>2</v>
      </c>
      <c r="K4024" s="1" t="str">
        <f t="shared" si="4"/>
        <v>Nuestro Laboratorio esta trabajando en tus lentes, los entregaremos en la fecha acordada.</v>
      </c>
    </row>
    <row r="4025">
      <c r="A4025" s="1">
        <f>IFERROR(__xludf.DUMMYFUNCTION("""COMPUTED_VALUE"""),88589.0)</f>
        <v>88589</v>
      </c>
      <c r="B4025" s="5">
        <f>IFERROR(__xludf.DUMMYFUNCTION("""COMPUTED_VALUE"""),45010.51296729167)</f>
        <v>45010.51297</v>
      </c>
      <c r="C4025" s="1" t="str">
        <f>IFERROR(__xludf.DUMMYFUNCTION("""COMPUTED_VALUE"""),"LUSQUIÑOS SANTIAGO")</f>
        <v>LUSQUIÑOS SANTIAGO</v>
      </c>
      <c r="D4025" s="1" t="str">
        <f>IFERROR(__xludf.DUMMYFUNCTION("""COMPUTED_VALUE"""),"Lentes de STOCK")</f>
        <v>Lentes de STOCK</v>
      </c>
      <c r="E4025" s="1" t="str">
        <f>IFERROR(__xludf.DUMMYFUNCTION("""COMPUTED_VALUE"""),"ARTIGAS Roció")</f>
        <v>ARTIGAS Roció</v>
      </c>
      <c r="F4025" s="1" t="str">
        <f t="shared" si="1"/>
        <v>ARTIGAS </v>
      </c>
      <c r="G4025" s="1" t="str">
        <f t="shared" si="2"/>
        <v>Roció</v>
      </c>
      <c r="H4025" s="1" t="str">
        <f>IFERROR(__xludf.DUMMYFUNCTION("""COMPUTED_VALUE"""),"5/4/2023, 17:00:00")</f>
        <v>5/4/2023, 17:00:00</v>
      </c>
      <c r="I4025" s="1" t="str">
        <f>IFERROR(__xludf.DUMMYFUNCTION("""COMPUTED_VALUE"""),"Completado en SUCURSAL")</f>
        <v>Completado en SUCURSAL</v>
      </c>
      <c r="J4025" s="1">
        <f t="shared" si="3"/>
        <v>5</v>
      </c>
      <c r="K4025" s="1" t="str">
        <f t="shared" si="4"/>
        <v>Tus Lentes estan LISTAS PARA ENTREGAR, te esperamos.</v>
      </c>
    </row>
    <row r="4026">
      <c r="A4026" s="1">
        <f>IFERROR(__xludf.DUMMYFUNCTION("""COMPUTED_VALUE"""),88590.0)</f>
        <v>88590</v>
      </c>
      <c r="B4026" s="5">
        <f>IFERROR(__xludf.DUMMYFUNCTION("""COMPUTED_VALUE"""),45010.515144641206)</f>
        <v>45010.51514</v>
      </c>
      <c r="C4026" s="1" t="str">
        <f>IFERROR(__xludf.DUMMYFUNCTION("""COMPUTED_VALUE"""),"gianeñño pedro")</f>
        <v>gianeñño pedro</v>
      </c>
      <c r="D4026" s="1" t="str">
        <f>IFERROR(__xludf.DUMMYFUNCTION("""COMPUTED_VALUE"""),"Lentes MULTIFOCALES")</f>
        <v>Lentes MULTIFOCALES</v>
      </c>
      <c r="E4026" s="1" t="str">
        <f>IFERROR(__xludf.DUMMYFUNCTION("""COMPUTED_VALUE"""),"RIVADAVIA Daniel CM")</f>
        <v>RIVADAVIA Daniel CM</v>
      </c>
      <c r="F4026" s="1" t="str">
        <f t="shared" si="1"/>
        <v>RIVADAVIA </v>
      </c>
      <c r="G4026" s="1" t="str">
        <f t="shared" si="2"/>
        <v>Daniel CM</v>
      </c>
      <c r="H4026" s="1" t="str">
        <f>IFERROR(__xludf.DUMMYFUNCTION("""COMPUTED_VALUE"""),"10/4/2023, 17:00:00")</f>
        <v>10/4/2023, 17:00:00</v>
      </c>
      <c r="I4026" s="1"/>
      <c r="J4026" s="1">
        <f t="shared" si="3"/>
        <v>0</v>
      </c>
      <c r="K4026" s="1" t="str">
        <f t="shared" si="4"/>
        <v/>
      </c>
    </row>
    <row r="4027" hidden="1">
      <c r="A4027" s="1">
        <f>IFERROR(__xludf.DUMMYFUNCTION("""COMPUTED_VALUE"""),88591.0)</f>
        <v>88591</v>
      </c>
      <c r="B4027" s="5">
        <f>IFERROR(__xludf.DUMMYFUNCTION("""COMPUTED_VALUE"""),45010.51638864583)</f>
        <v>45010.51639</v>
      </c>
      <c r="C4027" s="1" t="str">
        <f>IFERROR(__xludf.DUMMYFUNCTION("""COMPUTED_VALUE"""),"MARONI SANDRA")</f>
        <v>MARONI SANDRA</v>
      </c>
      <c r="D4027" s="1" t="str">
        <f>IFERROR(__xludf.DUMMYFUNCTION("""COMPUTED_VALUE"""),"Lentes MULTIFOCALES")</f>
        <v>Lentes MULTIFOCALES</v>
      </c>
      <c r="E4027" s="1" t="str">
        <f>IFERROR(__xludf.DUMMYFUNCTION("""COMPUTED_VALUE"""),"RIVADAVIA Santiago LOPEZ")</f>
        <v>RIVADAVIA Santiago LOPEZ</v>
      </c>
      <c r="F4027" s="1" t="str">
        <f t="shared" si="1"/>
        <v>RIVADAVIA </v>
      </c>
      <c r="G4027" s="1" t="str">
        <f t="shared" si="2"/>
        <v>Santiago LOPEZ</v>
      </c>
      <c r="H4027" s="1" t="str">
        <f>IFERROR(__xludf.DUMMYFUNCTION("""COMPUTED_VALUE"""),"13/4/2023, 17:00:00")</f>
        <v>13/4/2023, 17:00:00</v>
      </c>
      <c r="I4027" s="1" t="str">
        <f>IFERROR(__xludf.DUMMYFUNCTION("""COMPUTED_VALUE"""),"Completado en SUCURSAL")</f>
        <v>Completado en SUCURSAL</v>
      </c>
      <c r="J4027" s="1">
        <f t="shared" si="3"/>
        <v>5</v>
      </c>
      <c r="K4027" s="1" t="str">
        <f t="shared" si="4"/>
        <v>Tus Lentes estan LISTAS PARA ENTREGAR, te esperamos.</v>
      </c>
    </row>
    <row r="4028">
      <c r="A4028" s="1">
        <f>IFERROR(__xludf.DUMMYFUNCTION("""COMPUTED_VALUE"""),88592.0)</f>
        <v>88592</v>
      </c>
      <c r="B4028" s="5">
        <f>IFERROR(__xludf.DUMMYFUNCTION("""COMPUTED_VALUE"""),45010.525604814815)</f>
        <v>45010.5256</v>
      </c>
      <c r="C4028" s="1" t="str">
        <f>IFERROR(__xludf.DUMMYFUNCTION("""COMPUTED_VALUE"""),"MOCCIA FIORELLA ")</f>
        <v>MOCCIA FIORELLA </v>
      </c>
      <c r="D4028" s="1" t="str">
        <f>IFERROR(__xludf.DUMMYFUNCTION("""COMPUTED_VALUE"""),"Lentes de STOCK")</f>
        <v>Lentes de STOCK</v>
      </c>
      <c r="E4028" s="1" t="str">
        <f>IFERROR(__xludf.DUMMYFUNCTION("""COMPUTED_VALUE"""),"RIVADAVIA Luciana")</f>
        <v>RIVADAVIA Luciana</v>
      </c>
      <c r="F4028" s="1" t="str">
        <f t="shared" si="1"/>
        <v>RIVADAVIA </v>
      </c>
      <c r="G4028" s="1" t="str">
        <f t="shared" si="2"/>
        <v>Luciana</v>
      </c>
      <c r="H4028" s="1" t="str">
        <f>IFERROR(__xludf.DUMMYFUNCTION("""COMPUTED_VALUE"""),"29/3/2023, 17:00:00")</f>
        <v>29/3/2023, 17:00:00</v>
      </c>
      <c r="I4028" s="1" t="str">
        <f>IFERROR(__xludf.DUMMYFUNCTION("""COMPUTED_VALUE"""),"RETIRADO OK POR CLIENTE")</f>
        <v>RETIRADO OK POR CLIENTE</v>
      </c>
      <c r="J4028" s="1">
        <f t="shared" si="3"/>
        <v>6</v>
      </c>
      <c r="K4028" s="1" t="str">
        <f t="shared" si="4"/>
        <v>Entregamos tus lentes, que los disfrutes!</v>
      </c>
    </row>
    <row r="4029">
      <c r="A4029" s="1">
        <f>IFERROR(__xludf.DUMMYFUNCTION("""COMPUTED_VALUE"""),88593.0)</f>
        <v>88593</v>
      </c>
      <c r="B4029" s="5">
        <f>IFERROR(__xludf.DUMMYFUNCTION("""COMPUTED_VALUE"""),45010.52900293982)</f>
        <v>45010.529</v>
      </c>
      <c r="C4029" s="1" t="str">
        <f>IFERROR(__xludf.DUMMYFUNCTION("""COMPUTED_VALUE"""),"MOCCIA MAXIMO")</f>
        <v>MOCCIA MAXIMO</v>
      </c>
      <c r="D4029" s="1" t="str">
        <f>IFERROR(__xludf.DUMMYFUNCTION("""COMPUTED_VALUE"""),"Lentes de STOCK")</f>
        <v>Lentes de STOCK</v>
      </c>
      <c r="E4029" s="1" t="str">
        <f>IFERROR(__xludf.DUMMYFUNCTION("""COMPUTED_VALUE"""),"RIVADAVIA Luciana")</f>
        <v>RIVADAVIA Luciana</v>
      </c>
      <c r="F4029" s="1" t="str">
        <f t="shared" si="1"/>
        <v>RIVADAVIA </v>
      </c>
      <c r="G4029" s="1" t="str">
        <f t="shared" si="2"/>
        <v>Luciana</v>
      </c>
      <c r="H4029" s="1" t="str">
        <f>IFERROR(__xludf.DUMMYFUNCTION("""COMPUTED_VALUE"""),"30/3/2023, 17:00:00")</f>
        <v>30/3/2023, 17:00:00</v>
      </c>
      <c r="I4029" s="1" t="str">
        <f>IFERROR(__xludf.DUMMYFUNCTION("""COMPUTED_VALUE"""),"RETIRADO OK POR CLIENTE")</f>
        <v>RETIRADO OK POR CLIENTE</v>
      </c>
      <c r="J4029" s="1">
        <f t="shared" si="3"/>
        <v>6</v>
      </c>
      <c r="K4029" s="1" t="str">
        <f t="shared" si="4"/>
        <v>Entregamos tus lentes, que los disfrutes!</v>
      </c>
    </row>
    <row r="4030">
      <c r="A4030" s="1">
        <f>IFERROR(__xludf.DUMMYFUNCTION("""COMPUTED_VALUE"""),88594.0)</f>
        <v>88594</v>
      </c>
      <c r="B4030" s="5">
        <f>IFERROR(__xludf.DUMMYFUNCTION("""COMPUTED_VALUE"""),45010.53639385417)</f>
        <v>45010.53639</v>
      </c>
      <c r="C4030" s="1" t="str">
        <f>IFERROR(__xludf.DUMMYFUNCTION("""COMPUTED_VALUE"""),"REQUELME SUSANA")</f>
        <v>REQUELME SUSANA</v>
      </c>
      <c r="D4030" s="1" t="str">
        <f>IFERROR(__xludf.DUMMYFUNCTION("""COMPUTED_VALUE"""),"Lentes MULTIFOCALES")</f>
        <v>Lentes MULTIFOCALES</v>
      </c>
      <c r="E4030" s="1" t="str">
        <f>IFERROR(__xludf.DUMMYFUNCTION("""COMPUTED_VALUE"""),"ARTIGAS Roció")</f>
        <v>ARTIGAS Roció</v>
      </c>
      <c r="F4030" s="1" t="str">
        <f t="shared" si="1"/>
        <v>ARTIGAS </v>
      </c>
      <c r="G4030" s="1" t="str">
        <f t="shared" si="2"/>
        <v>Roció</v>
      </c>
      <c r="H4030" s="1" t="str">
        <f>IFERROR(__xludf.DUMMYFUNCTION("""COMPUTED_VALUE"""),"10/4/2023, 17:00:00")</f>
        <v>10/4/2023, 17:00:00</v>
      </c>
      <c r="I4030" s="1" t="str">
        <f>IFERROR(__xludf.DUMMYFUNCTION("""COMPUTED_VALUE"""),"Completado en SUCURSAL")</f>
        <v>Completado en SUCURSAL</v>
      </c>
      <c r="J4030" s="1">
        <f t="shared" si="3"/>
        <v>5</v>
      </c>
      <c r="K4030" s="1" t="str">
        <f t="shared" si="4"/>
        <v>Tus Lentes estan LISTAS PARA ENTREGAR, te esperamos.</v>
      </c>
    </row>
    <row r="4031">
      <c r="A4031" s="1">
        <f>IFERROR(__xludf.DUMMYFUNCTION("""COMPUTED_VALUE"""),88595.0)</f>
        <v>88595</v>
      </c>
      <c r="B4031" s="5">
        <f>IFERROR(__xludf.DUMMYFUNCTION("""COMPUTED_VALUE"""),45010.54834807871)</f>
        <v>45010.54835</v>
      </c>
      <c r="C4031" s="1" t="str">
        <f>IFERROR(__xludf.DUMMYFUNCTION("""COMPUTED_VALUE"""),"PEREZ ARIEL")</f>
        <v>PEREZ ARIEL</v>
      </c>
      <c r="D4031" s="1" t="str">
        <f>IFERROR(__xludf.DUMMYFUNCTION("""COMPUTED_VALUE"""),"Lentes MULTIFOCALES")</f>
        <v>Lentes MULTIFOCALES</v>
      </c>
      <c r="E4031" s="1" t="str">
        <f>IFERROR(__xludf.DUMMYFUNCTION("""COMPUTED_VALUE"""),"ARTIGAS Ivana P.")</f>
        <v>ARTIGAS Ivana P.</v>
      </c>
      <c r="F4031" s="1" t="str">
        <f t="shared" si="1"/>
        <v>ARTIGAS </v>
      </c>
      <c r="G4031" s="1" t="str">
        <f t="shared" si="2"/>
        <v>Ivana P.</v>
      </c>
      <c r="H4031" s="1" t="str">
        <f>IFERROR(__xludf.DUMMYFUNCTION("""COMPUTED_VALUE"""),"11/4/2023, 17:00:00")</f>
        <v>11/4/2023, 17:00:00</v>
      </c>
      <c r="I4031" s="1" t="str">
        <f>IFERROR(__xludf.DUMMYFUNCTION("""COMPUTED_VALUE"""),"Completado en SUCURSAL")</f>
        <v>Completado en SUCURSAL</v>
      </c>
      <c r="J4031" s="1">
        <f t="shared" si="3"/>
        <v>5</v>
      </c>
      <c r="K4031" s="1" t="str">
        <f t="shared" si="4"/>
        <v>Tus Lentes estan LISTAS PARA ENTREGAR, te esperamos.</v>
      </c>
    </row>
    <row r="4032">
      <c r="A4032" s="1">
        <f>IFERROR(__xludf.DUMMYFUNCTION("""COMPUTED_VALUE"""),88596.0)</f>
        <v>88596</v>
      </c>
      <c r="B4032" s="5">
        <f>IFERROR(__xludf.DUMMYFUNCTION("""COMPUTED_VALUE"""),45010.55165601852)</f>
        <v>45010.55166</v>
      </c>
      <c r="C4032" s="1" t="str">
        <f>IFERROR(__xludf.DUMMYFUNCTION("""COMPUTED_VALUE"""),"orozco ricardo")</f>
        <v>orozco ricardo</v>
      </c>
      <c r="D4032" s="1" t="str">
        <f>IFERROR(__xludf.DUMMYFUNCTION("""COMPUTED_VALUE"""),"Lentes de STOCK")</f>
        <v>Lentes de STOCK</v>
      </c>
      <c r="E4032" s="1" t="str">
        <f>IFERROR(__xludf.DUMMYFUNCTION("""COMPUTED_VALUE"""),"RIVADAVIA Christian C.")</f>
        <v>RIVADAVIA Christian C.</v>
      </c>
      <c r="F4032" s="1" t="str">
        <f t="shared" si="1"/>
        <v>RIVADAVIA </v>
      </c>
      <c r="G4032" s="1" t="str">
        <f t="shared" si="2"/>
        <v>Christian C.</v>
      </c>
      <c r="H4032" s="1" t="str">
        <f>IFERROR(__xludf.DUMMYFUNCTION("""COMPUTED_VALUE"""),"5/4/2023, 17:00:00")</f>
        <v>5/4/2023, 17:00:00</v>
      </c>
      <c r="I4032" s="1" t="str">
        <f>IFERROR(__xludf.DUMMYFUNCTION("""COMPUTED_VALUE"""),"Completado en SUCURSAL")</f>
        <v>Completado en SUCURSAL</v>
      </c>
      <c r="J4032" s="1">
        <f t="shared" si="3"/>
        <v>5</v>
      </c>
      <c r="K4032" s="1" t="str">
        <f t="shared" si="4"/>
        <v>Tus Lentes estan LISTAS PARA ENTREGAR, te esperamos.</v>
      </c>
    </row>
    <row r="4033">
      <c r="A4033" s="1">
        <f>IFERROR(__xludf.DUMMYFUNCTION("""COMPUTED_VALUE"""),88597.0)</f>
        <v>88597</v>
      </c>
      <c r="B4033" s="5">
        <f>IFERROR(__xludf.DUMMYFUNCTION("""COMPUTED_VALUE"""),45012.34745458333)</f>
        <v>45012.34745</v>
      </c>
      <c r="C4033" s="1" t="str">
        <f>IFERROR(__xludf.DUMMYFUNCTION("""COMPUTED_VALUE"""),"VILLAFAÑEZ JESICA (PROGRAMA MEDICINA DEL INTERIOR GOB)")</f>
        <v>VILLAFAÑEZ JESICA (PROGRAMA MEDICINA DEL INTERIOR GOB)</v>
      </c>
      <c r="D4033" s="1" t="str">
        <f>IFERROR(__xludf.DUMMYFUNCTION("""COMPUTED_VALUE"""),"Lentes de LABORATORIO")</f>
        <v>Lentes de LABORATORIO</v>
      </c>
      <c r="E4033" s="1" t="str">
        <f>IFERROR(__xludf.DUMMYFUNCTION("""COMPUTED_VALUE"""),"Online ADMIN.")</f>
        <v>Online ADMIN.</v>
      </c>
      <c r="F4033" s="1" t="str">
        <f t="shared" si="1"/>
        <v>Online </v>
      </c>
      <c r="G4033" s="1" t="str">
        <f t="shared" si="2"/>
        <v>ADMIN.</v>
      </c>
      <c r="H4033" s="1" t="str">
        <f>IFERROR(__xludf.DUMMYFUNCTION("""COMPUTED_VALUE"""),"3/4/2023, 17:00:00")</f>
        <v>3/4/2023, 17:00:00</v>
      </c>
      <c r="I4033" s="1" t="str">
        <f>IFERROR(__xludf.DUMMYFUNCTION("""COMPUTED_VALUE"""),"Completado en SUCURSAL")</f>
        <v>Completado en SUCURSAL</v>
      </c>
      <c r="J4033" s="1">
        <f t="shared" si="3"/>
        <v>5</v>
      </c>
      <c r="K4033" s="1" t="str">
        <f t="shared" si="4"/>
        <v>Tus Lentes estan LISTAS PARA ENTREGAR, te esperamos.</v>
      </c>
    </row>
    <row r="4034">
      <c r="A4034" s="1">
        <f>IFERROR(__xludf.DUMMYFUNCTION("""COMPUTED_VALUE"""),88598.0)</f>
        <v>88598</v>
      </c>
      <c r="B4034" s="5">
        <f>IFERROR(__xludf.DUMMYFUNCTION("""COMPUTED_VALUE"""),45012.34826442129)</f>
        <v>45012.34826</v>
      </c>
      <c r="C4034" s="1" t="str">
        <f>IFERROR(__xludf.DUMMYFUNCTION("""COMPUTED_VALUE"""),"SAHMALZ MARIA ROSANA (PROGRAMA MEDICINA DEL INTERIOR GOB)")</f>
        <v>SAHMALZ MARIA ROSANA (PROGRAMA MEDICINA DEL INTERIOR GOB)</v>
      </c>
      <c r="D4034" s="1" t="str">
        <f>IFERROR(__xludf.DUMMYFUNCTION("""COMPUTED_VALUE"""),"Lentes de LABORATORIO")</f>
        <v>Lentes de LABORATORIO</v>
      </c>
      <c r="E4034" s="1" t="str">
        <f>IFERROR(__xludf.DUMMYFUNCTION("""COMPUTED_VALUE"""),"Online ADMIN.")</f>
        <v>Online ADMIN.</v>
      </c>
      <c r="F4034" s="1" t="str">
        <f t="shared" si="1"/>
        <v>Online </v>
      </c>
      <c r="G4034" s="1" t="str">
        <f t="shared" si="2"/>
        <v>ADMIN.</v>
      </c>
      <c r="H4034" s="1" t="str">
        <f>IFERROR(__xludf.DUMMYFUNCTION("""COMPUTED_VALUE"""),"3/4/2023, 17:00:00")</f>
        <v>3/4/2023, 17:00:00</v>
      </c>
      <c r="I4034" s="1" t="str">
        <f>IFERROR(__xludf.DUMMYFUNCTION("""COMPUTED_VALUE"""),"Completado en SUCURSAL")</f>
        <v>Completado en SUCURSAL</v>
      </c>
      <c r="J4034" s="1">
        <f t="shared" si="3"/>
        <v>5</v>
      </c>
      <c r="K4034" s="1" t="str">
        <f t="shared" si="4"/>
        <v>Tus Lentes estan LISTAS PARA ENTREGAR, te esperamos.</v>
      </c>
    </row>
    <row r="4035">
      <c r="A4035" s="1">
        <f>IFERROR(__xludf.DUMMYFUNCTION("""COMPUTED_VALUE"""),88599.0)</f>
        <v>88599</v>
      </c>
      <c r="B4035" s="5">
        <f>IFERROR(__xludf.DUMMYFUNCTION("""COMPUTED_VALUE"""),45012.34893304398)</f>
        <v>45012.34893</v>
      </c>
      <c r="C4035" s="1" t="str">
        <f>IFERROR(__xludf.DUMMYFUNCTION("""COMPUTED_VALUE"""),"ORTINZ MARIANA (PROGRAMA MEDICINA DEL INTERIOR GOB)")</f>
        <v>ORTINZ MARIANA (PROGRAMA MEDICINA DEL INTERIOR GOB)</v>
      </c>
      <c r="D4035" s="1" t="str">
        <f>IFERROR(__xludf.DUMMYFUNCTION("""COMPUTED_VALUE"""),"Lentes de STOCK")</f>
        <v>Lentes de STOCK</v>
      </c>
      <c r="E4035" s="1" t="str">
        <f>IFERROR(__xludf.DUMMYFUNCTION("""COMPUTED_VALUE"""),"Online ADMIN.")</f>
        <v>Online ADMIN.</v>
      </c>
      <c r="F4035" s="1" t="str">
        <f t="shared" si="1"/>
        <v>Online </v>
      </c>
      <c r="G4035" s="1" t="str">
        <f t="shared" si="2"/>
        <v>ADMIN.</v>
      </c>
      <c r="H4035" s="1" t="str">
        <f>IFERROR(__xludf.DUMMYFUNCTION("""COMPUTED_VALUE"""),"29/3/2023, 17:00:00")</f>
        <v>29/3/2023, 17:00:00</v>
      </c>
      <c r="I4035" s="1" t="str">
        <f>IFERROR(__xludf.DUMMYFUNCTION("""COMPUTED_VALUE"""),"Completado en SUCURSAL")</f>
        <v>Completado en SUCURSAL</v>
      </c>
      <c r="J4035" s="1">
        <f t="shared" si="3"/>
        <v>5</v>
      </c>
      <c r="K4035" s="1" t="str">
        <f t="shared" si="4"/>
        <v>Tus Lentes estan LISTAS PARA ENTREGAR, te esperamos.</v>
      </c>
    </row>
    <row r="4036">
      <c r="A4036" s="1">
        <f>IFERROR(__xludf.DUMMYFUNCTION("""COMPUTED_VALUE"""),88600.0)</f>
        <v>88600</v>
      </c>
      <c r="B4036" s="5">
        <f>IFERROR(__xludf.DUMMYFUNCTION("""COMPUTED_VALUE"""),45012.34945841435)</f>
        <v>45012.34946</v>
      </c>
      <c r="C4036" s="1" t="str">
        <f>IFERROR(__xludf.DUMMYFUNCTION("""COMPUTED_VALUE"""),"ROSALES OLGA (PROGRAMA MEDICINA DEL INTERIOR GOB)")</f>
        <v>ROSALES OLGA (PROGRAMA MEDICINA DEL INTERIOR GOB)</v>
      </c>
      <c r="D4036" s="1" t="str">
        <f>IFERROR(__xludf.DUMMYFUNCTION("""COMPUTED_VALUE"""),"Lentes de STOCK")</f>
        <v>Lentes de STOCK</v>
      </c>
      <c r="E4036" s="1" t="str">
        <f>IFERROR(__xludf.DUMMYFUNCTION("""COMPUTED_VALUE"""),"Online ADMIN.")</f>
        <v>Online ADMIN.</v>
      </c>
      <c r="F4036" s="1" t="str">
        <f t="shared" si="1"/>
        <v>Online </v>
      </c>
      <c r="G4036" s="1" t="str">
        <f t="shared" si="2"/>
        <v>ADMIN.</v>
      </c>
      <c r="H4036" s="1" t="str">
        <f>IFERROR(__xludf.DUMMYFUNCTION("""COMPUTED_VALUE"""),"29/3/2023, 17:00:00")</f>
        <v>29/3/2023, 17:00:00</v>
      </c>
      <c r="I4036" s="1" t="str">
        <f>IFERROR(__xludf.DUMMYFUNCTION("""COMPUTED_VALUE"""),"Completado en SUCURSAL")</f>
        <v>Completado en SUCURSAL</v>
      </c>
      <c r="J4036" s="1">
        <f t="shared" si="3"/>
        <v>5</v>
      </c>
      <c r="K4036" s="1" t="str">
        <f t="shared" si="4"/>
        <v>Tus Lentes estan LISTAS PARA ENTREGAR, te esperamos.</v>
      </c>
    </row>
    <row r="4037">
      <c r="A4037" s="1">
        <f>IFERROR(__xludf.DUMMYFUNCTION("""COMPUTED_VALUE"""),88601.0)</f>
        <v>88601</v>
      </c>
      <c r="B4037" s="5">
        <f>IFERROR(__xludf.DUMMYFUNCTION("""COMPUTED_VALUE"""),45012.35025960648)</f>
        <v>45012.35026</v>
      </c>
      <c r="C4037" s="1" t="str">
        <f>IFERROR(__xludf.DUMMYFUNCTION("""COMPUTED_VALUE"""),"RIVAROLA RODOLFO (PROGRAMA MEDICINA DEL INTERIOR GOB)")</f>
        <v>RIVAROLA RODOLFO (PROGRAMA MEDICINA DEL INTERIOR GOB)</v>
      </c>
      <c r="D4037" s="1" t="str">
        <f>IFERROR(__xludf.DUMMYFUNCTION("""COMPUTED_VALUE"""),"Lentes de LABORATORIO")</f>
        <v>Lentes de LABORATORIO</v>
      </c>
      <c r="E4037" s="1" t="str">
        <f>IFERROR(__xludf.DUMMYFUNCTION("""COMPUTED_VALUE"""),"Online ADMIN.")</f>
        <v>Online ADMIN.</v>
      </c>
      <c r="F4037" s="1" t="str">
        <f t="shared" si="1"/>
        <v>Online </v>
      </c>
      <c r="G4037" s="1" t="str">
        <f t="shared" si="2"/>
        <v>ADMIN.</v>
      </c>
      <c r="H4037" s="1" t="str">
        <f>IFERROR(__xludf.DUMMYFUNCTION("""COMPUTED_VALUE"""),"3/4/2023, 17:00:00")</f>
        <v>3/4/2023, 17:00:00</v>
      </c>
      <c r="I4037" s="1" t="str">
        <f>IFERROR(__xludf.DUMMYFUNCTION("""COMPUTED_VALUE"""),"Completado en SUCURSAL")</f>
        <v>Completado en SUCURSAL</v>
      </c>
      <c r="J4037" s="1">
        <f t="shared" si="3"/>
        <v>5</v>
      </c>
      <c r="K4037" s="1" t="str">
        <f t="shared" si="4"/>
        <v>Tus Lentes estan LISTAS PARA ENTREGAR, te esperamos.</v>
      </c>
    </row>
    <row r="4038">
      <c r="A4038" s="1">
        <f>IFERROR(__xludf.DUMMYFUNCTION("""COMPUTED_VALUE"""),88602.0)</f>
        <v>88602</v>
      </c>
      <c r="B4038" s="5">
        <f>IFERROR(__xludf.DUMMYFUNCTION("""COMPUTED_VALUE"""),45012.35129306713)</f>
        <v>45012.35129</v>
      </c>
      <c r="C4038" s="1" t="str">
        <f>IFERROR(__xludf.DUMMYFUNCTION("""COMPUTED_VALUE"""),"JIMENEZ CESARINA (PROGRAMA MEDICINA DEL INTERIOR GOB)")</f>
        <v>JIMENEZ CESARINA (PROGRAMA MEDICINA DEL INTERIOR GOB)</v>
      </c>
      <c r="D4038" s="1" t="str">
        <f>IFERROR(__xludf.DUMMYFUNCTION("""COMPUTED_VALUE"""),"Lentes de STOCK")</f>
        <v>Lentes de STOCK</v>
      </c>
      <c r="E4038" s="1" t="str">
        <f>IFERROR(__xludf.DUMMYFUNCTION("""COMPUTED_VALUE"""),"Online ADMIN.")</f>
        <v>Online ADMIN.</v>
      </c>
      <c r="F4038" s="1" t="str">
        <f t="shared" si="1"/>
        <v>Online </v>
      </c>
      <c r="G4038" s="1" t="str">
        <f t="shared" si="2"/>
        <v>ADMIN.</v>
      </c>
      <c r="H4038" s="1" t="str">
        <f>IFERROR(__xludf.DUMMYFUNCTION("""COMPUTED_VALUE"""),"29/3/2023, 17:00:00")</f>
        <v>29/3/2023, 17:00:00</v>
      </c>
      <c r="I4038" s="1" t="str">
        <f>IFERROR(__xludf.DUMMYFUNCTION("""COMPUTED_VALUE"""),"Completado en SUCURSAL")</f>
        <v>Completado en SUCURSAL</v>
      </c>
      <c r="J4038" s="1">
        <f t="shared" si="3"/>
        <v>5</v>
      </c>
      <c r="K4038" s="1" t="str">
        <f t="shared" si="4"/>
        <v>Tus Lentes estan LISTAS PARA ENTREGAR, te esperamos.</v>
      </c>
    </row>
    <row r="4039">
      <c r="A4039" s="1">
        <f>IFERROR(__xludf.DUMMYFUNCTION("""COMPUTED_VALUE"""),88603.0)</f>
        <v>88603</v>
      </c>
      <c r="B4039" s="5">
        <f>IFERROR(__xludf.DUMMYFUNCTION("""COMPUTED_VALUE"""),45012.351865115736)</f>
        <v>45012.35187</v>
      </c>
      <c r="C4039" s="1" t="str">
        <f>IFERROR(__xludf.DUMMYFUNCTION("""COMPUTED_VALUE"""),"JAIME DAMARIS CRISTINA (PROGRAMA MEDICINA DEL INTERIOR GOB)")</f>
        <v>JAIME DAMARIS CRISTINA (PROGRAMA MEDICINA DEL INTERIOR GOB)</v>
      </c>
      <c r="D4039" s="1" t="str">
        <f>IFERROR(__xludf.DUMMYFUNCTION("""COMPUTED_VALUE"""),"Lentes de STOCK")</f>
        <v>Lentes de STOCK</v>
      </c>
      <c r="E4039" s="1" t="str">
        <f>IFERROR(__xludf.DUMMYFUNCTION("""COMPUTED_VALUE"""),"Online ADMIN.")</f>
        <v>Online ADMIN.</v>
      </c>
      <c r="F4039" s="1" t="str">
        <f t="shared" si="1"/>
        <v>Online </v>
      </c>
      <c r="G4039" s="1" t="str">
        <f t="shared" si="2"/>
        <v>ADMIN.</v>
      </c>
      <c r="H4039" s="1" t="str">
        <f>IFERROR(__xludf.DUMMYFUNCTION("""COMPUTED_VALUE"""),"29/3/2023, 17:00:00")</f>
        <v>29/3/2023, 17:00:00</v>
      </c>
      <c r="I4039" s="1" t="str">
        <f>IFERROR(__xludf.DUMMYFUNCTION("""COMPUTED_VALUE"""),"Recibido en Laboratorio")</f>
        <v>Recibido en Laboratorio</v>
      </c>
      <c r="J4039" s="1">
        <f t="shared" si="3"/>
        <v>2</v>
      </c>
      <c r="K4039" s="1" t="str">
        <f t="shared" si="4"/>
        <v>Nuestro Laboratorio esta trabajando en tus lentes, los entregaremos en la fecha acordada.</v>
      </c>
    </row>
    <row r="4040">
      <c r="A4040" s="1">
        <f>IFERROR(__xludf.DUMMYFUNCTION("""COMPUTED_VALUE"""),88604.0)</f>
        <v>88604</v>
      </c>
      <c r="B4040" s="5">
        <f>IFERROR(__xludf.DUMMYFUNCTION("""COMPUTED_VALUE"""),45012.35236423611)</f>
        <v>45012.35236</v>
      </c>
      <c r="C4040" s="1" t="str">
        <f>IFERROR(__xludf.DUMMYFUNCTION("""COMPUTED_VALUE"""),"FARIAS HUMBERTO SANTIAGO (PROGRAMA MEDICINA DEL INTERIOR GOB)")</f>
        <v>FARIAS HUMBERTO SANTIAGO (PROGRAMA MEDICINA DEL INTERIOR GOB)</v>
      </c>
      <c r="D4040" s="1" t="str">
        <f>IFERROR(__xludf.DUMMYFUNCTION("""COMPUTED_VALUE"""),"Lentes de STOCK")</f>
        <v>Lentes de STOCK</v>
      </c>
      <c r="E4040" s="1" t="str">
        <f>IFERROR(__xludf.DUMMYFUNCTION("""COMPUTED_VALUE"""),"Online ADMIN.")</f>
        <v>Online ADMIN.</v>
      </c>
      <c r="F4040" s="1" t="str">
        <f t="shared" si="1"/>
        <v>Online </v>
      </c>
      <c r="G4040" s="1" t="str">
        <f t="shared" si="2"/>
        <v>ADMIN.</v>
      </c>
      <c r="H4040" s="1" t="str">
        <f>IFERROR(__xludf.DUMMYFUNCTION("""COMPUTED_VALUE"""),"29/3/2023, 17:00:00")</f>
        <v>29/3/2023, 17:00:00</v>
      </c>
      <c r="I4040" s="1" t="str">
        <f>IFERROR(__xludf.DUMMYFUNCTION("""COMPUTED_VALUE"""),"Completado en SUCURSAL")</f>
        <v>Completado en SUCURSAL</v>
      </c>
      <c r="J4040" s="1">
        <f t="shared" si="3"/>
        <v>5</v>
      </c>
      <c r="K4040" s="1" t="str">
        <f t="shared" si="4"/>
        <v>Tus Lentes estan LISTAS PARA ENTREGAR, te esperamos.</v>
      </c>
    </row>
    <row r="4041">
      <c r="A4041" s="1">
        <f>IFERROR(__xludf.DUMMYFUNCTION("""COMPUTED_VALUE"""),88605.0)</f>
        <v>88605</v>
      </c>
      <c r="B4041" s="5">
        <f>IFERROR(__xludf.DUMMYFUNCTION("""COMPUTED_VALUE"""),45012.352916828706)</f>
        <v>45012.35292</v>
      </c>
      <c r="C4041" s="1" t="str">
        <f>IFERROR(__xludf.DUMMYFUNCTION("""COMPUTED_VALUE"""),"IBAÑEZ ROSA MANUELA  (PROGRAMA MEDICINA DEL INTERIOR GOB)")</f>
        <v>IBAÑEZ ROSA MANUELA  (PROGRAMA MEDICINA DEL INTERIOR GOB)</v>
      </c>
      <c r="D4041" s="1" t="str">
        <f>IFERROR(__xludf.DUMMYFUNCTION("""COMPUTED_VALUE"""),"Lentes de STOCK")</f>
        <v>Lentes de STOCK</v>
      </c>
      <c r="E4041" s="1" t="str">
        <f>IFERROR(__xludf.DUMMYFUNCTION("""COMPUTED_VALUE"""),"Online ADMIN.")</f>
        <v>Online ADMIN.</v>
      </c>
      <c r="F4041" s="1" t="str">
        <f t="shared" si="1"/>
        <v>Online </v>
      </c>
      <c r="G4041" s="1" t="str">
        <f t="shared" si="2"/>
        <v>ADMIN.</v>
      </c>
      <c r="H4041" s="1" t="str">
        <f>IFERROR(__xludf.DUMMYFUNCTION("""COMPUTED_VALUE"""),"29/3/2023, 17:00:00")</f>
        <v>29/3/2023, 17:00:00</v>
      </c>
      <c r="I4041" s="1"/>
      <c r="J4041" s="1">
        <f t="shared" si="3"/>
        <v>0</v>
      </c>
      <c r="K4041" s="1" t="str">
        <f t="shared" si="4"/>
        <v/>
      </c>
    </row>
    <row r="4042">
      <c r="A4042" s="1">
        <f>IFERROR(__xludf.DUMMYFUNCTION("""COMPUTED_VALUE"""),88606.0)</f>
        <v>88606</v>
      </c>
      <c r="B4042" s="5">
        <f>IFERROR(__xludf.DUMMYFUNCTION("""COMPUTED_VALUE"""),45012.35363376157)</f>
        <v>45012.35363</v>
      </c>
      <c r="C4042" s="1" t="str">
        <f>IFERROR(__xludf.DUMMYFUNCTION("""COMPUTED_VALUE"""),"ESCUDERO BRENDA MARICEL (PROGRAMA MEDICINA DEL INTERIOR GOB)")</f>
        <v>ESCUDERO BRENDA MARICEL (PROGRAMA MEDICINA DEL INTERIOR GOB)</v>
      </c>
      <c r="D4042" s="1" t="str">
        <f>IFERROR(__xludf.DUMMYFUNCTION("""COMPUTED_VALUE"""),"Lentes de LABORATORIO")</f>
        <v>Lentes de LABORATORIO</v>
      </c>
      <c r="E4042" s="1" t="str">
        <f>IFERROR(__xludf.DUMMYFUNCTION("""COMPUTED_VALUE"""),"Online ADMIN.")</f>
        <v>Online ADMIN.</v>
      </c>
      <c r="F4042" s="1" t="str">
        <f t="shared" si="1"/>
        <v>Online </v>
      </c>
      <c r="G4042" s="1" t="str">
        <f t="shared" si="2"/>
        <v>ADMIN.</v>
      </c>
      <c r="H4042" s="1" t="str">
        <f>IFERROR(__xludf.DUMMYFUNCTION("""COMPUTED_VALUE"""),"3/4/2023, 17:00:00")</f>
        <v>3/4/2023, 17:00:00</v>
      </c>
      <c r="I4042" s="1" t="str">
        <f>IFERROR(__xludf.DUMMYFUNCTION("""COMPUTED_VALUE"""),"Completado en SUCURSAL")</f>
        <v>Completado en SUCURSAL</v>
      </c>
      <c r="J4042" s="1">
        <f t="shared" si="3"/>
        <v>5</v>
      </c>
      <c r="K4042" s="1" t="str">
        <f t="shared" si="4"/>
        <v>Tus Lentes estan LISTAS PARA ENTREGAR, te esperamos.</v>
      </c>
    </row>
    <row r="4043">
      <c r="A4043" s="1">
        <f>IFERROR(__xludf.DUMMYFUNCTION("""COMPUTED_VALUE"""),88607.0)</f>
        <v>88607</v>
      </c>
      <c r="B4043" s="5">
        <f>IFERROR(__xludf.DUMMYFUNCTION("""COMPUTED_VALUE"""),45012.35423175926)</f>
        <v>45012.35423</v>
      </c>
      <c r="C4043" s="1" t="str">
        <f>IFERROR(__xludf.DUMMYFUNCTION("""COMPUTED_VALUE"""),"BANEGAS CAROLINA MAILEN (PROGRAMA MEDICINA DEL INTERIOR GOB)")</f>
        <v>BANEGAS CAROLINA MAILEN (PROGRAMA MEDICINA DEL INTERIOR GOB)</v>
      </c>
      <c r="D4043" s="1" t="str">
        <f>IFERROR(__xludf.DUMMYFUNCTION("""COMPUTED_VALUE"""),"Lentes de STOCK")</f>
        <v>Lentes de STOCK</v>
      </c>
      <c r="E4043" s="1" t="str">
        <f>IFERROR(__xludf.DUMMYFUNCTION("""COMPUTED_VALUE"""),"Online ADMIN.")</f>
        <v>Online ADMIN.</v>
      </c>
      <c r="F4043" s="1" t="str">
        <f t="shared" si="1"/>
        <v>Online </v>
      </c>
      <c r="G4043" s="1" t="str">
        <f t="shared" si="2"/>
        <v>ADMIN.</v>
      </c>
      <c r="H4043" s="1" t="str">
        <f>IFERROR(__xludf.DUMMYFUNCTION("""COMPUTED_VALUE"""),"29/3/2023, 17:00:00")</f>
        <v>29/3/2023, 17:00:00</v>
      </c>
      <c r="I4043" s="1" t="str">
        <f>IFERROR(__xludf.DUMMYFUNCTION("""COMPUTED_VALUE"""),"Completado en SUCURSAL")</f>
        <v>Completado en SUCURSAL</v>
      </c>
      <c r="J4043" s="1">
        <f t="shared" si="3"/>
        <v>5</v>
      </c>
      <c r="K4043" s="1" t="str">
        <f t="shared" si="4"/>
        <v>Tus Lentes estan LISTAS PARA ENTREGAR, te esperamos.</v>
      </c>
    </row>
    <row r="4044">
      <c r="A4044" s="1">
        <f>IFERROR(__xludf.DUMMYFUNCTION("""COMPUTED_VALUE"""),88608.0)</f>
        <v>88608</v>
      </c>
      <c r="B4044" s="5">
        <f>IFERROR(__xludf.DUMMYFUNCTION("""COMPUTED_VALUE"""),45012.35495620371)</f>
        <v>45012.35496</v>
      </c>
      <c r="C4044" s="1" t="str">
        <f>IFERROR(__xludf.DUMMYFUNCTION("""COMPUTED_VALUE"""),"DOMINGUEZ SAHMALZ PRISCILA ABIGAIL (PROGRAMA MEDICINA DEL INTERIOR GOB)")</f>
        <v>DOMINGUEZ SAHMALZ PRISCILA ABIGAIL (PROGRAMA MEDICINA DEL INTERIOR GOB)</v>
      </c>
      <c r="D4044" s="1" t="str">
        <f>IFERROR(__xludf.DUMMYFUNCTION("""COMPUTED_VALUE"""),"Lentes de LABORATORIO")</f>
        <v>Lentes de LABORATORIO</v>
      </c>
      <c r="E4044" s="1" t="str">
        <f>IFERROR(__xludf.DUMMYFUNCTION("""COMPUTED_VALUE"""),"Online ADMIN.")</f>
        <v>Online ADMIN.</v>
      </c>
      <c r="F4044" s="1" t="str">
        <f t="shared" si="1"/>
        <v>Online </v>
      </c>
      <c r="G4044" s="1" t="str">
        <f t="shared" si="2"/>
        <v>ADMIN.</v>
      </c>
      <c r="H4044" s="1" t="str">
        <f>IFERROR(__xludf.DUMMYFUNCTION("""COMPUTED_VALUE"""),"3/4/2023, 17:00:00")</f>
        <v>3/4/2023, 17:00:00</v>
      </c>
      <c r="I4044" s="1" t="str">
        <f>IFERROR(__xludf.DUMMYFUNCTION("""COMPUTED_VALUE"""),"Completado en SUCURSAL")</f>
        <v>Completado en SUCURSAL</v>
      </c>
      <c r="J4044" s="1">
        <f t="shared" si="3"/>
        <v>5</v>
      </c>
      <c r="K4044" s="1" t="str">
        <f t="shared" si="4"/>
        <v>Tus Lentes estan LISTAS PARA ENTREGAR, te esperamos.</v>
      </c>
    </row>
    <row r="4045">
      <c r="A4045" s="1">
        <f>IFERROR(__xludf.DUMMYFUNCTION("""COMPUTED_VALUE"""),88609.0)</f>
        <v>88609</v>
      </c>
      <c r="B4045" s="5">
        <f>IFERROR(__xludf.DUMMYFUNCTION("""COMPUTED_VALUE"""),45012.35567682871)</f>
        <v>45012.35568</v>
      </c>
      <c r="C4045" s="1" t="str">
        <f>IFERROR(__xludf.DUMMYFUNCTION("""COMPUTED_VALUE"""),"ARROYO ILEANA BELEN (PROGRAMA MEDICINA DEL INTERIOR GOB)")</f>
        <v>ARROYO ILEANA BELEN (PROGRAMA MEDICINA DEL INTERIOR GOB)</v>
      </c>
      <c r="D4045" s="1" t="str">
        <f>IFERROR(__xludf.DUMMYFUNCTION("""COMPUTED_VALUE"""),"Lentes de STOCK")</f>
        <v>Lentes de STOCK</v>
      </c>
      <c r="E4045" s="1" t="str">
        <f>IFERROR(__xludf.DUMMYFUNCTION("""COMPUTED_VALUE"""),"Online ADMIN.")</f>
        <v>Online ADMIN.</v>
      </c>
      <c r="F4045" s="1" t="str">
        <f t="shared" si="1"/>
        <v>Online </v>
      </c>
      <c r="G4045" s="1" t="str">
        <f t="shared" si="2"/>
        <v>ADMIN.</v>
      </c>
      <c r="H4045" s="1" t="str">
        <f>IFERROR(__xludf.DUMMYFUNCTION("""COMPUTED_VALUE"""),"29/3/2023, 17:00:00")</f>
        <v>29/3/2023, 17:00:00</v>
      </c>
      <c r="I4045" s="1" t="str">
        <f>IFERROR(__xludf.DUMMYFUNCTION("""COMPUTED_VALUE"""),"Completado en SUCURSAL")</f>
        <v>Completado en SUCURSAL</v>
      </c>
      <c r="J4045" s="1">
        <f t="shared" si="3"/>
        <v>5</v>
      </c>
      <c r="K4045" s="1" t="str">
        <f t="shared" si="4"/>
        <v>Tus Lentes estan LISTAS PARA ENTREGAR, te esperamos.</v>
      </c>
    </row>
    <row r="4046">
      <c r="A4046" s="1">
        <f>IFERROR(__xludf.DUMMYFUNCTION("""COMPUTED_VALUE"""),88610.0)</f>
        <v>88610</v>
      </c>
      <c r="B4046" s="5">
        <f>IFERROR(__xludf.DUMMYFUNCTION("""COMPUTED_VALUE"""),45012.37654049769)</f>
        <v>45012.37654</v>
      </c>
      <c r="C4046" s="1" t="str">
        <f>IFERROR(__xludf.DUMMYFUNCTION("""COMPUTED_VALUE"""),"gianello pedro")</f>
        <v>gianello pedro</v>
      </c>
      <c r="D4046" s="1" t="str">
        <f>IFERROR(__xludf.DUMMYFUNCTION("""COMPUTED_VALUE"""),"Lentes MULTIFOCALES")</f>
        <v>Lentes MULTIFOCALES</v>
      </c>
      <c r="E4046" s="1" t="str">
        <f>IFERROR(__xludf.DUMMYFUNCTION("""COMPUTED_VALUE"""),"RIVADAVIA Daniel CM")</f>
        <v>RIVADAVIA Daniel CM</v>
      </c>
      <c r="F4046" s="1" t="str">
        <f t="shared" si="1"/>
        <v>RIVADAVIA </v>
      </c>
      <c r="G4046" s="1" t="str">
        <f t="shared" si="2"/>
        <v>Daniel CM</v>
      </c>
      <c r="H4046" s="1" t="str">
        <f>IFERROR(__xludf.DUMMYFUNCTION("""COMPUTED_VALUE"""),"10/4/2023, 17:00:00")</f>
        <v>10/4/2023, 17:00:00</v>
      </c>
      <c r="I4046" s="1"/>
      <c r="J4046" s="1">
        <f t="shared" si="3"/>
        <v>0</v>
      </c>
      <c r="K4046" s="1" t="str">
        <f t="shared" si="4"/>
        <v/>
      </c>
    </row>
    <row r="4047">
      <c r="A4047" s="1">
        <f>IFERROR(__xludf.DUMMYFUNCTION("""COMPUTED_VALUE"""),88611.0)</f>
        <v>88611</v>
      </c>
      <c r="B4047" s="5">
        <f>IFERROR(__xludf.DUMMYFUNCTION("""COMPUTED_VALUE"""),45012.37960564815)</f>
        <v>45012.37961</v>
      </c>
      <c r="C4047" s="1" t="str">
        <f>IFERROR(__xludf.DUMMYFUNCTION("""COMPUTED_VALUE"""),"garibotto maria victoria")</f>
        <v>garibotto maria victoria</v>
      </c>
      <c r="D4047" s="1" t="str">
        <f>IFERROR(__xludf.DUMMYFUNCTION("""COMPUTED_VALUE"""),"Lentes MULTIFOCALES")</f>
        <v>Lentes MULTIFOCALES</v>
      </c>
      <c r="E4047" s="1" t="str">
        <f>IFERROR(__xludf.DUMMYFUNCTION("""COMPUTED_VALUE"""),"RIVADAVIA Daniel CM")</f>
        <v>RIVADAVIA Daniel CM</v>
      </c>
      <c r="F4047" s="1" t="str">
        <f t="shared" si="1"/>
        <v>RIVADAVIA </v>
      </c>
      <c r="G4047" s="1" t="str">
        <f t="shared" si="2"/>
        <v>Daniel CM</v>
      </c>
      <c r="H4047" s="1" t="str">
        <f>IFERROR(__xludf.DUMMYFUNCTION("""COMPUTED_VALUE"""),"29/3/2023, 17:00:00")</f>
        <v>29/3/2023, 17:00:00</v>
      </c>
      <c r="I4047" s="1"/>
      <c r="J4047" s="1">
        <f t="shared" si="3"/>
        <v>0</v>
      </c>
      <c r="K4047" s="1" t="str">
        <f t="shared" si="4"/>
        <v/>
      </c>
    </row>
    <row r="4048">
      <c r="A4048" s="1">
        <f>IFERROR(__xludf.DUMMYFUNCTION("""COMPUTED_VALUE"""),88612.0)</f>
        <v>88612</v>
      </c>
      <c r="B4048" s="5">
        <f>IFERROR(__xludf.DUMMYFUNCTION("""COMPUTED_VALUE"""),45012.392434953705)</f>
        <v>45012.39243</v>
      </c>
      <c r="C4048" s="1" t="str">
        <f>IFERROR(__xludf.DUMMYFUNCTION("""COMPUTED_VALUE"""),"CASTELLINO PATRICIA MATILDE")</f>
        <v>CASTELLINO PATRICIA MATILDE</v>
      </c>
      <c r="D4048" s="1" t="str">
        <f>IFERROR(__xludf.DUMMYFUNCTION("""COMPUTED_VALUE"""),"Lentes de STOCK")</f>
        <v>Lentes de STOCK</v>
      </c>
      <c r="E4048" s="1" t="str">
        <f>IFERROR(__xludf.DUMMYFUNCTION("""COMPUTED_VALUE"""),"ARTIGAS Roció")</f>
        <v>ARTIGAS Roció</v>
      </c>
      <c r="F4048" s="1" t="str">
        <f t="shared" si="1"/>
        <v>ARTIGAS </v>
      </c>
      <c r="G4048" s="1" t="str">
        <f t="shared" si="2"/>
        <v>Roció</v>
      </c>
      <c r="H4048" s="1" t="str">
        <f>IFERROR(__xludf.DUMMYFUNCTION("""COMPUTED_VALUE"""),"4/4/2023, 17:00:00")</f>
        <v>4/4/2023, 17:00:00</v>
      </c>
      <c r="I4048" s="1" t="str">
        <f>IFERROR(__xludf.DUMMYFUNCTION("""COMPUTED_VALUE"""),"Completado en SUCURSAL")</f>
        <v>Completado en SUCURSAL</v>
      </c>
      <c r="J4048" s="1">
        <f t="shared" si="3"/>
        <v>5</v>
      </c>
      <c r="K4048" s="1" t="str">
        <f t="shared" si="4"/>
        <v>Tus Lentes estan LISTAS PARA ENTREGAR, te esperamos.</v>
      </c>
    </row>
    <row r="4049">
      <c r="A4049" s="1">
        <f>IFERROR(__xludf.DUMMYFUNCTION("""COMPUTED_VALUE"""),88613.0)</f>
        <v>88613</v>
      </c>
      <c r="B4049" s="5">
        <f>IFERROR(__xludf.DUMMYFUNCTION("""COMPUTED_VALUE"""),45012.39364013889)</f>
        <v>45012.39364</v>
      </c>
      <c r="C4049" s="1" t="str">
        <f>IFERROR(__xludf.DUMMYFUNCTION("""COMPUTED_VALUE"""),"PELETAY SANTIAGO EMANUEL")</f>
        <v>PELETAY SANTIAGO EMANUEL</v>
      </c>
      <c r="D4049" s="1" t="str">
        <f>IFERROR(__xludf.DUMMYFUNCTION("""COMPUTED_VALUE"""),"Lentes de LABORATORIO")</f>
        <v>Lentes de LABORATORIO</v>
      </c>
      <c r="E4049" s="1" t="str">
        <f>IFERROR(__xludf.DUMMYFUNCTION("""COMPUTED_VALUE"""),"RIVADAVIA Santiago N")</f>
        <v>RIVADAVIA Santiago N</v>
      </c>
      <c r="F4049" s="1" t="str">
        <f t="shared" si="1"/>
        <v>RIVADAVIA </v>
      </c>
      <c r="G4049" s="1" t="str">
        <f t="shared" si="2"/>
        <v>Santiago N</v>
      </c>
      <c r="H4049" s="1" t="str">
        <f>IFERROR(__xludf.DUMMYFUNCTION("""COMPUTED_VALUE"""),"11/4/2023, 17:00:00")</f>
        <v>11/4/2023, 17:00:00</v>
      </c>
      <c r="I4049" s="1" t="str">
        <f>IFERROR(__xludf.DUMMYFUNCTION("""COMPUTED_VALUE"""),"Completado en SUCURSAL")</f>
        <v>Completado en SUCURSAL</v>
      </c>
      <c r="J4049" s="1">
        <f t="shared" si="3"/>
        <v>5</v>
      </c>
      <c r="K4049" s="1" t="str">
        <f t="shared" si="4"/>
        <v>Tus Lentes estan LISTAS PARA ENTREGAR, te esperamos.</v>
      </c>
    </row>
    <row r="4050">
      <c r="A4050" s="1">
        <f>IFERROR(__xludf.DUMMYFUNCTION("""COMPUTED_VALUE"""),88614.0)</f>
        <v>88614</v>
      </c>
      <c r="B4050" s="5">
        <f>IFERROR(__xludf.DUMMYFUNCTION("""COMPUTED_VALUE"""),45012.397432199075)</f>
        <v>45012.39743</v>
      </c>
      <c r="C4050" s="1" t="str">
        <f>IFERROR(__xludf.DUMMYFUNCTION("""COMPUTED_VALUE"""),"GUARDIA FRANCISCO")</f>
        <v>GUARDIA FRANCISCO</v>
      </c>
      <c r="D4050" s="1" t="str">
        <f>IFERROR(__xludf.DUMMYFUNCTION("""COMPUTED_VALUE"""),"Lentes de STOCK")</f>
        <v>Lentes de STOCK</v>
      </c>
      <c r="E4050" s="1" t="str">
        <f>IFERROR(__xludf.DUMMYFUNCTION("""COMPUTED_VALUE"""),"ARTIGAS Ivana P.")</f>
        <v>ARTIGAS Ivana P.</v>
      </c>
      <c r="F4050" s="1" t="str">
        <f t="shared" si="1"/>
        <v>ARTIGAS </v>
      </c>
      <c r="G4050" s="1" t="str">
        <f t="shared" si="2"/>
        <v>Ivana P.</v>
      </c>
      <c r="H4050" s="1" t="str">
        <f>IFERROR(__xludf.DUMMYFUNCTION("""COMPUTED_VALUE"""),"30/3/2023, 17:00:00")</f>
        <v>30/3/2023, 17:00:00</v>
      </c>
      <c r="I4050" s="1" t="str">
        <f>IFERROR(__xludf.DUMMYFUNCTION("""COMPUTED_VALUE"""),"RETIRADO OK POR CLIENTE")</f>
        <v>RETIRADO OK POR CLIENTE</v>
      </c>
      <c r="J4050" s="1">
        <f t="shared" si="3"/>
        <v>6</v>
      </c>
      <c r="K4050" s="1" t="str">
        <f t="shared" si="4"/>
        <v>Entregamos tus lentes, que los disfrutes!</v>
      </c>
    </row>
    <row r="4051">
      <c r="A4051" s="1">
        <f>IFERROR(__xludf.DUMMYFUNCTION("""COMPUTED_VALUE"""),88615.0)</f>
        <v>88615</v>
      </c>
      <c r="B4051" s="5">
        <f>IFERROR(__xludf.DUMMYFUNCTION("""COMPUTED_VALUE"""),45012.40554291666)</f>
        <v>45012.40554</v>
      </c>
      <c r="C4051" s="1" t="str">
        <f>IFERROR(__xludf.DUMMYFUNCTION("""COMPUTED_VALUE"""),"ABALOS CARLOS MARIA")</f>
        <v>ABALOS CARLOS MARIA</v>
      </c>
      <c r="D4051" s="1" t="str">
        <f>IFERROR(__xludf.DUMMYFUNCTION("""COMPUTED_VALUE"""),"Lentes de STOCK")</f>
        <v>Lentes de STOCK</v>
      </c>
      <c r="E4051" s="1" t="str">
        <f>IFERROR(__xludf.DUMMYFUNCTION("""COMPUTED_VALUE"""),"ARTIGAS Roció")</f>
        <v>ARTIGAS Roció</v>
      </c>
      <c r="F4051" s="1" t="str">
        <f t="shared" si="1"/>
        <v>ARTIGAS </v>
      </c>
      <c r="G4051" s="1" t="str">
        <f t="shared" si="2"/>
        <v>Roció</v>
      </c>
      <c r="H4051" s="1" t="str">
        <f>IFERROR(__xludf.DUMMYFUNCTION("""COMPUTED_VALUE"""),"4/4/2023, 17:00:00")</f>
        <v>4/4/2023, 17:00:00</v>
      </c>
      <c r="I4051" s="1" t="str">
        <f>IFERROR(__xludf.DUMMYFUNCTION("""COMPUTED_VALUE"""),"RETIRADO OK POR CLIENTE")</f>
        <v>RETIRADO OK POR CLIENTE</v>
      </c>
      <c r="J4051" s="1">
        <f t="shared" si="3"/>
        <v>6</v>
      </c>
      <c r="K4051" s="1" t="str">
        <f t="shared" si="4"/>
        <v>Entregamos tus lentes, que los disfrutes!</v>
      </c>
    </row>
    <row r="4052">
      <c r="A4052" s="1">
        <f>IFERROR(__xludf.DUMMYFUNCTION("""COMPUTED_VALUE"""),88616.0)</f>
        <v>88616</v>
      </c>
      <c r="B4052" s="5">
        <f>IFERROR(__xludf.DUMMYFUNCTION("""COMPUTED_VALUE"""),45012.40560070601)</f>
        <v>45012.4056</v>
      </c>
      <c r="C4052" s="1" t="str">
        <f>IFERROR(__xludf.DUMMYFUNCTION("""COMPUTED_VALUE"""),"AGUERO SASHA JAZMIN AZUL (PROGRAMA MEDICINA DEL INTERIOR GOB)")</f>
        <v>AGUERO SASHA JAZMIN AZUL (PROGRAMA MEDICINA DEL INTERIOR GOB)</v>
      </c>
      <c r="D4052" s="1" t="str">
        <f>IFERROR(__xludf.DUMMYFUNCTION("""COMPUTED_VALUE"""),"Lentes de LABORATORIO")</f>
        <v>Lentes de LABORATORIO</v>
      </c>
      <c r="E4052" s="1" t="str">
        <f>IFERROR(__xludf.DUMMYFUNCTION("""COMPUTED_VALUE"""),"Online ADMIN.")</f>
        <v>Online ADMIN.</v>
      </c>
      <c r="F4052" s="1" t="str">
        <f t="shared" si="1"/>
        <v>Online </v>
      </c>
      <c r="G4052" s="1" t="str">
        <f t="shared" si="2"/>
        <v>ADMIN.</v>
      </c>
      <c r="H4052" s="1" t="str">
        <f>IFERROR(__xludf.DUMMYFUNCTION("""COMPUTED_VALUE"""),"3/4/2023, 17:00:00")</f>
        <v>3/4/2023, 17:00:00</v>
      </c>
      <c r="I4052" s="1" t="str">
        <f>IFERROR(__xludf.DUMMYFUNCTION("""COMPUTED_VALUE"""),"Completado en SUCURSAL")</f>
        <v>Completado en SUCURSAL</v>
      </c>
      <c r="J4052" s="1">
        <f t="shared" si="3"/>
        <v>5</v>
      </c>
      <c r="K4052" s="1" t="str">
        <f t="shared" si="4"/>
        <v>Tus Lentes estan LISTAS PARA ENTREGAR, te esperamos.</v>
      </c>
    </row>
    <row r="4053">
      <c r="A4053" s="1">
        <f>IFERROR(__xludf.DUMMYFUNCTION("""COMPUTED_VALUE"""),88617.0)</f>
        <v>88617</v>
      </c>
      <c r="B4053" s="5">
        <f>IFERROR(__xludf.DUMMYFUNCTION("""COMPUTED_VALUE"""),45012.4086744213)</f>
        <v>45012.40867</v>
      </c>
      <c r="C4053" s="1" t="str">
        <f>IFERROR(__xludf.DUMMYFUNCTION("""COMPUTED_VALUE"""),"BAZQUES ESTHER HERMINIA")</f>
        <v>BAZQUES ESTHER HERMINIA</v>
      </c>
      <c r="D4053" s="1" t="str">
        <f>IFERROR(__xludf.DUMMYFUNCTION("""COMPUTED_VALUE"""),"Lentes de STOCK")</f>
        <v>Lentes de STOCK</v>
      </c>
      <c r="E4053" s="1" t="str">
        <f>IFERROR(__xludf.DUMMYFUNCTION("""COMPUTED_VALUE"""),"RIVADAVIA Marcela L")</f>
        <v>RIVADAVIA Marcela L</v>
      </c>
      <c r="F4053" s="1" t="str">
        <f t="shared" si="1"/>
        <v>RIVADAVIA </v>
      </c>
      <c r="G4053" s="1" t="str">
        <f t="shared" si="2"/>
        <v>Marcela L</v>
      </c>
      <c r="H4053" s="1" t="str">
        <f>IFERROR(__xludf.DUMMYFUNCTION("""COMPUTED_VALUE"""),"30/3/2023, 17:00:00")</f>
        <v>30/3/2023, 17:00:00</v>
      </c>
      <c r="I4053" s="1" t="str">
        <f>IFERROR(__xludf.DUMMYFUNCTION("""COMPUTED_VALUE"""),"RETIRADO OK POR CLIENTE")</f>
        <v>RETIRADO OK POR CLIENTE</v>
      </c>
      <c r="J4053" s="1">
        <f t="shared" si="3"/>
        <v>6</v>
      </c>
      <c r="K4053" s="1" t="str">
        <f t="shared" si="4"/>
        <v>Entregamos tus lentes, que los disfrutes!</v>
      </c>
    </row>
    <row r="4054">
      <c r="A4054" s="1">
        <f>IFERROR(__xludf.DUMMYFUNCTION("""COMPUTED_VALUE"""),88618.0)</f>
        <v>88618</v>
      </c>
      <c r="B4054" s="5">
        <f>IFERROR(__xludf.DUMMYFUNCTION("""COMPUTED_VALUE"""),45012.4103196875)</f>
        <v>45012.41032</v>
      </c>
      <c r="C4054" s="1" t="str">
        <f>IFERROR(__xludf.DUMMYFUNCTION("""COMPUTED_VALUE"""),"ZARATE OLGA")</f>
        <v>ZARATE OLGA</v>
      </c>
      <c r="D4054" s="1" t="str">
        <f>IFERROR(__xludf.DUMMYFUNCTION("""COMPUTED_VALUE"""),"Lentes de STOCK")</f>
        <v>Lentes de STOCK</v>
      </c>
      <c r="E4054" s="1" t="str">
        <f>IFERROR(__xludf.DUMMYFUNCTION("""COMPUTED_VALUE"""),"ARTIGAS Ivana P.")</f>
        <v>ARTIGAS Ivana P.</v>
      </c>
      <c r="F4054" s="1" t="str">
        <f t="shared" si="1"/>
        <v>ARTIGAS </v>
      </c>
      <c r="G4054" s="1" t="str">
        <f t="shared" si="2"/>
        <v>Ivana P.</v>
      </c>
      <c r="H4054" s="1" t="str">
        <f>IFERROR(__xludf.DUMMYFUNCTION("""COMPUTED_VALUE"""),"30/3/2023, 17:00:00")</f>
        <v>30/3/2023, 17:00:00</v>
      </c>
      <c r="I4054" s="1" t="str">
        <f>IFERROR(__xludf.DUMMYFUNCTION("""COMPUTED_VALUE"""),"RETIRADO OK POR CLIENTE")</f>
        <v>RETIRADO OK POR CLIENTE</v>
      </c>
      <c r="J4054" s="1">
        <f t="shared" si="3"/>
        <v>6</v>
      </c>
      <c r="K4054" s="1" t="str">
        <f t="shared" si="4"/>
        <v>Entregamos tus lentes, que los disfrutes!</v>
      </c>
    </row>
    <row r="4055">
      <c r="A4055" s="1">
        <f>IFERROR(__xludf.DUMMYFUNCTION("""COMPUTED_VALUE"""),88619.0)</f>
        <v>88619</v>
      </c>
      <c r="B4055" s="5">
        <f>IFERROR(__xludf.DUMMYFUNCTION("""COMPUTED_VALUE"""),45012.41289289352)</f>
        <v>45012.41289</v>
      </c>
      <c r="C4055" s="1" t="str">
        <f>IFERROR(__xludf.DUMMYFUNCTION("""COMPUTED_VALUE"""),"OROS GERMAN ")</f>
        <v>OROS GERMAN </v>
      </c>
      <c r="D4055" s="1" t="str">
        <f>IFERROR(__xludf.DUMMYFUNCTION("""COMPUTED_VALUE"""),"Lentes de LABORATORIO")</f>
        <v>Lentes de LABORATORIO</v>
      </c>
      <c r="E4055" s="1" t="str">
        <f>IFERROR(__xludf.DUMMYFUNCTION("""COMPUTED_VALUE"""),"RIVADAVIA Luciana")</f>
        <v>RIVADAVIA Luciana</v>
      </c>
      <c r="F4055" s="1" t="str">
        <f t="shared" si="1"/>
        <v>RIVADAVIA </v>
      </c>
      <c r="G4055" s="1" t="str">
        <f t="shared" si="2"/>
        <v>Luciana</v>
      </c>
      <c r="H4055" s="1" t="str">
        <f>IFERROR(__xludf.DUMMYFUNCTION("""COMPUTED_VALUE"""),"14/4/2023, 17:00:00")</f>
        <v>14/4/2023, 17:00:00</v>
      </c>
      <c r="I4055" s="1" t="str">
        <f>IFERROR(__xludf.DUMMYFUNCTION("""COMPUTED_VALUE"""),"Completado en SUCURSAL")</f>
        <v>Completado en SUCURSAL</v>
      </c>
      <c r="J4055" s="1">
        <f t="shared" si="3"/>
        <v>5</v>
      </c>
      <c r="K4055" s="1" t="str">
        <f t="shared" si="4"/>
        <v>Tus Lentes estan LISTAS PARA ENTREGAR, te esperamos.</v>
      </c>
    </row>
    <row r="4056">
      <c r="A4056" s="1">
        <f>IFERROR(__xludf.DUMMYFUNCTION("""COMPUTED_VALUE"""),88620.0)</f>
        <v>88620</v>
      </c>
      <c r="B4056" s="5">
        <f>IFERROR(__xludf.DUMMYFUNCTION("""COMPUTED_VALUE"""),45012.41474679398)</f>
        <v>45012.41475</v>
      </c>
      <c r="C4056" s="1" t="str">
        <f>IFERROR(__xludf.DUMMYFUNCTION("""COMPUTED_VALUE"""),"ILLANES PATRICIA ALEJANDRA")</f>
        <v>ILLANES PATRICIA ALEJANDRA</v>
      </c>
      <c r="D4056" s="1" t="str">
        <f>IFERROR(__xludf.DUMMYFUNCTION("""COMPUTED_VALUE"""),"Lentes de STOCK")</f>
        <v>Lentes de STOCK</v>
      </c>
      <c r="E4056" s="1" t="str">
        <f>IFERROR(__xludf.DUMMYFUNCTION("""COMPUTED_VALUE"""),"RIVADAVIA Santiago LOPEZ")</f>
        <v>RIVADAVIA Santiago LOPEZ</v>
      </c>
      <c r="F4056" s="1" t="str">
        <f t="shared" si="1"/>
        <v>RIVADAVIA </v>
      </c>
      <c r="G4056" s="1" t="str">
        <f t="shared" si="2"/>
        <v>Santiago LOPEZ</v>
      </c>
      <c r="H4056" s="1" t="str">
        <f>IFERROR(__xludf.DUMMYFUNCTION("""COMPUTED_VALUE"""),"29/3/2023, 17:00:00")</f>
        <v>29/3/2023, 17:00:00</v>
      </c>
      <c r="I4056" s="1" t="str">
        <f>IFERROR(__xludf.DUMMYFUNCTION("""COMPUTED_VALUE"""),"RETIRADO OK POR CLIENTE")</f>
        <v>RETIRADO OK POR CLIENTE</v>
      </c>
      <c r="J4056" s="1">
        <f t="shared" si="3"/>
        <v>6</v>
      </c>
      <c r="K4056" s="1" t="str">
        <f t="shared" si="4"/>
        <v>Entregamos tus lentes, que los disfrutes!</v>
      </c>
    </row>
    <row r="4057">
      <c r="A4057" s="1">
        <f>IFERROR(__xludf.DUMMYFUNCTION("""COMPUTED_VALUE"""),88621.0)</f>
        <v>88621</v>
      </c>
      <c r="B4057" s="5">
        <f>IFERROR(__xludf.DUMMYFUNCTION("""COMPUTED_VALUE"""),45012.41882746528)</f>
        <v>45012.41883</v>
      </c>
      <c r="C4057" s="1" t="str">
        <f>IFERROR(__xludf.DUMMYFUNCTION("""COMPUTED_VALUE"""),"CALDERON JOSEFA BENERANDA")</f>
        <v>CALDERON JOSEFA BENERANDA</v>
      </c>
      <c r="D4057" s="1" t="str">
        <f>IFERROR(__xludf.DUMMYFUNCTION("""COMPUTED_VALUE"""),"Lentes BIFOCALES")</f>
        <v>Lentes BIFOCALES</v>
      </c>
      <c r="E4057" s="1" t="str">
        <f>IFERROR(__xludf.DUMMYFUNCTION("""COMPUTED_VALUE"""),"RIVADAVIA Christian C.")</f>
        <v>RIVADAVIA Christian C.</v>
      </c>
      <c r="F4057" s="1" t="str">
        <f t="shared" si="1"/>
        <v>RIVADAVIA </v>
      </c>
      <c r="G4057" s="1" t="str">
        <f t="shared" si="2"/>
        <v>Christian C.</v>
      </c>
      <c r="H4057" s="1" t="str">
        <f>IFERROR(__xludf.DUMMYFUNCTION("""COMPUTED_VALUE"""),"3/4/2023, 17:00:00")</f>
        <v>3/4/2023, 17:00:00</v>
      </c>
      <c r="I4057" s="1" t="str">
        <f>IFERROR(__xludf.DUMMYFUNCTION("""COMPUTED_VALUE"""),"RETIRADO OK POR CLIENTE")</f>
        <v>RETIRADO OK POR CLIENTE</v>
      </c>
      <c r="J4057" s="1">
        <f t="shared" si="3"/>
        <v>6</v>
      </c>
      <c r="K4057" s="1" t="str">
        <f t="shared" si="4"/>
        <v>Entregamos tus lentes, que los disfrutes!</v>
      </c>
    </row>
    <row r="4058">
      <c r="A4058" s="1">
        <f>IFERROR(__xludf.DUMMYFUNCTION("""COMPUTED_VALUE"""),88622.0)</f>
        <v>88622</v>
      </c>
      <c r="B4058" s="5">
        <f>IFERROR(__xludf.DUMMYFUNCTION("""COMPUTED_VALUE"""),45012.41985547454)</f>
        <v>45012.41986</v>
      </c>
      <c r="C4058" s="1" t="str">
        <f>IFERROR(__xludf.DUMMYFUNCTION("""COMPUTED_VALUE"""),"MORAYO VERONICA ")</f>
        <v>MORAYO VERONICA </v>
      </c>
      <c r="D4058" s="1" t="str">
        <f>IFERROR(__xludf.DUMMYFUNCTION("""COMPUTED_VALUE"""),"Lentes de STOCK")</f>
        <v>Lentes de STOCK</v>
      </c>
      <c r="E4058" s="1" t="str">
        <f>IFERROR(__xludf.DUMMYFUNCTION("""COMPUTED_VALUE"""),"RIVADAVIA Luciana")</f>
        <v>RIVADAVIA Luciana</v>
      </c>
      <c r="F4058" s="1" t="str">
        <f t="shared" si="1"/>
        <v>RIVADAVIA </v>
      </c>
      <c r="G4058" s="1" t="str">
        <f t="shared" si="2"/>
        <v>Luciana</v>
      </c>
      <c r="H4058" s="1" t="str">
        <f>IFERROR(__xludf.DUMMYFUNCTION("""COMPUTED_VALUE"""),"31/3/2023, 17:00:00")</f>
        <v>31/3/2023, 17:00:00</v>
      </c>
      <c r="I4058" s="1" t="str">
        <f>IFERROR(__xludf.DUMMYFUNCTION("""COMPUTED_VALUE"""),"RETIRADO OK POR CLIENTE")</f>
        <v>RETIRADO OK POR CLIENTE</v>
      </c>
      <c r="J4058" s="1">
        <f t="shared" si="3"/>
        <v>6</v>
      </c>
      <c r="K4058" s="1" t="str">
        <f t="shared" si="4"/>
        <v>Entregamos tus lentes, que los disfrutes!</v>
      </c>
    </row>
    <row r="4059">
      <c r="A4059" s="1">
        <f>IFERROR(__xludf.DUMMYFUNCTION("""COMPUTED_VALUE"""),88623.0)</f>
        <v>88623</v>
      </c>
      <c r="B4059" s="5">
        <f>IFERROR(__xludf.DUMMYFUNCTION("""COMPUTED_VALUE"""),45012.42011364583)</f>
        <v>45012.42011</v>
      </c>
      <c r="C4059" s="1" t="str">
        <f>IFERROR(__xludf.DUMMYFUNCTION("""COMPUTED_VALUE"""),"ESCUDERO JUANA ANTONIA")</f>
        <v>ESCUDERO JUANA ANTONIA</v>
      </c>
      <c r="D4059" s="1" t="str">
        <f>IFERROR(__xludf.DUMMYFUNCTION("""COMPUTED_VALUE"""),"Lentes de STOCK")</f>
        <v>Lentes de STOCK</v>
      </c>
      <c r="E4059" s="1" t="str">
        <f>IFERROR(__xludf.DUMMYFUNCTION("""COMPUTED_VALUE"""),"RIVADAVIA Marcela L")</f>
        <v>RIVADAVIA Marcela L</v>
      </c>
      <c r="F4059" s="1" t="str">
        <f t="shared" si="1"/>
        <v>RIVADAVIA </v>
      </c>
      <c r="G4059" s="1" t="str">
        <f t="shared" si="2"/>
        <v>Marcela L</v>
      </c>
      <c r="H4059" s="1" t="str">
        <f>IFERROR(__xludf.DUMMYFUNCTION("""COMPUTED_VALUE"""),"31/3/2023, 17:00:00")</f>
        <v>31/3/2023, 17:00:00</v>
      </c>
      <c r="I4059" s="1" t="str">
        <f>IFERROR(__xludf.DUMMYFUNCTION("""COMPUTED_VALUE"""),"Completado en SUCURSAL")</f>
        <v>Completado en SUCURSAL</v>
      </c>
      <c r="J4059" s="1">
        <f t="shared" si="3"/>
        <v>5</v>
      </c>
      <c r="K4059" s="1" t="str">
        <f t="shared" si="4"/>
        <v>Tus Lentes estan LISTAS PARA ENTREGAR, te esperamos.</v>
      </c>
    </row>
    <row r="4060">
      <c r="A4060" s="1">
        <f>IFERROR(__xludf.DUMMYFUNCTION("""COMPUTED_VALUE"""),88624.0)</f>
        <v>88624</v>
      </c>
      <c r="B4060" s="5">
        <f>IFERROR(__xludf.DUMMYFUNCTION("""COMPUTED_VALUE"""),45012.42337766204)</f>
        <v>45012.42338</v>
      </c>
      <c r="C4060" s="1" t="str">
        <f>IFERROR(__xludf.DUMMYFUNCTION("""COMPUTED_VALUE"""),"CALDERON LUCIA")</f>
        <v>CALDERON LUCIA</v>
      </c>
      <c r="D4060" s="1" t="str">
        <f>IFERROR(__xludf.DUMMYFUNCTION("""COMPUTED_VALUE"""),"Reparaciones/Otros")</f>
        <v>Reparaciones/Otros</v>
      </c>
      <c r="E4060" s="1" t="str">
        <f>IFERROR(__xludf.DUMMYFUNCTION("""COMPUTED_VALUE"""),"RIVADAVIA Santiago N")</f>
        <v>RIVADAVIA Santiago N</v>
      </c>
      <c r="F4060" s="1" t="str">
        <f t="shared" si="1"/>
        <v>RIVADAVIA </v>
      </c>
      <c r="G4060" s="1" t="str">
        <f t="shared" si="2"/>
        <v>Santiago N</v>
      </c>
      <c r="H4060" s="1" t="str">
        <f>IFERROR(__xludf.DUMMYFUNCTION("""COMPUTED_VALUE"""),"28/3/2023, 17:00:00")</f>
        <v>28/3/2023, 17:00:00</v>
      </c>
      <c r="I4060" s="1" t="str">
        <f>IFERROR(__xludf.DUMMYFUNCTION("""COMPUTED_VALUE"""),"Recibido en Laboratorio")</f>
        <v>Recibido en Laboratorio</v>
      </c>
      <c r="J4060" s="1">
        <f t="shared" si="3"/>
        <v>2</v>
      </c>
      <c r="K4060" s="1" t="str">
        <f t="shared" si="4"/>
        <v>Nuestro Laboratorio esta trabajando en tus lentes, los entregaremos en la fecha acordada.</v>
      </c>
    </row>
    <row r="4061">
      <c r="A4061" s="1">
        <f>IFERROR(__xludf.DUMMYFUNCTION("""COMPUTED_VALUE"""),88625.0)</f>
        <v>88625</v>
      </c>
      <c r="B4061" s="5">
        <f>IFERROR(__xludf.DUMMYFUNCTION("""COMPUTED_VALUE"""),45012.42472733796)</f>
        <v>45012.42473</v>
      </c>
      <c r="C4061" s="1" t="str">
        <f>IFERROR(__xludf.DUMMYFUNCTION("""COMPUTED_VALUE"""),"SCAREL VALERIO")</f>
        <v>SCAREL VALERIO</v>
      </c>
      <c r="D4061" s="1" t="str">
        <f>IFERROR(__xludf.DUMMYFUNCTION("""COMPUTED_VALUE"""),"Lentes BIFOCALES")</f>
        <v>Lentes BIFOCALES</v>
      </c>
      <c r="E4061" s="1" t="str">
        <f>IFERROR(__xludf.DUMMYFUNCTION("""COMPUTED_VALUE"""),"ARTIGAS Roció")</f>
        <v>ARTIGAS Roció</v>
      </c>
      <c r="F4061" s="1" t="str">
        <f t="shared" si="1"/>
        <v>ARTIGAS </v>
      </c>
      <c r="G4061" s="1" t="str">
        <f t="shared" si="2"/>
        <v>Roció</v>
      </c>
      <c r="H4061" s="1" t="str">
        <f>IFERROR(__xludf.DUMMYFUNCTION("""COMPUTED_VALUE"""),"4/4/2023, 17:00:00")</f>
        <v>4/4/2023, 17:00:00</v>
      </c>
      <c r="I4061" s="1" t="str">
        <f>IFERROR(__xludf.DUMMYFUNCTION("""COMPUTED_VALUE"""),"RETIRADO OK POR CLIENTE")</f>
        <v>RETIRADO OK POR CLIENTE</v>
      </c>
      <c r="J4061" s="1">
        <f t="shared" si="3"/>
        <v>6</v>
      </c>
      <c r="K4061" s="1" t="str">
        <f t="shared" si="4"/>
        <v>Entregamos tus lentes, que los disfrutes!</v>
      </c>
    </row>
    <row r="4062">
      <c r="A4062" s="1">
        <f>IFERROR(__xludf.DUMMYFUNCTION("""COMPUTED_VALUE"""),88626.0)</f>
        <v>88626</v>
      </c>
      <c r="B4062" s="5">
        <f>IFERROR(__xludf.DUMMYFUNCTION("""COMPUTED_VALUE"""),45012.4298416088)</f>
        <v>45012.42984</v>
      </c>
      <c r="C4062" s="1" t="str">
        <f>IFERROR(__xludf.DUMMYFUNCTION("""COMPUTED_VALUE"""),"LUCERO DANIELA ANAHI")</f>
        <v>LUCERO DANIELA ANAHI</v>
      </c>
      <c r="D4062" s="1" t="str">
        <f>IFERROR(__xludf.DUMMYFUNCTION("""COMPUTED_VALUE"""),"Lentes de STOCK")</f>
        <v>Lentes de STOCK</v>
      </c>
      <c r="E4062" s="1" t="str">
        <f>IFERROR(__xludf.DUMMYFUNCTION("""COMPUTED_VALUE"""),"ARTIGAS Roció")</f>
        <v>ARTIGAS Roció</v>
      </c>
      <c r="F4062" s="1" t="str">
        <f t="shared" si="1"/>
        <v>ARTIGAS </v>
      </c>
      <c r="G4062" s="1" t="str">
        <f t="shared" si="2"/>
        <v>Roció</v>
      </c>
      <c r="H4062" s="1" t="str">
        <f>IFERROR(__xludf.DUMMYFUNCTION("""COMPUTED_VALUE"""),"4/4/2023, 17:00:00")</f>
        <v>4/4/2023, 17:00:00</v>
      </c>
      <c r="I4062" s="1" t="str">
        <f>IFERROR(__xludf.DUMMYFUNCTION("""COMPUTED_VALUE"""),"RETIRADO OK POR CLIENTE")</f>
        <v>RETIRADO OK POR CLIENTE</v>
      </c>
      <c r="J4062" s="1">
        <f t="shared" si="3"/>
        <v>6</v>
      </c>
      <c r="K4062" s="1" t="str">
        <f t="shared" si="4"/>
        <v>Entregamos tus lentes, que los disfrutes!</v>
      </c>
    </row>
    <row r="4063">
      <c r="A4063" s="1">
        <f>IFERROR(__xludf.DUMMYFUNCTION("""COMPUTED_VALUE"""),88627.0)</f>
        <v>88627</v>
      </c>
      <c r="B4063" s="5">
        <f>IFERROR(__xludf.DUMMYFUNCTION("""COMPUTED_VALUE"""),45012.429981747686)</f>
        <v>45012.42998</v>
      </c>
      <c r="C4063" s="1" t="str">
        <f>IFERROR(__xludf.DUMMYFUNCTION("""COMPUTED_VALUE"""),"rivero alberto")</f>
        <v>rivero alberto</v>
      </c>
      <c r="D4063" s="1" t="str">
        <f>IFERROR(__xludf.DUMMYFUNCTION("""COMPUTED_VALUE"""),"Lentes de STOCK")</f>
        <v>Lentes de STOCK</v>
      </c>
      <c r="E4063" s="1" t="str">
        <f>IFERROR(__xludf.DUMMYFUNCTION("""COMPUTED_VALUE"""),"RIVADAVIA Santiago N")</f>
        <v>RIVADAVIA Santiago N</v>
      </c>
      <c r="F4063" s="1" t="str">
        <f t="shared" si="1"/>
        <v>RIVADAVIA </v>
      </c>
      <c r="G4063" s="1" t="str">
        <f t="shared" si="2"/>
        <v>Santiago N</v>
      </c>
      <c r="H4063" s="1" t="str">
        <f>IFERROR(__xludf.DUMMYFUNCTION("""COMPUTED_VALUE"""),"29/3/2023, 17:00:00")</f>
        <v>29/3/2023, 17:00:00</v>
      </c>
      <c r="I4063" s="1" t="str">
        <f>IFERROR(__xludf.DUMMYFUNCTION("""COMPUTED_VALUE"""),"RETIRADO OK POR CLIENTE")</f>
        <v>RETIRADO OK POR CLIENTE</v>
      </c>
      <c r="J4063" s="1">
        <f t="shared" si="3"/>
        <v>6</v>
      </c>
      <c r="K4063" s="1" t="str">
        <f t="shared" si="4"/>
        <v>Entregamos tus lentes, que los disfrutes!</v>
      </c>
    </row>
    <row r="4064">
      <c r="A4064" s="1">
        <f>IFERROR(__xludf.DUMMYFUNCTION("""COMPUTED_VALUE"""),88628.0)</f>
        <v>88628</v>
      </c>
      <c r="B4064" s="5">
        <f>IFERROR(__xludf.DUMMYFUNCTION("""COMPUTED_VALUE"""),45012.43130401621)</f>
        <v>45012.4313</v>
      </c>
      <c r="C4064" s="1" t="str">
        <f>IFERROR(__xludf.DUMMYFUNCTION("""COMPUTED_VALUE"""),"CASTRO ROSARIO")</f>
        <v>CASTRO ROSARIO</v>
      </c>
      <c r="D4064" s="1" t="str">
        <f>IFERROR(__xludf.DUMMYFUNCTION("""COMPUTED_VALUE"""),"Reparaciones/Otros")</f>
        <v>Reparaciones/Otros</v>
      </c>
      <c r="E4064" s="1" t="str">
        <f>IFERROR(__xludf.DUMMYFUNCTION("""COMPUTED_VALUE"""),"ARTIGAS Ivana P.")</f>
        <v>ARTIGAS Ivana P.</v>
      </c>
      <c r="F4064" s="1" t="str">
        <f t="shared" si="1"/>
        <v>ARTIGAS </v>
      </c>
      <c r="G4064" s="1" t="str">
        <f t="shared" si="2"/>
        <v>Ivana P.</v>
      </c>
      <c r="H4064" s="1" t="str">
        <f>IFERROR(__xludf.DUMMYFUNCTION("""COMPUTED_VALUE"""),"28/3/2023, 17:00:00")</f>
        <v>28/3/2023, 17:00:00</v>
      </c>
      <c r="I4064" s="1" t="str">
        <f>IFERROR(__xludf.DUMMYFUNCTION("""COMPUTED_VALUE"""),"Completado en SUCURSAL")</f>
        <v>Completado en SUCURSAL</v>
      </c>
      <c r="J4064" s="1">
        <f t="shared" si="3"/>
        <v>5</v>
      </c>
      <c r="K4064" s="1" t="str">
        <f t="shared" si="4"/>
        <v>Tus Lentes estan LISTAS PARA ENTREGAR, te esperamos.</v>
      </c>
    </row>
    <row r="4065">
      <c r="A4065" s="1">
        <f>IFERROR(__xludf.DUMMYFUNCTION("""COMPUTED_VALUE"""),88629.0)</f>
        <v>88629</v>
      </c>
      <c r="B4065" s="5">
        <f>IFERROR(__xludf.DUMMYFUNCTION("""COMPUTED_VALUE"""),45012.44000243055)</f>
        <v>45012.44</v>
      </c>
      <c r="C4065" s="1" t="str">
        <f>IFERROR(__xludf.DUMMYFUNCTION("""COMPUTED_VALUE"""),"Moyano Olga")</f>
        <v>Moyano Olga</v>
      </c>
      <c r="D4065" s="1" t="str">
        <f>IFERROR(__xludf.DUMMYFUNCTION("""COMPUTED_VALUE"""),"Reparaciones/Otros")</f>
        <v>Reparaciones/Otros</v>
      </c>
      <c r="E4065" s="1" t="str">
        <f>IFERROR(__xludf.DUMMYFUNCTION("""COMPUTED_VALUE"""),"ARTIGAS Sandra G")</f>
        <v>ARTIGAS Sandra G</v>
      </c>
      <c r="F4065" s="1" t="str">
        <f t="shared" si="1"/>
        <v>ARTIGAS </v>
      </c>
      <c r="G4065" s="1" t="str">
        <f t="shared" si="2"/>
        <v>Sandra G</v>
      </c>
      <c r="H4065" s="1" t="str">
        <f>IFERROR(__xludf.DUMMYFUNCTION("""COMPUTED_VALUE"""),"28/3/2023, 17:00:00")</f>
        <v>28/3/2023, 17:00:00</v>
      </c>
      <c r="I4065" s="1" t="str">
        <f>IFERROR(__xludf.DUMMYFUNCTION("""COMPUTED_VALUE"""),"Completado en SUCURSAL")</f>
        <v>Completado en SUCURSAL</v>
      </c>
      <c r="J4065" s="1">
        <f t="shared" si="3"/>
        <v>5</v>
      </c>
      <c r="K4065" s="1" t="str">
        <f t="shared" si="4"/>
        <v>Tus Lentes estan LISTAS PARA ENTREGAR, te esperamos.</v>
      </c>
    </row>
    <row r="4066" hidden="1">
      <c r="A4066" s="1">
        <f>IFERROR(__xludf.DUMMYFUNCTION("""COMPUTED_VALUE"""),88630.0)</f>
        <v>88630</v>
      </c>
      <c r="B4066" s="5">
        <f>IFERROR(__xludf.DUMMYFUNCTION("""COMPUTED_VALUE"""),45012.449813680556)</f>
        <v>45012.44981</v>
      </c>
      <c r="C4066" s="1" t="str">
        <f>IFERROR(__xludf.DUMMYFUNCTION("""COMPUTED_VALUE"""),"SANCHEZ IRIS")</f>
        <v>SANCHEZ IRIS</v>
      </c>
      <c r="D4066" s="1" t="str">
        <f>IFERROR(__xludf.DUMMYFUNCTION("""COMPUTED_VALUE"""),"Lentes MULTIFOCALES")</f>
        <v>Lentes MULTIFOCALES</v>
      </c>
      <c r="E4066" s="1" t="str">
        <f>IFERROR(__xludf.DUMMYFUNCTION("""COMPUTED_VALUE"""),"RIVADAVIA Santiago LOPEZ")</f>
        <v>RIVADAVIA Santiago LOPEZ</v>
      </c>
      <c r="F4066" s="1" t="str">
        <f t="shared" si="1"/>
        <v>RIVADAVIA </v>
      </c>
      <c r="G4066" s="1" t="str">
        <f t="shared" si="2"/>
        <v>Santiago LOPEZ</v>
      </c>
      <c r="H4066" s="1" t="str">
        <f>IFERROR(__xludf.DUMMYFUNCTION("""COMPUTED_VALUE"""),"12/4/2023, 17:00:00")</f>
        <v>12/4/2023, 17:00:00</v>
      </c>
      <c r="I4066" s="1" t="str">
        <f>IFERROR(__xludf.DUMMYFUNCTION("""COMPUTED_VALUE"""),"DEMORADO")</f>
        <v>DEMORADO</v>
      </c>
      <c r="J4066" s="1" t="str">
        <f t="shared" si="3"/>
        <v/>
      </c>
      <c r="K4066" s="1" t="str">
        <f t="shared" si="4"/>
        <v>Tuvimos una demora con tus lentes y no podremos entregarlo en las fecha acordada, estamos trabajando para terminarlos cuanto antes, te mantendremos al tanto, si es necesario contactanos via whatsapp.</v>
      </c>
    </row>
    <row r="4067">
      <c r="A4067" s="1">
        <f>IFERROR(__xludf.DUMMYFUNCTION("""COMPUTED_VALUE"""),88631.0)</f>
        <v>88631</v>
      </c>
      <c r="B4067" s="5">
        <f>IFERROR(__xludf.DUMMYFUNCTION("""COMPUTED_VALUE"""),45012.45435635417)</f>
        <v>45012.45436</v>
      </c>
      <c r="C4067" s="1" t="str">
        <f>IFERROR(__xludf.DUMMYFUNCTION("""COMPUTED_VALUE"""),"rivero felipe")</f>
        <v>rivero felipe</v>
      </c>
      <c r="D4067" s="1" t="str">
        <f>IFERROR(__xludf.DUMMYFUNCTION("""COMPUTED_VALUE"""),"Lentes de STOCK")</f>
        <v>Lentes de STOCK</v>
      </c>
      <c r="E4067" s="1" t="str">
        <f>IFERROR(__xludf.DUMMYFUNCTION("""COMPUTED_VALUE"""),"RIVADAVIA Santiago N")</f>
        <v>RIVADAVIA Santiago N</v>
      </c>
      <c r="F4067" s="1" t="str">
        <f t="shared" si="1"/>
        <v>RIVADAVIA </v>
      </c>
      <c r="G4067" s="1" t="str">
        <f t="shared" si="2"/>
        <v>Santiago N</v>
      </c>
      <c r="H4067" s="1" t="str">
        <f>IFERROR(__xludf.DUMMYFUNCTION("""COMPUTED_VALUE"""),"30/3/2023, 17:00:00")</f>
        <v>30/3/2023, 17:00:00</v>
      </c>
      <c r="I4067" s="1" t="str">
        <f>IFERROR(__xludf.DUMMYFUNCTION("""COMPUTED_VALUE"""),"RETIRADO OK POR CLIENTE")</f>
        <v>RETIRADO OK POR CLIENTE</v>
      </c>
      <c r="J4067" s="1">
        <f t="shared" si="3"/>
        <v>6</v>
      </c>
      <c r="K4067" s="1" t="str">
        <f t="shared" si="4"/>
        <v>Entregamos tus lentes, que los disfrutes!</v>
      </c>
    </row>
    <row r="4068">
      <c r="A4068" s="1">
        <f>IFERROR(__xludf.DUMMYFUNCTION("""COMPUTED_VALUE"""),88632.0)</f>
        <v>88632</v>
      </c>
      <c r="B4068" s="5">
        <f>IFERROR(__xludf.DUMMYFUNCTION("""COMPUTED_VALUE"""),45012.45878037037)</f>
        <v>45012.45878</v>
      </c>
      <c r="C4068" s="1" t="str">
        <f>IFERROR(__xludf.DUMMYFUNCTION("""COMPUTED_VALUE"""),"MAGALLANES ELINA ELIA")</f>
        <v>MAGALLANES ELINA ELIA</v>
      </c>
      <c r="D4068" s="1" t="str">
        <f>IFERROR(__xludf.DUMMYFUNCTION("""COMPUTED_VALUE"""),"Lentes de STOCK")</f>
        <v>Lentes de STOCK</v>
      </c>
      <c r="E4068" s="1" t="str">
        <f>IFERROR(__xludf.DUMMYFUNCTION("""COMPUTED_VALUE"""),"RIVADAVIA Santiago LOPEZ")</f>
        <v>RIVADAVIA Santiago LOPEZ</v>
      </c>
      <c r="F4068" s="1" t="str">
        <f t="shared" si="1"/>
        <v>RIVADAVIA </v>
      </c>
      <c r="G4068" s="1" t="str">
        <f t="shared" si="2"/>
        <v>Santiago LOPEZ</v>
      </c>
      <c r="H4068" s="1" t="str">
        <f>IFERROR(__xludf.DUMMYFUNCTION("""COMPUTED_VALUE"""),"29/3/2023, 17:00:00")</f>
        <v>29/3/2023, 17:00:00</v>
      </c>
      <c r="I4068" s="1" t="str">
        <f>IFERROR(__xludf.DUMMYFUNCTION("""COMPUTED_VALUE"""),"RETIRADO OK POR CLIENTE")</f>
        <v>RETIRADO OK POR CLIENTE</v>
      </c>
      <c r="J4068" s="1">
        <f t="shared" si="3"/>
        <v>6</v>
      </c>
      <c r="K4068" s="1" t="str">
        <f t="shared" si="4"/>
        <v>Entregamos tus lentes, que los disfrutes!</v>
      </c>
    </row>
    <row r="4069">
      <c r="A4069" s="1">
        <f>IFERROR(__xludf.DUMMYFUNCTION("""COMPUTED_VALUE"""),88633.0)</f>
        <v>88633</v>
      </c>
      <c r="B4069" s="5">
        <f>IFERROR(__xludf.DUMMYFUNCTION("""COMPUTED_VALUE"""),45012.46032346065)</f>
        <v>45012.46032</v>
      </c>
      <c r="C4069" s="1" t="str">
        <f>IFERROR(__xludf.DUMMYFUNCTION("""COMPUTED_VALUE"""),"SIERRA ROXANA VIVIANA")</f>
        <v>SIERRA ROXANA VIVIANA</v>
      </c>
      <c r="D4069" s="1" t="str">
        <f>IFERROR(__xludf.DUMMYFUNCTION("""COMPUTED_VALUE"""),"Lentes de STOCK")</f>
        <v>Lentes de STOCK</v>
      </c>
      <c r="E4069" s="1" t="str">
        <f>IFERROR(__xludf.DUMMYFUNCTION("""COMPUTED_VALUE"""),"RIVADAVIA Marcela L")</f>
        <v>RIVADAVIA Marcela L</v>
      </c>
      <c r="F4069" s="1" t="str">
        <f t="shared" si="1"/>
        <v>RIVADAVIA </v>
      </c>
      <c r="G4069" s="1" t="str">
        <f t="shared" si="2"/>
        <v>Marcela L</v>
      </c>
      <c r="H4069" s="1" t="str">
        <f>IFERROR(__xludf.DUMMYFUNCTION("""COMPUTED_VALUE"""),"30/3/2023, 17:00:00")</f>
        <v>30/3/2023, 17:00:00</v>
      </c>
      <c r="I4069" s="1" t="str">
        <f>IFERROR(__xludf.DUMMYFUNCTION("""COMPUTED_VALUE"""),"RETIRADO OK POR CLIENTE")</f>
        <v>RETIRADO OK POR CLIENTE</v>
      </c>
      <c r="J4069" s="1">
        <f t="shared" si="3"/>
        <v>6</v>
      </c>
      <c r="K4069" s="1" t="str">
        <f t="shared" si="4"/>
        <v>Entregamos tus lentes, que los disfrutes!</v>
      </c>
    </row>
    <row r="4070">
      <c r="A4070" s="1">
        <f>IFERROR(__xludf.DUMMYFUNCTION("""COMPUTED_VALUE"""),88634.0)</f>
        <v>88634</v>
      </c>
      <c r="B4070" s="5">
        <f>IFERROR(__xludf.DUMMYFUNCTION("""COMPUTED_VALUE"""),45012.46086212963)</f>
        <v>45012.46086</v>
      </c>
      <c r="C4070" s="1" t="str">
        <f>IFERROR(__xludf.DUMMYFUNCTION("""COMPUTED_VALUE"""),"OYARZUN NAVARRO JOSE LIONEL")</f>
        <v>OYARZUN NAVARRO JOSE LIONEL</v>
      </c>
      <c r="D4070" s="1" t="str">
        <f>IFERROR(__xludf.DUMMYFUNCTION("""COMPUTED_VALUE"""),"Lentes de STOCK")</f>
        <v>Lentes de STOCK</v>
      </c>
      <c r="E4070" s="1" t="str">
        <f>IFERROR(__xludf.DUMMYFUNCTION("""COMPUTED_VALUE"""),"ARTIGAS Roció")</f>
        <v>ARTIGAS Roció</v>
      </c>
      <c r="F4070" s="1" t="str">
        <f t="shared" si="1"/>
        <v>ARTIGAS </v>
      </c>
      <c r="G4070" s="1" t="str">
        <f t="shared" si="2"/>
        <v>Roció</v>
      </c>
      <c r="H4070" s="1" t="str">
        <f>IFERROR(__xludf.DUMMYFUNCTION("""COMPUTED_VALUE"""),"4/4/2023, 17:00:00")</f>
        <v>4/4/2023, 17:00:00</v>
      </c>
      <c r="I4070" s="1" t="str">
        <f>IFERROR(__xludf.DUMMYFUNCTION("""COMPUTED_VALUE"""),"RETIRADO OK POR CLIENTE")</f>
        <v>RETIRADO OK POR CLIENTE</v>
      </c>
      <c r="J4070" s="1">
        <f t="shared" si="3"/>
        <v>6</v>
      </c>
      <c r="K4070" s="1" t="str">
        <f t="shared" si="4"/>
        <v>Entregamos tus lentes, que los disfrutes!</v>
      </c>
    </row>
    <row r="4071">
      <c r="A4071" s="1">
        <f>IFERROR(__xludf.DUMMYFUNCTION("""COMPUTED_VALUE"""),88635.0)</f>
        <v>88635</v>
      </c>
      <c r="B4071" s="5">
        <f>IFERROR(__xludf.DUMMYFUNCTION("""COMPUTED_VALUE"""),45012.46977846065)</f>
        <v>45012.46978</v>
      </c>
      <c r="C4071" s="1" t="str">
        <f>IFERROR(__xludf.DUMMYFUNCTION("""COMPUTED_VALUE"""),"GIORDANO ROSA DEL CARMEN")</f>
        <v>GIORDANO ROSA DEL CARMEN</v>
      </c>
      <c r="D4071" s="1" t="str">
        <f>IFERROR(__xludf.DUMMYFUNCTION("""COMPUTED_VALUE"""),"Lentes de STOCK")</f>
        <v>Lentes de STOCK</v>
      </c>
      <c r="E4071" s="1" t="str">
        <f>IFERROR(__xludf.DUMMYFUNCTION("""COMPUTED_VALUE"""),"ARTIGAS Roció")</f>
        <v>ARTIGAS Roció</v>
      </c>
      <c r="F4071" s="1" t="str">
        <f t="shared" si="1"/>
        <v>ARTIGAS </v>
      </c>
      <c r="G4071" s="1" t="str">
        <f t="shared" si="2"/>
        <v>Roció</v>
      </c>
      <c r="H4071" s="1" t="str">
        <f>IFERROR(__xludf.DUMMYFUNCTION("""COMPUTED_VALUE"""),"3/4/2023, 17:00:00")</f>
        <v>3/4/2023, 17:00:00</v>
      </c>
      <c r="I4071" s="1" t="str">
        <f>IFERROR(__xludf.DUMMYFUNCTION("""COMPUTED_VALUE"""),"RETIRADO OK POR CLIENTE")</f>
        <v>RETIRADO OK POR CLIENTE</v>
      </c>
      <c r="J4071" s="1">
        <f t="shared" si="3"/>
        <v>6</v>
      </c>
      <c r="K4071" s="1" t="str">
        <f t="shared" si="4"/>
        <v>Entregamos tus lentes, que los disfrutes!</v>
      </c>
    </row>
    <row r="4072">
      <c r="A4072" s="1">
        <f>IFERROR(__xludf.DUMMYFUNCTION("""COMPUTED_VALUE"""),88636.0)</f>
        <v>88636</v>
      </c>
      <c r="B4072" s="5">
        <f>IFERROR(__xludf.DUMMYFUNCTION("""COMPUTED_VALUE"""),45012.470167928244)</f>
        <v>45012.47017</v>
      </c>
      <c r="C4072" s="1" t="str">
        <f>IFERROR(__xludf.DUMMYFUNCTION("""COMPUTED_VALUE"""),"ALVARADO MARIO")</f>
        <v>ALVARADO MARIO</v>
      </c>
      <c r="D4072" s="1" t="str">
        <f>IFERROR(__xludf.DUMMYFUNCTION("""COMPUTED_VALUE"""),"Lentes de STOCK")</f>
        <v>Lentes de STOCK</v>
      </c>
      <c r="E4072" s="1" t="str">
        <f>IFERROR(__xludf.DUMMYFUNCTION("""COMPUTED_VALUE"""),"ARTIGAS Ivana P.")</f>
        <v>ARTIGAS Ivana P.</v>
      </c>
      <c r="F4072" s="1" t="str">
        <f t="shared" si="1"/>
        <v>ARTIGAS </v>
      </c>
      <c r="G4072" s="1" t="str">
        <f t="shared" si="2"/>
        <v>Ivana P.</v>
      </c>
      <c r="H4072" s="1" t="str">
        <f>IFERROR(__xludf.DUMMYFUNCTION("""COMPUTED_VALUE"""),"31/3/2023, 17:00:00")</f>
        <v>31/3/2023, 17:00:00</v>
      </c>
      <c r="I4072" s="1" t="str">
        <f>IFERROR(__xludf.DUMMYFUNCTION("""COMPUTED_VALUE"""),"RETIRADO OK POR CLIENTE")</f>
        <v>RETIRADO OK POR CLIENTE</v>
      </c>
      <c r="J4072" s="1">
        <f t="shared" si="3"/>
        <v>6</v>
      </c>
      <c r="K4072" s="1" t="str">
        <f t="shared" si="4"/>
        <v>Entregamos tus lentes, que los disfrutes!</v>
      </c>
    </row>
    <row r="4073">
      <c r="A4073" s="1">
        <f>IFERROR(__xludf.DUMMYFUNCTION("""COMPUTED_VALUE"""),88637.0)</f>
        <v>88637</v>
      </c>
      <c r="B4073" s="5">
        <f>IFERROR(__xludf.DUMMYFUNCTION("""COMPUTED_VALUE"""),45012.47209423612)</f>
        <v>45012.47209</v>
      </c>
      <c r="C4073" s="1" t="str">
        <f>IFERROR(__xludf.DUMMYFUNCTION("""COMPUTED_VALUE"""),"GOMEZ TIZIANO")</f>
        <v>GOMEZ TIZIANO</v>
      </c>
      <c r="D4073" s="1" t="str">
        <f>IFERROR(__xludf.DUMMYFUNCTION("""COMPUTED_VALUE"""),"Lentes de STOCK")</f>
        <v>Lentes de STOCK</v>
      </c>
      <c r="E4073" s="1" t="str">
        <f>IFERROR(__xludf.DUMMYFUNCTION("""COMPUTED_VALUE"""),"RIVADAVIA Luciana")</f>
        <v>RIVADAVIA Luciana</v>
      </c>
      <c r="F4073" s="1" t="str">
        <f t="shared" si="1"/>
        <v>RIVADAVIA </v>
      </c>
      <c r="G4073" s="1" t="str">
        <f t="shared" si="2"/>
        <v>Luciana</v>
      </c>
      <c r="H4073" s="1" t="str">
        <f>IFERROR(__xludf.DUMMYFUNCTION("""COMPUTED_VALUE"""),"30/3/2023, 17:00:00")</f>
        <v>30/3/2023, 17:00:00</v>
      </c>
      <c r="I4073" s="1" t="str">
        <f>IFERROR(__xludf.DUMMYFUNCTION("""COMPUTED_VALUE"""),"RETIRADO OK POR CLIENTE")</f>
        <v>RETIRADO OK POR CLIENTE</v>
      </c>
      <c r="J4073" s="1">
        <f t="shared" si="3"/>
        <v>6</v>
      </c>
      <c r="K4073" s="1" t="str">
        <f t="shared" si="4"/>
        <v>Entregamos tus lentes, que los disfrutes!</v>
      </c>
    </row>
    <row r="4074">
      <c r="A4074" s="1">
        <f>IFERROR(__xludf.DUMMYFUNCTION("""COMPUTED_VALUE"""),88638.0)</f>
        <v>88638</v>
      </c>
      <c r="B4074" s="5">
        <f>IFERROR(__xludf.DUMMYFUNCTION("""COMPUTED_VALUE"""),45012.47544228009)</f>
        <v>45012.47544</v>
      </c>
      <c r="C4074" s="1" t="str">
        <f>IFERROR(__xludf.DUMMYFUNCTION("""COMPUTED_VALUE"""),"rodriguez dora norma")</f>
        <v>rodriguez dora norma</v>
      </c>
      <c r="D4074" s="1" t="str">
        <f>IFERROR(__xludf.DUMMYFUNCTION("""COMPUTED_VALUE"""),"Lentes de STOCK")</f>
        <v>Lentes de STOCK</v>
      </c>
      <c r="E4074" s="1" t="str">
        <f>IFERROR(__xludf.DUMMYFUNCTION("""COMPUTED_VALUE"""),"RIVADAVIA Santiago N")</f>
        <v>RIVADAVIA Santiago N</v>
      </c>
      <c r="F4074" s="1" t="str">
        <f t="shared" si="1"/>
        <v>RIVADAVIA </v>
      </c>
      <c r="G4074" s="1" t="str">
        <f t="shared" si="2"/>
        <v>Santiago N</v>
      </c>
      <c r="H4074" s="1" t="str">
        <f>IFERROR(__xludf.DUMMYFUNCTION("""COMPUTED_VALUE"""),"30/3/2023, 17:00:00")</f>
        <v>30/3/2023, 17:00:00</v>
      </c>
      <c r="I4074" s="1" t="str">
        <f>IFERROR(__xludf.DUMMYFUNCTION("""COMPUTED_VALUE"""),"Completado en SUCURSAL")</f>
        <v>Completado en SUCURSAL</v>
      </c>
      <c r="J4074" s="1">
        <f t="shared" si="3"/>
        <v>5</v>
      </c>
      <c r="K4074" s="1" t="str">
        <f t="shared" si="4"/>
        <v>Tus Lentes estan LISTAS PARA ENTREGAR, te esperamos.</v>
      </c>
    </row>
    <row r="4075">
      <c r="A4075" s="1">
        <f>IFERROR(__xludf.DUMMYFUNCTION("""COMPUTED_VALUE"""),88639.0)</f>
        <v>88639</v>
      </c>
      <c r="B4075" s="5">
        <f>IFERROR(__xludf.DUMMYFUNCTION("""COMPUTED_VALUE"""),45012.47643292824)</f>
        <v>45012.47643</v>
      </c>
      <c r="C4075" s="1" t="str">
        <f>IFERROR(__xludf.DUMMYFUNCTION("""COMPUTED_VALUE"""),"LORIO JAVIER")</f>
        <v>LORIO JAVIER</v>
      </c>
      <c r="D4075" s="1" t="str">
        <f>IFERROR(__xludf.DUMMYFUNCTION("""COMPUTED_VALUE"""),"Reparaciones/Otros")</f>
        <v>Reparaciones/Otros</v>
      </c>
      <c r="E4075" s="1" t="str">
        <f>IFERROR(__xludf.DUMMYFUNCTION("""COMPUTED_VALUE"""),"RIVADAVIA Marcela L")</f>
        <v>RIVADAVIA Marcela L</v>
      </c>
      <c r="F4075" s="1" t="str">
        <f t="shared" si="1"/>
        <v>RIVADAVIA </v>
      </c>
      <c r="G4075" s="1" t="str">
        <f t="shared" si="2"/>
        <v>Marcela L</v>
      </c>
      <c r="H4075" s="1" t="str">
        <f>IFERROR(__xludf.DUMMYFUNCTION("""COMPUTED_VALUE"""),"31/3/2023, 17:00:00")</f>
        <v>31/3/2023, 17:00:00</v>
      </c>
      <c r="I4075" s="1"/>
      <c r="J4075" s="1">
        <f t="shared" si="3"/>
        <v>0</v>
      </c>
      <c r="K4075" s="1" t="str">
        <f t="shared" si="4"/>
        <v/>
      </c>
    </row>
    <row r="4076">
      <c r="A4076" s="1">
        <f>IFERROR(__xludf.DUMMYFUNCTION("""COMPUTED_VALUE"""),88640.0)</f>
        <v>88640</v>
      </c>
      <c r="B4076" s="5">
        <f>IFERROR(__xludf.DUMMYFUNCTION("""COMPUTED_VALUE"""),45012.47744681713)</f>
        <v>45012.47745</v>
      </c>
      <c r="C4076" s="1" t="str">
        <f>IFERROR(__xludf.DUMMYFUNCTION("""COMPUTED_VALUE"""),"GOMEZ AZUCENA")</f>
        <v>GOMEZ AZUCENA</v>
      </c>
      <c r="D4076" s="1" t="str">
        <f>IFERROR(__xludf.DUMMYFUNCTION("""COMPUTED_VALUE"""),"Lentes de STOCK")</f>
        <v>Lentes de STOCK</v>
      </c>
      <c r="E4076" s="1" t="str">
        <f>IFERROR(__xludf.DUMMYFUNCTION("""COMPUTED_VALUE"""),"RIVADAVIA Luciana")</f>
        <v>RIVADAVIA Luciana</v>
      </c>
      <c r="F4076" s="1" t="str">
        <f t="shared" si="1"/>
        <v>RIVADAVIA </v>
      </c>
      <c r="G4076" s="1" t="str">
        <f t="shared" si="2"/>
        <v>Luciana</v>
      </c>
      <c r="H4076" s="1" t="str">
        <f>IFERROR(__xludf.DUMMYFUNCTION("""COMPUTED_VALUE"""),"3/4/2023, 17:00:00")</f>
        <v>3/4/2023, 17:00:00</v>
      </c>
      <c r="I4076" s="1" t="str">
        <f>IFERROR(__xludf.DUMMYFUNCTION("""COMPUTED_VALUE"""),"Completado en SUCURSAL")</f>
        <v>Completado en SUCURSAL</v>
      </c>
      <c r="J4076" s="1">
        <f t="shared" si="3"/>
        <v>5</v>
      </c>
      <c r="K4076" s="1" t="str">
        <f t="shared" si="4"/>
        <v>Tus Lentes estan LISTAS PARA ENTREGAR, te esperamos.</v>
      </c>
    </row>
    <row r="4077">
      <c r="A4077" s="1">
        <f>IFERROR(__xludf.DUMMYFUNCTION("""COMPUTED_VALUE"""),88640.0)</f>
        <v>88640</v>
      </c>
      <c r="B4077" s="5">
        <f>IFERROR(__xludf.DUMMYFUNCTION("""COMPUTED_VALUE"""),45012.47770512731)</f>
        <v>45012.47771</v>
      </c>
      <c r="C4077" s="1" t="str">
        <f>IFERROR(__xludf.DUMMYFUNCTION("""COMPUTED_VALUE"""),"BABEZ ELIANA")</f>
        <v>BABEZ ELIANA</v>
      </c>
      <c r="D4077" s="1" t="str">
        <f>IFERROR(__xludf.DUMMYFUNCTION("""COMPUTED_VALUE"""),"Lentes de STOCK")</f>
        <v>Lentes de STOCK</v>
      </c>
      <c r="E4077" s="1" t="str">
        <f>IFERROR(__xludf.DUMMYFUNCTION("""COMPUTED_VALUE"""),"RIVADAVIA Christian C.")</f>
        <v>RIVADAVIA Christian C.</v>
      </c>
      <c r="F4077" s="1" t="str">
        <f t="shared" si="1"/>
        <v>RIVADAVIA </v>
      </c>
      <c r="G4077" s="1" t="str">
        <f t="shared" si="2"/>
        <v>Christian C.</v>
      </c>
      <c r="H4077" s="1" t="str">
        <f>IFERROR(__xludf.DUMMYFUNCTION("""COMPUTED_VALUE"""),"10/4/2023, 17:00:00")</f>
        <v>10/4/2023, 17:00:00</v>
      </c>
      <c r="I4077" s="1"/>
      <c r="J4077" s="1">
        <f t="shared" si="3"/>
        <v>0</v>
      </c>
      <c r="K4077" s="1" t="str">
        <f t="shared" si="4"/>
        <v/>
      </c>
    </row>
    <row r="4078">
      <c r="A4078" s="1">
        <f>IFERROR(__xludf.DUMMYFUNCTION("""COMPUTED_VALUE"""),88641.0)</f>
        <v>88641</v>
      </c>
      <c r="B4078" s="5">
        <f>IFERROR(__xludf.DUMMYFUNCTION("""COMPUTED_VALUE"""),45012.478710324074)</f>
        <v>45012.47871</v>
      </c>
      <c r="C4078" s="1" t="str">
        <f>IFERROR(__xludf.DUMMYFUNCTION("""COMPUTED_VALUE"""),"BLANCO LAUTARO")</f>
        <v>BLANCO LAUTARO</v>
      </c>
      <c r="D4078" s="1" t="str">
        <f>IFERROR(__xludf.DUMMYFUNCTION("""COMPUTED_VALUE"""),"Lentes de LABORATORIO")</f>
        <v>Lentes de LABORATORIO</v>
      </c>
      <c r="E4078" s="1" t="str">
        <f>IFERROR(__xludf.DUMMYFUNCTION("""COMPUTED_VALUE"""),"RIVADAVIA Christian C.")</f>
        <v>RIVADAVIA Christian C.</v>
      </c>
      <c r="F4078" s="1" t="str">
        <f t="shared" si="1"/>
        <v>RIVADAVIA </v>
      </c>
      <c r="G4078" s="1" t="str">
        <f t="shared" si="2"/>
        <v>Christian C.</v>
      </c>
      <c r="H4078" s="1" t="str">
        <f>IFERROR(__xludf.DUMMYFUNCTION("""COMPUTED_VALUE"""),"10/4/2023, 17:00:00")</f>
        <v>10/4/2023, 17:00:00</v>
      </c>
      <c r="I4078" s="1" t="str">
        <f>IFERROR(__xludf.DUMMYFUNCTION("""COMPUTED_VALUE"""),"Completado en SUCURSAL")</f>
        <v>Completado en SUCURSAL</v>
      </c>
      <c r="J4078" s="1">
        <f t="shared" si="3"/>
        <v>5</v>
      </c>
      <c r="K4078" s="1" t="str">
        <f t="shared" si="4"/>
        <v>Tus Lentes estan LISTAS PARA ENTREGAR, te esperamos.</v>
      </c>
    </row>
    <row r="4079">
      <c r="A4079" s="1">
        <f>IFERROR(__xludf.DUMMYFUNCTION("""COMPUTED_VALUE"""),88642.0)</f>
        <v>88642</v>
      </c>
      <c r="B4079" s="5">
        <f>IFERROR(__xludf.DUMMYFUNCTION("""COMPUTED_VALUE"""),45012.481669305555)</f>
        <v>45012.48167</v>
      </c>
      <c r="C4079" s="1" t="str">
        <f>IFERROR(__xludf.DUMMYFUNCTION("""COMPUTED_VALUE"""),"ZAPATA ANALIA")</f>
        <v>ZAPATA ANALIA</v>
      </c>
      <c r="D4079" s="1" t="str">
        <f>IFERROR(__xludf.DUMMYFUNCTION("""COMPUTED_VALUE"""),"Reparaciones/Otros")</f>
        <v>Reparaciones/Otros</v>
      </c>
      <c r="E4079" s="1" t="str">
        <f>IFERROR(__xludf.DUMMYFUNCTION("""COMPUTED_VALUE"""),"ARTIGAS Roció")</f>
        <v>ARTIGAS Roció</v>
      </c>
      <c r="F4079" s="1" t="str">
        <f t="shared" si="1"/>
        <v>ARTIGAS </v>
      </c>
      <c r="G4079" s="1" t="str">
        <f t="shared" si="2"/>
        <v>Roció</v>
      </c>
      <c r="H4079" s="1" t="str">
        <f>IFERROR(__xludf.DUMMYFUNCTION("""COMPUTED_VALUE"""),"28/3/2023, 17:00:00")</f>
        <v>28/3/2023, 17:00:00</v>
      </c>
      <c r="I4079" s="1" t="str">
        <f>IFERROR(__xludf.DUMMYFUNCTION("""COMPUTED_VALUE"""),"Completado en SUCURSAL")</f>
        <v>Completado en SUCURSAL</v>
      </c>
      <c r="J4079" s="1">
        <f t="shared" si="3"/>
        <v>5</v>
      </c>
      <c r="K4079" s="1" t="str">
        <f t="shared" si="4"/>
        <v>Tus Lentes estan LISTAS PARA ENTREGAR, te esperamos.</v>
      </c>
    </row>
    <row r="4080">
      <c r="A4080" s="1">
        <f>IFERROR(__xludf.DUMMYFUNCTION("""COMPUTED_VALUE"""),88643.0)</f>
        <v>88643</v>
      </c>
      <c r="B4080" s="5">
        <f>IFERROR(__xludf.DUMMYFUNCTION("""COMPUTED_VALUE"""),45012.483005671296)</f>
        <v>45012.48301</v>
      </c>
      <c r="C4080" s="1" t="str">
        <f>IFERROR(__xludf.DUMMYFUNCTION("""COMPUTED_VALUE"""),"FERNANDEZ MARTIN ")</f>
        <v>FERNANDEZ MARTIN </v>
      </c>
      <c r="D4080" s="1" t="str">
        <f>IFERROR(__xludf.DUMMYFUNCTION("""COMPUTED_VALUE"""),"Lentes de STOCK")</f>
        <v>Lentes de STOCK</v>
      </c>
      <c r="E4080" s="1" t="str">
        <f>IFERROR(__xludf.DUMMYFUNCTION("""COMPUTED_VALUE"""),"RIVADAVIA Christian C.")</f>
        <v>RIVADAVIA Christian C.</v>
      </c>
      <c r="F4080" s="1" t="str">
        <f t="shared" si="1"/>
        <v>RIVADAVIA </v>
      </c>
      <c r="G4080" s="1" t="str">
        <f t="shared" si="2"/>
        <v>Christian C.</v>
      </c>
      <c r="H4080" s="1" t="str">
        <f>IFERROR(__xludf.DUMMYFUNCTION("""COMPUTED_VALUE"""),"3/4/2023, 17:00:00")</f>
        <v>3/4/2023, 17:00:00</v>
      </c>
      <c r="I4080" s="1" t="str">
        <f>IFERROR(__xludf.DUMMYFUNCTION("""COMPUTED_VALUE"""),"RETIRADO OK POR CLIENTE")</f>
        <v>RETIRADO OK POR CLIENTE</v>
      </c>
      <c r="J4080" s="1">
        <f t="shared" si="3"/>
        <v>6</v>
      </c>
      <c r="K4080" s="1" t="str">
        <f t="shared" si="4"/>
        <v>Entregamos tus lentes, que los disfrutes!</v>
      </c>
    </row>
    <row r="4081">
      <c r="A4081" s="1">
        <f>IFERROR(__xludf.DUMMYFUNCTION("""COMPUTED_VALUE"""),88644.0)</f>
        <v>88644</v>
      </c>
      <c r="B4081" s="5">
        <f>IFERROR(__xludf.DUMMYFUNCTION("""COMPUTED_VALUE"""),45012.48343331019)</f>
        <v>45012.48343</v>
      </c>
      <c r="C4081" s="1" t="str">
        <f>IFERROR(__xludf.DUMMYFUNCTION("""COMPUTED_VALUE"""),"ELIANA SALINAS")</f>
        <v>ELIANA SALINAS</v>
      </c>
      <c r="D4081" s="1" t="str">
        <f>IFERROR(__xludf.DUMMYFUNCTION("""COMPUTED_VALUE"""),"Lentes MULTIFOCALES")</f>
        <v>Lentes MULTIFOCALES</v>
      </c>
      <c r="E4081" s="1" t="str">
        <f>IFERROR(__xludf.DUMMYFUNCTION("""COMPUTED_VALUE"""),"RIVADAVIA Santiago LOPEZ")</f>
        <v>RIVADAVIA Santiago LOPEZ</v>
      </c>
      <c r="F4081" s="1" t="str">
        <f t="shared" si="1"/>
        <v>RIVADAVIA </v>
      </c>
      <c r="G4081" s="1" t="str">
        <f t="shared" si="2"/>
        <v>Santiago LOPEZ</v>
      </c>
      <c r="H4081" s="1" t="str">
        <f>IFERROR(__xludf.DUMMYFUNCTION("""COMPUTED_VALUE"""),"13/4/2023, 17:00:00")</f>
        <v>13/4/2023, 17:00:00</v>
      </c>
      <c r="I4081" s="1"/>
      <c r="J4081" s="1">
        <f t="shared" si="3"/>
        <v>0</v>
      </c>
      <c r="K4081" s="1" t="str">
        <f t="shared" si="4"/>
        <v/>
      </c>
    </row>
    <row r="4082">
      <c r="A4082" s="1">
        <f>IFERROR(__xludf.DUMMYFUNCTION("""COMPUTED_VALUE"""),88645.0)</f>
        <v>88645</v>
      </c>
      <c r="B4082" s="5">
        <f>IFERROR(__xludf.DUMMYFUNCTION("""COMPUTED_VALUE"""),45012.48403868056)</f>
        <v>45012.48404</v>
      </c>
      <c r="C4082" s="1" t="str">
        <f>IFERROR(__xludf.DUMMYFUNCTION("""COMPUTED_VALUE"""),"ESPINOSA JORGE WILSON")</f>
        <v>ESPINOSA JORGE WILSON</v>
      </c>
      <c r="D4082" s="1" t="str">
        <f>IFERROR(__xludf.DUMMYFUNCTION("""COMPUTED_VALUE"""),"Lentes de STOCK")</f>
        <v>Lentes de STOCK</v>
      </c>
      <c r="E4082" s="1" t="str">
        <f>IFERROR(__xludf.DUMMYFUNCTION("""COMPUTED_VALUE"""),"RIVADAVIA Marcela L")</f>
        <v>RIVADAVIA Marcela L</v>
      </c>
      <c r="F4082" s="1" t="str">
        <f t="shared" si="1"/>
        <v>RIVADAVIA </v>
      </c>
      <c r="G4082" s="1" t="str">
        <f t="shared" si="2"/>
        <v>Marcela L</v>
      </c>
      <c r="H4082" s="1" t="str">
        <f>IFERROR(__xludf.DUMMYFUNCTION("""COMPUTED_VALUE"""),"30/3/2023, 17:00:00")</f>
        <v>30/3/2023, 17:00:00</v>
      </c>
      <c r="I4082" s="1" t="str">
        <f>IFERROR(__xludf.DUMMYFUNCTION("""COMPUTED_VALUE"""),"RETIRADO OK POR CLIENTE")</f>
        <v>RETIRADO OK POR CLIENTE</v>
      </c>
      <c r="J4082" s="1">
        <f t="shared" si="3"/>
        <v>6</v>
      </c>
      <c r="K4082" s="1" t="str">
        <f t="shared" si="4"/>
        <v>Entregamos tus lentes, que los disfrutes!</v>
      </c>
    </row>
    <row r="4083">
      <c r="A4083" s="1">
        <f>IFERROR(__xludf.DUMMYFUNCTION("""COMPUTED_VALUE"""),88646.0)</f>
        <v>88646</v>
      </c>
      <c r="B4083" s="5">
        <f>IFERROR(__xludf.DUMMYFUNCTION("""COMPUTED_VALUE"""),45012.49566836805)</f>
        <v>45012.49567</v>
      </c>
      <c r="C4083" s="1" t="str">
        <f>IFERROR(__xludf.DUMMYFUNCTION("""COMPUTED_VALUE"""),"CONEJERO PI FRANCISCO HECTOR")</f>
        <v>CONEJERO PI FRANCISCO HECTOR</v>
      </c>
      <c r="D4083" s="1" t="str">
        <f>IFERROR(__xludf.DUMMYFUNCTION("""COMPUTED_VALUE"""),"Lentes de STOCK")</f>
        <v>Lentes de STOCK</v>
      </c>
      <c r="E4083" s="1" t="str">
        <f>IFERROR(__xludf.DUMMYFUNCTION("""COMPUTED_VALUE"""),"RIVADAVIA Santiago LOPEZ")</f>
        <v>RIVADAVIA Santiago LOPEZ</v>
      </c>
      <c r="F4083" s="1" t="str">
        <f t="shared" si="1"/>
        <v>RIVADAVIA </v>
      </c>
      <c r="G4083" s="1" t="str">
        <f t="shared" si="2"/>
        <v>Santiago LOPEZ</v>
      </c>
      <c r="H4083" s="1" t="str">
        <f>IFERROR(__xludf.DUMMYFUNCTION("""COMPUTED_VALUE"""),"30/3/2023, 17:00:00")</f>
        <v>30/3/2023, 17:00:00</v>
      </c>
      <c r="I4083" s="1" t="str">
        <f>IFERROR(__xludf.DUMMYFUNCTION("""COMPUTED_VALUE"""),"RETIRADO OK POR CLIENTE")</f>
        <v>RETIRADO OK POR CLIENTE</v>
      </c>
      <c r="J4083" s="1">
        <f t="shared" si="3"/>
        <v>6</v>
      </c>
      <c r="K4083" s="1" t="str">
        <f t="shared" si="4"/>
        <v>Entregamos tus lentes, que los disfrutes!</v>
      </c>
    </row>
    <row r="4084">
      <c r="A4084" s="1">
        <f>IFERROR(__xludf.DUMMYFUNCTION("""COMPUTED_VALUE"""),88647.0)</f>
        <v>88647</v>
      </c>
      <c r="B4084" s="5">
        <f>IFERROR(__xludf.DUMMYFUNCTION("""COMPUTED_VALUE"""),45012.496105370374)</f>
        <v>45012.49611</v>
      </c>
      <c r="C4084" s="1" t="str">
        <f>IFERROR(__xludf.DUMMYFUNCTION("""COMPUTED_VALUE"""),"Perez Gonzalo ")</f>
        <v>Perez Gonzalo </v>
      </c>
      <c r="D4084" s="1" t="str">
        <f>IFERROR(__xludf.DUMMYFUNCTION("""COMPUTED_VALUE"""),"Lentes de STOCK")</f>
        <v>Lentes de STOCK</v>
      </c>
      <c r="E4084" s="1" t="str">
        <f>IFERROR(__xludf.DUMMYFUNCTION("""COMPUTED_VALUE"""),"RIVADAVIA Christian C.")</f>
        <v>RIVADAVIA Christian C.</v>
      </c>
      <c r="F4084" s="1" t="str">
        <f t="shared" si="1"/>
        <v>RIVADAVIA </v>
      </c>
      <c r="G4084" s="1" t="str">
        <f t="shared" si="2"/>
        <v>Christian C.</v>
      </c>
      <c r="H4084" s="1" t="str">
        <f>IFERROR(__xludf.DUMMYFUNCTION("""COMPUTED_VALUE"""),"18/4/2023, 17:00:00")</f>
        <v>18/4/2023, 17:00:00</v>
      </c>
      <c r="I4084" s="1" t="str">
        <f>IFERROR(__xludf.DUMMYFUNCTION("""COMPUTED_VALUE"""),"Completado en SUCURSAL")</f>
        <v>Completado en SUCURSAL</v>
      </c>
      <c r="J4084" s="1">
        <f t="shared" si="3"/>
        <v>5</v>
      </c>
      <c r="K4084" s="1" t="str">
        <f t="shared" si="4"/>
        <v>Tus Lentes estan LISTAS PARA ENTREGAR, te esperamos.</v>
      </c>
    </row>
    <row r="4085">
      <c r="A4085" s="1">
        <f>IFERROR(__xludf.DUMMYFUNCTION("""COMPUTED_VALUE"""),88648.0)</f>
        <v>88648</v>
      </c>
      <c r="B4085" s="5">
        <f>IFERROR(__xludf.DUMMYFUNCTION("""COMPUTED_VALUE"""),45012.496739166665)</f>
        <v>45012.49674</v>
      </c>
      <c r="C4085" s="1" t="str">
        <f>IFERROR(__xludf.DUMMYFUNCTION("""COMPUTED_VALUE"""),"BUSTOS NATALIA MICAELA")</f>
        <v>BUSTOS NATALIA MICAELA</v>
      </c>
      <c r="D4085" s="1" t="str">
        <f>IFERROR(__xludf.DUMMYFUNCTION("""COMPUTED_VALUE"""),"Lentes de LABORATORIO")</f>
        <v>Lentes de LABORATORIO</v>
      </c>
      <c r="E4085" s="1" t="str">
        <f>IFERROR(__xludf.DUMMYFUNCTION("""COMPUTED_VALUE"""),"RIVADAVIA Marcela L")</f>
        <v>RIVADAVIA Marcela L</v>
      </c>
      <c r="F4085" s="1" t="str">
        <f t="shared" si="1"/>
        <v>RIVADAVIA </v>
      </c>
      <c r="G4085" s="1" t="str">
        <f t="shared" si="2"/>
        <v>Marcela L</v>
      </c>
      <c r="H4085" s="1" t="str">
        <f>IFERROR(__xludf.DUMMYFUNCTION("""COMPUTED_VALUE"""),"4/4/2023, 17:00:00")</f>
        <v>4/4/2023, 17:00:00</v>
      </c>
      <c r="I4085" s="1" t="str">
        <f>IFERROR(__xludf.DUMMYFUNCTION("""COMPUTED_VALUE"""),"RETIRADO OK POR CLIENTE")</f>
        <v>RETIRADO OK POR CLIENTE</v>
      </c>
      <c r="J4085" s="1">
        <f t="shared" si="3"/>
        <v>6</v>
      </c>
      <c r="K4085" s="1" t="str">
        <f t="shared" si="4"/>
        <v>Entregamos tus lentes, que los disfrutes!</v>
      </c>
    </row>
    <row r="4086">
      <c r="A4086" s="1">
        <f>IFERROR(__xludf.DUMMYFUNCTION("""COMPUTED_VALUE"""),88649.0)</f>
        <v>88649</v>
      </c>
      <c r="B4086" s="5">
        <f>IFERROR(__xludf.DUMMYFUNCTION("""COMPUTED_VALUE"""),45012.49771490741)</f>
        <v>45012.49771</v>
      </c>
      <c r="C4086" s="1" t="str">
        <f>IFERROR(__xludf.DUMMYFUNCTION("""COMPUTED_VALUE"""),"CORIA LISANDRO")</f>
        <v>CORIA LISANDRO</v>
      </c>
      <c r="D4086" s="1" t="str">
        <f>IFERROR(__xludf.DUMMYFUNCTION("""COMPUTED_VALUE"""),"Lentes de STOCK")</f>
        <v>Lentes de STOCK</v>
      </c>
      <c r="E4086" s="1" t="str">
        <f>IFERROR(__xludf.DUMMYFUNCTION("""COMPUTED_VALUE"""),"ARTIGAS Ivana P.")</f>
        <v>ARTIGAS Ivana P.</v>
      </c>
      <c r="F4086" s="1" t="str">
        <f t="shared" si="1"/>
        <v>ARTIGAS </v>
      </c>
      <c r="G4086" s="1" t="str">
        <f t="shared" si="2"/>
        <v>Ivana P.</v>
      </c>
      <c r="H4086" s="1" t="str">
        <f>IFERROR(__xludf.DUMMYFUNCTION("""COMPUTED_VALUE"""),"29/3/2023, 17:00:00")</f>
        <v>29/3/2023, 17:00:00</v>
      </c>
      <c r="I4086" s="1" t="str">
        <f>IFERROR(__xludf.DUMMYFUNCTION("""COMPUTED_VALUE"""),"RETIRADO OK POR CLIENTE")</f>
        <v>RETIRADO OK POR CLIENTE</v>
      </c>
      <c r="J4086" s="1">
        <f t="shared" si="3"/>
        <v>6</v>
      </c>
      <c r="K4086" s="1" t="str">
        <f t="shared" si="4"/>
        <v>Entregamos tus lentes, que los disfrutes!</v>
      </c>
    </row>
    <row r="4087">
      <c r="A4087" s="1">
        <f>IFERROR(__xludf.DUMMYFUNCTION("""COMPUTED_VALUE"""),88650.0)</f>
        <v>88650</v>
      </c>
      <c r="B4087" s="5">
        <f>IFERROR(__xludf.DUMMYFUNCTION("""COMPUTED_VALUE"""),45012.49911430555)</f>
        <v>45012.49911</v>
      </c>
      <c r="C4087" s="1" t="str">
        <f>IFERROR(__xludf.DUMMYFUNCTION("""COMPUTED_VALUE"""),"MARINI CAMILA")</f>
        <v>MARINI CAMILA</v>
      </c>
      <c r="D4087" s="1" t="str">
        <f>IFERROR(__xludf.DUMMYFUNCTION("""COMPUTED_VALUE"""),"Reparaciones/Otros")</f>
        <v>Reparaciones/Otros</v>
      </c>
      <c r="E4087" s="1" t="str">
        <f>IFERROR(__xludf.DUMMYFUNCTION("""COMPUTED_VALUE"""),"ARTIGAS Roció")</f>
        <v>ARTIGAS Roció</v>
      </c>
      <c r="F4087" s="1" t="str">
        <f t="shared" si="1"/>
        <v>ARTIGAS </v>
      </c>
      <c r="G4087" s="1" t="str">
        <f t="shared" si="2"/>
        <v>Roció</v>
      </c>
      <c r="H4087" s="1" t="str">
        <f>IFERROR(__xludf.DUMMYFUNCTION("""COMPUTED_VALUE"""),"29/3/2023, 17:00:00")</f>
        <v>29/3/2023, 17:00:00</v>
      </c>
      <c r="I4087" s="1" t="str">
        <f>IFERROR(__xludf.DUMMYFUNCTION("""COMPUTED_VALUE"""),"Completado en SUCURSAL")</f>
        <v>Completado en SUCURSAL</v>
      </c>
      <c r="J4087" s="1">
        <f t="shared" si="3"/>
        <v>5</v>
      </c>
      <c r="K4087" s="1" t="str">
        <f t="shared" si="4"/>
        <v>Tus Lentes estan LISTAS PARA ENTREGAR, te esperamos.</v>
      </c>
    </row>
    <row r="4088">
      <c r="A4088" s="1">
        <f>IFERROR(__xludf.DUMMYFUNCTION("""COMPUTED_VALUE"""),88651.0)</f>
        <v>88651</v>
      </c>
      <c r="B4088" s="5">
        <f>IFERROR(__xludf.DUMMYFUNCTION("""COMPUTED_VALUE"""),45012.499378761575)</f>
        <v>45012.49938</v>
      </c>
      <c r="C4088" s="1" t="str">
        <f>IFERROR(__xludf.DUMMYFUNCTION("""COMPUTED_VALUE"""),"caro marianella")</f>
        <v>caro marianella</v>
      </c>
      <c r="D4088" s="1" t="str">
        <f>IFERROR(__xludf.DUMMYFUNCTION("""COMPUTED_VALUE"""),"Lentes de STOCK")</f>
        <v>Lentes de STOCK</v>
      </c>
      <c r="E4088" s="1" t="str">
        <f>IFERROR(__xludf.DUMMYFUNCTION("""COMPUTED_VALUE"""),"RIVADAVIA Santiago N")</f>
        <v>RIVADAVIA Santiago N</v>
      </c>
      <c r="F4088" s="1" t="str">
        <f t="shared" si="1"/>
        <v>RIVADAVIA </v>
      </c>
      <c r="G4088" s="1" t="str">
        <f t="shared" si="2"/>
        <v>Santiago N</v>
      </c>
      <c r="H4088" s="1" t="str">
        <f>IFERROR(__xludf.DUMMYFUNCTION("""COMPUTED_VALUE"""),"30/3/2023, 17:00:00")</f>
        <v>30/3/2023, 17:00:00</v>
      </c>
      <c r="I4088" s="1" t="str">
        <f>IFERROR(__xludf.DUMMYFUNCTION("""COMPUTED_VALUE"""),"RETIRADO OK POR CLIENTE")</f>
        <v>RETIRADO OK POR CLIENTE</v>
      </c>
      <c r="J4088" s="1">
        <f t="shared" si="3"/>
        <v>6</v>
      </c>
      <c r="K4088" s="1" t="str">
        <f t="shared" si="4"/>
        <v>Entregamos tus lentes, que los disfrutes!</v>
      </c>
    </row>
    <row r="4089">
      <c r="A4089" s="1">
        <f>IFERROR(__xludf.DUMMYFUNCTION("""COMPUTED_VALUE"""),88652.0)</f>
        <v>88652</v>
      </c>
      <c r="B4089" s="5">
        <f>IFERROR(__xludf.DUMMYFUNCTION("""COMPUTED_VALUE"""),45012.504665879635)</f>
        <v>45012.50467</v>
      </c>
      <c r="C4089" s="1" t="str">
        <f>IFERROR(__xludf.DUMMYFUNCTION("""COMPUTED_VALUE"""),"GOMEZ MARTHA MONICA")</f>
        <v>GOMEZ MARTHA MONICA</v>
      </c>
      <c r="D4089" s="1" t="str">
        <f>IFERROR(__xludf.DUMMYFUNCTION("""COMPUTED_VALUE"""),"Lentes de STOCK")</f>
        <v>Lentes de STOCK</v>
      </c>
      <c r="E4089" s="1" t="str">
        <f>IFERROR(__xludf.DUMMYFUNCTION("""COMPUTED_VALUE"""),"RIVADAVIA Santiago LOPEZ")</f>
        <v>RIVADAVIA Santiago LOPEZ</v>
      </c>
      <c r="F4089" s="1" t="str">
        <f t="shared" si="1"/>
        <v>RIVADAVIA </v>
      </c>
      <c r="G4089" s="1" t="str">
        <f t="shared" si="2"/>
        <v>Santiago LOPEZ</v>
      </c>
      <c r="H4089" s="1" t="str">
        <f>IFERROR(__xludf.DUMMYFUNCTION("""COMPUTED_VALUE"""),"30/3/2023, 17:00:00")</f>
        <v>30/3/2023, 17:00:00</v>
      </c>
      <c r="I4089" s="1" t="str">
        <f>IFERROR(__xludf.DUMMYFUNCTION("""COMPUTED_VALUE"""),"Completado en SUCURSAL")</f>
        <v>Completado en SUCURSAL</v>
      </c>
      <c r="J4089" s="1">
        <f t="shared" si="3"/>
        <v>5</v>
      </c>
      <c r="K4089" s="1" t="str">
        <f t="shared" si="4"/>
        <v>Tus Lentes estan LISTAS PARA ENTREGAR, te esperamos.</v>
      </c>
    </row>
    <row r="4090">
      <c r="A4090" s="1">
        <f>IFERROR(__xludf.DUMMYFUNCTION("""COMPUTED_VALUE"""),88653.0)</f>
        <v>88653</v>
      </c>
      <c r="B4090" s="5">
        <f>IFERROR(__xludf.DUMMYFUNCTION("""COMPUTED_VALUE"""),45012.50640344908)</f>
        <v>45012.5064</v>
      </c>
      <c r="C4090" s="1" t="str">
        <f>IFERROR(__xludf.DUMMYFUNCTION("""COMPUTED_VALUE"""),"AGUERO MARIA SOLEDAD")</f>
        <v>AGUERO MARIA SOLEDAD</v>
      </c>
      <c r="D4090" s="1" t="str">
        <f>IFERROR(__xludf.DUMMYFUNCTION("""COMPUTED_VALUE"""),"Lentes de LABORATORIO")</f>
        <v>Lentes de LABORATORIO</v>
      </c>
      <c r="E4090" s="1" t="str">
        <f>IFERROR(__xludf.DUMMYFUNCTION("""COMPUTED_VALUE"""),"RIVADAVIA Luciana")</f>
        <v>RIVADAVIA Luciana</v>
      </c>
      <c r="F4090" s="1" t="str">
        <f t="shared" si="1"/>
        <v>RIVADAVIA </v>
      </c>
      <c r="G4090" s="1" t="str">
        <f t="shared" si="2"/>
        <v>Luciana</v>
      </c>
      <c r="H4090" s="1" t="str">
        <f>IFERROR(__xludf.DUMMYFUNCTION("""COMPUTED_VALUE"""),"13/4/2023, 17:00:00")</f>
        <v>13/4/2023, 17:00:00</v>
      </c>
      <c r="I4090" s="1" t="str">
        <f>IFERROR(__xludf.DUMMYFUNCTION("""COMPUTED_VALUE"""),"Completado en SUCURSAL")</f>
        <v>Completado en SUCURSAL</v>
      </c>
      <c r="J4090" s="1">
        <f t="shared" si="3"/>
        <v>5</v>
      </c>
      <c r="K4090" s="1" t="str">
        <f t="shared" si="4"/>
        <v>Tus Lentes estan LISTAS PARA ENTREGAR, te esperamos.</v>
      </c>
    </row>
    <row r="4091">
      <c r="A4091" s="1">
        <f>IFERROR(__xludf.DUMMYFUNCTION("""COMPUTED_VALUE"""),88654.0)</f>
        <v>88654</v>
      </c>
      <c r="B4091" s="5">
        <f>IFERROR(__xludf.DUMMYFUNCTION("""COMPUTED_VALUE"""),45012.50659186342)</f>
        <v>45012.50659</v>
      </c>
      <c r="C4091" s="1" t="str">
        <f>IFERROR(__xludf.DUMMYFUNCTION("""COMPUTED_VALUE"""),"NIEVAS STELLA MARIS")</f>
        <v>NIEVAS STELLA MARIS</v>
      </c>
      <c r="D4091" s="1" t="str">
        <f>IFERROR(__xludf.DUMMYFUNCTION("""COMPUTED_VALUE"""),"Reparaciones/Otros")</f>
        <v>Reparaciones/Otros</v>
      </c>
      <c r="E4091" s="1" t="str">
        <f>IFERROR(__xludf.DUMMYFUNCTION("""COMPUTED_VALUE"""),"ARTIGAS Roció")</f>
        <v>ARTIGAS Roció</v>
      </c>
      <c r="F4091" s="1" t="str">
        <f t="shared" si="1"/>
        <v>ARTIGAS </v>
      </c>
      <c r="G4091" s="1" t="str">
        <f t="shared" si="2"/>
        <v>Roció</v>
      </c>
      <c r="H4091" s="1" t="str">
        <f>IFERROR(__xludf.DUMMYFUNCTION("""COMPUTED_VALUE"""),"29/3/2023, 17:00:00")</f>
        <v>29/3/2023, 17:00:00</v>
      </c>
      <c r="I4091" s="1" t="str">
        <f>IFERROR(__xludf.DUMMYFUNCTION("""COMPUTED_VALUE"""),"Recibido en Laboratorio")</f>
        <v>Recibido en Laboratorio</v>
      </c>
      <c r="J4091" s="1">
        <f t="shared" si="3"/>
        <v>2</v>
      </c>
      <c r="K4091" s="1" t="str">
        <f t="shared" si="4"/>
        <v>Nuestro Laboratorio esta trabajando en tus lentes, los entregaremos en la fecha acordada.</v>
      </c>
    </row>
    <row r="4092">
      <c r="A4092" s="1">
        <f>IFERROR(__xludf.DUMMYFUNCTION("""COMPUTED_VALUE"""),88655.0)</f>
        <v>88655</v>
      </c>
      <c r="B4092" s="5">
        <f>IFERROR(__xludf.DUMMYFUNCTION("""COMPUTED_VALUE"""),45012.50886212963)</f>
        <v>45012.50886</v>
      </c>
      <c r="C4092" s="1" t="str">
        <f>IFERROR(__xludf.DUMMYFUNCTION("""COMPUTED_VALUE"""),"ENDEIZA RICARDO ANIBAL ANTONIO")</f>
        <v>ENDEIZA RICARDO ANIBAL ANTONIO</v>
      </c>
      <c r="D4092" s="1" t="str">
        <f>IFERROR(__xludf.DUMMYFUNCTION("""COMPUTED_VALUE"""),"Lentes de STOCK")</f>
        <v>Lentes de STOCK</v>
      </c>
      <c r="E4092" s="1" t="str">
        <f>IFERROR(__xludf.DUMMYFUNCTION("""COMPUTED_VALUE"""),"RIVADAVIA Marcela L")</f>
        <v>RIVADAVIA Marcela L</v>
      </c>
      <c r="F4092" s="1" t="str">
        <f t="shared" si="1"/>
        <v>RIVADAVIA </v>
      </c>
      <c r="G4092" s="1" t="str">
        <f t="shared" si="2"/>
        <v>Marcela L</v>
      </c>
      <c r="H4092" s="1" t="str">
        <f>IFERROR(__xludf.DUMMYFUNCTION("""COMPUTED_VALUE"""),"31/3/2023, 17:00:00")</f>
        <v>31/3/2023, 17:00:00</v>
      </c>
      <c r="I4092" s="1" t="str">
        <f>IFERROR(__xludf.DUMMYFUNCTION("""COMPUTED_VALUE"""),"RETIRADO OK POR CLIENTE")</f>
        <v>RETIRADO OK POR CLIENTE</v>
      </c>
      <c r="J4092" s="1">
        <f t="shared" si="3"/>
        <v>6</v>
      </c>
      <c r="K4092" s="1" t="str">
        <f t="shared" si="4"/>
        <v>Entregamos tus lentes, que los disfrutes!</v>
      </c>
    </row>
    <row r="4093" hidden="1">
      <c r="A4093" s="1">
        <f>IFERROR(__xludf.DUMMYFUNCTION("""COMPUTED_VALUE"""),88656.0)</f>
        <v>88656</v>
      </c>
      <c r="B4093" s="5">
        <f>IFERROR(__xludf.DUMMYFUNCTION("""COMPUTED_VALUE"""),45012.515336666664)</f>
        <v>45012.51534</v>
      </c>
      <c r="C4093" s="1" t="str">
        <f>IFERROR(__xludf.DUMMYFUNCTION("""COMPUTED_VALUE"""),"LUCERO FLAVIA")</f>
        <v>LUCERO FLAVIA</v>
      </c>
      <c r="D4093" s="1" t="str">
        <f>IFERROR(__xludf.DUMMYFUNCTION("""COMPUTED_VALUE"""),"Lentes MULTIFOCALES")</f>
        <v>Lentes MULTIFOCALES</v>
      </c>
      <c r="E4093" s="1" t="str">
        <f>IFERROR(__xludf.DUMMYFUNCTION("""COMPUTED_VALUE"""),"RIVADAVIA Santiago LOPEZ")</f>
        <v>RIVADAVIA Santiago LOPEZ</v>
      </c>
      <c r="F4093" s="1" t="str">
        <f t="shared" si="1"/>
        <v>RIVADAVIA </v>
      </c>
      <c r="G4093" s="1" t="str">
        <f t="shared" si="2"/>
        <v>Santiago LOPEZ</v>
      </c>
      <c r="H4093" s="1" t="str">
        <f>IFERROR(__xludf.DUMMYFUNCTION("""COMPUTED_VALUE"""),"12/4/2023, 17:00:00")</f>
        <v>12/4/2023, 17:00:00</v>
      </c>
      <c r="I4093" s="1" t="str">
        <f>IFERROR(__xludf.DUMMYFUNCTION("""COMPUTED_VALUE"""),"DEMORADO")</f>
        <v>DEMORADO</v>
      </c>
      <c r="J4093" s="1" t="str">
        <f t="shared" si="3"/>
        <v/>
      </c>
      <c r="K4093" s="1" t="str">
        <f t="shared" si="4"/>
        <v>Tuvimos una demora con tus lentes y no podremos entregarlo en las fecha acordada, estamos trabajando para terminarlos cuanto antes, te mantendremos al tanto, si es necesario contactanos via whatsapp.</v>
      </c>
    </row>
    <row r="4094">
      <c r="A4094" s="1">
        <f>IFERROR(__xludf.DUMMYFUNCTION("""COMPUTED_VALUE"""),88657.0)</f>
        <v>88657</v>
      </c>
      <c r="B4094" s="5">
        <f>IFERROR(__xludf.DUMMYFUNCTION("""COMPUTED_VALUE"""),45012.52453481482)</f>
        <v>45012.52453</v>
      </c>
      <c r="C4094" s="1" t="str">
        <f>IFERROR(__xludf.DUMMYFUNCTION("""COMPUTED_VALUE"""),"serna walter javier")</f>
        <v>serna walter javier</v>
      </c>
      <c r="D4094" s="1" t="str">
        <f>IFERROR(__xludf.DUMMYFUNCTION("""COMPUTED_VALUE"""),"Reparaciones/Otros")</f>
        <v>Reparaciones/Otros</v>
      </c>
      <c r="E4094" s="1" t="str">
        <f>IFERROR(__xludf.DUMMYFUNCTION("""COMPUTED_VALUE"""),"ARTIGAS Roció")</f>
        <v>ARTIGAS Roció</v>
      </c>
      <c r="F4094" s="1" t="str">
        <f t="shared" si="1"/>
        <v>ARTIGAS </v>
      </c>
      <c r="G4094" s="1" t="str">
        <f t="shared" si="2"/>
        <v>Roció</v>
      </c>
      <c r="H4094" s="1" t="str">
        <f>IFERROR(__xludf.DUMMYFUNCTION("""COMPUTED_VALUE"""),"28/3/2023, 17:00:00")</f>
        <v>28/3/2023, 17:00:00</v>
      </c>
      <c r="I4094" s="1" t="str">
        <f>IFERROR(__xludf.DUMMYFUNCTION("""COMPUTED_VALUE"""),"Completado en SUCURSAL")</f>
        <v>Completado en SUCURSAL</v>
      </c>
      <c r="J4094" s="1">
        <f t="shared" si="3"/>
        <v>5</v>
      </c>
      <c r="K4094" s="1" t="str">
        <f t="shared" si="4"/>
        <v>Tus Lentes estan LISTAS PARA ENTREGAR, te esperamos.</v>
      </c>
    </row>
    <row r="4095">
      <c r="A4095" s="1">
        <f>IFERROR(__xludf.DUMMYFUNCTION("""COMPUTED_VALUE"""),88658.0)</f>
        <v>88658</v>
      </c>
      <c r="B4095" s="5">
        <f>IFERROR(__xludf.DUMMYFUNCTION("""COMPUTED_VALUE"""),45012.52629383102)</f>
        <v>45012.52629</v>
      </c>
      <c r="C4095" s="1" t="str">
        <f>IFERROR(__xludf.DUMMYFUNCTION("""COMPUTED_VALUE"""),"MACEDONIO NORMA NOEMI")</f>
        <v>MACEDONIO NORMA NOEMI</v>
      </c>
      <c r="D4095" s="1" t="str">
        <f>IFERROR(__xludf.DUMMYFUNCTION("""COMPUTED_VALUE"""),"Lentes de STOCK")</f>
        <v>Lentes de STOCK</v>
      </c>
      <c r="E4095" s="1" t="str">
        <f>IFERROR(__xludf.DUMMYFUNCTION("""COMPUTED_VALUE"""),"RIVADAVIA Christian C.")</f>
        <v>RIVADAVIA Christian C.</v>
      </c>
      <c r="F4095" s="1" t="str">
        <f t="shared" si="1"/>
        <v>RIVADAVIA </v>
      </c>
      <c r="G4095" s="1" t="str">
        <f t="shared" si="2"/>
        <v>Christian C.</v>
      </c>
      <c r="H4095" s="1" t="str">
        <f>IFERROR(__xludf.DUMMYFUNCTION("""COMPUTED_VALUE"""),"3/4/2023, 17:00:00")</f>
        <v>3/4/2023, 17:00:00</v>
      </c>
      <c r="I4095" s="1" t="str">
        <f>IFERROR(__xludf.DUMMYFUNCTION("""COMPUTED_VALUE"""),"Completado en SUCURSAL")</f>
        <v>Completado en SUCURSAL</v>
      </c>
      <c r="J4095" s="1">
        <f t="shared" si="3"/>
        <v>5</v>
      </c>
      <c r="K4095" s="1" t="str">
        <f t="shared" si="4"/>
        <v>Tus Lentes estan LISTAS PARA ENTREGAR, te esperamos.</v>
      </c>
    </row>
    <row r="4096">
      <c r="A4096" s="1">
        <f>IFERROR(__xludf.DUMMYFUNCTION("""COMPUTED_VALUE"""),88659.0)</f>
        <v>88659</v>
      </c>
      <c r="B4096" s="5">
        <f>IFERROR(__xludf.DUMMYFUNCTION("""COMPUTED_VALUE"""),45012.52653290509)</f>
        <v>45012.52653</v>
      </c>
      <c r="C4096" s="1" t="str">
        <f>IFERROR(__xludf.DUMMYFUNCTION("""COMPUTED_VALUE"""),"PALLERO MMARIA DEL CARMEN")</f>
        <v>PALLERO MMARIA DEL CARMEN</v>
      </c>
      <c r="D4096" s="1" t="str">
        <f>IFERROR(__xludf.DUMMYFUNCTION("""COMPUTED_VALUE"""),"Lentes de STOCK")</f>
        <v>Lentes de STOCK</v>
      </c>
      <c r="E4096" s="1" t="str">
        <f>IFERROR(__xludf.DUMMYFUNCTION("""COMPUTED_VALUE"""),"RIVADAVIA Marcela L")</f>
        <v>RIVADAVIA Marcela L</v>
      </c>
      <c r="F4096" s="1" t="str">
        <f t="shared" si="1"/>
        <v>RIVADAVIA </v>
      </c>
      <c r="G4096" s="1" t="str">
        <f t="shared" si="2"/>
        <v>Marcela L</v>
      </c>
      <c r="H4096" s="1" t="str">
        <f>IFERROR(__xludf.DUMMYFUNCTION("""COMPUTED_VALUE"""),"30/3/2023, 17:00:00")</f>
        <v>30/3/2023, 17:00:00</v>
      </c>
      <c r="I4096" s="1" t="str">
        <f>IFERROR(__xludf.DUMMYFUNCTION("""COMPUTED_VALUE"""),"RETIRADO OK POR CLIENTE")</f>
        <v>RETIRADO OK POR CLIENTE</v>
      </c>
      <c r="J4096" s="1">
        <f t="shared" si="3"/>
        <v>6</v>
      </c>
      <c r="K4096" s="1" t="str">
        <f t="shared" si="4"/>
        <v>Entregamos tus lentes, que los disfrutes!</v>
      </c>
    </row>
    <row r="4097">
      <c r="A4097" s="1">
        <f>IFERROR(__xludf.DUMMYFUNCTION("""COMPUTED_VALUE"""),88660.0)</f>
        <v>88660</v>
      </c>
      <c r="B4097" s="5">
        <f>IFERROR(__xludf.DUMMYFUNCTION("""COMPUTED_VALUE"""),45012.52883623843)</f>
        <v>45012.52884</v>
      </c>
      <c r="C4097" s="1" t="str">
        <f>IFERROR(__xludf.DUMMYFUNCTION("""COMPUTED_VALUE"""),"JOFRE TERESA JUDITH ")</f>
        <v>JOFRE TERESA JUDITH </v>
      </c>
      <c r="D4097" s="1" t="str">
        <f>IFERROR(__xludf.DUMMYFUNCTION("""COMPUTED_VALUE"""),"Lentes de STOCK")</f>
        <v>Lentes de STOCK</v>
      </c>
      <c r="E4097" s="1" t="str">
        <f>IFERROR(__xludf.DUMMYFUNCTION("""COMPUTED_VALUE"""),"RIVADAVIA Luciana")</f>
        <v>RIVADAVIA Luciana</v>
      </c>
      <c r="F4097" s="1" t="str">
        <f t="shared" si="1"/>
        <v>RIVADAVIA </v>
      </c>
      <c r="G4097" s="1" t="str">
        <f t="shared" si="2"/>
        <v>Luciana</v>
      </c>
      <c r="H4097" s="1" t="str">
        <f>IFERROR(__xludf.DUMMYFUNCTION("""COMPUTED_VALUE"""),"30/3/2023, 17:00:00")</f>
        <v>30/3/2023, 17:00:00</v>
      </c>
      <c r="I4097" s="1" t="str">
        <f>IFERROR(__xludf.DUMMYFUNCTION("""COMPUTED_VALUE"""),"Completado en SUCURSAL")</f>
        <v>Completado en SUCURSAL</v>
      </c>
      <c r="J4097" s="1">
        <f t="shared" si="3"/>
        <v>5</v>
      </c>
      <c r="K4097" s="1" t="str">
        <f t="shared" si="4"/>
        <v>Tus Lentes estan LISTAS PARA ENTREGAR, te esperamos.</v>
      </c>
    </row>
    <row r="4098">
      <c r="A4098" s="1">
        <f>IFERROR(__xludf.DUMMYFUNCTION("""COMPUTED_VALUE"""),88661.0)</f>
        <v>88661</v>
      </c>
      <c r="B4098" s="5">
        <f>IFERROR(__xludf.DUMMYFUNCTION("""COMPUTED_VALUE"""),45012.53352207176)</f>
        <v>45012.53352</v>
      </c>
      <c r="C4098" s="1" t="str">
        <f>IFERROR(__xludf.DUMMYFUNCTION("""COMPUTED_VALUE"""),"ACUÑA DEL ROSARIO")</f>
        <v>ACUÑA DEL ROSARIO</v>
      </c>
      <c r="D4098" s="1" t="str">
        <f>IFERROR(__xludf.DUMMYFUNCTION("""COMPUTED_VALUE"""),"Lentes MULTIFOCALES")</f>
        <v>Lentes MULTIFOCALES</v>
      </c>
      <c r="E4098" s="1" t="str">
        <f>IFERROR(__xludf.DUMMYFUNCTION("""COMPUTED_VALUE"""),"RIVADAVIA Santiago LOPEZ")</f>
        <v>RIVADAVIA Santiago LOPEZ</v>
      </c>
      <c r="F4098" s="1" t="str">
        <f t="shared" si="1"/>
        <v>RIVADAVIA </v>
      </c>
      <c r="G4098" s="1" t="str">
        <f t="shared" si="2"/>
        <v>Santiago LOPEZ</v>
      </c>
      <c r="H4098" s="1" t="str">
        <f>IFERROR(__xludf.DUMMYFUNCTION("""COMPUTED_VALUE"""),"4/4/2023, 17:00:00")</f>
        <v>4/4/2023, 17:00:00</v>
      </c>
      <c r="I4098" s="1" t="str">
        <f>IFERROR(__xludf.DUMMYFUNCTION("""COMPUTED_VALUE"""),"RETIRADO OK POR CLIENTE")</f>
        <v>RETIRADO OK POR CLIENTE</v>
      </c>
      <c r="J4098" s="1">
        <f t="shared" si="3"/>
        <v>6</v>
      </c>
      <c r="K4098" s="1" t="str">
        <f t="shared" si="4"/>
        <v>Entregamos tus lentes, que los disfrutes!</v>
      </c>
    </row>
    <row r="4099">
      <c r="A4099" s="1">
        <f>IFERROR(__xludf.DUMMYFUNCTION("""COMPUTED_VALUE"""),88662.0)</f>
        <v>88662</v>
      </c>
      <c r="B4099" s="5">
        <f>IFERROR(__xludf.DUMMYFUNCTION("""COMPUTED_VALUE"""),45012.54574212963)</f>
        <v>45012.54574</v>
      </c>
      <c r="C4099" s="1" t="str">
        <f>IFERROR(__xludf.DUMMYFUNCTION("""COMPUTED_VALUE"""),"TORRES GINO")</f>
        <v>TORRES GINO</v>
      </c>
      <c r="D4099" s="1" t="str">
        <f>IFERROR(__xludf.DUMMYFUNCTION("""COMPUTED_VALUE"""),"Lentes de STOCK")</f>
        <v>Lentes de STOCK</v>
      </c>
      <c r="E4099" s="1" t="str">
        <f>IFERROR(__xludf.DUMMYFUNCTION("""COMPUTED_VALUE"""),"RIVADAVIA Luciana")</f>
        <v>RIVADAVIA Luciana</v>
      </c>
      <c r="F4099" s="1" t="str">
        <f t="shared" si="1"/>
        <v>RIVADAVIA </v>
      </c>
      <c r="G4099" s="1" t="str">
        <f t="shared" si="2"/>
        <v>Luciana</v>
      </c>
      <c r="H4099" s="1" t="str">
        <f>IFERROR(__xludf.DUMMYFUNCTION("""COMPUTED_VALUE"""),"31/3/2023, 17:00:00")</f>
        <v>31/3/2023, 17:00:00</v>
      </c>
      <c r="I4099" s="1" t="str">
        <f>IFERROR(__xludf.DUMMYFUNCTION("""COMPUTED_VALUE"""),"RETIRADO OK POR CLIENTE")</f>
        <v>RETIRADO OK POR CLIENTE</v>
      </c>
      <c r="J4099" s="1">
        <f t="shared" si="3"/>
        <v>6</v>
      </c>
      <c r="K4099" s="1" t="str">
        <f t="shared" si="4"/>
        <v>Entregamos tus lentes, que los disfrutes!</v>
      </c>
    </row>
    <row r="4100">
      <c r="A4100" s="1">
        <f>IFERROR(__xludf.DUMMYFUNCTION("""COMPUTED_VALUE"""),88663.0)</f>
        <v>88663</v>
      </c>
      <c r="B4100" s="5">
        <f>IFERROR(__xludf.DUMMYFUNCTION("""COMPUTED_VALUE"""),45012.54608076389)</f>
        <v>45012.54608</v>
      </c>
      <c r="C4100" s="1" t="str">
        <f>IFERROR(__xludf.DUMMYFUNCTION("""COMPUTED_VALUE"""),"LUCERO JORGE MIGUEL")</f>
        <v>LUCERO JORGE MIGUEL</v>
      </c>
      <c r="D4100" s="1" t="str">
        <f>IFERROR(__xludf.DUMMYFUNCTION("""COMPUTED_VALUE"""),"Lentes BIFOCALES")</f>
        <v>Lentes BIFOCALES</v>
      </c>
      <c r="E4100" s="1" t="str">
        <f>IFERROR(__xludf.DUMMYFUNCTION("""COMPUTED_VALUE"""),"RIVADAVIA Marcela L")</f>
        <v>RIVADAVIA Marcela L</v>
      </c>
      <c r="F4100" s="1" t="str">
        <f t="shared" si="1"/>
        <v>RIVADAVIA </v>
      </c>
      <c r="G4100" s="1" t="str">
        <f t="shared" si="2"/>
        <v>Marcela L</v>
      </c>
      <c r="H4100" s="1" t="str">
        <f>IFERROR(__xludf.DUMMYFUNCTION("""COMPUTED_VALUE"""),"31/3/2023, 17:00:00")</f>
        <v>31/3/2023, 17:00:00</v>
      </c>
      <c r="I4100" s="1" t="str">
        <f>IFERROR(__xludf.DUMMYFUNCTION("""COMPUTED_VALUE"""),"RETIRADO OK POR CLIENTE")</f>
        <v>RETIRADO OK POR CLIENTE</v>
      </c>
      <c r="J4100" s="1">
        <f t="shared" si="3"/>
        <v>6</v>
      </c>
      <c r="K4100" s="1" t="str">
        <f t="shared" si="4"/>
        <v>Entregamos tus lentes, que los disfrutes!</v>
      </c>
    </row>
    <row r="4101">
      <c r="A4101" s="1">
        <f>IFERROR(__xludf.DUMMYFUNCTION("""COMPUTED_VALUE"""),88664.0)</f>
        <v>88664</v>
      </c>
      <c r="B4101" s="5">
        <f>IFERROR(__xludf.DUMMYFUNCTION("""COMPUTED_VALUE"""),45012.54780922453)</f>
        <v>45012.54781</v>
      </c>
      <c r="C4101" s="1" t="str">
        <f>IFERROR(__xludf.DUMMYFUNCTION("""COMPUTED_VALUE"""),"ARIAS SEBASTIAN NAHUEL")</f>
        <v>ARIAS SEBASTIAN NAHUEL</v>
      </c>
      <c r="D4101" s="1" t="str">
        <f>IFERROR(__xludf.DUMMYFUNCTION("""COMPUTED_VALUE"""),"Lentes de STOCK")</f>
        <v>Lentes de STOCK</v>
      </c>
      <c r="E4101" s="1" t="str">
        <f>IFERROR(__xludf.DUMMYFUNCTION("""COMPUTED_VALUE"""),"RIVADAVIA Christian C.")</f>
        <v>RIVADAVIA Christian C.</v>
      </c>
      <c r="F4101" s="1" t="str">
        <f t="shared" si="1"/>
        <v>RIVADAVIA </v>
      </c>
      <c r="G4101" s="1" t="str">
        <f t="shared" si="2"/>
        <v>Christian C.</v>
      </c>
      <c r="H4101" s="1" t="str">
        <f>IFERROR(__xludf.DUMMYFUNCTION("""COMPUTED_VALUE"""),"3/4/2023, 17:00:00")</f>
        <v>3/4/2023, 17:00:00</v>
      </c>
      <c r="I4101" s="1" t="str">
        <f>IFERROR(__xludf.DUMMYFUNCTION("""COMPUTED_VALUE"""),"RETIRADO OK POR CLIENTE")</f>
        <v>RETIRADO OK POR CLIENTE</v>
      </c>
      <c r="J4101" s="1">
        <f t="shared" si="3"/>
        <v>6</v>
      </c>
      <c r="K4101" s="1" t="str">
        <f t="shared" si="4"/>
        <v>Entregamos tus lentes, que los disfrutes!</v>
      </c>
    </row>
    <row r="4102">
      <c r="A4102" s="1">
        <f>IFERROR(__xludf.DUMMYFUNCTION("""COMPUTED_VALUE"""),88665.0)</f>
        <v>88665</v>
      </c>
      <c r="B4102" s="5">
        <f>IFERROR(__xludf.DUMMYFUNCTION("""COMPUTED_VALUE"""),45012.55049971065)</f>
        <v>45012.5505</v>
      </c>
      <c r="C4102" s="1" t="str">
        <f>IFERROR(__xludf.DUMMYFUNCTION("""COMPUTED_VALUE"""),"GARRO KEVIN")</f>
        <v>GARRO KEVIN</v>
      </c>
      <c r="D4102" s="1" t="str">
        <f>IFERROR(__xludf.DUMMYFUNCTION("""COMPUTED_VALUE"""),"Lentes de STOCK")</f>
        <v>Lentes de STOCK</v>
      </c>
      <c r="E4102" s="1" t="str">
        <f>IFERROR(__xludf.DUMMYFUNCTION("""COMPUTED_VALUE"""),"ARTIGAS Roció")</f>
        <v>ARTIGAS Roció</v>
      </c>
      <c r="F4102" s="1" t="str">
        <f t="shared" si="1"/>
        <v>ARTIGAS </v>
      </c>
      <c r="G4102" s="1" t="str">
        <f t="shared" si="2"/>
        <v>Roció</v>
      </c>
      <c r="H4102" s="1" t="str">
        <f>IFERROR(__xludf.DUMMYFUNCTION("""COMPUTED_VALUE"""),"5/4/2023, 17:00:00")</f>
        <v>5/4/2023, 17:00:00</v>
      </c>
      <c r="I4102" s="1" t="str">
        <f>IFERROR(__xludf.DUMMYFUNCTION("""COMPUTED_VALUE"""),"RETIRADO OK POR CLIENTE")</f>
        <v>RETIRADO OK POR CLIENTE</v>
      </c>
      <c r="J4102" s="1">
        <f t="shared" si="3"/>
        <v>6</v>
      </c>
      <c r="K4102" s="1" t="str">
        <f t="shared" si="4"/>
        <v>Entregamos tus lentes, que los disfrutes!</v>
      </c>
    </row>
    <row r="4103">
      <c r="A4103" s="1">
        <f>IFERROR(__xludf.DUMMYFUNCTION("""COMPUTED_VALUE"""),88666.0)</f>
        <v>88666</v>
      </c>
      <c r="B4103" s="5">
        <f>IFERROR(__xludf.DUMMYFUNCTION("""COMPUTED_VALUE"""),45012.560421111106)</f>
        <v>45012.56042</v>
      </c>
      <c r="C4103" s="1" t="str">
        <f>IFERROR(__xludf.DUMMYFUNCTION("""COMPUTED_VALUE"""),"COSTANSO CANDEDLA PILAR")</f>
        <v>COSTANSO CANDEDLA PILAR</v>
      </c>
      <c r="D4103" s="1" t="str">
        <f>IFERROR(__xludf.DUMMYFUNCTION("""COMPUTED_VALUE"""),"Lentes de STOCK")</f>
        <v>Lentes de STOCK</v>
      </c>
      <c r="E4103" s="1" t="str">
        <f>IFERROR(__xludf.DUMMYFUNCTION("""COMPUTED_VALUE"""),"RIVADAVIA Marcela L")</f>
        <v>RIVADAVIA Marcela L</v>
      </c>
      <c r="F4103" s="1" t="str">
        <f t="shared" si="1"/>
        <v>RIVADAVIA </v>
      </c>
      <c r="G4103" s="1" t="str">
        <f t="shared" si="2"/>
        <v>Marcela L</v>
      </c>
      <c r="H4103" s="1" t="str">
        <f>IFERROR(__xludf.DUMMYFUNCTION("""COMPUTED_VALUE"""),"30/3/2023, 17:00:00")</f>
        <v>30/3/2023, 17:00:00</v>
      </c>
      <c r="I4103" s="1" t="str">
        <f>IFERROR(__xludf.DUMMYFUNCTION("""COMPUTED_VALUE"""),"RETIRADO OK POR CLIENTE")</f>
        <v>RETIRADO OK POR CLIENTE</v>
      </c>
      <c r="J4103" s="1">
        <f t="shared" si="3"/>
        <v>6</v>
      </c>
      <c r="K4103" s="1" t="str">
        <f t="shared" si="4"/>
        <v>Entregamos tus lentes, que los disfrutes!</v>
      </c>
    </row>
    <row r="4104">
      <c r="A4104" s="1">
        <f>IFERROR(__xludf.DUMMYFUNCTION("""COMPUTED_VALUE"""),88667.0)</f>
        <v>88667</v>
      </c>
      <c r="B4104" s="5">
        <f>IFERROR(__xludf.DUMMYFUNCTION("""COMPUTED_VALUE"""),45012.56756740741)</f>
        <v>45012.56757</v>
      </c>
      <c r="C4104" s="1" t="str">
        <f>IFERROR(__xludf.DUMMYFUNCTION("""COMPUTED_VALUE"""),"PERJNA OSVALDO")</f>
        <v>PERJNA OSVALDO</v>
      </c>
      <c r="D4104" s="1" t="str">
        <f>IFERROR(__xludf.DUMMYFUNCTION("""COMPUTED_VALUE"""),"Lentes BIFOCALES")</f>
        <v>Lentes BIFOCALES</v>
      </c>
      <c r="E4104" s="1" t="str">
        <f>IFERROR(__xludf.DUMMYFUNCTION("""COMPUTED_VALUE"""),"ARTIGAS Ivana P.")</f>
        <v>ARTIGAS Ivana P.</v>
      </c>
      <c r="F4104" s="1" t="str">
        <f t="shared" si="1"/>
        <v>ARTIGAS </v>
      </c>
      <c r="G4104" s="1" t="str">
        <f t="shared" si="2"/>
        <v>Ivana P.</v>
      </c>
      <c r="H4104" s="1" t="str">
        <f>IFERROR(__xludf.DUMMYFUNCTION("""COMPUTED_VALUE"""),"31/3/2023, 17:00:00")</f>
        <v>31/3/2023, 17:00:00</v>
      </c>
      <c r="I4104" s="1" t="str">
        <f>IFERROR(__xludf.DUMMYFUNCTION("""COMPUTED_VALUE"""),"Recibido en Laboratorio")</f>
        <v>Recibido en Laboratorio</v>
      </c>
      <c r="J4104" s="1">
        <f t="shared" si="3"/>
        <v>2</v>
      </c>
      <c r="K4104" s="1" t="str">
        <f t="shared" si="4"/>
        <v>Nuestro Laboratorio esta trabajando en tus lentes, los entregaremos en la fecha acordada.</v>
      </c>
    </row>
    <row r="4105">
      <c r="A4105" s="1">
        <f>IFERROR(__xludf.DUMMYFUNCTION("""COMPUTED_VALUE"""),88668.0)</f>
        <v>88668</v>
      </c>
      <c r="B4105" s="5">
        <f>IFERROR(__xludf.DUMMYFUNCTION("""COMPUTED_VALUE"""),45012.57741726852)</f>
        <v>45012.57742</v>
      </c>
      <c r="C4105" s="1" t="str">
        <f>IFERROR(__xludf.DUMMYFUNCTION("""COMPUTED_VALUE"""),"DIGENARO GABRIELA ")</f>
        <v>DIGENARO GABRIELA </v>
      </c>
      <c r="D4105" s="1" t="str">
        <f>IFERROR(__xludf.DUMMYFUNCTION("""COMPUTED_VALUE"""),"Lentes MULTIFOCALES")</f>
        <v>Lentes MULTIFOCALES</v>
      </c>
      <c r="E4105" s="1" t="str">
        <f>IFERROR(__xludf.DUMMYFUNCTION("""COMPUTED_VALUE"""),"RIVADAVIA Christian C.")</f>
        <v>RIVADAVIA Christian C.</v>
      </c>
      <c r="F4105" s="1" t="str">
        <f t="shared" si="1"/>
        <v>RIVADAVIA </v>
      </c>
      <c r="G4105" s="1" t="str">
        <f t="shared" si="2"/>
        <v>Christian C.</v>
      </c>
      <c r="H4105" s="1" t="str">
        <f>IFERROR(__xludf.DUMMYFUNCTION("""COMPUTED_VALUE"""),"17/4/2023, 17:00:00")</f>
        <v>17/4/2023, 17:00:00</v>
      </c>
      <c r="I4105" s="1" t="str">
        <f>IFERROR(__xludf.DUMMYFUNCTION("""COMPUTED_VALUE"""),"Completado en SUCURSAL")</f>
        <v>Completado en SUCURSAL</v>
      </c>
      <c r="J4105" s="1">
        <f t="shared" si="3"/>
        <v>5</v>
      </c>
      <c r="K4105" s="1" t="str">
        <f t="shared" si="4"/>
        <v>Tus Lentes estan LISTAS PARA ENTREGAR, te esperamos.</v>
      </c>
    </row>
    <row r="4106">
      <c r="A4106" s="1">
        <f>IFERROR(__xludf.DUMMYFUNCTION("""COMPUTED_VALUE"""),88669.0)</f>
        <v>88669</v>
      </c>
      <c r="B4106" s="5">
        <f>IFERROR(__xludf.DUMMYFUNCTION("""COMPUTED_VALUE"""),45012.5820689699)</f>
        <v>45012.58207</v>
      </c>
      <c r="C4106" s="1" t="str">
        <f>IFERROR(__xludf.DUMMYFUNCTION("""COMPUTED_VALUE"""),"BUSTOS JULIO")</f>
        <v>BUSTOS JULIO</v>
      </c>
      <c r="D4106" s="1" t="str">
        <f>IFERROR(__xludf.DUMMYFUNCTION("""COMPUTED_VALUE"""),"Reparaciones/Otros")</f>
        <v>Reparaciones/Otros</v>
      </c>
      <c r="E4106" s="1" t="str">
        <f>IFERROR(__xludf.DUMMYFUNCTION("""COMPUTED_VALUE"""),"ARTIGAS Ivana P.")</f>
        <v>ARTIGAS Ivana P.</v>
      </c>
      <c r="F4106" s="1" t="str">
        <f t="shared" si="1"/>
        <v>ARTIGAS </v>
      </c>
      <c r="G4106" s="1" t="str">
        <f t="shared" si="2"/>
        <v>Ivana P.</v>
      </c>
      <c r="H4106" s="1" t="str">
        <f>IFERROR(__xludf.DUMMYFUNCTION("""COMPUTED_VALUE"""),"28/3/2023, 17:00:00")</f>
        <v>28/3/2023, 17:00:00</v>
      </c>
      <c r="I4106" s="1" t="str">
        <f>IFERROR(__xludf.DUMMYFUNCTION("""COMPUTED_VALUE"""),"Completado en SUCURSAL")</f>
        <v>Completado en SUCURSAL</v>
      </c>
      <c r="J4106" s="1">
        <f t="shared" si="3"/>
        <v>5</v>
      </c>
      <c r="K4106" s="1" t="str">
        <f t="shared" si="4"/>
        <v>Tus Lentes estan LISTAS PARA ENTREGAR, te esperamos.</v>
      </c>
    </row>
    <row r="4107">
      <c r="A4107" s="1">
        <f>IFERROR(__xludf.DUMMYFUNCTION("""COMPUTED_VALUE"""),88670.0)</f>
        <v>88670</v>
      </c>
      <c r="B4107" s="5">
        <f>IFERROR(__xludf.DUMMYFUNCTION("""COMPUTED_VALUE"""),45012.60244797454)</f>
        <v>45012.60245</v>
      </c>
      <c r="C4107" s="1" t="str">
        <f>IFERROR(__xludf.DUMMYFUNCTION("""COMPUTED_VALUE"""),"DIAZ MARIA PAZ")</f>
        <v>DIAZ MARIA PAZ</v>
      </c>
      <c r="D4107" s="1" t="str">
        <f>IFERROR(__xludf.DUMMYFUNCTION("""COMPUTED_VALUE"""),"Lentes de STOCK")</f>
        <v>Lentes de STOCK</v>
      </c>
      <c r="E4107" s="1" t="str">
        <f>IFERROR(__xludf.DUMMYFUNCTION("""COMPUTED_VALUE"""),"ARTIGAS Ivana P.")</f>
        <v>ARTIGAS Ivana P.</v>
      </c>
      <c r="F4107" s="1" t="str">
        <f t="shared" si="1"/>
        <v>ARTIGAS </v>
      </c>
      <c r="G4107" s="1" t="str">
        <f t="shared" si="2"/>
        <v>Ivana P.</v>
      </c>
      <c r="H4107" s="1" t="str">
        <f>IFERROR(__xludf.DUMMYFUNCTION("""COMPUTED_VALUE"""),"1/4/2023, 17:00:00")</f>
        <v>1/4/2023, 17:00:00</v>
      </c>
      <c r="I4107" s="1" t="str">
        <f>IFERROR(__xludf.DUMMYFUNCTION("""COMPUTED_VALUE"""),"RETIRADO OK POR CLIENTE")</f>
        <v>RETIRADO OK POR CLIENTE</v>
      </c>
      <c r="J4107" s="1">
        <f t="shared" si="3"/>
        <v>6</v>
      </c>
      <c r="K4107" s="1" t="str">
        <f t="shared" si="4"/>
        <v>Entregamos tus lentes, que los disfrutes!</v>
      </c>
    </row>
    <row r="4108">
      <c r="A4108" s="1">
        <f>IFERROR(__xludf.DUMMYFUNCTION("""COMPUTED_VALUE"""),88671.0)</f>
        <v>88671</v>
      </c>
      <c r="B4108" s="5">
        <f>IFERROR(__xludf.DUMMYFUNCTION("""COMPUTED_VALUE"""),45012.63387207176)</f>
        <v>45012.63387</v>
      </c>
      <c r="C4108" s="1" t="str">
        <f>IFERROR(__xludf.DUMMYFUNCTION("""COMPUTED_VALUE"""),"TORALES DAVID / CEMENTO AVELLANEDA")</f>
        <v>TORALES DAVID / CEMENTO AVELLANEDA</v>
      </c>
      <c r="D4108" s="1" t="str">
        <f>IFERROR(__xludf.DUMMYFUNCTION("""COMPUTED_VALUE"""),"Lentes de STOCK")</f>
        <v>Lentes de STOCK</v>
      </c>
      <c r="E4108" s="1" t="str">
        <f>IFERROR(__xludf.DUMMYFUNCTION("""COMPUTED_VALUE"""),"ARTIGAS Ivana P.")</f>
        <v>ARTIGAS Ivana P.</v>
      </c>
      <c r="F4108" s="1" t="str">
        <f t="shared" si="1"/>
        <v>ARTIGAS </v>
      </c>
      <c r="G4108" s="1" t="str">
        <f t="shared" si="2"/>
        <v>Ivana P.</v>
      </c>
      <c r="H4108" s="1" t="str">
        <f>IFERROR(__xludf.DUMMYFUNCTION("""COMPUTED_VALUE"""),"30/3/2023, 17:00:00")</f>
        <v>30/3/2023, 17:00:00</v>
      </c>
      <c r="I4108" s="1" t="str">
        <f>IFERROR(__xludf.DUMMYFUNCTION("""COMPUTED_VALUE"""),"RETIRADO OK POR CLIENTE")</f>
        <v>RETIRADO OK POR CLIENTE</v>
      </c>
      <c r="J4108" s="1">
        <f t="shared" si="3"/>
        <v>6</v>
      </c>
      <c r="K4108" s="1" t="str">
        <f t="shared" si="4"/>
        <v>Entregamos tus lentes, que los disfrutes!</v>
      </c>
    </row>
    <row r="4109">
      <c r="A4109" s="1">
        <f>IFERROR(__xludf.DUMMYFUNCTION("""COMPUTED_VALUE"""),88672.0)</f>
        <v>88672</v>
      </c>
      <c r="B4109" s="5">
        <f>IFERROR(__xludf.DUMMYFUNCTION("""COMPUTED_VALUE"""),45012.64386078704)</f>
        <v>45012.64386</v>
      </c>
      <c r="C4109" s="1" t="str">
        <f>IFERROR(__xludf.DUMMYFUNCTION("""COMPUTED_VALUE"""),"FUENTES GUSTAVO / CK")</f>
        <v>FUENTES GUSTAVO / CK</v>
      </c>
      <c r="D4109" s="1" t="str">
        <f>IFERROR(__xludf.DUMMYFUNCTION("""COMPUTED_VALUE"""),"Lentes MULTIFOCALES")</f>
        <v>Lentes MULTIFOCALES</v>
      </c>
      <c r="E4109" s="1" t="str">
        <f>IFERROR(__xludf.DUMMYFUNCTION("""COMPUTED_VALUE"""),"ARTIGAS Ivana P.")</f>
        <v>ARTIGAS Ivana P.</v>
      </c>
      <c r="F4109" s="1" t="str">
        <f t="shared" si="1"/>
        <v>ARTIGAS </v>
      </c>
      <c r="G4109" s="1" t="str">
        <f t="shared" si="2"/>
        <v>Ivana P.</v>
      </c>
      <c r="H4109" s="1" t="str">
        <f>IFERROR(__xludf.DUMMYFUNCTION("""COMPUTED_VALUE"""),"3/4/2023, 17:00:00")</f>
        <v>3/4/2023, 17:00:00</v>
      </c>
      <c r="I4109" s="1" t="str">
        <f>IFERROR(__xludf.DUMMYFUNCTION("""COMPUTED_VALUE"""),"Recibido en Laboratorio")</f>
        <v>Recibido en Laboratorio</v>
      </c>
      <c r="J4109" s="1">
        <f t="shared" si="3"/>
        <v>2</v>
      </c>
      <c r="K4109" s="1" t="str">
        <f t="shared" si="4"/>
        <v>Nuestro Laboratorio esta trabajando en tus lentes, los entregaremos en la fecha acordada.</v>
      </c>
    </row>
    <row r="4110">
      <c r="A4110" s="1">
        <f>IFERROR(__xludf.DUMMYFUNCTION("""COMPUTED_VALUE"""),88673.0)</f>
        <v>88673</v>
      </c>
      <c r="B4110" s="5">
        <f>IFERROR(__xludf.DUMMYFUNCTION("""COMPUTED_VALUE"""),45012.649260983795)</f>
        <v>45012.64926</v>
      </c>
      <c r="C4110" s="1" t="str">
        <f>IFERROR(__xludf.DUMMYFUNCTION("""COMPUTED_VALUE"""),"AGUERO JULIO / KC")</f>
        <v>AGUERO JULIO / KC</v>
      </c>
      <c r="D4110" s="1" t="str">
        <f>IFERROR(__xludf.DUMMYFUNCTION("""COMPUTED_VALUE"""),"Lentes de STOCK")</f>
        <v>Lentes de STOCK</v>
      </c>
      <c r="E4110" s="1" t="str">
        <f>IFERROR(__xludf.DUMMYFUNCTION("""COMPUTED_VALUE"""),"ARTIGAS Ivana P.")</f>
        <v>ARTIGAS Ivana P.</v>
      </c>
      <c r="F4110" s="1" t="str">
        <f t="shared" si="1"/>
        <v>ARTIGAS </v>
      </c>
      <c r="G4110" s="1" t="str">
        <f t="shared" si="2"/>
        <v>Ivana P.</v>
      </c>
      <c r="H4110" s="1" t="str">
        <f>IFERROR(__xludf.DUMMYFUNCTION("""COMPUTED_VALUE"""),"30/3/2023, 17:00:00")</f>
        <v>30/3/2023, 17:00:00</v>
      </c>
      <c r="I4110" s="1" t="str">
        <f>IFERROR(__xludf.DUMMYFUNCTION("""COMPUTED_VALUE"""),"Completado en SUCURSAL")</f>
        <v>Completado en SUCURSAL</v>
      </c>
      <c r="J4110" s="1">
        <f t="shared" si="3"/>
        <v>5</v>
      </c>
      <c r="K4110" s="1" t="str">
        <f t="shared" si="4"/>
        <v>Tus Lentes estan LISTAS PARA ENTREGAR, te esperamos.</v>
      </c>
    </row>
    <row r="4111">
      <c r="A4111" s="1">
        <f>IFERROR(__xludf.DUMMYFUNCTION("""COMPUTED_VALUE"""),88674.0)</f>
        <v>88674</v>
      </c>
      <c r="B4111" s="5">
        <f>IFERROR(__xludf.DUMMYFUNCTION("""COMPUTED_VALUE"""),45012.67084935185)</f>
        <v>45012.67085</v>
      </c>
      <c r="C4111" s="1" t="str">
        <f>IFERROR(__xludf.DUMMYFUNCTION("""COMPUTED_VALUE"""),"TORREZ ANGEL / DOS ANCLAS")</f>
        <v>TORREZ ANGEL / DOS ANCLAS</v>
      </c>
      <c r="D4111" s="1" t="str">
        <f>IFERROR(__xludf.DUMMYFUNCTION("""COMPUTED_VALUE"""),"Lentes MULTIFOCALES")</f>
        <v>Lentes MULTIFOCALES</v>
      </c>
      <c r="E4111" s="1" t="str">
        <f>IFERROR(__xludf.DUMMYFUNCTION("""COMPUTED_VALUE"""),"ARTIGAS Ivana P.")</f>
        <v>ARTIGAS Ivana P.</v>
      </c>
      <c r="F4111" s="1" t="str">
        <f t="shared" si="1"/>
        <v>ARTIGAS </v>
      </c>
      <c r="G4111" s="1" t="str">
        <f t="shared" si="2"/>
        <v>Ivana P.</v>
      </c>
      <c r="H4111" s="1" t="str">
        <f>IFERROR(__xludf.DUMMYFUNCTION("""COMPUTED_VALUE"""),"10/4/2023, 17:00:00")</f>
        <v>10/4/2023, 17:00:00</v>
      </c>
      <c r="I4111" s="1" t="str">
        <f>IFERROR(__xludf.DUMMYFUNCTION("""COMPUTED_VALUE"""),"Completado en SUCURSAL")</f>
        <v>Completado en SUCURSAL</v>
      </c>
      <c r="J4111" s="1">
        <f t="shared" si="3"/>
        <v>5</v>
      </c>
      <c r="K4111" s="1" t="str">
        <f t="shared" si="4"/>
        <v>Tus Lentes estan LISTAS PARA ENTREGAR, te esperamos.</v>
      </c>
    </row>
    <row r="4112">
      <c r="A4112" s="1">
        <f>IFERROR(__xludf.DUMMYFUNCTION("""COMPUTED_VALUE"""),88675.0)</f>
        <v>88675</v>
      </c>
      <c r="B4112" s="5">
        <f>IFERROR(__xludf.DUMMYFUNCTION("""COMPUTED_VALUE"""),45012.67876081019)</f>
        <v>45012.67876</v>
      </c>
      <c r="C4112" s="1" t="str">
        <f>IFERROR(__xludf.DUMMYFUNCTION("""COMPUTED_VALUE"""),"AGUERO JUAN / DOS ANCLAS")</f>
        <v>AGUERO JUAN / DOS ANCLAS</v>
      </c>
      <c r="D4112" s="1" t="str">
        <f>IFERROR(__xludf.DUMMYFUNCTION("""COMPUTED_VALUE"""),"Lentes BIFOCALES")</f>
        <v>Lentes BIFOCALES</v>
      </c>
      <c r="E4112" s="1" t="str">
        <f>IFERROR(__xludf.DUMMYFUNCTION("""COMPUTED_VALUE"""),"ARTIGAS Ivana P.")</f>
        <v>ARTIGAS Ivana P.</v>
      </c>
      <c r="F4112" s="1" t="str">
        <f t="shared" si="1"/>
        <v>ARTIGAS </v>
      </c>
      <c r="G4112" s="1" t="str">
        <f t="shared" si="2"/>
        <v>Ivana P.</v>
      </c>
      <c r="H4112" s="1" t="str">
        <f>IFERROR(__xludf.DUMMYFUNCTION("""COMPUTED_VALUE"""),"10/4/2023, 17:00:00")</f>
        <v>10/4/2023, 17:00:00</v>
      </c>
      <c r="I4112" s="1" t="str">
        <f>IFERROR(__xludf.DUMMYFUNCTION("""COMPUTED_VALUE"""),"Completado en SUCURSAL")</f>
        <v>Completado en SUCURSAL</v>
      </c>
      <c r="J4112" s="1">
        <f t="shared" si="3"/>
        <v>5</v>
      </c>
      <c r="K4112" s="1" t="str">
        <f t="shared" si="4"/>
        <v>Tus Lentes estan LISTAS PARA ENTREGAR, te esperamos.</v>
      </c>
    </row>
    <row r="4113">
      <c r="A4113" s="1">
        <f>IFERROR(__xludf.DUMMYFUNCTION("""COMPUTED_VALUE"""),88676.0)</f>
        <v>88676</v>
      </c>
      <c r="B4113" s="5">
        <f>IFERROR(__xludf.DUMMYFUNCTION("""COMPUTED_VALUE"""),45012.69023853009)</f>
        <v>45012.69024</v>
      </c>
      <c r="C4113" s="1" t="str">
        <f>IFERROR(__xludf.DUMMYFUNCTION("""COMPUTED_VALUE"""),"MIRANDA TOMAS")</f>
        <v>MIRANDA TOMAS</v>
      </c>
      <c r="D4113" s="1" t="str">
        <f>IFERROR(__xludf.DUMMYFUNCTION("""COMPUTED_VALUE"""),"Lentes de STOCK")</f>
        <v>Lentes de STOCK</v>
      </c>
      <c r="E4113" s="1" t="str">
        <f>IFERROR(__xludf.DUMMYFUNCTION("""COMPUTED_VALUE"""),"RIVADAVIA Javier")</f>
        <v>RIVADAVIA Javier</v>
      </c>
      <c r="F4113" s="1" t="str">
        <f t="shared" si="1"/>
        <v>RIVADAVIA </v>
      </c>
      <c r="G4113" s="1" t="str">
        <f t="shared" si="2"/>
        <v>Javier</v>
      </c>
      <c r="H4113" s="1" t="str">
        <f>IFERROR(__xludf.DUMMYFUNCTION("""COMPUTED_VALUE"""),"29/3/2023, 17:00:00")</f>
        <v>29/3/2023, 17:00:00</v>
      </c>
      <c r="I4113" s="1" t="str">
        <f>IFERROR(__xludf.DUMMYFUNCTION("""COMPUTED_VALUE"""),"Completado en SUCURSAL")</f>
        <v>Completado en SUCURSAL</v>
      </c>
      <c r="J4113" s="1">
        <f t="shared" si="3"/>
        <v>5</v>
      </c>
      <c r="K4113" s="1" t="str">
        <f t="shared" si="4"/>
        <v>Tus Lentes estan LISTAS PARA ENTREGAR, te esperamos.</v>
      </c>
    </row>
    <row r="4114">
      <c r="A4114" s="1">
        <f>IFERROR(__xludf.DUMMYFUNCTION("""COMPUTED_VALUE"""),88677.0)</f>
        <v>88677</v>
      </c>
      <c r="B4114" s="5">
        <f>IFERROR(__xludf.DUMMYFUNCTION("""COMPUTED_VALUE"""),45012.69436980324)</f>
        <v>45012.69437</v>
      </c>
      <c r="C4114" s="1" t="str">
        <f>IFERROR(__xludf.DUMMYFUNCTION("""COMPUTED_VALUE"""),"Sosa Ramon ")</f>
        <v>Sosa Ramon </v>
      </c>
      <c r="D4114" s="1" t="str">
        <f>IFERROR(__xludf.DUMMYFUNCTION("""COMPUTED_VALUE"""),"Reparaciones/Otros")</f>
        <v>Reparaciones/Otros</v>
      </c>
      <c r="E4114" s="1" t="str">
        <f>IFERROR(__xludf.DUMMYFUNCTION("""COMPUTED_VALUE"""),"ARTIGAS Micaela")</f>
        <v>ARTIGAS Micaela</v>
      </c>
      <c r="F4114" s="1" t="str">
        <f t="shared" si="1"/>
        <v>ARTIGAS </v>
      </c>
      <c r="G4114" s="1" t="str">
        <f t="shared" si="2"/>
        <v>Micaela</v>
      </c>
      <c r="H4114" s="1" t="str">
        <f>IFERROR(__xludf.DUMMYFUNCTION("""COMPUTED_VALUE"""),"28/3/2023, 17:00:00")</f>
        <v>28/3/2023, 17:00:00</v>
      </c>
      <c r="I4114" s="1"/>
      <c r="J4114" s="1">
        <f t="shared" si="3"/>
        <v>0</v>
      </c>
      <c r="K4114" s="1" t="str">
        <f t="shared" si="4"/>
        <v/>
      </c>
    </row>
    <row r="4115">
      <c r="A4115" s="1">
        <f>IFERROR(__xludf.DUMMYFUNCTION("""COMPUTED_VALUE"""),88678.0)</f>
        <v>88678</v>
      </c>
      <c r="B4115" s="5">
        <f>IFERROR(__xludf.DUMMYFUNCTION("""COMPUTED_VALUE"""),45012.699382245366)</f>
        <v>45012.69938</v>
      </c>
      <c r="C4115" s="1" t="str">
        <f>IFERROR(__xludf.DUMMYFUNCTION("""COMPUTED_VALUE"""),"SANCHEZ GABRIEL")</f>
        <v>SANCHEZ GABRIEL</v>
      </c>
      <c r="D4115" s="1" t="str">
        <f>IFERROR(__xludf.DUMMYFUNCTION("""COMPUTED_VALUE"""),"Lentes MULTIFOCALES")</f>
        <v>Lentes MULTIFOCALES</v>
      </c>
      <c r="E4115" s="1" t="str">
        <f>IFERROR(__xludf.DUMMYFUNCTION("""COMPUTED_VALUE"""),"ARTIGAS Roció")</f>
        <v>ARTIGAS Roció</v>
      </c>
      <c r="F4115" s="1" t="str">
        <f t="shared" si="1"/>
        <v>ARTIGAS </v>
      </c>
      <c r="G4115" s="1" t="str">
        <f t="shared" si="2"/>
        <v>Roció</v>
      </c>
      <c r="H4115" s="1" t="str">
        <f>IFERROR(__xludf.DUMMYFUNCTION("""COMPUTED_VALUE"""),"12/4/2023, 17:00:00")</f>
        <v>12/4/2023, 17:00:00</v>
      </c>
      <c r="I4115" s="1" t="str">
        <f>IFERROR(__xludf.DUMMYFUNCTION("""COMPUTED_VALUE"""),"Completado en SUCURSAL")</f>
        <v>Completado en SUCURSAL</v>
      </c>
      <c r="J4115" s="1">
        <f t="shared" si="3"/>
        <v>5</v>
      </c>
      <c r="K4115" s="1" t="str">
        <f t="shared" si="4"/>
        <v>Tus Lentes estan LISTAS PARA ENTREGAR, te esperamos.</v>
      </c>
    </row>
    <row r="4116">
      <c r="A4116" s="1">
        <f>IFERROR(__xludf.DUMMYFUNCTION("""COMPUTED_VALUE"""),88679.0)</f>
        <v>88679</v>
      </c>
      <c r="B4116" s="5">
        <f>IFERROR(__xludf.DUMMYFUNCTION("""COMPUTED_VALUE"""),45012.70206293982)</f>
        <v>45012.70206</v>
      </c>
      <c r="C4116" s="1" t="str">
        <f>IFERROR(__xludf.DUMMYFUNCTION("""COMPUTED_VALUE"""),"GIMENEZ ALEJANDRA")</f>
        <v>GIMENEZ ALEJANDRA</v>
      </c>
      <c r="D4116" s="1" t="str">
        <f>IFERROR(__xludf.DUMMYFUNCTION("""COMPUTED_VALUE"""),"Lentes de STOCK")</f>
        <v>Lentes de STOCK</v>
      </c>
      <c r="E4116" s="1" t="str">
        <f>IFERROR(__xludf.DUMMYFUNCTION("""COMPUTED_VALUE"""),"ARTIGAS Ivana P.")</f>
        <v>ARTIGAS Ivana P.</v>
      </c>
      <c r="F4116" s="1" t="str">
        <f t="shared" si="1"/>
        <v>ARTIGAS </v>
      </c>
      <c r="G4116" s="1" t="str">
        <f t="shared" si="2"/>
        <v>Ivana P.</v>
      </c>
      <c r="H4116" s="1" t="str">
        <f>IFERROR(__xludf.DUMMYFUNCTION("""COMPUTED_VALUE"""),"31/3/2023, 17:00:00")</f>
        <v>31/3/2023, 17:00:00</v>
      </c>
      <c r="I4116" s="1" t="str">
        <f>IFERROR(__xludf.DUMMYFUNCTION("""COMPUTED_VALUE"""),"RETIRADO OK POR CLIENTE")</f>
        <v>RETIRADO OK POR CLIENTE</v>
      </c>
      <c r="J4116" s="1">
        <f t="shared" si="3"/>
        <v>6</v>
      </c>
      <c r="K4116" s="1" t="str">
        <f t="shared" si="4"/>
        <v>Entregamos tus lentes, que los disfrutes!</v>
      </c>
    </row>
    <row r="4117">
      <c r="A4117" s="1">
        <f>IFERROR(__xludf.DUMMYFUNCTION("""COMPUTED_VALUE"""),88680.0)</f>
        <v>88680</v>
      </c>
      <c r="B4117" s="5">
        <f>IFERROR(__xludf.DUMMYFUNCTION("""COMPUTED_VALUE"""),45012.70447363426)</f>
        <v>45012.70447</v>
      </c>
      <c r="C4117" s="1" t="str">
        <f>IFERROR(__xludf.DUMMYFUNCTION("""COMPUTED_VALUE"""),"GIMENEZ EMMA")</f>
        <v>GIMENEZ EMMA</v>
      </c>
      <c r="D4117" s="1" t="str">
        <f>IFERROR(__xludf.DUMMYFUNCTION("""COMPUTED_VALUE"""),"Lentes de STOCK")</f>
        <v>Lentes de STOCK</v>
      </c>
      <c r="E4117" s="1" t="str">
        <f>IFERROR(__xludf.DUMMYFUNCTION("""COMPUTED_VALUE"""),"ARTIGAS Ivana P.")</f>
        <v>ARTIGAS Ivana P.</v>
      </c>
      <c r="F4117" s="1" t="str">
        <f t="shared" si="1"/>
        <v>ARTIGAS </v>
      </c>
      <c r="G4117" s="1" t="str">
        <f t="shared" si="2"/>
        <v>Ivana P.</v>
      </c>
      <c r="H4117" s="1" t="str">
        <f>IFERROR(__xludf.DUMMYFUNCTION("""COMPUTED_VALUE"""),"31/3/2023, 17:00:00")</f>
        <v>31/3/2023, 17:00:00</v>
      </c>
      <c r="I4117" s="1" t="str">
        <f>IFERROR(__xludf.DUMMYFUNCTION("""COMPUTED_VALUE"""),"RETIRADO OK POR CLIENTE")</f>
        <v>RETIRADO OK POR CLIENTE</v>
      </c>
      <c r="J4117" s="1">
        <f t="shared" si="3"/>
        <v>6</v>
      </c>
      <c r="K4117" s="1" t="str">
        <f t="shared" si="4"/>
        <v>Entregamos tus lentes, que los disfrutes!</v>
      </c>
    </row>
    <row r="4118">
      <c r="A4118" s="1">
        <f>IFERROR(__xludf.DUMMYFUNCTION("""COMPUTED_VALUE"""),88681.0)</f>
        <v>88681</v>
      </c>
      <c r="B4118" s="5">
        <f>IFERROR(__xludf.DUMMYFUNCTION("""COMPUTED_VALUE"""),45012.71686863426)</f>
        <v>45012.71687</v>
      </c>
      <c r="C4118" s="1" t="str">
        <f>IFERROR(__xludf.DUMMYFUNCTION("""COMPUTED_VALUE"""),"LEZCANO FELISA")</f>
        <v>LEZCANO FELISA</v>
      </c>
      <c r="D4118" s="1" t="str">
        <f>IFERROR(__xludf.DUMMYFUNCTION("""COMPUTED_VALUE"""),"Reparaciones/Otros")</f>
        <v>Reparaciones/Otros</v>
      </c>
      <c r="E4118" s="1" t="str">
        <f>IFERROR(__xludf.DUMMYFUNCTION("""COMPUTED_VALUE"""),"ARTIGAS Ivana P.")</f>
        <v>ARTIGAS Ivana P.</v>
      </c>
      <c r="F4118" s="1" t="str">
        <f t="shared" si="1"/>
        <v>ARTIGAS </v>
      </c>
      <c r="G4118" s="1" t="str">
        <f t="shared" si="2"/>
        <v>Ivana P.</v>
      </c>
      <c r="H4118" s="1" t="str">
        <f>IFERROR(__xludf.DUMMYFUNCTION("""COMPUTED_VALUE"""),"28/3/2023, 17:00:00")</f>
        <v>28/3/2023, 17:00:00</v>
      </c>
      <c r="I4118" s="1" t="str">
        <f>IFERROR(__xludf.DUMMYFUNCTION("""COMPUTED_VALUE"""),"RETIRADO OK POR CLIENTE")</f>
        <v>RETIRADO OK POR CLIENTE</v>
      </c>
      <c r="J4118" s="1">
        <f t="shared" si="3"/>
        <v>6</v>
      </c>
      <c r="K4118" s="1" t="str">
        <f t="shared" si="4"/>
        <v>Entregamos tus lentes, que los disfrutes!</v>
      </c>
    </row>
    <row r="4119">
      <c r="A4119" s="1">
        <f>IFERROR(__xludf.DUMMYFUNCTION("""COMPUTED_VALUE"""),88682.0)</f>
        <v>88682</v>
      </c>
      <c r="B4119" s="5">
        <f>IFERROR(__xludf.DUMMYFUNCTION("""COMPUTED_VALUE"""),45012.73285666667)</f>
        <v>45012.73286</v>
      </c>
      <c r="C4119" s="1" t="str">
        <f>IFERROR(__xludf.DUMMYFUNCTION("""COMPUTED_VALUE"""),"BANNO CESAR MAURICIO")</f>
        <v>BANNO CESAR MAURICIO</v>
      </c>
      <c r="D4119" s="1" t="str">
        <f>IFERROR(__xludf.DUMMYFUNCTION("""COMPUTED_VALUE"""),"Lentes de STOCK")</f>
        <v>Lentes de STOCK</v>
      </c>
      <c r="E4119" s="1" t="str">
        <f>IFERROR(__xludf.DUMMYFUNCTION("""COMPUTED_VALUE"""),"RIVADAVIA Javier")</f>
        <v>RIVADAVIA Javier</v>
      </c>
      <c r="F4119" s="1" t="str">
        <f t="shared" si="1"/>
        <v>RIVADAVIA </v>
      </c>
      <c r="G4119" s="1" t="str">
        <f t="shared" si="2"/>
        <v>Javier</v>
      </c>
      <c r="H4119" s="1" t="str">
        <f>IFERROR(__xludf.DUMMYFUNCTION("""COMPUTED_VALUE"""),"30/3/2023, 17:00:00")</f>
        <v>30/3/2023, 17:00:00</v>
      </c>
      <c r="I4119" s="1" t="str">
        <f>IFERROR(__xludf.DUMMYFUNCTION("""COMPUTED_VALUE"""),"RETIRADO OK POR CLIENTE")</f>
        <v>RETIRADO OK POR CLIENTE</v>
      </c>
      <c r="J4119" s="1">
        <f t="shared" si="3"/>
        <v>6</v>
      </c>
      <c r="K4119" s="1" t="str">
        <f t="shared" si="4"/>
        <v>Entregamos tus lentes, que los disfrutes!</v>
      </c>
    </row>
    <row r="4120">
      <c r="A4120" s="1">
        <f>IFERROR(__xludf.DUMMYFUNCTION("""COMPUTED_VALUE"""),88683.0)</f>
        <v>88683</v>
      </c>
      <c r="B4120" s="5">
        <f>IFERROR(__xludf.DUMMYFUNCTION("""COMPUTED_VALUE"""),45012.73974846065)</f>
        <v>45012.73975</v>
      </c>
      <c r="C4120" s="1" t="str">
        <f>IFERROR(__xludf.DUMMYFUNCTION("""COMPUTED_VALUE"""),"quiroga aguilar agustin")</f>
        <v>quiroga aguilar agustin</v>
      </c>
      <c r="D4120" s="1" t="str">
        <f>IFERROR(__xludf.DUMMYFUNCTION("""COMPUTED_VALUE"""),"Lentes de STOCK")</f>
        <v>Lentes de STOCK</v>
      </c>
      <c r="E4120" s="1" t="str">
        <f>IFERROR(__xludf.DUMMYFUNCTION("""COMPUTED_VALUE"""),"RIVADAVIA Daniel CM")</f>
        <v>RIVADAVIA Daniel CM</v>
      </c>
      <c r="F4120" s="1" t="str">
        <f t="shared" si="1"/>
        <v>RIVADAVIA </v>
      </c>
      <c r="G4120" s="1" t="str">
        <f t="shared" si="2"/>
        <v>Daniel CM</v>
      </c>
      <c r="H4120" s="1" t="str">
        <f>IFERROR(__xludf.DUMMYFUNCTION("""COMPUTED_VALUE"""),"30/3/2023, 17:00:00")</f>
        <v>30/3/2023, 17:00:00</v>
      </c>
      <c r="I4120" s="1" t="str">
        <f>IFERROR(__xludf.DUMMYFUNCTION("""COMPUTED_VALUE"""),"Recibido en Laboratorio")</f>
        <v>Recibido en Laboratorio</v>
      </c>
      <c r="J4120" s="1">
        <f t="shared" si="3"/>
        <v>2</v>
      </c>
      <c r="K4120" s="1" t="str">
        <f t="shared" si="4"/>
        <v>Nuestro Laboratorio esta trabajando en tus lentes, los entregaremos en la fecha acordada.</v>
      </c>
    </row>
    <row r="4121">
      <c r="A4121" s="1">
        <f>IFERROR(__xludf.DUMMYFUNCTION("""COMPUTED_VALUE"""),88684.0)</f>
        <v>88684</v>
      </c>
      <c r="B4121" s="5">
        <f>IFERROR(__xludf.DUMMYFUNCTION("""COMPUTED_VALUE"""),45012.74707939815)</f>
        <v>45012.74708</v>
      </c>
      <c r="C4121" s="1" t="str">
        <f>IFERROR(__xludf.DUMMYFUNCTION("""COMPUTED_VALUE"""),"ALANIS MARIELA ")</f>
        <v>ALANIS MARIELA </v>
      </c>
      <c r="D4121" s="1" t="str">
        <f>IFERROR(__xludf.DUMMYFUNCTION("""COMPUTED_VALUE"""),"Lentes de STOCK")</f>
        <v>Lentes de STOCK</v>
      </c>
      <c r="E4121" s="1" t="str">
        <f>IFERROR(__xludf.DUMMYFUNCTION("""COMPUTED_VALUE"""),"RIVADAVIA Javier")</f>
        <v>RIVADAVIA Javier</v>
      </c>
      <c r="F4121" s="1" t="str">
        <f t="shared" si="1"/>
        <v>RIVADAVIA </v>
      </c>
      <c r="G4121" s="1" t="str">
        <f t="shared" si="2"/>
        <v>Javier</v>
      </c>
      <c r="H4121" s="1" t="str">
        <f>IFERROR(__xludf.DUMMYFUNCTION("""COMPUTED_VALUE"""),"3/4/2023, 17:00:00")</f>
        <v>3/4/2023, 17:00:00</v>
      </c>
      <c r="I4121" s="1" t="str">
        <f>IFERROR(__xludf.DUMMYFUNCTION("""COMPUTED_VALUE"""),"Completado en SUCURSAL")</f>
        <v>Completado en SUCURSAL</v>
      </c>
      <c r="J4121" s="1">
        <f t="shared" si="3"/>
        <v>5</v>
      </c>
      <c r="K4121" s="1" t="str">
        <f t="shared" si="4"/>
        <v>Tus Lentes estan LISTAS PARA ENTREGAR, te esperamos.</v>
      </c>
    </row>
    <row r="4122">
      <c r="A4122" s="1">
        <f>IFERROR(__xludf.DUMMYFUNCTION("""COMPUTED_VALUE"""),88685.0)</f>
        <v>88685</v>
      </c>
      <c r="B4122" s="5">
        <f>IFERROR(__xludf.DUMMYFUNCTION("""COMPUTED_VALUE"""),45012.74803965278)</f>
        <v>45012.74804</v>
      </c>
      <c r="C4122" s="1" t="str">
        <f>IFERROR(__xludf.DUMMYFUNCTION("""COMPUTED_VALUE"""),"peña carlos")</f>
        <v>peña carlos</v>
      </c>
      <c r="D4122" s="1" t="str">
        <f>IFERROR(__xludf.DUMMYFUNCTION("""COMPUTED_VALUE"""),"Reparaciones/Otros")</f>
        <v>Reparaciones/Otros</v>
      </c>
      <c r="E4122" s="1" t="str">
        <f>IFERROR(__xludf.DUMMYFUNCTION("""COMPUTED_VALUE"""),"RIVADAVIA Santiago LOPEZ")</f>
        <v>RIVADAVIA Santiago LOPEZ</v>
      </c>
      <c r="F4122" s="1" t="str">
        <f t="shared" si="1"/>
        <v>RIVADAVIA </v>
      </c>
      <c r="G4122" s="1" t="str">
        <f t="shared" si="2"/>
        <v>Santiago LOPEZ</v>
      </c>
      <c r="H4122" s="1" t="str">
        <f>IFERROR(__xludf.DUMMYFUNCTION("""COMPUTED_VALUE"""),"28/3/2023, 17:00:00")</f>
        <v>28/3/2023, 17:00:00</v>
      </c>
      <c r="I4122" s="1" t="str">
        <f>IFERROR(__xludf.DUMMYFUNCTION("""COMPUTED_VALUE"""),"Completado en SUCURSAL")</f>
        <v>Completado en SUCURSAL</v>
      </c>
      <c r="J4122" s="1">
        <f t="shared" si="3"/>
        <v>5</v>
      </c>
      <c r="K4122" s="1" t="str">
        <f t="shared" si="4"/>
        <v>Tus Lentes estan LISTAS PARA ENTREGAR, te esperamos.</v>
      </c>
    </row>
    <row r="4123">
      <c r="A4123" s="1">
        <f>IFERROR(__xludf.DUMMYFUNCTION("""COMPUTED_VALUE"""),88686.0)</f>
        <v>88686</v>
      </c>
      <c r="B4123" s="5">
        <f>IFERROR(__xludf.DUMMYFUNCTION("""COMPUTED_VALUE"""),45012.750861990746)</f>
        <v>45012.75086</v>
      </c>
      <c r="C4123" s="1" t="str">
        <f>IFERROR(__xludf.DUMMYFUNCTION("""COMPUTED_VALUE"""),"VILELA SAMUEL ")</f>
        <v>VILELA SAMUEL </v>
      </c>
      <c r="D4123" s="1" t="str">
        <f>IFERROR(__xludf.DUMMYFUNCTION("""COMPUTED_VALUE"""),"Lentes de LABORATORIO")</f>
        <v>Lentes de LABORATORIO</v>
      </c>
      <c r="E4123" s="1" t="str">
        <f>IFERROR(__xludf.DUMMYFUNCTION("""COMPUTED_VALUE"""),"RIVADAVIA Christian C.")</f>
        <v>RIVADAVIA Christian C.</v>
      </c>
      <c r="F4123" s="1" t="str">
        <f t="shared" si="1"/>
        <v>RIVADAVIA </v>
      </c>
      <c r="G4123" s="1" t="str">
        <f t="shared" si="2"/>
        <v>Christian C.</v>
      </c>
      <c r="H4123" s="1" t="str">
        <f>IFERROR(__xludf.DUMMYFUNCTION("""COMPUTED_VALUE"""),"10/4/2023, 17:00:00")</f>
        <v>10/4/2023, 17:00:00</v>
      </c>
      <c r="I4123" s="1" t="str">
        <f>IFERROR(__xludf.DUMMYFUNCTION("""COMPUTED_VALUE"""),"Completado en SUCURSAL")</f>
        <v>Completado en SUCURSAL</v>
      </c>
      <c r="J4123" s="1">
        <f t="shared" si="3"/>
        <v>5</v>
      </c>
      <c r="K4123" s="1" t="str">
        <f t="shared" si="4"/>
        <v>Tus Lentes estan LISTAS PARA ENTREGAR, te esperamos.</v>
      </c>
    </row>
    <row r="4124">
      <c r="A4124" s="1">
        <f>IFERROR(__xludf.DUMMYFUNCTION("""COMPUTED_VALUE"""),88687.0)</f>
        <v>88687</v>
      </c>
      <c r="B4124" s="5">
        <f>IFERROR(__xludf.DUMMYFUNCTION("""COMPUTED_VALUE"""),45012.75468884259)</f>
        <v>45012.75469</v>
      </c>
      <c r="C4124" s="1" t="str">
        <f>IFERROR(__xludf.DUMMYFUNCTION("""COMPUTED_VALUE"""),"gomez rolando")</f>
        <v>gomez rolando</v>
      </c>
      <c r="D4124" s="1" t="str">
        <f>IFERROR(__xludf.DUMMYFUNCTION("""COMPUTED_VALUE"""),"Lentes de STOCK")</f>
        <v>Lentes de STOCK</v>
      </c>
      <c r="E4124" s="1" t="str">
        <f>IFERROR(__xludf.DUMMYFUNCTION("""COMPUTED_VALUE"""),"RIVADAVIA Daniel CM")</f>
        <v>RIVADAVIA Daniel CM</v>
      </c>
      <c r="F4124" s="1" t="str">
        <f t="shared" si="1"/>
        <v>RIVADAVIA </v>
      </c>
      <c r="G4124" s="1" t="str">
        <f t="shared" si="2"/>
        <v>Daniel CM</v>
      </c>
      <c r="H4124" s="1" t="str">
        <f>IFERROR(__xludf.DUMMYFUNCTION("""COMPUTED_VALUE"""),"3/4/2023, 17:00:00")</f>
        <v>3/4/2023, 17:00:00</v>
      </c>
      <c r="I4124" s="1" t="str">
        <f>IFERROR(__xludf.DUMMYFUNCTION("""COMPUTED_VALUE"""),"Completado en SUCURSAL")</f>
        <v>Completado en SUCURSAL</v>
      </c>
      <c r="J4124" s="1">
        <f t="shared" si="3"/>
        <v>5</v>
      </c>
      <c r="K4124" s="1" t="str">
        <f t="shared" si="4"/>
        <v>Tus Lentes estan LISTAS PARA ENTREGAR, te esperamos.</v>
      </c>
    </row>
    <row r="4125">
      <c r="A4125" s="1">
        <f>IFERROR(__xludf.DUMMYFUNCTION("""COMPUTED_VALUE"""),88688.0)</f>
        <v>88688</v>
      </c>
      <c r="B4125" s="5">
        <f>IFERROR(__xludf.DUMMYFUNCTION("""COMPUTED_VALUE"""),45012.75474189815)</f>
        <v>45012.75474</v>
      </c>
      <c r="C4125" s="1" t="str">
        <f>IFERROR(__xludf.DUMMYFUNCTION("""COMPUTED_VALUE"""),"Lucero Damian ")</f>
        <v>Lucero Damian </v>
      </c>
      <c r="D4125" s="1" t="str">
        <f>IFERROR(__xludf.DUMMYFUNCTION("""COMPUTED_VALUE"""),"Reparaciones/Otros")</f>
        <v>Reparaciones/Otros</v>
      </c>
      <c r="E4125" s="1" t="str">
        <f>IFERROR(__xludf.DUMMYFUNCTION("""COMPUTED_VALUE"""),"ARTIGAS Micaela")</f>
        <v>ARTIGAS Micaela</v>
      </c>
      <c r="F4125" s="1" t="str">
        <f t="shared" si="1"/>
        <v>ARTIGAS </v>
      </c>
      <c r="G4125" s="1" t="str">
        <f t="shared" si="2"/>
        <v>Micaela</v>
      </c>
      <c r="H4125" s="1" t="str">
        <f>IFERROR(__xludf.DUMMYFUNCTION("""COMPUTED_VALUE"""),"28/3/2023, 17:00:00")</f>
        <v>28/3/2023, 17:00:00</v>
      </c>
      <c r="I4125" s="1" t="str">
        <f>IFERROR(__xludf.DUMMYFUNCTION("""COMPUTED_VALUE"""),"Completado en SUCURSAL")</f>
        <v>Completado en SUCURSAL</v>
      </c>
      <c r="J4125" s="1">
        <f t="shared" si="3"/>
        <v>5</v>
      </c>
      <c r="K4125" s="1" t="str">
        <f t="shared" si="4"/>
        <v>Tus Lentes estan LISTAS PARA ENTREGAR, te esperamos.</v>
      </c>
    </row>
    <row r="4126">
      <c r="A4126" s="1">
        <f>IFERROR(__xludf.DUMMYFUNCTION("""COMPUTED_VALUE"""),88689.0)</f>
        <v>88689</v>
      </c>
      <c r="B4126" s="5">
        <f>IFERROR(__xludf.DUMMYFUNCTION("""COMPUTED_VALUE"""),45012.7595965162)</f>
        <v>45012.7596</v>
      </c>
      <c r="C4126" s="1" t="str">
        <f>IFERROR(__xludf.DUMMYFUNCTION("""COMPUTED_VALUE"""),"GODOY ERIKA")</f>
        <v>GODOY ERIKA</v>
      </c>
      <c r="D4126" s="1" t="str">
        <f>IFERROR(__xludf.DUMMYFUNCTION("""COMPUTED_VALUE"""),"Lentes de STOCK")</f>
        <v>Lentes de STOCK</v>
      </c>
      <c r="E4126" s="1" t="str">
        <f>IFERROR(__xludf.DUMMYFUNCTION("""COMPUTED_VALUE"""),"RIVADAVIA Javier")</f>
        <v>RIVADAVIA Javier</v>
      </c>
      <c r="F4126" s="1" t="str">
        <f t="shared" si="1"/>
        <v>RIVADAVIA </v>
      </c>
      <c r="G4126" s="1" t="str">
        <f t="shared" si="2"/>
        <v>Javier</v>
      </c>
      <c r="H4126" s="1" t="str">
        <f>IFERROR(__xludf.DUMMYFUNCTION("""COMPUTED_VALUE"""),"31/3/2023, 17:00:00")</f>
        <v>31/3/2023, 17:00:00</v>
      </c>
      <c r="I4126" s="1" t="str">
        <f>IFERROR(__xludf.DUMMYFUNCTION("""COMPUTED_VALUE"""),"RETIRADO OK POR CLIENTE")</f>
        <v>RETIRADO OK POR CLIENTE</v>
      </c>
      <c r="J4126" s="1">
        <f t="shared" si="3"/>
        <v>6</v>
      </c>
      <c r="K4126" s="1" t="str">
        <f t="shared" si="4"/>
        <v>Entregamos tus lentes, que los disfrutes!</v>
      </c>
    </row>
    <row r="4127">
      <c r="A4127" s="1">
        <f>IFERROR(__xludf.DUMMYFUNCTION("""COMPUTED_VALUE"""),88690.0)</f>
        <v>88690</v>
      </c>
      <c r="B4127" s="5">
        <f>IFERROR(__xludf.DUMMYFUNCTION("""COMPUTED_VALUE"""),45012.76723974537)</f>
        <v>45012.76724</v>
      </c>
      <c r="C4127" s="1" t="str">
        <f>IFERROR(__xludf.DUMMYFUNCTION("""COMPUTED_VALUE"""),"GIL ALVAREZ HEDY ")</f>
        <v>GIL ALVAREZ HEDY </v>
      </c>
      <c r="D4127" s="1" t="str">
        <f>IFERROR(__xludf.DUMMYFUNCTION("""COMPUTED_VALUE"""),"Lentes de STOCK")</f>
        <v>Lentes de STOCK</v>
      </c>
      <c r="E4127" s="1" t="str">
        <f>IFERROR(__xludf.DUMMYFUNCTION("""COMPUTED_VALUE"""),"RIVADAVIA Luciana")</f>
        <v>RIVADAVIA Luciana</v>
      </c>
      <c r="F4127" s="1" t="str">
        <f t="shared" si="1"/>
        <v>RIVADAVIA </v>
      </c>
      <c r="G4127" s="1" t="str">
        <f t="shared" si="2"/>
        <v>Luciana</v>
      </c>
      <c r="H4127" s="1" t="str">
        <f>IFERROR(__xludf.DUMMYFUNCTION("""COMPUTED_VALUE"""),"30/3/2023, 17:00:00")</f>
        <v>30/3/2023, 17:00:00</v>
      </c>
      <c r="I4127" s="1" t="str">
        <f>IFERROR(__xludf.DUMMYFUNCTION("""COMPUTED_VALUE"""),"RETIRADO OK POR CLIENTE")</f>
        <v>RETIRADO OK POR CLIENTE</v>
      </c>
      <c r="J4127" s="1">
        <f t="shared" si="3"/>
        <v>6</v>
      </c>
      <c r="K4127" s="1" t="str">
        <f t="shared" si="4"/>
        <v>Entregamos tus lentes, que los disfrutes!</v>
      </c>
    </row>
    <row r="4128">
      <c r="A4128" s="1">
        <f>IFERROR(__xludf.DUMMYFUNCTION("""COMPUTED_VALUE"""),88691.0)</f>
        <v>88691</v>
      </c>
      <c r="B4128" s="5">
        <f>IFERROR(__xludf.DUMMYFUNCTION("""COMPUTED_VALUE"""),45012.767942280094)</f>
        <v>45012.76794</v>
      </c>
      <c r="C4128" s="1" t="str">
        <f>IFERROR(__xludf.DUMMYFUNCTION("""COMPUTED_VALUE"""),"redona mabel")</f>
        <v>redona mabel</v>
      </c>
      <c r="D4128" s="1" t="str">
        <f>IFERROR(__xludf.DUMMYFUNCTION("""COMPUTED_VALUE"""),"Lentes de STOCK")</f>
        <v>Lentes de STOCK</v>
      </c>
      <c r="E4128" s="1" t="str">
        <f>IFERROR(__xludf.DUMMYFUNCTION("""COMPUTED_VALUE"""),"RIVADAVIA Daniel CM")</f>
        <v>RIVADAVIA Daniel CM</v>
      </c>
      <c r="F4128" s="1" t="str">
        <f t="shared" si="1"/>
        <v>RIVADAVIA </v>
      </c>
      <c r="G4128" s="1" t="str">
        <f t="shared" si="2"/>
        <v>Daniel CM</v>
      </c>
      <c r="H4128" s="1" t="str">
        <f>IFERROR(__xludf.DUMMYFUNCTION("""COMPUTED_VALUE"""),"29/3/2023, 17:00:00")</f>
        <v>29/3/2023, 17:00:00</v>
      </c>
      <c r="I4128" s="1" t="str">
        <f>IFERROR(__xludf.DUMMYFUNCTION("""COMPUTED_VALUE"""),"Completado en SUCURSAL")</f>
        <v>Completado en SUCURSAL</v>
      </c>
      <c r="J4128" s="1">
        <f t="shared" si="3"/>
        <v>5</v>
      </c>
      <c r="K4128" s="1" t="str">
        <f t="shared" si="4"/>
        <v>Tus Lentes estan LISTAS PARA ENTREGAR, te esperamos.</v>
      </c>
    </row>
    <row r="4129">
      <c r="A4129" s="1">
        <f>IFERROR(__xludf.DUMMYFUNCTION("""COMPUTED_VALUE"""),88692.0)</f>
        <v>88692</v>
      </c>
      <c r="B4129" s="5">
        <f>IFERROR(__xludf.DUMMYFUNCTION("""COMPUTED_VALUE"""),45012.77046053241)</f>
        <v>45012.77046</v>
      </c>
      <c r="C4129" s="1" t="str">
        <f>IFERROR(__xludf.DUMMYFUNCTION("""COMPUTED_VALUE"""),"QUEVEDO HECTOR ")</f>
        <v>QUEVEDO HECTOR </v>
      </c>
      <c r="D4129" s="1" t="str">
        <f>IFERROR(__xludf.DUMMYFUNCTION("""COMPUTED_VALUE"""),"Lentes de STOCK")</f>
        <v>Lentes de STOCK</v>
      </c>
      <c r="E4129" s="1" t="str">
        <f>IFERROR(__xludf.DUMMYFUNCTION("""COMPUTED_VALUE"""),"RIVADAVIA Luciana")</f>
        <v>RIVADAVIA Luciana</v>
      </c>
      <c r="F4129" s="1" t="str">
        <f t="shared" si="1"/>
        <v>RIVADAVIA </v>
      </c>
      <c r="G4129" s="1" t="str">
        <f t="shared" si="2"/>
        <v>Luciana</v>
      </c>
      <c r="H4129" s="1" t="str">
        <f>IFERROR(__xludf.DUMMYFUNCTION("""COMPUTED_VALUE"""),"31/3/2023, 17:00:00")</f>
        <v>31/3/2023, 17:00:00</v>
      </c>
      <c r="I4129" s="1" t="str">
        <f>IFERROR(__xludf.DUMMYFUNCTION("""COMPUTED_VALUE"""),"RETIRADO OK POR CLIENTE")</f>
        <v>RETIRADO OK POR CLIENTE</v>
      </c>
      <c r="J4129" s="1">
        <f t="shared" si="3"/>
        <v>6</v>
      </c>
      <c r="K4129" s="1" t="str">
        <f t="shared" si="4"/>
        <v>Entregamos tus lentes, que los disfrutes!</v>
      </c>
    </row>
    <row r="4130">
      <c r="A4130" s="1">
        <f>IFERROR(__xludf.DUMMYFUNCTION("""COMPUTED_VALUE"""),88693.0)</f>
        <v>88693</v>
      </c>
      <c r="B4130" s="5">
        <f>IFERROR(__xludf.DUMMYFUNCTION("""COMPUTED_VALUE"""),45012.771236967594)</f>
        <v>45012.77124</v>
      </c>
      <c r="C4130" s="1" t="str">
        <f>IFERROR(__xludf.DUMMYFUNCTION("""COMPUTED_VALUE"""),"RODRIGUEZ NELLY")</f>
        <v>RODRIGUEZ NELLY</v>
      </c>
      <c r="D4130" s="1" t="str">
        <f>IFERROR(__xludf.DUMMYFUNCTION("""COMPUTED_VALUE"""),"Lentes de STOCK")</f>
        <v>Lentes de STOCK</v>
      </c>
      <c r="E4130" s="1" t="str">
        <f>IFERROR(__xludf.DUMMYFUNCTION("""COMPUTED_VALUE"""),"ARTIGAS Ivana P.")</f>
        <v>ARTIGAS Ivana P.</v>
      </c>
      <c r="F4130" s="1" t="str">
        <f t="shared" si="1"/>
        <v>ARTIGAS </v>
      </c>
      <c r="G4130" s="1" t="str">
        <f t="shared" si="2"/>
        <v>Ivana P.</v>
      </c>
      <c r="H4130" s="1" t="str">
        <f>IFERROR(__xludf.DUMMYFUNCTION("""COMPUTED_VALUE"""),"30/3/2023, 17:00:00")</f>
        <v>30/3/2023, 17:00:00</v>
      </c>
      <c r="I4130" s="1" t="str">
        <f>IFERROR(__xludf.DUMMYFUNCTION("""COMPUTED_VALUE"""),"RETIRADO OK POR CLIENTE")</f>
        <v>RETIRADO OK POR CLIENTE</v>
      </c>
      <c r="J4130" s="1">
        <f t="shared" si="3"/>
        <v>6</v>
      </c>
      <c r="K4130" s="1" t="str">
        <f t="shared" si="4"/>
        <v>Entregamos tus lentes, que los disfrutes!</v>
      </c>
    </row>
    <row r="4131">
      <c r="A4131" s="1">
        <f>IFERROR(__xludf.DUMMYFUNCTION("""COMPUTED_VALUE"""),88694.0)</f>
        <v>88694</v>
      </c>
      <c r="B4131" s="5">
        <f>IFERROR(__xludf.DUMMYFUNCTION("""COMPUTED_VALUE"""),45012.77542857639)</f>
        <v>45012.77543</v>
      </c>
      <c r="C4131" s="1" t="str">
        <f>IFERROR(__xludf.DUMMYFUNCTION("""COMPUTED_VALUE"""),"BORQUES VICTOR")</f>
        <v>BORQUES VICTOR</v>
      </c>
      <c r="D4131" s="1" t="str">
        <f>IFERROR(__xludf.DUMMYFUNCTION("""COMPUTED_VALUE"""),"Reparaciones/Otros")</f>
        <v>Reparaciones/Otros</v>
      </c>
      <c r="E4131" s="1" t="str">
        <f>IFERROR(__xludf.DUMMYFUNCTION("""COMPUTED_VALUE"""),"RIVADAVIA Daniel CM")</f>
        <v>RIVADAVIA Daniel CM</v>
      </c>
      <c r="F4131" s="1" t="str">
        <f t="shared" si="1"/>
        <v>RIVADAVIA </v>
      </c>
      <c r="G4131" s="1" t="str">
        <f t="shared" si="2"/>
        <v>Daniel CM</v>
      </c>
      <c r="H4131" s="1" t="str">
        <f>IFERROR(__xludf.DUMMYFUNCTION("""COMPUTED_VALUE"""),"28/3/2023, 17:00:00")</f>
        <v>28/3/2023, 17:00:00</v>
      </c>
      <c r="I4131" s="1" t="str">
        <f>IFERROR(__xludf.DUMMYFUNCTION("""COMPUTED_VALUE"""),"Completado en SUCURSAL")</f>
        <v>Completado en SUCURSAL</v>
      </c>
      <c r="J4131" s="1">
        <f t="shared" si="3"/>
        <v>5</v>
      </c>
      <c r="K4131" s="1" t="str">
        <f t="shared" si="4"/>
        <v>Tus Lentes estan LISTAS PARA ENTREGAR, te esperamos.</v>
      </c>
    </row>
    <row r="4132">
      <c r="A4132" s="1">
        <f>IFERROR(__xludf.DUMMYFUNCTION("""COMPUTED_VALUE"""),88695.0)</f>
        <v>88695</v>
      </c>
      <c r="B4132" s="5">
        <f>IFERROR(__xludf.DUMMYFUNCTION("""COMPUTED_VALUE"""),45012.77717631945)</f>
        <v>45012.77718</v>
      </c>
      <c r="C4132" s="1" t="str">
        <f>IFERROR(__xludf.DUMMYFUNCTION("""COMPUTED_VALUE"""),"LEDESMA LUCIA")</f>
        <v>LEDESMA LUCIA</v>
      </c>
      <c r="D4132" s="1" t="str">
        <f>IFERROR(__xludf.DUMMYFUNCTION("""COMPUTED_VALUE"""),"Lentes MULTIFOCALES")</f>
        <v>Lentes MULTIFOCALES</v>
      </c>
      <c r="E4132" s="1" t="str">
        <f>IFERROR(__xludf.DUMMYFUNCTION("""COMPUTED_VALUE"""),"RIVADAVIA Santiago LOPEZ")</f>
        <v>RIVADAVIA Santiago LOPEZ</v>
      </c>
      <c r="F4132" s="1" t="str">
        <f t="shared" si="1"/>
        <v>RIVADAVIA </v>
      </c>
      <c r="G4132" s="1" t="str">
        <f t="shared" si="2"/>
        <v>Santiago LOPEZ</v>
      </c>
      <c r="H4132" s="1" t="str">
        <f>IFERROR(__xludf.DUMMYFUNCTION("""COMPUTED_VALUE"""),"12/4/2023, 17:00:00")</f>
        <v>12/4/2023, 17:00:00</v>
      </c>
      <c r="I4132" s="1"/>
      <c r="J4132" s="1">
        <f t="shared" si="3"/>
        <v>0</v>
      </c>
      <c r="K4132" s="1" t="str">
        <f t="shared" si="4"/>
        <v/>
      </c>
    </row>
    <row r="4133">
      <c r="A4133" s="1">
        <f>IFERROR(__xludf.DUMMYFUNCTION("""COMPUTED_VALUE"""),88696.0)</f>
        <v>88696</v>
      </c>
      <c r="B4133" s="5">
        <f>IFERROR(__xludf.DUMMYFUNCTION("""COMPUTED_VALUE"""),45012.779929247685)</f>
        <v>45012.77993</v>
      </c>
      <c r="C4133" s="1" t="str">
        <f>IFERROR(__xludf.DUMMYFUNCTION("""COMPUTED_VALUE"""),"MICHEL JOSE DOMINGO")</f>
        <v>MICHEL JOSE DOMINGO</v>
      </c>
      <c r="D4133" s="1" t="str">
        <f>IFERROR(__xludf.DUMMYFUNCTION("""COMPUTED_VALUE"""),"Lentes de STOCK")</f>
        <v>Lentes de STOCK</v>
      </c>
      <c r="E4133" s="1" t="str">
        <f>IFERROR(__xludf.DUMMYFUNCTION("""COMPUTED_VALUE"""),"RIVADAVIA Javier")</f>
        <v>RIVADAVIA Javier</v>
      </c>
      <c r="F4133" s="1" t="str">
        <f t="shared" si="1"/>
        <v>RIVADAVIA </v>
      </c>
      <c r="G4133" s="1" t="str">
        <f t="shared" si="2"/>
        <v>Javier</v>
      </c>
      <c r="H4133" s="1" t="str">
        <f>IFERROR(__xludf.DUMMYFUNCTION("""COMPUTED_VALUE"""),"30/3/2023, 17:00:00")</f>
        <v>30/3/2023, 17:00:00</v>
      </c>
      <c r="I4133" s="1" t="str">
        <f>IFERROR(__xludf.DUMMYFUNCTION("""COMPUTED_VALUE"""),"RETIRADO OK POR CLIENTE")</f>
        <v>RETIRADO OK POR CLIENTE</v>
      </c>
      <c r="J4133" s="1">
        <f t="shared" si="3"/>
        <v>6</v>
      </c>
      <c r="K4133" s="1" t="str">
        <f t="shared" si="4"/>
        <v>Entregamos tus lentes, que los disfrutes!</v>
      </c>
    </row>
    <row r="4134">
      <c r="A4134" s="1">
        <f>IFERROR(__xludf.DUMMYFUNCTION("""COMPUTED_VALUE"""),88697.0)</f>
        <v>88697</v>
      </c>
      <c r="B4134" s="5">
        <f>IFERROR(__xludf.DUMMYFUNCTION("""COMPUTED_VALUE"""),45012.78317502315)</f>
        <v>45012.78318</v>
      </c>
      <c r="C4134" s="1" t="str">
        <f>IFERROR(__xludf.DUMMYFUNCTION("""COMPUTED_VALUE"""),"FLORES SILVINA")</f>
        <v>FLORES SILVINA</v>
      </c>
      <c r="D4134" s="1" t="str">
        <f>IFERROR(__xludf.DUMMYFUNCTION("""COMPUTED_VALUE"""),"Reparaciones/Otros")</f>
        <v>Reparaciones/Otros</v>
      </c>
      <c r="E4134" s="1" t="str">
        <f>IFERROR(__xludf.DUMMYFUNCTION("""COMPUTED_VALUE"""),"RIVADAVIA Luciana")</f>
        <v>RIVADAVIA Luciana</v>
      </c>
      <c r="F4134" s="1" t="str">
        <f t="shared" si="1"/>
        <v>RIVADAVIA </v>
      </c>
      <c r="G4134" s="1" t="str">
        <f t="shared" si="2"/>
        <v>Luciana</v>
      </c>
      <c r="H4134" s="1" t="str">
        <f>IFERROR(__xludf.DUMMYFUNCTION("""COMPUTED_VALUE"""),"29/3/2023, 17:00:00")</f>
        <v>29/3/2023, 17:00:00</v>
      </c>
      <c r="I4134" s="1" t="str">
        <f>IFERROR(__xludf.DUMMYFUNCTION("""COMPUTED_VALUE"""),"Completado en SUCURSAL")</f>
        <v>Completado en SUCURSAL</v>
      </c>
      <c r="J4134" s="1">
        <f t="shared" si="3"/>
        <v>5</v>
      </c>
      <c r="K4134" s="1" t="str">
        <f t="shared" si="4"/>
        <v>Tus Lentes estan LISTAS PARA ENTREGAR, te esperamos.</v>
      </c>
    </row>
    <row r="4135">
      <c r="A4135" s="1">
        <f>IFERROR(__xludf.DUMMYFUNCTION("""COMPUTED_VALUE"""),88698.0)</f>
        <v>88698</v>
      </c>
      <c r="B4135" s="5">
        <f>IFERROR(__xludf.DUMMYFUNCTION("""COMPUTED_VALUE"""),45012.78870982639)</f>
        <v>45012.78871</v>
      </c>
      <c r="C4135" s="1" t="str">
        <f>IFERROR(__xludf.DUMMYFUNCTION("""COMPUTED_VALUE"""),"OLIVARES PAULINA")</f>
        <v>OLIVARES PAULINA</v>
      </c>
      <c r="D4135" s="1" t="str">
        <f>IFERROR(__xludf.DUMMYFUNCTION("""COMPUTED_VALUE"""),"Lentes de STOCK")</f>
        <v>Lentes de STOCK</v>
      </c>
      <c r="E4135" s="1" t="str">
        <f>IFERROR(__xludf.DUMMYFUNCTION("""COMPUTED_VALUE"""),"ARTIGAS Ivana P.")</f>
        <v>ARTIGAS Ivana P.</v>
      </c>
      <c r="F4135" s="1" t="str">
        <f t="shared" si="1"/>
        <v>ARTIGAS </v>
      </c>
      <c r="G4135" s="1" t="str">
        <f t="shared" si="2"/>
        <v>Ivana P.</v>
      </c>
      <c r="H4135" s="1" t="str">
        <f>IFERROR(__xludf.DUMMYFUNCTION("""COMPUTED_VALUE"""),"30/3/2023, 17:00:00")</f>
        <v>30/3/2023, 17:00:00</v>
      </c>
      <c r="I4135" s="1" t="str">
        <f>IFERROR(__xludf.DUMMYFUNCTION("""COMPUTED_VALUE"""),"RETIRADO OK POR CLIENTE")</f>
        <v>RETIRADO OK POR CLIENTE</v>
      </c>
      <c r="J4135" s="1">
        <f t="shared" si="3"/>
        <v>6</v>
      </c>
      <c r="K4135" s="1" t="str">
        <f t="shared" si="4"/>
        <v>Entregamos tus lentes, que los disfrutes!</v>
      </c>
    </row>
    <row r="4136">
      <c r="A4136" s="1">
        <f>IFERROR(__xludf.DUMMYFUNCTION("""COMPUTED_VALUE"""),88699.0)</f>
        <v>88699</v>
      </c>
      <c r="B4136" s="5">
        <f>IFERROR(__xludf.DUMMYFUNCTION("""COMPUTED_VALUE"""),45012.78943020833)</f>
        <v>45012.78943</v>
      </c>
      <c r="C4136" s="1" t="str">
        <f>IFERROR(__xludf.DUMMYFUNCTION("""COMPUTED_VALUE"""),"JOFRE FRANCISCA JOSEFINA")</f>
        <v>JOFRE FRANCISCA JOSEFINA</v>
      </c>
      <c r="D4136" s="1" t="str">
        <f>IFERROR(__xludf.DUMMYFUNCTION("""COMPUTED_VALUE"""),"Lentes de STOCK")</f>
        <v>Lentes de STOCK</v>
      </c>
      <c r="E4136" s="1" t="str">
        <f>IFERROR(__xludf.DUMMYFUNCTION("""COMPUTED_VALUE"""),"RIVADAVIA Javier")</f>
        <v>RIVADAVIA Javier</v>
      </c>
      <c r="F4136" s="1" t="str">
        <f t="shared" si="1"/>
        <v>RIVADAVIA </v>
      </c>
      <c r="G4136" s="1" t="str">
        <f t="shared" si="2"/>
        <v>Javier</v>
      </c>
      <c r="H4136" s="1" t="str">
        <f>IFERROR(__xludf.DUMMYFUNCTION("""COMPUTED_VALUE"""),"3/4/2023, 17:00:00")</f>
        <v>3/4/2023, 17:00:00</v>
      </c>
      <c r="I4136" s="1" t="str">
        <f>IFERROR(__xludf.DUMMYFUNCTION("""COMPUTED_VALUE"""),"RETIRADO OK POR CLIENTE")</f>
        <v>RETIRADO OK POR CLIENTE</v>
      </c>
      <c r="J4136" s="1">
        <f t="shared" si="3"/>
        <v>6</v>
      </c>
      <c r="K4136" s="1" t="str">
        <f t="shared" si="4"/>
        <v>Entregamos tus lentes, que los disfrutes!</v>
      </c>
    </row>
    <row r="4137">
      <c r="A4137" s="1">
        <f>IFERROR(__xludf.DUMMYFUNCTION("""COMPUTED_VALUE"""),88700.0)</f>
        <v>88700</v>
      </c>
      <c r="B4137" s="5">
        <f>IFERROR(__xludf.DUMMYFUNCTION("""COMPUTED_VALUE"""),45012.79008189814)</f>
        <v>45012.79008</v>
      </c>
      <c r="C4137" s="1" t="str">
        <f>IFERROR(__xludf.DUMMYFUNCTION("""COMPUTED_VALUE"""),"VILLALBA MARIA JOSE")</f>
        <v>VILLALBA MARIA JOSE</v>
      </c>
      <c r="D4137" s="1" t="str">
        <f>IFERROR(__xludf.DUMMYFUNCTION("""COMPUTED_VALUE"""),"Lentes de STOCK")</f>
        <v>Lentes de STOCK</v>
      </c>
      <c r="E4137" s="1" t="str">
        <f>IFERROR(__xludf.DUMMYFUNCTION("""COMPUTED_VALUE"""),"RIVADAVIA Christian C.")</f>
        <v>RIVADAVIA Christian C.</v>
      </c>
      <c r="F4137" s="1" t="str">
        <f t="shared" si="1"/>
        <v>RIVADAVIA </v>
      </c>
      <c r="G4137" s="1" t="str">
        <f t="shared" si="2"/>
        <v>Christian C.</v>
      </c>
      <c r="H4137" s="1" t="str">
        <f>IFERROR(__xludf.DUMMYFUNCTION("""COMPUTED_VALUE"""),"3/4/2023, 17:00:00")</f>
        <v>3/4/2023, 17:00:00</v>
      </c>
      <c r="I4137" s="1" t="str">
        <f>IFERROR(__xludf.DUMMYFUNCTION("""COMPUTED_VALUE"""),"RETIRADO OK POR CLIENTE")</f>
        <v>RETIRADO OK POR CLIENTE</v>
      </c>
      <c r="J4137" s="1">
        <f t="shared" si="3"/>
        <v>6</v>
      </c>
      <c r="K4137" s="1" t="str">
        <f t="shared" si="4"/>
        <v>Entregamos tus lentes, que los disfrutes!</v>
      </c>
    </row>
    <row r="4138">
      <c r="A4138" s="1">
        <f>IFERROR(__xludf.DUMMYFUNCTION("""COMPUTED_VALUE"""),88701.0)</f>
        <v>88701</v>
      </c>
      <c r="B4138" s="5">
        <f>IFERROR(__xludf.DUMMYFUNCTION("""COMPUTED_VALUE"""),45012.7930791088)</f>
        <v>45012.79308</v>
      </c>
      <c r="C4138" s="1" t="str">
        <f>IFERROR(__xludf.DUMMYFUNCTION("""COMPUTED_VALUE"""),"CAMPAGNOLI AGUSTINA")</f>
        <v>CAMPAGNOLI AGUSTINA</v>
      </c>
      <c r="D4138" s="1" t="str">
        <f>IFERROR(__xludf.DUMMYFUNCTION("""COMPUTED_VALUE"""),"Lentes de STOCK")</f>
        <v>Lentes de STOCK</v>
      </c>
      <c r="E4138" s="1" t="str">
        <f>IFERROR(__xludf.DUMMYFUNCTION("""COMPUTED_VALUE"""),"ARTIGAS Roció")</f>
        <v>ARTIGAS Roció</v>
      </c>
      <c r="F4138" s="1" t="str">
        <f t="shared" si="1"/>
        <v>ARTIGAS </v>
      </c>
      <c r="G4138" s="1" t="str">
        <f t="shared" si="2"/>
        <v>Roció</v>
      </c>
      <c r="H4138" s="1" t="str">
        <f>IFERROR(__xludf.DUMMYFUNCTION("""COMPUTED_VALUE"""),"31/3/2023, 17:00:00")</f>
        <v>31/3/2023, 17:00:00</v>
      </c>
      <c r="I4138" s="1" t="str">
        <f>IFERROR(__xludf.DUMMYFUNCTION("""COMPUTED_VALUE"""),"RETIRADO OK POR CLIENTE")</f>
        <v>RETIRADO OK POR CLIENTE</v>
      </c>
      <c r="J4138" s="1">
        <f t="shared" si="3"/>
        <v>6</v>
      </c>
      <c r="K4138" s="1" t="str">
        <f t="shared" si="4"/>
        <v>Entregamos tus lentes, que los disfrutes!</v>
      </c>
    </row>
    <row r="4139">
      <c r="A4139" s="1">
        <f>IFERROR(__xludf.DUMMYFUNCTION("""COMPUTED_VALUE"""),88702.0)</f>
        <v>88702</v>
      </c>
      <c r="B4139" s="5">
        <f>IFERROR(__xludf.DUMMYFUNCTION("""COMPUTED_VALUE"""),45012.7964112037)</f>
        <v>45012.79641</v>
      </c>
      <c r="C4139" s="1" t="str">
        <f>IFERROR(__xludf.DUMMYFUNCTION("""COMPUTED_VALUE"""),"SORIA BIBIANA")</f>
        <v>SORIA BIBIANA</v>
      </c>
      <c r="D4139" s="1" t="str">
        <f>IFERROR(__xludf.DUMMYFUNCTION("""COMPUTED_VALUE"""),"Reparaciones/Otros")</f>
        <v>Reparaciones/Otros</v>
      </c>
      <c r="E4139" s="1" t="str">
        <f>IFERROR(__xludf.DUMMYFUNCTION("""COMPUTED_VALUE"""),"ARTIGAS Roció")</f>
        <v>ARTIGAS Roció</v>
      </c>
      <c r="F4139" s="1" t="str">
        <f t="shared" si="1"/>
        <v>ARTIGAS </v>
      </c>
      <c r="G4139" s="1" t="str">
        <f t="shared" si="2"/>
        <v>Roció</v>
      </c>
      <c r="H4139" s="1" t="str">
        <f>IFERROR(__xludf.DUMMYFUNCTION("""COMPUTED_VALUE"""),"28/3/2023, 17:00:00")</f>
        <v>28/3/2023, 17:00:00</v>
      </c>
      <c r="I4139" s="1" t="str">
        <f>IFERROR(__xludf.DUMMYFUNCTION("""COMPUTED_VALUE"""),"Completado en SUCURSAL")</f>
        <v>Completado en SUCURSAL</v>
      </c>
      <c r="J4139" s="1">
        <f t="shared" si="3"/>
        <v>5</v>
      </c>
      <c r="K4139" s="1" t="str">
        <f t="shared" si="4"/>
        <v>Tus Lentes estan LISTAS PARA ENTREGAR, te esperamos.</v>
      </c>
    </row>
    <row r="4140">
      <c r="A4140" s="1">
        <f>IFERROR(__xludf.DUMMYFUNCTION("""COMPUTED_VALUE"""),88703.0)</f>
        <v>88703</v>
      </c>
      <c r="B4140" s="5">
        <f>IFERROR(__xludf.DUMMYFUNCTION("""COMPUTED_VALUE"""),45012.80049577546)</f>
        <v>45012.8005</v>
      </c>
      <c r="C4140" s="1" t="str">
        <f>IFERROR(__xludf.DUMMYFUNCTION("""COMPUTED_VALUE"""),"MERCAU JUAN ALBERTO")</f>
        <v>MERCAU JUAN ALBERTO</v>
      </c>
      <c r="D4140" s="1" t="str">
        <f>IFERROR(__xludf.DUMMYFUNCTION("""COMPUTED_VALUE"""),"Reparaciones/Otros")</f>
        <v>Reparaciones/Otros</v>
      </c>
      <c r="E4140" s="1" t="str">
        <f>IFERROR(__xludf.DUMMYFUNCTION("""COMPUTED_VALUE"""),"RIVADAVIA Javier")</f>
        <v>RIVADAVIA Javier</v>
      </c>
      <c r="F4140" s="1" t="str">
        <f t="shared" si="1"/>
        <v>RIVADAVIA </v>
      </c>
      <c r="G4140" s="1" t="str">
        <f t="shared" si="2"/>
        <v>Javier</v>
      </c>
      <c r="H4140" s="1" t="str">
        <f>IFERROR(__xludf.DUMMYFUNCTION("""COMPUTED_VALUE"""),"28/3/2023, 17:00:00")</f>
        <v>28/3/2023, 17:00:00</v>
      </c>
      <c r="I4140" s="1" t="str">
        <f>IFERROR(__xludf.DUMMYFUNCTION("""COMPUTED_VALUE"""),"RETIRADO OK POR CLIENTE")</f>
        <v>RETIRADO OK POR CLIENTE</v>
      </c>
      <c r="J4140" s="1">
        <f t="shared" si="3"/>
        <v>6</v>
      </c>
      <c r="K4140" s="1" t="str">
        <f t="shared" si="4"/>
        <v>Entregamos tus lentes, que los disfrutes!</v>
      </c>
    </row>
    <row r="4141">
      <c r="A4141" s="1">
        <f>IFERROR(__xludf.DUMMYFUNCTION("""COMPUTED_VALUE"""),88704.0)</f>
        <v>88704</v>
      </c>
      <c r="B4141" s="5">
        <f>IFERROR(__xludf.DUMMYFUNCTION("""COMPUTED_VALUE"""),45012.805632372685)</f>
        <v>45012.80563</v>
      </c>
      <c r="C4141" s="1" t="str">
        <f>IFERROR(__xludf.DUMMYFUNCTION("""COMPUTED_VALUE"""),"crotto zaira")</f>
        <v>crotto zaira</v>
      </c>
      <c r="D4141" s="1" t="str">
        <f>IFERROR(__xludf.DUMMYFUNCTION("""COMPUTED_VALUE"""),"Reparaciones/Otros")</f>
        <v>Reparaciones/Otros</v>
      </c>
      <c r="E4141" s="1" t="str">
        <f>IFERROR(__xludf.DUMMYFUNCTION("""COMPUTED_VALUE"""),"RIVADAVIA Christian C.")</f>
        <v>RIVADAVIA Christian C.</v>
      </c>
      <c r="F4141" s="1" t="str">
        <f t="shared" si="1"/>
        <v>RIVADAVIA </v>
      </c>
      <c r="G4141" s="1" t="str">
        <f t="shared" si="2"/>
        <v>Christian C.</v>
      </c>
      <c r="H4141" s="1" t="str">
        <f>IFERROR(__xludf.DUMMYFUNCTION("""COMPUTED_VALUE"""),"29/3/2023, 17:00:00")</f>
        <v>29/3/2023, 17:00:00</v>
      </c>
      <c r="I4141" s="1" t="str">
        <f>IFERROR(__xludf.DUMMYFUNCTION("""COMPUTED_VALUE"""),"Completado en SUCURSAL")</f>
        <v>Completado en SUCURSAL</v>
      </c>
      <c r="J4141" s="1">
        <f t="shared" si="3"/>
        <v>5</v>
      </c>
      <c r="K4141" s="1" t="str">
        <f t="shared" si="4"/>
        <v>Tus Lentes estan LISTAS PARA ENTREGAR, te esperamos.</v>
      </c>
    </row>
    <row r="4142">
      <c r="A4142" s="1">
        <f>IFERROR(__xludf.DUMMYFUNCTION("""COMPUTED_VALUE"""),88705.0)</f>
        <v>88705</v>
      </c>
      <c r="B4142" s="5">
        <f>IFERROR(__xludf.DUMMYFUNCTION("""COMPUTED_VALUE"""),45012.80732116898)</f>
        <v>45012.80732</v>
      </c>
      <c r="C4142" s="1" t="str">
        <f>IFERROR(__xludf.DUMMYFUNCTION("""COMPUTED_VALUE"""),"SANJURJO ENRIQUE")</f>
        <v>SANJURJO ENRIQUE</v>
      </c>
      <c r="D4142" s="1" t="str">
        <f>IFERROR(__xludf.DUMMYFUNCTION("""COMPUTED_VALUE"""),"Lentes de STOCK")</f>
        <v>Lentes de STOCK</v>
      </c>
      <c r="E4142" s="1" t="str">
        <f>IFERROR(__xludf.DUMMYFUNCTION("""COMPUTED_VALUE"""),"ARTIGAS Ivana P.")</f>
        <v>ARTIGAS Ivana P.</v>
      </c>
      <c r="F4142" s="1" t="str">
        <f t="shared" si="1"/>
        <v>ARTIGAS </v>
      </c>
      <c r="G4142" s="1" t="str">
        <f t="shared" si="2"/>
        <v>Ivana P.</v>
      </c>
      <c r="H4142" s="1" t="str">
        <f>IFERROR(__xludf.DUMMYFUNCTION("""COMPUTED_VALUE"""),"3/4/2023, 17:00:00")</f>
        <v>3/4/2023, 17:00:00</v>
      </c>
      <c r="I4142" s="1" t="str">
        <f>IFERROR(__xludf.DUMMYFUNCTION("""COMPUTED_VALUE"""),"RETIRADO OK POR CLIENTE")</f>
        <v>RETIRADO OK POR CLIENTE</v>
      </c>
      <c r="J4142" s="1">
        <f t="shared" si="3"/>
        <v>6</v>
      </c>
      <c r="K4142" s="1" t="str">
        <f t="shared" si="4"/>
        <v>Entregamos tus lentes, que los disfrutes!</v>
      </c>
    </row>
    <row r="4143">
      <c r="A4143" s="1">
        <f>IFERROR(__xludf.DUMMYFUNCTION("""COMPUTED_VALUE"""),88706.0)</f>
        <v>88706</v>
      </c>
      <c r="B4143" s="5">
        <f>IFERROR(__xludf.DUMMYFUNCTION("""COMPUTED_VALUE"""),45012.81061144676)</f>
        <v>45012.81061</v>
      </c>
      <c r="C4143" s="1" t="str">
        <f>IFERROR(__xludf.DUMMYFUNCTION("""COMPUTED_VALUE"""),"SOFIA ABRIL ACOSTA")</f>
        <v>SOFIA ABRIL ACOSTA</v>
      </c>
      <c r="D4143" s="1" t="str">
        <f>IFERROR(__xludf.DUMMYFUNCTION("""COMPUTED_VALUE"""),"Lentes de STOCK")</f>
        <v>Lentes de STOCK</v>
      </c>
      <c r="E4143" s="1" t="str">
        <f>IFERROR(__xludf.DUMMYFUNCTION("""COMPUTED_VALUE"""),"RIVADAVIA Javier")</f>
        <v>RIVADAVIA Javier</v>
      </c>
      <c r="F4143" s="1" t="str">
        <f t="shared" si="1"/>
        <v>RIVADAVIA </v>
      </c>
      <c r="G4143" s="1" t="str">
        <f t="shared" si="2"/>
        <v>Javier</v>
      </c>
      <c r="H4143" s="1" t="str">
        <f>IFERROR(__xludf.DUMMYFUNCTION("""COMPUTED_VALUE"""),"3/4/2023, 17:00:00")</f>
        <v>3/4/2023, 17:00:00</v>
      </c>
      <c r="I4143" s="1" t="str">
        <f>IFERROR(__xludf.DUMMYFUNCTION("""COMPUTED_VALUE"""),"Completado en SUCURSAL")</f>
        <v>Completado en SUCURSAL</v>
      </c>
      <c r="J4143" s="1">
        <f t="shared" si="3"/>
        <v>5</v>
      </c>
      <c r="K4143" s="1" t="str">
        <f t="shared" si="4"/>
        <v>Tus Lentes estan LISTAS PARA ENTREGAR, te esperamos.</v>
      </c>
    </row>
    <row r="4144">
      <c r="A4144" s="1">
        <f>IFERROR(__xludf.DUMMYFUNCTION("""COMPUTED_VALUE"""),88707.0)</f>
        <v>88707</v>
      </c>
      <c r="B4144" s="5">
        <f>IFERROR(__xludf.DUMMYFUNCTION("""COMPUTED_VALUE"""),45012.81640136574)</f>
        <v>45012.8164</v>
      </c>
      <c r="C4144" s="1" t="str">
        <f>IFERROR(__xludf.DUMMYFUNCTION("""COMPUTED_VALUE"""),"ORTIZ ALANIZ CLAUDIO")</f>
        <v>ORTIZ ALANIZ CLAUDIO</v>
      </c>
      <c r="D4144" s="1" t="str">
        <f>IFERROR(__xludf.DUMMYFUNCTION("""COMPUTED_VALUE"""),"Lentes de STOCK")</f>
        <v>Lentes de STOCK</v>
      </c>
      <c r="E4144" s="1" t="str">
        <f>IFERROR(__xludf.DUMMYFUNCTION("""COMPUTED_VALUE"""),"ARTIGAS Ivana P.")</f>
        <v>ARTIGAS Ivana P.</v>
      </c>
      <c r="F4144" s="1" t="str">
        <f t="shared" si="1"/>
        <v>ARTIGAS </v>
      </c>
      <c r="G4144" s="1" t="str">
        <f t="shared" si="2"/>
        <v>Ivana P.</v>
      </c>
      <c r="H4144" s="1" t="str">
        <f>IFERROR(__xludf.DUMMYFUNCTION("""COMPUTED_VALUE"""),"30/3/2023, 17:00:00")</f>
        <v>30/3/2023, 17:00:00</v>
      </c>
      <c r="I4144" s="1" t="str">
        <f>IFERROR(__xludf.DUMMYFUNCTION("""COMPUTED_VALUE"""),"RETIRADO OK POR CLIENTE")</f>
        <v>RETIRADO OK POR CLIENTE</v>
      </c>
      <c r="J4144" s="1">
        <f t="shared" si="3"/>
        <v>6</v>
      </c>
      <c r="K4144" s="1" t="str">
        <f t="shared" si="4"/>
        <v>Entregamos tus lentes, que los disfrutes!</v>
      </c>
    </row>
    <row r="4145">
      <c r="A4145" s="1">
        <f>IFERROR(__xludf.DUMMYFUNCTION("""COMPUTED_VALUE"""),88708.0)</f>
        <v>88708</v>
      </c>
      <c r="B4145" s="5">
        <f>IFERROR(__xludf.DUMMYFUNCTION("""COMPUTED_VALUE"""),45012.8221331713)</f>
        <v>45012.82213</v>
      </c>
      <c r="C4145" s="1" t="str">
        <f>IFERROR(__xludf.DUMMYFUNCTION("""COMPUTED_VALUE"""),"BECERRA ROCIO")</f>
        <v>BECERRA ROCIO</v>
      </c>
      <c r="D4145" s="1" t="str">
        <f>IFERROR(__xludf.DUMMYFUNCTION("""COMPUTED_VALUE"""),"Lentes de STOCK")</f>
        <v>Lentes de STOCK</v>
      </c>
      <c r="E4145" s="1" t="str">
        <f>IFERROR(__xludf.DUMMYFUNCTION("""COMPUTED_VALUE"""),"RIVADAVIA Daniel CM")</f>
        <v>RIVADAVIA Daniel CM</v>
      </c>
      <c r="F4145" s="1" t="str">
        <f t="shared" si="1"/>
        <v>RIVADAVIA </v>
      </c>
      <c r="G4145" s="1" t="str">
        <f t="shared" si="2"/>
        <v>Daniel CM</v>
      </c>
      <c r="H4145" s="1" t="str">
        <f>IFERROR(__xludf.DUMMYFUNCTION("""COMPUTED_VALUE"""),"30/3/2023, 17:00:00")</f>
        <v>30/3/2023, 17:00:00</v>
      </c>
      <c r="I4145" s="1" t="str">
        <f>IFERROR(__xludf.DUMMYFUNCTION("""COMPUTED_VALUE"""),"Completado en SUCURSAL")</f>
        <v>Completado en SUCURSAL</v>
      </c>
      <c r="J4145" s="1">
        <f t="shared" si="3"/>
        <v>5</v>
      </c>
      <c r="K4145" s="1" t="str">
        <f t="shared" si="4"/>
        <v>Tus Lentes estan LISTAS PARA ENTREGAR, te esperamos.</v>
      </c>
    </row>
    <row r="4146">
      <c r="A4146" s="1">
        <f>IFERROR(__xludf.DUMMYFUNCTION("""COMPUTED_VALUE"""),88709.0)</f>
        <v>88709</v>
      </c>
      <c r="B4146" s="5">
        <f>IFERROR(__xludf.DUMMYFUNCTION("""COMPUTED_VALUE"""),45012.82386143519)</f>
        <v>45012.82386</v>
      </c>
      <c r="C4146" s="1" t="str">
        <f>IFERROR(__xludf.DUMMYFUNCTION("""COMPUTED_VALUE"""),"Andina soledad")</f>
        <v>Andina soledad</v>
      </c>
      <c r="D4146" s="1" t="str">
        <f>IFERROR(__xludf.DUMMYFUNCTION("""COMPUTED_VALUE"""),"Reparaciones/Otros")</f>
        <v>Reparaciones/Otros</v>
      </c>
      <c r="E4146" s="1" t="str">
        <f>IFERROR(__xludf.DUMMYFUNCTION("""COMPUTED_VALUE"""),"ARTIGAS Micaela")</f>
        <v>ARTIGAS Micaela</v>
      </c>
      <c r="F4146" s="1" t="str">
        <f t="shared" si="1"/>
        <v>ARTIGAS </v>
      </c>
      <c r="G4146" s="1" t="str">
        <f t="shared" si="2"/>
        <v>Micaela</v>
      </c>
      <c r="H4146" s="1" t="str">
        <f>IFERROR(__xludf.DUMMYFUNCTION("""COMPUTED_VALUE"""),"28/3/2023, 17:00:00")</f>
        <v>28/3/2023, 17:00:00</v>
      </c>
      <c r="I4146" s="1" t="str">
        <f>IFERROR(__xludf.DUMMYFUNCTION("""COMPUTED_VALUE"""),"RETIRADO OK POR CLIENTE")</f>
        <v>RETIRADO OK POR CLIENTE</v>
      </c>
      <c r="J4146" s="1">
        <f t="shared" si="3"/>
        <v>6</v>
      </c>
      <c r="K4146" s="1" t="str">
        <f t="shared" si="4"/>
        <v>Entregamos tus lentes, que los disfrutes!</v>
      </c>
    </row>
    <row r="4147">
      <c r="A4147" s="1">
        <f>IFERROR(__xludf.DUMMYFUNCTION("""COMPUTED_VALUE"""),88710.0)</f>
        <v>88710</v>
      </c>
      <c r="B4147" s="5">
        <f>IFERROR(__xludf.DUMMYFUNCTION("""COMPUTED_VALUE"""),45012.83274542824)</f>
        <v>45012.83275</v>
      </c>
      <c r="C4147" s="1" t="str">
        <f>IFERROR(__xludf.DUMMYFUNCTION("""COMPUTED_VALUE"""),"ROSALES JORGE")</f>
        <v>ROSALES JORGE</v>
      </c>
      <c r="D4147" s="1" t="str">
        <f>IFERROR(__xludf.DUMMYFUNCTION("""COMPUTED_VALUE"""),"Lentes de STOCK")</f>
        <v>Lentes de STOCK</v>
      </c>
      <c r="E4147" s="1" t="str">
        <f>IFERROR(__xludf.DUMMYFUNCTION("""COMPUTED_VALUE"""),"RIVADAVIA Luciana")</f>
        <v>RIVADAVIA Luciana</v>
      </c>
      <c r="F4147" s="1" t="str">
        <f t="shared" si="1"/>
        <v>RIVADAVIA </v>
      </c>
      <c r="G4147" s="1" t="str">
        <f t="shared" si="2"/>
        <v>Luciana</v>
      </c>
      <c r="H4147" s="1" t="str">
        <f>IFERROR(__xludf.DUMMYFUNCTION("""COMPUTED_VALUE"""),"30/3/2023, 17:00:00")</f>
        <v>30/3/2023, 17:00:00</v>
      </c>
      <c r="I4147" s="1" t="str">
        <f>IFERROR(__xludf.DUMMYFUNCTION("""COMPUTED_VALUE"""),"Completado en SUCURSAL")</f>
        <v>Completado en SUCURSAL</v>
      </c>
      <c r="J4147" s="1">
        <f t="shared" si="3"/>
        <v>5</v>
      </c>
      <c r="K4147" s="1" t="str">
        <f t="shared" si="4"/>
        <v>Tus Lentes estan LISTAS PARA ENTREGAR, te esperamos.</v>
      </c>
    </row>
    <row r="4148">
      <c r="A4148" s="1">
        <f>IFERROR(__xludf.DUMMYFUNCTION("""COMPUTED_VALUE"""),88711.0)</f>
        <v>88711</v>
      </c>
      <c r="B4148" s="5">
        <f>IFERROR(__xludf.DUMMYFUNCTION("""COMPUTED_VALUE"""),45012.833602349536)</f>
        <v>45012.8336</v>
      </c>
      <c r="C4148" s="1" t="str">
        <f>IFERROR(__xludf.DUMMYFUNCTION("""COMPUTED_VALUE"""),"SAAVEDRA YAMILA")</f>
        <v>SAAVEDRA YAMILA</v>
      </c>
      <c r="D4148" s="1" t="str">
        <f>IFERROR(__xludf.DUMMYFUNCTION("""COMPUTED_VALUE"""),"Lentes de STOCK")</f>
        <v>Lentes de STOCK</v>
      </c>
      <c r="E4148" s="1" t="str">
        <f>IFERROR(__xludf.DUMMYFUNCTION("""COMPUTED_VALUE"""),"RIVADAVIA Santiago LOPEZ")</f>
        <v>RIVADAVIA Santiago LOPEZ</v>
      </c>
      <c r="F4148" s="1" t="str">
        <f t="shared" si="1"/>
        <v>RIVADAVIA </v>
      </c>
      <c r="G4148" s="1" t="str">
        <f t="shared" si="2"/>
        <v>Santiago LOPEZ</v>
      </c>
      <c r="H4148" s="1" t="str">
        <f>IFERROR(__xludf.DUMMYFUNCTION("""COMPUTED_VALUE"""),"31/3/2023, 17:00:00")</f>
        <v>31/3/2023, 17:00:00</v>
      </c>
      <c r="I4148" s="1" t="str">
        <f>IFERROR(__xludf.DUMMYFUNCTION("""COMPUTED_VALUE"""),"RETIRADO OK POR CLIENTE")</f>
        <v>RETIRADO OK POR CLIENTE</v>
      </c>
      <c r="J4148" s="1">
        <f t="shared" si="3"/>
        <v>6</v>
      </c>
      <c r="K4148" s="1" t="str">
        <f t="shared" si="4"/>
        <v>Entregamos tus lentes, que los disfrutes!</v>
      </c>
    </row>
    <row r="4149">
      <c r="A4149" s="1">
        <f>IFERROR(__xludf.DUMMYFUNCTION("""COMPUTED_VALUE"""),88712.0)</f>
        <v>88712</v>
      </c>
      <c r="B4149" s="5">
        <f>IFERROR(__xludf.DUMMYFUNCTION("""COMPUTED_VALUE"""),45013.37380178241)</f>
        <v>45013.3738</v>
      </c>
      <c r="C4149" s="1" t="str">
        <f>IFERROR(__xludf.DUMMYFUNCTION("""COMPUTED_VALUE"""),"PINTOR ABRIL VALENTINA (PROGRAMA MEDICINA DEL INTERIOR GOB)")</f>
        <v>PINTOR ABRIL VALENTINA (PROGRAMA MEDICINA DEL INTERIOR GOB)</v>
      </c>
      <c r="D4149" s="1" t="str">
        <f>IFERROR(__xludf.DUMMYFUNCTION("""COMPUTED_VALUE"""),"Lentes de STOCK")</f>
        <v>Lentes de STOCK</v>
      </c>
      <c r="E4149" s="1" t="str">
        <f>IFERROR(__xludf.DUMMYFUNCTION("""COMPUTED_VALUE"""),"Online ADMIN.")</f>
        <v>Online ADMIN.</v>
      </c>
      <c r="F4149" s="1" t="str">
        <f t="shared" si="1"/>
        <v>Online </v>
      </c>
      <c r="G4149" s="1" t="str">
        <f t="shared" si="2"/>
        <v>ADMIN.</v>
      </c>
      <c r="H4149" s="1" t="str">
        <f>IFERROR(__xludf.DUMMYFUNCTION("""COMPUTED_VALUE"""),"30/3/2023, 17:00:00")</f>
        <v>30/3/2023, 17:00:00</v>
      </c>
      <c r="I4149" s="1"/>
      <c r="J4149" s="1">
        <f t="shared" si="3"/>
        <v>0</v>
      </c>
      <c r="K4149" s="1" t="str">
        <f t="shared" si="4"/>
        <v/>
      </c>
    </row>
    <row r="4150">
      <c r="A4150" s="1">
        <f>IFERROR(__xludf.DUMMYFUNCTION("""COMPUTED_VALUE"""),88713.0)</f>
        <v>88713</v>
      </c>
      <c r="B4150" s="5">
        <f>IFERROR(__xludf.DUMMYFUNCTION("""COMPUTED_VALUE"""),45013.37452636574)</f>
        <v>45013.37453</v>
      </c>
      <c r="C4150" s="1" t="str">
        <f>IFERROR(__xludf.DUMMYFUNCTION("""COMPUTED_VALUE"""),"QUEVEDO ANDREA VERONIA (PROGRAMA MEDICINA DEL INTERIOR GOB)")</f>
        <v>QUEVEDO ANDREA VERONIA (PROGRAMA MEDICINA DEL INTERIOR GOB)</v>
      </c>
      <c r="D4150" s="1" t="str">
        <f>IFERROR(__xludf.DUMMYFUNCTION("""COMPUTED_VALUE"""),"Lentes de STOCK")</f>
        <v>Lentes de STOCK</v>
      </c>
      <c r="E4150" s="1" t="str">
        <f>IFERROR(__xludf.DUMMYFUNCTION("""COMPUTED_VALUE"""),"Online ADMIN.")</f>
        <v>Online ADMIN.</v>
      </c>
      <c r="F4150" s="1" t="str">
        <f t="shared" si="1"/>
        <v>Online </v>
      </c>
      <c r="G4150" s="1" t="str">
        <f t="shared" si="2"/>
        <v>ADMIN.</v>
      </c>
      <c r="H4150" s="1" t="str">
        <f>IFERROR(__xludf.DUMMYFUNCTION("""COMPUTED_VALUE"""),"30/3/2023, 17:00:00")</f>
        <v>30/3/2023, 17:00:00</v>
      </c>
      <c r="I4150" s="1"/>
      <c r="J4150" s="1">
        <f t="shared" si="3"/>
        <v>0</v>
      </c>
      <c r="K4150" s="1" t="str">
        <f t="shared" si="4"/>
        <v/>
      </c>
    </row>
    <row r="4151">
      <c r="A4151" s="1">
        <f>IFERROR(__xludf.DUMMYFUNCTION("""COMPUTED_VALUE"""),88714.0)</f>
        <v>88714</v>
      </c>
      <c r="B4151" s="5">
        <f>IFERROR(__xludf.DUMMYFUNCTION("""COMPUTED_VALUE"""),45013.37553748843)</f>
        <v>45013.37554</v>
      </c>
      <c r="C4151" s="1" t="str">
        <f>IFERROR(__xludf.DUMMYFUNCTION("""COMPUTED_VALUE"""),"SOSA GRACIELA (PROGRAMA MEDICINA DEL INTERIOR GOB)")</f>
        <v>SOSA GRACIELA (PROGRAMA MEDICINA DEL INTERIOR GOB)</v>
      </c>
      <c r="D4151" s="1" t="str">
        <f>IFERROR(__xludf.DUMMYFUNCTION("""COMPUTED_VALUE"""),"Lentes de STOCK")</f>
        <v>Lentes de STOCK</v>
      </c>
      <c r="E4151" s="1" t="str">
        <f>IFERROR(__xludf.DUMMYFUNCTION("""COMPUTED_VALUE"""),"Online ADMIN.")</f>
        <v>Online ADMIN.</v>
      </c>
      <c r="F4151" s="1" t="str">
        <f t="shared" si="1"/>
        <v>Online </v>
      </c>
      <c r="G4151" s="1" t="str">
        <f t="shared" si="2"/>
        <v>ADMIN.</v>
      </c>
      <c r="H4151" s="1" t="str">
        <f>IFERROR(__xludf.DUMMYFUNCTION("""COMPUTED_VALUE"""),"30/3/2023, 17:00:00")</f>
        <v>30/3/2023, 17:00:00</v>
      </c>
      <c r="I4151" s="1"/>
      <c r="J4151" s="1">
        <f t="shared" si="3"/>
        <v>0</v>
      </c>
      <c r="K4151" s="1" t="str">
        <f t="shared" si="4"/>
        <v/>
      </c>
    </row>
    <row r="4152">
      <c r="A4152" s="1">
        <f>IFERROR(__xludf.DUMMYFUNCTION("""COMPUTED_VALUE"""),88715.0)</f>
        <v>88715</v>
      </c>
      <c r="B4152" s="5">
        <f>IFERROR(__xludf.DUMMYFUNCTION("""COMPUTED_VALUE"""),45013.376655625005)</f>
        <v>45013.37666</v>
      </c>
      <c r="C4152" s="1" t="str">
        <f>IFERROR(__xludf.DUMMYFUNCTION("""COMPUTED_VALUE"""),"SOSA MARIA ELENA (PROGRAMA MEDICINA DEL INTERIOR GOB)")</f>
        <v>SOSA MARIA ELENA (PROGRAMA MEDICINA DEL INTERIOR GOB)</v>
      </c>
      <c r="D4152" s="1" t="str">
        <f>IFERROR(__xludf.DUMMYFUNCTION("""COMPUTED_VALUE"""),"Lentes de STOCK")</f>
        <v>Lentes de STOCK</v>
      </c>
      <c r="E4152" s="1" t="str">
        <f>IFERROR(__xludf.DUMMYFUNCTION("""COMPUTED_VALUE"""),"Online ADMIN.")</f>
        <v>Online ADMIN.</v>
      </c>
      <c r="F4152" s="1" t="str">
        <f t="shared" si="1"/>
        <v>Online </v>
      </c>
      <c r="G4152" s="1" t="str">
        <f t="shared" si="2"/>
        <v>ADMIN.</v>
      </c>
      <c r="H4152" s="1" t="str">
        <f>IFERROR(__xludf.DUMMYFUNCTION("""COMPUTED_VALUE"""),"30/3/2023, 17:00:00")</f>
        <v>30/3/2023, 17:00:00</v>
      </c>
      <c r="I4152" s="1"/>
      <c r="J4152" s="1">
        <f t="shared" si="3"/>
        <v>0</v>
      </c>
      <c r="K4152" s="1" t="str">
        <f t="shared" si="4"/>
        <v/>
      </c>
    </row>
    <row r="4153">
      <c r="A4153" s="1">
        <f>IFERROR(__xludf.DUMMYFUNCTION("""COMPUTED_VALUE"""),88716.0)</f>
        <v>88716</v>
      </c>
      <c r="B4153" s="5">
        <f>IFERROR(__xludf.DUMMYFUNCTION("""COMPUTED_VALUE"""),45013.37709140046)</f>
        <v>45013.37709</v>
      </c>
      <c r="C4153" s="1" t="str">
        <f>IFERROR(__xludf.DUMMYFUNCTION("""COMPUTED_VALUE"""),"TORRES ALDANA BELEN (PROGRAMA MEDICINA DEL INTERIOR GOB)")</f>
        <v>TORRES ALDANA BELEN (PROGRAMA MEDICINA DEL INTERIOR GOB)</v>
      </c>
      <c r="D4153" s="1" t="str">
        <f>IFERROR(__xludf.DUMMYFUNCTION("""COMPUTED_VALUE"""),"Lentes de STOCK")</f>
        <v>Lentes de STOCK</v>
      </c>
      <c r="E4153" s="1" t="str">
        <f>IFERROR(__xludf.DUMMYFUNCTION("""COMPUTED_VALUE"""),"Online ADMIN.")</f>
        <v>Online ADMIN.</v>
      </c>
      <c r="F4153" s="1" t="str">
        <f t="shared" si="1"/>
        <v>Online </v>
      </c>
      <c r="G4153" s="1" t="str">
        <f t="shared" si="2"/>
        <v>ADMIN.</v>
      </c>
      <c r="H4153" s="1" t="str">
        <f>IFERROR(__xludf.DUMMYFUNCTION("""COMPUTED_VALUE"""),"30/3/2023, 17:00:00")</f>
        <v>30/3/2023, 17:00:00</v>
      </c>
      <c r="I4153" s="1"/>
      <c r="J4153" s="1">
        <f t="shared" si="3"/>
        <v>0</v>
      </c>
      <c r="K4153" s="1" t="str">
        <f t="shared" si="4"/>
        <v/>
      </c>
    </row>
    <row r="4154">
      <c r="A4154" s="1">
        <f>IFERROR(__xludf.DUMMYFUNCTION("""COMPUTED_VALUE"""),88717.0)</f>
        <v>88717</v>
      </c>
      <c r="B4154" s="5">
        <f>IFERROR(__xludf.DUMMYFUNCTION("""COMPUTED_VALUE"""),45013.37788163194)</f>
        <v>45013.37788</v>
      </c>
      <c r="C4154" s="1" t="str">
        <f>IFERROR(__xludf.DUMMYFUNCTION("""COMPUTED_VALUE"""),"VILLARROEL CECILIA JIMENA (PROGRAMA MEDICINA DEL INTERIOR GOB)")</f>
        <v>VILLARROEL CECILIA JIMENA (PROGRAMA MEDICINA DEL INTERIOR GOB)</v>
      </c>
      <c r="D4154" s="1" t="str">
        <f>IFERROR(__xludf.DUMMYFUNCTION("""COMPUTED_VALUE"""),"Lentes de STOCK")</f>
        <v>Lentes de STOCK</v>
      </c>
      <c r="E4154" s="1" t="str">
        <f>IFERROR(__xludf.DUMMYFUNCTION("""COMPUTED_VALUE"""),"Online ADMIN.")</f>
        <v>Online ADMIN.</v>
      </c>
      <c r="F4154" s="1" t="str">
        <f t="shared" si="1"/>
        <v>Online </v>
      </c>
      <c r="G4154" s="1" t="str">
        <f t="shared" si="2"/>
        <v>ADMIN.</v>
      </c>
      <c r="H4154" s="1" t="str">
        <f>IFERROR(__xludf.DUMMYFUNCTION("""COMPUTED_VALUE"""),"30/3/2023, 17:00:00")</f>
        <v>30/3/2023, 17:00:00</v>
      </c>
      <c r="I4154" s="1"/>
      <c r="J4154" s="1">
        <f t="shared" si="3"/>
        <v>0</v>
      </c>
      <c r="K4154" s="1" t="str">
        <f t="shared" si="4"/>
        <v/>
      </c>
    </row>
    <row r="4155">
      <c r="A4155" s="1">
        <f>IFERROR(__xludf.DUMMYFUNCTION("""COMPUTED_VALUE"""),88718.0)</f>
        <v>88718</v>
      </c>
      <c r="B4155" s="5">
        <f>IFERROR(__xludf.DUMMYFUNCTION("""COMPUTED_VALUE"""),45013.37879456018)</f>
        <v>45013.37879</v>
      </c>
      <c r="C4155" s="1" t="str">
        <f>IFERROR(__xludf.DUMMYFUNCTION("""COMPUTED_VALUE"""),"ZARANDON ELBA ALICIA (PROGRAMA MEDICINA DEL INTERIOR GOB)")</f>
        <v>ZARANDON ELBA ALICIA (PROGRAMA MEDICINA DEL INTERIOR GOB)</v>
      </c>
      <c r="D4155" s="1" t="str">
        <f>IFERROR(__xludf.DUMMYFUNCTION("""COMPUTED_VALUE"""),"Lentes de STOCK")</f>
        <v>Lentes de STOCK</v>
      </c>
      <c r="E4155" s="1" t="str">
        <f>IFERROR(__xludf.DUMMYFUNCTION("""COMPUTED_VALUE"""),"Online ADMIN.")</f>
        <v>Online ADMIN.</v>
      </c>
      <c r="F4155" s="1" t="str">
        <f t="shared" si="1"/>
        <v>Online </v>
      </c>
      <c r="G4155" s="1" t="str">
        <f t="shared" si="2"/>
        <v>ADMIN.</v>
      </c>
      <c r="H4155" s="1" t="str">
        <f>IFERROR(__xludf.DUMMYFUNCTION("""COMPUTED_VALUE"""),"30/3/2023, 17:00:00")</f>
        <v>30/3/2023, 17:00:00</v>
      </c>
      <c r="I4155" s="1"/>
      <c r="J4155" s="1">
        <f t="shared" si="3"/>
        <v>0</v>
      </c>
      <c r="K4155" s="1" t="str">
        <f t="shared" si="4"/>
        <v/>
      </c>
    </row>
    <row r="4156">
      <c r="A4156" s="1">
        <f>IFERROR(__xludf.DUMMYFUNCTION("""COMPUTED_VALUE"""),88719.0)</f>
        <v>88719</v>
      </c>
      <c r="B4156" s="5">
        <f>IFERROR(__xludf.DUMMYFUNCTION("""COMPUTED_VALUE"""),45013.37945314815)</f>
        <v>45013.37945</v>
      </c>
      <c r="C4156" s="1" t="str">
        <f>IFERROR(__xludf.DUMMYFUNCTION("""COMPUTED_VALUE"""),"ZARANDON ELBA ALICIA (PROGRAMA MEDICINA DEL INTERIOR GOB)")</f>
        <v>ZARANDON ELBA ALICIA (PROGRAMA MEDICINA DEL INTERIOR GOB)</v>
      </c>
      <c r="D4156" s="1" t="str">
        <f>IFERROR(__xludf.DUMMYFUNCTION("""COMPUTED_VALUE"""),"Lentes de STOCK")</f>
        <v>Lentes de STOCK</v>
      </c>
      <c r="E4156" s="1" t="str">
        <f>IFERROR(__xludf.DUMMYFUNCTION("""COMPUTED_VALUE"""),"Online ADMIN.")</f>
        <v>Online ADMIN.</v>
      </c>
      <c r="F4156" s="1" t="str">
        <f t="shared" si="1"/>
        <v>Online </v>
      </c>
      <c r="G4156" s="1" t="str">
        <f t="shared" si="2"/>
        <v>ADMIN.</v>
      </c>
      <c r="H4156" s="1" t="str">
        <f>IFERROR(__xludf.DUMMYFUNCTION("""COMPUTED_VALUE"""),"30/3/2023, 17:00:00")</f>
        <v>30/3/2023, 17:00:00</v>
      </c>
      <c r="I4156" s="1"/>
      <c r="J4156" s="1">
        <f t="shared" si="3"/>
        <v>0</v>
      </c>
      <c r="K4156" s="1" t="str">
        <f t="shared" si="4"/>
        <v/>
      </c>
    </row>
    <row r="4157">
      <c r="A4157" s="1">
        <f>IFERROR(__xludf.DUMMYFUNCTION("""COMPUTED_VALUE"""),88720.0)</f>
        <v>88720</v>
      </c>
      <c r="B4157" s="5">
        <f>IFERROR(__xludf.DUMMYFUNCTION("""COMPUTED_VALUE"""),45013.38012134259)</f>
        <v>45013.38012</v>
      </c>
      <c r="C4157" s="1" t="str">
        <f>IFERROR(__xludf.DUMMYFUNCTION("""COMPUTED_VALUE"""),"OLGUIN ZARANDON HUGO DARIO (PROGRAMA MEDICINA DEL INTERIOR GOB)")</f>
        <v>OLGUIN ZARANDON HUGO DARIO (PROGRAMA MEDICINA DEL INTERIOR GOB)</v>
      </c>
      <c r="D4157" s="1" t="str">
        <f>IFERROR(__xludf.DUMMYFUNCTION("""COMPUTED_VALUE"""),"Lentes de STOCK")</f>
        <v>Lentes de STOCK</v>
      </c>
      <c r="E4157" s="1" t="str">
        <f>IFERROR(__xludf.DUMMYFUNCTION("""COMPUTED_VALUE"""),"Online ADMIN.")</f>
        <v>Online ADMIN.</v>
      </c>
      <c r="F4157" s="1" t="str">
        <f t="shared" si="1"/>
        <v>Online </v>
      </c>
      <c r="G4157" s="1" t="str">
        <f t="shared" si="2"/>
        <v>ADMIN.</v>
      </c>
      <c r="H4157" s="1" t="str">
        <f>IFERROR(__xludf.DUMMYFUNCTION("""COMPUTED_VALUE"""),"30/3/2023, 17:00:00")</f>
        <v>30/3/2023, 17:00:00</v>
      </c>
      <c r="I4157" s="1"/>
      <c r="J4157" s="1">
        <f t="shared" si="3"/>
        <v>0</v>
      </c>
      <c r="K4157" s="1" t="str">
        <f t="shared" si="4"/>
        <v/>
      </c>
    </row>
    <row r="4158">
      <c r="A4158" s="1">
        <f>IFERROR(__xludf.DUMMYFUNCTION("""COMPUTED_VALUE"""),88721.0)</f>
        <v>88721</v>
      </c>
      <c r="B4158" s="5">
        <f>IFERROR(__xludf.DUMMYFUNCTION("""COMPUTED_VALUE"""),45013.38030266204)</f>
        <v>45013.3803</v>
      </c>
      <c r="C4158" s="1" t="str">
        <f>IFERROR(__xludf.DUMMYFUNCTION("""COMPUTED_VALUE"""),"SUAREZ EVA")</f>
        <v>SUAREZ EVA</v>
      </c>
      <c r="D4158" s="1" t="str">
        <f>IFERROR(__xludf.DUMMYFUNCTION("""COMPUTED_VALUE"""),"Reparaciones/Otros")</f>
        <v>Reparaciones/Otros</v>
      </c>
      <c r="E4158" s="1" t="str">
        <f>IFERROR(__xludf.DUMMYFUNCTION("""COMPUTED_VALUE"""),"ARTIGAS Roció")</f>
        <v>ARTIGAS Roció</v>
      </c>
      <c r="F4158" s="1" t="str">
        <f t="shared" si="1"/>
        <v>ARTIGAS </v>
      </c>
      <c r="G4158" s="1" t="str">
        <f t="shared" si="2"/>
        <v>Roció</v>
      </c>
      <c r="H4158" s="1" t="str">
        <f>IFERROR(__xludf.DUMMYFUNCTION("""COMPUTED_VALUE"""),"29/3/2023, 17:00:00")</f>
        <v>29/3/2023, 17:00:00</v>
      </c>
      <c r="I4158" s="1" t="str">
        <f>IFERROR(__xludf.DUMMYFUNCTION("""COMPUTED_VALUE"""),"Completado en SUCURSAL")</f>
        <v>Completado en SUCURSAL</v>
      </c>
      <c r="J4158" s="1">
        <f t="shared" si="3"/>
        <v>5</v>
      </c>
      <c r="K4158" s="1" t="str">
        <f t="shared" si="4"/>
        <v>Tus Lentes estan LISTAS PARA ENTREGAR, te esperamos.</v>
      </c>
    </row>
    <row r="4159">
      <c r="A4159" s="1">
        <f>IFERROR(__xludf.DUMMYFUNCTION("""COMPUTED_VALUE"""),88722.0)</f>
        <v>88722</v>
      </c>
      <c r="B4159" s="5">
        <f>IFERROR(__xludf.DUMMYFUNCTION("""COMPUTED_VALUE"""),45013.381725300926)</f>
        <v>45013.38173</v>
      </c>
      <c r="C4159" s="1" t="str">
        <f>IFERROR(__xludf.DUMMYFUNCTION("""COMPUTED_VALUE"""),"NIEVAS YOLANDA LUISA (PROGRAMA MEDICINA DEL INTERIOR GOB)")</f>
        <v>NIEVAS YOLANDA LUISA (PROGRAMA MEDICINA DEL INTERIOR GOB)</v>
      </c>
      <c r="D4159" s="1" t="str">
        <f>IFERROR(__xludf.DUMMYFUNCTION("""COMPUTED_VALUE"""),"Lentes de STOCK")</f>
        <v>Lentes de STOCK</v>
      </c>
      <c r="E4159" s="1" t="str">
        <f>IFERROR(__xludf.DUMMYFUNCTION("""COMPUTED_VALUE"""),"Online ADMIN.")</f>
        <v>Online ADMIN.</v>
      </c>
      <c r="F4159" s="1" t="str">
        <f t="shared" si="1"/>
        <v>Online </v>
      </c>
      <c r="G4159" s="1" t="str">
        <f t="shared" si="2"/>
        <v>ADMIN.</v>
      </c>
      <c r="H4159" s="1" t="str">
        <f>IFERROR(__xludf.DUMMYFUNCTION("""COMPUTED_VALUE"""),"30/3/2023, 17:00:00")</f>
        <v>30/3/2023, 17:00:00</v>
      </c>
      <c r="I4159" s="1"/>
      <c r="J4159" s="1">
        <f t="shared" si="3"/>
        <v>0</v>
      </c>
      <c r="K4159" s="1" t="str">
        <f t="shared" si="4"/>
        <v/>
      </c>
    </row>
    <row r="4160">
      <c r="A4160" s="1">
        <f>IFERROR(__xludf.DUMMYFUNCTION("""COMPUTED_VALUE"""),88723.0)</f>
        <v>88723</v>
      </c>
      <c r="B4160" s="5">
        <f>IFERROR(__xludf.DUMMYFUNCTION("""COMPUTED_VALUE"""),45013.38244076389)</f>
        <v>45013.38244</v>
      </c>
      <c r="C4160" s="1" t="str">
        <f>IFERROR(__xludf.DUMMYFUNCTION("""COMPUTED_VALUE"""),"MIRANDA ROXANA NOEMI (PROGRAMA MEDICINA DEL INTERIOR GOB)")</f>
        <v>MIRANDA ROXANA NOEMI (PROGRAMA MEDICINA DEL INTERIOR GOB)</v>
      </c>
      <c r="D4160" s="1" t="str">
        <f>IFERROR(__xludf.DUMMYFUNCTION("""COMPUTED_VALUE"""),"Lentes de STOCK")</f>
        <v>Lentes de STOCK</v>
      </c>
      <c r="E4160" s="1" t="str">
        <f>IFERROR(__xludf.DUMMYFUNCTION("""COMPUTED_VALUE"""),"Online ADMIN.")</f>
        <v>Online ADMIN.</v>
      </c>
      <c r="F4160" s="1" t="str">
        <f t="shared" si="1"/>
        <v>Online </v>
      </c>
      <c r="G4160" s="1" t="str">
        <f t="shared" si="2"/>
        <v>ADMIN.</v>
      </c>
      <c r="H4160" s="1" t="str">
        <f>IFERROR(__xludf.DUMMYFUNCTION("""COMPUTED_VALUE"""),"30/3/2023, 17:00:00")</f>
        <v>30/3/2023, 17:00:00</v>
      </c>
      <c r="I4160" s="1"/>
      <c r="J4160" s="1">
        <f t="shared" si="3"/>
        <v>0</v>
      </c>
      <c r="K4160" s="1" t="str">
        <f t="shared" si="4"/>
        <v/>
      </c>
    </row>
    <row r="4161">
      <c r="A4161" s="1">
        <f>IFERROR(__xludf.DUMMYFUNCTION("""COMPUTED_VALUE"""),88724.0)</f>
        <v>88724</v>
      </c>
      <c r="B4161" s="5">
        <f>IFERROR(__xludf.DUMMYFUNCTION("""COMPUTED_VALUE"""),45013.38310899306)</f>
        <v>45013.38311</v>
      </c>
      <c r="C4161" s="1" t="str">
        <f>IFERROR(__xludf.DUMMYFUNCTION("""COMPUTED_VALUE"""),"MATTUZ JESSICA ISABEL (PROGRAMA MEDICINA DEL INTERIOR GOB)")</f>
        <v>MATTUZ JESSICA ISABEL (PROGRAMA MEDICINA DEL INTERIOR GOB)</v>
      </c>
      <c r="D4161" s="1" t="str">
        <f>IFERROR(__xludf.DUMMYFUNCTION("""COMPUTED_VALUE"""),"Lentes de STOCK")</f>
        <v>Lentes de STOCK</v>
      </c>
      <c r="E4161" s="1" t="str">
        <f>IFERROR(__xludf.DUMMYFUNCTION("""COMPUTED_VALUE"""),"Online ADMIN.")</f>
        <v>Online ADMIN.</v>
      </c>
      <c r="F4161" s="1" t="str">
        <f t="shared" si="1"/>
        <v>Online </v>
      </c>
      <c r="G4161" s="1" t="str">
        <f t="shared" si="2"/>
        <v>ADMIN.</v>
      </c>
      <c r="H4161" s="1" t="str">
        <f>IFERROR(__xludf.DUMMYFUNCTION("""COMPUTED_VALUE"""),"30/3/2023, 17:00:00")</f>
        <v>30/3/2023, 17:00:00</v>
      </c>
      <c r="I4161" s="1"/>
      <c r="J4161" s="1">
        <f t="shared" si="3"/>
        <v>0</v>
      </c>
      <c r="K4161" s="1" t="str">
        <f t="shared" si="4"/>
        <v/>
      </c>
    </row>
    <row r="4162">
      <c r="A4162" s="1">
        <f>IFERROR(__xludf.DUMMYFUNCTION("""COMPUTED_VALUE"""),88725.0)</f>
        <v>88725</v>
      </c>
      <c r="B4162" s="5">
        <f>IFERROR(__xludf.DUMMYFUNCTION("""COMPUTED_VALUE"""),45013.3837083449)</f>
        <v>45013.38371</v>
      </c>
      <c r="C4162" s="1" t="str">
        <f>IFERROR(__xludf.DUMMYFUNCTION("""COMPUTED_VALUE"""),"LUCERO VELEZ FRANCO AARON (PROGRAMA MEDICINA DEL INTERIOR GOB)")</f>
        <v>LUCERO VELEZ FRANCO AARON (PROGRAMA MEDICINA DEL INTERIOR GOB)</v>
      </c>
      <c r="D4162" s="1" t="str">
        <f>IFERROR(__xludf.DUMMYFUNCTION("""COMPUTED_VALUE"""),"Lentes de STOCK")</f>
        <v>Lentes de STOCK</v>
      </c>
      <c r="E4162" s="1" t="str">
        <f>IFERROR(__xludf.DUMMYFUNCTION("""COMPUTED_VALUE"""),"Online ADMIN.")</f>
        <v>Online ADMIN.</v>
      </c>
      <c r="F4162" s="1" t="str">
        <f t="shared" si="1"/>
        <v>Online </v>
      </c>
      <c r="G4162" s="1" t="str">
        <f t="shared" si="2"/>
        <v>ADMIN.</v>
      </c>
      <c r="H4162" s="1" t="str">
        <f>IFERROR(__xludf.DUMMYFUNCTION("""COMPUTED_VALUE"""),"30/3/2023, 17:00:00")</f>
        <v>30/3/2023, 17:00:00</v>
      </c>
      <c r="I4162" s="1"/>
      <c r="J4162" s="1">
        <f t="shared" si="3"/>
        <v>0</v>
      </c>
      <c r="K4162" s="1" t="str">
        <f t="shared" si="4"/>
        <v/>
      </c>
    </row>
    <row r="4163">
      <c r="A4163" s="1">
        <f>IFERROR(__xludf.DUMMYFUNCTION("""COMPUTED_VALUE"""),88726.0)</f>
        <v>88726</v>
      </c>
      <c r="B4163" s="5">
        <f>IFERROR(__xludf.DUMMYFUNCTION("""COMPUTED_VALUE"""),45013.3843806713)</f>
        <v>45013.38438</v>
      </c>
      <c r="C4163" s="1" t="str">
        <f>IFERROR(__xludf.DUMMYFUNCTION("""COMPUTED_VALUE"""),"LEYES ALAN ANDRES (PROGRAMA MEDICINA DEL INTERIOR GOB)")</f>
        <v>LEYES ALAN ANDRES (PROGRAMA MEDICINA DEL INTERIOR GOB)</v>
      </c>
      <c r="D4163" s="1" t="str">
        <f>IFERROR(__xludf.DUMMYFUNCTION("""COMPUTED_VALUE"""),"Lentes de LABORATORIO")</f>
        <v>Lentes de LABORATORIO</v>
      </c>
      <c r="E4163" s="1" t="str">
        <f>IFERROR(__xludf.DUMMYFUNCTION("""COMPUTED_VALUE"""),"Online ADMIN.")</f>
        <v>Online ADMIN.</v>
      </c>
      <c r="F4163" s="1" t="str">
        <f t="shared" si="1"/>
        <v>Online </v>
      </c>
      <c r="G4163" s="1" t="str">
        <f t="shared" si="2"/>
        <v>ADMIN.</v>
      </c>
      <c r="H4163" s="1" t="str">
        <f>IFERROR(__xludf.DUMMYFUNCTION("""COMPUTED_VALUE"""),"4/4/2023, 17:00:00")</f>
        <v>4/4/2023, 17:00:00</v>
      </c>
      <c r="I4163" s="1"/>
      <c r="J4163" s="1">
        <f t="shared" si="3"/>
        <v>0</v>
      </c>
      <c r="K4163" s="1" t="str">
        <f t="shared" si="4"/>
        <v/>
      </c>
    </row>
    <row r="4164">
      <c r="A4164" s="1">
        <f>IFERROR(__xludf.DUMMYFUNCTION("""COMPUTED_VALUE"""),88727.0)</f>
        <v>88727</v>
      </c>
      <c r="B4164" s="5">
        <f>IFERROR(__xludf.DUMMYFUNCTION("""COMPUTED_VALUE"""),45013.385050763885)</f>
        <v>45013.38505</v>
      </c>
      <c r="C4164" s="1" t="str">
        <f>IFERROR(__xludf.DUMMYFUNCTION("""COMPUTED_VALUE"""),"JOFRE ALBERTO ADELINO (PROGRAMA MEDICINA DEL INTERIOR GOB)")</f>
        <v>JOFRE ALBERTO ADELINO (PROGRAMA MEDICINA DEL INTERIOR GOB)</v>
      </c>
      <c r="D4164" s="1" t="str">
        <f>IFERROR(__xludf.DUMMYFUNCTION("""COMPUTED_VALUE"""),"Lentes de STOCK")</f>
        <v>Lentes de STOCK</v>
      </c>
      <c r="E4164" s="1" t="str">
        <f>IFERROR(__xludf.DUMMYFUNCTION("""COMPUTED_VALUE"""),"Online ADMIN.")</f>
        <v>Online ADMIN.</v>
      </c>
      <c r="F4164" s="1" t="str">
        <f t="shared" si="1"/>
        <v>Online </v>
      </c>
      <c r="G4164" s="1" t="str">
        <f t="shared" si="2"/>
        <v>ADMIN.</v>
      </c>
      <c r="H4164" s="1" t="str">
        <f>IFERROR(__xludf.DUMMYFUNCTION("""COMPUTED_VALUE"""),"30/3/2023, 17:00:00")</f>
        <v>30/3/2023, 17:00:00</v>
      </c>
      <c r="I4164" s="1"/>
      <c r="J4164" s="1">
        <f t="shared" si="3"/>
        <v>0</v>
      </c>
      <c r="K4164" s="1" t="str">
        <f t="shared" si="4"/>
        <v/>
      </c>
    </row>
    <row r="4165">
      <c r="A4165" s="1">
        <f>IFERROR(__xludf.DUMMYFUNCTION("""COMPUTED_VALUE"""),88728.0)</f>
        <v>88728</v>
      </c>
      <c r="B4165" s="5">
        <f>IFERROR(__xludf.DUMMYFUNCTION("""COMPUTED_VALUE"""),45013.38549195602)</f>
        <v>45013.38549</v>
      </c>
      <c r="C4165" s="1" t="str">
        <f>IFERROR(__xludf.DUMMYFUNCTION("""COMPUTED_VALUE"""),"JOFRE ALBERTO ADELINO (PROGRAMA MEDICINA DEL INTERIOR GOB)")</f>
        <v>JOFRE ALBERTO ADELINO (PROGRAMA MEDICINA DEL INTERIOR GOB)</v>
      </c>
      <c r="D4165" s="1" t="str">
        <f>IFERROR(__xludf.DUMMYFUNCTION("""COMPUTED_VALUE"""),"Lentes de STOCK")</f>
        <v>Lentes de STOCK</v>
      </c>
      <c r="E4165" s="1" t="str">
        <f>IFERROR(__xludf.DUMMYFUNCTION("""COMPUTED_VALUE"""),"Online ADMIN.")</f>
        <v>Online ADMIN.</v>
      </c>
      <c r="F4165" s="1" t="str">
        <f t="shared" si="1"/>
        <v>Online </v>
      </c>
      <c r="G4165" s="1" t="str">
        <f t="shared" si="2"/>
        <v>ADMIN.</v>
      </c>
      <c r="H4165" s="1" t="str">
        <f>IFERROR(__xludf.DUMMYFUNCTION("""COMPUTED_VALUE"""),"30/3/2023, 17:00:00")</f>
        <v>30/3/2023, 17:00:00</v>
      </c>
      <c r="I4165" s="1"/>
      <c r="J4165" s="1">
        <f t="shared" si="3"/>
        <v>0</v>
      </c>
      <c r="K4165" s="1" t="str">
        <f t="shared" si="4"/>
        <v/>
      </c>
    </row>
    <row r="4166">
      <c r="A4166" s="1">
        <f>IFERROR(__xludf.DUMMYFUNCTION("""COMPUTED_VALUE"""),88729.0)</f>
        <v>88729</v>
      </c>
      <c r="B4166" s="5">
        <f>IFERROR(__xludf.DUMMYFUNCTION("""COMPUTED_VALUE"""),45013.38627777778)</f>
        <v>45013.38628</v>
      </c>
      <c r="C4166" s="1" t="str">
        <f>IFERROR(__xludf.DUMMYFUNCTION("""COMPUTED_VALUE"""),"FUNES JOSE NICANOR (PROGRAMA MEDICINA DEL INTERIOR GOB)")</f>
        <v>FUNES JOSE NICANOR (PROGRAMA MEDICINA DEL INTERIOR GOB)</v>
      </c>
      <c r="D4166" s="1" t="str">
        <f>IFERROR(__xludf.DUMMYFUNCTION("""COMPUTED_VALUE"""),"Lentes de STOCK")</f>
        <v>Lentes de STOCK</v>
      </c>
      <c r="E4166" s="1" t="str">
        <f>IFERROR(__xludf.DUMMYFUNCTION("""COMPUTED_VALUE"""),"Online ADMIN.")</f>
        <v>Online ADMIN.</v>
      </c>
      <c r="F4166" s="1" t="str">
        <f t="shared" si="1"/>
        <v>Online </v>
      </c>
      <c r="G4166" s="1" t="str">
        <f t="shared" si="2"/>
        <v>ADMIN.</v>
      </c>
      <c r="H4166" s="1" t="str">
        <f>IFERROR(__xludf.DUMMYFUNCTION("""COMPUTED_VALUE"""),"30/3/2023, 17:00:00")</f>
        <v>30/3/2023, 17:00:00</v>
      </c>
      <c r="I4166" s="1"/>
      <c r="J4166" s="1">
        <f t="shared" si="3"/>
        <v>0</v>
      </c>
      <c r="K4166" s="1" t="str">
        <f t="shared" si="4"/>
        <v/>
      </c>
    </row>
    <row r="4167">
      <c r="A4167" s="1">
        <f>IFERROR(__xludf.DUMMYFUNCTION("""COMPUTED_VALUE"""),88730.0)</f>
        <v>88730</v>
      </c>
      <c r="B4167" s="5">
        <f>IFERROR(__xludf.DUMMYFUNCTION("""COMPUTED_VALUE"""),45013.38688063658)</f>
        <v>45013.38688</v>
      </c>
      <c r="C4167" s="1" t="str">
        <f>IFERROR(__xludf.DUMMYFUNCTION("""COMPUTED_VALUE"""),"FUNES JOSE NICANOR (PROGRAMA MEDICINA DEL INTERIOR GOB)")</f>
        <v>FUNES JOSE NICANOR (PROGRAMA MEDICINA DEL INTERIOR GOB)</v>
      </c>
      <c r="D4167" s="1" t="str">
        <f>IFERROR(__xludf.DUMMYFUNCTION("""COMPUTED_VALUE"""),"Lentes de STOCK")</f>
        <v>Lentes de STOCK</v>
      </c>
      <c r="E4167" s="1" t="str">
        <f>IFERROR(__xludf.DUMMYFUNCTION("""COMPUTED_VALUE"""),"Online ADMIN.")</f>
        <v>Online ADMIN.</v>
      </c>
      <c r="F4167" s="1" t="str">
        <f t="shared" si="1"/>
        <v>Online </v>
      </c>
      <c r="G4167" s="1" t="str">
        <f t="shared" si="2"/>
        <v>ADMIN.</v>
      </c>
      <c r="H4167" s="1" t="str">
        <f>IFERROR(__xludf.DUMMYFUNCTION("""COMPUTED_VALUE"""),"30/3/2023, 17:00:00")</f>
        <v>30/3/2023, 17:00:00</v>
      </c>
      <c r="I4167" s="1"/>
      <c r="J4167" s="1">
        <f t="shared" si="3"/>
        <v>0</v>
      </c>
      <c r="K4167" s="1" t="str">
        <f t="shared" si="4"/>
        <v/>
      </c>
    </row>
    <row r="4168">
      <c r="A4168" s="1">
        <f>IFERROR(__xludf.DUMMYFUNCTION("""COMPUTED_VALUE"""),88731.0)</f>
        <v>88731</v>
      </c>
      <c r="B4168" s="5">
        <f>IFERROR(__xludf.DUMMYFUNCTION("""COMPUTED_VALUE"""),45013.38741303241)</f>
        <v>45013.38741</v>
      </c>
      <c r="C4168" s="1" t="str">
        <f>IFERROR(__xludf.DUMMYFUNCTION("""COMPUTED_VALUE"""),"JUAREZ CARLOS")</f>
        <v>JUAREZ CARLOS</v>
      </c>
      <c r="D4168" s="1" t="str">
        <f>IFERROR(__xludf.DUMMYFUNCTION("""COMPUTED_VALUE"""),"Reparaciones/Otros")</f>
        <v>Reparaciones/Otros</v>
      </c>
      <c r="E4168" s="1" t="str">
        <f>IFERROR(__xludf.DUMMYFUNCTION("""COMPUTED_VALUE"""),"ARTIGAS Ivana P.")</f>
        <v>ARTIGAS Ivana P.</v>
      </c>
      <c r="F4168" s="1" t="str">
        <f t="shared" si="1"/>
        <v>ARTIGAS </v>
      </c>
      <c r="G4168" s="1" t="str">
        <f t="shared" si="2"/>
        <v>Ivana P.</v>
      </c>
      <c r="H4168" s="1" t="str">
        <f>IFERROR(__xludf.DUMMYFUNCTION("""COMPUTED_VALUE"""),"29/3/2023, 17:00:00")</f>
        <v>29/3/2023, 17:00:00</v>
      </c>
      <c r="I4168" s="1" t="str">
        <f>IFERROR(__xludf.DUMMYFUNCTION("""COMPUTED_VALUE"""),"Completado en SUCURSAL")</f>
        <v>Completado en SUCURSAL</v>
      </c>
      <c r="J4168" s="1">
        <f t="shared" si="3"/>
        <v>5</v>
      </c>
      <c r="K4168" s="1" t="str">
        <f t="shared" si="4"/>
        <v>Tus Lentes estan LISTAS PARA ENTREGAR, te esperamos.</v>
      </c>
    </row>
    <row r="4169">
      <c r="A4169" s="1">
        <f>IFERROR(__xludf.DUMMYFUNCTION("""COMPUTED_VALUE"""),88732.0)</f>
        <v>88732</v>
      </c>
      <c r="B4169" s="5">
        <f>IFERROR(__xludf.DUMMYFUNCTION("""COMPUTED_VALUE"""),45013.38786011574)</f>
        <v>45013.38786</v>
      </c>
      <c r="C4169" s="1" t="str">
        <f>IFERROR(__xludf.DUMMYFUNCTION("""COMPUTED_VALUE"""),"FIGUEROA ISABELLA LUANA (4 AÑOS ARMAZON CHICO) (PROGRAMA MEDICINA DEL INTERIOR GOB)")</f>
        <v>FIGUEROA ISABELLA LUANA (4 AÑOS ARMAZON CHICO) (PROGRAMA MEDICINA DEL INTERIOR GOB)</v>
      </c>
      <c r="D4169" s="1" t="str">
        <f>IFERROR(__xludf.DUMMYFUNCTION("""COMPUTED_VALUE"""),"Lentes de STOCK")</f>
        <v>Lentes de STOCK</v>
      </c>
      <c r="E4169" s="1" t="str">
        <f>IFERROR(__xludf.DUMMYFUNCTION("""COMPUTED_VALUE"""),"Online ADMIN.")</f>
        <v>Online ADMIN.</v>
      </c>
      <c r="F4169" s="1" t="str">
        <f t="shared" si="1"/>
        <v>Online </v>
      </c>
      <c r="G4169" s="1" t="str">
        <f t="shared" si="2"/>
        <v>ADMIN.</v>
      </c>
      <c r="H4169" s="1" t="str">
        <f>IFERROR(__xludf.DUMMYFUNCTION("""COMPUTED_VALUE"""),"30/3/2023, 17:00:00")</f>
        <v>30/3/2023, 17:00:00</v>
      </c>
      <c r="I4169" s="1"/>
      <c r="J4169" s="1">
        <f t="shared" si="3"/>
        <v>0</v>
      </c>
      <c r="K4169" s="1" t="str">
        <f t="shared" si="4"/>
        <v/>
      </c>
    </row>
    <row r="4170">
      <c r="A4170" s="1">
        <f>IFERROR(__xludf.DUMMYFUNCTION("""COMPUTED_VALUE"""),88733.0)</f>
        <v>88733</v>
      </c>
      <c r="B4170" s="5">
        <f>IFERROR(__xludf.DUMMYFUNCTION("""COMPUTED_VALUE"""),45013.38897050926)</f>
        <v>45013.38897</v>
      </c>
      <c r="C4170" s="1" t="str">
        <f>IFERROR(__xludf.DUMMYFUNCTION("""COMPUTED_VALUE"""),"FIGUEROA GISELDA ANALIA (PROGRAMA MEDICINA DEL INTERIOR GOB)")</f>
        <v>FIGUEROA GISELDA ANALIA (PROGRAMA MEDICINA DEL INTERIOR GOB)</v>
      </c>
      <c r="D4170" s="1" t="str">
        <f>IFERROR(__xludf.DUMMYFUNCTION("""COMPUTED_VALUE"""),"Lentes de STOCK")</f>
        <v>Lentes de STOCK</v>
      </c>
      <c r="E4170" s="1" t="str">
        <f>IFERROR(__xludf.DUMMYFUNCTION("""COMPUTED_VALUE"""),"Online ADMIN.")</f>
        <v>Online ADMIN.</v>
      </c>
      <c r="F4170" s="1" t="str">
        <f t="shared" si="1"/>
        <v>Online </v>
      </c>
      <c r="G4170" s="1" t="str">
        <f t="shared" si="2"/>
        <v>ADMIN.</v>
      </c>
      <c r="H4170" s="1" t="str">
        <f>IFERROR(__xludf.DUMMYFUNCTION("""COMPUTED_VALUE"""),"30/3/2023, 17:00:00")</f>
        <v>30/3/2023, 17:00:00</v>
      </c>
      <c r="I4170" s="1"/>
      <c r="J4170" s="1">
        <f t="shared" si="3"/>
        <v>0</v>
      </c>
      <c r="K4170" s="1" t="str">
        <f t="shared" si="4"/>
        <v/>
      </c>
    </row>
    <row r="4171">
      <c r="A4171" s="1">
        <f>IFERROR(__xludf.DUMMYFUNCTION("""COMPUTED_VALUE"""),88734.0)</f>
        <v>88734</v>
      </c>
      <c r="B4171" s="5">
        <f>IFERROR(__xludf.DUMMYFUNCTION("""COMPUTED_VALUE"""),45013.389146435184)</f>
        <v>45013.38915</v>
      </c>
      <c r="C4171" s="1" t="str">
        <f>IFERROR(__xludf.DUMMYFUNCTION("""COMPUTED_VALUE"""),"BERGARA BONEU ALBERTO")</f>
        <v>BERGARA BONEU ALBERTO</v>
      </c>
      <c r="D4171" s="1" t="str">
        <f>IFERROR(__xludf.DUMMYFUNCTION("""COMPUTED_VALUE"""),"Lentes de STOCK")</f>
        <v>Lentes de STOCK</v>
      </c>
      <c r="E4171" s="1" t="str">
        <f>IFERROR(__xludf.DUMMYFUNCTION("""COMPUTED_VALUE"""),"RIVADAVIA Marcela L")</f>
        <v>RIVADAVIA Marcela L</v>
      </c>
      <c r="F4171" s="1" t="str">
        <f t="shared" si="1"/>
        <v>RIVADAVIA </v>
      </c>
      <c r="G4171" s="1" t="str">
        <f t="shared" si="2"/>
        <v>Marcela L</v>
      </c>
      <c r="H4171" s="1" t="str">
        <f>IFERROR(__xludf.DUMMYFUNCTION("""COMPUTED_VALUE"""),"30/3/2023, 17:00:00")</f>
        <v>30/3/2023, 17:00:00</v>
      </c>
      <c r="I4171" s="1" t="str">
        <f>IFERROR(__xludf.DUMMYFUNCTION("""COMPUTED_VALUE"""),"RETIRADO OK POR CLIENTE")</f>
        <v>RETIRADO OK POR CLIENTE</v>
      </c>
      <c r="J4171" s="1">
        <f t="shared" si="3"/>
        <v>6</v>
      </c>
      <c r="K4171" s="1" t="str">
        <f t="shared" si="4"/>
        <v>Entregamos tus lentes, que los disfrutes!</v>
      </c>
    </row>
    <row r="4172">
      <c r="A4172" s="1">
        <f>IFERROR(__xludf.DUMMYFUNCTION("""COMPUTED_VALUE"""),88735.0)</f>
        <v>88735</v>
      </c>
      <c r="B4172" s="5">
        <f>IFERROR(__xludf.DUMMYFUNCTION("""COMPUTED_VALUE"""),45013.38942278935)</f>
        <v>45013.38942</v>
      </c>
      <c r="C4172" s="1" t="str">
        <f>IFERROR(__xludf.DUMMYFUNCTION("""COMPUTED_VALUE"""),"FERNANDEZ GARRO LOURDES ROCIO JAQUELINA (PROGRAMA MEDICINA DEL INTERIOR GOB)")</f>
        <v>FERNANDEZ GARRO LOURDES ROCIO JAQUELINA (PROGRAMA MEDICINA DEL INTERIOR GOB)</v>
      </c>
      <c r="D4172" s="1" t="str">
        <f>IFERROR(__xludf.DUMMYFUNCTION("""COMPUTED_VALUE"""),"Lentes de STOCK")</f>
        <v>Lentes de STOCK</v>
      </c>
      <c r="E4172" s="1" t="str">
        <f>IFERROR(__xludf.DUMMYFUNCTION("""COMPUTED_VALUE"""),"Online ADMIN.")</f>
        <v>Online ADMIN.</v>
      </c>
      <c r="F4172" s="1" t="str">
        <f t="shared" si="1"/>
        <v>Online </v>
      </c>
      <c r="G4172" s="1" t="str">
        <f t="shared" si="2"/>
        <v>ADMIN.</v>
      </c>
      <c r="H4172" s="1" t="str">
        <f>IFERROR(__xludf.DUMMYFUNCTION("""COMPUTED_VALUE"""),"30/3/2023, 17:00:00")</f>
        <v>30/3/2023, 17:00:00</v>
      </c>
      <c r="I4172" s="1"/>
      <c r="J4172" s="1">
        <f t="shared" si="3"/>
        <v>0</v>
      </c>
      <c r="K4172" s="1" t="str">
        <f t="shared" si="4"/>
        <v/>
      </c>
    </row>
    <row r="4173">
      <c r="A4173" s="1">
        <f>IFERROR(__xludf.DUMMYFUNCTION("""COMPUTED_VALUE"""),88736.0)</f>
        <v>88736</v>
      </c>
      <c r="B4173" s="5">
        <f>IFERROR(__xludf.DUMMYFUNCTION("""COMPUTED_VALUE"""),45013.39014688657)</f>
        <v>45013.39015</v>
      </c>
      <c r="C4173" s="1" t="str">
        <f>IFERROR(__xludf.DUMMYFUNCTION("""COMPUTED_VALUE"""),"DIAZ CLAUDIA RENEE (PROGRAMA MEDICINA DEL INTERIOR GOB)")</f>
        <v>DIAZ CLAUDIA RENEE (PROGRAMA MEDICINA DEL INTERIOR GOB)</v>
      </c>
      <c r="D4173" s="1" t="str">
        <f>IFERROR(__xludf.DUMMYFUNCTION("""COMPUTED_VALUE"""),"Lentes de STOCK")</f>
        <v>Lentes de STOCK</v>
      </c>
      <c r="E4173" s="1" t="str">
        <f>IFERROR(__xludf.DUMMYFUNCTION("""COMPUTED_VALUE"""),"Online ADMIN.")</f>
        <v>Online ADMIN.</v>
      </c>
      <c r="F4173" s="1" t="str">
        <f t="shared" si="1"/>
        <v>Online </v>
      </c>
      <c r="G4173" s="1" t="str">
        <f t="shared" si="2"/>
        <v>ADMIN.</v>
      </c>
      <c r="H4173" s="1" t="str">
        <f>IFERROR(__xludf.DUMMYFUNCTION("""COMPUTED_VALUE"""),"30/3/2023, 17:00:00")</f>
        <v>30/3/2023, 17:00:00</v>
      </c>
      <c r="I4173" s="1"/>
      <c r="J4173" s="1">
        <f t="shared" si="3"/>
        <v>0</v>
      </c>
      <c r="K4173" s="1" t="str">
        <f t="shared" si="4"/>
        <v/>
      </c>
    </row>
    <row r="4174">
      <c r="A4174" s="1">
        <f>IFERROR(__xludf.DUMMYFUNCTION("""COMPUTED_VALUE"""),88737.0)</f>
        <v>88737</v>
      </c>
      <c r="B4174" s="5">
        <f>IFERROR(__xludf.DUMMYFUNCTION("""COMPUTED_VALUE"""),45013.39075585648)</f>
        <v>45013.39076</v>
      </c>
      <c r="C4174" s="1" t="str">
        <f>IFERROR(__xludf.DUMMYFUNCTION("""COMPUTED_VALUE"""),"DIAZ ALBA CLAUDIA CAROLINA (PROGRAMA MEDICINA DEL INTERIOR GOB)")</f>
        <v>DIAZ ALBA CLAUDIA CAROLINA (PROGRAMA MEDICINA DEL INTERIOR GOB)</v>
      </c>
      <c r="D4174" s="1" t="str">
        <f>IFERROR(__xludf.DUMMYFUNCTION("""COMPUTED_VALUE"""),"Lentes de STOCK")</f>
        <v>Lentes de STOCK</v>
      </c>
      <c r="E4174" s="1" t="str">
        <f>IFERROR(__xludf.DUMMYFUNCTION("""COMPUTED_VALUE"""),"Online ADMIN.")</f>
        <v>Online ADMIN.</v>
      </c>
      <c r="F4174" s="1" t="str">
        <f t="shared" si="1"/>
        <v>Online </v>
      </c>
      <c r="G4174" s="1" t="str">
        <f t="shared" si="2"/>
        <v>ADMIN.</v>
      </c>
      <c r="H4174" s="1" t="str">
        <f>IFERROR(__xludf.DUMMYFUNCTION("""COMPUTED_VALUE"""),"30/3/2023, 17:00:00")</f>
        <v>30/3/2023, 17:00:00</v>
      </c>
      <c r="I4174" s="1"/>
      <c r="J4174" s="1">
        <f t="shared" si="3"/>
        <v>0</v>
      </c>
      <c r="K4174" s="1" t="str">
        <f t="shared" si="4"/>
        <v/>
      </c>
    </row>
    <row r="4175">
      <c r="A4175" s="1">
        <f>IFERROR(__xludf.DUMMYFUNCTION("""COMPUTED_VALUE"""),88738.0)</f>
        <v>88738</v>
      </c>
      <c r="B4175" s="5">
        <f>IFERROR(__xludf.DUMMYFUNCTION("""COMPUTED_VALUE"""),45013.391526990745)</f>
        <v>45013.39153</v>
      </c>
      <c r="C4175" s="1" t="str">
        <f>IFERROR(__xludf.DUMMYFUNCTION("""COMPUTED_VALUE"""),"BUSTAMANTE ESPINOZA LUIS ANTONIO (PROGRAMA MEDICINA DEL INTERIOR GOB)")</f>
        <v>BUSTAMANTE ESPINOZA LUIS ANTONIO (PROGRAMA MEDICINA DEL INTERIOR GOB)</v>
      </c>
      <c r="D4175" s="1" t="str">
        <f>IFERROR(__xludf.DUMMYFUNCTION("""COMPUTED_VALUE"""),"Lentes de LABORATORIO")</f>
        <v>Lentes de LABORATORIO</v>
      </c>
      <c r="E4175" s="1" t="str">
        <f>IFERROR(__xludf.DUMMYFUNCTION("""COMPUTED_VALUE"""),"Online ADMIN.")</f>
        <v>Online ADMIN.</v>
      </c>
      <c r="F4175" s="1" t="str">
        <f t="shared" si="1"/>
        <v>Online </v>
      </c>
      <c r="G4175" s="1" t="str">
        <f t="shared" si="2"/>
        <v>ADMIN.</v>
      </c>
      <c r="H4175" s="1" t="str">
        <f>IFERROR(__xludf.DUMMYFUNCTION("""COMPUTED_VALUE"""),"4/4/2023, 17:00:00")</f>
        <v>4/4/2023, 17:00:00</v>
      </c>
      <c r="I4175" s="1"/>
      <c r="J4175" s="1">
        <f t="shared" si="3"/>
        <v>0</v>
      </c>
      <c r="K4175" s="1" t="str">
        <f t="shared" si="4"/>
        <v/>
      </c>
    </row>
    <row r="4176">
      <c r="A4176" s="1">
        <f>IFERROR(__xludf.DUMMYFUNCTION("""COMPUTED_VALUE"""),88739.0)</f>
        <v>88739</v>
      </c>
      <c r="B4176" s="5">
        <f>IFERROR(__xludf.DUMMYFUNCTION("""COMPUTED_VALUE"""),45013.39218248843)</f>
        <v>45013.39218</v>
      </c>
      <c r="C4176" s="1" t="str">
        <f>IFERROR(__xludf.DUMMYFUNCTION("""COMPUTED_VALUE"""),"BECERRA YULIANA AGUSTINA (PROGRAMA MEDICINA DEL INTERIOR GOB)")</f>
        <v>BECERRA YULIANA AGUSTINA (PROGRAMA MEDICINA DEL INTERIOR GOB)</v>
      </c>
      <c r="D4176" s="1" t="str">
        <f>IFERROR(__xludf.DUMMYFUNCTION("""COMPUTED_VALUE"""),"Lentes de STOCK")</f>
        <v>Lentes de STOCK</v>
      </c>
      <c r="E4176" s="1" t="str">
        <f>IFERROR(__xludf.DUMMYFUNCTION("""COMPUTED_VALUE"""),"Online ADMIN.")</f>
        <v>Online ADMIN.</v>
      </c>
      <c r="F4176" s="1" t="str">
        <f t="shared" si="1"/>
        <v>Online </v>
      </c>
      <c r="G4176" s="1" t="str">
        <f t="shared" si="2"/>
        <v>ADMIN.</v>
      </c>
      <c r="H4176" s="1" t="str">
        <f>IFERROR(__xludf.DUMMYFUNCTION("""COMPUTED_VALUE"""),"30/3/2023, 17:00:00")</f>
        <v>30/3/2023, 17:00:00</v>
      </c>
      <c r="I4176" s="1"/>
      <c r="J4176" s="1">
        <f t="shared" si="3"/>
        <v>0</v>
      </c>
      <c r="K4176" s="1" t="str">
        <f t="shared" si="4"/>
        <v/>
      </c>
    </row>
    <row r="4177">
      <c r="A4177" s="1">
        <f>IFERROR(__xludf.DUMMYFUNCTION("""COMPUTED_VALUE"""),88740.0)</f>
        <v>88740</v>
      </c>
      <c r="B4177" s="5">
        <f>IFERROR(__xludf.DUMMYFUNCTION("""COMPUTED_VALUE"""),45013.39269332176)</f>
        <v>45013.39269</v>
      </c>
      <c r="C4177" s="1" t="str">
        <f>IFERROR(__xludf.DUMMYFUNCTION("""COMPUTED_VALUE"""),"BECERRA LUDMILA ABIGAIL (PROGRAMA MEDICINA DEL INTERIOR GOB)")</f>
        <v>BECERRA LUDMILA ABIGAIL (PROGRAMA MEDICINA DEL INTERIOR GOB)</v>
      </c>
      <c r="D4177" s="1" t="str">
        <f>IFERROR(__xludf.DUMMYFUNCTION("""COMPUTED_VALUE"""),"Lentes de STOCK")</f>
        <v>Lentes de STOCK</v>
      </c>
      <c r="E4177" s="1" t="str">
        <f>IFERROR(__xludf.DUMMYFUNCTION("""COMPUTED_VALUE"""),"Online ADMIN.")</f>
        <v>Online ADMIN.</v>
      </c>
      <c r="F4177" s="1" t="str">
        <f t="shared" si="1"/>
        <v>Online </v>
      </c>
      <c r="G4177" s="1" t="str">
        <f t="shared" si="2"/>
        <v>ADMIN.</v>
      </c>
      <c r="H4177" s="1" t="str">
        <f>IFERROR(__xludf.DUMMYFUNCTION("""COMPUTED_VALUE"""),"30/3/2023, 17:00:00")</f>
        <v>30/3/2023, 17:00:00</v>
      </c>
      <c r="I4177" s="1"/>
      <c r="J4177" s="1">
        <f t="shared" si="3"/>
        <v>0</v>
      </c>
      <c r="K4177" s="1" t="str">
        <f t="shared" si="4"/>
        <v/>
      </c>
    </row>
    <row r="4178">
      <c r="A4178" s="1">
        <f>IFERROR(__xludf.DUMMYFUNCTION("""COMPUTED_VALUE"""),88741.0)</f>
        <v>88741</v>
      </c>
      <c r="B4178" s="5">
        <f>IFERROR(__xludf.DUMMYFUNCTION("""COMPUTED_VALUE"""),45013.393330625)</f>
        <v>45013.39333</v>
      </c>
      <c r="C4178" s="1" t="str">
        <f>IFERROR(__xludf.DUMMYFUNCTION("""COMPUTED_VALUE"""),"BASUALDO CINTHIA NOEMI (PROGRAMA MEDICINA DEL INTERIOR GOB)")</f>
        <v>BASUALDO CINTHIA NOEMI (PROGRAMA MEDICINA DEL INTERIOR GOB)</v>
      </c>
      <c r="D4178" s="1" t="str">
        <f>IFERROR(__xludf.DUMMYFUNCTION("""COMPUTED_VALUE"""),"Lentes de LABORATORIO")</f>
        <v>Lentes de LABORATORIO</v>
      </c>
      <c r="E4178" s="1" t="str">
        <f>IFERROR(__xludf.DUMMYFUNCTION("""COMPUTED_VALUE"""),"Online ADMIN.")</f>
        <v>Online ADMIN.</v>
      </c>
      <c r="F4178" s="1" t="str">
        <f t="shared" si="1"/>
        <v>Online </v>
      </c>
      <c r="G4178" s="1" t="str">
        <f t="shared" si="2"/>
        <v>ADMIN.</v>
      </c>
      <c r="H4178" s="1" t="str">
        <f>IFERROR(__xludf.DUMMYFUNCTION("""COMPUTED_VALUE"""),"4/4/2023, 17:00:00")</f>
        <v>4/4/2023, 17:00:00</v>
      </c>
      <c r="I4178" s="1"/>
      <c r="J4178" s="1">
        <f t="shared" si="3"/>
        <v>0</v>
      </c>
      <c r="K4178" s="1" t="str">
        <f t="shared" si="4"/>
        <v/>
      </c>
    </row>
    <row r="4179">
      <c r="A4179" s="1">
        <f>IFERROR(__xludf.DUMMYFUNCTION("""COMPUTED_VALUE"""),88742.0)</f>
        <v>88742</v>
      </c>
      <c r="B4179" s="5">
        <f>IFERROR(__xludf.DUMMYFUNCTION("""COMPUTED_VALUE"""),45013.39355841435)</f>
        <v>45013.39356</v>
      </c>
      <c r="C4179" s="1" t="str">
        <f>IFERROR(__xludf.DUMMYFUNCTION("""COMPUTED_VALUE"""),"CEBALLOS FELICIANO")</f>
        <v>CEBALLOS FELICIANO</v>
      </c>
      <c r="D4179" s="1" t="str">
        <f>IFERROR(__xludf.DUMMYFUNCTION("""COMPUTED_VALUE"""),"Lentes de STOCK")</f>
        <v>Lentes de STOCK</v>
      </c>
      <c r="E4179" s="1" t="str">
        <f>IFERROR(__xludf.DUMMYFUNCTION("""COMPUTED_VALUE"""),"RIVADAVIA Daniel CM")</f>
        <v>RIVADAVIA Daniel CM</v>
      </c>
      <c r="F4179" s="1" t="str">
        <f t="shared" si="1"/>
        <v>RIVADAVIA </v>
      </c>
      <c r="G4179" s="1" t="str">
        <f t="shared" si="2"/>
        <v>Daniel CM</v>
      </c>
      <c r="H4179" s="1" t="str">
        <f>IFERROR(__xludf.DUMMYFUNCTION("""COMPUTED_VALUE"""),"30/3/2023, 17:00:00")</f>
        <v>30/3/2023, 17:00:00</v>
      </c>
      <c r="I4179" s="1" t="str">
        <f>IFERROR(__xludf.DUMMYFUNCTION("""COMPUTED_VALUE"""),"RETIRADO OK POR CLIENTE")</f>
        <v>RETIRADO OK POR CLIENTE</v>
      </c>
      <c r="J4179" s="1">
        <f t="shared" si="3"/>
        <v>6</v>
      </c>
      <c r="K4179" s="1" t="str">
        <f t="shared" si="4"/>
        <v>Entregamos tus lentes, que los disfrutes!</v>
      </c>
    </row>
    <row r="4180">
      <c r="A4180" s="1">
        <f>IFERROR(__xludf.DUMMYFUNCTION("""COMPUTED_VALUE"""),88743.0)</f>
        <v>88743</v>
      </c>
      <c r="B4180" s="5">
        <f>IFERROR(__xludf.DUMMYFUNCTION("""COMPUTED_VALUE"""),45013.39397653935)</f>
        <v>45013.39398</v>
      </c>
      <c r="C4180" s="1" t="str">
        <f>IFERROR(__xludf.DUMMYFUNCTION("""COMPUTED_VALUE"""),"ANZORENA TAMARA AILIN (PROGRAMA MEDICINA DEL INTERIOR GOB)")</f>
        <v>ANZORENA TAMARA AILIN (PROGRAMA MEDICINA DEL INTERIOR GOB)</v>
      </c>
      <c r="D4180" s="1" t="str">
        <f>IFERROR(__xludf.DUMMYFUNCTION("""COMPUTED_VALUE"""),"Lentes de STOCK")</f>
        <v>Lentes de STOCK</v>
      </c>
      <c r="E4180" s="1" t="str">
        <f>IFERROR(__xludf.DUMMYFUNCTION("""COMPUTED_VALUE"""),"Online ADMIN.")</f>
        <v>Online ADMIN.</v>
      </c>
      <c r="F4180" s="1" t="str">
        <f t="shared" si="1"/>
        <v>Online </v>
      </c>
      <c r="G4180" s="1" t="str">
        <f t="shared" si="2"/>
        <v>ADMIN.</v>
      </c>
      <c r="H4180" s="1" t="str">
        <f>IFERROR(__xludf.DUMMYFUNCTION("""COMPUTED_VALUE"""),"30/3/2023, 17:00:00")</f>
        <v>30/3/2023, 17:00:00</v>
      </c>
      <c r="I4180" s="1"/>
      <c r="J4180" s="1">
        <f t="shared" si="3"/>
        <v>0</v>
      </c>
      <c r="K4180" s="1" t="str">
        <f t="shared" si="4"/>
        <v/>
      </c>
    </row>
    <row r="4181">
      <c r="A4181" s="1">
        <f>IFERROR(__xludf.DUMMYFUNCTION("""COMPUTED_VALUE"""),88744.0)</f>
        <v>88744</v>
      </c>
      <c r="B4181" s="5">
        <f>IFERROR(__xludf.DUMMYFUNCTION("""COMPUTED_VALUE"""),45013.3940309375)</f>
        <v>45013.39403</v>
      </c>
      <c r="C4181" s="1" t="str">
        <f>IFERROR(__xludf.DUMMYFUNCTION("""COMPUTED_VALUE"""),"CALDERON JUAN")</f>
        <v>CALDERON JUAN</v>
      </c>
      <c r="D4181" s="1" t="str">
        <f>IFERROR(__xludf.DUMMYFUNCTION("""COMPUTED_VALUE"""),"Lentes de STOCK")</f>
        <v>Lentes de STOCK</v>
      </c>
      <c r="E4181" s="1" t="str">
        <f>IFERROR(__xludf.DUMMYFUNCTION("""COMPUTED_VALUE"""),"ARTIGAS Ivana P.")</f>
        <v>ARTIGAS Ivana P.</v>
      </c>
      <c r="F4181" s="1" t="str">
        <f t="shared" si="1"/>
        <v>ARTIGAS </v>
      </c>
      <c r="G4181" s="1" t="str">
        <f t="shared" si="2"/>
        <v>Ivana P.</v>
      </c>
      <c r="H4181" s="1" t="str">
        <f>IFERROR(__xludf.DUMMYFUNCTION("""COMPUTED_VALUE"""),"31/3/2023, 17:00:00")</f>
        <v>31/3/2023, 17:00:00</v>
      </c>
      <c r="I4181" s="1" t="str">
        <f>IFERROR(__xludf.DUMMYFUNCTION("""COMPUTED_VALUE"""),"RETIRADO OK POR CLIENTE")</f>
        <v>RETIRADO OK POR CLIENTE</v>
      </c>
      <c r="J4181" s="1">
        <f t="shared" si="3"/>
        <v>6</v>
      </c>
      <c r="K4181" s="1" t="str">
        <f t="shared" si="4"/>
        <v>Entregamos tus lentes, que los disfrutes!</v>
      </c>
    </row>
    <row r="4182">
      <c r="A4182" s="1">
        <f>IFERROR(__xludf.DUMMYFUNCTION("""COMPUTED_VALUE"""),88745.0)</f>
        <v>88745</v>
      </c>
      <c r="B4182" s="5">
        <f>IFERROR(__xludf.DUMMYFUNCTION("""COMPUTED_VALUE"""),45013.39451083333)</f>
        <v>45013.39451</v>
      </c>
      <c r="C4182" s="1" t="str">
        <f>IFERROR(__xludf.DUMMYFUNCTION("""COMPUTED_VALUE"""),"ALVAREZ CAMILA AYELEN CANDELA (PROGRAMA MEDICINA DEL INTERIOR GOB)")</f>
        <v>ALVAREZ CAMILA AYELEN CANDELA (PROGRAMA MEDICINA DEL INTERIOR GOB)</v>
      </c>
      <c r="D4182" s="1" t="str">
        <f>IFERROR(__xludf.DUMMYFUNCTION("""COMPUTED_VALUE"""),"Lentes de STOCK")</f>
        <v>Lentes de STOCK</v>
      </c>
      <c r="E4182" s="1" t="str">
        <f>IFERROR(__xludf.DUMMYFUNCTION("""COMPUTED_VALUE"""),"Online ADMIN.")</f>
        <v>Online ADMIN.</v>
      </c>
      <c r="F4182" s="1" t="str">
        <f t="shared" si="1"/>
        <v>Online </v>
      </c>
      <c r="G4182" s="1" t="str">
        <f t="shared" si="2"/>
        <v>ADMIN.</v>
      </c>
      <c r="H4182" s="1" t="str">
        <f>IFERROR(__xludf.DUMMYFUNCTION("""COMPUTED_VALUE"""),"30/3/2023, 17:00:00")</f>
        <v>30/3/2023, 17:00:00</v>
      </c>
      <c r="I4182" s="1"/>
      <c r="J4182" s="1">
        <f t="shared" si="3"/>
        <v>0</v>
      </c>
      <c r="K4182" s="1" t="str">
        <f t="shared" si="4"/>
        <v/>
      </c>
    </row>
    <row r="4183">
      <c r="A4183" s="1">
        <f>IFERROR(__xludf.DUMMYFUNCTION("""COMPUTED_VALUE"""),88746.0)</f>
        <v>88746</v>
      </c>
      <c r="B4183" s="5">
        <f>IFERROR(__xludf.DUMMYFUNCTION("""COMPUTED_VALUE"""),45013.39541648148)</f>
        <v>45013.39542</v>
      </c>
      <c r="C4183" s="1" t="str">
        <f>IFERROR(__xludf.DUMMYFUNCTION("""COMPUTED_VALUE"""),"pinelli dylan YAIR lucas 14 AÑOS (PROGRAMA MEDICINA DEL INTERIOR GOB)")</f>
        <v>pinelli dylan YAIR lucas 14 AÑOS (PROGRAMA MEDICINA DEL INTERIOR GOB)</v>
      </c>
      <c r="D4183" s="1" t="str">
        <f>IFERROR(__xludf.DUMMYFUNCTION("""COMPUTED_VALUE"""),"Lentes de LABORATORIO")</f>
        <v>Lentes de LABORATORIO</v>
      </c>
      <c r="E4183" s="1" t="str">
        <f>IFERROR(__xludf.DUMMYFUNCTION("""COMPUTED_VALUE"""),"Online ADMIN.")</f>
        <v>Online ADMIN.</v>
      </c>
      <c r="F4183" s="1" t="str">
        <f t="shared" si="1"/>
        <v>Online </v>
      </c>
      <c r="G4183" s="1" t="str">
        <f t="shared" si="2"/>
        <v>ADMIN.</v>
      </c>
      <c r="H4183" s="1" t="str">
        <f>IFERROR(__xludf.DUMMYFUNCTION("""COMPUTED_VALUE"""),"4/4/2023, 17:00:00")</f>
        <v>4/4/2023, 17:00:00</v>
      </c>
      <c r="I4183" s="1" t="str">
        <f>IFERROR(__xludf.DUMMYFUNCTION("""COMPUTED_VALUE"""),"Completado en SUCURSAL")</f>
        <v>Completado en SUCURSAL</v>
      </c>
      <c r="J4183" s="1">
        <f t="shared" si="3"/>
        <v>5</v>
      </c>
      <c r="K4183" s="1" t="str">
        <f t="shared" si="4"/>
        <v>Tus Lentes estan LISTAS PARA ENTREGAR, te esperamos.</v>
      </c>
    </row>
    <row r="4184">
      <c r="A4184" s="1">
        <f>IFERROR(__xludf.DUMMYFUNCTION("""COMPUTED_VALUE"""),88747.0)</f>
        <v>88747</v>
      </c>
      <c r="B4184" s="5">
        <f>IFERROR(__xludf.DUMMYFUNCTION("""COMPUTED_VALUE"""),45013.39616181713)</f>
        <v>45013.39616</v>
      </c>
      <c r="C4184" s="1" t="str">
        <f>IFERROR(__xludf.DUMMYFUNCTION("""COMPUTED_VALUE"""),"LUCERO AHUMADA EMILIANO JONAS 12 AÑOS(PROGRAMA MEDICINA DEL INTERIOR GOB)")</f>
        <v>LUCERO AHUMADA EMILIANO JONAS 12 AÑOS(PROGRAMA MEDICINA DEL INTERIOR GOB)</v>
      </c>
      <c r="D4184" s="1" t="str">
        <f>IFERROR(__xludf.DUMMYFUNCTION("""COMPUTED_VALUE"""),"Lentes de STOCK")</f>
        <v>Lentes de STOCK</v>
      </c>
      <c r="E4184" s="1" t="str">
        <f>IFERROR(__xludf.DUMMYFUNCTION("""COMPUTED_VALUE"""),"Online ADMIN.")</f>
        <v>Online ADMIN.</v>
      </c>
      <c r="F4184" s="1" t="str">
        <f t="shared" si="1"/>
        <v>Online </v>
      </c>
      <c r="G4184" s="1" t="str">
        <f t="shared" si="2"/>
        <v>ADMIN.</v>
      </c>
      <c r="H4184" s="1" t="str">
        <f>IFERROR(__xludf.DUMMYFUNCTION("""COMPUTED_VALUE"""),"30/3/2023, 17:00:00")</f>
        <v>30/3/2023, 17:00:00</v>
      </c>
      <c r="I4184" s="1"/>
      <c r="J4184" s="1">
        <f t="shared" si="3"/>
        <v>0</v>
      </c>
      <c r="K4184" s="1" t="str">
        <f t="shared" si="4"/>
        <v/>
      </c>
    </row>
    <row r="4185">
      <c r="A4185" s="1">
        <f>IFERROR(__xludf.DUMMYFUNCTION("""COMPUTED_VALUE"""),88748.0)</f>
        <v>88748</v>
      </c>
      <c r="B4185" s="5">
        <f>IFERROR(__xludf.DUMMYFUNCTION("""COMPUTED_VALUE"""),45013.39697439814)</f>
        <v>45013.39697</v>
      </c>
      <c r="C4185" s="1" t="str">
        <f>IFERROR(__xludf.DUMMYFUNCTION("""COMPUTED_VALUE"""),"LOPEZ SEBASTIANA (PROGRAMA MEDICINA DEL INTERIOR GOB)")</f>
        <v>LOPEZ SEBASTIANA (PROGRAMA MEDICINA DEL INTERIOR GOB)</v>
      </c>
      <c r="D4185" s="1" t="str">
        <f>IFERROR(__xludf.DUMMYFUNCTION("""COMPUTED_VALUE"""),"Lentes de STOCK")</f>
        <v>Lentes de STOCK</v>
      </c>
      <c r="E4185" s="1" t="str">
        <f>IFERROR(__xludf.DUMMYFUNCTION("""COMPUTED_VALUE"""),"Online ADMIN.")</f>
        <v>Online ADMIN.</v>
      </c>
      <c r="F4185" s="1" t="str">
        <f t="shared" si="1"/>
        <v>Online </v>
      </c>
      <c r="G4185" s="1" t="str">
        <f t="shared" si="2"/>
        <v>ADMIN.</v>
      </c>
      <c r="H4185" s="1" t="str">
        <f>IFERROR(__xludf.DUMMYFUNCTION("""COMPUTED_VALUE"""),"30/3/2023, 17:00:00")</f>
        <v>30/3/2023, 17:00:00</v>
      </c>
      <c r="I4185" s="1"/>
      <c r="J4185" s="1">
        <f t="shared" si="3"/>
        <v>0</v>
      </c>
      <c r="K4185" s="1" t="str">
        <f t="shared" si="4"/>
        <v/>
      </c>
    </row>
    <row r="4186">
      <c r="A4186" s="1">
        <f>IFERROR(__xludf.DUMMYFUNCTION("""COMPUTED_VALUE"""),88749.0)</f>
        <v>88749</v>
      </c>
      <c r="B4186" s="5">
        <f>IFERROR(__xludf.DUMMYFUNCTION("""COMPUTED_VALUE"""),45013.39744813657)</f>
        <v>45013.39745</v>
      </c>
      <c r="C4186" s="1" t="str">
        <f>IFERROR(__xludf.DUMMYFUNCTION("""COMPUTED_VALUE"""),"LOPEZ SEBASTIANA (PROGRAMA MEDICINA DEL INTERIOR GOB)")</f>
        <v>LOPEZ SEBASTIANA (PROGRAMA MEDICINA DEL INTERIOR GOB)</v>
      </c>
      <c r="D4186" s="1" t="str">
        <f>IFERROR(__xludf.DUMMYFUNCTION("""COMPUTED_VALUE"""),"Lentes de STOCK")</f>
        <v>Lentes de STOCK</v>
      </c>
      <c r="E4186" s="1" t="str">
        <f>IFERROR(__xludf.DUMMYFUNCTION("""COMPUTED_VALUE"""),"Online ADMIN.")</f>
        <v>Online ADMIN.</v>
      </c>
      <c r="F4186" s="1" t="str">
        <f t="shared" si="1"/>
        <v>Online </v>
      </c>
      <c r="G4186" s="1" t="str">
        <f t="shared" si="2"/>
        <v>ADMIN.</v>
      </c>
      <c r="H4186" s="1" t="str">
        <f>IFERROR(__xludf.DUMMYFUNCTION("""COMPUTED_VALUE"""),"30/3/2023, 17:00:00")</f>
        <v>30/3/2023, 17:00:00</v>
      </c>
      <c r="I4186" s="1"/>
      <c r="J4186" s="1">
        <f t="shared" si="3"/>
        <v>0</v>
      </c>
      <c r="K4186" s="1" t="str">
        <f t="shared" si="4"/>
        <v/>
      </c>
    </row>
    <row r="4187">
      <c r="A4187" s="1">
        <f>IFERROR(__xludf.DUMMYFUNCTION("""COMPUTED_VALUE"""),88750.0)</f>
        <v>88750</v>
      </c>
      <c r="B4187" s="5">
        <f>IFERROR(__xludf.DUMMYFUNCTION("""COMPUTED_VALUE"""),45013.39894144676)</f>
        <v>45013.39894</v>
      </c>
      <c r="C4187" s="1" t="str">
        <f>IFERROR(__xludf.DUMMYFUNCTION("""COMPUTED_VALUE"""),"ESPALLA TERESA")</f>
        <v>ESPALLA TERESA</v>
      </c>
      <c r="D4187" s="1" t="str">
        <f>IFERROR(__xludf.DUMMYFUNCTION("""COMPUTED_VALUE"""),"Lentes de STOCK")</f>
        <v>Lentes de STOCK</v>
      </c>
      <c r="E4187" s="1" t="str">
        <f>IFERROR(__xludf.DUMMYFUNCTION("""COMPUTED_VALUE"""),"RIVADAVIA Marcela L")</f>
        <v>RIVADAVIA Marcela L</v>
      </c>
      <c r="F4187" s="1" t="str">
        <f t="shared" si="1"/>
        <v>RIVADAVIA </v>
      </c>
      <c r="G4187" s="1" t="str">
        <f t="shared" si="2"/>
        <v>Marcela L</v>
      </c>
      <c r="H4187" s="1" t="str">
        <f>IFERROR(__xludf.DUMMYFUNCTION("""COMPUTED_VALUE"""),"31/3/2023, 17:00:00")</f>
        <v>31/3/2023, 17:00:00</v>
      </c>
      <c r="I4187" s="1" t="str">
        <f>IFERROR(__xludf.DUMMYFUNCTION("""COMPUTED_VALUE"""),"RETIRADO OK POR CLIENTE")</f>
        <v>RETIRADO OK POR CLIENTE</v>
      </c>
      <c r="J4187" s="1">
        <f t="shared" si="3"/>
        <v>6</v>
      </c>
      <c r="K4187" s="1" t="str">
        <f t="shared" si="4"/>
        <v>Entregamos tus lentes, que los disfrutes!</v>
      </c>
    </row>
    <row r="4188">
      <c r="A4188" s="1">
        <f>IFERROR(__xludf.DUMMYFUNCTION("""COMPUTED_VALUE"""),88751.0)</f>
        <v>88751</v>
      </c>
      <c r="B4188" s="5">
        <f>IFERROR(__xludf.DUMMYFUNCTION("""COMPUTED_VALUE"""),45013.39900006945)</f>
        <v>45013.399</v>
      </c>
      <c r="C4188" s="1" t="str">
        <f>IFERROR(__xludf.DUMMYFUNCTION("""COMPUTED_VALUE"""),"JOFRE MACARENA")</f>
        <v>JOFRE MACARENA</v>
      </c>
      <c r="D4188" s="1" t="str">
        <f>IFERROR(__xludf.DUMMYFUNCTION("""COMPUTED_VALUE"""),"Reparaciones/Otros")</f>
        <v>Reparaciones/Otros</v>
      </c>
      <c r="E4188" s="1" t="str">
        <f>IFERROR(__xludf.DUMMYFUNCTION("""COMPUTED_VALUE"""),"ARTIGAS Ivana P.")</f>
        <v>ARTIGAS Ivana P.</v>
      </c>
      <c r="F4188" s="1" t="str">
        <f t="shared" si="1"/>
        <v>ARTIGAS </v>
      </c>
      <c r="G4188" s="1" t="str">
        <f t="shared" si="2"/>
        <v>Ivana P.</v>
      </c>
      <c r="H4188" s="1" t="str">
        <f>IFERROR(__xludf.DUMMYFUNCTION("""COMPUTED_VALUE"""),"29/3/2023, 17:00:00")</f>
        <v>29/3/2023, 17:00:00</v>
      </c>
      <c r="I4188" s="1" t="str">
        <f>IFERROR(__xludf.DUMMYFUNCTION("""COMPUTED_VALUE"""),"Completado en SUCURSAL")</f>
        <v>Completado en SUCURSAL</v>
      </c>
      <c r="J4188" s="1">
        <f t="shared" si="3"/>
        <v>5</v>
      </c>
      <c r="K4188" s="1" t="str">
        <f t="shared" si="4"/>
        <v>Tus Lentes estan LISTAS PARA ENTREGAR, te esperamos.</v>
      </c>
    </row>
    <row r="4189">
      <c r="A4189" s="1">
        <f>IFERROR(__xludf.DUMMYFUNCTION("""COMPUTED_VALUE"""),88752.0)</f>
        <v>88752</v>
      </c>
      <c r="B4189" s="5">
        <f>IFERROR(__xludf.DUMMYFUNCTION("""COMPUTED_VALUE"""),45013.402488125)</f>
        <v>45013.40249</v>
      </c>
      <c r="C4189" s="1" t="str">
        <f>IFERROR(__xludf.DUMMYFUNCTION("""COMPUTED_VALUE"""),"PEREZ DANIEL")</f>
        <v>PEREZ DANIEL</v>
      </c>
      <c r="D4189" s="1" t="str">
        <f>IFERROR(__xludf.DUMMYFUNCTION("""COMPUTED_VALUE"""),"Lentes BIFOCALES")</f>
        <v>Lentes BIFOCALES</v>
      </c>
      <c r="E4189" s="1" t="str">
        <f>IFERROR(__xludf.DUMMYFUNCTION("""COMPUTED_VALUE"""),"RIVADAVIA Rocio B")</f>
        <v>RIVADAVIA Rocio B</v>
      </c>
      <c r="F4189" s="1" t="str">
        <f t="shared" si="1"/>
        <v>RIVADAVIA </v>
      </c>
      <c r="G4189" s="1" t="str">
        <f t="shared" si="2"/>
        <v>Rocio B</v>
      </c>
      <c r="H4189" s="1" t="str">
        <f>IFERROR(__xludf.DUMMYFUNCTION("""COMPUTED_VALUE"""),"10/4/2023, 17:00:00")</f>
        <v>10/4/2023, 17:00:00</v>
      </c>
      <c r="I4189" s="1" t="str">
        <f>IFERROR(__xludf.DUMMYFUNCTION("""COMPUTED_VALUE"""),"Completado en SUCURSAL")</f>
        <v>Completado en SUCURSAL</v>
      </c>
      <c r="J4189" s="1">
        <f t="shared" si="3"/>
        <v>5</v>
      </c>
      <c r="K4189" s="1" t="str">
        <f t="shared" si="4"/>
        <v>Tus Lentes estan LISTAS PARA ENTREGAR, te esperamos.</v>
      </c>
    </row>
    <row r="4190">
      <c r="A4190" s="1">
        <f>IFERROR(__xludf.DUMMYFUNCTION("""COMPUTED_VALUE"""),88753.0)</f>
        <v>88753</v>
      </c>
      <c r="B4190" s="5">
        <f>IFERROR(__xludf.DUMMYFUNCTION("""COMPUTED_VALUE"""),45013.40762077546)</f>
        <v>45013.40762</v>
      </c>
      <c r="C4190" s="1" t="str">
        <f>IFERROR(__xludf.DUMMYFUNCTION("""COMPUTED_VALUE"""),"REYES MIGUEL")</f>
        <v>REYES MIGUEL</v>
      </c>
      <c r="D4190" s="1" t="str">
        <f>IFERROR(__xludf.DUMMYFUNCTION("""COMPUTED_VALUE"""),"Reparaciones/Otros")</f>
        <v>Reparaciones/Otros</v>
      </c>
      <c r="E4190" s="1" t="str">
        <f>IFERROR(__xludf.DUMMYFUNCTION("""COMPUTED_VALUE"""),"ARTIGAS Roció")</f>
        <v>ARTIGAS Roció</v>
      </c>
      <c r="F4190" s="1" t="str">
        <f t="shared" si="1"/>
        <v>ARTIGAS </v>
      </c>
      <c r="G4190" s="1" t="str">
        <f t="shared" si="2"/>
        <v>Roció</v>
      </c>
      <c r="H4190" s="1" t="str">
        <f>IFERROR(__xludf.DUMMYFUNCTION("""COMPUTED_VALUE"""),"29/3/2023, 17:00:00")</f>
        <v>29/3/2023, 17:00:00</v>
      </c>
      <c r="I4190" s="1" t="str">
        <f>IFERROR(__xludf.DUMMYFUNCTION("""COMPUTED_VALUE"""),"Completado en SUCURSAL")</f>
        <v>Completado en SUCURSAL</v>
      </c>
      <c r="J4190" s="1">
        <f t="shared" si="3"/>
        <v>5</v>
      </c>
      <c r="K4190" s="1" t="str">
        <f t="shared" si="4"/>
        <v>Tus Lentes estan LISTAS PARA ENTREGAR, te esperamos.</v>
      </c>
    </row>
    <row r="4191">
      <c r="A4191" s="1">
        <f>IFERROR(__xludf.DUMMYFUNCTION("""COMPUTED_VALUE"""),88754.0)</f>
        <v>88754</v>
      </c>
      <c r="B4191" s="5">
        <f>IFERROR(__xludf.DUMMYFUNCTION("""COMPUTED_VALUE"""),45013.41205240741)</f>
        <v>45013.41205</v>
      </c>
      <c r="C4191" s="1" t="str">
        <f>IFERROR(__xludf.DUMMYFUNCTION("""COMPUTED_VALUE"""),"SALINAS CRISTIAN")</f>
        <v>SALINAS CRISTIAN</v>
      </c>
      <c r="D4191" s="1" t="str">
        <f>IFERROR(__xludf.DUMMYFUNCTION("""COMPUTED_VALUE"""),"Lentes de STOCK")</f>
        <v>Lentes de STOCK</v>
      </c>
      <c r="E4191" s="1" t="str">
        <f>IFERROR(__xludf.DUMMYFUNCTION("""COMPUTED_VALUE"""),"ARTIGAS Ivana P.")</f>
        <v>ARTIGAS Ivana P.</v>
      </c>
      <c r="F4191" s="1" t="str">
        <f t="shared" si="1"/>
        <v>ARTIGAS </v>
      </c>
      <c r="G4191" s="1" t="str">
        <f t="shared" si="2"/>
        <v>Ivana P.</v>
      </c>
      <c r="H4191" s="1" t="str">
        <f>IFERROR(__xludf.DUMMYFUNCTION("""COMPUTED_VALUE"""),"31/3/2023, 17:00:00")</f>
        <v>31/3/2023, 17:00:00</v>
      </c>
      <c r="I4191" s="1" t="str">
        <f>IFERROR(__xludf.DUMMYFUNCTION("""COMPUTED_VALUE"""),"RETIRADO OK POR CLIENTE")</f>
        <v>RETIRADO OK POR CLIENTE</v>
      </c>
      <c r="J4191" s="1">
        <f t="shared" si="3"/>
        <v>6</v>
      </c>
      <c r="K4191" s="1" t="str">
        <f t="shared" si="4"/>
        <v>Entregamos tus lentes, que los disfrutes!</v>
      </c>
    </row>
    <row r="4192">
      <c r="A4192" s="1">
        <f>IFERROR(__xludf.DUMMYFUNCTION("""COMPUTED_VALUE"""),88755.0)</f>
        <v>88755</v>
      </c>
      <c r="B4192" s="5">
        <f>IFERROR(__xludf.DUMMYFUNCTION("""COMPUTED_VALUE"""),45013.4159215625)</f>
        <v>45013.41592</v>
      </c>
      <c r="C4192" s="1" t="str">
        <f>IFERROR(__xludf.DUMMYFUNCTION("""COMPUTED_VALUE"""),"MORALES STELLA MARIS")</f>
        <v>MORALES STELLA MARIS</v>
      </c>
      <c r="D4192" s="1" t="str">
        <f>IFERROR(__xludf.DUMMYFUNCTION("""COMPUTED_VALUE"""),"Lentes de STOCK")</f>
        <v>Lentes de STOCK</v>
      </c>
      <c r="E4192" s="1" t="str">
        <f>IFERROR(__xludf.DUMMYFUNCTION("""COMPUTED_VALUE"""),"ARTIGAS Roció")</f>
        <v>ARTIGAS Roció</v>
      </c>
      <c r="F4192" s="1" t="str">
        <f t="shared" si="1"/>
        <v>ARTIGAS </v>
      </c>
      <c r="G4192" s="1" t="str">
        <f t="shared" si="2"/>
        <v>Roció</v>
      </c>
      <c r="H4192" s="1" t="str">
        <f>IFERROR(__xludf.DUMMYFUNCTION("""COMPUTED_VALUE"""),"4/4/2023, 17:00:00")</f>
        <v>4/4/2023, 17:00:00</v>
      </c>
      <c r="I4192" s="1" t="str">
        <f>IFERROR(__xludf.DUMMYFUNCTION("""COMPUTED_VALUE"""),"RETIRADO OK POR CLIENTE")</f>
        <v>RETIRADO OK POR CLIENTE</v>
      </c>
      <c r="J4192" s="1">
        <f t="shared" si="3"/>
        <v>6</v>
      </c>
      <c r="K4192" s="1" t="str">
        <f t="shared" si="4"/>
        <v>Entregamos tus lentes, que los disfrutes!</v>
      </c>
    </row>
    <row r="4193">
      <c r="A4193" s="1">
        <f>IFERROR(__xludf.DUMMYFUNCTION("""COMPUTED_VALUE"""),88756.0)</f>
        <v>88756</v>
      </c>
      <c r="B4193" s="5">
        <f>IFERROR(__xludf.DUMMYFUNCTION("""COMPUTED_VALUE"""),45013.42857030092)</f>
        <v>45013.42857</v>
      </c>
      <c r="C4193" s="1" t="str">
        <f>IFERROR(__xludf.DUMMYFUNCTION("""COMPUTED_VALUE"""),"SALINAS FERMIN CARLOS")</f>
        <v>SALINAS FERMIN CARLOS</v>
      </c>
      <c r="D4193" s="1" t="str">
        <f>IFERROR(__xludf.DUMMYFUNCTION("""COMPUTED_VALUE"""),"Lentes de STOCK")</f>
        <v>Lentes de STOCK</v>
      </c>
      <c r="E4193" s="1" t="str">
        <f>IFERROR(__xludf.DUMMYFUNCTION("""COMPUTED_VALUE"""),"RIVADAVIA Marcela L")</f>
        <v>RIVADAVIA Marcela L</v>
      </c>
      <c r="F4193" s="1" t="str">
        <f t="shared" si="1"/>
        <v>RIVADAVIA </v>
      </c>
      <c r="G4193" s="1" t="str">
        <f t="shared" si="2"/>
        <v>Marcela L</v>
      </c>
      <c r="H4193" s="1" t="str">
        <f>IFERROR(__xludf.DUMMYFUNCTION("""COMPUTED_VALUE"""),"31/3/2023, 17:00:00")</f>
        <v>31/3/2023, 17:00:00</v>
      </c>
      <c r="I4193" s="1" t="str">
        <f>IFERROR(__xludf.DUMMYFUNCTION("""COMPUTED_VALUE"""),"RETIRADO OK POR CLIENTE")</f>
        <v>RETIRADO OK POR CLIENTE</v>
      </c>
      <c r="J4193" s="1">
        <f t="shared" si="3"/>
        <v>6</v>
      </c>
      <c r="K4193" s="1" t="str">
        <f t="shared" si="4"/>
        <v>Entregamos tus lentes, que los disfrutes!</v>
      </c>
    </row>
    <row r="4194">
      <c r="A4194" s="1">
        <f>IFERROR(__xludf.DUMMYFUNCTION("""COMPUTED_VALUE"""),88757.0)</f>
        <v>88757</v>
      </c>
      <c r="B4194" s="5">
        <f>IFERROR(__xludf.DUMMYFUNCTION("""COMPUTED_VALUE"""),45013.42950947917)</f>
        <v>45013.42951</v>
      </c>
      <c r="C4194" s="1" t="str">
        <f>IFERROR(__xludf.DUMMYFUNCTION("""COMPUTED_VALUE"""),"AGUERO GUSTAVO")</f>
        <v>AGUERO GUSTAVO</v>
      </c>
      <c r="D4194" s="1" t="str">
        <f>IFERROR(__xludf.DUMMYFUNCTION("""COMPUTED_VALUE"""),"Lentes de STOCK")</f>
        <v>Lentes de STOCK</v>
      </c>
      <c r="E4194" s="1" t="str">
        <f>IFERROR(__xludf.DUMMYFUNCTION("""COMPUTED_VALUE"""),"RIVADAVIA Santiago LOPEZ")</f>
        <v>RIVADAVIA Santiago LOPEZ</v>
      </c>
      <c r="F4194" s="1" t="str">
        <f t="shared" si="1"/>
        <v>RIVADAVIA </v>
      </c>
      <c r="G4194" s="1" t="str">
        <f t="shared" si="2"/>
        <v>Santiago LOPEZ</v>
      </c>
      <c r="H4194" s="1" t="str">
        <f>IFERROR(__xludf.DUMMYFUNCTION("""COMPUTED_VALUE"""),"31/3/2023, 17:00:00")</f>
        <v>31/3/2023, 17:00:00</v>
      </c>
      <c r="I4194" s="1" t="str">
        <f>IFERROR(__xludf.DUMMYFUNCTION("""COMPUTED_VALUE"""),"Completado en SUCURSAL")</f>
        <v>Completado en SUCURSAL</v>
      </c>
      <c r="J4194" s="1">
        <f t="shared" si="3"/>
        <v>5</v>
      </c>
      <c r="K4194" s="1" t="str">
        <f t="shared" si="4"/>
        <v>Tus Lentes estan LISTAS PARA ENTREGAR, te esperamos.</v>
      </c>
    </row>
    <row r="4195">
      <c r="A4195" s="1">
        <f>IFERROR(__xludf.DUMMYFUNCTION("""COMPUTED_VALUE"""),88758.0)</f>
        <v>88758</v>
      </c>
      <c r="B4195" s="5">
        <f>IFERROR(__xludf.DUMMYFUNCTION("""COMPUTED_VALUE"""),45013.431970000005)</f>
        <v>45013.43197</v>
      </c>
      <c r="C4195" s="1" t="str">
        <f>IFERROR(__xludf.DUMMYFUNCTION("""COMPUTED_VALUE"""),"Villegas Adriana Noemi ")</f>
        <v>Villegas Adriana Noemi </v>
      </c>
      <c r="D4195" s="1" t="str">
        <f>IFERROR(__xludf.DUMMYFUNCTION("""COMPUTED_VALUE"""),"Lentes de STOCK")</f>
        <v>Lentes de STOCK</v>
      </c>
      <c r="E4195" s="1" t="str">
        <f>IFERROR(__xludf.DUMMYFUNCTION("""COMPUTED_VALUE"""),"ARTIGAS Ivana P.")</f>
        <v>ARTIGAS Ivana P.</v>
      </c>
      <c r="F4195" s="1" t="str">
        <f t="shared" si="1"/>
        <v>ARTIGAS </v>
      </c>
      <c r="G4195" s="1" t="str">
        <f t="shared" si="2"/>
        <v>Ivana P.</v>
      </c>
      <c r="H4195" s="1" t="str">
        <f>IFERROR(__xludf.DUMMYFUNCTION("""COMPUTED_VALUE"""),"31/3/2023, 17:00:00")</f>
        <v>31/3/2023, 17:00:00</v>
      </c>
      <c r="I4195" s="1" t="str">
        <f>IFERROR(__xludf.DUMMYFUNCTION("""COMPUTED_VALUE"""),"RETIRADO OK POR CLIENTE")</f>
        <v>RETIRADO OK POR CLIENTE</v>
      </c>
      <c r="J4195" s="1">
        <f t="shared" si="3"/>
        <v>6</v>
      </c>
      <c r="K4195" s="1" t="str">
        <f t="shared" si="4"/>
        <v>Entregamos tus lentes, que los disfrutes!</v>
      </c>
    </row>
    <row r="4196">
      <c r="A4196" s="1">
        <f>IFERROR(__xludf.DUMMYFUNCTION("""COMPUTED_VALUE"""),88759.0)</f>
        <v>88759</v>
      </c>
      <c r="B4196" s="5">
        <f>IFERROR(__xludf.DUMMYFUNCTION("""COMPUTED_VALUE"""),45013.432005173614)</f>
        <v>45013.43201</v>
      </c>
      <c r="C4196" s="1" t="str">
        <f>IFERROR(__xludf.DUMMYFUNCTION("""COMPUTED_VALUE"""),"LATORRE LILIANA SANDRA")</f>
        <v>LATORRE LILIANA SANDRA</v>
      </c>
      <c r="D4196" s="1" t="str">
        <f>IFERROR(__xludf.DUMMYFUNCTION("""COMPUTED_VALUE"""),"Reparaciones/Otros")</f>
        <v>Reparaciones/Otros</v>
      </c>
      <c r="E4196" s="1" t="str">
        <f>IFERROR(__xludf.DUMMYFUNCTION("""COMPUTED_VALUE"""),"ARTIGAS Roció")</f>
        <v>ARTIGAS Roció</v>
      </c>
      <c r="F4196" s="1" t="str">
        <f t="shared" si="1"/>
        <v>ARTIGAS </v>
      </c>
      <c r="G4196" s="1" t="str">
        <f t="shared" si="2"/>
        <v>Roció</v>
      </c>
      <c r="H4196" s="1" t="str">
        <f>IFERROR(__xludf.DUMMYFUNCTION("""COMPUTED_VALUE"""),"29/3/2023, 17:00:00")</f>
        <v>29/3/2023, 17:00:00</v>
      </c>
      <c r="I4196" s="1" t="str">
        <f>IFERROR(__xludf.DUMMYFUNCTION("""COMPUTED_VALUE"""),"RETIRADO OK POR CLIENTE")</f>
        <v>RETIRADO OK POR CLIENTE</v>
      </c>
      <c r="J4196" s="1">
        <f t="shared" si="3"/>
        <v>6</v>
      </c>
      <c r="K4196" s="1" t="str">
        <f t="shared" si="4"/>
        <v>Entregamos tus lentes, que los disfrutes!</v>
      </c>
    </row>
    <row r="4197">
      <c r="A4197" s="1">
        <f>IFERROR(__xludf.DUMMYFUNCTION("""COMPUTED_VALUE"""),88760.0)</f>
        <v>88760</v>
      </c>
      <c r="B4197" s="5">
        <f>IFERROR(__xludf.DUMMYFUNCTION("""COMPUTED_VALUE"""),45013.44129862268)</f>
        <v>45013.4413</v>
      </c>
      <c r="C4197" s="1" t="str">
        <f>IFERROR(__xludf.DUMMYFUNCTION("""COMPUTED_VALUE"""),"GONZALEZ CELIA")</f>
        <v>GONZALEZ CELIA</v>
      </c>
      <c r="D4197" s="1" t="str">
        <f>IFERROR(__xludf.DUMMYFUNCTION("""COMPUTED_VALUE"""),"Lentes de STOCK")</f>
        <v>Lentes de STOCK</v>
      </c>
      <c r="E4197" s="1" t="str">
        <f>IFERROR(__xludf.DUMMYFUNCTION("""COMPUTED_VALUE"""),"RIVADAVIA Luciana")</f>
        <v>RIVADAVIA Luciana</v>
      </c>
      <c r="F4197" s="1" t="str">
        <f t="shared" si="1"/>
        <v>RIVADAVIA </v>
      </c>
      <c r="G4197" s="1" t="str">
        <f t="shared" si="2"/>
        <v>Luciana</v>
      </c>
      <c r="H4197" s="1" t="str">
        <f>IFERROR(__xludf.DUMMYFUNCTION("""COMPUTED_VALUE"""),"31/3/2023, 17:00:00")</f>
        <v>31/3/2023, 17:00:00</v>
      </c>
      <c r="I4197" s="1" t="str">
        <f>IFERROR(__xludf.DUMMYFUNCTION("""COMPUTED_VALUE"""),"RETIRADO OK POR CLIENTE")</f>
        <v>RETIRADO OK POR CLIENTE</v>
      </c>
      <c r="J4197" s="1">
        <f t="shared" si="3"/>
        <v>6</v>
      </c>
      <c r="K4197" s="1" t="str">
        <f t="shared" si="4"/>
        <v>Entregamos tus lentes, que los disfrutes!</v>
      </c>
    </row>
    <row r="4198">
      <c r="A4198" s="1">
        <f>IFERROR(__xludf.DUMMYFUNCTION("""COMPUTED_VALUE"""),88761.0)</f>
        <v>88761</v>
      </c>
      <c r="B4198" s="5">
        <f>IFERROR(__xludf.DUMMYFUNCTION("""COMPUTED_VALUE"""),45013.44797587963)</f>
        <v>45013.44798</v>
      </c>
      <c r="C4198" s="1" t="str">
        <f>IFERROR(__xludf.DUMMYFUNCTION("""COMPUTED_VALUE"""),"daract maria agustina")</f>
        <v>daract maria agustina</v>
      </c>
      <c r="D4198" s="1" t="str">
        <f>IFERROR(__xludf.DUMMYFUNCTION("""COMPUTED_VALUE"""),"Lentes de STOCK")</f>
        <v>Lentes de STOCK</v>
      </c>
      <c r="E4198" s="1" t="str">
        <f>IFERROR(__xludf.DUMMYFUNCTION("""COMPUTED_VALUE"""),"RIVADAVIA Santiago N")</f>
        <v>RIVADAVIA Santiago N</v>
      </c>
      <c r="F4198" s="1" t="str">
        <f t="shared" si="1"/>
        <v>RIVADAVIA </v>
      </c>
      <c r="G4198" s="1" t="str">
        <f t="shared" si="2"/>
        <v>Santiago N</v>
      </c>
      <c r="H4198" s="1" t="str">
        <f>IFERROR(__xludf.DUMMYFUNCTION("""COMPUTED_VALUE"""),"31/3/2023, 17:00:00")</f>
        <v>31/3/2023, 17:00:00</v>
      </c>
      <c r="I4198" s="1" t="str">
        <f>IFERROR(__xludf.DUMMYFUNCTION("""COMPUTED_VALUE"""),"Completado en SUCURSAL")</f>
        <v>Completado en SUCURSAL</v>
      </c>
      <c r="J4198" s="1">
        <f t="shared" si="3"/>
        <v>5</v>
      </c>
      <c r="K4198" s="1" t="str">
        <f t="shared" si="4"/>
        <v>Tus Lentes estan LISTAS PARA ENTREGAR, te esperamos.</v>
      </c>
    </row>
    <row r="4199">
      <c r="A4199" s="1">
        <f>IFERROR(__xludf.DUMMYFUNCTION("""COMPUTED_VALUE"""),88762.0)</f>
        <v>88762</v>
      </c>
      <c r="B4199" s="5">
        <f>IFERROR(__xludf.DUMMYFUNCTION("""COMPUTED_VALUE"""),45013.44839041667)</f>
        <v>45013.44839</v>
      </c>
      <c r="C4199" s="1" t="str">
        <f>IFERROR(__xludf.DUMMYFUNCTION("""COMPUTED_VALUE"""),"MARTINEZ VICENTA FILOMENA")</f>
        <v>MARTINEZ VICENTA FILOMENA</v>
      </c>
      <c r="D4199" s="1" t="str">
        <f>IFERROR(__xludf.DUMMYFUNCTION("""COMPUTED_VALUE"""),"Reparaciones/Otros")</f>
        <v>Reparaciones/Otros</v>
      </c>
      <c r="E4199" s="1" t="str">
        <f>IFERROR(__xludf.DUMMYFUNCTION("""COMPUTED_VALUE"""),"RIVADAVIA Luciana")</f>
        <v>RIVADAVIA Luciana</v>
      </c>
      <c r="F4199" s="1" t="str">
        <f t="shared" si="1"/>
        <v>RIVADAVIA </v>
      </c>
      <c r="G4199" s="1" t="str">
        <f t="shared" si="2"/>
        <v>Luciana</v>
      </c>
      <c r="H4199" s="1" t="str">
        <f>IFERROR(__xludf.DUMMYFUNCTION("""COMPUTED_VALUE"""),"29/3/2023, 17:00:00")</f>
        <v>29/3/2023, 17:00:00</v>
      </c>
      <c r="I4199" s="1"/>
      <c r="J4199" s="1">
        <f t="shared" si="3"/>
        <v>0</v>
      </c>
      <c r="K4199" s="1" t="str">
        <f t="shared" si="4"/>
        <v/>
      </c>
    </row>
    <row r="4200">
      <c r="A4200" s="1">
        <f>IFERROR(__xludf.DUMMYFUNCTION("""COMPUTED_VALUE"""),88763.0)</f>
        <v>88763</v>
      </c>
      <c r="B4200" s="5">
        <f>IFERROR(__xludf.DUMMYFUNCTION("""COMPUTED_VALUE"""),45013.45200626158)</f>
        <v>45013.45201</v>
      </c>
      <c r="C4200" s="1" t="str">
        <f>IFERROR(__xludf.DUMMYFUNCTION("""COMPUTED_VALUE"""),"CHIARA JOSE")</f>
        <v>CHIARA JOSE</v>
      </c>
      <c r="D4200" s="1" t="str">
        <f>IFERROR(__xludf.DUMMYFUNCTION("""COMPUTED_VALUE"""),"Lentes de STOCK")</f>
        <v>Lentes de STOCK</v>
      </c>
      <c r="E4200" s="1" t="str">
        <f>IFERROR(__xludf.DUMMYFUNCTION("""COMPUTED_VALUE"""),"ARTIGAS Ivana P.")</f>
        <v>ARTIGAS Ivana P.</v>
      </c>
      <c r="F4200" s="1" t="str">
        <f t="shared" si="1"/>
        <v>ARTIGAS </v>
      </c>
      <c r="G4200" s="1" t="str">
        <f t="shared" si="2"/>
        <v>Ivana P.</v>
      </c>
      <c r="H4200" s="1" t="str">
        <f>IFERROR(__xludf.DUMMYFUNCTION("""COMPUTED_VALUE"""),"31/3/2023, 17:00:00")</f>
        <v>31/3/2023, 17:00:00</v>
      </c>
      <c r="I4200" s="1" t="str">
        <f>IFERROR(__xludf.DUMMYFUNCTION("""COMPUTED_VALUE"""),"RETIRADO OK POR CLIENTE")</f>
        <v>RETIRADO OK POR CLIENTE</v>
      </c>
      <c r="J4200" s="1">
        <f t="shared" si="3"/>
        <v>6</v>
      </c>
      <c r="K4200" s="1" t="str">
        <f t="shared" si="4"/>
        <v>Entregamos tus lentes, que los disfrutes!</v>
      </c>
    </row>
    <row r="4201">
      <c r="A4201" s="1">
        <f>IFERROR(__xludf.DUMMYFUNCTION("""COMPUTED_VALUE"""),88764.0)</f>
        <v>88764</v>
      </c>
      <c r="B4201" s="5">
        <f>IFERROR(__xludf.DUMMYFUNCTION("""COMPUTED_VALUE"""),45013.45696159722)</f>
        <v>45013.45696</v>
      </c>
      <c r="C4201" s="1" t="str">
        <f>IFERROR(__xludf.DUMMYFUNCTION("""COMPUTED_VALUE"""),"AGUERO ROGELIO SALVADOR")</f>
        <v>AGUERO ROGELIO SALVADOR</v>
      </c>
      <c r="D4201" s="1" t="str">
        <f>IFERROR(__xludf.DUMMYFUNCTION("""COMPUTED_VALUE"""),"Lentes de STOCK")</f>
        <v>Lentes de STOCK</v>
      </c>
      <c r="E4201" s="1" t="str">
        <f>IFERROR(__xludf.DUMMYFUNCTION("""COMPUTED_VALUE"""),"RIVADAVIA Luciana")</f>
        <v>RIVADAVIA Luciana</v>
      </c>
      <c r="F4201" s="1" t="str">
        <f t="shared" si="1"/>
        <v>RIVADAVIA </v>
      </c>
      <c r="G4201" s="1" t="str">
        <f t="shared" si="2"/>
        <v>Luciana</v>
      </c>
      <c r="H4201" s="1" t="str">
        <f>IFERROR(__xludf.DUMMYFUNCTION("""COMPUTED_VALUE"""),"31/3/2023, 17:00:00")</f>
        <v>31/3/2023, 17:00:00</v>
      </c>
      <c r="I4201" s="1" t="str">
        <f>IFERROR(__xludf.DUMMYFUNCTION("""COMPUTED_VALUE"""),"RETIRADO OK POR CLIENTE")</f>
        <v>RETIRADO OK POR CLIENTE</v>
      </c>
      <c r="J4201" s="1">
        <f t="shared" si="3"/>
        <v>6</v>
      </c>
      <c r="K4201" s="1" t="str">
        <f t="shared" si="4"/>
        <v>Entregamos tus lentes, que los disfrutes!</v>
      </c>
    </row>
    <row r="4202">
      <c r="A4202" s="1">
        <f>IFERROR(__xludf.DUMMYFUNCTION("""COMPUTED_VALUE"""),88765.0)</f>
        <v>88765</v>
      </c>
      <c r="B4202" s="5">
        <f>IFERROR(__xludf.DUMMYFUNCTION("""COMPUTED_VALUE"""),45013.46039091435)</f>
        <v>45013.46039</v>
      </c>
      <c r="C4202" s="1" t="str">
        <f>IFERROR(__xludf.DUMMYFUNCTION("""COMPUTED_VALUE"""),"QUIROGA ERIC")</f>
        <v>QUIROGA ERIC</v>
      </c>
      <c r="D4202" s="1" t="str">
        <f>IFERROR(__xludf.DUMMYFUNCTION("""COMPUTED_VALUE"""),"Lentes de STOCK")</f>
        <v>Lentes de STOCK</v>
      </c>
      <c r="E4202" s="1" t="str">
        <f>IFERROR(__xludf.DUMMYFUNCTION("""COMPUTED_VALUE"""),"ARTIGAS Ivana P.")</f>
        <v>ARTIGAS Ivana P.</v>
      </c>
      <c r="F4202" s="1" t="str">
        <f t="shared" si="1"/>
        <v>ARTIGAS </v>
      </c>
      <c r="G4202" s="1" t="str">
        <f t="shared" si="2"/>
        <v>Ivana P.</v>
      </c>
      <c r="H4202" s="1" t="str">
        <f>IFERROR(__xludf.DUMMYFUNCTION("""COMPUTED_VALUE"""),"31/3/2023, 17:00:00")</f>
        <v>31/3/2023, 17:00:00</v>
      </c>
      <c r="I4202" s="1" t="str">
        <f>IFERROR(__xludf.DUMMYFUNCTION("""COMPUTED_VALUE"""),"RETIRADO OK POR CLIENTE")</f>
        <v>RETIRADO OK POR CLIENTE</v>
      </c>
      <c r="J4202" s="1">
        <f t="shared" si="3"/>
        <v>6</v>
      </c>
      <c r="K4202" s="1" t="str">
        <f t="shared" si="4"/>
        <v>Entregamos tus lentes, que los disfrutes!</v>
      </c>
    </row>
    <row r="4203">
      <c r="A4203" s="1">
        <f>IFERROR(__xludf.DUMMYFUNCTION("""COMPUTED_VALUE"""),88766.0)</f>
        <v>88766</v>
      </c>
      <c r="B4203" s="5">
        <f>IFERROR(__xludf.DUMMYFUNCTION("""COMPUTED_VALUE"""),45013.46278328703)</f>
        <v>45013.46278</v>
      </c>
      <c r="C4203" s="1" t="str">
        <f>IFERROR(__xludf.DUMMYFUNCTION("""COMPUTED_VALUE"""),"QUIROGA FELIX")</f>
        <v>QUIROGA FELIX</v>
      </c>
      <c r="D4203" s="1" t="str">
        <f>IFERROR(__xludf.DUMMYFUNCTION("""COMPUTED_VALUE"""),"Lentes de STOCK")</f>
        <v>Lentes de STOCK</v>
      </c>
      <c r="E4203" s="1" t="str">
        <f>IFERROR(__xludf.DUMMYFUNCTION("""COMPUTED_VALUE"""),"ARTIGAS Ivana P.")</f>
        <v>ARTIGAS Ivana P.</v>
      </c>
      <c r="F4203" s="1" t="str">
        <f t="shared" si="1"/>
        <v>ARTIGAS </v>
      </c>
      <c r="G4203" s="1" t="str">
        <f t="shared" si="2"/>
        <v>Ivana P.</v>
      </c>
      <c r="H4203" s="1" t="str">
        <f>IFERROR(__xludf.DUMMYFUNCTION("""COMPUTED_VALUE"""),"31/3/2023, 17:00:00")</f>
        <v>31/3/2023, 17:00:00</v>
      </c>
      <c r="I4203" s="1" t="str">
        <f>IFERROR(__xludf.DUMMYFUNCTION("""COMPUTED_VALUE"""),"RETIRADO OK POR CLIENTE")</f>
        <v>RETIRADO OK POR CLIENTE</v>
      </c>
      <c r="J4203" s="1">
        <f t="shared" si="3"/>
        <v>6</v>
      </c>
      <c r="K4203" s="1" t="str">
        <f t="shared" si="4"/>
        <v>Entregamos tus lentes, que los disfrutes!</v>
      </c>
    </row>
    <row r="4204">
      <c r="A4204" s="1">
        <f>IFERROR(__xludf.DUMMYFUNCTION("""COMPUTED_VALUE"""),88767.0)</f>
        <v>88767</v>
      </c>
      <c r="B4204" s="5">
        <f>IFERROR(__xludf.DUMMYFUNCTION("""COMPUTED_VALUE"""),45013.46442017361)</f>
        <v>45013.46442</v>
      </c>
      <c r="C4204" s="1" t="str">
        <f>IFERROR(__xludf.DUMMYFUNCTION("""COMPUTED_VALUE"""),"JOFRE OSCAR")</f>
        <v>JOFRE OSCAR</v>
      </c>
      <c r="D4204" s="1" t="str">
        <f>IFERROR(__xludf.DUMMYFUNCTION("""COMPUTED_VALUE"""),"Lentes de STOCK")</f>
        <v>Lentes de STOCK</v>
      </c>
      <c r="E4204" s="1" t="str">
        <f>IFERROR(__xludf.DUMMYFUNCTION("""COMPUTED_VALUE"""),"RIVADAVIA Santiago LOPEZ")</f>
        <v>RIVADAVIA Santiago LOPEZ</v>
      </c>
      <c r="F4204" s="1" t="str">
        <f t="shared" si="1"/>
        <v>RIVADAVIA </v>
      </c>
      <c r="G4204" s="1" t="str">
        <f t="shared" si="2"/>
        <v>Santiago LOPEZ</v>
      </c>
      <c r="H4204" s="1" t="str">
        <f>IFERROR(__xludf.DUMMYFUNCTION("""COMPUTED_VALUE"""),"31/3/2023, 17:00:00")</f>
        <v>31/3/2023, 17:00:00</v>
      </c>
      <c r="I4204" s="1" t="str">
        <f>IFERROR(__xludf.DUMMYFUNCTION("""COMPUTED_VALUE"""),"Completado en SUCURSAL")</f>
        <v>Completado en SUCURSAL</v>
      </c>
      <c r="J4204" s="1">
        <f t="shared" si="3"/>
        <v>5</v>
      </c>
      <c r="K4204" s="1" t="str">
        <f t="shared" si="4"/>
        <v>Tus Lentes estan LISTAS PARA ENTREGAR, te esperamos.</v>
      </c>
    </row>
    <row r="4205">
      <c r="A4205" s="1">
        <f>IFERROR(__xludf.DUMMYFUNCTION("""COMPUTED_VALUE"""),88768.0)</f>
        <v>88768</v>
      </c>
      <c r="B4205" s="5">
        <f>IFERROR(__xludf.DUMMYFUNCTION("""COMPUTED_VALUE"""),45013.46470733796)</f>
        <v>45013.46471</v>
      </c>
      <c r="C4205" s="1" t="str">
        <f>IFERROR(__xludf.DUMMYFUNCTION("""COMPUTED_VALUE"""),"LOPEZ MARTA GRACIELA")</f>
        <v>LOPEZ MARTA GRACIELA</v>
      </c>
      <c r="D4205" s="1" t="str">
        <f>IFERROR(__xludf.DUMMYFUNCTION("""COMPUTED_VALUE"""),"Reparaciones/Otros")</f>
        <v>Reparaciones/Otros</v>
      </c>
      <c r="E4205" s="1" t="str">
        <f>IFERROR(__xludf.DUMMYFUNCTION("""COMPUTED_VALUE"""),"ARTIGAS Roció")</f>
        <v>ARTIGAS Roció</v>
      </c>
      <c r="F4205" s="1" t="str">
        <f t="shared" si="1"/>
        <v>ARTIGAS </v>
      </c>
      <c r="G4205" s="1" t="str">
        <f t="shared" si="2"/>
        <v>Roció</v>
      </c>
      <c r="H4205" s="1" t="str">
        <f>IFERROR(__xludf.DUMMYFUNCTION("""COMPUTED_VALUE"""),"29/3/2023, 17:00:00")</f>
        <v>29/3/2023, 17:00:00</v>
      </c>
      <c r="I4205" s="1" t="str">
        <f>IFERROR(__xludf.DUMMYFUNCTION("""COMPUTED_VALUE"""),"Completado en SUCURSAL")</f>
        <v>Completado en SUCURSAL</v>
      </c>
      <c r="J4205" s="1">
        <f t="shared" si="3"/>
        <v>5</v>
      </c>
      <c r="K4205" s="1" t="str">
        <f t="shared" si="4"/>
        <v>Tus Lentes estan LISTAS PARA ENTREGAR, te esperamos.</v>
      </c>
    </row>
    <row r="4206">
      <c r="A4206" s="1">
        <f>IFERROR(__xludf.DUMMYFUNCTION("""COMPUTED_VALUE"""),88769.0)</f>
        <v>88769</v>
      </c>
      <c r="B4206" s="5">
        <f>IFERROR(__xludf.DUMMYFUNCTION("""COMPUTED_VALUE"""),45013.46477439815)</f>
        <v>45013.46477</v>
      </c>
      <c r="C4206" s="1" t="str">
        <f>IFERROR(__xludf.DUMMYFUNCTION("""COMPUTED_VALUE"""),"ALBELO MARIA SOLEDAD")</f>
        <v>ALBELO MARIA SOLEDAD</v>
      </c>
      <c r="D4206" s="1" t="str">
        <f>IFERROR(__xludf.DUMMYFUNCTION("""COMPUTED_VALUE"""),"Lentes de STOCK")</f>
        <v>Lentes de STOCK</v>
      </c>
      <c r="E4206" s="1" t="str">
        <f>IFERROR(__xludf.DUMMYFUNCTION("""COMPUTED_VALUE"""),"ARTIGAS Ivana P.")</f>
        <v>ARTIGAS Ivana P.</v>
      </c>
      <c r="F4206" s="1" t="str">
        <f t="shared" si="1"/>
        <v>ARTIGAS </v>
      </c>
      <c r="G4206" s="1" t="str">
        <f t="shared" si="2"/>
        <v>Ivana P.</v>
      </c>
      <c r="H4206" s="1" t="str">
        <f>IFERROR(__xludf.DUMMYFUNCTION("""COMPUTED_VALUE"""),"31/3/2023, 17:00:00")</f>
        <v>31/3/2023, 17:00:00</v>
      </c>
      <c r="I4206" s="1" t="str">
        <f>IFERROR(__xludf.DUMMYFUNCTION("""COMPUTED_VALUE"""),"RETIRADO OK POR CLIENTE")</f>
        <v>RETIRADO OK POR CLIENTE</v>
      </c>
      <c r="J4206" s="1">
        <f t="shared" si="3"/>
        <v>6</v>
      </c>
      <c r="K4206" s="1" t="str">
        <f t="shared" si="4"/>
        <v>Entregamos tus lentes, que los disfrutes!</v>
      </c>
    </row>
    <row r="4207">
      <c r="A4207" s="1">
        <f>IFERROR(__xludf.DUMMYFUNCTION("""COMPUTED_VALUE"""),88770.0)</f>
        <v>88770</v>
      </c>
      <c r="B4207" s="5">
        <f>IFERROR(__xludf.DUMMYFUNCTION("""COMPUTED_VALUE"""),45013.46842748843)</f>
        <v>45013.46843</v>
      </c>
      <c r="C4207" s="1" t="str">
        <f>IFERROR(__xludf.DUMMYFUNCTION("""COMPUTED_VALUE"""),"CORTEZ GABRIELA ")</f>
        <v>CORTEZ GABRIELA </v>
      </c>
      <c r="D4207" s="1" t="str">
        <f>IFERROR(__xludf.DUMMYFUNCTION("""COMPUTED_VALUE"""),"Reparaciones/Otros")</f>
        <v>Reparaciones/Otros</v>
      </c>
      <c r="E4207" s="1" t="str">
        <f>IFERROR(__xludf.DUMMYFUNCTION("""COMPUTED_VALUE"""),"RIVADAVIA Luciana")</f>
        <v>RIVADAVIA Luciana</v>
      </c>
      <c r="F4207" s="1" t="str">
        <f t="shared" si="1"/>
        <v>RIVADAVIA </v>
      </c>
      <c r="G4207" s="1" t="str">
        <f t="shared" si="2"/>
        <v>Luciana</v>
      </c>
      <c r="H4207" s="1" t="str">
        <f>IFERROR(__xludf.DUMMYFUNCTION("""COMPUTED_VALUE"""),"29/3/2023, 17:00:00")</f>
        <v>29/3/2023, 17:00:00</v>
      </c>
      <c r="I4207" s="1" t="str">
        <f>IFERROR(__xludf.DUMMYFUNCTION("""COMPUTED_VALUE"""),"Completado en SUCURSAL")</f>
        <v>Completado en SUCURSAL</v>
      </c>
      <c r="J4207" s="1">
        <f t="shared" si="3"/>
        <v>5</v>
      </c>
      <c r="K4207" s="1" t="str">
        <f t="shared" si="4"/>
        <v>Tus Lentes estan LISTAS PARA ENTREGAR, te esperamos.</v>
      </c>
    </row>
    <row r="4208">
      <c r="A4208" s="1">
        <f>IFERROR(__xludf.DUMMYFUNCTION("""COMPUTED_VALUE"""),88771.0)</f>
        <v>88771</v>
      </c>
      <c r="B4208" s="5">
        <f>IFERROR(__xludf.DUMMYFUNCTION("""COMPUTED_VALUE"""),45013.46939711805)</f>
        <v>45013.4694</v>
      </c>
      <c r="C4208" s="1" t="str">
        <f>IFERROR(__xludf.DUMMYFUNCTION("""COMPUTED_VALUE"""),"TOBARES ANGEL ")</f>
        <v>TOBARES ANGEL </v>
      </c>
      <c r="D4208" s="1" t="str">
        <f>IFERROR(__xludf.DUMMYFUNCTION("""COMPUTED_VALUE"""),"Lentes de STOCK")</f>
        <v>Lentes de STOCK</v>
      </c>
      <c r="E4208" s="1" t="str">
        <f>IFERROR(__xludf.DUMMYFUNCTION("""COMPUTED_VALUE"""),"RIVADAVIA Christian C.")</f>
        <v>RIVADAVIA Christian C.</v>
      </c>
      <c r="F4208" s="1" t="str">
        <f t="shared" si="1"/>
        <v>RIVADAVIA </v>
      </c>
      <c r="G4208" s="1" t="str">
        <f t="shared" si="2"/>
        <v>Christian C.</v>
      </c>
      <c r="H4208" s="1" t="str">
        <f>IFERROR(__xludf.DUMMYFUNCTION("""COMPUTED_VALUE"""),"4/4/2023, 17:00:00")</f>
        <v>4/4/2023, 17:00:00</v>
      </c>
      <c r="I4208" s="1" t="str">
        <f>IFERROR(__xludf.DUMMYFUNCTION("""COMPUTED_VALUE"""),"RETIRADO OK POR CLIENTE")</f>
        <v>RETIRADO OK POR CLIENTE</v>
      </c>
      <c r="J4208" s="1">
        <f t="shared" si="3"/>
        <v>6</v>
      </c>
      <c r="K4208" s="1" t="str">
        <f t="shared" si="4"/>
        <v>Entregamos tus lentes, que los disfrutes!</v>
      </c>
    </row>
    <row r="4209">
      <c r="A4209" s="1">
        <f>IFERROR(__xludf.DUMMYFUNCTION("""COMPUTED_VALUE"""),88772.0)</f>
        <v>88772</v>
      </c>
      <c r="B4209" s="5">
        <f>IFERROR(__xludf.DUMMYFUNCTION("""COMPUTED_VALUE"""),45013.4698268287)</f>
        <v>45013.46983</v>
      </c>
      <c r="C4209" s="1" t="str">
        <f>IFERROR(__xludf.DUMMYFUNCTION("""COMPUTED_VALUE"""),"LAGO ANGELA")</f>
        <v>LAGO ANGELA</v>
      </c>
      <c r="D4209" s="1" t="str">
        <f>IFERROR(__xludf.DUMMYFUNCTION("""COMPUTED_VALUE"""),"Reparaciones/Otros")</f>
        <v>Reparaciones/Otros</v>
      </c>
      <c r="E4209" s="1" t="str">
        <f>IFERROR(__xludf.DUMMYFUNCTION("""COMPUTED_VALUE"""),"ARTIGAS Roció")</f>
        <v>ARTIGAS Roció</v>
      </c>
      <c r="F4209" s="1" t="str">
        <f t="shared" si="1"/>
        <v>ARTIGAS </v>
      </c>
      <c r="G4209" s="1" t="str">
        <f t="shared" si="2"/>
        <v>Roció</v>
      </c>
      <c r="H4209" s="1" t="str">
        <f>IFERROR(__xludf.DUMMYFUNCTION("""COMPUTED_VALUE"""),"29/3/2023, 17:00:00")</f>
        <v>29/3/2023, 17:00:00</v>
      </c>
      <c r="I4209" s="1" t="str">
        <f>IFERROR(__xludf.DUMMYFUNCTION("""COMPUTED_VALUE"""),"Completado en SUCURSAL")</f>
        <v>Completado en SUCURSAL</v>
      </c>
      <c r="J4209" s="1">
        <f t="shared" si="3"/>
        <v>5</v>
      </c>
      <c r="K4209" s="1" t="str">
        <f t="shared" si="4"/>
        <v>Tus Lentes estan LISTAS PARA ENTREGAR, te esperamos.</v>
      </c>
    </row>
    <row r="4210">
      <c r="A4210" s="1">
        <f>IFERROR(__xludf.DUMMYFUNCTION("""COMPUTED_VALUE"""),88773.0)</f>
        <v>88773</v>
      </c>
      <c r="B4210" s="5">
        <f>IFERROR(__xludf.DUMMYFUNCTION("""COMPUTED_VALUE"""),45013.47027983796)</f>
        <v>45013.47028</v>
      </c>
      <c r="C4210" s="1" t="str">
        <f>IFERROR(__xludf.DUMMYFUNCTION("""COMPUTED_VALUE"""),"PAEZ ADRIANA ")</f>
        <v>PAEZ ADRIANA </v>
      </c>
      <c r="D4210" s="1" t="str">
        <f>IFERROR(__xludf.DUMMYFUNCTION("""COMPUTED_VALUE"""),"Lentes de STOCK")</f>
        <v>Lentes de STOCK</v>
      </c>
      <c r="E4210" s="1" t="str">
        <f>IFERROR(__xludf.DUMMYFUNCTION("""COMPUTED_VALUE"""),"RIVADAVIA Christian C.")</f>
        <v>RIVADAVIA Christian C.</v>
      </c>
      <c r="F4210" s="1" t="str">
        <f t="shared" si="1"/>
        <v>RIVADAVIA </v>
      </c>
      <c r="G4210" s="1" t="str">
        <f t="shared" si="2"/>
        <v>Christian C.</v>
      </c>
      <c r="H4210" s="1" t="str">
        <f>IFERROR(__xludf.DUMMYFUNCTION("""COMPUTED_VALUE"""),"4/4/2023, 17:00:00")</f>
        <v>4/4/2023, 17:00:00</v>
      </c>
      <c r="I4210" s="1" t="str">
        <f>IFERROR(__xludf.DUMMYFUNCTION("""COMPUTED_VALUE"""),"RETIRADO OK POR CLIENTE")</f>
        <v>RETIRADO OK POR CLIENTE</v>
      </c>
      <c r="J4210" s="1">
        <f t="shared" si="3"/>
        <v>6</v>
      </c>
      <c r="K4210" s="1" t="str">
        <f t="shared" si="4"/>
        <v>Entregamos tus lentes, que los disfrutes!</v>
      </c>
    </row>
    <row r="4211">
      <c r="A4211" s="1">
        <f>IFERROR(__xludf.DUMMYFUNCTION("""COMPUTED_VALUE"""),88774.0)</f>
        <v>88774</v>
      </c>
      <c r="B4211" s="5">
        <f>IFERROR(__xludf.DUMMYFUNCTION("""COMPUTED_VALUE"""),45013.47299909723)</f>
        <v>45013.473</v>
      </c>
      <c r="C4211" s="1" t="str">
        <f>IFERROR(__xludf.DUMMYFUNCTION("""COMPUTED_VALUE"""),"CRUCEÑO NILDA ")</f>
        <v>CRUCEÑO NILDA </v>
      </c>
      <c r="D4211" s="1" t="str">
        <f>IFERROR(__xludf.DUMMYFUNCTION("""COMPUTED_VALUE"""),"Lentes de LABORATORIO")</f>
        <v>Lentes de LABORATORIO</v>
      </c>
      <c r="E4211" s="1" t="str">
        <f>IFERROR(__xludf.DUMMYFUNCTION("""COMPUTED_VALUE"""),"ARTIGAS Ivana P.")</f>
        <v>ARTIGAS Ivana P.</v>
      </c>
      <c r="F4211" s="1" t="str">
        <f t="shared" si="1"/>
        <v>ARTIGAS </v>
      </c>
      <c r="G4211" s="1" t="str">
        <f t="shared" si="2"/>
        <v>Ivana P.</v>
      </c>
      <c r="H4211" s="1" t="str">
        <f>IFERROR(__xludf.DUMMYFUNCTION("""COMPUTED_VALUE"""),"8/4/2023, 17:00:00")</f>
        <v>8/4/2023, 17:00:00</v>
      </c>
      <c r="I4211" s="1" t="str">
        <f>IFERROR(__xludf.DUMMYFUNCTION("""COMPUTED_VALUE"""),"Completado en SUCURSAL")</f>
        <v>Completado en SUCURSAL</v>
      </c>
      <c r="J4211" s="1">
        <f t="shared" si="3"/>
        <v>5</v>
      </c>
      <c r="K4211" s="1" t="str">
        <f t="shared" si="4"/>
        <v>Tus Lentes estan LISTAS PARA ENTREGAR, te esperamos.</v>
      </c>
    </row>
    <row r="4212">
      <c r="A4212" s="1">
        <f>IFERROR(__xludf.DUMMYFUNCTION("""COMPUTED_VALUE"""),88775.0)</f>
        <v>88775</v>
      </c>
      <c r="B4212" s="5">
        <f>IFERROR(__xludf.DUMMYFUNCTION("""COMPUTED_VALUE"""),45013.47378689815)</f>
        <v>45013.47379</v>
      </c>
      <c r="C4212" s="1" t="str">
        <f>IFERROR(__xludf.DUMMYFUNCTION("""COMPUTED_VALUE"""),"QUEVEDO MIRTA")</f>
        <v>QUEVEDO MIRTA</v>
      </c>
      <c r="D4212" s="1" t="str">
        <f>IFERROR(__xludf.DUMMYFUNCTION("""COMPUTED_VALUE"""),"Reparaciones/Otros")</f>
        <v>Reparaciones/Otros</v>
      </c>
      <c r="E4212" s="1" t="str">
        <f>IFERROR(__xludf.DUMMYFUNCTION("""COMPUTED_VALUE"""),"ARTIGAS Roció")</f>
        <v>ARTIGAS Roció</v>
      </c>
      <c r="F4212" s="1" t="str">
        <f t="shared" si="1"/>
        <v>ARTIGAS </v>
      </c>
      <c r="G4212" s="1" t="str">
        <f t="shared" si="2"/>
        <v>Roció</v>
      </c>
      <c r="H4212" s="1" t="str">
        <f>IFERROR(__xludf.DUMMYFUNCTION("""COMPUTED_VALUE"""),"29/3/2023, 17:00:00")</f>
        <v>29/3/2023, 17:00:00</v>
      </c>
      <c r="I4212" s="1" t="str">
        <f>IFERROR(__xludf.DUMMYFUNCTION("""COMPUTED_VALUE"""),"Completado en SUCURSAL")</f>
        <v>Completado en SUCURSAL</v>
      </c>
      <c r="J4212" s="1">
        <f t="shared" si="3"/>
        <v>5</v>
      </c>
      <c r="K4212" s="1" t="str">
        <f t="shared" si="4"/>
        <v>Tus Lentes estan LISTAS PARA ENTREGAR, te esperamos.</v>
      </c>
    </row>
    <row r="4213">
      <c r="A4213" s="1">
        <f>IFERROR(__xludf.DUMMYFUNCTION("""COMPUTED_VALUE"""),88776.0)</f>
        <v>88776</v>
      </c>
      <c r="B4213" s="5">
        <f>IFERROR(__xludf.DUMMYFUNCTION("""COMPUTED_VALUE"""),45013.48238393519)</f>
        <v>45013.48238</v>
      </c>
      <c r="C4213" s="1" t="str">
        <f>IFERROR(__xludf.DUMMYFUNCTION("""COMPUTED_VALUE"""),"JURI JAVIER")</f>
        <v>JURI JAVIER</v>
      </c>
      <c r="D4213" s="1" t="str">
        <f>IFERROR(__xludf.DUMMYFUNCTION("""COMPUTED_VALUE"""),"Reparaciones/Otros")</f>
        <v>Reparaciones/Otros</v>
      </c>
      <c r="E4213" s="1" t="str">
        <f>IFERROR(__xludf.DUMMYFUNCTION("""COMPUTED_VALUE"""),"RIVADAVIA Marcela L")</f>
        <v>RIVADAVIA Marcela L</v>
      </c>
      <c r="F4213" s="1" t="str">
        <f t="shared" si="1"/>
        <v>RIVADAVIA </v>
      </c>
      <c r="G4213" s="1" t="str">
        <f t="shared" si="2"/>
        <v>Marcela L</v>
      </c>
      <c r="H4213" s="1" t="str">
        <f>IFERROR(__xludf.DUMMYFUNCTION("""COMPUTED_VALUE"""),"29/3/2023, 17:00:00")</f>
        <v>29/3/2023, 17:00:00</v>
      </c>
      <c r="I4213" s="1" t="str">
        <f>IFERROR(__xludf.DUMMYFUNCTION("""COMPUTED_VALUE"""),"Completado en SUCURSAL")</f>
        <v>Completado en SUCURSAL</v>
      </c>
      <c r="J4213" s="1">
        <f t="shared" si="3"/>
        <v>5</v>
      </c>
      <c r="K4213" s="1" t="str">
        <f t="shared" si="4"/>
        <v>Tus Lentes estan LISTAS PARA ENTREGAR, te esperamos.</v>
      </c>
    </row>
    <row r="4214">
      <c r="A4214" s="1">
        <f>IFERROR(__xludf.DUMMYFUNCTION("""COMPUTED_VALUE"""),88777.0)</f>
        <v>88777</v>
      </c>
      <c r="B4214" s="5">
        <f>IFERROR(__xludf.DUMMYFUNCTION("""COMPUTED_VALUE"""),45013.48348115741)</f>
        <v>45013.48348</v>
      </c>
      <c r="C4214" s="1" t="str">
        <f>IFERROR(__xludf.DUMMYFUNCTION("""COMPUTED_VALUE"""),"ALBELO JORGE")</f>
        <v>ALBELO JORGE</v>
      </c>
      <c r="D4214" s="1" t="str">
        <f>IFERROR(__xludf.DUMMYFUNCTION("""COMPUTED_VALUE"""),"Lentes de STOCK")</f>
        <v>Lentes de STOCK</v>
      </c>
      <c r="E4214" s="1" t="str">
        <f>IFERROR(__xludf.DUMMYFUNCTION("""COMPUTED_VALUE"""),"ARTIGAS Ivana P.")</f>
        <v>ARTIGAS Ivana P.</v>
      </c>
      <c r="F4214" s="1" t="str">
        <f t="shared" si="1"/>
        <v>ARTIGAS </v>
      </c>
      <c r="G4214" s="1" t="str">
        <f t="shared" si="2"/>
        <v>Ivana P.</v>
      </c>
      <c r="H4214" s="1" t="str">
        <f>IFERROR(__xludf.DUMMYFUNCTION("""COMPUTED_VALUE"""),"31/3/2023, 17:00:00")</f>
        <v>31/3/2023, 17:00:00</v>
      </c>
      <c r="I4214" s="1" t="str">
        <f>IFERROR(__xludf.DUMMYFUNCTION("""COMPUTED_VALUE"""),"RETIRADO OK POR CLIENTE")</f>
        <v>RETIRADO OK POR CLIENTE</v>
      </c>
      <c r="J4214" s="1">
        <f t="shared" si="3"/>
        <v>6</v>
      </c>
      <c r="K4214" s="1" t="str">
        <f t="shared" si="4"/>
        <v>Entregamos tus lentes, que los disfrutes!</v>
      </c>
    </row>
    <row r="4215">
      <c r="A4215" s="1">
        <f>IFERROR(__xludf.DUMMYFUNCTION("""COMPUTED_VALUE"""),88778.0)</f>
        <v>88778</v>
      </c>
      <c r="B4215" s="5">
        <f>IFERROR(__xludf.DUMMYFUNCTION("""COMPUTED_VALUE"""),45013.48401143518)</f>
        <v>45013.48401</v>
      </c>
      <c r="C4215" s="1" t="str">
        <f>IFERROR(__xludf.DUMMYFUNCTION("""COMPUTED_VALUE"""),"REYNOSO ZULMA ALICIA")</f>
        <v>REYNOSO ZULMA ALICIA</v>
      </c>
      <c r="D4215" s="1" t="str">
        <f>IFERROR(__xludf.DUMMYFUNCTION("""COMPUTED_VALUE"""),"Lentes BIFOCALES")</f>
        <v>Lentes BIFOCALES</v>
      </c>
      <c r="E4215" s="1" t="str">
        <f>IFERROR(__xludf.DUMMYFUNCTION("""COMPUTED_VALUE"""),"ARTIGAS Roció")</f>
        <v>ARTIGAS Roció</v>
      </c>
      <c r="F4215" s="1" t="str">
        <f t="shared" si="1"/>
        <v>ARTIGAS </v>
      </c>
      <c r="G4215" s="1" t="str">
        <f t="shared" si="2"/>
        <v>Roció</v>
      </c>
      <c r="H4215" s="1" t="str">
        <f>IFERROR(__xludf.DUMMYFUNCTION("""COMPUTED_VALUE"""),"5/4/2023, 17:00:00")</f>
        <v>5/4/2023, 17:00:00</v>
      </c>
      <c r="I4215" s="1" t="str">
        <f>IFERROR(__xludf.DUMMYFUNCTION("""COMPUTED_VALUE"""),"RETIRADO OK POR CLIENTE")</f>
        <v>RETIRADO OK POR CLIENTE</v>
      </c>
      <c r="J4215" s="1">
        <f t="shared" si="3"/>
        <v>6</v>
      </c>
      <c r="K4215" s="1" t="str">
        <f t="shared" si="4"/>
        <v>Entregamos tus lentes, que los disfrutes!</v>
      </c>
    </row>
    <row r="4216">
      <c r="A4216" s="1">
        <f>IFERROR(__xludf.DUMMYFUNCTION("""COMPUTED_VALUE"""),88779.0)</f>
        <v>88779</v>
      </c>
      <c r="B4216" s="5">
        <f>IFERROR(__xludf.DUMMYFUNCTION("""COMPUTED_VALUE"""),45013.48628680556)</f>
        <v>45013.48629</v>
      </c>
      <c r="C4216" s="1" t="str">
        <f>IFERROR(__xludf.DUMMYFUNCTION("""COMPUTED_VALUE"""),"ECHEVERRIA MABEL MARIA")</f>
        <v>ECHEVERRIA MABEL MARIA</v>
      </c>
      <c r="D4216" s="1" t="str">
        <f>IFERROR(__xludf.DUMMYFUNCTION("""COMPUTED_VALUE"""),"Lentes de STOCK")</f>
        <v>Lentes de STOCK</v>
      </c>
      <c r="E4216" s="1" t="str">
        <f>IFERROR(__xludf.DUMMYFUNCTION("""COMPUTED_VALUE"""),"RIVADAVIA Luciana")</f>
        <v>RIVADAVIA Luciana</v>
      </c>
      <c r="F4216" s="1" t="str">
        <f t="shared" si="1"/>
        <v>RIVADAVIA </v>
      </c>
      <c r="G4216" s="1" t="str">
        <f t="shared" si="2"/>
        <v>Luciana</v>
      </c>
      <c r="H4216" s="1" t="str">
        <f>IFERROR(__xludf.DUMMYFUNCTION("""COMPUTED_VALUE"""),"31/3/2023, 17:00:00")</f>
        <v>31/3/2023, 17:00:00</v>
      </c>
      <c r="I4216" s="1" t="str">
        <f>IFERROR(__xludf.DUMMYFUNCTION("""COMPUTED_VALUE"""),"RETIRADO OK POR CLIENTE")</f>
        <v>RETIRADO OK POR CLIENTE</v>
      </c>
      <c r="J4216" s="1">
        <f t="shared" si="3"/>
        <v>6</v>
      </c>
      <c r="K4216" s="1" t="str">
        <f t="shared" si="4"/>
        <v>Entregamos tus lentes, que los disfrutes!</v>
      </c>
    </row>
    <row r="4217">
      <c r="A4217" s="1">
        <f>IFERROR(__xludf.DUMMYFUNCTION("""COMPUTED_VALUE"""),88780.0)</f>
        <v>88780</v>
      </c>
      <c r="B4217" s="5">
        <f>IFERROR(__xludf.DUMMYFUNCTION("""COMPUTED_VALUE"""),45013.488484918984)</f>
        <v>45013.48848</v>
      </c>
      <c r="C4217" s="1" t="str">
        <f>IFERROR(__xludf.DUMMYFUNCTION("""COMPUTED_VALUE"""),"FLORES OCATAVIO")</f>
        <v>FLORES OCATAVIO</v>
      </c>
      <c r="D4217" s="1" t="str">
        <f>IFERROR(__xludf.DUMMYFUNCTION("""COMPUTED_VALUE"""),"Lentes de STOCK")</f>
        <v>Lentes de STOCK</v>
      </c>
      <c r="E4217" s="1" t="str">
        <f>IFERROR(__xludf.DUMMYFUNCTION("""COMPUTED_VALUE"""),"RIVADAVIA Christian C.")</f>
        <v>RIVADAVIA Christian C.</v>
      </c>
      <c r="F4217" s="1" t="str">
        <f t="shared" si="1"/>
        <v>RIVADAVIA </v>
      </c>
      <c r="G4217" s="1" t="str">
        <f t="shared" si="2"/>
        <v>Christian C.</v>
      </c>
      <c r="H4217" s="1" t="str">
        <f>IFERROR(__xludf.DUMMYFUNCTION("""COMPUTED_VALUE"""),"6/4/2023, 17:00:00")</f>
        <v>6/4/2023, 17:00:00</v>
      </c>
      <c r="I4217" s="1" t="str">
        <f>IFERROR(__xludf.DUMMYFUNCTION("""COMPUTED_VALUE"""),"Completado en SUCURSAL")</f>
        <v>Completado en SUCURSAL</v>
      </c>
      <c r="J4217" s="1">
        <f t="shared" si="3"/>
        <v>5</v>
      </c>
      <c r="K4217" s="1" t="str">
        <f t="shared" si="4"/>
        <v>Tus Lentes estan LISTAS PARA ENTREGAR, te esperamos.</v>
      </c>
    </row>
    <row r="4218">
      <c r="A4218" s="1">
        <f>IFERROR(__xludf.DUMMYFUNCTION("""COMPUTED_VALUE"""),88781.0)</f>
        <v>88781</v>
      </c>
      <c r="B4218" s="5">
        <f>IFERROR(__xludf.DUMMYFUNCTION("""COMPUTED_VALUE"""),45013.4888702662)</f>
        <v>45013.48887</v>
      </c>
      <c r="C4218" s="1" t="str">
        <f>IFERROR(__xludf.DUMMYFUNCTION("""COMPUTED_VALUE"""),"MOCDECCE BLANCA NELIDA")</f>
        <v>MOCDECCE BLANCA NELIDA</v>
      </c>
      <c r="D4218" s="1" t="str">
        <f>IFERROR(__xludf.DUMMYFUNCTION("""COMPUTED_VALUE"""),"Lentes de STOCK")</f>
        <v>Lentes de STOCK</v>
      </c>
      <c r="E4218" s="1" t="str">
        <f>IFERROR(__xludf.DUMMYFUNCTION("""COMPUTED_VALUE"""),"ARTIGAS Roció")</f>
        <v>ARTIGAS Roció</v>
      </c>
      <c r="F4218" s="1" t="str">
        <f t="shared" si="1"/>
        <v>ARTIGAS </v>
      </c>
      <c r="G4218" s="1" t="str">
        <f t="shared" si="2"/>
        <v>Roció</v>
      </c>
      <c r="H4218" s="1" t="str">
        <f>IFERROR(__xludf.DUMMYFUNCTION("""COMPUTED_VALUE"""),"5/4/2023, 17:00:00")</f>
        <v>5/4/2023, 17:00:00</v>
      </c>
      <c r="I4218" s="1" t="str">
        <f>IFERROR(__xludf.DUMMYFUNCTION("""COMPUTED_VALUE"""),"Completado en SUCURSAL")</f>
        <v>Completado en SUCURSAL</v>
      </c>
      <c r="J4218" s="1">
        <f t="shared" si="3"/>
        <v>5</v>
      </c>
      <c r="K4218" s="1" t="str">
        <f t="shared" si="4"/>
        <v>Tus Lentes estan LISTAS PARA ENTREGAR, te esperamos.</v>
      </c>
    </row>
    <row r="4219">
      <c r="A4219" s="1">
        <f>IFERROR(__xludf.DUMMYFUNCTION("""COMPUTED_VALUE"""),88782.0)</f>
        <v>88782</v>
      </c>
      <c r="B4219" s="5">
        <f>IFERROR(__xludf.DUMMYFUNCTION("""COMPUTED_VALUE"""),45013.49084832176)</f>
        <v>45013.49085</v>
      </c>
      <c r="C4219" s="1" t="str">
        <f>IFERROR(__xludf.DUMMYFUNCTION("""COMPUTED_VALUE"""),"BARRANCO DEL RIO ANTONIA")</f>
        <v>BARRANCO DEL RIO ANTONIA</v>
      </c>
      <c r="D4219" s="1" t="str">
        <f>IFERROR(__xludf.DUMMYFUNCTION("""COMPUTED_VALUE"""),"Lentes de STOCK")</f>
        <v>Lentes de STOCK</v>
      </c>
      <c r="E4219" s="1" t="str">
        <f>IFERROR(__xludf.DUMMYFUNCTION("""COMPUTED_VALUE"""),"RIVADAVIA Marcela L")</f>
        <v>RIVADAVIA Marcela L</v>
      </c>
      <c r="F4219" s="1" t="str">
        <f t="shared" si="1"/>
        <v>RIVADAVIA </v>
      </c>
      <c r="G4219" s="1" t="str">
        <f t="shared" si="2"/>
        <v>Marcela L</v>
      </c>
      <c r="H4219" s="1" t="str">
        <f>IFERROR(__xludf.DUMMYFUNCTION("""COMPUTED_VALUE"""),"31/3/2023, 17:00:00")</f>
        <v>31/3/2023, 17:00:00</v>
      </c>
      <c r="I4219" s="1" t="str">
        <f>IFERROR(__xludf.DUMMYFUNCTION("""COMPUTED_VALUE"""),"Completado en SUCURSAL")</f>
        <v>Completado en SUCURSAL</v>
      </c>
      <c r="J4219" s="1">
        <f t="shared" si="3"/>
        <v>5</v>
      </c>
      <c r="K4219" s="1" t="str">
        <f t="shared" si="4"/>
        <v>Tus Lentes estan LISTAS PARA ENTREGAR, te esperamos.</v>
      </c>
    </row>
    <row r="4220">
      <c r="A4220" s="1">
        <f>IFERROR(__xludf.DUMMYFUNCTION("""COMPUTED_VALUE"""),88783.0)</f>
        <v>88783</v>
      </c>
      <c r="B4220" s="5">
        <f>IFERROR(__xludf.DUMMYFUNCTION("""COMPUTED_VALUE"""),45013.49220006945)</f>
        <v>45013.4922</v>
      </c>
      <c r="C4220" s="1" t="str">
        <f>IFERROR(__xludf.DUMMYFUNCTION("""COMPUTED_VALUE"""),"FERNANDEZ AURORO")</f>
        <v>FERNANDEZ AURORO</v>
      </c>
      <c r="D4220" s="1" t="str">
        <f>IFERROR(__xludf.DUMMYFUNCTION("""COMPUTED_VALUE"""),"Lentes de STOCK")</f>
        <v>Lentes de STOCK</v>
      </c>
      <c r="E4220" s="1" t="str">
        <f>IFERROR(__xludf.DUMMYFUNCTION("""COMPUTED_VALUE"""),"RIVADAVIA Santiago LOPEZ")</f>
        <v>RIVADAVIA Santiago LOPEZ</v>
      </c>
      <c r="F4220" s="1" t="str">
        <f t="shared" si="1"/>
        <v>RIVADAVIA </v>
      </c>
      <c r="G4220" s="1" t="str">
        <f t="shared" si="2"/>
        <v>Santiago LOPEZ</v>
      </c>
      <c r="H4220" s="1" t="str">
        <f>IFERROR(__xludf.DUMMYFUNCTION("""COMPUTED_VALUE"""),"30/3/2023, 17:00:00")</f>
        <v>30/3/2023, 17:00:00</v>
      </c>
      <c r="I4220" s="1" t="str">
        <f>IFERROR(__xludf.DUMMYFUNCTION("""COMPUTED_VALUE"""),"RETIRADO OK POR CLIENTE")</f>
        <v>RETIRADO OK POR CLIENTE</v>
      </c>
      <c r="J4220" s="1">
        <f t="shared" si="3"/>
        <v>6</v>
      </c>
      <c r="K4220" s="1" t="str">
        <f t="shared" si="4"/>
        <v>Entregamos tus lentes, que los disfrutes!</v>
      </c>
    </row>
    <row r="4221">
      <c r="A4221" s="1">
        <f>IFERROR(__xludf.DUMMYFUNCTION("""COMPUTED_VALUE"""),88784.0)</f>
        <v>88784</v>
      </c>
      <c r="B4221" s="5">
        <f>IFERROR(__xludf.DUMMYFUNCTION("""COMPUTED_VALUE"""),45013.4950745949)</f>
        <v>45013.49507</v>
      </c>
      <c r="C4221" s="1" t="str">
        <f>IFERROR(__xludf.DUMMYFUNCTION("""COMPUTED_VALUE"""),"PEREZ ANTONIA")</f>
        <v>PEREZ ANTONIA</v>
      </c>
      <c r="D4221" s="1" t="str">
        <f>IFERROR(__xludf.DUMMYFUNCTION("""COMPUTED_VALUE"""),"Lentes de STOCK")</f>
        <v>Lentes de STOCK</v>
      </c>
      <c r="E4221" s="1" t="str">
        <f>IFERROR(__xludf.DUMMYFUNCTION("""COMPUTED_VALUE"""),"ARTIGAS Ivana P.")</f>
        <v>ARTIGAS Ivana P.</v>
      </c>
      <c r="F4221" s="1" t="str">
        <f t="shared" si="1"/>
        <v>ARTIGAS </v>
      </c>
      <c r="G4221" s="1" t="str">
        <f t="shared" si="2"/>
        <v>Ivana P.</v>
      </c>
      <c r="H4221" s="1" t="str">
        <f>IFERROR(__xludf.DUMMYFUNCTION("""COMPUTED_VALUE"""),"3/4/2023, 17:00:00")</f>
        <v>3/4/2023, 17:00:00</v>
      </c>
      <c r="I4221" s="1" t="str">
        <f>IFERROR(__xludf.DUMMYFUNCTION("""COMPUTED_VALUE"""),"RETIRADO OK POR CLIENTE")</f>
        <v>RETIRADO OK POR CLIENTE</v>
      </c>
      <c r="J4221" s="1">
        <f t="shared" si="3"/>
        <v>6</v>
      </c>
      <c r="K4221" s="1" t="str">
        <f t="shared" si="4"/>
        <v>Entregamos tus lentes, que los disfrutes!</v>
      </c>
    </row>
    <row r="4222">
      <c r="A4222" s="1">
        <f>IFERROR(__xludf.DUMMYFUNCTION("""COMPUTED_VALUE"""),88785.0)</f>
        <v>88785</v>
      </c>
      <c r="B4222" s="5">
        <f>IFERROR(__xludf.DUMMYFUNCTION("""COMPUTED_VALUE"""),45013.50662320602)</f>
        <v>45013.50662</v>
      </c>
      <c r="C4222" s="1" t="str">
        <f>IFERROR(__xludf.DUMMYFUNCTION("""COMPUTED_VALUE"""),"LUCERO FERNANDO")</f>
        <v>LUCERO FERNANDO</v>
      </c>
      <c r="D4222" s="1" t="str">
        <f>IFERROR(__xludf.DUMMYFUNCTION("""COMPUTED_VALUE"""),"Reparaciones/Otros")</f>
        <v>Reparaciones/Otros</v>
      </c>
      <c r="E4222" s="1" t="str">
        <f>IFERROR(__xludf.DUMMYFUNCTION("""COMPUTED_VALUE"""),"RIVADAVIA Luciana")</f>
        <v>RIVADAVIA Luciana</v>
      </c>
      <c r="F4222" s="1" t="str">
        <f t="shared" si="1"/>
        <v>RIVADAVIA </v>
      </c>
      <c r="G4222" s="1" t="str">
        <f t="shared" si="2"/>
        <v>Luciana</v>
      </c>
      <c r="H4222" s="1" t="str">
        <f>IFERROR(__xludf.DUMMYFUNCTION("""COMPUTED_VALUE"""),"29/3/2023, 17:00:00")</f>
        <v>29/3/2023, 17:00:00</v>
      </c>
      <c r="I4222" s="1" t="str">
        <f>IFERROR(__xludf.DUMMYFUNCTION("""COMPUTED_VALUE"""),"Completado en SUCURSAL")</f>
        <v>Completado en SUCURSAL</v>
      </c>
      <c r="J4222" s="1">
        <f t="shared" si="3"/>
        <v>5</v>
      </c>
      <c r="K4222" s="1" t="str">
        <f t="shared" si="4"/>
        <v>Tus Lentes estan LISTAS PARA ENTREGAR, te esperamos.</v>
      </c>
    </row>
    <row r="4223">
      <c r="A4223" s="1">
        <f>IFERROR(__xludf.DUMMYFUNCTION("""COMPUTED_VALUE"""),88786.0)</f>
        <v>88786</v>
      </c>
      <c r="B4223" s="5">
        <f>IFERROR(__xludf.DUMMYFUNCTION("""COMPUTED_VALUE"""),45013.50999539351)</f>
        <v>45013.51</v>
      </c>
      <c r="C4223" s="1" t="str">
        <f>IFERROR(__xludf.DUMMYFUNCTION("""COMPUTED_VALUE"""),"LUCERO LUIS")</f>
        <v>LUCERO LUIS</v>
      </c>
      <c r="D4223" s="1" t="str">
        <f>IFERROR(__xludf.DUMMYFUNCTION("""COMPUTED_VALUE"""),"Lentes de STOCK")</f>
        <v>Lentes de STOCK</v>
      </c>
      <c r="E4223" s="1" t="str">
        <f>IFERROR(__xludf.DUMMYFUNCTION("""COMPUTED_VALUE"""),"ARTIGAS Roció")</f>
        <v>ARTIGAS Roció</v>
      </c>
      <c r="F4223" s="1" t="str">
        <f t="shared" si="1"/>
        <v>ARTIGAS </v>
      </c>
      <c r="G4223" s="1" t="str">
        <f t="shared" si="2"/>
        <v>Roció</v>
      </c>
      <c r="H4223" s="1" t="str">
        <f>IFERROR(__xludf.DUMMYFUNCTION("""COMPUTED_VALUE"""),"5/4/2023, 17:00:00")</f>
        <v>5/4/2023, 17:00:00</v>
      </c>
      <c r="I4223" s="1" t="str">
        <f>IFERROR(__xludf.DUMMYFUNCTION("""COMPUTED_VALUE"""),"RETIRADO OK POR CLIENTE")</f>
        <v>RETIRADO OK POR CLIENTE</v>
      </c>
      <c r="J4223" s="1">
        <f t="shared" si="3"/>
        <v>6</v>
      </c>
      <c r="K4223" s="1" t="str">
        <f t="shared" si="4"/>
        <v>Entregamos tus lentes, que los disfrutes!</v>
      </c>
    </row>
    <row r="4224">
      <c r="A4224" s="1">
        <f>IFERROR(__xludf.DUMMYFUNCTION("""COMPUTED_VALUE"""),88787.0)</f>
        <v>88787</v>
      </c>
      <c r="B4224" s="5">
        <f>IFERROR(__xludf.DUMMYFUNCTION("""COMPUTED_VALUE"""),45013.51115414352)</f>
        <v>45013.51115</v>
      </c>
      <c r="C4224" s="1" t="str">
        <f>IFERROR(__xludf.DUMMYFUNCTION("""COMPUTED_VALUE"""),"SOSA GRACIELA (PROGRAMA MEDICINA DEL INTERIOR GOB)")</f>
        <v>SOSA GRACIELA (PROGRAMA MEDICINA DEL INTERIOR GOB)</v>
      </c>
      <c r="D4224" s="1" t="str">
        <f>IFERROR(__xludf.DUMMYFUNCTION("""COMPUTED_VALUE"""),"Lentes de STOCK")</f>
        <v>Lentes de STOCK</v>
      </c>
      <c r="E4224" s="1" t="str">
        <f>IFERROR(__xludf.DUMMYFUNCTION("""COMPUTED_VALUE"""),"Online ADMIN.")</f>
        <v>Online ADMIN.</v>
      </c>
      <c r="F4224" s="1" t="str">
        <f t="shared" si="1"/>
        <v>Online </v>
      </c>
      <c r="G4224" s="1" t="str">
        <f t="shared" si="2"/>
        <v>ADMIN.</v>
      </c>
      <c r="H4224" s="1" t="str">
        <f>IFERROR(__xludf.DUMMYFUNCTION("""COMPUTED_VALUE"""),"30/3/2023, 17:00:00")</f>
        <v>30/3/2023, 17:00:00</v>
      </c>
      <c r="I4224" s="1"/>
      <c r="J4224" s="1">
        <f t="shared" si="3"/>
        <v>0</v>
      </c>
      <c r="K4224" s="1" t="str">
        <f t="shared" si="4"/>
        <v/>
      </c>
    </row>
    <row r="4225">
      <c r="A4225" s="1">
        <f>IFERROR(__xludf.DUMMYFUNCTION("""COMPUTED_VALUE"""),88788.0)</f>
        <v>88788</v>
      </c>
      <c r="B4225" s="5">
        <f>IFERROR(__xludf.DUMMYFUNCTION("""COMPUTED_VALUE"""),45013.51330111111)</f>
        <v>45013.5133</v>
      </c>
      <c r="C4225" s="1" t="str">
        <f>IFERROR(__xludf.DUMMYFUNCTION("""COMPUTED_VALUE"""),"CARIDE PASCUCCI INES")</f>
        <v>CARIDE PASCUCCI INES</v>
      </c>
      <c r="D4225" s="1" t="str">
        <f>IFERROR(__xludf.DUMMYFUNCTION("""COMPUTED_VALUE"""),"Lentes de STOCK")</f>
        <v>Lentes de STOCK</v>
      </c>
      <c r="E4225" s="1" t="str">
        <f>IFERROR(__xludf.DUMMYFUNCTION("""COMPUTED_VALUE"""),"RIVADAVIA Santiago LOPEZ")</f>
        <v>RIVADAVIA Santiago LOPEZ</v>
      </c>
      <c r="F4225" s="1" t="str">
        <f t="shared" si="1"/>
        <v>RIVADAVIA </v>
      </c>
      <c r="G4225" s="1" t="str">
        <f t="shared" si="2"/>
        <v>Santiago LOPEZ</v>
      </c>
      <c r="H4225" s="1" t="str">
        <f>IFERROR(__xludf.DUMMYFUNCTION("""COMPUTED_VALUE"""),"31/3/2023, 17:00:00")</f>
        <v>31/3/2023, 17:00:00</v>
      </c>
      <c r="I4225" s="1" t="str">
        <f>IFERROR(__xludf.DUMMYFUNCTION("""COMPUTED_VALUE"""),"Completado en SUCURSAL")</f>
        <v>Completado en SUCURSAL</v>
      </c>
      <c r="J4225" s="1">
        <f t="shared" si="3"/>
        <v>5</v>
      </c>
      <c r="K4225" s="1" t="str">
        <f t="shared" si="4"/>
        <v>Tus Lentes estan LISTAS PARA ENTREGAR, te esperamos.</v>
      </c>
    </row>
    <row r="4226">
      <c r="A4226" s="1">
        <f>IFERROR(__xludf.DUMMYFUNCTION("""COMPUTED_VALUE"""),88789.0)</f>
        <v>88789</v>
      </c>
      <c r="B4226" s="5">
        <f>IFERROR(__xludf.DUMMYFUNCTION("""COMPUTED_VALUE"""),45013.51648457176)</f>
        <v>45013.51648</v>
      </c>
      <c r="C4226" s="1" t="str">
        <f>IFERROR(__xludf.DUMMYFUNCTION("""COMPUTED_VALUE"""),"RODRIGUEZ CANDELA")</f>
        <v>RODRIGUEZ CANDELA</v>
      </c>
      <c r="D4226" s="1" t="str">
        <f>IFERROR(__xludf.DUMMYFUNCTION("""COMPUTED_VALUE"""),"Lentes de STOCK")</f>
        <v>Lentes de STOCK</v>
      </c>
      <c r="E4226" s="1" t="str">
        <f>IFERROR(__xludf.DUMMYFUNCTION("""COMPUTED_VALUE"""),"ARTIGAS Roció")</f>
        <v>ARTIGAS Roció</v>
      </c>
      <c r="F4226" s="1" t="str">
        <f t="shared" si="1"/>
        <v>ARTIGAS </v>
      </c>
      <c r="G4226" s="1" t="str">
        <f t="shared" si="2"/>
        <v>Roció</v>
      </c>
      <c r="H4226" s="1" t="str">
        <f>IFERROR(__xludf.DUMMYFUNCTION("""COMPUTED_VALUE"""),"5/4/2023, 17:00:00")</f>
        <v>5/4/2023, 17:00:00</v>
      </c>
      <c r="I4226" s="1" t="str">
        <f>IFERROR(__xludf.DUMMYFUNCTION("""COMPUTED_VALUE"""),"RETIRADO OK POR CLIENTE")</f>
        <v>RETIRADO OK POR CLIENTE</v>
      </c>
      <c r="J4226" s="1">
        <f t="shared" si="3"/>
        <v>6</v>
      </c>
      <c r="K4226" s="1" t="str">
        <f t="shared" si="4"/>
        <v>Entregamos tus lentes, que los disfrutes!</v>
      </c>
    </row>
    <row r="4227">
      <c r="A4227" s="1">
        <f>IFERROR(__xludf.DUMMYFUNCTION("""COMPUTED_VALUE"""),88790.0)</f>
        <v>88790</v>
      </c>
      <c r="B4227" s="5">
        <f>IFERROR(__xludf.DUMMYFUNCTION("""COMPUTED_VALUE"""),45013.51952396991)</f>
        <v>45013.51952</v>
      </c>
      <c r="C4227" s="1" t="str">
        <f>IFERROR(__xludf.DUMMYFUNCTION("""COMPUTED_VALUE"""),"OLGUIN LUIS")</f>
        <v>OLGUIN LUIS</v>
      </c>
      <c r="D4227" s="1" t="str">
        <f>IFERROR(__xludf.DUMMYFUNCTION("""COMPUTED_VALUE"""),"Lentes BIFOCALES")</f>
        <v>Lentes BIFOCALES</v>
      </c>
      <c r="E4227" s="1" t="str">
        <f>IFERROR(__xludf.DUMMYFUNCTION("""COMPUTED_VALUE"""),"ARTIGAS Roció")</f>
        <v>ARTIGAS Roció</v>
      </c>
      <c r="F4227" s="1" t="str">
        <f t="shared" si="1"/>
        <v>ARTIGAS </v>
      </c>
      <c r="G4227" s="1" t="str">
        <f t="shared" si="2"/>
        <v>Roció</v>
      </c>
      <c r="H4227" s="1" t="str">
        <f>IFERROR(__xludf.DUMMYFUNCTION("""COMPUTED_VALUE"""),"10/4/2023, 17:00:00")</f>
        <v>10/4/2023, 17:00:00</v>
      </c>
      <c r="I4227" s="1" t="str">
        <f>IFERROR(__xludf.DUMMYFUNCTION("""COMPUTED_VALUE"""),"RETIRADO OK POR CLIENTE")</f>
        <v>RETIRADO OK POR CLIENTE</v>
      </c>
      <c r="J4227" s="1">
        <f t="shared" si="3"/>
        <v>6</v>
      </c>
      <c r="K4227" s="1" t="str">
        <f t="shared" si="4"/>
        <v>Entregamos tus lentes, que los disfrutes!</v>
      </c>
    </row>
    <row r="4228">
      <c r="A4228" s="1">
        <f>IFERROR(__xludf.DUMMYFUNCTION("""COMPUTED_VALUE"""),88791.0)</f>
        <v>88791</v>
      </c>
      <c r="B4228" s="5">
        <f>IFERROR(__xludf.DUMMYFUNCTION("""COMPUTED_VALUE"""),45013.52527063657)</f>
        <v>45013.52527</v>
      </c>
      <c r="C4228" s="1" t="str">
        <f>IFERROR(__xludf.DUMMYFUNCTION("""COMPUTED_VALUE"""),"ESCOBAREZ ELCIRA")</f>
        <v>ESCOBAREZ ELCIRA</v>
      </c>
      <c r="D4228" s="1" t="str">
        <f>IFERROR(__xludf.DUMMYFUNCTION("""COMPUTED_VALUE"""),"Lentes BIFOCALES")</f>
        <v>Lentes BIFOCALES</v>
      </c>
      <c r="E4228" s="1" t="str">
        <f>IFERROR(__xludf.DUMMYFUNCTION("""COMPUTED_VALUE"""),"RIVADAVIA Santiago LOPEZ")</f>
        <v>RIVADAVIA Santiago LOPEZ</v>
      </c>
      <c r="F4228" s="1" t="str">
        <f t="shared" si="1"/>
        <v>RIVADAVIA </v>
      </c>
      <c r="G4228" s="1" t="str">
        <f t="shared" si="2"/>
        <v>Santiago LOPEZ</v>
      </c>
      <c r="H4228" s="1" t="str">
        <f>IFERROR(__xludf.DUMMYFUNCTION("""COMPUTED_VALUE"""),"31/3/2023, 17:00:00")</f>
        <v>31/3/2023, 17:00:00</v>
      </c>
      <c r="I4228" s="1" t="str">
        <f>IFERROR(__xludf.DUMMYFUNCTION("""COMPUTED_VALUE"""),"RETIRADO OK POR CLIENTE")</f>
        <v>RETIRADO OK POR CLIENTE</v>
      </c>
      <c r="J4228" s="1">
        <f t="shared" si="3"/>
        <v>6</v>
      </c>
      <c r="K4228" s="1" t="str">
        <f t="shared" si="4"/>
        <v>Entregamos tus lentes, que los disfrutes!</v>
      </c>
    </row>
    <row r="4229">
      <c r="A4229" s="1">
        <f>IFERROR(__xludf.DUMMYFUNCTION("""COMPUTED_VALUE"""),88792.0)</f>
        <v>88792</v>
      </c>
      <c r="B4229" s="5">
        <f>IFERROR(__xludf.DUMMYFUNCTION("""COMPUTED_VALUE"""),45013.5263137963)</f>
        <v>45013.52631</v>
      </c>
      <c r="C4229" s="1" t="str">
        <f>IFERROR(__xludf.DUMMYFUNCTION("""COMPUTED_VALUE"""),"PAEZ YOLANDA EDITH")</f>
        <v>PAEZ YOLANDA EDITH</v>
      </c>
      <c r="D4229" s="1" t="str">
        <f>IFERROR(__xludf.DUMMYFUNCTION("""COMPUTED_VALUE"""),"Lentes de STOCK")</f>
        <v>Lentes de STOCK</v>
      </c>
      <c r="E4229" s="1" t="str">
        <f>IFERROR(__xludf.DUMMYFUNCTION("""COMPUTED_VALUE"""),"RIVADAVIA Marcela L")</f>
        <v>RIVADAVIA Marcela L</v>
      </c>
      <c r="F4229" s="1" t="str">
        <f t="shared" si="1"/>
        <v>RIVADAVIA </v>
      </c>
      <c r="G4229" s="1" t="str">
        <f t="shared" si="2"/>
        <v>Marcela L</v>
      </c>
      <c r="H4229" s="1" t="str">
        <f>IFERROR(__xludf.DUMMYFUNCTION("""COMPUTED_VALUE"""),"30/3/2023, 17:00:00")</f>
        <v>30/3/2023, 17:00:00</v>
      </c>
      <c r="I4229" s="1" t="str">
        <f>IFERROR(__xludf.DUMMYFUNCTION("""COMPUTED_VALUE"""),"Completado en SUCURSAL")</f>
        <v>Completado en SUCURSAL</v>
      </c>
      <c r="J4229" s="1">
        <f t="shared" si="3"/>
        <v>5</v>
      </c>
      <c r="K4229" s="1" t="str">
        <f t="shared" si="4"/>
        <v>Tus Lentes estan LISTAS PARA ENTREGAR, te esperamos.</v>
      </c>
    </row>
    <row r="4230">
      <c r="A4230" s="1">
        <f>IFERROR(__xludf.DUMMYFUNCTION("""COMPUTED_VALUE"""),88793.0)</f>
        <v>88793</v>
      </c>
      <c r="B4230" s="5">
        <f>IFERROR(__xludf.DUMMYFUNCTION("""COMPUTED_VALUE"""),45013.52983890046)</f>
        <v>45013.52984</v>
      </c>
      <c r="C4230" s="1" t="str">
        <f>IFERROR(__xludf.DUMMYFUNCTION("""COMPUTED_VALUE"""),"HEREDIA LUCIA ADELA")</f>
        <v>HEREDIA LUCIA ADELA</v>
      </c>
      <c r="D4230" s="1" t="str">
        <f>IFERROR(__xludf.DUMMYFUNCTION("""COMPUTED_VALUE"""),"Lentes de STOCK")</f>
        <v>Lentes de STOCK</v>
      </c>
      <c r="E4230" s="1" t="str">
        <f>IFERROR(__xludf.DUMMYFUNCTION("""COMPUTED_VALUE"""),"ARTIGAS Roció")</f>
        <v>ARTIGAS Roció</v>
      </c>
      <c r="F4230" s="1" t="str">
        <f t="shared" si="1"/>
        <v>ARTIGAS </v>
      </c>
      <c r="G4230" s="1" t="str">
        <f t="shared" si="2"/>
        <v>Roció</v>
      </c>
      <c r="H4230" s="1" t="str">
        <f>IFERROR(__xludf.DUMMYFUNCTION("""COMPUTED_VALUE"""),"5/4/2023, 17:00:00")</f>
        <v>5/4/2023, 17:00:00</v>
      </c>
      <c r="I4230" s="1" t="str">
        <f>IFERROR(__xludf.DUMMYFUNCTION("""COMPUTED_VALUE"""),"Completado en SUCURSAL")</f>
        <v>Completado en SUCURSAL</v>
      </c>
      <c r="J4230" s="1">
        <f t="shared" si="3"/>
        <v>5</v>
      </c>
      <c r="K4230" s="1" t="str">
        <f t="shared" si="4"/>
        <v>Tus Lentes estan LISTAS PARA ENTREGAR, te esperamos.</v>
      </c>
    </row>
    <row r="4231">
      <c r="A4231" s="1">
        <f>IFERROR(__xludf.DUMMYFUNCTION("""COMPUTED_VALUE"""),88794.0)</f>
        <v>88794</v>
      </c>
      <c r="B4231" s="5">
        <f>IFERROR(__xludf.DUMMYFUNCTION("""COMPUTED_VALUE"""),45013.53028150463)</f>
        <v>45013.53028</v>
      </c>
      <c r="C4231" s="1" t="str">
        <f>IFERROR(__xludf.DUMMYFUNCTION("""COMPUTED_VALUE"""),"FLORES DIAZ MAIA DEYANIRA ABIGAIL (PROGRAMA MEDICINA DEL INTERIOR GOB)")</f>
        <v>FLORES DIAZ MAIA DEYANIRA ABIGAIL (PROGRAMA MEDICINA DEL INTERIOR GOB)</v>
      </c>
      <c r="D4231" s="1" t="str">
        <f>IFERROR(__xludf.DUMMYFUNCTION("""COMPUTED_VALUE"""),"Lentes de STOCK")</f>
        <v>Lentes de STOCK</v>
      </c>
      <c r="E4231" s="1" t="str">
        <f>IFERROR(__xludf.DUMMYFUNCTION("""COMPUTED_VALUE"""),"Online ADMIN.")</f>
        <v>Online ADMIN.</v>
      </c>
      <c r="F4231" s="1" t="str">
        <f t="shared" si="1"/>
        <v>Online </v>
      </c>
      <c r="G4231" s="1" t="str">
        <f t="shared" si="2"/>
        <v>ADMIN.</v>
      </c>
      <c r="H4231" s="1" t="str">
        <f>IFERROR(__xludf.DUMMYFUNCTION("""COMPUTED_VALUE"""),"30/3/2023, 17:00:00")</f>
        <v>30/3/2023, 17:00:00</v>
      </c>
      <c r="I4231" s="1"/>
      <c r="J4231" s="1">
        <f t="shared" si="3"/>
        <v>0</v>
      </c>
      <c r="K4231" s="1" t="str">
        <f t="shared" si="4"/>
        <v/>
      </c>
    </row>
    <row r="4232">
      <c r="A4232" s="1">
        <f>IFERROR(__xludf.DUMMYFUNCTION("""COMPUTED_VALUE"""),88795.0)</f>
        <v>88795</v>
      </c>
      <c r="B4232" s="5">
        <f>IFERROR(__xludf.DUMMYFUNCTION("""COMPUTED_VALUE"""),45013.53187760417)</f>
        <v>45013.53188</v>
      </c>
      <c r="C4232" s="1" t="str">
        <f>IFERROR(__xludf.DUMMYFUNCTION("""COMPUTED_VALUE"""),"CECILIA JOANA JOFRE")</f>
        <v>CECILIA JOANA JOFRE</v>
      </c>
      <c r="D4232" s="1" t="str">
        <f>IFERROR(__xludf.DUMMYFUNCTION("""COMPUTED_VALUE"""),"Lentes de STOCK")</f>
        <v>Lentes de STOCK</v>
      </c>
      <c r="E4232" s="1" t="str">
        <f>IFERROR(__xludf.DUMMYFUNCTION("""COMPUTED_VALUE"""),"RIVADAVIA Christian C.")</f>
        <v>RIVADAVIA Christian C.</v>
      </c>
      <c r="F4232" s="1" t="str">
        <f t="shared" si="1"/>
        <v>RIVADAVIA </v>
      </c>
      <c r="G4232" s="1" t="str">
        <f t="shared" si="2"/>
        <v>Christian C.</v>
      </c>
      <c r="H4232" s="1" t="str">
        <f>IFERROR(__xludf.DUMMYFUNCTION("""COMPUTED_VALUE"""),"30/3/2023, 17:00:00")</f>
        <v>30/3/2023, 17:00:00</v>
      </c>
      <c r="I4232" s="1" t="str">
        <f>IFERROR(__xludf.DUMMYFUNCTION("""COMPUTED_VALUE"""),"Completado en SUCURSAL")</f>
        <v>Completado en SUCURSAL</v>
      </c>
      <c r="J4232" s="1">
        <f t="shared" si="3"/>
        <v>5</v>
      </c>
      <c r="K4232" s="1" t="str">
        <f t="shared" si="4"/>
        <v>Tus Lentes estan LISTAS PARA ENTREGAR, te esperamos.</v>
      </c>
    </row>
    <row r="4233">
      <c r="A4233" s="1">
        <f>IFERROR(__xludf.DUMMYFUNCTION("""COMPUTED_VALUE"""),88796.0)</f>
        <v>88796</v>
      </c>
      <c r="B4233" s="5">
        <f>IFERROR(__xludf.DUMMYFUNCTION("""COMPUTED_VALUE"""),45013.532386493054)</f>
        <v>45013.53239</v>
      </c>
      <c r="C4233" s="1" t="str">
        <f>IFERROR(__xludf.DUMMYFUNCTION("""COMPUTED_VALUE"""),"MANNO SOFIA ")</f>
        <v>MANNO SOFIA </v>
      </c>
      <c r="D4233" s="1" t="str">
        <f>IFERROR(__xludf.DUMMYFUNCTION("""COMPUTED_VALUE"""),"Lentes de STOCK")</f>
        <v>Lentes de STOCK</v>
      </c>
      <c r="E4233" s="1" t="str">
        <f>IFERROR(__xludf.DUMMYFUNCTION("""COMPUTED_VALUE"""),"RIVADAVIA Marcela L")</f>
        <v>RIVADAVIA Marcela L</v>
      </c>
      <c r="F4233" s="1" t="str">
        <f t="shared" si="1"/>
        <v>RIVADAVIA </v>
      </c>
      <c r="G4233" s="1" t="str">
        <f t="shared" si="2"/>
        <v>Marcela L</v>
      </c>
      <c r="H4233" s="1" t="str">
        <f>IFERROR(__xludf.DUMMYFUNCTION("""COMPUTED_VALUE"""),"31/3/2023, 17:00:00")</f>
        <v>31/3/2023, 17:00:00</v>
      </c>
      <c r="I4233" s="1" t="str">
        <f>IFERROR(__xludf.DUMMYFUNCTION("""COMPUTED_VALUE"""),"Completado en SUCURSAL")</f>
        <v>Completado en SUCURSAL</v>
      </c>
      <c r="J4233" s="1">
        <f t="shared" si="3"/>
        <v>5</v>
      </c>
      <c r="K4233" s="1" t="str">
        <f t="shared" si="4"/>
        <v>Tus Lentes estan LISTAS PARA ENTREGAR, te esperamos.</v>
      </c>
    </row>
    <row r="4234">
      <c r="A4234" s="1">
        <f>IFERROR(__xludf.DUMMYFUNCTION("""COMPUTED_VALUE"""),88797.0)</f>
        <v>88797</v>
      </c>
      <c r="B4234" s="5">
        <f>IFERROR(__xludf.DUMMYFUNCTION("""COMPUTED_VALUE"""),45013.53354430555)</f>
        <v>45013.53354</v>
      </c>
      <c r="C4234" s="1" t="str">
        <f>IFERROR(__xludf.DUMMYFUNCTION("""COMPUTED_VALUE"""),"ESQUIVEL MIRIAM ")</f>
        <v>ESQUIVEL MIRIAM </v>
      </c>
      <c r="D4234" s="1" t="str">
        <f>IFERROR(__xludf.DUMMYFUNCTION("""COMPUTED_VALUE"""),"Lentes de STOCK")</f>
        <v>Lentes de STOCK</v>
      </c>
      <c r="E4234" s="1" t="str">
        <f>IFERROR(__xludf.DUMMYFUNCTION("""COMPUTED_VALUE"""),"RIVADAVIA Luciana")</f>
        <v>RIVADAVIA Luciana</v>
      </c>
      <c r="F4234" s="1" t="str">
        <f t="shared" si="1"/>
        <v>RIVADAVIA </v>
      </c>
      <c r="G4234" s="1" t="str">
        <f t="shared" si="2"/>
        <v>Luciana</v>
      </c>
      <c r="H4234" s="1" t="str">
        <f>IFERROR(__xludf.DUMMYFUNCTION("""COMPUTED_VALUE"""),"31/3/2023, 17:00:00")</f>
        <v>31/3/2023, 17:00:00</v>
      </c>
      <c r="I4234" s="1" t="str">
        <f>IFERROR(__xludf.DUMMYFUNCTION("""COMPUTED_VALUE"""),"RETIRADO OK POR CLIENTE")</f>
        <v>RETIRADO OK POR CLIENTE</v>
      </c>
      <c r="J4234" s="1">
        <f t="shared" si="3"/>
        <v>6</v>
      </c>
      <c r="K4234" s="1" t="str">
        <f t="shared" si="4"/>
        <v>Entregamos tus lentes, que los disfrutes!</v>
      </c>
    </row>
    <row r="4235">
      <c r="A4235" s="1">
        <f>IFERROR(__xludf.DUMMYFUNCTION("""COMPUTED_VALUE"""),88798.0)</f>
        <v>88798</v>
      </c>
      <c r="B4235" s="5">
        <f>IFERROR(__xludf.DUMMYFUNCTION("""COMPUTED_VALUE"""),45013.5363109375)</f>
        <v>45013.53631</v>
      </c>
      <c r="C4235" s="1" t="str">
        <f>IFERROR(__xludf.DUMMYFUNCTION("""COMPUTED_VALUE"""),"COLANTONE DANIELA")</f>
        <v>COLANTONE DANIELA</v>
      </c>
      <c r="D4235" s="1" t="str">
        <f>IFERROR(__xludf.DUMMYFUNCTION("""COMPUTED_VALUE"""),"Reparaciones/Otros")</f>
        <v>Reparaciones/Otros</v>
      </c>
      <c r="E4235" s="1" t="str">
        <f>IFERROR(__xludf.DUMMYFUNCTION("""COMPUTED_VALUE"""),"ARTIGAS Roció")</f>
        <v>ARTIGAS Roció</v>
      </c>
      <c r="F4235" s="1" t="str">
        <f t="shared" si="1"/>
        <v>ARTIGAS </v>
      </c>
      <c r="G4235" s="1" t="str">
        <f t="shared" si="2"/>
        <v>Roció</v>
      </c>
      <c r="H4235" s="1" t="str">
        <f>IFERROR(__xludf.DUMMYFUNCTION("""COMPUTED_VALUE"""),"29/3/2023, 17:00:00")</f>
        <v>29/3/2023, 17:00:00</v>
      </c>
      <c r="I4235" s="1" t="str">
        <f>IFERROR(__xludf.DUMMYFUNCTION("""COMPUTED_VALUE"""),"Completado en SUCURSAL")</f>
        <v>Completado en SUCURSAL</v>
      </c>
      <c r="J4235" s="1">
        <f t="shared" si="3"/>
        <v>5</v>
      </c>
      <c r="K4235" s="1" t="str">
        <f t="shared" si="4"/>
        <v>Tus Lentes estan LISTAS PARA ENTREGAR, te esperamos.</v>
      </c>
    </row>
    <row r="4236">
      <c r="A4236" s="1">
        <f>IFERROR(__xludf.DUMMYFUNCTION("""COMPUTED_VALUE"""),88799.0)</f>
        <v>88799</v>
      </c>
      <c r="B4236" s="5">
        <f>IFERROR(__xludf.DUMMYFUNCTION("""COMPUTED_VALUE"""),45013.56082976852)</f>
        <v>45013.56083</v>
      </c>
      <c r="C4236" s="1" t="str">
        <f>IFERROR(__xludf.DUMMYFUNCTION("""COMPUTED_VALUE"""),"VIGO LILIANA")</f>
        <v>VIGO LILIANA</v>
      </c>
      <c r="D4236" s="1" t="str">
        <f>IFERROR(__xludf.DUMMYFUNCTION("""COMPUTED_VALUE"""),"Lentes de STOCK")</f>
        <v>Lentes de STOCK</v>
      </c>
      <c r="E4236" s="1" t="str">
        <f>IFERROR(__xludf.DUMMYFUNCTION("""COMPUTED_VALUE"""),"RIVADAVIA Luciana")</f>
        <v>RIVADAVIA Luciana</v>
      </c>
      <c r="F4236" s="1" t="str">
        <f t="shared" si="1"/>
        <v>RIVADAVIA </v>
      </c>
      <c r="G4236" s="1" t="str">
        <f t="shared" si="2"/>
        <v>Luciana</v>
      </c>
      <c r="H4236" s="1" t="str">
        <f>IFERROR(__xludf.DUMMYFUNCTION("""COMPUTED_VALUE"""),"3/4/2023, 17:00:00")</f>
        <v>3/4/2023, 17:00:00</v>
      </c>
      <c r="I4236" s="1" t="str">
        <f>IFERROR(__xludf.DUMMYFUNCTION("""COMPUTED_VALUE"""),"RETIRADO OK POR CLIENTE")</f>
        <v>RETIRADO OK POR CLIENTE</v>
      </c>
      <c r="J4236" s="1">
        <f t="shared" si="3"/>
        <v>6</v>
      </c>
      <c r="K4236" s="1" t="str">
        <f t="shared" si="4"/>
        <v>Entregamos tus lentes, que los disfrutes!</v>
      </c>
    </row>
    <row r="4237">
      <c r="A4237" s="1">
        <f>IFERROR(__xludf.DUMMYFUNCTION("""COMPUTED_VALUE"""),88800.0)</f>
        <v>88800</v>
      </c>
      <c r="B4237" s="5">
        <f>IFERROR(__xludf.DUMMYFUNCTION("""COMPUTED_VALUE"""),45013.739841215276)</f>
        <v>45013.73984</v>
      </c>
      <c r="C4237" s="1" t="str">
        <f>IFERROR(__xludf.DUMMYFUNCTION("""COMPUTED_VALUE"""),"ESCUDERO REBECA")</f>
        <v>ESCUDERO REBECA</v>
      </c>
      <c r="D4237" s="1" t="str">
        <f>IFERROR(__xludf.DUMMYFUNCTION("""COMPUTED_VALUE"""),"Lentes de STOCK")</f>
        <v>Lentes de STOCK</v>
      </c>
      <c r="E4237" s="1" t="str">
        <f>IFERROR(__xludf.DUMMYFUNCTION("""COMPUTED_VALUE"""),"ARTIGAS Roció")</f>
        <v>ARTIGAS Roció</v>
      </c>
      <c r="F4237" s="1" t="str">
        <f t="shared" si="1"/>
        <v>ARTIGAS </v>
      </c>
      <c r="G4237" s="1" t="str">
        <f t="shared" si="2"/>
        <v>Roció</v>
      </c>
      <c r="H4237" s="1" t="str">
        <f>IFERROR(__xludf.DUMMYFUNCTION("""COMPUTED_VALUE"""),"5/4/2023, 17:00:00")</f>
        <v>5/4/2023, 17:00:00</v>
      </c>
      <c r="I4237" s="1" t="str">
        <f>IFERROR(__xludf.DUMMYFUNCTION("""COMPUTED_VALUE"""),"RETIRADO OK POR CLIENTE")</f>
        <v>RETIRADO OK POR CLIENTE</v>
      </c>
      <c r="J4237" s="1">
        <f t="shared" si="3"/>
        <v>6</v>
      </c>
      <c r="K4237" s="1" t="str">
        <f t="shared" si="4"/>
        <v>Entregamos tus lentes, que los disfrutes!</v>
      </c>
    </row>
    <row r="4238">
      <c r="A4238" s="1">
        <f>IFERROR(__xludf.DUMMYFUNCTION("""COMPUTED_VALUE"""),88801.0)</f>
        <v>88801</v>
      </c>
      <c r="B4238" s="5">
        <f>IFERROR(__xludf.DUMMYFUNCTION("""COMPUTED_VALUE"""),45013.744408935185)</f>
        <v>45013.74441</v>
      </c>
      <c r="C4238" s="1" t="str">
        <f>IFERROR(__xludf.DUMMYFUNCTION("""COMPUTED_VALUE"""),"MORALES BELEN")</f>
        <v>MORALES BELEN</v>
      </c>
      <c r="D4238" s="1" t="str">
        <f>IFERROR(__xludf.DUMMYFUNCTION("""COMPUTED_VALUE"""),"Lentes de STOCK")</f>
        <v>Lentes de STOCK</v>
      </c>
      <c r="E4238" s="1" t="str">
        <f>IFERROR(__xludf.DUMMYFUNCTION("""COMPUTED_VALUE"""),"RIVADAVIA Javier")</f>
        <v>RIVADAVIA Javier</v>
      </c>
      <c r="F4238" s="1" t="str">
        <f t="shared" si="1"/>
        <v>RIVADAVIA </v>
      </c>
      <c r="G4238" s="1" t="str">
        <f t="shared" si="2"/>
        <v>Javier</v>
      </c>
      <c r="H4238" s="1" t="str">
        <f>IFERROR(__xludf.DUMMYFUNCTION("""COMPUTED_VALUE"""),"3/4/2023, 17:00:00")</f>
        <v>3/4/2023, 17:00:00</v>
      </c>
      <c r="I4238" s="1"/>
      <c r="J4238" s="1">
        <f t="shared" si="3"/>
        <v>0</v>
      </c>
      <c r="K4238" s="1" t="str">
        <f t="shared" si="4"/>
        <v/>
      </c>
    </row>
    <row r="4239">
      <c r="A4239" s="1">
        <f>IFERROR(__xludf.DUMMYFUNCTION("""COMPUTED_VALUE"""),88802.0)</f>
        <v>88802</v>
      </c>
      <c r="B4239" s="5">
        <f>IFERROR(__xludf.DUMMYFUNCTION("""COMPUTED_VALUE"""),45013.74567685185)</f>
        <v>45013.74568</v>
      </c>
      <c r="C4239" s="1" t="str">
        <f>IFERROR(__xludf.DUMMYFUNCTION("""COMPUTED_VALUE"""),"MORALES BELEN")</f>
        <v>MORALES BELEN</v>
      </c>
      <c r="D4239" s="1" t="str">
        <f>IFERROR(__xludf.DUMMYFUNCTION("""COMPUTED_VALUE"""),"Lentes de STOCK")</f>
        <v>Lentes de STOCK</v>
      </c>
      <c r="E4239" s="1" t="str">
        <f>IFERROR(__xludf.DUMMYFUNCTION("""COMPUTED_VALUE"""),"RIVADAVIA Javier")</f>
        <v>RIVADAVIA Javier</v>
      </c>
      <c r="F4239" s="1" t="str">
        <f t="shared" si="1"/>
        <v>RIVADAVIA </v>
      </c>
      <c r="G4239" s="1" t="str">
        <f t="shared" si="2"/>
        <v>Javier</v>
      </c>
      <c r="H4239" s="1" t="str">
        <f>IFERROR(__xludf.DUMMYFUNCTION("""COMPUTED_VALUE"""),"3/4/2023, 17:00:00")</f>
        <v>3/4/2023, 17:00:00</v>
      </c>
      <c r="I4239" s="1" t="str">
        <f>IFERROR(__xludf.DUMMYFUNCTION("""COMPUTED_VALUE"""),"RETIRADO OK POR CLIENTE")</f>
        <v>RETIRADO OK POR CLIENTE</v>
      </c>
      <c r="J4239" s="1">
        <f t="shared" si="3"/>
        <v>6</v>
      </c>
      <c r="K4239" s="1" t="str">
        <f t="shared" si="4"/>
        <v>Entregamos tus lentes, que los disfrutes!</v>
      </c>
    </row>
    <row r="4240">
      <c r="A4240" s="1">
        <f>IFERROR(__xludf.DUMMYFUNCTION("""COMPUTED_VALUE"""),88803.0)</f>
        <v>88803</v>
      </c>
      <c r="B4240" s="5">
        <f>IFERROR(__xludf.DUMMYFUNCTION("""COMPUTED_VALUE"""),45013.75228122685)</f>
        <v>45013.75228</v>
      </c>
      <c r="C4240" s="1" t="str">
        <f>IFERROR(__xludf.DUMMYFUNCTION("""COMPUTED_VALUE"""),"NASISI JUAN CRUZ")</f>
        <v>NASISI JUAN CRUZ</v>
      </c>
      <c r="D4240" s="1" t="str">
        <f>IFERROR(__xludf.DUMMYFUNCTION("""COMPUTED_VALUE"""),"Lentes de STOCK")</f>
        <v>Lentes de STOCK</v>
      </c>
      <c r="E4240" s="1" t="str">
        <f>IFERROR(__xludf.DUMMYFUNCTION("""COMPUTED_VALUE"""),"ARTIGAS Ivana P.")</f>
        <v>ARTIGAS Ivana P.</v>
      </c>
      <c r="F4240" s="1" t="str">
        <f t="shared" si="1"/>
        <v>ARTIGAS </v>
      </c>
      <c r="G4240" s="1" t="str">
        <f t="shared" si="2"/>
        <v>Ivana P.</v>
      </c>
      <c r="H4240" s="1" t="str">
        <f>IFERROR(__xludf.DUMMYFUNCTION("""COMPUTED_VALUE"""),"3/4/2023, 17:00:00")</f>
        <v>3/4/2023, 17:00:00</v>
      </c>
      <c r="I4240" s="1" t="str">
        <f>IFERROR(__xludf.DUMMYFUNCTION("""COMPUTED_VALUE"""),"RETIRADO OK POR CLIENTE")</f>
        <v>RETIRADO OK POR CLIENTE</v>
      </c>
      <c r="J4240" s="1">
        <f t="shared" si="3"/>
        <v>6</v>
      </c>
      <c r="K4240" s="1" t="str">
        <f t="shared" si="4"/>
        <v>Entregamos tus lentes, que los disfrutes!</v>
      </c>
    </row>
    <row r="4241">
      <c r="A4241" s="1">
        <f>IFERROR(__xludf.DUMMYFUNCTION("""COMPUTED_VALUE"""),88804.0)</f>
        <v>88804</v>
      </c>
      <c r="B4241" s="5">
        <f>IFERROR(__xludf.DUMMYFUNCTION("""COMPUTED_VALUE"""),45013.75765770834)</f>
        <v>45013.75766</v>
      </c>
      <c r="C4241" s="1" t="str">
        <f>IFERROR(__xludf.DUMMYFUNCTION("""COMPUTED_VALUE"""),"MENDOZA EMANUEL")</f>
        <v>MENDOZA EMANUEL</v>
      </c>
      <c r="D4241" s="1" t="str">
        <f>IFERROR(__xludf.DUMMYFUNCTION("""COMPUTED_VALUE"""),"Lentes de STOCK")</f>
        <v>Lentes de STOCK</v>
      </c>
      <c r="E4241" s="1" t="str">
        <f>IFERROR(__xludf.DUMMYFUNCTION("""COMPUTED_VALUE"""),"ARTIGAS Roció")</f>
        <v>ARTIGAS Roció</v>
      </c>
      <c r="F4241" s="1" t="str">
        <f t="shared" si="1"/>
        <v>ARTIGAS </v>
      </c>
      <c r="G4241" s="1" t="str">
        <f t="shared" si="2"/>
        <v>Roció</v>
      </c>
      <c r="H4241" s="1" t="str">
        <f>IFERROR(__xludf.DUMMYFUNCTION("""COMPUTED_VALUE"""),"5/4/2023, 17:00:00")</f>
        <v>5/4/2023, 17:00:00</v>
      </c>
      <c r="I4241" s="1" t="str">
        <f>IFERROR(__xludf.DUMMYFUNCTION("""COMPUTED_VALUE"""),"RETIRADO OK POR CLIENTE")</f>
        <v>RETIRADO OK POR CLIENTE</v>
      </c>
      <c r="J4241" s="1">
        <f t="shared" si="3"/>
        <v>6</v>
      </c>
      <c r="K4241" s="1" t="str">
        <f t="shared" si="4"/>
        <v>Entregamos tus lentes, que los disfrutes!</v>
      </c>
    </row>
    <row r="4242">
      <c r="A4242" s="1">
        <f>IFERROR(__xludf.DUMMYFUNCTION("""COMPUTED_VALUE"""),88805.0)</f>
        <v>88805</v>
      </c>
      <c r="B4242" s="5">
        <f>IFERROR(__xludf.DUMMYFUNCTION("""COMPUTED_VALUE"""),45013.76019981482)</f>
        <v>45013.7602</v>
      </c>
      <c r="C4242" s="1" t="str">
        <f>IFERROR(__xludf.DUMMYFUNCTION("""COMPUTED_VALUE"""),"SPINELLI JOSE")</f>
        <v>SPINELLI JOSE</v>
      </c>
      <c r="D4242" s="1" t="str">
        <f>IFERROR(__xludf.DUMMYFUNCTION("""COMPUTED_VALUE"""),"Lentes de STOCK")</f>
        <v>Lentes de STOCK</v>
      </c>
      <c r="E4242" s="1" t="str">
        <f>IFERROR(__xludf.DUMMYFUNCTION("""COMPUTED_VALUE"""),"ARTIGAS Ivana P.")</f>
        <v>ARTIGAS Ivana P.</v>
      </c>
      <c r="F4242" s="1" t="str">
        <f t="shared" si="1"/>
        <v>ARTIGAS </v>
      </c>
      <c r="G4242" s="1" t="str">
        <f t="shared" si="2"/>
        <v>Ivana P.</v>
      </c>
      <c r="H4242" s="1" t="str">
        <f>IFERROR(__xludf.DUMMYFUNCTION("""COMPUTED_VALUE"""),"4/4/2023, 17:00:00")</f>
        <v>4/4/2023, 17:00:00</v>
      </c>
      <c r="I4242" s="1" t="str">
        <f>IFERROR(__xludf.DUMMYFUNCTION("""COMPUTED_VALUE"""),"Completado en SUCURSAL")</f>
        <v>Completado en SUCURSAL</v>
      </c>
      <c r="J4242" s="1">
        <f t="shared" si="3"/>
        <v>5</v>
      </c>
      <c r="K4242" s="1" t="str">
        <f t="shared" si="4"/>
        <v>Tus Lentes estan LISTAS PARA ENTREGAR, te esperamos.</v>
      </c>
    </row>
    <row r="4243">
      <c r="A4243" s="1">
        <f>IFERROR(__xludf.DUMMYFUNCTION("""COMPUTED_VALUE"""),88806.0)</f>
        <v>88806</v>
      </c>
      <c r="B4243" s="5">
        <f>IFERROR(__xludf.DUMMYFUNCTION("""COMPUTED_VALUE"""),45013.76134116898)</f>
        <v>45013.76134</v>
      </c>
      <c r="C4243" s="1" t="str">
        <f>IFERROR(__xludf.DUMMYFUNCTION("""COMPUTED_VALUE"""),"SOFIA HELENA PARRILA ")</f>
        <v>SOFIA HELENA PARRILA </v>
      </c>
      <c r="D4243" s="1" t="str">
        <f>IFERROR(__xludf.DUMMYFUNCTION("""COMPUTED_VALUE"""),"Lentes de STOCK")</f>
        <v>Lentes de STOCK</v>
      </c>
      <c r="E4243" s="1" t="str">
        <f>IFERROR(__xludf.DUMMYFUNCTION("""COMPUTED_VALUE"""),"RIVADAVIA Javier")</f>
        <v>RIVADAVIA Javier</v>
      </c>
      <c r="F4243" s="1" t="str">
        <f t="shared" si="1"/>
        <v>RIVADAVIA </v>
      </c>
      <c r="G4243" s="1" t="str">
        <f t="shared" si="2"/>
        <v>Javier</v>
      </c>
      <c r="H4243" s="1" t="str">
        <f>IFERROR(__xludf.DUMMYFUNCTION("""COMPUTED_VALUE"""),"4/4/2023, 17:00:00")</f>
        <v>4/4/2023, 17:00:00</v>
      </c>
      <c r="I4243" s="1" t="str">
        <f>IFERROR(__xludf.DUMMYFUNCTION("""COMPUTED_VALUE"""),"Completado en SUCURSAL")</f>
        <v>Completado en SUCURSAL</v>
      </c>
      <c r="J4243" s="1">
        <f t="shared" si="3"/>
        <v>5</v>
      </c>
      <c r="K4243" s="1" t="str">
        <f t="shared" si="4"/>
        <v>Tus Lentes estan LISTAS PARA ENTREGAR, te esperamos.</v>
      </c>
    </row>
    <row r="4244">
      <c r="A4244" s="1">
        <f>IFERROR(__xludf.DUMMYFUNCTION("""COMPUTED_VALUE"""),88807.0)</f>
        <v>88807</v>
      </c>
      <c r="B4244" s="5">
        <f>IFERROR(__xludf.DUMMYFUNCTION("""COMPUTED_VALUE"""),45013.764978946754)</f>
        <v>45013.76498</v>
      </c>
      <c r="C4244" s="1" t="str">
        <f>IFERROR(__xludf.DUMMYFUNCTION("""COMPUTED_VALUE"""),"PERALTA SUSANA")</f>
        <v>PERALTA SUSANA</v>
      </c>
      <c r="D4244" s="1" t="str">
        <f>IFERROR(__xludf.DUMMYFUNCTION("""COMPUTED_VALUE"""),"Lentes de STOCK")</f>
        <v>Lentes de STOCK</v>
      </c>
      <c r="E4244" s="1" t="str">
        <f>IFERROR(__xludf.DUMMYFUNCTION("""COMPUTED_VALUE"""),"ARTIGAS Ivana P.")</f>
        <v>ARTIGAS Ivana P.</v>
      </c>
      <c r="F4244" s="1" t="str">
        <f t="shared" si="1"/>
        <v>ARTIGAS </v>
      </c>
      <c r="G4244" s="1" t="str">
        <f t="shared" si="2"/>
        <v>Ivana P.</v>
      </c>
      <c r="H4244" s="1" t="str">
        <f>IFERROR(__xludf.DUMMYFUNCTION("""COMPUTED_VALUE"""),"4/4/2023, 17:00:00")</f>
        <v>4/4/2023, 17:00:00</v>
      </c>
      <c r="I4244" s="1" t="str">
        <f>IFERROR(__xludf.DUMMYFUNCTION("""COMPUTED_VALUE"""),"Completado en SUCURSAL")</f>
        <v>Completado en SUCURSAL</v>
      </c>
      <c r="J4244" s="1">
        <f t="shared" si="3"/>
        <v>5</v>
      </c>
      <c r="K4244" s="1" t="str">
        <f t="shared" si="4"/>
        <v>Tus Lentes estan LISTAS PARA ENTREGAR, te esperamos.</v>
      </c>
    </row>
    <row r="4245">
      <c r="A4245" s="1">
        <f>IFERROR(__xludf.DUMMYFUNCTION("""COMPUTED_VALUE"""),88808.0)</f>
        <v>88808</v>
      </c>
      <c r="B4245" s="5">
        <f>IFERROR(__xludf.DUMMYFUNCTION("""COMPUTED_VALUE"""),45013.768152523146)</f>
        <v>45013.76815</v>
      </c>
      <c r="C4245" s="1" t="str">
        <f>IFERROR(__xludf.DUMMYFUNCTION("""COMPUTED_VALUE"""),"irusta luis")</f>
        <v>irusta luis</v>
      </c>
      <c r="D4245" s="1" t="str">
        <f>IFERROR(__xludf.DUMMYFUNCTION("""COMPUTED_VALUE"""),"Lentes de LABORATORIO")</f>
        <v>Lentes de LABORATORIO</v>
      </c>
      <c r="E4245" s="1" t="str">
        <f>IFERROR(__xludf.DUMMYFUNCTION("""COMPUTED_VALUE"""),"RIVADAVIA Santiago N")</f>
        <v>RIVADAVIA Santiago N</v>
      </c>
      <c r="F4245" s="1" t="str">
        <f t="shared" si="1"/>
        <v>RIVADAVIA </v>
      </c>
      <c r="G4245" s="1" t="str">
        <f t="shared" si="2"/>
        <v>Santiago N</v>
      </c>
      <c r="H4245" s="1" t="str">
        <f>IFERROR(__xludf.DUMMYFUNCTION("""COMPUTED_VALUE"""),"12/4/2023, 17:00:00")</f>
        <v>12/4/2023, 17:00:00</v>
      </c>
      <c r="I4245" s="1" t="str">
        <f>IFERROR(__xludf.DUMMYFUNCTION("""COMPUTED_VALUE"""),"Completado en SUCURSAL")</f>
        <v>Completado en SUCURSAL</v>
      </c>
      <c r="J4245" s="1">
        <f t="shared" si="3"/>
        <v>5</v>
      </c>
      <c r="K4245" s="1" t="str">
        <f t="shared" si="4"/>
        <v>Tus Lentes estan LISTAS PARA ENTREGAR, te esperamos.</v>
      </c>
    </row>
    <row r="4246">
      <c r="A4246" s="1">
        <f>IFERROR(__xludf.DUMMYFUNCTION("""COMPUTED_VALUE"""),88809.0)</f>
        <v>88809</v>
      </c>
      <c r="B4246" s="5">
        <f>IFERROR(__xludf.DUMMYFUNCTION("""COMPUTED_VALUE"""),45013.76868650463)</f>
        <v>45013.76869</v>
      </c>
      <c r="C4246" s="1" t="str">
        <f>IFERROR(__xludf.DUMMYFUNCTION("""COMPUTED_VALUE"""),"SUAREZ LAURA")</f>
        <v>SUAREZ LAURA</v>
      </c>
      <c r="D4246" s="1" t="str">
        <f>IFERROR(__xludf.DUMMYFUNCTION("""COMPUTED_VALUE"""),"Lentes de STOCK")</f>
        <v>Lentes de STOCK</v>
      </c>
      <c r="E4246" s="1" t="str">
        <f>IFERROR(__xludf.DUMMYFUNCTION("""COMPUTED_VALUE"""),"ARTIGAS Ivana P.")</f>
        <v>ARTIGAS Ivana P.</v>
      </c>
      <c r="F4246" s="1" t="str">
        <f t="shared" si="1"/>
        <v>ARTIGAS </v>
      </c>
      <c r="G4246" s="1" t="str">
        <f t="shared" si="2"/>
        <v>Ivana P.</v>
      </c>
      <c r="H4246" s="1" t="str">
        <f>IFERROR(__xludf.DUMMYFUNCTION("""COMPUTED_VALUE"""),"3/4/2023, 17:00:00")</f>
        <v>3/4/2023, 17:00:00</v>
      </c>
      <c r="I4246" s="1" t="str">
        <f>IFERROR(__xludf.DUMMYFUNCTION("""COMPUTED_VALUE"""),"RETIRADO OK POR CLIENTE")</f>
        <v>RETIRADO OK POR CLIENTE</v>
      </c>
      <c r="J4246" s="1">
        <f t="shared" si="3"/>
        <v>6</v>
      </c>
      <c r="K4246" s="1" t="str">
        <f t="shared" si="4"/>
        <v>Entregamos tus lentes, que los disfrutes!</v>
      </c>
    </row>
    <row r="4247">
      <c r="A4247" s="1">
        <f>IFERROR(__xludf.DUMMYFUNCTION("""COMPUTED_VALUE"""),88810.0)</f>
        <v>88810</v>
      </c>
      <c r="B4247" s="5">
        <f>IFERROR(__xludf.DUMMYFUNCTION("""COMPUTED_VALUE"""),45013.77064604167)</f>
        <v>45013.77065</v>
      </c>
      <c r="C4247" s="1" t="str">
        <f>IFERROR(__xludf.DUMMYFUNCTION("""COMPUTED_VALUE"""),"JOFRE ROLANDO ")</f>
        <v>JOFRE ROLANDO </v>
      </c>
      <c r="D4247" s="1" t="str">
        <f>IFERROR(__xludf.DUMMYFUNCTION("""COMPUTED_VALUE"""),"Lentes de STOCK")</f>
        <v>Lentes de STOCK</v>
      </c>
      <c r="E4247" s="1" t="str">
        <f>IFERROR(__xludf.DUMMYFUNCTION("""COMPUTED_VALUE"""),"RIVADAVIA Christian C.")</f>
        <v>RIVADAVIA Christian C.</v>
      </c>
      <c r="F4247" s="1" t="str">
        <f t="shared" si="1"/>
        <v>RIVADAVIA </v>
      </c>
      <c r="G4247" s="1" t="str">
        <f t="shared" si="2"/>
        <v>Christian C.</v>
      </c>
      <c r="H4247" s="1" t="str">
        <f>IFERROR(__xludf.DUMMYFUNCTION("""COMPUTED_VALUE"""),"5/4/2023, 17:00:00")</f>
        <v>5/4/2023, 17:00:00</v>
      </c>
      <c r="I4247" s="1" t="str">
        <f>IFERROR(__xludf.DUMMYFUNCTION("""COMPUTED_VALUE"""),"RETIRADO OK POR CLIENTE")</f>
        <v>RETIRADO OK POR CLIENTE</v>
      </c>
      <c r="J4247" s="1">
        <f t="shared" si="3"/>
        <v>6</v>
      </c>
      <c r="K4247" s="1" t="str">
        <f t="shared" si="4"/>
        <v>Entregamos tus lentes, que los disfrutes!</v>
      </c>
    </row>
    <row r="4248">
      <c r="A4248" s="1">
        <f>IFERROR(__xludf.DUMMYFUNCTION("""COMPUTED_VALUE"""),88811.0)</f>
        <v>88811</v>
      </c>
      <c r="B4248" s="5">
        <f>IFERROR(__xludf.DUMMYFUNCTION("""COMPUTED_VALUE"""),45013.77612288194)</f>
        <v>45013.77612</v>
      </c>
      <c r="C4248" s="1" t="str">
        <f>IFERROR(__xludf.DUMMYFUNCTION("""COMPUTED_VALUE"""),"BARROZO MATEO")</f>
        <v>BARROZO MATEO</v>
      </c>
      <c r="D4248" s="1" t="str">
        <f>IFERROR(__xludf.DUMMYFUNCTION("""COMPUTED_VALUE"""),"Lentes de STOCK")</f>
        <v>Lentes de STOCK</v>
      </c>
      <c r="E4248" s="1" t="str">
        <f>IFERROR(__xludf.DUMMYFUNCTION("""COMPUTED_VALUE"""),"RIVADAVIA Javier")</f>
        <v>RIVADAVIA Javier</v>
      </c>
      <c r="F4248" s="1" t="str">
        <f t="shared" si="1"/>
        <v>RIVADAVIA </v>
      </c>
      <c r="G4248" s="1" t="str">
        <f t="shared" si="2"/>
        <v>Javier</v>
      </c>
      <c r="H4248" s="1" t="str">
        <f>IFERROR(__xludf.DUMMYFUNCTION("""COMPUTED_VALUE"""),"3/4/2023, 17:00:00")</f>
        <v>3/4/2023, 17:00:00</v>
      </c>
      <c r="I4248" s="1" t="str">
        <f>IFERROR(__xludf.DUMMYFUNCTION("""COMPUTED_VALUE"""),"RETIRADO OK POR CLIENTE")</f>
        <v>RETIRADO OK POR CLIENTE</v>
      </c>
      <c r="J4248" s="1">
        <f t="shared" si="3"/>
        <v>6</v>
      </c>
      <c r="K4248" s="1" t="str">
        <f t="shared" si="4"/>
        <v>Entregamos tus lentes, que los disfrutes!</v>
      </c>
    </row>
    <row r="4249">
      <c r="A4249" s="1">
        <f>IFERROR(__xludf.DUMMYFUNCTION("""COMPUTED_VALUE"""),88812.0)</f>
        <v>88812</v>
      </c>
      <c r="B4249" s="5">
        <f>IFERROR(__xludf.DUMMYFUNCTION("""COMPUTED_VALUE"""),45013.776590416666)</f>
        <v>45013.77659</v>
      </c>
      <c r="C4249" s="1" t="str">
        <f>IFERROR(__xludf.DUMMYFUNCTION("""COMPUTED_VALUE"""),"monte diego")</f>
        <v>monte diego</v>
      </c>
      <c r="D4249" s="1" t="str">
        <f>IFERROR(__xludf.DUMMYFUNCTION("""COMPUTED_VALUE"""),"Reparaciones/Otros")</f>
        <v>Reparaciones/Otros</v>
      </c>
      <c r="E4249" s="1" t="str">
        <f>IFERROR(__xludf.DUMMYFUNCTION("""COMPUTED_VALUE"""),"RIVADAVIA Santiago N")</f>
        <v>RIVADAVIA Santiago N</v>
      </c>
      <c r="F4249" s="1" t="str">
        <f t="shared" si="1"/>
        <v>RIVADAVIA </v>
      </c>
      <c r="G4249" s="1" t="str">
        <f t="shared" si="2"/>
        <v>Santiago N</v>
      </c>
      <c r="H4249" s="1" t="str">
        <f>IFERROR(__xludf.DUMMYFUNCTION("""COMPUTED_VALUE"""),"29/3/2023, 17:00:00")</f>
        <v>29/3/2023, 17:00:00</v>
      </c>
      <c r="I4249" s="1" t="str">
        <f>IFERROR(__xludf.DUMMYFUNCTION("""COMPUTED_VALUE"""),"Completado en SUCURSAL")</f>
        <v>Completado en SUCURSAL</v>
      </c>
      <c r="J4249" s="1">
        <f t="shared" si="3"/>
        <v>5</v>
      </c>
      <c r="K4249" s="1" t="str">
        <f t="shared" si="4"/>
        <v>Tus Lentes estan LISTAS PARA ENTREGAR, te esperamos.</v>
      </c>
    </row>
    <row r="4250">
      <c r="A4250" s="1">
        <f>IFERROR(__xludf.DUMMYFUNCTION("""COMPUTED_VALUE"""),88813.0)</f>
        <v>88813</v>
      </c>
      <c r="B4250" s="5">
        <f>IFERROR(__xludf.DUMMYFUNCTION("""COMPUTED_VALUE"""),45013.77869717593)</f>
        <v>45013.7787</v>
      </c>
      <c r="C4250" s="1" t="str">
        <f>IFERROR(__xludf.DUMMYFUNCTION("""COMPUTED_VALUE"""),"LUCERO GARCIELA")</f>
        <v>LUCERO GARCIELA</v>
      </c>
      <c r="D4250" s="1" t="str">
        <f>IFERROR(__xludf.DUMMYFUNCTION("""COMPUTED_VALUE"""),"Lentes de STOCK")</f>
        <v>Lentes de STOCK</v>
      </c>
      <c r="E4250" s="1" t="str">
        <f>IFERROR(__xludf.DUMMYFUNCTION("""COMPUTED_VALUE"""),"ARTIGAS Ivana P.")</f>
        <v>ARTIGAS Ivana P.</v>
      </c>
      <c r="F4250" s="1" t="str">
        <f t="shared" si="1"/>
        <v>ARTIGAS </v>
      </c>
      <c r="G4250" s="1" t="str">
        <f t="shared" si="2"/>
        <v>Ivana P.</v>
      </c>
      <c r="H4250" s="1" t="str">
        <f>IFERROR(__xludf.DUMMYFUNCTION("""COMPUTED_VALUE"""),"3/4/2023, 17:00:00")</f>
        <v>3/4/2023, 17:00:00</v>
      </c>
      <c r="I4250" s="1" t="str">
        <f>IFERROR(__xludf.DUMMYFUNCTION("""COMPUTED_VALUE"""),"RETIRADO OK POR CLIENTE")</f>
        <v>RETIRADO OK POR CLIENTE</v>
      </c>
      <c r="J4250" s="1">
        <f t="shared" si="3"/>
        <v>6</v>
      </c>
      <c r="K4250" s="1" t="str">
        <f t="shared" si="4"/>
        <v>Entregamos tus lentes, que los disfrutes!</v>
      </c>
    </row>
    <row r="4251">
      <c r="A4251" s="1">
        <f>IFERROR(__xludf.DUMMYFUNCTION("""COMPUTED_VALUE"""),88814.0)</f>
        <v>88814</v>
      </c>
      <c r="B4251" s="5">
        <f>IFERROR(__xludf.DUMMYFUNCTION("""COMPUTED_VALUE"""),45013.779193379625)</f>
        <v>45013.77919</v>
      </c>
      <c r="C4251" s="1" t="str">
        <f>IFERROR(__xludf.DUMMYFUNCTION("""COMPUTED_VALUE"""),"MEDERO ANIBAL TEODORO")</f>
        <v>MEDERO ANIBAL TEODORO</v>
      </c>
      <c r="D4251" s="1" t="str">
        <f>IFERROR(__xludf.DUMMYFUNCTION("""COMPUTED_VALUE"""),"Lentes de STOCK")</f>
        <v>Lentes de STOCK</v>
      </c>
      <c r="E4251" s="1" t="str">
        <f>IFERROR(__xludf.DUMMYFUNCTION("""COMPUTED_VALUE"""),"ARTIGAS Roció")</f>
        <v>ARTIGAS Roció</v>
      </c>
      <c r="F4251" s="1" t="str">
        <f t="shared" si="1"/>
        <v>ARTIGAS </v>
      </c>
      <c r="G4251" s="1" t="str">
        <f t="shared" si="2"/>
        <v>Roció</v>
      </c>
      <c r="H4251" s="1" t="str">
        <f>IFERROR(__xludf.DUMMYFUNCTION("""COMPUTED_VALUE"""),"5/4/2023, 17:00:00")</f>
        <v>5/4/2023, 17:00:00</v>
      </c>
      <c r="I4251" s="1" t="str">
        <f>IFERROR(__xludf.DUMMYFUNCTION("""COMPUTED_VALUE"""),"RETIRADO OK POR CLIENTE")</f>
        <v>RETIRADO OK POR CLIENTE</v>
      </c>
      <c r="J4251" s="1">
        <f t="shared" si="3"/>
        <v>6</v>
      </c>
      <c r="K4251" s="1" t="str">
        <f t="shared" si="4"/>
        <v>Entregamos tus lentes, que los disfrutes!</v>
      </c>
    </row>
    <row r="4252">
      <c r="A4252" s="1">
        <f>IFERROR(__xludf.DUMMYFUNCTION("""COMPUTED_VALUE"""),88815.0)</f>
        <v>88815</v>
      </c>
      <c r="B4252" s="5">
        <f>IFERROR(__xludf.DUMMYFUNCTION("""COMPUTED_VALUE"""),45013.7906090162)</f>
        <v>45013.79061</v>
      </c>
      <c r="C4252" s="1" t="str">
        <f>IFERROR(__xludf.DUMMYFUNCTION("""COMPUTED_VALUE"""),"ALBORNOZ VICTORIA")</f>
        <v>ALBORNOZ VICTORIA</v>
      </c>
      <c r="D4252" s="1" t="str">
        <f>IFERROR(__xludf.DUMMYFUNCTION("""COMPUTED_VALUE"""),"Lentes de LABORATORIO")</f>
        <v>Lentes de LABORATORIO</v>
      </c>
      <c r="E4252" s="1" t="str">
        <f>IFERROR(__xludf.DUMMYFUNCTION("""COMPUTED_VALUE"""),"RIVADAVIA Santiago LOPEZ")</f>
        <v>RIVADAVIA Santiago LOPEZ</v>
      </c>
      <c r="F4252" s="1" t="str">
        <f t="shared" si="1"/>
        <v>RIVADAVIA </v>
      </c>
      <c r="G4252" s="1" t="str">
        <f t="shared" si="2"/>
        <v>Santiago LOPEZ</v>
      </c>
      <c r="H4252" s="1" t="str">
        <f>IFERROR(__xludf.DUMMYFUNCTION("""COMPUTED_VALUE"""),"14/4/2023, 17:00:00")</f>
        <v>14/4/2023, 17:00:00</v>
      </c>
      <c r="I4252" s="1" t="str">
        <f>IFERROR(__xludf.DUMMYFUNCTION("""COMPUTED_VALUE"""),"Completado en SUCURSAL")</f>
        <v>Completado en SUCURSAL</v>
      </c>
      <c r="J4252" s="1">
        <f t="shared" si="3"/>
        <v>5</v>
      </c>
      <c r="K4252" s="1" t="str">
        <f t="shared" si="4"/>
        <v>Tus Lentes estan LISTAS PARA ENTREGAR, te esperamos.</v>
      </c>
    </row>
    <row r="4253">
      <c r="A4253" s="1">
        <f>IFERROR(__xludf.DUMMYFUNCTION("""COMPUTED_VALUE"""),88816.0)</f>
        <v>88816</v>
      </c>
      <c r="B4253" s="5">
        <f>IFERROR(__xludf.DUMMYFUNCTION("""COMPUTED_VALUE"""),45013.797109629624)</f>
        <v>45013.79711</v>
      </c>
      <c r="C4253" s="1" t="str">
        <f>IFERROR(__xludf.DUMMYFUNCTION("""COMPUTED_VALUE"""),"ARCURI CINTIA")</f>
        <v>ARCURI CINTIA</v>
      </c>
      <c r="D4253" s="1" t="str">
        <f>IFERROR(__xludf.DUMMYFUNCTION("""COMPUTED_VALUE"""),"Lentes de STOCK")</f>
        <v>Lentes de STOCK</v>
      </c>
      <c r="E4253" s="1" t="str">
        <f>IFERROR(__xludf.DUMMYFUNCTION("""COMPUTED_VALUE"""),"ARTIGAS Roció")</f>
        <v>ARTIGAS Roció</v>
      </c>
      <c r="F4253" s="1" t="str">
        <f t="shared" si="1"/>
        <v>ARTIGAS </v>
      </c>
      <c r="G4253" s="1" t="str">
        <f t="shared" si="2"/>
        <v>Roció</v>
      </c>
      <c r="H4253" s="1" t="str">
        <f>IFERROR(__xludf.DUMMYFUNCTION("""COMPUTED_VALUE"""),"5/4/2023, 17:00:00")</f>
        <v>5/4/2023, 17:00:00</v>
      </c>
      <c r="I4253" s="1" t="str">
        <f>IFERROR(__xludf.DUMMYFUNCTION("""COMPUTED_VALUE"""),"RETIRADO OK POR CLIENTE")</f>
        <v>RETIRADO OK POR CLIENTE</v>
      </c>
      <c r="J4253" s="1">
        <f t="shared" si="3"/>
        <v>6</v>
      </c>
      <c r="K4253" s="1" t="str">
        <f t="shared" si="4"/>
        <v>Entregamos tus lentes, que los disfrutes!</v>
      </c>
    </row>
    <row r="4254">
      <c r="A4254" s="1">
        <f>IFERROR(__xludf.DUMMYFUNCTION("""COMPUTED_VALUE"""),88817.0)</f>
        <v>88817</v>
      </c>
      <c r="B4254" s="5">
        <f>IFERROR(__xludf.DUMMYFUNCTION("""COMPUTED_VALUE"""),45013.79928057871)</f>
        <v>45013.79928</v>
      </c>
      <c r="C4254" s="1" t="str">
        <f>IFERROR(__xludf.DUMMYFUNCTION("""COMPUTED_VALUE"""),"ZAMPETTI SILVANA ")</f>
        <v>ZAMPETTI SILVANA </v>
      </c>
      <c r="D4254" s="1" t="str">
        <f>IFERROR(__xludf.DUMMYFUNCTION("""COMPUTED_VALUE"""),"Lentes de STOCK")</f>
        <v>Lentes de STOCK</v>
      </c>
      <c r="E4254" s="1" t="str">
        <f>IFERROR(__xludf.DUMMYFUNCTION("""COMPUTED_VALUE"""),"ARTIGAS Roció")</f>
        <v>ARTIGAS Roció</v>
      </c>
      <c r="F4254" s="1" t="str">
        <f t="shared" si="1"/>
        <v>ARTIGAS </v>
      </c>
      <c r="G4254" s="1" t="str">
        <f t="shared" si="2"/>
        <v>Roció</v>
      </c>
      <c r="H4254" s="1" t="str">
        <f>IFERROR(__xludf.DUMMYFUNCTION("""COMPUTED_VALUE"""),"5/4/2023, 17:00:00")</f>
        <v>5/4/2023, 17:00:00</v>
      </c>
      <c r="I4254" s="1" t="str">
        <f>IFERROR(__xludf.DUMMYFUNCTION("""COMPUTED_VALUE"""),"Completado en SUCURSAL")</f>
        <v>Completado en SUCURSAL</v>
      </c>
      <c r="J4254" s="1">
        <f t="shared" si="3"/>
        <v>5</v>
      </c>
      <c r="K4254" s="1" t="str">
        <f t="shared" si="4"/>
        <v>Tus Lentes estan LISTAS PARA ENTREGAR, te esperamos.</v>
      </c>
    </row>
    <row r="4255">
      <c r="A4255" s="1">
        <f>IFERROR(__xludf.DUMMYFUNCTION("""COMPUTED_VALUE"""),88818.0)</f>
        <v>88818</v>
      </c>
      <c r="B4255" s="5">
        <f>IFERROR(__xludf.DUMMYFUNCTION("""COMPUTED_VALUE"""),45013.800714791665)</f>
        <v>45013.80071</v>
      </c>
      <c r="C4255" s="1" t="str">
        <f>IFERROR(__xludf.DUMMYFUNCTION("""COMPUTED_VALUE"""),"LAGRANDA CONSTANZA")</f>
        <v>LAGRANDA CONSTANZA</v>
      </c>
      <c r="D4255" s="1" t="str">
        <f>IFERROR(__xludf.DUMMYFUNCTION("""COMPUTED_VALUE"""),"Lentes de STOCK")</f>
        <v>Lentes de STOCK</v>
      </c>
      <c r="E4255" s="1" t="str">
        <f>IFERROR(__xludf.DUMMYFUNCTION("""COMPUTED_VALUE"""),"ARTIGAS Roció")</f>
        <v>ARTIGAS Roció</v>
      </c>
      <c r="F4255" s="1" t="str">
        <f t="shared" si="1"/>
        <v>ARTIGAS </v>
      </c>
      <c r="G4255" s="1" t="str">
        <f t="shared" si="2"/>
        <v>Roció</v>
      </c>
      <c r="H4255" s="1" t="str">
        <f>IFERROR(__xludf.DUMMYFUNCTION("""COMPUTED_VALUE"""),"5/4/2023, 17:00:00")</f>
        <v>5/4/2023, 17:00:00</v>
      </c>
      <c r="I4255" s="1" t="str">
        <f>IFERROR(__xludf.DUMMYFUNCTION("""COMPUTED_VALUE"""),"Completado en SUCURSAL")</f>
        <v>Completado en SUCURSAL</v>
      </c>
      <c r="J4255" s="1">
        <f t="shared" si="3"/>
        <v>5</v>
      </c>
      <c r="K4255" s="1" t="str">
        <f t="shared" si="4"/>
        <v>Tus Lentes estan LISTAS PARA ENTREGAR, te esperamos.</v>
      </c>
    </row>
    <row r="4256">
      <c r="A4256" s="1">
        <f>IFERROR(__xludf.DUMMYFUNCTION("""COMPUTED_VALUE"""),88819.0)</f>
        <v>88819</v>
      </c>
      <c r="B4256" s="5">
        <f>IFERROR(__xludf.DUMMYFUNCTION("""COMPUTED_VALUE"""),45013.8037197338)</f>
        <v>45013.80372</v>
      </c>
      <c r="C4256" s="1" t="str">
        <f>IFERROR(__xludf.DUMMYFUNCTION("""COMPUTED_VALUE"""),"fulchieri nflorencia")</f>
        <v>fulchieri nflorencia</v>
      </c>
      <c r="D4256" s="1" t="str">
        <f>IFERROR(__xludf.DUMMYFUNCTION("""COMPUTED_VALUE"""),"Lentes de STOCK")</f>
        <v>Lentes de STOCK</v>
      </c>
      <c r="E4256" s="1" t="str">
        <f>IFERROR(__xludf.DUMMYFUNCTION("""COMPUTED_VALUE"""),"RIVADAVIA Santiago N")</f>
        <v>RIVADAVIA Santiago N</v>
      </c>
      <c r="F4256" s="1" t="str">
        <f t="shared" si="1"/>
        <v>RIVADAVIA </v>
      </c>
      <c r="G4256" s="1" t="str">
        <f t="shared" si="2"/>
        <v>Santiago N</v>
      </c>
      <c r="H4256" s="1" t="str">
        <f>IFERROR(__xludf.DUMMYFUNCTION("""COMPUTED_VALUE"""),"31/3/2023, 17:00:00")</f>
        <v>31/3/2023, 17:00:00</v>
      </c>
      <c r="I4256" s="1" t="str">
        <f>IFERROR(__xludf.DUMMYFUNCTION("""COMPUTED_VALUE"""),"RETIRADO OK POR CLIENTE")</f>
        <v>RETIRADO OK POR CLIENTE</v>
      </c>
      <c r="J4256" s="1">
        <f t="shared" si="3"/>
        <v>6</v>
      </c>
      <c r="K4256" s="1" t="str">
        <f t="shared" si="4"/>
        <v>Entregamos tus lentes, que los disfrutes!</v>
      </c>
    </row>
    <row r="4257">
      <c r="A4257" s="1">
        <f>IFERROR(__xludf.DUMMYFUNCTION("""COMPUTED_VALUE"""),88820.0)</f>
        <v>88820</v>
      </c>
      <c r="B4257" s="5">
        <f>IFERROR(__xludf.DUMMYFUNCTION("""COMPUTED_VALUE"""),45013.80391981482)</f>
        <v>45013.80392</v>
      </c>
      <c r="C4257" s="1" t="str">
        <f>IFERROR(__xludf.DUMMYFUNCTION("""COMPUTED_VALUE"""),"SUAREZ ALAN")</f>
        <v>SUAREZ ALAN</v>
      </c>
      <c r="D4257" s="1" t="str">
        <f>IFERROR(__xludf.DUMMYFUNCTION("""COMPUTED_VALUE"""),"Lentes de STOCK")</f>
        <v>Lentes de STOCK</v>
      </c>
      <c r="E4257" s="1" t="str">
        <f>IFERROR(__xludf.DUMMYFUNCTION("""COMPUTED_VALUE"""),"RIVADAVIA Santiago LOPEZ")</f>
        <v>RIVADAVIA Santiago LOPEZ</v>
      </c>
      <c r="F4257" s="1" t="str">
        <f t="shared" si="1"/>
        <v>RIVADAVIA </v>
      </c>
      <c r="G4257" s="1" t="str">
        <f t="shared" si="2"/>
        <v>Santiago LOPEZ</v>
      </c>
      <c r="H4257" s="1" t="str">
        <f>IFERROR(__xludf.DUMMYFUNCTION("""COMPUTED_VALUE"""),"31/3/2023, 17:00:00")</f>
        <v>31/3/2023, 17:00:00</v>
      </c>
      <c r="I4257" s="1" t="str">
        <f>IFERROR(__xludf.DUMMYFUNCTION("""COMPUTED_VALUE"""),"RETIRADO OK POR CLIENTE")</f>
        <v>RETIRADO OK POR CLIENTE</v>
      </c>
      <c r="J4257" s="1">
        <f t="shared" si="3"/>
        <v>6</v>
      </c>
      <c r="K4257" s="1" t="str">
        <f t="shared" si="4"/>
        <v>Entregamos tus lentes, que los disfrutes!</v>
      </c>
    </row>
    <row r="4258">
      <c r="A4258" s="1">
        <f>IFERROR(__xludf.DUMMYFUNCTION("""COMPUTED_VALUE"""),88821.0)</f>
        <v>88821</v>
      </c>
      <c r="B4258" s="5">
        <f>IFERROR(__xludf.DUMMYFUNCTION("""COMPUTED_VALUE"""),45013.80573979167)</f>
        <v>45013.80574</v>
      </c>
      <c r="C4258" s="1" t="str">
        <f>IFERROR(__xludf.DUMMYFUNCTION("""COMPUTED_VALUE"""),"KORNIEJCZUK SANDRA")</f>
        <v>KORNIEJCZUK SANDRA</v>
      </c>
      <c r="D4258" s="1" t="str">
        <f>IFERROR(__xludf.DUMMYFUNCTION("""COMPUTED_VALUE"""),"Lentes de STOCK")</f>
        <v>Lentes de STOCK</v>
      </c>
      <c r="E4258" s="1" t="str">
        <f>IFERROR(__xludf.DUMMYFUNCTION("""COMPUTED_VALUE"""),"ARTIGAS Roció")</f>
        <v>ARTIGAS Roció</v>
      </c>
      <c r="F4258" s="1" t="str">
        <f t="shared" si="1"/>
        <v>ARTIGAS </v>
      </c>
      <c r="G4258" s="1" t="str">
        <f t="shared" si="2"/>
        <v>Roció</v>
      </c>
      <c r="H4258" s="1" t="str">
        <f>IFERROR(__xludf.DUMMYFUNCTION("""COMPUTED_VALUE"""),"5/4/2023, 17:00:00")</f>
        <v>5/4/2023, 17:00:00</v>
      </c>
      <c r="I4258" s="1" t="str">
        <f>IFERROR(__xludf.DUMMYFUNCTION("""COMPUTED_VALUE"""),"RETIRADO OK POR CLIENTE")</f>
        <v>RETIRADO OK POR CLIENTE</v>
      </c>
      <c r="J4258" s="1">
        <f t="shared" si="3"/>
        <v>6</v>
      </c>
      <c r="K4258" s="1" t="str">
        <f t="shared" si="4"/>
        <v>Entregamos tus lentes, que los disfrutes!</v>
      </c>
    </row>
    <row r="4259">
      <c r="A4259" s="1">
        <f>IFERROR(__xludf.DUMMYFUNCTION("""COMPUTED_VALUE"""),88822.0)</f>
        <v>88822</v>
      </c>
      <c r="B4259" s="5">
        <f>IFERROR(__xludf.DUMMYFUNCTION("""COMPUTED_VALUE"""),45013.80744866898)</f>
        <v>45013.80745</v>
      </c>
      <c r="C4259" s="1" t="str">
        <f>IFERROR(__xludf.DUMMYFUNCTION("""COMPUTED_VALUE"""),"RAMIREZ KEVIN ")</f>
        <v>RAMIREZ KEVIN </v>
      </c>
      <c r="D4259" s="1" t="str">
        <f>IFERROR(__xludf.DUMMYFUNCTION("""COMPUTED_VALUE"""),"Lentes de STOCK")</f>
        <v>Lentes de STOCK</v>
      </c>
      <c r="E4259" s="1" t="str">
        <f>IFERROR(__xludf.DUMMYFUNCTION("""COMPUTED_VALUE"""),"RIVADAVIA Luciana")</f>
        <v>RIVADAVIA Luciana</v>
      </c>
      <c r="F4259" s="1" t="str">
        <f t="shared" si="1"/>
        <v>RIVADAVIA </v>
      </c>
      <c r="G4259" s="1" t="str">
        <f t="shared" si="2"/>
        <v>Luciana</v>
      </c>
      <c r="H4259" s="1" t="str">
        <f>IFERROR(__xludf.DUMMYFUNCTION("""COMPUTED_VALUE"""),"4/4/2023, 17:00:00")</f>
        <v>4/4/2023, 17:00:00</v>
      </c>
      <c r="I4259" s="1" t="str">
        <f>IFERROR(__xludf.DUMMYFUNCTION("""COMPUTED_VALUE"""),"RETIRADO OK POR CLIENTE")</f>
        <v>RETIRADO OK POR CLIENTE</v>
      </c>
      <c r="J4259" s="1">
        <f t="shared" si="3"/>
        <v>6</v>
      </c>
      <c r="K4259" s="1" t="str">
        <f t="shared" si="4"/>
        <v>Entregamos tus lentes, que los disfrutes!</v>
      </c>
    </row>
    <row r="4260">
      <c r="A4260" s="1">
        <f>IFERROR(__xludf.DUMMYFUNCTION("""COMPUTED_VALUE"""),88823.0)</f>
        <v>88823</v>
      </c>
      <c r="B4260" s="5">
        <f>IFERROR(__xludf.DUMMYFUNCTION("""COMPUTED_VALUE"""),45013.81212210648)</f>
        <v>45013.81212</v>
      </c>
      <c r="C4260" s="1" t="str">
        <f>IFERROR(__xludf.DUMMYFUNCTION("""COMPUTED_VALUE"""),"GARCIA KATERINE")</f>
        <v>GARCIA KATERINE</v>
      </c>
      <c r="D4260" s="1" t="str">
        <f>IFERROR(__xludf.DUMMYFUNCTION("""COMPUTED_VALUE"""),"Lentes de STOCK")</f>
        <v>Lentes de STOCK</v>
      </c>
      <c r="E4260" s="1" t="str">
        <f>IFERROR(__xludf.DUMMYFUNCTION("""COMPUTED_VALUE"""),"RIVADAVIA Santiago LOPEZ")</f>
        <v>RIVADAVIA Santiago LOPEZ</v>
      </c>
      <c r="F4260" s="1" t="str">
        <f t="shared" si="1"/>
        <v>RIVADAVIA </v>
      </c>
      <c r="G4260" s="1" t="str">
        <f t="shared" si="2"/>
        <v>Santiago LOPEZ</v>
      </c>
      <c r="H4260" s="1" t="str">
        <f>IFERROR(__xludf.DUMMYFUNCTION("""COMPUTED_VALUE"""),"31/3/2023, 17:00:00")</f>
        <v>31/3/2023, 17:00:00</v>
      </c>
      <c r="I4260" s="1" t="str">
        <f>IFERROR(__xludf.DUMMYFUNCTION("""COMPUTED_VALUE"""),"RETIRADO OK POR CLIENTE")</f>
        <v>RETIRADO OK POR CLIENTE</v>
      </c>
      <c r="J4260" s="1">
        <f t="shared" si="3"/>
        <v>6</v>
      </c>
      <c r="K4260" s="1" t="str">
        <f t="shared" si="4"/>
        <v>Entregamos tus lentes, que los disfrutes!</v>
      </c>
    </row>
    <row r="4261">
      <c r="A4261" s="1">
        <f>IFERROR(__xludf.DUMMYFUNCTION("""COMPUTED_VALUE"""),88824.0)</f>
        <v>88824</v>
      </c>
      <c r="B4261" s="5">
        <f>IFERROR(__xludf.DUMMYFUNCTION("""COMPUTED_VALUE"""),45013.813524108795)</f>
        <v>45013.81352</v>
      </c>
      <c r="C4261" s="1" t="str">
        <f>IFERROR(__xludf.DUMMYFUNCTION("""COMPUTED_VALUE"""),"WIMBERGER SOFIA")</f>
        <v>WIMBERGER SOFIA</v>
      </c>
      <c r="D4261" s="1" t="str">
        <f>IFERROR(__xludf.DUMMYFUNCTION("""COMPUTED_VALUE"""),"Lentes de STOCK")</f>
        <v>Lentes de STOCK</v>
      </c>
      <c r="E4261" s="1" t="str">
        <f>IFERROR(__xludf.DUMMYFUNCTION("""COMPUTED_VALUE"""),"ARTIGAS Roció")</f>
        <v>ARTIGAS Roció</v>
      </c>
      <c r="F4261" s="1" t="str">
        <f t="shared" si="1"/>
        <v>ARTIGAS </v>
      </c>
      <c r="G4261" s="1" t="str">
        <f t="shared" si="2"/>
        <v>Roció</v>
      </c>
      <c r="H4261" s="1" t="str">
        <f>IFERROR(__xludf.DUMMYFUNCTION("""COMPUTED_VALUE"""),"30/3/2023, 17:00:00")</f>
        <v>30/3/2023, 17:00:00</v>
      </c>
      <c r="I4261" s="1" t="str">
        <f>IFERROR(__xludf.DUMMYFUNCTION("""COMPUTED_VALUE"""),"Completado en SUCURSAL")</f>
        <v>Completado en SUCURSAL</v>
      </c>
      <c r="J4261" s="1">
        <f t="shared" si="3"/>
        <v>5</v>
      </c>
      <c r="K4261" s="1" t="str">
        <f t="shared" si="4"/>
        <v>Tus Lentes estan LISTAS PARA ENTREGAR, te esperamos.</v>
      </c>
    </row>
    <row r="4262">
      <c r="A4262" s="1">
        <f>IFERROR(__xludf.DUMMYFUNCTION("""COMPUTED_VALUE"""),88825.0)</f>
        <v>88825</v>
      </c>
      <c r="B4262" s="5">
        <f>IFERROR(__xludf.DUMMYFUNCTION("""COMPUTED_VALUE"""),45013.81997336805)</f>
        <v>45013.81997</v>
      </c>
      <c r="C4262" s="1" t="str">
        <f>IFERROR(__xludf.DUMMYFUNCTION("""COMPUTED_VALUE"""),"FLORES FRANCISCO")</f>
        <v>FLORES FRANCISCO</v>
      </c>
      <c r="D4262" s="1" t="str">
        <f>IFERROR(__xludf.DUMMYFUNCTION("""COMPUTED_VALUE"""),"Lentes de STOCK")</f>
        <v>Lentes de STOCK</v>
      </c>
      <c r="E4262" s="1" t="str">
        <f>IFERROR(__xludf.DUMMYFUNCTION("""COMPUTED_VALUE"""),"RIVADAVIA Santiago LOPEZ")</f>
        <v>RIVADAVIA Santiago LOPEZ</v>
      </c>
      <c r="F4262" s="1" t="str">
        <f t="shared" si="1"/>
        <v>RIVADAVIA </v>
      </c>
      <c r="G4262" s="1" t="str">
        <f t="shared" si="2"/>
        <v>Santiago LOPEZ</v>
      </c>
      <c r="H4262" s="1" t="str">
        <f>IFERROR(__xludf.DUMMYFUNCTION("""COMPUTED_VALUE"""),"31/3/2023, 17:00:00")</f>
        <v>31/3/2023, 17:00:00</v>
      </c>
      <c r="I4262" s="1" t="str">
        <f>IFERROR(__xludf.DUMMYFUNCTION("""COMPUTED_VALUE"""),"RETIRADO OK POR CLIENTE")</f>
        <v>RETIRADO OK POR CLIENTE</v>
      </c>
      <c r="J4262" s="1">
        <f t="shared" si="3"/>
        <v>6</v>
      </c>
      <c r="K4262" s="1" t="str">
        <f t="shared" si="4"/>
        <v>Entregamos tus lentes, que los disfrutes!</v>
      </c>
    </row>
    <row r="4263">
      <c r="A4263" s="1">
        <f>IFERROR(__xludf.DUMMYFUNCTION("""COMPUTED_VALUE"""),88826.0)</f>
        <v>88826</v>
      </c>
      <c r="B4263" s="5">
        <f>IFERROR(__xludf.DUMMYFUNCTION("""COMPUTED_VALUE"""),45013.82298049769)</f>
        <v>45013.82298</v>
      </c>
      <c r="C4263" s="1" t="str">
        <f>IFERROR(__xludf.DUMMYFUNCTION("""COMPUTED_VALUE"""),"WOICIK FEDERICO")</f>
        <v>WOICIK FEDERICO</v>
      </c>
      <c r="D4263" s="1" t="str">
        <f>IFERROR(__xludf.DUMMYFUNCTION("""COMPUTED_VALUE"""),"Lentes de STOCK")</f>
        <v>Lentes de STOCK</v>
      </c>
      <c r="E4263" s="1" t="str">
        <f>IFERROR(__xludf.DUMMYFUNCTION("""COMPUTED_VALUE"""),"ARTIGAS Roció")</f>
        <v>ARTIGAS Roció</v>
      </c>
      <c r="F4263" s="1" t="str">
        <f t="shared" si="1"/>
        <v>ARTIGAS </v>
      </c>
      <c r="G4263" s="1" t="str">
        <f t="shared" si="2"/>
        <v>Roció</v>
      </c>
      <c r="H4263" s="1" t="str">
        <f>IFERROR(__xludf.DUMMYFUNCTION("""COMPUTED_VALUE"""),"5/4/2023, 17:00:00")</f>
        <v>5/4/2023, 17:00:00</v>
      </c>
      <c r="I4263" s="1" t="str">
        <f>IFERROR(__xludf.DUMMYFUNCTION("""COMPUTED_VALUE"""),"Completado en SUCURSAL")</f>
        <v>Completado en SUCURSAL</v>
      </c>
      <c r="J4263" s="1">
        <f t="shared" si="3"/>
        <v>5</v>
      </c>
      <c r="K4263" s="1" t="str">
        <f t="shared" si="4"/>
        <v>Tus Lentes estan LISTAS PARA ENTREGAR, te esperamos.</v>
      </c>
    </row>
    <row r="4264">
      <c r="A4264" s="1">
        <f>IFERROR(__xludf.DUMMYFUNCTION("""COMPUTED_VALUE"""),88827.0)</f>
        <v>88827</v>
      </c>
      <c r="B4264" s="5">
        <f>IFERROR(__xludf.DUMMYFUNCTION("""COMPUTED_VALUE"""),45013.82388365741)</f>
        <v>45013.82388</v>
      </c>
      <c r="C4264" s="1" t="str">
        <f>IFERROR(__xludf.DUMMYFUNCTION("""COMPUTED_VALUE"""),"rua ana beatriz")</f>
        <v>rua ana beatriz</v>
      </c>
      <c r="D4264" s="1" t="str">
        <f>IFERROR(__xludf.DUMMYFUNCTION("""COMPUTED_VALUE"""),"Lentes MULTIFOCALES")</f>
        <v>Lentes MULTIFOCALES</v>
      </c>
      <c r="E4264" s="1" t="str">
        <f>IFERROR(__xludf.DUMMYFUNCTION("""COMPUTED_VALUE"""),"RIVADAVIA Santiago N")</f>
        <v>RIVADAVIA Santiago N</v>
      </c>
      <c r="F4264" s="1" t="str">
        <f t="shared" si="1"/>
        <v>RIVADAVIA </v>
      </c>
      <c r="G4264" s="1" t="str">
        <f t="shared" si="2"/>
        <v>Santiago N</v>
      </c>
      <c r="H4264" s="1" t="str">
        <f>IFERROR(__xludf.DUMMYFUNCTION("""COMPUTED_VALUE"""),"10/4/2023, 17:00:00")</f>
        <v>10/4/2023, 17:00:00</v>
      </c>
      <c r="I4264" s="1" t="str">
        <f>IFERROR(__xludf.DUMMYFUNCTION("""COMPUTED_VALUE"""),"Completado en SUCURSAL")</f>
        <v>Completado en SUCURSAL</v>
      </c>
      <c r="J4264" s="1">
        <f t="shared" si="3"/>
        <v>5</v>
      </c>
      <c r="K4264" s="1" t="str">
        <f t="shared" si="4"/>
        <v>Tus Lentes estan LISTAS PARA ENTREGAR, te esperamos.</v>
      </c>
    </row>
    <row r="4265">
      <c r="A4265" s="1">
        <f>IFERROR(__xludf.DUMMYFUNCTION("""COMPUTED_VALUE"""),88828.0)</f>
        <v>88828</v>
      </c>
      <c r="B4265" s="5">
        <f>IFERROR(__xludf.DUMMYFUNCTION("""COMPUTED_VALUE"""),45013.836740659724)</f>
        <v>45013.83674</v>
      </c>
      <c r="C4265" s="1" t="str">
        <f>IFERROR(__xludf.DUMMYFUNCTION("""COMPUTED_VALUE"""),"OLMOS NORMA ")</f>
        <v>OLMOS NORMA </v>
      </c>
      <c r="D4265" s="1" t="str">
        <f>IFERROR(__xludf.DUMMYFUNCTION("""COMPUTED_VALUE"""),"Lentes de STOCK")</f>
        <v>Lentes de STOCK</v>
      </c>
      <c r="E4265" s="1" t="str">
        <f>IFERROR(__xludf.DUMMYFUNCTION("""COMPUTED_VALUE"""),"RIVADAVIA Christian C.")</f>
        <v>RIVADAVIA Christian C.</v>
      </c>
      <c r="F4265" s="1" t="str">
        <f t="shared" si="1"/>
        <v>RIVADAVIA </v>
      </c>
      <c r="G4265" s="1" t="str">
        <f t="shared" si="2"/>
        <v>Christian C.</v>
      </c>
      <c r="H4265" s="1" t="str">
        <f>IFERROR(__xludf.DUMMYFUNCTION("""COMPUTED_VALUE"""),"5/4/2023, 17:00:00")</f>
        <v>5/4/2023, 17:00:00</v>
      </c>
      <c r="I4265" s="1" t="str">
        <f>IFERROR(__xludf.DUMMYFUNCTION("""COMPUTED_VALUE"""),"Completado en SUCURSAL")</f>
        <v>Completado en SUCURSAL</v>
      </c>
      <c r="J4265" s="1">
        <f t="shared" si="3"/>
        <v>5</v>
      </c>
      <c r="K4265" s="1" t="str">
        <f t="shared" si="4"/>
        <v>Tus Lentes estan LISTAS PARA ENTREGAR, te esperamos.</v>
      </c>
    </row>
    <row r="4266">
      <c r="A4266" s="1">
        <f>IFERROR(__xludf.DUMMYFUNCTION("""COMPUTED_VALUE"""),88829.0)</f>
        <v>88829</v>
      </c>
      <c r="B4266" s="5">
        <f>IFERROR(__xludf.DUMMYFUNCTION("""COMPUTED_VALUE"""),45013.83802836806)</f>
        <v>45013.83803</v>
      </c>
      <c r="C4266" s="1" t="str">
        <f>IFERROR(__xludf.DUMMYFUNCTION("""COMPUTED_VALUE"""),"QUIROGA CARRIZO ALDANA")</f>
        <v>QUIROGA CARRIZO ALDANA</v>
      </c>
      <c r="D4266" s="1" t="str">
        <f>IFERROR(__xludf.DUMMYFUNCTION("""COMPUTED_VALUE"""),"Lentes de STOCK")</f>
        <v>Lentes de STOCK</v>
      </c>
      <c r="E4266" s="1" t="str">
        <f>IFERROR(__xludf.DUMMYFUNCTION("""COMPUTED_VALUE"""),"RIVADAVIA Santiago LOPEZ")</f>
        <v>RIVADAVIA Santiago LOPEZ</v>
      </c>
      <c r="F4266" s="1" t="str">
        <f t="shared" si="1"/>
        <v>RIVADAVIA </v>
      </c>
      <c r="G4266" s="1" t="str">
        <f t="shared" si="2"/>
        <v>Santiago LOPEZ</v>
      </c>
      <c r="H4266" s="1" t="str">
        <f>IFERROR(__xludf.DUMMYFUNCTION("""COMPUTED_VALUE"""),"31/3/2023, 17:00:00")</f>
        <v>31/3/2023, 17:00:00</v>
      </c>
      <c r="I4266" s="1" t="str">
        <f>IFERROR(__xludf.DUMMYFUNCTION("""COMPUTED_VALUE"""),"RETIRADO OK POR CLIENTE")</f>
        <v>RETIRADO OK POR CLIENTE</v>
      </c>
      <c r="J4266" s="1">
        <f t="shared" si="3"/>
        <v>6</v>
      </c>
      <c r="K4266" s="1" t="str">
        <f t="shared" si="4"/>
        <v>Entregamos tus lentes, que los disfrutes!</v>
      </c>
    </row>
    <row r="4267">
      <c r="A4267" s="1">
        <f>IFERROR(__xludf.DUMMYFUNCTION("""COMPUTED_VALUE"""),88830.0)</f>
        <v>88830</v>
      </c>
      <c r="B4267" s="5">
        <f>IFERROR(__xludf.DUMMYFUNCTION("""COMPUTED_VALUE"""),45013.84873262732)</f>
        <v>45013.84873</v>
      </c>
      <c r="C4267" s="1" t="str">
        <f>IFERROR(__xludf.DUMMYFUNCTION("""COMPUTED_VALUE"""),"CHOCR LEYLA")</f>
        <v>CHOCR LEYLA</v>
      </c>
      <c r="D4267" s="1" t="str">
        <f>IFERROR(__xludf.DUMMYFUNCTION("""COMPUTED_VALUE"""),"Lentes de STOCK")</f>
        <v>Lentes de STOCK</v>
      </c>
      <c r="E4267" s="1" t="str">
        <f>IFERROR(__xludf.DUMMYFUNCTION("""COMPUTED_VALUE"""),"RIVADAVIA Luciana")</f>
        <v>RIVADAVIA Luciana</v>
      </c>
      <c r="F4267" s="1" t="str">
        <f t="shared" si="1"/>
        <v>RIVADAVIA </v>
      </c>
      <c r="G4267" s="1" t="str">
        <f t="shared" si="2"/>
        <v>Luciana</v>
      </c>
      <c r="H4267" s="1" t="str">
        <f>IFERROR(__xludf.DUMMYFUNCTION("""COMPUTED_VALUE"""),"4/4/2023, 17:00:00")</f>
        <v>4/4/2023, 17:00:00</v>
      </c>
      <c r="I4267" s="1" t="str">
        <f>IFERROR(__xludf.DUMMYFUNCTION("""COMPUTED_VALUE"""),"Completado en SUCURSAL")</f>
        <v>Completado en SUCURSAL</v>
      </c>
      <c r="J4267" s="1">
        <f t="shared" si="3"/>
        <v>5</v>
      </c>
      <c r="K4267" s="1" t="str">
        <f t="shared" si="4"/>
        <v>Tus Lentes estan LISTAS PARA ENTREGAR, te esperamos.</v>
      </c>
    </row>
    <row r="4268">
      <c r="A4268" s="1">
        <f>IFERROR(__xludf.DUMMYFUNCTION("""COMPUTED_VALUE"""),88831.0)</f>
        <v>88831</v>
      </c>
      <c r="B4268" s="5">
        <f>IFERROR(__xludf.DUMMYFUNCTION("""COMPUTED_VALUE"""),45014.31031587963)</f>
        <v>45014.31032</v>
      </c>
      <c r="C4268" s="1" t="str">
        <f>IFERROR(__xludf.DUMMYFUNCTION("""COMPUTED_VALUE"""),"CACERES MONARDEZ ABELARDO JORGE (PROGRAMA MEDICINA DEL INTERIOR GOB)")</f>
        <v>CACERES MONARDEZ ABELARDO JORGE (PROGRAMA MEDICINA DEL INTERIOR GOB)</v>
      </c>
      <c r="D4268" s="1" t="str">
        <f>IFERROR(__xludf.DUMMYFUNCTION("""COMPUTED_VALUE"""),"Lentes de STOCK")</f>
        <v>Lentes de STOCK</v>
      </c>
      <c r="E4268" s="1" t="str">
        <f>IFERROR(__xludf.DUMMYFUNCTION("""COMPUTED_VALUE"""),"Online ADMIN.")</f>
        <v>Online ADMIN.</v>
      </c>
      <c r="F4268" s="1" t="str">
        <f t="shared" si="1"/>
        <v>Online </v>
      </c>
      <c r="G4268" s="1" t="str">
        <f t="shared" si="2"/>
        <v>ADMIN.</v>
      </c>
      <c r="H4268" s="1" t="str">
        <f>IFERROR(__xludf.DUMMYFUNCTION("""COMPUTED_VALUE"""),"31/3/2023, 17:00:00")</f>
        <v>31/3/2023, 17:00:00</v>
      </c>
      <c r="I4268" s="1" t="str">
        <f>IFERROR(__xludf.DUMMYFUNCTION("""COMPUTED_VALUE"""),"Recibido en Laboratorio")</f>
        <v>Recibido en Laboratorio</v>
      </c>
      <c r="J4268" s="1">
        <f t="shared" si="3"/>
        <v>2</v>
      </c>
      <c r="K4268" s="1" t="str">
        <f t="shared" si="4"/>
        <v>Nuestro Laboratorio esta trabajando en tus lentes, los entregaremos en la fecha acordada.</v>
      </c>
    </row>
    <row r="4269">
      <c r="A4269" s="1">
        <f>IFERROR(__xludf.DUMMYFUNCTION("""COMPUTED_VALUE"""),88832.0)</f>
        <v>88832</v>
      </c>
      <c r="B4269" s="5">
        <f>IFERROR(__xludf.DUMMYFUNCTION("""COMPUTED_VALUE"""),45014.31145954861)</f>
        <v>45014.31146</v>
      </c>
      <c r="C4269" s="1" t="str">
        <f>IFERROR(__xludf.DUMMYFUNCTION("""COMPUTED_VALUE"""),"TORRES ANALIA  (PROGRAMA MEDICINA DEL INTERIOR GOB)")</f>
        <v>TORRES ANALIA  (PROGRAMA MEDICINA DEL INTERIOR GOB)</v>
      </c>
      <c r="D4269" s="1" t="str">
        <f>IFERROR(__xludf.DUMMYFUNCTION("""COMPUTED_VALUE"""),"Lentes de STOCK")</f>
        <v>Lentes de STOCK</v>
      </c>
      <c r="E4269" s="1" t="str">
        <f>IFERROR(__xludf.DUMMYFUNCTION("""COMPUTED_VALUE"""),"Online ADMIN.")</f>
        <v>Online ADMIN.</v>
      </c>
      <c r="F4269" s="1" t="str">
        <f t="shared" si="1"/>
        <v>Online </v>
      </c>
      <c r="G4269" s="1" t="str">
        <f t="shared" si="2"/>
        <v>ADMIN.</v>
      </c>
      <c r="H4269" s="1" t="str">
        <f>IFERROR(__xludf.DUMMYFUNCTION("""COMPUTED_VALUE"""),"31/3/2023, 17:00:00")</f>
        <v>31/3/2023, 17:00:00</v>
      </c>
      <c r="I4269" s="1" t="str">
        <f>IFERROR(__xludf.DUMMYFUNCTION("""COMPUTED_VALUE"""),"Recibido en Laboratorio")</f>
        <v>Recibido en Laboratorio</v>
      </c>
      <c r="J4269" s="1">
        <f t="shared" si="3"/>
        <v>2</v>
      </c>
      <c r="K4269" s="1" t="str">
        <f t="shared" si="4"/>
        <v>Nuestro Laboratorio esta trabajando en tus lentes, los entregaremos en la fecha acordada.</v>
      </c>
    </row>
    <row r="4270">
      <c r="A4270" s="1">
        <f>IFERROR(__xludf.DUMMYFUNCTION("""COMPUTED_VALUE"""),88833.0)</f>
        <v>88833</v>
      </c>
      <c r="B4270" s="5">
        <f>IFERROR(__xludf.DUMMYFUNCTION("""COMPUTED_VALUE"""),45014.313064675924)</f>
        <v>45014.31306</v>
      </c>
      <c r="C4270" s="1" t="str">
        <f>IFERROR(__xludf.DUMMYFUNCTION("""COMPUTED_VALUE"""),"MARTINEZ MARTA ELENA (PROGRAMA MEDICINA DEL INTERIOR GOB)")</f>
        <v>MARTINEZ MARTA ELENA (PROGRAMA MEDICINA DEL INTERIOR GOB)</v>
      </c>
      <c r="D4270" s="1" t="str">
        <f>IFERROR(__xludf.DUMMYFUNCTION("""COMPUTED_VALUE"""),"Lentes de STOCK")</f>
        <v>Lentes de STOCK</v>
      </c>
      <c r="E4270" s="1" t="str">
        <f>IFERROR(__xludf.DUMMYFUNCTION("""COMPUTED_VALUE"""),"Online ADMIN.")</f>
        <v>Online ADMIN.</v>
      </c>
      <c r="F4270" s="1" t="str">
        <f t="shared" si="1"/>
        <v>Online </v>
      </c>
      <c r="G4270" s="1" t="str">
        <f t="shared" si="2"/>
        <v>ADMIN.</v>
      </c>
      <c r="H4270" s="1" t="str">
        <f>IFERROR(__xludf.DUMMYFUNCTION("""COMPUTED_VALUE"""),"31/3/2023, 17:00:00")</f>
        <v>31/3/2023, 17:00:00</v>
      </c>
      <c r="I4270" s="1" t="str">
        <f>IFERROR(__xludf.DUMMYFUNCTION("""COMPUTED_VALUE"""),"Recibido en Laboratorio")</f>
        <v>Recibido en Laboratorio</v>
      </c>
      <c r="J4270" s="1">
        <f t="shared" si="3"/>
        <v>2</v>
      </c>
      <c r="K4270" s="1" t="str">
        <f t="shared" si="4"/>
        <v>Nuestro Laboratorio esta trabajando en tus lentes, los entregaremos en la fecha acordada.</v>
      </c>
    </row>
    <row r="4271">
      <c r="A4271" s="1">
        <f>IFERROR(__xludf.DUMMYFUNCTION("""COMPUTED_VALUE"""),88834.0)</f>
        <v>88834</v>
      </c>
      <c r="B4271" s="5">
        <f>IFERROR(__xludf.DUMMYFUNCTION("""COMPUTED_VALUE"""),45014.31406577546)</f>
        <v>45014.31407</v>
      </c>
      <c r="C4271" s="1" t="str">
        <f>IFERROR(__xludf.DUMMYFUNCTION("""COMPUTED_VALUE"""),"MUÑOZ ANDREA SILVINA (PROGRAMA MEDICINA DEL INTERIOR GOB)")</f>
        <v>MUÑOZ ANDREA SILVINA (PROGRAMA MEDICINA DEL INTERIOR GOB)</v>
      </c>
      <c r="D4271" s="1" t="str">
        <f>IFERROR(__xludf.DUMMYFUNCTION("""COMPUTED_VALUE"""),"Lentes de STOCK")</f>
        <v>Lentes de STOCK</v>
      </c>
      <c r="E4271" s="1" t="str">
        <f>IFERROR(__xludf.DUMMYFUNCTION("""COMPUTED_VALUE"""),"Online ADMIN.")</f>
        <v>Online ADMIN.</v>
      </c>
      <c r="F4271" s="1" t="str">
        <f t="shared" si="1"/>
        <v>Online </v>
      </c>
      <c r="G4271" s="1" t="str">
        <f t="shared" si="2"/>
        <v>ADMIN.</v>
      </c>
      <c r="H4271" s="1" t="str">
        <f>IFERROR(__xludf.DUMMYFUNCTION("""COMPUTED_VALUE"""),"31/3/2023, 17:00:00")</f>
        <v>31/3/2023, 17:00:00</v>
      </c>
      <c r="I4271" s="1" t="str">
        <f>IFERROR(__xludf.DUMMYFUNCTION("""COMPUTED_VALUE"""),"Completado en SUCURSAL")</f>
        <v>Completado en SUCURSAL</v>
      </c>
      <c r="J4271" s="1">
        <f t="shared" si="3"/>
        <v>5</v>
      </c>
      <c r="K4271" s="1" t="str">
        <f t="shared" si="4"/>
        <v>Tus Lentes estan LISTAS PARA ENTREGAR, te esperamos.</v>
      </c>
    </row>
    <row r="4272">
      <c r="A4272" s="1">
        <f>IFERROR(__xludf.DUMMYFUNCTION("""COMPUTED_VALUE"""),88835.0)</f>
        <v>88835</v>
      </c>
      <c r="B4272" s="5">
        <f>IFERROR(__xludf.DUMMYFUNCTION("""COMPUTED_VALUE"""),45014.3146878125)</f>
        <v>45014.31469</v>
      </c>
      <c r="C4272" s="1" t="str">
        <f>IFERROR(__xludf.DUMMYFUNCTION("""COMPUTED_VALUE"""),"LOPEZ PATRICIA NOEMI (PROGRAMA MEDICINA DEL INTERIOR GOB)")</f>
        <v>LOPEZ PATRICIA NOEMI (PROGRAMA MEDICINA DEL INTERIOR GOB)</v>
      </c>
      <c r="D4272" s="1" t="str">
        <f>IFERROR(__xludf.DUMMYFUNCTION("""COMPUTED_VALUE"""),"Lentes de STOCK")</f>
        <v>Lentes de STOCK</v>
      </c>
      <c r="E4272" s="1" t="str">
        <f>IFERROR(__xludf.DUMMYFUNCTION("""COMPUTED_VALUE"""),"Online ADMIN.")</f>
        <v>Online ADMIN.</v>
      </c>
      <c r="F4272" s="1" t="str">
        <f t="shared" si="1"/>
        <v>Online </v>
      </c>
      <c r="G4272" s="1" t="str">
        <f t="shared" si="2"/>
        <v>ADMIN.</v>
      </c>
      <c r="H4272" s="1" t="str">
        <f>IFERROR(__xludf.DUMMYFUNCTION("""COMPUTED_VALUE"""),"31/3/2023, 17:00:00")</f>
        <v>31/3/2023, 17:00:00</v>
      </c>
      <c r="I4272" s="1" t="str">
        <f>IFERROR(__xludf.DUMMYFUNCTION("""COMPUTED_VALUE"""),"Recibido en Laboratorio")</f>
        <v>Recibido en Laboratorio</v>
      </c>
      <c r="J4272" s="1">
        <f t="shared" si="3"/>
        <v>2</v>
      </c>
      <c r="K4272" s="1" t="str">
        <f t="shared" si="4"/>
        <v>Nuestro Laboratorio esta trabajando en tus lentes, los entregaremos en la fecha acordada.</v>
      </c>
    </row>
    <row r="4273">
      <c r="A4273" s="1">
        <f>IFERROR(__xludf.DUMMYFUNCTION("""COMPUTED_VALUE"""),88836.0)</f>
        <v>88836</v>
      </c>
      <c r="B4273" s="5">
        <f>IFERROR(__xludf.DUMMYFUNCTION("""COMPUTED_VALUE"""),45014.31568222222)</f>
        <v>45014.31568</v>
      </c>
      <c r="C4273" s="1" t="str">
        <f>IFERROR(__xludf.DUMMYFUNCTION("""COMPUTED_VALUE"""),"GRUGNALETTI MABEL ESTELA (PROGRAMA MEDICINA DEL INTERIOR GOB)")</f>
        <v>GRUGNALETTI MABEL ESTELA (PROGRAMA MEDICINA DEL INTERIOR GOB)</v>
      </c>
      <c r="D4273" s="1" t="str">
        <f>IFERROR(__xludf.DUMMYFUNCTION("""COMPUTED_VALUE"""),"Lentes de STOCK")</f>
        <v>Lentes de STOCK</v>
      </c>
      <c r="E4273" s="1" t="str">
        <f>IFERROR(__xludf.DUMMYFUNCTION("""COMPUTED_VALUE"""),"Online ADMIN.")</f>
        <v>Online ADMIN.</v>
      </c>
      <c r="F4273" s="1" t="str">
        <f t="shared" si="1"/>
        <v>Online </v>
      </c>
      <c r="G4273" s="1" t="str">
        <f t="shared" si="2"/>
        <v>ADMIN.</v>
      </c>
      <c r="H4273" s="1" t="str">
        <f>IFERROR(__xludf.DUMMYFUNCTION("""COMPUTED_VALUE"""),"31/3/2023, 17:00:00")</f>
        <v>31/3/2023, 17:00:00</v>
      </c>
      <c r="I4273" s="1" t="str">
        <f>IFERROR(__xludf.DUMMYFUNCTION("""COMPUTED_VALUE"""),"Completado en SUCURSAL")</f>
        <v>Completado en SUCURSAL</v>
      </c>
      <c r="J4273" s="1">
        <f t="shared" si="3"/>
        <v>5</v>
      </c>
      <c r="K4273" s="1" t="str">
        <f t="shared" si="4"/>
        <v>Tus Lentes estan LISTAS PARA ENTREGAR, te esperamos.</v>
      </c>
    </row>
    <row r="4274">
      <c r="A4274" s="1">
        <f>IFERROR(__xludf.DUMMYFUNCTION("""COMPUTED_VALUE"""),88837.0)</f>
        <v>88837</v>
      </c>
      <c r="B4274" s="5">
        <f>IFERROR(__xludf.DUMMYFUNCTION("""COMPUTED_VALUE"""),45014.31628934028)</f>
        <v>45014.31629</v>
      </c>
      <c r="C4274" s="1" t="str">
        <f>IFERROR(__xludf.DUMMYFUNCTION("""COMPUTED_VALUE"""),"GARAY BLANCA ANTONIA (PROGRAMA MEDICINA DEL INTERIOR GOB)")</f>
        <v>GARAY BLANCA ANTONIA (PROGRAMA MEDICINA DEL INTERIOR GOB)</v>
      </c>
      <c r="D4274" s="1" t="str">
        <f>IFERROR(__xludf.DUMMYFUNCTION("""COMPUTED_VALUE"""),"Lentes de STOCK")</f>
        <v>Lentes de STOCK</v>
      </c>
      <c r="E4274" s="1" t="str">
        <f>IFERROR(__xludf.DUMMYFUNCTION("""COMPUTED_VALUE"""),"Online ADMIN.")</f>
        <v>Online ADMIN.</v>
      </c>
      <c r="F4274" s="1" t="str">
        <f t="shared" si="1"/>
        <v>Online </v>
      </c>
      <c r="G4274" s="1" t="str">
        <f t="shared" si="2"/>
        <v>ADMIN.</v>
      </c>
      <c r="H4274" s="1" t="str">
        <f>IFERROR(__xludf.DUMMYFUNCTION("""COMPUTED_VALUE"""),"31/3/2023, 17:00:00")</f>
        <v>31/3/2023, 17:00:00</v>
      </c>
      <c r="I4274" s="1" t="str">
        <f>IFERROR(__xludf.DUMMYFUNCTION("""COMPUTED_VALUE"""),"Recibido en Laboratorio")</f>
        <v>Recibido en Laboratorio</v>
      </c>
      <c r="J4274" s="1">
        <f t="shared" si="3"/>
        <v>2</v>
      </c>
      <c r="K4274" s="1" t="str">
        <f t="shared" si="4"/>
        <v>Nuestro Laboratorio esta trabajando en tus lentes, los entregaremos en la fecha acordada.</v>
      </c>
    </row>
    <row r="4275">
      <c r="A4275" s="1">
        <f>IFERROR(__xludf.DUMMYFUNCTION("""COMPUTED_VALUE"""),88838.0)</f>
        <v>88838</v>
      </c>
      <c r="B4275" s="5">
        <f>IFERROR(__xludf.DUMMYFUNCTION("""COMPUTED_VALUE"""),45014.31701219907)</f>
        <v>45014.31701</v>
      </c>
      <c r="C4275" s="1" t="str">
        <f>IFERROR(__xludf.DUMMYFUNCTION("""COMPUTED_VALUE"""),"FUNES NANCY ELIZABETH  (PROGRAMA MEDICINA DEL INTERIOR GOB)")</f>
        <v>FUNES NANCY ELIZABETH  (PROGRAMA MEDICINA DEL INTERIOR GOB)</v>
      </c>
      <c r="D4275" s="1" t="str">
        <f>IFERROR(__xludf.DUMMYFUNCTION("""COMPUTED_VALUE"""),"Lentes de STOCK")</f>
        <v>Lentes de STOCK</v>
      </c>
      <c r="E4275" s="1" t="str">
        <f>IFERROR(__xludf.DUMMYFUNCTION("""COMPUTED_VALUE"""),"Online ADMIN.")</f>
        <v>Online ADMIN.</v>
      </c>
      <c r="F4275" s="1" t="str">
        <f t="shared" si="1"/>
        <v>Online </v>
      </c>
      <c r="G4275" s="1" t="str">
        <f t="shared" si="2"/>
        <v>ADMIN.</v>
      </c>
      <c r="H4275" s="1" t="str">
        <f>IFERROR(__xludf.DUMMYFUNCTION("""COMPUTED_VALUE"""),"31/3/2023, 17:00:00")</f>
        <v>31/3/2023, 17:00:00</v>
      </c>
      <c r="I4275" s="1" t="str">
        <f>IFERROR(__xludf.DUMMYFUNCTION("""COMPUTED_VALUE"""),"Recibido en Laboratorio")</f>
        <v>Recibido en Laboratorio</v>
      </c>
      <c r="J4275" s="1">
        <f t="shared" si="3"/>
        <v>2</v>
      </c>
      <c r="K4275" s="1" t="str">
        <f t="shared" si="4"/>
        <v>Nuestro Laboratorio esta trabajando en tus lentes, los entregaremos en la fecha acordada.</v>
      </c>
    </row>
    <row r="4276">
      <c r="A4276" s="1">
        <f>IFERROR(__xludf.DUMMYFUNCTION("""COMPUTED_VALUE"""),88839.0)</f>
        <v>88839</v>
      </c>
      <c r="B4276" s="5">
        <f>IFERROR(__xludf.DUMMYFUNCTION("""COMPUTED_VALUE"""),45014.317801921294)</f>
        <v>45014.3178</v>
      </c>
      <c r="C4276" s="1" t="str">
        <f>IFERROR(__xludf.DUMMYFUNCTION("""COMPUTED_VALUE"""),"BARRERA NUBIA MILAGRO (PROGRAMA MEDICINA DEL INTERIOR GOB)")</f>
        <v>BARRERA NUBIA MILAGRO (PROGRAMA MEDICINA DEL INTERIOR GOB)</v>
      </c>
      <c r="D4276" s="1" t="str">
        <f>IFERROR(__xludf.DUMMYFUNCTION("""COMPUTED_VALUE"""),"Lentes de STOCK")</f>
        <v>Lentes de STOCK</v>
      </c>
      <c r="E4276" s="1" t="str">
        <f>IFERROR(__xludf.DUMMYFUNCTION("""COMPUTED_VALUE"""),"Online ADMIN.")</f>
        <v>Online ADMIN.</v>
      </c>
      <c r="F4276" s="1" t="str">
        <f t="shared" si="1"/>
        <v>Online </v>
      </c>
      <c r="G4276" s="1" t="str">
        <f t="shared" si="2"/>
        <v>ADMIN.</v>
      </c>
      <c r="H4276" s="1" t="str">
        <f>IFERROR(__xludf.DUMMYFUNCTION("""COMPUTED_VALUE"""),"31/3/2023, 17:00:00")</f>
        <v>31/3/2023, 17:00:00</v>
      </c>
      <c r="I4276" s="1" t="str">
        <f>IFERROR(__xludf.DUMMYFUNCTION("""COMPUTED_VALUE"""),"Recibido en Laboratorio")</f>
        <v>Recibido en Laboratorio</v>
      </c>
      <c r="J4276" s="1">
        <f t="shared" si="3"/>
        <v>2</v>
      </c>
      <c r="K4276" s="1" t="str">
        <f t="shared" si="4"/>
        <v>Nuestro Laboratorio esta trabajando en tus lentes, los entregaremos en la fecha acordada.</v>
      </c>
    </row>
    <row r="4277">
      <c r="A4277" s="1">
        <f>IFERROR(__xludf.DUMMYFUNCTION("""COMPUTED_VALUE"""),88840.0)</f>
        <v>88840</v>
      </c>
      <c r="B4277" s="5">
        <f>IFERROR(__xludf.DUMMYFUNCTION("""COMPUTED_VALUE"""),45014.3197280787)</f>
        <v>45014.31973</v>
      </c>
      <c r="C4277" s="1" t="str">
        <f>IFERROR(__xludf.DUMMYFUNCTION("""COMPUTED_VALUE"""),"OROZCO IGNACIO GABRIEL (PROGRAMA MEDICINA DEL INTERIOR GOB)")</f>
        <v>OROZCO IGNACIO GABRIEL (PROGRAMA MEDICINA DEL INTERIOR GOB)</v>
      </c>
      <c r="D4277" s="1" t="str">
        <f>IFERROR(__xludf.DUMMYFUNCTION("""COMPUTED_VALUE"""),"Lentes de LABORATORIO")</f>
        <v>Lentes de LABORATORIO</v>
      </c>
      <c r="E4277" s="1" t="str">
        <f>IFERROR(__xludf.DUMMYFUNCTION("""COMPUTED_VALUE"""),"Online ADMIN.")</f>
        <v>Online ADMIN.</v>
      </c>
      <c r="F4277" s="1" t="str">
        <f t="shared" si="1"/>
        <v>Online </v>
      </c>
      <c r="G4277" s="1" t="str">
        <f t="shared" si="2"/>
        <v>ADMIN.</v>
      </c>
      <c r="H4277" s="1" t="str">
        <f>IFERROR(__xludf.DUMMYFUNCTION("""COMPUTED_VALUE"""),"5/4/2023, 17:00:00")</f>
        <v>5/4/2023, 17:00:00</v>
      </c>
      <c r="I4277" s="1"/>
      <c r="J4277" s="1">
        <f t="shared" si="3"/>
        <v>0</v>
      </c>
      <c r="K4277" s="1" t="str">
        <f t="shared" si="4"/>
        <v/>
      </c>
    </row>
    <row r="4278">
      <c r="A4278" s="1">
        <f>IFERROR(__xludf.DUMMYFUNCTION("""COMPUTED_VALUE"""),88841.0)</f>
        <v>88841</v>
      </c>
      <c r="B4278" s="5">
        <f>IFERROR(__xludf.DUMMYFUNCTION("""COMPUTED_VALUE"""),45014.3837528588)</f>
        <v>45014.38375</v>
      </c>
      <c r="C4278" s="1" t="str">
        <f>IFERROR(__xludf.DUMMYFUNCTION("""COMPUTED_VALUE"""),"GUIÑAZU MARTINA")</f>
        <v>GUIÑAZU MARTINA</v>
      </c>
      <c r="D4278" s="1" t="str">
        <f>IFERROR(__xludf.DUMMYFUNCTION("""COMPUTED_VALUE"""),"Lentes de STOCK")</f>
        <v>Lentes de STOCK</v>
      </c>
      <c r="E4278" s="1" t="str">
        <f>IFERROR(__xludf.DUMMYFUNCTION("""COMPUTED_VALUE"""),"ARTIGAS Ivana P.")</f>
        <v>ARTIGAS Ivana P.</v>
      </c>
      <c r="F4278" s="1" t="str">
        <f t="shared" si="1"/>
        <v>ARTIGAS </v>
      </c>
      <c r="G4278" s="1" t="str">
        <f t="shared" si="2"/>
        <v>Ivana P.</v>
      </c>
      <c r="H4278" s="1" t="str">
        <f>IFERROR(__xludf.DUMMYFUNCTION("""COMPUTED_VALUE"""),"4/4/2023, 17:00:00")</f>
        <v>4/4/2023, 17:00:00</v>
      </c>
      <c r="I4278" s="1" t="str">
        <f>IFERROR(__xludf.DUMMYFUNCTION("""COMPUTED_VALUE"""),"RETIRADO OK POR CLIENTE")</f>
        <v>RETIRADO OK POR CLIENTE</v>
      </c>
      <c r="J4278" s="1">
        <f t="shared" si="3"/>
        <v>6</v>
      </c>
      <c r="K4278" s="1" t="str">
        <f t="shared" si="4"/>
        <v>Entregamos tus lentes, que los disfrutes!</v>
      </c>
    </row>
    <row r="4279">
      <c r="A4279" s="1">
        <f>IFERROR(__xludf.DUMMYFUNCTION("""COMPUTED_VALUE"""),88842.0)</f>
        <v>88842</v>
      </c>
      <c r="B4279" s="5">
        <f>IFERROR(__xludf.DUMMYFUNCTION("""COMPUTED_VALUE"""),45014.38437721065)</f>
        <v>45014.38438</v>
      </c>
      <c r="C4279" s="1" t="str">
        <f>IFERROR(__xludf.DUMMYFUNCTION("""COMPUTED_VALUE"""),"GONZALEZ YOLANDA LUCIA")</f>
        <v>GONZALEZ YOLANDA LUCIA</v>
      </c>
      <c r="D4279" s="1" t="str">
        <f>IFERROR(__xludf.DUMMYFUNCTION("""COMPUTED_VALUE"""),"Lentes de STOCK")</f>
        <v>Lentes de STOCK</v>
      </c>
      <c r="E4279" s="1" t="str">
        <f>IFERROR(__xludf.DUMMYFUNCTION("""COMPUTED_VALUE"""),"RIVADAVIA Christian C.")</f>
        <v>RIVADAVIA Christian C.</v>
      </c>
      <c r="F4279" s="1" t="str">
        <f t="shared" si="1"/>
        <v>RIVADAVIA </v>
      </c>
      <c r="G4279" s="1" t="str">
        <f t="shared" si="2"/>
        <v>Christian C.</v>
      </c>
      <c r="H4279" s="1" t="str">
        <f>IFERROR(__xludf.DUMMYFUNCTION("""COMPUTED_VALUE"""),"5/4/2023, 17:00:00")</f>
        <v>5/4/2023, 17:00:00</v>
      </c>
      <c r="I4279" s="1" t="str">
        <f>IFERROR(__xludf.DUMMYFUNCTION("""COMPUTED_VALUE"""),"Completado en SUCURSAL")</f>
        <v>Completado en SUCURSAL</v>
      </c>
      <c r="J4279" s="1">
        <f t="shared" si="3"/>
        <v>5</v>
      </c>
      <c r="K4279" s="1" t="str">
        <f t="shared" si="4"/>
        <v>Tus Lentes estan LISTAS PARA ENTREGAR, te esperamos.</v>
      </c>
    </row>
    <row r="4280">
      <c r="A4280" s="1">
        <f>IFERROR(__xludf.DUMMYFUNCTION("""COMPUTED_VALUE"""),88843.0)</f>
        <v>88843</v>
      </c>
      <c r="B4280" s="5">
        <f>IFERROR(__xludf.DUMMYFUNCTION("""COMPUTED_VALUE"""),45014.393057719906)</f>
        <v>45014.39306</v>
      </c>
      <c r="C4280" s="1" t="str">
        <f>IFERROR(__xludf.DUMMYFUNCTION("""COMPUTED_VALUE"""),"PEÑA SOFIA")</f>
        <v>PEÑA SOFIA</v>
      </c>
      <c r="D4280" s="1" t="str">
        <f>IFERROR(__xludf.DUMMYFUNCTION("""COMPUTED_VALUE"""),"Lentes de STOCK")</f>
        <v>Lentes de STOCK</v>
      </c>
      <c r="E4280" s="1" t="str">
        <f>IFERROR(__xludf.DUMMYFUNCTION("""COMPUTED_VALUE"""),"ARTIGAS Roció")</f>
        <v>ARTIGAS Roció</v>
      </c>
      <c r="F4280" s="1" t="str">
        <f t="shared" si="1"/>
        <v>ARTIGAS </v>
      </c>
      <c r="G4280" s="1" t="str">
        <f t="shared" si="2"/>
        <v>Roció</v>
      </c>
      <c r="H4280" s="1" t="str">
        <f>IFERROR(__xludf.DUMMYFUNCTION("""COMPUTED_VALUE"""),"5/4/2023, 17:00:00")</f>
        <v>5/4/2023, 17:00:00</v>
      </c>
      <c r="I4280" s="1" t="str">
        <f>IFERROR(__xludf.DUMMYFUNCTION("""COMPUTED_VALUE"""),"RETIRADO OK POR CLIENTE")</f>
        <v>RETIRADO OK POR CLIENTE</v>
      </c>
      <c r="J4280" s="1">
        <f t="shared" si="3"/>
        <v>6</v>
      </c>
      <c r="K4280" s="1" t="str">
        <f t="shared" si="4"/>
        <v>Entregamos tus lentes, que los disfrutes!</v>
      </c>
    </row>
    <row r="4281">
      <c r="A4281" s="1">
        <f>IFERROR(__xludf.DUMMYFUNCTION("""COMPUTED_VALUE"""),88844.0)</f>
        <v>88844</v>
      </c>
      <c r="B4281" s="5">
        <f>IFERROR(__xludf.DUMMYFUNCTION("""COMPUTED_VALUE"""),45014.39350291667)</f>
        <v>45014.3935</v>
      </c>
      <c r="C4281" s="1" t="str">
        <f>IFERROR(__xludf.DUMMYFUNCTION("""COMPUTED_VALUE"""),"ALCARAZ GLADYS")</f>
        <v>ALCARAZ GLADYS</v>
      </c>
      <c r="D4281" s="1" t="str">
        <f>IFERROR(__xludf.DUMMYFUNCTION("""COMPUTED_VALUE"""),"Lentes de STOCK")</f>
        <v>Lentes de STOCK</v>
      </c>
      <c r="E4281" s="1" t="str">
        <f>IFERROR(__xludf.DUMMYFUNCTION("""COMPUTED_VALUE"""),"RIVADAVIA Christian C.")</f>
        <v>RIVADAVIA Christian C.</v>
      </c>
      <c r="F4281" s="1" t="str">
        <f t="shared" si="1"/>
        <v>RIVADAVIA </v>
      </c>
      <c r="G4281" s="1" t="str">
        <f t="shared" si="2"/>
        <v>Christian C.</v>
      </c>
      <c r="H4281" s="1" t="str">
        <f>IFERROR(__xludf.DUMMYFUNCTION("""COMPUTED_VALUE"""),"10/4/2023, 17:00:00")</f>
        <v>10/4/2023, 17:00:00</v>
      </c>
      <c r="I4281" s="1" t="str">
        <f>IFERROR(__xludf.DUMMYFUNCTION("""COMPUTED_VALUE"""),"Completado en SUCURSAL")</f>
        <v>Completado en SUCURSAL</v>
      </c>
      <c r="J4281" s="1">
        <f t="shared" si="3"/>
        <v>5</v>
      </c>
      <c r="K4281" s="1" t="str">
        <f t="shared" si="4"/>
        <v>Tus Lentes estan LISTAS PARA ENTREGAR, te esperamos.</v>
      </c>
    </row>
    <row r="4282">
      <c r="A4282" s="1">
        <f>IFERROR(__xludf.DUMMYFUNCTION("""COMPUTED_VALUE"""),88845.0)</f>
        <v>88845</v>
      </c>
      <c r="B4282" s="5">
        <f>IFERROR(__xludf.DUMMYFUNCTION("""COMPUTED_VALUE"""),45014.39765103009)</f>
        <v>45014.39765</v>
      </c>
      <c r="C4282" s="1" t="str">
        <f>IFERROR(__xludf.DUMMYFUNCTION("""COMPUTED_VALUE"""),"MIRANDA MARIANA ")</f>
        <v>MIRANDA MARIANA </v>
      </c>
      <c r="D4282" s="1" t="str">
        <f>IFERROR(__xludf.DUMMYFUNCTION("""COMPUTED_VALUE"""),"Lentes BIFOCALES")</f>
        <v>Lentes BIFOCALES</v>
      </c>
      <c r="E4282" s="1" t="str">
        <f>IFERROR(__xludf.DUMMYFUNCTION("""COMPUTED_VALUE"""),"RIVADAVIA Luciana")</f>
        <v>RIVADAVIA Luciana</v>
      </c>
      <c r="F4282" s="1" t="str">
        <f t="shared" si="1"/>
        <v>RIVADAVIA </v>
      </c>
      <c r="G4282" s="1" t="str">
        <f t="shared" si="2"/>
        <v>Luciana</v>
      </c>
      <c r="H4282" s="1" t="str">
        <f>IFERROR(__xludf.DUMMYFUNCTION("""COMPUTED_VALUE"""),"14/4/2023, 17:00:00")</f>
        <v>14/4/2023, 17:00:00</v>
      </c>
      <c r="I4282" s="1" t="str">
        <f>IFERROR(__xludf.DUMMYFUNCTION("""COMPUTED_VALUE"""),"Completado en SUCURSAL")</f>
        <v>Completado en SUCURSAL</v>
      </c>
      <c r="J4282" s="1">
        <f t="shared" si="3"/>
        <v>5</v>
      </c>
      <c r="K4282" s="1" t="str">
        <f t="shared" si="4"/>
        <v>Tus Lentes estan LISTAS PARA ENTREGAR, te esperamos.</v>
      </c>
    </row>
    <row r="4283">
      <c r="A4283" s="1">
        <f>IFERROR(__xludf.DUMMYFUNCTION("""COMPUTED_VALUE"""),88846.0)</f>
        <v>88846</v>
      </c>
      <c r="B4283" s="5">
        <f>IFERROR(__xludf.DUMMYFUNCTION("""COMPUTED_VALUE"""),45014.39798902778)</f>
        <v>45014.39799</v>
      </c>
      <c r="C4283" s="1" t="str">
        <f>IFERROR(__xludf.DUMMYFUNCTION("""COMPUTED_VALUE"""),"romero carlos")</f>
        <v>romero carlos</v>
      </c>
      <c r="D4283" s="1" t="str">
        <f>IFERROR(__xludf.DUMMYFUNCTION("""COMPUTED_VALUE"""),"Reparaciones/Otros")</f>
        <v>Reparaciones/Otros</v>
      </c>
      <c r="E4283" s="1" t="str">
        <f>IFERROR(__xludf.DUMMYFUNCTION("""COMPUTED_VALUE"""),"RIVADAVIA Daniel CM")</f>
        <v>RIVADAVIA Daniel CM</v>
      </c>
      <c r="F4283" s="1" t="str">
        <f t="shared" si="1"/>
        <v>RIVADAVIA </v>
      </c>
      <c r="G4283" s="1" t="str">
        <f t="shared" si="2"/>
        <v>Daniel CM</v>
      </c>
      <c r="H4283" s="1" t="str">
        <f>IFERROR(__xludf.DUMMYFUNCTION("""COMPUTED_VALUE"""),"30/3/2023, 17:00:00")</f>
        <v>30/3/2023, 17:00:00</v>
      </c>
      <c r="I4283" s="1" t="str">
        <f>IFERROR(__xludf.DUMMYFUNCTION("""COMPUTED_VALUE"""),"Completado en SUCURSAL")</f>
        <v>Completado en SUCURSAL</v>
      </c>
      <c r="J4283" s="1">
        <f t="shared" si="3"/>
        <v>5</v>
      </c>
      <c r="K4283" s="1" t="str">
        <f t="shared" si="4"/>
        <v>Tus Lentes estan LISTAS PARA ENTREGAR, te esperamos.</v>
      </c>
    </row>
    <row r="4284">
      <c r="A4284" s="1">
        <f>IFERROR(__xludf.DUMMYFUNCTION("""COMPUTED_VALUE"""),88847.0)</f>
        <v>88847</v>
      </c>
      <c r="B4284" s="5">
        <f>IFERROR(__xludf.DUMMYFUNCTION("""COMPUTED_VALUE"""),45014.398398888894)</f>
        <v>45014.3984</v>
      </c>
      <c r="C4284" s="1" t="str">
        <f>IFERROR(__xludf.DUMMYFUNCTION("""COMPUTED_VALUE"""),"VENEZIA NELLY")</f>
        <v>VENEZIA NELLY</v>
      </c>
      <c r="D4284" s="1" t="str">
        <f>IFERROR(__xludf.DUMMYFUNCTION("""COMPUTED_VALUE"""),"Lentes de STOCK")</f>
        <v>Lentes de STOCK</v>
      </c>
      <c r="E4284" s="1" t="str">
        <f>IFERROR(__xludf.DUMMYFUNCTION("""COMPUTED_VALUE"""),"ARTIGAS Ivana P.")</f>
        <v>ARTIGAS Ivana P.</v>
      </c>
      <c r="F4284" s="1" t="str">
        <f t="shared" si="1"/>
        <v>ARTIGAS </v>
      </c>
      <c r="G4284" s="1" t="str">
        <f t="shared" si="2"/>
        <v>Ivana P.</v>
      </c>
      <c r="H4284" s="1" t="str">
        <f>IFERROR(__xludf.DUMMYFUNCTION("""COMPUTED_VALUE"""),"4/4/2023, 17:00:00")</f>
        <v>4/4/2023, 17:00:00</v>
      </c>
      <c r="I4284" s="1" t="str">
        <f>IFERROR(__xludf.DUMMYFUNCTION("""COMPUTED_VALUE"""),"RETIRADO OK POR CLIENTE")</f>
        <v>RETIRADO OK POR CLIENTE</v>
      </c>
      <c r="J4284" s="1">
        <f t="shared" si="3"/>
        <v>6</v>
      </c>
      <c r="K4284" s="1" t="str">
        <f t="shared" si="4"/>
        <v>Entregamos tus lentes, que los disfrutes!</v>
      </c>
    </row>
    <row r="4285">
      <c r="A4285" s="1">
        <f>IFERROR(__xludf.DUMMYFUNCTION("""COMPUTED_VALUE"""),88848.0)</f>
        <v>88848</v>
      </c>
      <c r="B4285" s="5">
        <f>IFERROR(__xludf.DUMMYFUNCTION("""COMPUTED_VALUE"""),45014.40056177083)</f>
        <v>45014.40056</v>
      </c>
      <c r="C4285" s="1" t="str">
        <f>IFERROR(__xludf.DUMMYFUNCTION("""COMPUTED_VALUE"""),"FALCON MAIRA")</f>
        <v>FALCON MAIRA</v>
      </c>
      <c r="D4285" s="1" t="str">
        <f>IFERROR(__xludf.DUMMYFUNCTION("""COMPUTED_VALUE"""),"Lentes de LABORATORIO")</f>
        <v>Lentes de LABORATORIO</v>
      </c>
      <c r="E4285" s="1" t="str">
        <f>IFERROR(__xludf.DUMMYFUNCTION("""COMPUTED_VALUE"""),"RIVADAVIA Christian C.")</f>
        <v>RIVADAVIA Christian C.</v>
      </c>
      <c r="F4285" s="1" t="str">
        <f t="shared" si="1"/>
        <v>RIVADAVIA </v>
      </c>
      <c r="G4285" s="1" t="str">
        <f t="shared" si="2"/>
        <v>Christian C.</v>
      </c>
      <c r="H4285" s="1" t="str">
        <f>IFERROR(__xludf.DUMMYFUNCTION("""COMPUTED_VALUE"""),"10/4/2023, 17:00:00")</f>
        <v>10/4/2023, 17:00:00</v>
      </c>
      <c r="I4285" s="1" t="str">
        <f>IFERROR(__xludf.DUMMYFUNCTION("""COMPUTED_VALUE"""),"Completado en SUCURSAL")</f>
        <v>Completado en SUCURSAL</v>
      </c>
      <c r="J4285" s="1">
        <f t="shared" si="3"/>
        <v>5</v>
      </c>
      <c r="K4285" s="1" t="str">
        <f t="shared" si="4"/>
        <v>Tus Lentes estan LISTAS PARA ENTREGAR, te esperamos.</v>
      </c>
    </row>
    <row r="4286">
      <c r="A4286" s="1">
        <f>IFERROR(__xludf.DUMMYFUNCTION("""COMPUTED_VALUE"""),88849.0)</f>
        <v>88849</v>
      </c>
      <c r="B4286" s="5">
        <f>IFERROR(__xludf.DUMMYFUNCTION("""COMPUTED_VALUE"""),45014.400734490744)</f>
        <v>45014.40073</v>
      </c>
      <c r="C4286" s="1" t="str">
        <f>IFERROR(__xludf.DUMMYFUNCTION("""COMPUTED_VALUE"""),"VALLEJOS JORGE ALFREDO")</f>
        <v>VALLEJOS JORGE ALFREDO</v>
      </c>
      <c r="D4286" s="1" t="str">
        <f>IFERROR(__xludf.DUMMYFUNCTION("""COMPUTED_VALUE"""),"Lentes de STOCK")</f>
        <v>Lentes de STOCK</v>
      </c>
      <c r="E4286" s="1" t="str">
        <f>IFERROR(__xludf.DUMMYFUNCTION("""COMPUTED_VALUE"""),"RIVADAVIA Marcela L")</f>
        <v>RIVADAVIA Marcela L</v>
      </c>
      <c r="F4286" s="1" t="str">
        <f t="shared" si="1"/>
        <v>RIVADAVIA </v>
      </c>
      <c r="G4286" s="1" t="str">
        <f t="shared" si="2"/>
        <v>Marcela L</v>
      </c>
      <c r="H4286" s="1" t="str">
        <f>IFERROR(__xludf.DUMMYFUNCTION("""COMPUTED_VALUE"""),"10/4/2023, 17:00:00")</f>
        <v>10/4/2023, 17:00:00</v>
      </c>
      <c r="I4286" s="1" t="str">
        <f>IFERROR(__xludf.DUMMYFUNCTION("""COMPUTED_VALUE"""),"RETIRADO OK POR CLIENTE")</f>
        <v>RETIRADO OK POR CLIENTE</v>
      </c>
      <c r="J4286" s="1">
        <f t="shared" si="3"/>
        <v>6</v>
      </c>
      <c r="K4286" s="1" t="str">
        <f t="shared" si="4"/>
        <v>Entregamos tus lentes, que los disfrutes!</v>
      </c>
    </row>
    <row r="4287">
      <c r="A4287" s="1">
        <f>IFERROR(__xludf.DUMMYFUNCTION("""COMPUTED_VALUE"""),88850.0)</f>
        <v>88850</v>
      </c>
      <c r="B4287" s="5">
        <f>IFERROR(__xludf.DUMMYFUNCTION("""COMPUTED_VALUE"""),45014.408313402775)</f>
        <v>45014.40831</v>
      </c>
      <c r="C4287" s="1" t="str">
        <f>IFERROR(__xludf.DUMMYFUNCTION("""COMPUTED_VALUE"""),"CABRERA PATRICIA JUANA")</f>
        <v>CABRERA PATRICIA JUANA</v>
      </c>
      <c r="D4287" s="1" t="str">
        <f>IFERROR(__xludf.DUMMYFUNCTION("""COMPUTED_VALUE"""),"Lentes de STOCK")</f>
        <v>Lentes de STOCK</v>
      </c>
      <c r="E4287" s="1" t="str">
        <f>IFERROR(__xludf.DUMMYFUNCTION("""COMPUTED_VALUE"""),"ARTIGAS Roció")</f>
        <v>ARTIGAS Roció</v>
      </c>
      <c r="F4287" s="1" t="str">
        <f t="shared" si="1"/>
        <v>ARTIGAS </v>
      </c>
      <c r="G4287" s="1" t="str">
        <f t="shared" si="2"/>
        <v>Roció</v>
      </c>
      <c r="H4287" s="1" t="str">
        <f>IFERROR(__xludf.DUMMYFUNCTION("""COMPUTED_VALUE"""),"5/4/2023, 17:00:00")</f>
        <v>5/4/2023, 17:00:00</v>
      </c>
      <c r="I4287" s="1" t="str">
        <f>IFERROR(__xludf.DUMMYFUNCTION("""COMPUTED_VALUE"""),"RETIRADO OK POR CLIENTE")</f>
        <v>RETIRADO OK POR CLIENTE</v>
      </c>
      <c r="J4287" s="1">
        <f t="shared" si="3"/>
        <v>6</v>
      </c>
      <c r="K4287" s="1" t="str">
        <f t="shared" si="4"/>
        <v>Entregamos tus lentes, que los disfrutes!</v>
      </c>
    </row>
    <row r="4288">
      <c r="A4288" s="1">
        <f>IFERROR(__xludf.DUMMYFUNCTION("""COMPUTED_VALUE"""),88851.0)</f>
        <v>88851</v>
      </c>
      <c r="B4288" s="5">
        <f>IFERROR(__xludf.DUMMYFUNCTION("""COMPUTED_VALUE"""),45014.41193644676)</f>
        <v>45014.41194</v>
      </c>
      <c r="C4288" s="1" t="str">
        <f>IFERROR(__xludf.DUMMYFUNCTION("""COMPUTED_VALUE"""),"PEZOA INES ")</f>
        <v>PEZOA INES </v>
      </c>
      <c r="D4288" s="1" t="str">
        <f>IFERROR(__xludf.DUMMYFUNCTION("""COMPUTED_VALUE"""),"Reparaciones/Otros")</f>
        <v>Reparaciones/Otros</v>
      </c>
      <c r="E4288" s="1" t="str">
        <f>IFERROR(__xludf.DUMMYFUNCTION("""COMPUTED_VALUE"""),"RIVADAVIA Luciana")</f>
        <v>RIVADAVIA Luciana</v>
      </c>
      <c r="F4288" s="1" t="str">
        <f t="shared" si="1"/>
        <v>RIVADAVIA </v>
      </c>
      <c r="G4288" s="1" t="str">
        <f t="shared" si="2"/>
        <v>Luciana</v>
      </c>
      <c r="H4288" s="1" t="str">
        <f>IFERROR(__xludf.DUMMYFUNCTION("""COMPUTED_VALUE"""),"31/3/2023, 17:00:00")</f>
        <v>31/3/2023, 17:00:00</v>
      </c>
      <c r="I4288" s="1" t="str">
        <f>IFERROR(__xludf.DUMMYFUNCTION("""COMPUTED_VALUE"""),"Completado en SUCURSAL")</f>
        <v>Completado en SUCURSAL</v>
      </c>
      <c r="J4288" s="1">
        <f t="shared" si="3"/>
        <v>5</v>
      </c>
      <c r="K4288" s="1" t="str">
        <f t="shared" si="4"/>
        <v>Tus Lentes estan LISTAS PARA ENTREGAR, te esperamos.</v>
      </c>
    </row>
    <row r="4289">
      <c r="A4289" s="1">
        <f>IFERROR(__xludf.DUMMYFUNCTION("""COMPUTED_VALUE"""),88852.0)</f>
        <v>88852</v>
      </c>
      <c r="B4289" s="5">
        <f>IFERROR(__xludf.DUMMYFUNCTION("""COMPUTED_VALUE"""),45014.413265254625)</f>
        <v>45014.41327</v>
      </c>
      <c r="C4289" s="1" t="str">
        <f>IFERROR(__xludf.DUMMYFUNCTION("""COMPUTED_VALUE"""),"PACULNIS LAURA")</f>
        <v>PACULNIS LAURA</v>
      </c>
      <c r="D4289" s="1" t="str">
        <f>IFERROR(__xludf.DUMMYFUNCTION("""COMPUTED_VALUE"""),"Reparaciones/Otros")</f>
        <v>Reparaciones/Otros</v>
      </c>
      <c r="E4289" s="1" t="str">
        <f>IFERROR(__xludf.DUMMYFUNCTION("""COMPUTED_VALUE"""),"ARTIGAS Roció")</f>
        <v>ARTIGAS Roció</v>
      </c>
      <c r="F4289" s="1" t="str">
        <f t="shared" si="1"/>
        <v>ARTIGAS </v>
      </c>
      <c r="G4289" s="1" t="str">
        <f t="shared" si="2"/>
        <v>Roció</v>
      </c>
      <c r="H4289" s="1" t="str">
        <f>IFERROR(__xludf.DUMMYFUNCTION("""COMPUTED_VALUE"""),"30/3/2023, 17:00:00")</f>
        <v>30/3/2023, 17:00:00</v>
      </c>
      <c r="I4289" s="1" t="str">
        <f>IFERROR(__xludf.DUMMYFUNCTION("""COMPUTED_VALUE"""),"Completado en SUCURSAL")</f>
        <v>Completado en SUCURSAL</v>
      </c>
      <c r="J4289" s="1">
        <f t="shared" si="3"/>
        <v>5</v>
      </c>
      <c r="K4289" s="1" t="str">
        <f t="shared" si="4"/>
        <v>Tus Lentes estan LISTAS PARA ENTREGAR, te esperamos.</v>
      </c>
    </row>
    <row r="4290">
      <c r="A4290" s="1">
        <f>IFERROR(__xludf.DUMMYFUNCTION("""COMPUTED_VALUE"""),88853.0)</f>
        <v>88853</v>
      </c>
      <c r="B4290" s="5">
        <f>IFERROR(__xludf.DUMMYFUNCTION("""COMPUTED_VALUE"""),45014.41345136574)</f>
        <v>45014.41345</v>
      </c>
      <c r="C4290" s="1" t="str">
        <f>IFERROR(__xludf.DUMMYFUNCTION("""COMPUTED_VALUE"""),"SALAS MARIA DEL CARMEN")</f>
        <v>SALAS MARIA DEL CARMEN</v>
      </c>
      <c r="D4290" s="1" t="str">
        <f>IFERROR(__xludf.DUMMYFUNCTION("""COMPUTED_VALUE"""),"Lentes BIFOCALES")</f>
        <v>Lentes BIFOCALES</v>
      </c>
      <c r="E4290" s="1" t="str">
        <f>IFERROR(__xludf.DUMMYFUNCTION("""COMPUTED_VALUE"""),"RIVADAVIA Marcela L")</f>
        <v>RIVADAVIA Marcela L</v>
      </c>
      <c r="F4290" s="1" t="str">
        <f t="shared" si="1"/>
        <v>RIVADAVIA </v>
      </c>
      <c r="G4290" s="1" t="str">
        <f t="shared" si="2"/>
        <v>Marcela L</v>
      </c>
      <c r="H4290" s="1" t="str">
        <f>IFERROR(__xludf.DUMMYFUNCTION("""COMPUTED_VALUE"""),"4/4/2023, 17:00:00")</f>
        <v>4/4/2023, 17:00:00</v>
      </c>
      <c r="I4290" s="1" t="str">
        <f>IFERROR(__xludf.DUMMYFUNCTION("""COMPUTED_VALUE"""),"RETIRADO OK POR CLIENTE")</f>
        <v>RETIRADO OK POR CLIENTE</v>
      </c>
      <c r="J4290" s="1">
        <f t="shared" si="3"/>
        <v>6</v>
      </c>
      <c r="K4290" s="1" t="str">
        <f t="shared" si="4"/>
        <v>Entregamos tus lentes, que los disfrutes!</v>
      </c>
    </row>
    <row r="4291">
      <c r="A4291" s="1">
        <f>IFERROR(__xludf.DUMMYFUNCTION("""COMPUTED_VALUE"""),88854.0)</f>
        <v>88854</v>
      </c>
      <c r="B4291" s="5">
        <f>IFERROR(__xludf.DUMMYFUNCTION("""COMPUTED_VALUE"""),45014.417689699076)</f>
        <v>45014.41769</v>
      </c>
      <c r="C4291" s="1" t="str">
        <f>IFERROR(__xludf.DUMMYFUNCTION("""COMPUTED_VALUE"""),"DOMINGUEZ EVA")</f>
        <v>DOMINGUEZ EVA</v>
      </c>
      <c r="D4291" s="1" t="str">
        <f>IFERROR(__xludf.DUMMYFUNCTION("""COMPUTED_VALUE"""),"Reparaciones/Otros")</f>
        <v>Reparaciones/Otros</v>
      </c>
      <c r="E4291" s="1" t="str">
        <f>IFERROR(__xludf.DUMMYFUNCTION("""COMPUTED_VALUE"""),"ARTIGAS Ivana P.")</f>
        <v>ARTIGAS Ivana P.</v>
      </c>
      <c r="F4291" s="1" t="str">
        <f t="shared" si="1"/>
        <v>ARTIGAS </v>
      </c>
      <c r="G4291" s="1" t="str">
        <f t="shared" si="2"/>
        <v>Ivana P.</v>
      </c>
      <c r="H4291" s="1" t="str">
        <f>IFERROR(__xludf.DUMMYFUNCTION("""COMPUTED_VALUE"""),"31/3/2023, 17:00:00")</f>
        <v>31/3/2023, 17:00:00</v>
      </c>
      <c r="I4291" s="1" t="str">
        <f>IFERROR(__xludf.DUMMYFUNCTION("""COMPUTED_VALUE"""),"Completado en SUCURSAL")</f>
        <v>Completado en SUCURSAL</v>
      </c>
      <c r="J4291" s="1">
        <f t="shared" si="3"/>
        <v>5</v>
      </c>
      <c r="K4291" s="1" t="str">
        <f t="shared" si="4"/>
        <v>Tus Lentes estan LISTAS PARA ENTREGAR, te esperamos.</v>
      </c>
    </row>
    <row r="4292">
      <c r="A4292" s="1">
        <f>IFERROR(__xludf.DUMMYFUNCTION("""COMPUTED_VALUE"""),88855.0)</f>
        <v>88855</v>
      </c>
      <c r="B4292" s="5">
        <f>IFERROR(__xludf.DUMMYFUNCTION("""COMPUTED_VALUE"""),45014.41820119213)</f>
        <v>45014.4182</v>
      </c>
      <c r="C4292" s="1" t="str">
        <f>IFERROR(__xludf.DUMMYFUNCTION("""COMPUTED_VALUE"""),"administracio")</f>
        <v>administracio</v>
      </c>
      <c r="D4292" s="1" t="str">
        <f>IFERROR(__xludf.DUMMYFUNCTION("""COMPUTED_VALUE"""),"Reparaciones/Otros")</f>
        <v>Reparaciones/Otros</v>
      </c>
      <c r="E4292" s="1" t="str">
        <f>IFERROR(__xludf.DUMMYFUNCTION("""COMPUTED_VALUE"""),"Online ADMIN.")</f>
        <v>Online ADMIN.</v>
      </c>
      <c r="F4292" s="1" t="str">
        <f t="shared" si="1"/>
        <v>Online </v>
      </c>
      <c r="G4292" s="1" t="str">
        <f t="shared" si="2"/>
        <v>ADMIN.</v>
      </c>
      <c r="H4292" s="1" t="str">
        <f>IFERROR(__xludf.DUMMYFUNCTION("""COMPUTED_VALUE"""),"30/3/2023, 17:00:00")</f>
        <v>30/3/2023, 17:00:00</v>
      </c>
      <c r="I4292" s="1" t="str">
        <f>IFERROR(__xludf.DUMMYFUNCTION("""COMPUTED_VALUE"""),"Completado en SUCURSAL")</f>
        <v>Completado en SUCURSAL</v>
      </c>
      <c r="J4292" s="1">
        <f t="shared" si="3"/>
        <v>5</v>
      </c>
      <c r="K4292" s="1" t="str">
        <f t="shared" si="4"/>
        <v>Tus Lentes estan LISTAS PARA ENTREGAR, te esperamos.</v>
      </c>
    </row>
    <row r="4293">
      <c r="A4293" s="1">
        <f>IFERROR(__xludf.DUMMYFUNCTION("""COMPUTED_VALUE"""),88856.0)</f>
        <v>88856</v>
      </c>
      <c r="B4293" s="5">
        <f>IFERROR(__xludf.DUMMYFUNCTION("""COMPUTED_VALUE"""),45014.422945196755)</f>
        <v>45014.42295</v>
      </c>
      <c r="C4293" s="1" t="str">
        <f>IFERROR(__xludf.DUMMYFUNCTION("""COMPUTED_VALUE"""),"LUCERO VERON ANA")</f>
        <v>LUCERO VERON ANA</v>
      </c>
      <c r="D4293" s="1" t="str">
        <f>IFERROR(__xludf.DUMMYFUNCTION("""COMPUTED_VALUE"""),"Lentes de STOCK")</f>
        <v>Lentes de STOCK</v>
      </c>
      <c r="E4293" s="1" t="str">
        <f>IFERROR(__xludf.DUMMYFUNCTION("""COMPUTED_VALUE"""),"RIVADAVIA Santiago LOPEZ")</f>
        <v>RIVADAVIA Santiago LOPEZ</v>
      </c>
      <c r="F4293" s="1" t="str">
        <f t="shared" si="1"/>
        <v>RIVADAVIA </v>
      </c>
      <c r="G4293" s="1" t="str">
        <f t="shared" si="2"/>
        <v>Santiago LOPEZ</v>
      </c>
      <c r="H4293" s="1" t="str">
        <f>IFERROR(__xludf.DUMMYFUNCTION("""COMPUTED_VALUE"""),"3/4/2023, 17:00:00")</f>
        <v>3/4/2023, 17:00:00</v>
      </c>
      <c r="I4293" s="1" t="str">
        <f>IFERROR(__xludf.DUMMYFUNCTION("""COMPUTED_VALUE"""),"RETIRADO OK POR CLIENTE")</f>
        <v>RETIRADO OK POR CLIENTE</v>
      </c>
      <c r="J4293" s="1">
        <f t="shared" si="3"/>
        <v>6</v>
      </c>
      <c r="K4293" s="1" t="str">
        <f t="shared" si="4"/>
        <v>Entregamos tus lentes, que los disfrutes!</v>
      </c>
    </row>
    <row r="4294">
      <c r="A4294" s="1">
        <f>IFERROR(__xludf.DUMMYFUNCTION("""COMPUTED_VALUE"""),88857.0)</f>
        <v>88857</v>
      </c>
      <c r="B4294" s="5">
        <f>IFERROR(__xludf.DUMMYFUNCTION("""COMPUTED_VALUE"""),45014.42902827547)</f>
        <v>45014.42903</v>
      </c>
      <c r="C4294" s="1" t="str">
        <f>IFERROR(__xludf.DUMMYFUNCTION("""COMPUTED_VALUE"""),"BLANCO JORGE EMILIO")</f>
        <v>BLANCO JORGE EMILIO</v>
      </c>
      <c r="D4294" s="1" t="str">
        <f>IFERROR(__xludf.DUMMYFUNCTION("""COMPUTED_VALUE"""),"Reparaciones/Otros")</f>
        <v>Reparaciones/Otros</v>
      </c>
      <c r="E4294" s="1" t="str">
        <f>IFERROR(__xludf.DUMMYFUNCTION("""COMPUTED_VALUE"""),"RIVADAVIA Marcela L")</f>
        <v>RIVADAVIA Marcela L</v>
      </c>
      <c r="F4294" s="1" t="str">
        <f t="shared" si="1"/>
        <v>RIVADAVIA </v>
      </c>
      <c r="G4294" s="1" t="str">
        <f t="shared" si="2"/>
        <v>Marcela L</v>
      </c>
      <c r="H4294" s="1" t="str">
        <f>IFERROR(__xludf.DUMMYFUNCTION("""COMPUTED_VALUE"""),"30/3/2023, 17:00:00")</f>
        <v>30/3/2023, 17:00:00</v>
      </c>
      <c r="I4294" s="1" t="str">
        <f>IFERROR(__xludf.DUMMYFUNCTION("""COMPUTED_VALUE"""),"Completado en SUCURSAL")</f>
        <v>Completado en SUCURSAL</v>
      </c>
      <c r="J4294" s="1">
        <f t="shared" si="3"/>
        <v>5</v>
      </c>
      <c r="K4294" s="1" t="str">
        <f t="shared" si="4"/>
        <v>Tus Lentes estan LISTAS PARA ENTREGAR, te esperamos.</v>
      </c>
    </row>
    <row r="4295">
      <c r="A4295" s="1">
        <f>IFERROR(__xludf.DUMMYFUNCTION("""COMPUTED_VALUE"""),88858.0)</f>
        <v>88858</v>
      </c>
      <c r="B4295" s="5">
        <f>IFERROR(__xludf.DUMMYFUNCTION("""COMPUTED_VALUE"""),45014.43600152778)</f>
        <v>45014.436</v>
      </c>
      <c r="C4295" s="1" t="str">
        <f>IFERROR(__xludf.DUMMYFUNCTION("""COMPUTED_VALUE"""),"SOSA GATICA LILIANA 0  (PROGRAMA MEDICINA DEL INTERIOR GOB)")</f>
        <v>SOSA GATICA LILIANA 0  (PROGRAMA MEDICINA DEL INTERIOR GOB)</v>
      </c>
      <c r="D4295" s="1" t="str">
        <f>IFERROR(__xludf.DUMMYFUNCTION("""COMPUTED_VALUE"""),"Lentes de STOCK")</f>
        <v>Lentes de STOCK</v>
      </c>
      <c r="E4295" s="1" t="str">
        <f>IFERROR(__xludf.DUMMYFUNCTION("""COMPUTED_VALUE"""),"Online ADMIN.")</f>
        <v>Online ADMIN.</v>
      </c>
      <c r="F4295" s="1" t="str">
        <f t="shared" si="1"/>
        <v>Online </v>
      </c>
      <c r="G4295" s="1" t="str">
        <f t="shared" si="2"/>
        <v>ADMIN.</v>
      </c>
      <c r="H4295" s="1" t="str">
        <f>IFERROR(__xludf.DUMMYFUNCTION("""COMPUTED_VALUE"""),"31/3/2023, 17:00:00")</f>
        <v>31/3/2023, 17:00:00</v>
      </c>
      <c r="I4295" s="1" t="str">
        <f>IFERROR(__xludf.DUMMYFUNCTION("""COMPUTED_VALUE"""),"Completado en SUCURSAL")</f>
        <v>Completado en SUCURSAL</v>
      </c>
      <c r="J4295" s="1">
        <f t="shared" si="3"/>
        <v>5</v>
      </c>
      <c r="K4295" s="1" t="str">
        <f t="shared" si="4"/>
        <v>Tus Lentes estan LISTAS PARA ENTREGAR, te esperamos.</v>
      </c>
    </row>
    <row r="4296">
      <c r="A4296" s="1">
        <f>IFERROR(__xludf.DUMMYFUNCTION("""COMPUTED_VALUE"""),88859.0)</f>
        <v>88859</v>
      </c>
      <c r="B4296" s="5">
        <f>IFERROR(__xludf.DUMMYFUNCTION("""COMPUTED_VALUE"""),45014.43750809028)</f>
        <v>45014.43751</v>
      </c>
      <c r="C4296" s="1" t="str">
        <f>IFERROR(__xludf.DUMMYFUNCTION("""COMPUTED_VALUE"""),"SUAREZ SOSA YAHIR (PROGRAMA MEDICINA DEL INTERIOR GOB)")</f>
        <v>SUAREZ SOSA YAHIR (PROGRAMA MEDICINA DEL INTERIOR GOB)</v>
      </c>
      <c r="D4296" s="1" t="str">
        <f>IFERROR(__xludf.DUMMYFUNCTION("""COMPUTED_VALUE"""),"Lentes de STOCK")</f>
        <v>Lentes de STOCK</v>
      </c>
      <c r="E4296" s="1" t="str">
        <f>IFERROR(__xludf.DUMMYFUNCTION("""COMPUTED_VALUE"""),"Online ADMIN.")</f>
        <v>Online ADMIN.</v>
      </c>
      <c r="F4296" s="1" t="str">
        <f t="shared" si="1"/>
        <v>Online </v>
      </c>
      <c r="G4296" s="1" t="str">
        <f t="shared" si="2"/>
        <v>ADMIN.</v>
      </c>
      <c r="H4296" s="1" t="str">
        <f>IFERROR(__xludf.DUMMYFUNCTION("""COMPUTED_VALUE"""),"31/3/2023, 17:00:00")</f>
        <v>31/3/2023, 17:00:00</v>
      </c>
      <c r="I4296" s="1" t="str">
        <f>IFERROR(__xludf.DUMMYFUNCTION("""COMPUTED_VALUE"""),"Completado en SUCURSAL")</f>
        <v>Completado en SUCURSAL</v>
      </c>
      <c r="J4296" s="1">
        <f t="shared" si="3"/>
        <v>5</v>
      </c>
      <c r="K4296" s="1" t="str">
        <f t="shared" si="4"/>
        <v>Tus Lentes estan LISTAS PARA ENTREGAR, te esperamos.</v>
      </c>
    </row>
    <row r="4297">
      <c r="A4297" s="1">
        <f>IFERROR(__xludf.DUMMYFUNCTION("""COMPUTED_VALUE"""),88860.0)</f>
        <v>88860</v>
      </c>
      <c r="B4297" s="5">
        <f>IFERROR(__xludf.DUMMYFUNCTION("""COMPUTED_VALUE"""),45014.43920460648)</f>
        <v>45014.4392</v>
      </c>
      <c r="C4297" s="1" t="str">
        <f>IFERROR(__xludf.DUMMYFUNCTION("""COMPUTED_VALUE"""),"Priante Jose Antonio (PROGRAMA MEDICINA DEL INTERIOR GOB)")</f>
        <v>Priante Jose Antonio (PROGRAMA MEDICINA DEL INTERIOR GOB)</v>
      </c>
      <c r="D4297" s="1" t="str">
        <f>IFERROR(__xludf.DUMMYFUNCTION("""COMPUTED_VALUE"""),"Lentes de STOCK")</f>
        <v>Lentes de STOCK</v>
      </c>
      <c r="E4297" s="1" t="str">
        <f>IFERROR(__xludf.DUMMYFUNCTION("""COMPUTED_VALUE"""),"Online ADMIN.")</f>
        <v>Online ADMIN.</v>
      </c>
      <c r="F4297" s="1" t="str">
        <f t="shared" si="1"/>
        <v>Online </v>
      </c>
      <c r="G4297" s="1" t="str">
        <f t="shared" si="2"/>
        <v>ADMIN.</v>
      </c>
      <c r="H4297" s="1" t="str">
        <f>IFERROR(__xludf.DUMMYFUNCTION("""COMPUTED_VALUE"""),"31/3/2023, 17:00:00")</f>
        <v>31/3/2023, 17:00:00</v>
      </c>
      <c r="I4297" s="1" t="str">
        <f>IFERROR(__xludf.DUMMYFUNCTION("""COMPUTED_VALUE"""),"Recibido en Laboratorio")</f>
        <v>Recibido en Laboratorio</v>
      </c>
      <c r="J4297" s="1">
        <f t="shared" si="3"/>
        <v>2</v>
      </c>
      <c r="K4297" s="1" t="str">
        <f t="shared" si="4"/>
        <v>Nuestro Laboratorio esta trabajando en tus lentes, los entregaremos en la fecha acordada.</v>
      </c>
    </row>
    <row r="4298">
      <c r="A4298" s="1">
        <f>IFERROR(__xludf.DUMMYFUNCTION("""COMPUTED_VALUE"""),88861.0)</f>
        <v>88861</v>
      </c>
      <c r="B4298" s="5">
        <f>IFERROR(__xludf.DUMMYFUNCTION("""COMPUTED_VALUE"""),45014.43996833333)</f>
        <v>45014.43997</v>
      </c>
      <c r="C4298" s="1" t="str">
        <f>IFERROR(__xludf.DUMMYFUNCTION("""COMPUTED_VALUE"""),"GODOY ROMINA")</f>
        <v>GODOY ROMINA</v>
      </c>
      <c r="D4298" s="1" t="str">
        <f>IFERROR(__xludf.DUMMYFUNCTION("""COMPUTED_VALUE"""),"Lentes de STOCK")</f>
        <v>Lentes de STOCK</v>
      </c>
      <c r="E4298" s="1" t="str">
        <f>IFERROR(__xludf.DUMMYFUNCTION("""COMPUTED_VALUE"""),"RIVADAVIA Luciana")</f>
        <v>RIVADAVIA Luciana</v>
      </c>
      <c r="F4298" s="1" t="str">
        <f t="shared" si="1"/>
        <v>RIVADAVIA </v>
      </c>
      <c r="G4298" s="1" t="str">
        <f t="shared" si="2"/>
        <v>Luciana</v>
      </c>
      <c r="H4298" s="1" t="str">
        <f>IFERROR(__xludf.DUMMYFUNCTION("""COMPUTED_VALUE"""),"4/4/2023, 17:00:00")</f>
        <v>4/4/2023, 17:00:00</v>
      </c>
      <c r="I4298" s="1" t="str">
        <f>IFERROR(__xludf.DUMMYFUNCTION("""COMPUTED_VALUE"""),"RETIRADO OK POR CLIENTE")</f>
        <v>RETIRADO OK POR CLIENTE</v>
      </c>
      <c r="J4298" s="1">
        <f t="shared" si="3"/>
        <v>6</v>
      </c>
      <c r="K4298" s="1" t="str">
        <f t="shared" si="4"/>
        <v>Entregamos tus lentes, que los disfrutes!</v>
      </c>
    </row>
    <row r="4299">
      <c r="A4299" s="1">
        <f>IFERROR(__xludf.DUMMYFUNCTION("""COMPUTED_VALUE"""),88862.0)</f>
        <v>88862</v>
      </c>
      <c r="B4299" s="5">
        <f>IFERROR(__xludf.DUMMYFUNCTION("""COMPUTED_VALUE"""),45014.443706157406)</f>
        <v>45014.44371</v>
      </c>
      <c r="C4299" s="1" t="str">
        <f>IFERROR(__xludf.DUMMYFUNCTION("""COMPUTED_VALUE"""),"OCHOA RAFAEL")</f>
        <v>OCHOA RAFAEL</v>
      </c>
      <c r="D4299" s="1" t="str">
        <f>IFERROR(__xludf.DUMMYFUNCTION("""COMPUTED_VALUE"""),"Lentes de STOCK")</f>
        <v>Lentes de STOCK</v>
      </c>
      <c r="E4299" s="1" t="str">
        <f>IFERROR(__xludf.DUMMYFUNCTION("""COMPUTED_VALUE"""),"ARTIGAS Ivana P.")</f>
        <v>ARTIGAS Ivana P.</v>
      </c>
      <c r="F4299" s="1" t="str">
        <f t="shared" si="1"/>
        <v>ARTIGAS </v>
      </c>
      <c r="G4299" s="1" t="str">
        <f t="shared" si="2"/>
        <v>Ivana P.</v>
      </c>
      <c r="H4299" s="1" t="str">
        <f>IFERROR(__xludf.DUMMYFUNCTION("""COMPUTED_VALUE"""),"5/4/2023, 17:00:00")</f>
        <v>5/4/2023, 17:00:00</v>
      </c>
      <c r="I4299" s="1" t="str">
        <f>IFERROR(__xludf.DUMMYFUNCTION("""COMPUTED_VALUE"""),"RETIRADO OK POR CLIENTE")</f>
        <v>RETIRADO OK POR CLIENTE</v>
      </c>
      <c r="J4299" s="1">
        <f t="shared" si="3"/>
        <v>6</v>
      </c>
      <c r="K4299" s="1" t="str">
        <f t="shared" si="4"/>
        <v>Entregamos tus lentes, que los disfrutes!</v>
      </c>
    </row>
    <row r="4300">
      <c r="A4300" s="1">
        <f>IFERROR(__xludf.DUMMYFUNCTION("""COMPUTED_VALUE"""),88863.0)</f>
        <v>88863</v>
      </c>
      <c r="B4300" s="5">
        <f>IFERROR(__xludf.DUMMYFUNCTION("""COMPUTED_VALUE"""),45014.44764097223)</f>
        <v>45014.44764</v>
      </c>
      <c r="C4300" s="1" t="str">
        <f>IFERROR(__xludf.DUMMYFUNCTION("""COMPUTED_VALUE"""),"FERREYRA PALACIOS CAMILA NAHIR")</f>
        <v>FERREYRA PALACIOS CAMILA NAHIR</v>
      </c>
      <c r="D4300" s="1" t="str">
        <f>IFERROR(__xludf.DUMMYFUNCTION("""COMPUTED_VALUE"""),"Lentes de STOCK")</f>
        <v>Lentes de STOCK</v>
      </c>
      <c r="E4300" s="1" t="str">
        <f>IFERROR(__xludf.DUMMYFUNCTION("""COMPUTED_VALUE"""),"ARTIGAS Roció")</f>
        <v>ARTIGAS Roció</v>
      </c>
      <c r="F4300" s="1" t="str">
        <f t="shared" si="1"/>
        <v>ARTIGAS </v>
      </c>
      <c r="G4300" s="1" t="str">
        <f t="shared" si="2"/>
        <v>Roció</v>
      </c>
      <c r="H4300" s="1" t="str">
        <f>IFERROR(__xludf.DUMMYFUNCTION("""COMPUTED_VALUE"""),"5/4/2023, 17:00:00")</f>
        <v>5/4/2023, 17:00:00</v>
      </c>
      <c r="I4300" s="1" t="str">
        <f>IFERROR(__xludf.DUMMYFUNCTION("""COMPUTED_VALUE"""),"RETIRADO OK POR CLIENTE")</f>
        <v>RETIRADO OK POR CLIENTE</v>
      </c>
      <c r="J4300" s="1">
        <f t="shared" si="3"/>
        <v>6</v>
      </c>
      <c r="K4300" s="1" t="str">
        <f t="shared" si="4"/>
        <v>Entregamos tus lentes, que los disfrutes!</v>
      </c>
    </row>
    <row r="4301">
      <c r="A4301" s="1">
        <f>IFERROR(__xludf.DUMMYFUNCTION("""COMPUTED_VALUE"""),88864.0)</f>
        <v>88864</v>
      </c>
      <c r="B4301" s="5">
        <f>IFERROR(__xludf.DUMMYFUNCTION("""COMPUTED_VALUE"""),45014.447777141206)</f>
        <v>45014.44778</v>
      </c>
      <c r="C4301" s="1" t="str">
        <f>IFERROR(__xludf.DUMMYFUNCTION("""COMPUTED_VALUE"""),"ALESSINA CARLA ANTONELA")</f>
        <v>ALESSINA CARLA ANTONELA</v>
      </c>
      <c r="D4301" s="1" t="str">
        <f>IFERROR(__xludf.DUMMYFUNCTION("""COMPUTED_VALUE"""),"ANULADO")</f>
        <v>ANULADO</v>
      </c>
      <c r="E4301" s="1" t="str">
        <f>IFERROR(__xludf.DUMMYFUNCTION("""COMPUTED_VALUE"""),"RIVADAVIA Javier")</f>
        <v>RIVADAVIA Javier</v>
      </c>
      <c r="F4301" s="1" t="str">
        <f t="shared" si="1"/>
        <v>RIVADAVIA </v>
      </c>
      <c r="G4301" s="1" t="str">
        <f t="shared" si="2"/>
        <v>Javier</v>
      </c>
      <c r="H4301" s="1" t="str">
        <f>IFERROR(__xludf.DUMMYFUNCTION("""COMPUTED_VALUE"""),"4/4/2023, 17:00:00")</f>
        <v>4/4/2023, 17:00:00</v>
      </c>
      <c r="I4301" s="1"/>
      <c r="J4301" s="1">
        <f t="shared" si="3"/>
        <v>0</v>
      </c>
      <c r="K4301" s="1" t="str">
        <f t="shared" si="4"/>
        <v/>
      </c>
    </row>
    <row r="4302">
      <c r="A4302" s="1">
        <f>IFERROR(__xludf.DUMMYFUNCTION("""COMPUTED_VALUE"""),88865.0)</f>
        <v>88865</v>
      </c>
      <c r="B4302" s="5">
        <f>IFERROR(__xludf.DUMMYFUNCTION("""COMPUTED_VALUE"""),45014.44796885416)</f>
        <v>45014.44797</v>
      </c>
      <c r="C4302" s="1" t="str">
        <f>IFERROR(__xludf.DUMMYFUNCTION("""COMPUTED_VALUE"""),"CHOCR LEYLA ")</f>
        <v>CHOCR LEYLA </v>
      </c>
      <c r="D4302" s="1" t="str">
        <f>IFERROR(__xludf.DUMMYFUNCTION("""COMPUTED_VALUE"""),"Lentes de STOCK")</f>
        <v>Lentes de STOCK</v>
      </c>
      <c r="E4302" s="1" t="str">
        <f>IFERROR(__xludf.DUMMYFUNCTION("""COMPUTED_VALUE"""),"RIVADAVIA Luciana")</f>
        <v>RIVADAVIA Luciana</v>
      </c>
      <c r="F4302" s="1" t="str">
        <f t="shared" si="1"/>
        <v>RIVADAVIA </v>
      </c>
      <c r="G4302" s="1" t="str">
        <f t="shared" si="2"/>
        <v>Luciana</v>
      </c>
      <c r="H4302" s="1" t="str">
        <f>IFERROR(__xludf.DUMMYFUNCTION("""COMPUTED_VALUE"""),"4/4/2023, 17:00:00")</f>
        <v>4/4/2023, 17:00:00</v>
      </c>
      <c r="I4302" s="1" t="str">
        <f>IFERROR(__xludf.DUMMYFUNCTION("""COMPUTED_VALUE"""),"RETIRADO OK POR CLIENTE")</f>
        <v>RETIRADO OK POR CLIENTE</v>
      </c>
      <c r="J4302" s="1">
        <f t="shared" si="3"/>
        <v>6</v>
      </c>
      <c r="K4302" s="1" t="str">
        <f t="shared" si="4"/>
        <v>Entregamos tus lentes, que los disfrutes!</v>
      </c>
    </row>
    <row r="4303">
      <c r="A4303" s="1">
        <f>IFERROR(__xludf.DUMMYFUNCTION("""COMPUTED_VALUE"""),88866.0)</f>
        <v>88866</v>
      </c>
      <c r="B4303" s="5">
        <f>IFERROR(__xludf.DUMMYFUNCTION("""COMPUTED_VALUE"""),45014.45012758102)</f>
        <v>45014.45013</v>
      </c>
      <c r="C4303" s="1" t="str">
        <f>IFERROR(__xludf.DUMMYFUNCTION("""COMPUTED_VALUE"""),"Cruceño Juan Carlos")</f>
        <v>Cruceño Juan Carlos</v>
      </c>
      <c r="D4303" s="1" t="str">
        <f>IFERROR(__xludf.DUMMYFUNCTION("""COMPUTED_VALUE"""),"Lentes de STOCK")</f>
        <v>Lentes de STOCK</v>
      </c>
      <c r="E4303" s="1" t="str">
        <f>IFERROR(__xludf.DUMMYFUNCTION("""COMPUTED_VALUE"""),"RIVADAVIA Santiago LOPEZ")</f>
        <v>RIVADAVIA Santiago LOPEZ</v>
      </c>
      <c r="F4303" s="1" t="str">
        <f t="shared" si="1"/>
        <v>RIVADAVIA </v>
      </c>
      <c r="G4303" s="1" t="str">
        <f t="shared" si="2"/>
        <v>Santiago LOPEZ</v>
      </c>
      <c r="H4303" s="1" t="str">
        <f>IFERROR(__xludf.DUMMYFUNCTION("""COMPUTED_VALUE"""),"3/4/2023, 17:00:00")</f>
        <v>3/4/2023, 17:00:00</v>
      </c>
      <c r="I4303" s="1" t="str">
        <f>IFERROR(__xludf.DUMMYFUNCTION("""COMPUTED_VALUE"""),"RETIRADO OK POR CLIENTE")</f>
        <v>RETIRADO OK POR CLIENTE</v>
      </c>
      <c r="J4303" s="1">
        <f t="shared" si="3"/>
        <v>6</v>
      </c>
      <c r="K4303" s="1" t="str">
        <f t="shared" si="4"/>
        <v>Entregamos tus lentes, que los disfrutes!</v>
      </c>
    </row>
    <row r="4304">
      <c r="A4304" s="1">
        <f>IFERROR(__xludf.DUMMYFUNCTION("""COMPUTED_VALUE"""),88867.0)</f>
        <v>88867</v>
      </c>
      <c r="B4304" s="5">
        <f>IFERROR(__xludf.DUMMYFUNCTION("""COMPUTED_VALUE"""),45014.45379888889)</f>
        <v>45014.4538</v>
      </c>
      <c r="C4304" s="1" t="str">
        <f>IFERROR(__xludf.DUMMYFUNCTION("""COMPUTED_VALUE"""),"CRESPIN SUSANA")</f>
        <v>CRESPIN SUSANA</v>
      </c>
      <c r="D4304" s="1" t="str">
        <f>IFERROR(__xludf.DUMMYFUNCTION("""COMPUTED_VALUE"""),"Reparaciones/Otros")</f>
        <v>Reparaciones/Otros</v>
      </c>
      <c r="E4304" s="1" t="str">
        <f>IFERROR(__xludf.DUMMYFUNCTION("""COMPUTED_VALUE"""),"RIVADAVIA Luciana")</f>
        <v>RIVADAVIA Luciana</v>
      </c>
      <c r="F4304" s="1" t="str">
        <f t="shared" si="1"/>
        <v>RIVADAVIA </v>
      </c>
      <c r="G4304" s="1" t="str">
        <f t="shared" si="2"/>
        <v>Luciana</v>
      </c>
      <c r="H4304" s="1" t="str">
        <f>IFERROR(__xludf.DUMMYFUNCTION("""COMPUTED_VALUE"""),"30/3/2023, 17:00:00")</f>
        <v>30/3/2023, 17:00:00</v>
      </c>
      <c r="I4304" s="1" t="str">
        <f>IFERROR(__xludf.DUMMYFUNCTION("""COMPUTED_VALUE"""),"Completado en SUCURSAL")</f>
        <v>Completado en SUCURSAL</v>
      </c>
      <c r="J4304" s="1">
        <f t="shared" si="3"/>
        <v>5</v>
      </c>
      <c r="K4304" s="1" t="str">
        <f t="shared" si="4"/>
        <v>Tus Lentes estan LISTAS PARA ENTREGAR, te esperamos.</v>
      </c>
    </row>
    <row r="4305">
      <c r="A4305" s="1">
        <f>IFERROR(__xludf.DUMMYFUNCTION("""COMPUTED_VALUE"""),88868.0)</f>
        <v>88868</v>
      </c>
      <c r="B4305" s="5">
        <f>IFERROR(__xludf.DUMMYFUNCTION("""COMPUTED_VALUE"""),45014.4565603125)</f>
        <v>45014.45656</v>
      </c>
      <c r="C4305" s="1" t="str">
        <f>IFERROR(__xludf.DUMMYFUNCTION("""COMPUTED_VALUE"""),"ALESSINA CARLA ANTONELA")</f>
        <v>ALESSINA CARLA ANTONELA</v>
      </c>
      <c r="D4305" s="1" t="str">
        <f>IFERROR(__xludf.DUMMYFUNCTION("""COMPUTED_VALUE"""),"Lentes de STOCK")</f>
        <v>Lentes de STOCK</v>
      </c>
      <c r="E4305" s="1" t="str">
        <f>IFERROR(__xludf.DUMMYFUNCTION("""COMPUTED_VALUE"""),"RIVADAVIA Javier")</f>
        <v>RIVADAVIA Javier</v>
      </c>
      <c r="F4305" s="1" t="str">
        <f t="shared" si="1"/>
        <v>RIVADAVIA </v>
      </c>
      <c r="G4305" s="1" t="str">
        <f t="shared" si="2"/>
        <v>Javier</v>
      </c>
      <c r="H4305" s="1" t="str">
        <f>IFERROR(__xludf.DUMMYFUNCTION("""COMPUTED_VALUE"""),"5/4/2023, 17:00:00")</f>
        <v>5/4/2023, 17:00:00</v>
      </c>
      <c r="I4305" s="1" t="str">
        <f>IFERROR(__xludf.DUMMYFUNCTION("""COMPUTED_VALUE"""),"RETIRADO OK POR CLIENTE")</f>
        <v>RETIRADO OK POR CLIENTE</v>
      </c>
      <c r="J4305" s="1">
        <f t="shared" si="3"/>
        <v>6</v>
      </c>
      <c r="K4305" s="1" t="str">
        <f t="shared" si="4"/>
        <v>Entregamos tus lentes, que los disfrutes!</v>
      </c>
    </row>
    <row r="4306">
      <c r="A4306" s="1">
        <f>IFERROR(__xludf.DUMMYFUNCTION("""COMPUTED_VALUE"""),88869.0)</f>
        <v>88869</v>
      </c>
      <c r="B4306" s="5">
        <f>IFERROR(__xludf.DUMMYFUNCTION("""COMPUTED_VALUE"""),45014.45765170139)</f>
        <v>45014.45765</v>
      </c>
      <c r="C4306" s="1" t="str">
        <f>IFERROR(__xludf.DUMMYFUNCTION("""COMPUTED_VALUE"""),"Zaccardi Sergio")</f>
        <v>Zaccardi Sergio</v>
      </c>
      <c r="D4306" s="1" t="str">
        <f>IFERROR(__xludf.DUMMYFUNCTION("""COMPUTED_VALUE"""),"Lentes de STOCK")</f>
        <v>Lentes de STOCK</v>
      </c>
      <c r="E4306" s="1" t="str">
        <f>IFERROR(__xludf.DUMMYFUNCTION("""COMPUTED_VALUE"""),"RIVADAVIA Javier")</f>
        <v>RIVADAVIA Javier</v>
      </c>
      <c r="F4306" s="1" t="str">
        <f t="shared" si="1"/>
        <v>RIVADAVIA </v>
      </c>
      <c r="G4306" s="1" t="str">
        <f t="shared" si="2"/>
        <v>Javier</v>
      </c>
      <c r="H4306" s="1" t="str">
        <f>IFERROR(__xludf.DUMMYFUNCTION("""COMPUTED_VALUE"""),"5/4/2023, 17:00:00")</f>
        <v>5/4/2023, 17:00:00</v>
      </c>
      <c r="I4306" s="1" t="str">
        <f>IFERROR(__xludf.DUMMYFUNCTION("""COMPUTED_VALUE"""),"RETIRADO OK POR CLIENTE")</f>
        <v>RETIRADO OK POR CLIENTE</v>
      </c>
      <c r="J4306" s="1">
        <f t="shared" si="3"/>
        <v>6</v>
      </c>
      <c r="K4306" s="1" t="str">
        <f t="shared" si="4"/>
        <v>Entregamos tus lentes, que los disfrutes!</v>
      </c>
    </row>
    <row r="4307">
      <c r="A4307" s="1">
        <f>IFERROR(__xludf.DUMMYFUNCTION("""COMPUTED_VALUE"""),88870.0)</f>
        <v>88870</v>
      </c>
      <c r="B4307" s="5">
        <f>IFERROR(__xludf.DUMMYFUNCTION("""COMPUTED_VALUE"""),45014.46298614584)</f>
        <v>45014.46299</v>
      </c>
      <c r="C4307" s="1" t="str">
        <f>IFERROR(__xludf.DUMMYFUNCTION("""COMPUTED_VALUE"""),"RIOS ANTONIA BEATRIZ")</f>
        <v>RIOS ANTONIA BEATRIZ</v>
      </c>
      <c r="D4307" s="1" t="str">
        <f>IFERROR(__xludf.DUMMYFUNCTION("""COMPUTED_VALUE"""),"Lentes de STOCK")</f>
        <v>Lentes de STOCK</v>
      </c>
      <c r="E4307" s="1" t="str">
        <f>IFERROR(__xludf.DUMMYFUNCTION("""COMPUTED_VALUE"""),"ARTIGAS Roció")</f>
        <v>ARTIGAS Roció</v>
      </c>
      <c r="F4307" s="1" t="str">
        <f t="shared" si="1"/>
        <v>ARTIGAS </v>
      </c>
      <c r="G4307" s="1" t="str">
        <f t="shared" si="2"/>
        <v>Roció</v>
      </c>
      <c r="H4307" s="1" t="str">
        <f>IFERROR(__xludf.DUMMYFUNCTION("""COMPUTED_VALUE"""),"5/4/2023, 17:00:00")</f>
        <v>5/4/2023, 17:00:00</v>
      </c>
      <c r="I4307" s="1" t="str">
        <f>IFERROR(__xludf.DUMMYFUNCTION("""COMPUTED_VALUE"""),"Completado en SUCURSAL")</f>
        <v>Completado en SUCURSAL</v>
      </c>
      <c r="J4307" s="1">
        <f t="shared" si="3"/>
        <v>5</v>
      </c>
      <c r="K4307" s="1" t="str">
        <f t="shared" si="4"/>
        <v>Tus Lentes estan LISTAS PARA ENTREGAR, te esperamos.</v>
      </c>
    </row>
    <row r="4308">
      <c r="A4308" s="1">
        <f>IFERROR(__xludf.DUMMYFUNCTION("""COMPUTED_VALUE"""),88871.0)</f>
        <v>88871</v>
      </c>
      <c r="B4308" s="5">
        <f>IFERROR(__xludf.DUMMYFUNCTION("""COMPUTED_VALUE"""),45014.46465483797)</f>
        <v>45014.46465</v>
      </c>
      <c r="C4308" s="1" t="str">
        <f>IFERROR(__xludf.DUMMYFUNCTION("""COMPUTED_VALUE"""),"CASADO MARIA VALERIA")</f>
        <v>CASADO MARIA VALERIA</v>
      </c>
      <c r="D4308" s="1" t="str">
        <f>IFERROR(__xludf.DUMMYFUNCTION("""COMPUTED_VALUE"""),"Lentes de STOCK")</f>
        <v>Lentes de STOCK</v>
      </c>
      <c r="E4308" s="1" t="str">
        <f>IFERROR(__xludf.DUMMYFUNCTION("""COMPUTED_VALUE"""),"RIVADAVIA Luciana")</f>
        <v>RIVADAVIA Luciana</v>
      </c>
      <c r="F4308" s="1" t="str">
        <f t="shared" si="1"/>
        <v>RIVADAVIA </v>
      </c>
      <c r="G4308" s="1" t="str">
        <f t="shared" si="2"/>
        <v>Luciana</v>
      </c>
      <c r="H4308" s="1" t="str">
        <f>IFERROR(__xludf.DUMMYFUNCTION("""COMPUTED_VALUE"""),"3/4/2023, 17:00:00")</f>
        <v>3/4/2023, 17:00:00</v>
      </c>
      <c r="I4308" s="1" t="str">
        <f>IFERROR(__xludf.DUMMYFUNCTION("""COMPUTED_VALUE"""),"RETIRADO OK POR CLIENTE")</f>
        <v>RETIRADO OK POR CLIENTE</v>
      </c>
      <c r="J4308" s="1">
        <f t="shared" si="3"/>
        <v>6</v>
      </c>
      <c r="K4308" s="1" t="str">
        <f t="shared" si="4"/>
        <v>Entregamos tus lentes, que los disfrutes!</v>
      </c>
    </row>
    <row r="4309">
      <c r="A4309" s="1">
        <f>IFERROR(__xludf.DUMMYFUNCTION("""COMPUTED_VALUE"""),88872.0)</f>
        <v>88872</v>
      </c>
      <c r="B4309" s="5">
        <f>IFERROR(__xludf.DUMMYFUNCTION("""COMPUTED_VALUE"""),45014.466874641206)</f>
        <v>45014.46687</v>
      </c>
      <c r="C4309" s="1" t="str">
        <f>IFERROR(__xludf.DUMMYFUNCTION("""COMPUTED_VALUE"""),"ALVAREZ BELEN")</f>
        <v>ALVAREZ BELEN</v>
      </c>
      <c r="D4309" s="1" t="str">
        <f>IFERROR(__xludf.DUMMYFUNCTION("""COMPUTED_VALUE"""),"Reparaciones/Otros")</f>
        <v>Reparaciones/Otros</v>
      </c>
      <c r="E4309" s="1" t="str">
        <f>IFERROR(__xludf.DUMMYFUNCTION("""COMPUTED_VALUE"""),"ARTIGAS Roció")</f>
        <v>ARTIGAS Roció</v>
      </c>
      <c r="F4309" s="1" t="str">
        <f t="shared" si="1"/>
        <v>ARTIGAS </v>
      </c>
      <c r="G4309" s="1" t="str">
        <f t="shared" si="2"/>
        <v>Roció</v>
      </c>
      <c r="H4309" s="1" t="str">
        <f>IFERROR(__xludf.DUMMYFUNCTION("""COMPUTED_VALUE"""),"30/3/2023, 17:00:00")</f>
        <v>30/3/2023, 17:00:00</v>
      </c>
      <c r="I4309" s="1" t="str">
        <f>IFERROR(__xludf.DUMMYFUNCTION("""COMPUTED_VALUE"""),"Completado en SUCURSAL")</f>
        <v>Completado en SUCURSAL</v>
      </c>
      <c r="J4309" s="1">
        <f t="shared" si="3"/>
        <v>5</v>
      </c>
      <c r="K4309" s="1" t="str">
        <f t="shared" si="4"/>
        <v>Tus Lentes estan LISTAS PARA ENTREGAR, te esperamos.</v>
      </c>
    </row>
    <row r="4310">
      <c r="A4310" s="1">
        <f>IFERROR(__xludf.DUMMYFUNCTION("""COMPUTED_VALUE"""),88873.0)</f>
        <v>88873</v>
      </c>
      <c r="B4310" s="5">
        <f>IFERROR(__xludf.DUMMYFUNCTION("""COMPUTED_VALUE"""),45014.469431377314)</f>
        <v>45014.46943</v>
      </c>
      <c r="C4310" s="1" t="str">
        <f>IFERROR(__xludf.DUMMYFUNCTION("""COMPUTED_VALUE"""),"FERNANDEZ LUCAS ")</f>
        <v>FERNANDEZ LUCAS </v>
      </c>
      <c r="D4310" s="1" t="str">
        <f>IFERROR(__xludf.DUMMYFUNCTION("""COMPUTED_VALUE"""),"Lentes de STOCK")</f>
        <v>Lentes de STOCK</v>
      </c>
      <c r="E4310" s="1" t="str">
        <f>IFERROR(__xludf.DUMMYFUNCTION("""COMPUTED_VALUE"""),"ARTIGAS Roció")</f>
        <v>ARTIGAS Roció</v>
      </c>
      <c r="F4310" s="1" t="str">
        <f t="shared" si="1"/>
        <v>ARTIGAS </v>
      </c>
      <c r="G4310" s="1" t="str">
        <f t="shared" si="2"/>
        <v>Roció</v>
      </c>
      <c r="H4310" s="1" t="str">
        <f>IFERROR(__xludf.DUMMYFUNCTION("""COMPUTED_VALUE"""),"5/4/2023, 17:00:00")</f>
        <v>5/4/2023, 17:00:00</v>
      </c>
      <c r="I4310" s="1" t="str">
        <f>IFERROR(__xludf.DUMMYFUNCTION("""COMPUTED_VALUE"""),"RETIRADO OK POR CLIENTE")</f>
        <v>RETIRADO OK POR CLIENTE</v>
      </c>
      <c r="J4310" s="1">
        <f t="shared" si="3"/>
        <v>6</v>
      </c>
      <c r="K4310" s="1" t="str">
        <f t="shared" si="4"/>
        <v>Entregamos tus lentes, que los disfrutes!</v>
      </c>
    </row>
    <row r="4311">
      <c r="A4311" s="1">
        <f>IFERROR(__xludf.DUMMYFUNCTION("""COMPUTED_VALUE"""),88874.0)</f>
        <v>88874</v>
      </c>
      <c r="B4311" s="5">
        <f>IFERROR(__xludf.DUMMYFUNCTION("""COMPUTED_VALUE"""),45014.47167315972)</f>
        <v>45014.47167</v>
      </c>
      <c r="C4311" s="1" t="str">
        <f>IFERROR(__xludf.DUMMYFUNCTION("""COMPUTED_VALUE"""),"OROS LAUTARO LEONEL")</f>
        <v>OROS LAUTARO LEONEL</v>
      </c>
      <c r="D4311" s="1" t="str">
        <f>IFERROR(__xludf.DUMMYFUNCTION("""COMPUTED_VALUE"""),"Lentes de STOCK")</f>
        <v>Lentes de STOCK</v>
      </c>
      <c r="E4311" s="1" t="str">
        <f>IFERROR(__xludf.DUMMYFUNCTION("""COMPUTED_VALUE"""),"RIVADAVIA Marcela L")</f>
        <v>RIVADAVIA Marcela L</v>
      </c>
      <c r="F4311" s="1" t="str">
        <f t="shared" si="1"/>
        <v>RIVADAVIA </v>
      </c>
      <c r="G4311" s="1" t="str">
        <f t="shared" si="2"/>
        <v>Marcela L</v>
      </c>
      <c r="H4311" s="1" t="str">
        <f>IFERROR(__xludf.DUMMYFUNCTION("""COMPUTED_VALUE"""),"4/4/2023, 17:00:00")</f>
        <v>4/4/2023, 17:00:00</v>
      </c>
      <c r="I4311" s="1" t="str">
        <f>IFERROR(__xludf.DUMMYFUNCTION("""COMPUTED_VALUE"""),"RETIRADO OK POR CLIENTE")</f>
        <v>RETIRADO OK POR CLIENTE</v>
      </c>
      <c r="J4311" s="1">
        <f t="shared" si="3"/>
        <v>6</v>
      </c>
      <c r="K4311" s="1" t="str">
        <f t="shared" si="4"/>
        <v>Entregamos tus lentes, que los disfrutes!</v>
      </c>
    </row>
    <row r="4312">
      <c r="A4312" s="1">
        <f>IFERROR(__xludf.DUMMYFUNCTION("""COMPUTED_VALUE"""),88875.0)</f>
        <v>88875</v>
      </c>
      <c r="B4312" s="5">
        <f>IFERROR(__xludf.DUMMYFUNCTION("""COMPUTED_VALUE"""),45014.479362569444)</f>
        <v>45014.47936</v>
      </c>
      <c r="C4312" s="1" t="str">
        <f>IFERROR(__xludf.DUMMYFUNCTION("""COMPUTED_VALUE"""),"CARRANZA, MARIA DE LOS ANGELES")</f>
        <v>CARRANZA, MARIA DE LOS ANGELES</v>
      </c>
      <c r="D4312" s="1" t="str">
        <f>IFERROR(__xludf.DUMMYFUNCTION("""COMPUTED_VALUE"""),"Lentes de STOCK")</f>
        <v>Lentes de STOCK</v>
      </c>
      <c r="E4312" s="1" t="str">
        <f>IFERROR(__xludf.DUMMYFUNCTION("""COMPUTED_VALUE"""),"RIVADAVIA Christian C.")</f>
        <v>RIVADAVIA Christian C.</v>
      </c>
      <c r="F4312" s="1" t="str">
        <f t="shared" si="1"/>
        <v>RIVADAVIA </v>
      </c>
      <c r="G4312" s="1" t="str">
        <f t="shared" si="2"/>
        <v>Christian C.</v>
      </c>
      <c r="H4312" s="1" t="str">
        <f>IFERROR(__xludf.DUMMYFUNCTION("""COMPUTED_VALUE"""),"5/4/2023, 17:00:00")</f>
        <v>5/4/2023, 17:00:00</v>
      </c>
      <c r="I4312" s="1" t="str">
        <f>IFERROR(__xludf.DUMMYFUNCTION("""COMPUTED_VALUE"""),"RETIRADO OK POR CLIENTE")</f>
        <v>RETIRADO OK POR CLIENTE</v>
      </c>
      <c r="J4312" s="1">
        <f t="shared" si="3"/>
        <v>6</v>
      </c>
      <c r="K4312" s="1" t="str">
        <f t="shared" si="4"/>
        <v>Entregamos tus lentes, que los disfrutes!</v>
      </c>
    </row>
    <row r="4313">
      <c r="A4313" s="1">
        <f>IFERROR(__xludf.DUMMYFUNCTION("""COMPUTED_VALUE"""),88876.0)</f>
        <v>88876</v>
      </c>
      <c r="B4313" s="5">
        <f>IFERROR(__xludf.DUMMYFUNCTION("""COMPUTED_VALUE"""),45014.47986303241)</f>
        <v>45014.47986</v>
      </c>
      <c r="C4313" s="1" t="str">
        <f>IFERROR(__xludf.DUMMYFUNCTION("""COMPUTED_VALUE"""),"ROMERO ROCIO")</f>
        <v>ROMERO ROCIO</v>
      </c>
      <c r="D4313" s="1" t="str">
        <f>IFERROR(__xludf.DUMMYFUNCTION("""COMPUTED_VALUE"""),"Lentes de STOCK")</f>
        <v>Lentes de STOCK</v>
      </c>
      <c r="E4313" s="1" t="str">
        <f>IFERROR(__xludf.DUMMYFUNCTION("""COMPUTED_VALUE"""),"RIVADAVIA Luciana")</f>
        <v>RIVADAVIA Luciana</v>
      </c>
      <c r="F4313" s="1" t="str">
        <f t="shared" si="1"/>
        <v>RIVADAVIA </v>
      </c>
      <c r="G4313" s="1" t="str">
        <f t="shared" si="2"/>
        <v>Luciana</v>
      </c>
      <c r="H4313" s="1" t="str">
        <f>IFERROR(__xludf.DUMMYFUNCTION("""COMPUTED_VALUE"""),"4/4/2023, 17:00:00")</f>
        <v>4/4/2023, 17:00:00</v>
      </c>
      <c r="I4313" s="1" t="str">
        <f>IFERROR(__xludf.DUMMYFUNCTION("""COMPUTED_VALUE"""),"RETIRADO OK POR CLIENTE")</f>
        <v>RETIRADO OK POR CLIENTE</v>
      </c>
      <c r="J4313" s="1">
        <f t="shared" si="3"/>
        <v>6</v>
      </c>
      <c r="K4313" s="1" t="str">
        <f t="shared" si="4"/>
        <v>Entregamos tus lentes, que los disfrutes!</v>
      </c>
    </row>
    <row r="4314">
      <c r="A4314" s="1">
        <f>IFERROR(__xludf.DUMMYFUNCTION("""COMPUTED_VALUE"""),88877.0)</f>
        <v>88877</v>
      </c>
      <c r="B4314" s="5">
        <f>IFERROR(__xludf.DUMMYFUNCTION("""COMPUTED_VALUE"""),45014.481204895834)</f>
        <v>45014.4812</v>
      </c>
      <c r="C4314" s="1" t="str">
        <f>IFERROR(__xludf.DUMMYFUNCTION("""COMPUTED_VALUE"""),"Gatica Micaela")</f>
        <v>Gatica Micaela</v>
      </c>
      <c r="D4314" s="1" t="str">
        <f>IFERROR(__xludf.DUMMYFUNCTION("""COMPUTED_VALUE"""),"Reparaciones/Otros")</f>
        <v>Reparaciones/Otros</v>
      </c>
      <c r="E4314" s="1" t="str">
        <f>IFERROR(__xludf.DUMMYFUNCTION("""COMPUTED_VALUE"""),"ARTIGAS Sandra G")</f>
        <v>ARTIGAS Sandra G</v>
      </c>
      <c r="F4314" s="1" t="str">
        <f t="shared" si="1"/>
        <v>ARTIGAS </v>
      </c>
      <c r="G4314" s="1" t="str">
        <f t="shared" si="2"/>
        <v>Sandra G</v>
      </c>
      <c r="H4314" s="1" t="str">
        <f>IFERROR(__xludf.DUMMYFUNCTION("""COMPUTED_VALUE"""),"3/4/2023, 17:00:00")</f>
        <v>3/4/2023, 17:00:00</v>
      </c>
      <c r="I4314" s="1" t="str">
        <f>IFERROR(__xludf.DUMMYFUNCTION("""COMPUTED_VALUE"""),"Completado en SUCURSAL")</f>
        <v>Completado en SUCURSAL</v>
      </c>
      <c r="J4314" s="1">
        <f t="shared" si="3"/>
        <v>5</v>
      </c>
      <c r="K4314" s="1" t="str">
        <f t="shared" si="4"/>
        <v>Tus Lentes estan LISTAS PARA ENTREGAR, te esperamos.</v>
      </c>
    </row>
    <row r="4315">
      <c r="A4315" s="1">
        <f>IFERROR(__xludf.DUMMYFUNCTION("""COMPUTED_VALUE"""),88878.0)</f>
        <v>88878</v>
      </c>
      <c r="B4315" s="5">
        <f>IFERROR(__xludf.DUMMYFUNCTION("""COMPUTED_VALUE"""),45014.48211237269)</f>
        <v>45014.48211</v>
      </c>
      <c r="C4315" s="1" t="str">
        <f>IFERROR(__xludf.DUMMYFUNCTION("""COMPUTED_VALUE"""),"GELVES NATALIA")</f>
        <v>GELVES NATALIA</v>
      </c>
      <c r="D4315" s="1" t="str">
        <f>IFERROR(__xludf.DUMMYFUNCTION("""COMPUTED_VALUE"""),"Lentes de STOCK")</f>
        <v>Lentes de STOCK</v>
      </c>
      <c r="E4315" s="1" t="str">
        <f>IFERROR(__xludf.DUMMYFUNCTION("""COMPUTED_VALUE"""),"RIVADAVIA Santiago LOPEZ")</f>
        <v>RIVADAVIA Santiago LOPEZ</v>
      </c>
      <c r="F4315" s="1" t="str">
        <f t="shared" si="1"/>
        <v>RIVADAVIA </v>
      </c>
      <c r="G4315" s="1" t="str">
        <f t="shared" si="2"/>
        <v>Santiago LOPEZ</v>
      </c>
      <c r="H4315" s="1" t="str">
        <f>IFERROR(__xludf.DUMMYFUNCTION("""COMPUTED_VALUE"""),"3/4/2023, 17:00:00")</f>
        <v>3/4/2023, 17:00:00</v>
      </c>
      <c r="I4315" s="1" t="str">
        <f>IFERROR(__xludf.DUMMYFUNCTION("""COMPUTED_VALUE"""),"Completado en SUCURSAL")</f>
        <v>Completado en SUCURSAL</v>
      </c>
      <c r="J4315" s="1">
        <f t="shared" si="3"/>
        <v>5</v>
      </c>
      <c r="K4315" s="1" t="str">
        <f t="shared" si="4"/>
        <v>Tus Lentes estan LISTAS PARA ENTREGAR, te esperamos.</v>
      </c>
    </row>
    <row r="4316">
      <c r="A4316" s="1">
        <f>IFERROR(__xludf.DUMMYFUNCTION("""COMPUTED_VALUE"""),88879.0)</f>
        <v>88879</v>
      </c>
      <c r="B4316" s="5">
        <f>IFERROR(__xludf.DUMMYFUNCTION("""COMPUTED_VALUE"""),45014.48327523148)</f>
        <v>45014.48328</v>
      </c>
      <c r="C4316" s="1" t="str">
        <f>IFERROR(__xludf.DUMMYFUNCTION("""COMPUTED_VALUE"""),"ene maria elena")</f>
        <v>ene maria elena</v>
      </c>
      <c r="D4316" s="1" t="str">
        <f>IFERROR(__xludf.DUMMYFUNCTION("""COMPUTED_VALUE"""),"Lentes BIFOCALES")</f>
        <v>Lentes BIFOCALES</v>
      </c>
      <c r="E4316" s="1" t="str">
        <f>IFERROR(__xludf.DUMMYFUNCTION("""COMPUTED_VALUE"""),"RIVADAVIA Santiago N")</f>
        <v>RIVADAVIA Santiago N</v>
      </c>
      <c r="F4316" s="1" t="str">
        <f t="shared" si="1"/>
        <v>RIVADAVIA </v>
      </c>
      <c r="G4316" s="1" t="str">
        <f t="shared" si="2"/>
        <v>Santiago N</v>
      </c>
      <c r="H4316" s="1" t="str">
        <f>IFERROR(__xludf.DUMMYFUNCTION("""COMPUTED_VALUE"""),"1/4/2023, 17:00:00")</f>
        <v>1/4/2023, 17:00:00</v>
      </c>
      <c r="I4316" s="1" t="str">
        <f>IFERROR(__xludf.DUMMYFUNCTION("""COMPUTED_VALUE"""),"RETIRADO OK POR CLIENTE")</f>
        <v>RETIRADO OK POR CLIENTE</v>
      </c>
      <c r="J4316" s="1">
        <f t="shared" si="3"/>
        <v>6</v>
      </c>
      <c r="K4316" s="1" t="str">
        <f t="shared" si="4"/>
        <v>Entregamos tus lentes, que los disfrutes!</v>
      </c>
    </row>
    <row r="4317">
      <c r="A4317" s="1">
        <f>IFERROR(__xludf.DUMMYFUNCTION("""COMPUTED_VALUE"""),88880.0)</f>
        <v>88880</v>
      </c>
      <c r="B4317" s="5">
        <f>IFERROR(__xludf.DUMMYFUNCTION("""COMPUTED_VALUE"""),45014.48948120371)</f>
        <v>45014.48948</v>
      </c>
      <c r="C4317" s="1" t="str">
        <f>IFERROR(__xludf.DUMMYFUNCTION("""COMPUTED_VALUE"""),"ORTIZ ARMINDA ADELA")</f>
        <v>ORTIZ ARMINDA ADELA</v>
      </c>
      <c r="D4317" s="1" t="str">
        <f>IFERROR(__xludf.DUMMYFUNCTION("""COMPUTED_VALUE"""),"Lentes de LABORATORIO")</f>
        <v>Lentes de LABORATORIO</v>
      </c>
      <c r="E4317" s="1" t="str">
        <f>IFERROR(__xludf.DUMMYFUNCTION("""COMPUTED_VALUE"""),"ARTIGAS Ivana P.")</f>
        <v>ARTIGAS Ivana P.</v>
      </c>
      <c r="F4317" s="1" t="str">
        <f t="shared" si="1"/>
        <v>ARTIGAS </v>
      </c>
      <c r="G4317" s="1" t="str">
        <f t="shared" si="2"/>
        <v>Ivana P.</v>
      </c>
      <c r="H4317" s="1" t="str">
        <f>IFERROR(__xludf.DUMMYFUNCTION("""COMPUTED_VALUE"""),"13/4/2023, 17:00:00")</f>
        <v>13/4/2023, 17:00:00</v>
      </c>
      <c r="I4317" s="1" t="str">
        <f>IFERROR(__xludf.DUMMYFUNCTION("""COMPUTED_VALUE"""),"Completado en SUCURSAL")</f>
        <v>Completado en SUCURSAL</v>
      </c>
      <c r="J4317" s="1">
        <f t="shared" si="3"/>
        <v>5</v>
      </c>
      <c r="K4317" s="1" t="str">
        <f t="shared" si="4"/>
        <v>Tus Lentes estan LISTAS PARA ENTREGAR, te esperamos.</v>
      </c>
    </row>
    <row r="4318">
      <c r="A4318" s="1">
        <f>IFERROR(__xludf.DUMMYFUNCTION("""COMPUTED_VALUE"""),88881.0)</f>
        <v>88881</v>
      </c>
      <c r="B4318" s="5">
        <f>IFERROR(__xludf.DUMMYFUNCTION("""COMPUTED_VALUE"""),45014.49159012732)</f>
        <v>45014.49159</v>
      </c>
      <c r="C4318" s="1" t="str">
        <f>IFERROR(__xludf.DUMMYFUNCTION("""COMPUTED_VALUE"""),"BENGOLEA ANDRES")</f>
        <v>BENGOLEA ANDRES</v>
      </c>
      <c r="D4318" s="1" t="str">
        <f>IFERROR(__xludf.DUMMYFUNCTION("""COMPUTED_VALUE"""),"Reparaciones/Otros")</f>
        <v>Reparaciones/Otros</v>
      </c>
      <c r="E4318" s="1" t="str">
        <f>IFERROR(__xludf.DUMMYFUNCTION("""COMPUTED_VALUE"""),"ARTIGAS Roció")</f>
        <v>ARTIGAS Roció</v>
      </c>
      <c r="F4318" s="1" t="str">
        <f t="shared" si="1"/>
        <v>ARTIGAS </v>
      </c>
      <c r="G4318" s="1" t="str">
        <f t="shared" si="2"/>
        <v>Roció</v>
      </c>
      <c r="H4318" s="1" t="str">
        <f>IFERROR(__xludf.DUMMYFUNCTION("""COMPUTED_VALUE"""),"31/3/2023, 17:00:00")</f>
        <v>31/3/2023, 17:00:00</v>
      </c>
      <c r="I4318" s="1" t="str">
        <f>IFERROR(__xludf.DUMMYFUNCTION("""COMPUTED_VALUE"""),"Recibido en Laboratorio")</f>
        <v>Recibido en Laboratorio</v>
      </c>
      <c r="J4318" s="1">
        <f t="shared" si="3"/>
        <v>2</v>
      </c>
      <c r="K4318" s="1" t="str">
        <f t="shared" si="4"/>
        <v>Nuestro Laboratorio esta trabajando en tus lentes, los entregaremos en la fecha acordada.</v>
      </c>
    </row>
    <row r="4319">
      <c r="A4319" s="1">
        <f>IFERROR(__xludf.DUMMYFUNCTION("""COMPUTED_VALUE"""),88882.0)</f>
        <v>88882</v>
      </c>
      <c r="B4319" s="5">
        <f>IFERROR(__xludf.DUMMYFUNCTION("""COMPUTED_VALUE"""),45014.491793877314)</f>
        <v>45014.49179</v>
      </c>
      <c r="C4319" s="1" t="str">
        <f>IFERROR(__xludf.DUMMYFUNCTION("""COMPUTED_VALUE"""),"aguilar vivctor")</f>
        <v>aguilar vivctor</v>
      </c>
      <c r="D4319" s="1" t="str">
        <f>IFERROR(__xludf.DUMMYFUNCTION("""COMPUTED_VALUE"""),"Reparaciones/Otros")</f>
        <v>Reparaciones/Otros</v>
      </c>
      <c r="E4319" s="1" t="str">
        <f>IFERROR(__xludf.DUMMYFUNCTION("""COMPUTED_VALUE"""),"ARTIGAS Sandra G")</f>
        <v>ARTIGAS Sandra G</v>
      </c>
      <c r="F4319" s="1" t="str">
        <f t="shared" si="1"/>
        <v>ARTIGAS </v>
      </c>
      <c r="G4319" s="1" t="str">
        <f t="shared" si="2"/>
        <v>Sandra G</v>
      </c>
      <c r="H4319" s="1" t="str">
        <f>IFERROR(__xludf.DUMMYFUNCTION("""COMPUTED_VALUE"""),"30/3/2023, 17:00:00")</f>
        <v>30/3/2023, 17:00:00</v>
      </c>
      <c r="I4319" s="1" t="str">
        <f>IFERROR(__xludf.DUMMYFUNCTION("""COMPUTED_VALUE"""),"Completado en SUCURSAL")</f>
        <v>Completado en SUCURSAL</v>
      </c>
      <c r="J4319" s="1">
        <f t="shared" si="3"/>
        <v>5</v>
      </c>
      <c r="K4319" s="1" t="str">
        <f t="shared" si="4"/>
        <v>Tus Lentes estan LISTAS PARA ENTREGAR, te esperamos.</v>
      </c>
    </row>
    <row r="4320">
      <c r="A4320" s="1">
        <f>IFERROR(__xludf.DUMMYFUNCTION("""COMPUTED_VALUE"""),88883.0)</f>
        <v>88883</v>
      </c>
      <c r="B4320" s="5">
        <f>IFERROR(__xludf.DUMMYFUNCTION("""COMPUTED_VALUE"""),45014.49509340277)</f>
        <v>45014.49509</v>
      </c>
      <c r="C4320" s="1" t="str">
        <f>IFERROR(__xludf.DUMMYFUNCTION("""COMPUTED_VALUE"""),"DE PASQUALE CANDELA")</f>
        <v>DE PASQUALE CANDELA</v>
      </c>
      <c r="D4320" s="1" t="str">
        <f>IFERROR(__xludf.DUMMYFUNCTION("""COMPUTED_VALUE"""),"Lentes de STOCK")</f>
        <v>Lentes de STOCK</v>
      </c>
      <c r="E4320" s="1" t="str">
        <f>IFERROR(__xludf.DUMMYFUNCTION("""COMPUTED_VALUE"""),"RIVADAVIA Santiago LOPEZ")</f>
        <v>RIVADAVIA Santiago LOPEZ</v>
      </c>
      <c r="F4320" s="1" t="str">
        <f t="shared" si="1"/>
        <v>RIVADAVIA </v>
      </c>
      <c r="G4320" s="1" t="str">
        <f t="shared" si="2"/>
        <v>Santiago LOPEZ</v>
      </c>
      <c r="H4320" s="1" t="str">
        <f>IFERROR(__xludf.DUMMYFUNCTION("""COMPUTED_VALUE"""),"3/4/2023, 17:00:00")</f>
        <v>3/4/2023, 17:00:00</v>
      </c>
      <c r="I4320" s="1" t="str">
        <f>IFERROR(__xludf.DUMMYFUNCTION("""COMPUTED_VALUE"""),"RETIRADO OK POR CLIENTE")</f>
        <v>RETIRADO OK POR CLIENTE</v>
      </c>
      <c r="J4320" s="1">
        <f t="shared" si="3"/>
        <v>6</v>
      </c>
      <c r="K4320" s="1" t="str">
        <f t="shared" si="4"/>
        <v>Entregamos tus lentes, que los disfrutes!</v>
      </c>
    </row>
    <row r="4321">
      <c r="A4321" s="1">
        <f>IFERROR(__xludf.DUMMYFUNCTION("""COMPUTED_VALUE"""),88884.0)</f>
        <v>88884</v>
      </c>
      <c r="B4321" s="5">
        <f>IFERROR(__xludf.DUMMYFUNCTION("""COMPUTED_VALUE"""),45014.498183703705)</f>
        <v>45014.49818</v>
      </c>
      <c r="C4321" s="1" t="str">
        <f>IFERROR(__xludf.DUMMYFUNCTION("""COMPUTED_VALUE"""),"LAZZO MELINA NAHIR")</f>
        <v>LAZZO MELINA NAHIR</v>
      </c>
      <c r="D4321" s="1" t="str">
        <f>IFERROR(__xludf.DUMMYFUNCTION("""COMPUTED_VALUE"""),"Reparaciones/Otros")</f>
        <v>Reparaciones/Otros</v>
      </c>
      <c r="E4321" s="1" t="str">
        <f>IFERROR(__xludf.DUMMYFUNCTION("""COMPUTED_VALUE"""),"RIVADAVIA Marcela L")</f>
        <v>RIVADAVIA Marcela L</v>
      </c>
      <c r="F4321" s="1" t="str">
        <f t="shared" si="1"/>
        <v>RIVADAVIA </v>
      </c>
      <c r="G4321" s="1" t="str">
        <f t="shared" si="2"/>
        <v>Marcela L</v>
      </c>
      <c r="H4321" s="1" t="str">
        <f>IFERROR(__xludf.DUMMYFUNCTION("""COMPUTED_VALUE"""),"30/3/2023, 17:00:00")</f>
        <v>30/3/2023, 17:00:00</v>
      </c>
      <c r="I4321" s="1"/>
      <c r="J4321" s="1">
        <f t="shared" si="3"/>
        <v>0</v>
      </c>
      <c r="K4321" s="1" t="str">
        <f t="shared" si="4"/>
        <v/>
      </c>
    </row>
    <row r="4322">
      <c r="A4322" s="1">
        <f>IFERROR(__xludf.DUMMYFUNCTION("""COMPUTED_VALUE"""),88885.0)</f>
        <v>88885</v>
      </c>
      <c r="B4322" s="5">
        <f>IFERROR(__xludf.DUMMYFUNCTION("""COMPUTED_VALUE"""),45014.50870773148)</f>
        <v>45014.50871</v>
      </c>
      <c r="C4322" s="1" t="str">
        <f>IFERROR(__xludf.DUMMYFUNCTION("""COMPUTED_VALUE"""),"SASLAVSKY CESAR ")</f>
        <v>SASLAVSKY CESAR </v>
      </c>
      <c r="D4322" s="1" t="str">
        <f>IFERROR(__xludf.DUMMYFUNCTION("""COMPUTED_VALUE"""),"Lentes de STOCK")</f>
        <v>Lentes de STOCK</v>
      </c>
      <c r="E4322" s="1" t="str">
        <f>IFERROR(__xludf.DUMMYFUNCTION("""COMPUTED_VALUE"""),"RIVADAVIA Christian C.")</f>
        <v>RIVADAVIA Christian C.</v>
      </c>
      <c r="F4322" s="1" t="str">
        <f t="shared" si="1"/>
        <v>RIVADAVIA </v>
      </c>
      <c r="G4322" s="1" t="str">
        <f t="shared" si="2"/>
        <v>Christian C.</v>
      </c>
      <c r="H4322" s="1" t="str">
        <f>IFERROR(__xludf.DUMMYFUNCTION("""COMPUTED_VALUE"""),"5/4/2023, 17:00:00")</f>
        <v>5/4/2023, 17:00:00</v>
      </c>
      <c r="I4322" s="1" t="str">
        <f>IFERROR(__xludf.DUMMYFUNCTION("""COMPUTED_VALUE"""),"Completado en SUCURSAL")</f>
        <v>Completado en SUCURSAL</v>
      </c>
      <c r="J4322" s="1">
        <f t="shared" si="3"/>
        <v>5</v>
      </c>
      <c r="K4322" s="1" t="str">
        <f t="shared" si="4"/>
        <v>Tus Lentes estan LISTAS PARA ENTREGAR, te esperamos.</v>
      </c>
    </row>
    <row r="4323">
      <c r="A4323" s="1">
        <f>IFERROR(__xludf.DUMMYFUNCTION("""COMPUTED_VALUE"""),88886.0)</f>
        <v>88886</v>
      </c>
      <c r="B4323" s="5">
        <f>IFERROR(__xludf.DUMMYFUNCTION("""COMPUTED_VALUE"""),45014.513579756946)</f>
        <v>45014.51358</v>
      </c>
      <c r="C4323" s="1" t="str">
        <f>IFERROR(__xludf.DUMMYFUNCTION("""COMPUTED_VALUE"""),"OGAS LUCIANO")</f>
        <v>OGAS LUCIANO</v>
      </c>
      <c r="D4323" s="1" t="str">
        <f>IFERROR(__xludf.DUMMYFUNCTION("""COMPUTED_VALUE"""),"Lentes de LABORATORIO")</f>
        <v>Lentes de LABORATORIO</v>
      </c>
      <c r="E4323" s="1" t="str">
        <f>IFERROR(__xludf.DUMMYFUNCTION("""COMPUTED_VALUE"""),"RIVADAVIA Santiago LOPEZ")</f>
        <v>RIVADAVIA Santiago LOPEZ</v>
      </c>
      <c r="F4323" s="1" t="str">
        <f t="shared" si="1"/>
        <v>RIVADAVIA </v>
      </c>
      <c r="G4323" s="1" t="str">
        <f t="shared" si="2"/>
        <v>Santiago LOPEZ</v>
      </c>
      <c r="H4323" s="1" t="str">
        <f>IFERROR(__xludf.DUMMYFUNCTION("""COMPUTED_VALUE"""),"14/4/2023, 17:00:00")</f>
        <v>14/4/2023, 17:00:00</v>
      </c>
      <c r="I4323" s="1" t="str">
        <f>IFERROR(__xludf.DUMMYFUNCTION("""COMPUTED_VALUE"""),"Completado en SUCURSAL")</f>
        <v>Completado en SUCURSAL</v>
      </c>
      <c r="J4323" s="1">
        <f t="shared" si="3"/>
        <v>5</v>
      </c>
      <c r="K4323" s="1" t="str">
        <f t="shared" si="4"/>
        <v>Tus Lentes estan LISTAS PARA ENTREGAR, te esperamos.</v>
      </c>
    </row>
    <row r="4324">
      <c r="A4324" s="1">
        <f>IFERROR(__xludf.DUMMYFUNCTION("""COMPUTED_VALUE"""),88887.0)</f>
        <v>88887</v>
      </c>
      <c r="B4324" s="5">
        <f>IFERROR(__xludf.DUMMYFUNCTION("""COMPUTED_VALUE"""),45014.51435706019)</f>
        <v>45014.51436</v>
      </c>
      <c r="C4324" s="1" t="str">
        <f>IFERROR(__xludf.DUMMYFUNCTION("""COMPUTED_VALUE"""),"ALCARAZ ANTONIO")</f>
        <v>ALCARAZ ANTONIO</v>
      </c>
      <c r="D4324" s="1" t="str">
        <f>IFERROR(__xludf.DUMMYFUNCTION("""COMPUTED_VALUE"""),"Lentes de STOCK")</f>
        <v>Lentes de STOCK</v>
      </c>
      <c r="E4324" s="1" t="str">
        <f>IFERROR(__xludf.DUMMYFUNCTION("""COMPUTED_VALUE"""),"ARTIGAS Ivana P.")</f>
        <v>ARTIGAS Ivana P.</v>
      </c>
      <c r="F4324" s="1" t="str">
        <f t="shared" si="1"/>
        <v>ARTIGAS </v>
      </c>
      <c r="G4324" s="1" t="str">
        <f t="shared" si="2"/>
        <v>Ivana P.</v>
      </c>
      <c r="H4324" s="1" t="str">
        <f>IFERROR(__xludf.DUMMYFUNCTION("""COMPUTED_VALUE"""),"4/4/2023, 17:00:00")</f>
        <v>4/4/2023, 17:00:00</v>
      </c>
      <c r="I4324" s="1" t="str">
        <f>IFERROR(__xludf.DUMMYFUNCTION("""COMPUTED_VALUE"""),"RETIRADO OK POR CLIENTE")</f>
        <v>RETIRADO OK POR CLIENTE</v>
      </c>
      <c r="J4324" s="1">
        <f t="shared" si="3"/>
        <v>6</v>
      </c>
      <c r="K4324" s="1" t="str">
        <f t="shared" si="4"/>
        <v>Entregamos tus lentes, que los disfrutes!</v>
      </c>
    </row>
    <row r="4325">
      <c r="A4325" s="1">
        <f>IFERROR(__xludf.DUMMYFUNCTION("""COMPUTED_VALUE"""),88888.0)</f>
        <v>88888</v>
      </c>
      <c r="B4325" s="5">
        <f>IFERROR(__xludf.DUMMYFUNCTION("""COMPUTED_VALUE"""),45014.52793914352)</f>
        <v>45014.52794</v>
      </c>
      <c r="C4325" s="1" t="str">
        <f>IFERROR(__xludf.DUMMYFUNCTION("""COMPUTED_VALUE"""),"LEIVA MARIA EUGENIA")</f>
        <v>LEIVA MARIA EUGENIA</v>
      </c>
      <c r="D4325" s="1" t="str">
        <f>IFERROR(__xludf.DUMMYFUNCTION("""COMPUTED_VALUE"""),"Lentes de STOCK")</f>
        <v>Lentes de STOCK</v>
      </c>
      <c r="E4325" s="1" t="str">
        <f>IFERROR(__xludf.DUMMYFUNCTION("""COMPUTED_VALUE"""),"RIVADAVIA Christian C.")</f>
        <v>RIVADAVIA Christian C.</v>
      </c>
      <c r="F4325" s="1" t="str">
        <f t="shared" si="1"/>
        <v>RIVADAVIA </v>
      </c>
      <c r="G4325" s="1" t="str">
        <f t="shared" si="2"/>
        <v>Christian C.</v>
      </c>
      <c r="H4325" s="1" t="str">
        <f>IFERROR(__xludf.DUMMYFUNCTION("""COMPUTED_VALUE"""),"5/4/2023, 17:00:00avila ludmila")</f>
        <v>5/4/2023, 17:00:00avila ludmila</v>
      </c>
      <c r="I4325" s="1" t="str">
        <f>IFERROR(__xludf.DUMMYFUNCTION("""COMPUTED_VALUE"""),"Completado en SUCURSAL")</f>
        <v>Completado en SUCURSAL</v>
      </c>
      <c r="J4325" s="1">
        <f t="shared" si="3"/>
        <v>5</v>
      </c>
      <c r="K4325" s="1" t="str">
        <f t="shared" si="4"/>
        <v>Tus Lentes estan LISTAS PARA ENTREGAR, te esperamos.</v>
      </c>
    </row>
    <row r="4326">
      <c r="A4326" s="1">
        <f>IFERROR(__xludf.DUMMYFUNCTION("""COMPUTED_VALUE"""),88889.0)</f>
        <v>88889</v>
      </c>
      <c r="B4326" s="5">
        <f>IFERROR(__xludf.DUMMYFUNCTION("""COMPUTED_VALUE"""),45014.52836253472)</f>
        <v>45014.52836</v>
      </c>
      <c r="C4326" s="1" t="str">
        <f>IFERROR(__xludf.DUMMYFUNCTION("""COMPUTED_VALUE"""),"BULNES MARIA VICTORIA")</f>
        <v>BULNES MARIA VICTORIA</v>
      </c>
      <c r="D4326" s="1" t="str">
        <f>IFERROR(__xludf.DUMMYFUNCTION("""COMPUTED_VALUE"""),"Lentes de STOCK")</f>
        <v>Lentes de STOCK</v>
      </c>
      <c r="E4326" s="1" t="str">
        <f>IFERROR(__xludf.DUMMYFUNCTION("""COMPUTED_VALUE"""),"ARTIGAS Ivana P.")</f>
        <v>ARTIGAS Ivana P.</v>
      </c>
      <c r="F4326" s="1" t="str">
        <f t="shared" si="1"/>
        <v>ARTIGAS </v>
      </c>
      <c r="G4326" s="1" t="str">
        <f t="shared" si="2"/>
        <v>Ivana P.</v>
      </c>
      <c r="H4326" s="1" t="str">
        <f>IFERROR(__xludf.DUMMYFUNCTION("""COMPUTED_VALUE"""),"4/4/2023, 17:00:00")</f>
        <v>4/4/2023, 17:00:00</v>
      </c>
      <c r="I4326" s="1" t="str">
        <f>IFERROR(__xludf.DUMMYFUNCTION("""COMPUTED_VALUE"""),"Completado en SUCURSAL")</f>
        <v>Completado en SUCURSAL</v>
      </c>
      <c r="J4326" s="1">
        <f t="shared" si="3"/>
        <v>5</v>
      </c>
      <c r="K4326" s="1" t="str">
        <f t="shared" si="4"/>
        <v>Tus Lentes estan LISTAS PARA ENTREGAR, te esperamos.</v>
      </c>
    </row>
    <row r="4327">
      <c r="A4327" s="1">
        <f>IFERROR(__xludf.DUMMYFUNCTION("""COMPUTED_VALUE"""),88890.0)</f>
        <v>88890</v>
      </c>
      <c r="B4327" s="5">
        <f>IFERROR(__xludf.DUMMYFUNCTION("""COMPUTED_VALUE"""),45014.53123678241)</f>
        <v>45014.53124</v>
      </c>
      <c r="C4327" s="1" t="str">
        <f>IFERROR(__xludf.DUMMYFUNCTION("""COMPUTED_VALUE"""),"LLANEZA RODRIGO NICOLAS")</f>
        <v>LLANEZA RODRIGO NICOLAS</v>
      </c>
      <c r="D4327" s="1" t="str">
        <f>IFERROR(__xludf.DUMMYFUNCTION("""COMPUTED_VALUE"""),"Lentes de STOCK")</f>
        <v>Lentes de STOCK</v>
      </c>
      <c r="E4327" s="1" t="str">
        <f>IFERROR(__xludf.DUMMYFUNCTION("""COMPUTED_VALUE"""),"RIVADAVIA Marcela L")</f>
        <v>RIVADAVIA Marcela L</v>
      </c>
      <c r="F4327" s="1" t="str">
        <f t="shared" si="1"/>
        <v>RIVADAVIA </v>
      </c>
      <c r="G4327" s="1" t="str">
        <f t="shared" si="2"/>
        <v>Marcela L</v>
      </c>
      <c r="H4327" s="1" t="str">
        <f>IFERROR(__xludf.DUMMYFUNCTION("""COMPUTED_VALUE"""),"4/4/2023, 17:00:00")</f>
        <v>4/4/2023, 17:00:00</v>
      </c>
      <c r="I4327" s="1" t="str">
        <f>IFERROR(__xludf.DUMMYFUNCTION("""COMPUTED_VALUE"""),"Completado en SUCURSAL")</f>
        <v>Completado en SUCURSAL</v>
      </c>
      <c r="J4327" s="1">
        <f t="shared" si="3"/>
        <v>5</v>
      </c>
      <c r="K4327" s="1" t="str">
        <f t="shared" si="4"/>
        <v>Tus Lentes estan LISTAS PARA ENTREGAR, te esperamos.</v>
      </c>
    </row>
    <row r="4328">
      <c r="A4328" s="1">
        <f>IFERROR(__xludf.DUMMYFUNCTION("""COMPUTED_VALUE"""),88891.0)</f>
        <v>88891</v>
      </c>
      <c r="B4328" s="5">
        <f>IFERROR(__xludf.DUMMYFUNCTION("""COMPUTED_VALUE"""),45014.531479930556)</f>
        <v>45014.53148</v>
      </c>
      <c r="C4328" s="1" t="str">
        <f>IFERROR(__xludf.DUMMYFUNCTION("""COMPUTED_VALUE"""),"BOSSIO LUCIANA")</f>
        <v>BOSSIO LUCIANA</v>
      </c>
      <c r="D4328" s="1" t="str">
        <f>IFERROR(__xludf.DUMMYFUNCTION("""COMPUTED_VALUE"""),"Lentes de STOCK")</f>
        <v>Lentes de STOCK</v>
      </c>
      <c r="E4328" s="1" t="str">
        <f>IFERROR(__xludf.DUMMYFUNCTION("""COMPUTED_VALUE"""),"ARTIGAS Roció")</f>
        <v>ARTIGAS Roció</v>
      </c>
      <c r="F4328" s="1" t="str">
        <f t="shared" si="1"/>
        <v>ARTIGAS </v>
      </c>
      <c r="G4328" s="1" t="str">
        <f t="shared" si="2"/>
        <v>Roció</v>
      </c>
      <c r="H4328" s="1" t="str">
        <f>IFERROR(__xludf.DUMMYFUNCTION("""COMPUTED_VALUE"""),"5/4/2023, 17:00:00")</f>
        <v>5/4/2023, 17:00:00</v>
      </c>
      <c r="I4328" s="1" t="str">
        <f>IFERROR(__xludf.DUMMYFUNCTION("""COMPUTED_VALUE"""),"Recibido en Laboratorio")</f>
        <v>Recibido en Laboratorio</v>
      </c>
      <c r="J4328" s="1">
        <f t="shared" si="3"/>
        <v>2</v>
      </c>
      <c r="K4328" s="1" t="str">
        <f t="shared" si="4"/>
        <v>Nuestro Laboratorio esta trabajando en tus lentes, los entregaremos en la fecha acordada.</v>
      </c>
    </row>
    <row r="4329">
      <c r="A4329" s="1">
        <f>IFERROR(__xludf.DUMMYFUNCTION("""COMPUTED_VALUE"""),88892.0)</f>
        <v>88892</v>
      </c>
      <c r="B4329" s="5">
        <f>IFERROR(__xludf.DUMMYFUNCTION("""COMPUTED_VALUE"""),45014.53296762731)</f>
        <v>45014.53297</v>
      </c>
      <c r="C4329" s="1" t="str">
        <f>IFERROR(__xludf.DUMMYFUNCTION("""COMPUTED_VALUE"""),"BOSSIO LUCIANA")</f>
        <v>BOSSIO LUCIANA</v>
      </c>
      <c r="D4329" s="1" t="str">
        <f>IFERROR(__xludf.DUMMYFUNCTION("""COMPUTED_VALUE"""),"Reparaciones/Otros")</f>
        <v>Reparaciones/Otros</v>
      </c>
      <c r="E4329" s="1" t="str">
        <f>IFERROR(__xludf.DUMMYFUNCTION("""COMPUTED_VALUE"""),"ARTIGAS Roció")</f>
        <v>ARTIGAS Roció</v>
      </c>
      <c r="F4329" s="1" t="str">
        <f t="shared" si="1"/>
        <v>ARTIGAS </v>
      </c>
      <c r="G4329" s="1" t="str">
        <f t="shared" si="2"/>
        <v>Roció</v>
      </c>
      <c r="H4329" s="1" t="str">
        <f>IFERROR(__xludf.DUMMYFUNCTION("""COMPUTED_VALUE"""),"30/3/2023, 17:00:00")</f>
        <v>30/3/2023, 17:00:00</v>
      </c>
      <c r="I4329" s="1" t="str">
        <f>IFERROR(__xludf.DUMMYFUNCTION("""COMPUTED_VALUE"""),"Completado en SUCURSAL")</f>
        <v>Completado en SUCURSAL</v>
      </c>
      <c r="J4329" s="1">
        <f t="shared" si="3"/>
        <v>5</v>
      </c>
      <c r="K4329" s="1" t="str">
        <f t="shared" si="4"/>
        <v>Tus Lentes estan LISTAS PARA ENTREGAR, te esperamos.</v>
      </c>
    </row>
    <row r="4330">
      <c r="A4330" s="1">
        <f>IFERROR(__xludf.DUMMYFUNCTION("""COMPUTED_VALUE"""),88893.0)</f>
        <v>88893</v>
      </c>
      <c r="B4330" s="5">
        <f>IFERROR(__xludf.DUMMYFUNCTION("""COMPUTED_VALUE"""),45014.538467025464)</f>
        <v>45014.53847</v>
      </c>
      <c r="C4330" s="1" t="str">
        <f>IFERROR(__xludf.DUMMYFUNCTION("""COMPUTED_VALUE"""),"VALENZUELA PABLO")</f>
        <v>VALENZUELA PABLO</v>
      </c>
      <c r="D4330" s="1" t="str">
        <f>IFERROR(__xludf.DUMMYFUNCTION("""COMPUTED_VALUE"""),"Lentes de STOCK")</f>
        <v>Lentes de STOCK</v>
      </c>
      <c r="E4330" s="1" t="str">
        <f>IFERROR(__xludf.DUMMYFUNCTION("""COMPUTED_VALUE"""),"ARTIGAS Roció")</f>
        <v>ARTIGAS Roció</v>
      </c>
      <c r="F4330" s="1" t="str">
        <f t="shared" si="1"/>
        <v>ARTIGAS </v>
      </c>
      <c r="G4330" s="1" t="str">
        <f t="shared" si="2"/>
        <v>Roció</v>
      </c>
      <c r="H4330" s="1" t="str">
        <f>IFERROR(__xludf.DUMMYFUNCTION("""COMPUTED_VALUE"""),"4/4/2023, 17:00:00")</f>
        <v>4/4/2023, 17:00:00</v>
      </c>
      <c r="I4330" s="1" t="str">
        <f>IFERROR(__xludf.DUMMYFUNCTION("""COMPUTED_VALUE"""),"RETIRADO OK POR CLIENTE")</f>
        <v>RETIRADO OK POR CLIENTE</v>
      </c>
      <c r="J4330" s="1">
        <f t="shared" si="3"/>
        <v>6</v>
      </c>
      <c r="K4330" s="1" t="str">
        <f t="shared" si="4"/>
        <v>Entregamos tus lentes, que los disfrutes!</v>
      </c>
    </row>
    <row r="4331">
      <c r="A4331" s="1">
        <f>IFERROR(__xludf.DUMMYFUNCTION("""COMPUTED_VALUE"""),88894.0)</f>
        <v>88894</v>
      </c>
      <c r="B4331" s="5">
        <f>IFERROR(__xludf.DUMMYFUNCTION("""COMPUTED_VALUE"""),45014.54256927084)</f>
        <v>45014.54257</v>
      </c>
      <c r="C4331" s="1" t="str">
        <f>IFERROR(__xludf.DUMMYFUNCTION("""COMPUTED_VALUE"""),"MARTELLO ENRIQUE ANTONIO")</f>
        <v>MARTELLO ENRIQUE ANTONIO</v>
      </c>
      <c r="D4331" s="1" t="str">
        <f>IFERROR(__xludf.DUMMYFUNCTION("""COMPUTED_VALUE"""),"Lentes de STOCK")</f>
        <v>Lentes de STOCK</v>
      </c>
      <c r="E4331" s="1" t="str">
        <f>IFERROR(__xludf.DUMMYFUNCTION("""COMPUTED_VALUE"""),"RIVADAVIA Santiago LOPEZ")</f>
        <v>RIVADAVIA Santiago LOPEZ</v>
      </c>
      <c r="F4331" s="1" t="str">
        <f t="shared" si="1"/>
        <v>RIVADAVIA </v>
      </c>
      <c r="G4331" s="1" t="str">
        <f t="shared" si="2"/>
        <v>Santiago LOPEZ</v>
      </c>
      <c r="H4331" s="1" t="str">
        <f>IFERROR(__xludf.DUMMYFUNCTION("""COMPUTED_VALUE"""),"3/4/2023, 17:00:00")</f>
        <v>3/4/2023, 17:00:00</v>
      </c>
      <c r="I4331" s="1" t="str">
        <f>IFERROR(__xludf.DUMMYFUNCTION("""COMPUTED_VALUE"""),"RETIRADO OK POR CLIENTE")</f>
        <v>RETIRADO OK POR CLIENTE</v>
      </c>
      <c r="J4331" s="1">
        <f t="shared" si="3"/>
        <v>6</v>
      </c>
      <c r="K4331" s="1" t="str">
        <f t="shared" si="4"/>
        <v>Entregamos tus lentes, que los disfrutes!</v>
      </c>
    </row>
    <row r="4332">
      <c r="A4332" s="1">
        <f>IFERROR(__xludf.DUMMYFUNCTION("""COMPUTED_VALUE"""),88895.0)</f>
        <v>88895</v>
      </c>
      <c r="B4332" s="5">
        <f>IFERROR(__xludf.DUMMYFUNCTION("""COMPUTED_VALUE"""),45014.54812181713)</f>
        <v>45014.54812</v>
      </c>
      <c r="C4332" s="1" t="str">
        <f>IFERROR(__xludf.DUMMYFUNCTION("""COMPUTED_VALUE"""),"LEON MERCADO VALENTIN ")</f>
        <v>LEON MERCADO VALENTIN </v>
      </c>
      <c r="D4332" s="1" t="str">
        <f>IFERROR(__xludf.DUMMYFUNCTION("""COMPUTED_VALUE"""),"Lentes de STOCK")</f>
        <v>Lentes de STOCK</v>
      </c>
      <c r="E4332" s="1" t="str">
        <f>IFERROR(__xludf.DUMMYFUNCTION("""COMPUTED_VALUE"""),"RIVADAVIA Luciana")</f>
        <v>RIVADAVIA Luciana</v>
      </c>
      <c r="F4332" s="1" t="str">
        <f t="shared" si="1"/>
        <v>RIVADAVIA </v>
      </c>
      <c r="G4332" s="1" t="str">
        <f t="shared" si="2"/>
        <v>Luciana</v>
      </c>
      <c r="H4332" s="1" t="str">
        <f>IFERROR(__xludf.DUMMYFUNCTION("""COMPUTED_VALUE"""),"4/4/2023, 17:00:00")</f>
        <v>4/4/2023, 17:00:00</v>
      </c>
      <c r="I4332" s="1" t="str">
        <f>IFERROR(__xludf.DUMMYFUNCTION("""COMPUTED_VALUE"""),"RETIRADO OK POR CLIENTE")</f>
        <v>RETIRADO OK POR CLIENTE</v>
      </c>
      <c r="J4332" s="1">
        <f t="shared" si="3"/>
        <v>6</v>
      </c>
      <c r="K4332" s="1" t="str">
        <f t="shared" si="4"/>
        <v>Entregamos tus lentes, que los disfrutes!</v>
      </c>
    </row>
    <row r="4333">
      <c r="A4333" s="1">
        <f>IFERROR(__xludf.DUMMYFUNCTION("""COMPUTED_VALUE"""),88896.0)</f>
        <v>88896</v>
      </c>
      <c r="B4333" s="5">
        <f>IFERROR(__xludf.DUMMYFUNCTION("""COMPUTED_VALUE"""),45014.555444247686)</f>
        <v>45014.55544</v>
      </c>
      <c r="C4333" s="1" t="str">
        <f>IFERROR(__xludf.DUMMYFUNCTION("""COMPUTED_VALUE"""),"LEON MERCADO CIRO")</f>
        <v>LEON MERCADO CIRO</v>
      </c>
      <c r="D4333" s="1" t="str">
        <f>IFERROR(__xludf.DUMMYFUNCTION("""COMPUTED_VALUE"""),"Lentes de STOCK")</f>
        <v>Lentes de STOCK</v>
      </c>
      <c r="E4333" s="1" t="str">
        <f>IFERROR(__xludf.DUMMYFUNCTION("""COMPUTED_VALUE"""),"RIVADAVIA Luciana")</f>
        <v>RIVADAVIA Luciana</v>
      </c>
      <c r="F4333" s="1" t="str">
        <f t="shared" si="1"/>
        <v>RIVADAVIA </v>
      </c>
      <c r="G4333" s="1" t="str">
        <f t="shared" si="2"/>
        <v>Luciana</v>
      </c>
      <c r="H4333" s="1" t="str">
        <f>IFERROR(__xludf.DUMMYFUNCTION("""COMPUTED_VALUE"""),"4/4/2023, 17:00:00")</f>
        <v>4/4/2023, 17:00:00</v>
      </c>
      <c r="I4333" s="1" t="str">
        <f>IFERROR(__xludf.DUMMYFUNCTION("""COMPUTED_VALUE"""),"RETIRADO OK POR CLIENTE")</f>
        <v>RETIRADO OK POR CLIENTE</v>
      </c>
      <c r="J4333" s="1">
        <f t="shared" si="3"/>
        <v>6</v>
      </c>
      <c r="K4333" s="1" t="str">
        <f t="shared" si="4"/>
        <v>Entregamos tus lentes, que los disfrutes!</v>
      </c>
    </row>
    <row r="4334">
      <c r="A4334" s="1">
        <f>IFERROR(__xludf.DUMMYFUNCTION("""COMPUTED_VALUE"""),88897.0)</f>
        <v>88897</v>
      </c>
      <c r="B4334" s="5">
        <f>IFERROR(__xludf.DUMMYFUNCTION("""COMPUTED_VALUE"""),45014.70505346065)</f>
        <v>45014.70505</v>
      </c>
      <c r="C4334" s="1" t="str">
        <f>IFERROR(__xludf.DUMMYFUNCTION("""COMPUTED_VALUE"""),"MUÑOZ JOHANA")</f>
        <v>MUÑOZ JOHANA</v>
      </c>
      <c r="D4334" s="1" t="str">
        <f>IFERROR(__xludf.DUMMYFUNCTION("""COMPUTED_VALUE"""),"Lentes de STOCK")</f>
        <v>Lentes de STOCK</v>
      </c>
      <c r="E4334" s="1" t="str">
        <f>IFERROR(__xludf.DUMMYFUNCTION("""COMPUTED_VALUE"""),"RIVADAVIA Christian C.")</f>
        <v>RIVADAVIA Christian C.</v>
      </c>
      <c r="F4334" s="1" t="str">
        <f t="shared" si="1"/>
        <v>RIVADAVIA </v>
      </c>
      <c r="G4334" s="1" t="str">
        <f t="shared" si="2"/>
        <v>Christian C.</v>
      </c>
      <c r="H4334" s="1" t="str">
        <f>IFERROR(__xludf.DUMMYFUNCTION("""COMPUTED_VALUE"""),"4/4/2023, 17:00:00")</f>
        <v>4/4/2023, 17:00:00</v>
      </c>
      <c r="I4334" s="1" t="str">
        <f>IFERROR(__xludf.DUMMYFUNCTION("""COMPUTED_VALUE"""),"RETIRADO OK POR CLIENTE")</f>
        <v>RETIRADO OK POR CLIENTE</v>
      </c>
      <c r="J4334" s="1">
        <f t="shared" si="3"/>
        <v>6</v>
      </c>
      <c r="K4334" s="1" t="str">
        <f t="shared" si="4"/>
        <v>Entregamos tus lentes, que los disfrutes!</v>
      </c>
    </row>
    <row r="4335">
      <c r="A4335" s="1">
        <f>IFERROR(__xludf.DUMMYFUNCTION("""COMPUTED_VALUE"""),88898.0)</f>
        <v>88898</v>
      </c>
      <c r="B4335" s="5">
        <f>IFERROR(__xludf.DUMMYFUNCTION("""COMPUTED_VALUE"""),45014.70810716435)</f>
        <v>45014.70811</v>
      </c>
      <c r="C4335" s="1" t="str">
        <f>IFERROR(__xludf.DUMMYFUNCTION("""COMPUTED_VALUE"""),"ROSALES ADRIAN / DOS ANCLAS")</f>
        <v>ROSALES ADRIAN / DOS ANCLAS</v>
      </c>
      <c r="D4335" s="1" t="str">
        <f>IFERROR(__xludf.DUMMYFUNCTION("""COMPUTED_VALUE"""),"Lentes MULTIFOCALES")</f>
        <v>Lentes MULTIFOCALES</v>
      </c>
      <c r="E4335" s="1" t="str">
        <f>IFERROR(__xludf.DUMMYFUNCTION("""COMPUTED_VALUE"""),"ARTIGAS Ivana P.")</f>
        <v>ARTIGAS Ivana P.</v>
      </c>
      <c r="F4335" s="1" t="str">
        <f t="shared" si="1"/>
        <v>ARTIGAS </v>
      </c>
      <c r="G4335" s="1" t="str">
        <f t="shared" si="2"/>
        <v>Ivana P.</v>
      </c>
      <c r="H4335" s="1" t="str">
        <f>IFERROR(__xludf.DUMMYFUNCTION("""COMPUTED_VALUE"""),"11/4/2023, 17:00:00")</f>
        <v>11/4/2023, 17:00:00</v>
      </c>
      <c r="I4335" s="1" t="str">
        <f>IFERROR(__xludf.DUMMYFUNCTION("""COMPUTED_VALUE"""),"Completado en SUCURSAL")</f>
        <v>Completado en SUCURSAL</v>
      </c>
      <c r="J4335" s="1">
        <f t="shared" si="3"/>
        <v>5</v>
      </c>
      <c r="K4335" s="1" t="str">
        <f t="shared" si="4"/>
        <v>Tus Lentes estan LISTAS PARA ENTREGAR, te esperamos.</v>
      </c>
    </row>
    <row r="4336">
      <c r="A4336" s="1">
        <f>IFERROR(__xludf.DUMMYFUNCTION("""COMPUTED_VALUE"""),88899.0)</f>
        <v>88899</v>
      </c>
      <c r="B4336" s="5">
        <f>IFERROR(__xludf.DUMMYFUNCTION("""COMPUTED_VALUE"""),45014.71666667824)</f>
        <v>45014.71667</v>
      </c>
      <c r="C4336" s="1" t="str">
        <f>IFERROR(__xludf.DUMMYFUNCTION("""COMPUTED_VALUE"""),"LEDESMA DAMIAN/ DOS ANCLAS")</f>
        <v>LEDESMA DAMIAN/ DOS ANCLAS</v>
      </c>
      <c r="D4336" s="1" t="str">
        <f>IFERROR(__xludf.DUMMYFUNCTION("""COMPUTED_VALUE"""),"Lentes de STOCK")</f>
        <v>Lentes de STOCK</v>
      </c>
      <c r="E4336" s="1" t="str">
        <f>IFERROR(__xludf.DUMMYFUNCTION("""COMPUTED_VALUE"""),"ARTIGAS Ivana P.")</f>
        <v>ARTIGAS Ivana P.</v>
      </c>
      <c r="F4336" s="1" t="str">
        <f t="shared" si="1"/>
        <v>ARTIGAS </v>
      </c>
      <c r="G4336" s="1" t="str">
        <f t="shared" si="2"/>
        <v>Ivana P.</v>
      </c>
      <c r="H4336" s="1" t="str">
        <f>IFERROR(__xludf.DUMMYFUNCTION("""COMPUTED_VALUE"""),"4/4/2023, 17:00:00")</f>
        <v>4/4/2023, 17:00:00</v>
      </c>
      <c r="I4336" s="1" t="str">
        <f>IFERROR(__xludf.DUMMYFUNCTION("""COMPUTED_VALUE"""),"Completado en SUCURSAL")</f>
        <v>Completado en SUCURSAL</v>
      </c>
      <c r="J4336" s="1">
        <f t="shared" si="3"/>
        <v>5</v>
      </c>
      <c r="K4336" s="1" t="str">
        <f t="shared" si="4"/>
        <v>Tus Lentes estan LISTAS PARA ENTREGAR, te esperamos.</v>
      </c>
    </row>
    <row r="4337">
      <c r="A4337" s="1">
        <f>IFERROR(__xludf.DUMMYFUNCTION("""COMPUTED_VALUE"""),88900.0)</f>
        <v>88900</v>
      </c>
      <c r="B4337" s="5">
        <f>IFERROR(__xludf.DUMMYFUNCTION("""COMPUTED_VALUE"""),45014.72546802083)</f>
        <v>45014.72547</v>
      </c>
      <c r="C4337" s="1" t="str">
        <f>IFERROR(__xludf.DUMMYFUNCTION("""COMPUTED_VALUE"""),"CACERES DIONISIO")</f>
        <v>CACERES DIONISIO</v>
      </c>
      <c r="D4337" s="1" t="str">
        <f>IFERROR(__xludf.DUMMYFUNCTION("""COMPUTED_VALUE"""),"Lentes de STOCK")</f>
        <v>Lentes de STOCK</v>
      </c>
      <c r="E4337" s="1" t="str">
        <f>IFERROR(__xludf.DUMMYFUNCTION("""COMPUTED_VALUE"""),"ARTIGAS Ivana P.")</f>
        <v>ARTIGAS Ivana P.</v>
      </c>
      <c r="F4337" s="1" t="str">
        <f t="shared" si="1"/>
        <v>ARTIGAS </v>
      </c>
      <c r="G4337" s="1" t="str">
        <f t="shared" si="2"/>
        <v>Ivana P.</v>
      </c>
      <c r="H4337" s="1" t="str">
        <f>IFERROR(__xludf.DUMMYFUNCTION("""COMPUTED_VALUE"""),"5/4/2023, 17:00:00")</f>
        <v>5/4/2023, 17:00:00</v>
      </c>
      <c r="I4337" s="1" t="str">
        <f>IFERROR(__xludf.DUMMYFUNCTION("""COMPUTED_VALUE"""),"Recibido en Laboratorio")</f>
        <v>Recibido en Laboratorio</v>
      </c>
      <c r="J4337" s="1">
        <f t="shared" si="3"/>
        <v>2</v>
      </c>
      <c r="K4337" s="1" t="str">
        <f t="shared" si="4"/>
        <v>Nuestro Laboratorio esta trabajando en tus lentes, los entregaremos en la fecha acordada.</v>
      </c>
    </row>
    <row r="4338">
      <c r="A4338" s="1">
        <f>IFERROR(__xludf.DUMMYFUNCTION("""COMPUTED_VALUE"""),88901.0)</f>
        <v>88901</v>
      </c>
      <c r="B4338" s="5">
        <f>IFERROR(__xludf.DUMMYFUNCTION("""COMPUTED_VALUE"""),45014.72645905093)</f>
        <v>45014.72646</v>
      </c>
      <c r="C4338" s="1" t="str">
        <f>IFERROR(__xludf.DUMMYFUNCTION("""COMPUTED_VALUE"""),"LUJAN MARIA DEBORA")</f>
        <v>LUJAN MARIA DEBORA</v>
      </c>
      <c r="D4338" s="1" t="str">
        <f>IFERROR(__xludf.DUMMYFUNCTION("""COMPUTED_VALUE"""),"Lentes de STOCK")</f>
        <v>Lentes de STOCK</v>
      </c>
      <c r="E4338" s="1" t="str">
        <f>IFERROR(__xludf.DUMMYFUNCTION("""COMPUTED_VALUE"""),"ARTIGAS Roció")</f>
        <v>ARTIGAS Roció</v>
      </c>
      <c r="F4338" s="1" t="str">
        <f t="shared" si="1"/>
        <v>ARTIGAS </v>
      </c>
      <c r="G4338" s="1" t="str">
        <f t="shared" si="2"/>
        <v>Roció</v>
      </c>
      <c r="H4338" s="1" t="str">
        <f>IFERROR(__xludf.DUMMYFUNCTION("""COMPUTED_VALUE"""),"5/4/2023, 17:00:00")</f>
        <v>5/4/2023, 17:00:00</v>
      </c>
      <c r="I4338" s="1" t="str">
        <f>IFERROR(__xludf.DUMMYFUNCTION("""COMPUTED_VALUE"""),"Recibido en Laboratorio")</f>
        <v>Recibido en Laboratorio</v>
      </c>
      <c r="J4338" s="1">
        <f t="shared" si="3"/>
        <v>2</v>
      </c>
      <c r="K4338" s="1" t="str">
        <f t="shared" si="4"/>
        <v>Nuestro Laboratorio esta trabajando en tus lentes, los entregaremos en la fecha acordada.</v>
      </c>
    </row>
    <row r="4339">
      <c r="A4339" s="1">
        <f>IFERROR(__xludf.DUMMYFUNCTION("""COMPUTED_VALUE"""),88902.0)</f>
        <v>88902</v>
      </c>
      <c r="B4339" s="5">
        <f>IFERROR(__xludf.DUMMYFUNCTION("""COMPUTED_VALUE"""),45014.72775690972)</f>
        <v>45014.72776</v>
      </c>
      <c r="C4339" s="1" t="str">
        <f>IFERROR(__xludf.DUMMYFUNCTION("""COMPUTED_VALUE"""),"VEGA MARCELO")</f>
        <v>VEGA MARCELO</v>
      </c>
      <c r="D4339" s="1" t="str">
        <f>IFERROR(__xludf.DUMMYFUNCTION("""COMPUTED_VALUE"""),"Lentes de STOCK")</f>
        <v>Lentes de STOCK</v>
      </c>
      <c r="E4339" s="1" t="str">
        <f>IFERROR(__xludf.DUMMYFUNCTION("""COMPUTED_VALUE"""),"RIVADAVIA Luciana")</f>
        <v>RIVADAVIA Luciana</v>
      </c>
      <c r="F4339" s="1" t="str">
        <f t="shared" si="1"/>
        <v>RIVADAVIA </v>
      </c>
      <c r="G4339" s="1" t="str">
        <f t="shared" si="2"/>
        <v>Luciana</v>
      </c>
      <c r="H4339" s="1" t="str">
        <f>IFERROR(__xludf.DUMMYFUNCTION("""COMPUTED_VALUE"""),"5/4/2023, 17:00:00")</f>
        <v>5/4/2023, 17:00:00</v>
      </c>
      <c r="I4339" s="1" t="str">
        <f>IFERROR(__xludf.DUMMYFUNCTION("""COMPUTED_VALUE"""),"Completado en SUCURSAL")</f>
        <v>Completado en SUCURSAL</v>
      </c>
      <c r="J4339" s="1">
        <f t="shared" si="3"/>
        <v>5</v>
      </c>
      <c r="K4339" s="1" t="str">
        <f t="shared" si="4"/>
        <v>Tus Lentes estan LISTAS PARA ENTREGAR, te esperamos.</v>
      </c>
    </row>
    <row r="4340">
      <c r="A4340" s="1">
        <f>IFERROR(__xludf.DUMMYFUNCTION("""COMPUTED_VALUE"""),88903.0)</f>
        <v>88903</v>
      </c>
      <c r="B4340" s="5">
        <f>IFERROR(__xludf.DUMMYFUNCTION("""COMPUTED_VALUE"""),45014.73097076389)</f>
        <v>45014.73097</v>
      </c>
      <c r="C4340" s="1" t="str">
        <f>IFERROR(__xludf.DUMMYFUNCTION("""COMPUTED_VALUE"""),"AMITRANO MARIELA")</f>
        <v>AMITRANO MARIELA</v>
      </c>
      <c r="D4340" s="1" t="str">
        <f>IFERROR(__xludf.DUMMYFUNCTION("""COMPUTED_VALUE"""),"ANULADO")</f>
        <v>ANULADO</v>
      </c>
      <c r="E4340" s="1" t="str">
        <f>IFERROR(__xludf.DUMMYFUNCTION("""COMPUTED_VALUE"""),"RIVADAVIA Christian C.")</f>
        <v>RIVADAVIA Christian C.</v>
      </c>
      <c r="F4340" s="1" t="str">
        <f t="shared" si="1"/>
        <v>RIVADAVIA </v>
      </c>
      <c r="G4340" s="1" t="str">
        <f t="shared" si="2"/>
        <v>Christian C.</v>
      </c>
      <c r="H4340" s="1" t="str">
        <f>IFERROR(__xludf.DUMMYFUNCTION("""COMPUTED_VALUE"""),"31/3/2023, 17:00:00")</f>
        <v>31/3/2023, 17:00:00</v>
      </c>
      <c r="I4340" s="1"/>
      <c r="J4340" s="1">
        <f t="shared" si="3"/>
        <v>0</v>
      </c>
      <c r="K4340" s="1" t="str">
        <f t="shared" si="4"/>
        <v/>
      </c>
    </row>
    <row r="4341">
      <c r="A4341" s="1">
        <f>IFERROR(__xludf.DUMMYFUNCTION("""COMPUTED_VALUE"""),88904.0)</f>
        <v>88904</v>
      </c>
      <c r="B4341" s="5">
        <f>IFERROR(__xludf.DUMMYFUNCTION("""COMPUTED_VALUE"""),45014.738022997684)</f>
        <v>45014.73802</v>
      </c>
      <c r="C4341" s="1" t="str">
        <f>IFERROR(__xludf.DUMMYFUNCTION("""COMPUTED_VALUE"""),"quiroga maria delos angles")</f>
        <v>quiroga maria delos angles</v>
      </c>
      <c r="D4341" s="1" t="str">
        <f>IFERROR(__xludf.DUMMYFUNCTION("""COMPUTED_VALUE"""),"Lentes de STOCK")</f>
        <v>Lentes de STOCK</v>
      </c>
      <c r="E4341" s="1" t="str">
        <f>IFERROR(__xludf.DUMMYFUNCTION("""COMPUTED_VALUE"""),"RIVADAVIA Santiago N")</f>
        <v>RIVADAVIA Santiago N</v>
      </c>
      <c r="F4341" s="1" t="str">
        <f t="shared" si="1"/>
        <v>RIVADAVIA </v>
      </c>
      <c r="G4341" s="1" t="str">
        <f t="shared" si="2"/>
        <v>Santiago N</v>
      </c>
      <c r="H4341" s="1" t="str">
        <f>IFERROR(__xludf.DUMMYFUNCTION("""COMPUTED_VALUE"""),"3/4/2023, 17:00:00")</f>
        <v>3/4/2023, 17:00:00</v>
      </c>
      <c r="I4341" s="1" t="str">
        <f>IFERROR(__xludf.DUMMYFUNCTION("""COMPUTED_VALUE"""),"RETIRADO OK POR CLIENTE")</f>
        <v>RETIRADO OK POR CLIENTE</v>
      </c>
      <c r="J4341" s="1">
        <f t="shared" si="3"/>
        <v>6</v>
      </c>
      <c r="K4341" s="1" t="str">
        <f t="shared" si="4"/>
        <v>Entregamos tus lentes, que los disfrutes!</v>
      </c>
    </row>
    <row r="4342">
      <c r="A4342" s="1">
        <f>IFERROR(__xludf.DUMMYFUNCTION("""COMPUTED_VALUE"""),88905.0)</f>
        <v>88905</v>
      </c>
      <c r="B4342" s="5">
        <f>IFERROR(__xludf.DUMMYFUNCTION("""COMPUTED_VALUE"""),45014.73938009259)</f>
        <v>45014.73938</v>
      </c>
      <c r="C4342" s="1" t="str">
        <f>IFERROR(__xludf.DUMMYFUNCTION("""COMPUTED_VALUE"""),"Marta heredia ")</f>
        <v>Marta heredia </v>
      </c>
      <c r="D4342" s="1" t="str">
        <f>IFERROR(__xludf.DUMMYFUNCTION("""COMPUTED_VALUE"""),"Reparaciones/Otros")</f>
        <v>Reparaciones/Otros</v>
      </c>
      <c r="E4342" s="1" t="str">
        <f>IFERROR(__xludf.DUMMYFUNCTION("""COMPUTED_VALUE"""),"ARTIGAS Micaela")</f>
        <v>ARTIGAS Micaela</v>
      </c>
      <c r="F4342" s="1" t="str">
        <f t="shared" si="1"/>
        <v>ARTIGAS </v>
      </c>
      <c r="G4342" s="1" t="str">
        <f t="shared" si="2"/>
        <v>Micaela</v>
      </c>
      <c r="H4342" s="1" t="str">
        <f>IFERROR(__xludf.DUMMYFUNCTION("""COMPUTED_VALUE"""),"30/3/2023, 17:00:00")</f>
        <v>30/3/2023, 17:00:00</v>
      </c>
      <c r="I4342" s="1" t="str">
        <f>IFERROR(__xludf.DUMMYFUNCTION("""COMPUTED_VALUE"""),"Completado en SUCURSAL")</f>
        <v>Completado en SUCURSAL</v>
      </c>
      <c r="J4342" s="1">
        <f t="shared" si="3"/>
        <v>5</v>
      </c>
      <c r="K4342" s="1" t="str">
        <f t="shared" si="4"/>
        <v>Tus Lentes estan LISTAS PARA ENTREGAR, te esperamos.</v>
      </c>
    </row>
    <row r="4343">
      <c r="A4343" s="1">
        <f>IFERROR(__xludf.DUMMYFUNCTION("""COMPUTED_VALUE"""),88906.0)</f>
        <v>88906</v>
      </c>
      <c r="B4343" s="5">
        <f>IFERROR(__xludf.DUMMYFUNCTION("""COMPUTED_VALUE"""),45014.739503703706)</f>
        <v>45014.7395</v>
      </c>
      <c r="C4343" s="1" t="str">
        <f>IFERROR(__xludf.DUMMYFUNCTION("""COMPUTED_VALUE"""),"PONCE LUCERO TIZIANO")</f>
        <v>PONCE LUCERO TIZIANO</v>
      </c>
      <c r="D4343" s="1" t="str">
        <f>IFERROR(__xludf.DUMMYFUNCTION("""COMPUTED_VALUE"""),"Lentes de STOCK")</f>
        <v>Lentes de STOCK</v>
      </c>
      <c r="E4343" s="1" t="str">
        <f>IFERROR(__xludf.DUMMYFUNCTION("""COMPUTED_VALUE"""),"RIVADAVIA Luciana")</f>
        <v>RIVADAVIA Luciana</v>
      </c>
      <c r="F4343" s="1" t="str">
        <f t="shared" si="1"/>
        <v>RIVADAVIA </v>
      </c>
      <c r="G4343" s="1" t="str">
        <f t="shared" si="2"/>
        <v>Luciana</v>
      </c>
      <c r="H4343" s="1" t="str">
        <f>IFERROR(__xludf.DUMMYFUNCTION("""COMPUTED_VALUE"""),"4/4/2023, 17:00:00")</f>
        <v>4/4/2023, 17:00:00</v>
      </c>
      <c r="I4343" s="1" t="str">
        <f>IFERROR(__xludf.DUMMYFUNCTION("""COMPUTED_VALUE"""),"RETIRADO OK POR CLIENTE")</f>
        <v>RETIRADO OK POR CLIENTE</v>
      </c>
      <c r="J4343" s="1">
        <f t="shared" si="3"/>
        <v>6</v>
      </c>
      <c r="K4343" s="1" t="str">
        <f t="shared" si="4"/>
        <v>Entregamos tus lentes, que los disfrutes!</v>
      </c>
    </row>
    <row r="4344">
      <c r="A4344" s="1">
        <f>IFERROR(__xludf.DUMMYFUNCTION("""COMPUTED_VALUE"""),88907.0)</f>
        <v>88907</v>
      </c>
      <c r="B4344" s="5">
        <f>IFERROR(__xludf.DUMMYFUNCTION("""COMPUTED_VALUE"""),45014.741466921296)</f>
        <v>45014.74147</v>
      </c>
      <c r="C4344" s="1" t="str">
        <f>IFERROR(__xludf.DUMMYFUNCTION("""COMPUTED_VALUE"""),"CACACE BEATRIZ")</f>
        <v>CACACE BEATRIZ</v>
      </c>
      <c r="D4344" s="1" t="str">
        <f>IFERROR(__xludf.DUMMYFUNCTION("""COMPUTED_VALUE"""),"Reparaciones/Otros")</f>
        <v>Reparaciones/Otros</v>
      </c>
      <c r="E4344" s="1" t="str">
        <f>IFERROR(__xludf.DUMMYFUNCTION("""COMPUTED_VALUE"""),"RIVADAVIA Christian C.")</f>
        <v>RIVADAVIA Christian C.</v>
      </c>
      <c r="F4344" s="1" t="str">
        <f t="shared" si="1"/>
        <v>RIVADAVIA </v>
      </c>
      <c r="G4344" s="1" t="str">
        <f t="shared" si="2"/>
        <v>Christian C.</v>
      </c>
      <c r="H4344" s="1" t="str">
        <f>IFERROR(__xludf.DUMMYFUNCTION("""COMPUTED_VALUE"""),"31/3/2023, 17:00:00")</f>
        <v>31/3/2023, 17:00:00</v>
      </c>
      <c r="I4344" s="1" t="str">
        <f>IFERROR(__xludf.DUMMYFUNCTION("""COMPUTED_VALUE"""),"Completado en SUCURSAL")</f>
        <v>Completado en SUCURSAL</v>
      </c>
      <c r="J4344" s="1">
        <f t="shared" si="3"/>
        <v>5</v>
      </c>
      <c r="K4344" s="1" t="str">
        <f t="shared" si="4"/>
        <v>Tus Lentes estan LISTAS PARA ENTREGAR, te esperamos.</v>
      </c>
    </row>
    <row r="4345">
      <c r="A4345" s="1">
        <f>IFERROR(__xludf.DUMMYFUNCTION("""COMPUTED_VALUE"""),88908.0)</f>
        <v>88908</v>
      </c>
      <c r="B4345" s="5">
        <f>IFERROR(__xludf.DUMMYFUNCTION("""COMPUTED_VALUE"""),45014.743755081014)</f>
        <v>45014.74376</v>
      </c>
      <c r="C4345" s="1" t="str">
        <f>IFERROR(__xludf.DUMMYFUNCTION("""COMPUTED_VALUE"""),"OSMAN MARIA")</f>
        <v>OSMAN MARIA</v>
      </c>
      <c r="D4345" s="1" t="str">
        <f>IFERROR(__xludf.DUMMYFUNCTION("""COMPUTED_VALUE"""),"Lentes de STOCK")</f>
        <v>Lentes de STOCK</v>
      </c>
      <c r="E4345" s="1" t="str">
        <f>IFERROR(__xludf.DUMMYFUNCTION("""COMPUTED_VALUE"""),"RIVADAVIA Santiago LOPEZ")</f>
        <v>RIVADAVIA Santiago LOPEZ</v>
      </c>
      <c r="F4345" s="1" t="str">
        <f t="shared" si="1"/>
        <v>RIVADAVIA </v>
      </c>
      <c r="G4345" s="1" t="str">
        <f t="shared" si="2"/>
        <v>Santiago LOPEZ</v>
      </c>
      <c r="H4345" s="1" t="str">
        <f>IFERROR(__xludf.DUMMYFUNCTION("""COMPUTED_VALUE"""),"4/4/2023, 17:00:00")</f>
        <v>4/4/2023, 17:00:00</v>
      </c>
      <c r="I4345" s="1" t="str">
        <f>IFERROR(__xludf.DUMMYFUNCTION("""COMPUTED_VALUE"""),"RETIRADO OK POR CLIENTE")</f>
        <v>RETIRADO OK POR CLIENTE</v>
      </c>
      <c r="J4345" s="1">
        <f t="shared" si="3"/>
        <v>6</v>
      </c>
      <c r="K4345" s="1" t="str">
        <f t="shared" si="4"/>
        <v>Entregamos tus lentes, que los disfrutes!</v>
      </c>
    </row>
    <row r="4346">
      <c r="A4346" s="1">
        <f>IFERROR(__xludf.DUMMYFUNCTION("""COMPUTED_VALUE"""),88909.0)</f>
        <v>88909</v>
      </c>
      <c r="B4346" s="5">
        <f>IFERROR(__xludf.DUMMYFUNCTION("""COMPUTED_VALUE"""),45014.7488046875)</f>
        <v>45014.7488</v>
      </c>
      <c r="C4346" s="1" t="str">
        <f>IFERROR(__xludf.DUMMYFUNCTION("""COMPUTED_VALUE"""),"LOMELLO EVA")</f>
        <v>LOMELLO EVA</v>
      </c>
      <c r="D4346" s="1" t="str">
        <f>IFERROR(__xludf.DUMMYFUNCTION("""COMPUTED_VALUE"""),"Lentes de STOCK")</f>
        <v>Lentes de STOCK</v>
      </c>
      <c r="E4346" s="1" t="str">
        <f>IFERROR(__xludf.DUMMYFUNCTION("""COMPUTED_VALUE"""),"ARTIGAS Ivana P.")</f>
        <v>ARTIGAS Ivana P.</v>
      </c>
      <c r="F4346" s="1" t="str">
        <f t="shared" si="1"/>
        <v>ARTIGAS </v>
      </c>
      <c r="G4346" s="1" t="str">
        <f t="shared" si="2"/>
        <v>Ivana P.</v>
      </c>
      <c r="H4346" s="1" t="str">
        <f>IFERROR(__xludf.DUMMYFUNCTION("""COMPUTED_VALUE"""),"4/4/2023, 17:00:00")</f>
        <v>4/4/2023, 17:00:00</v>
      </c>
      <c r="I4346" s="1"/>
      <c r="J4346" s="1">
        <f t="shared" si="3"/>
        <v>0</v>
      </c>
      <c r="K4346" s="1" t="str">
        <f t="shared" si="4"/>
        <v/>
      </c>
    </row>
    <row r="4347">
      <c r="A4347" s="1">
        <f>IFERROR(__xludf.DUMMYFUNCTION("""COMPUTED_VALUE"""),88910.0)</f>
        <v>88910</v>
      </c>
      <c r="B4347" s="5">
        <f>IFERROR(__xludf.DUMMYFUNCTION("""COMPUTED_VALUE"""),45014.7506953125)</f>
        <v>45014.7507</v>
      </c>
      <c r="C4347" s="1" t="str">
        <f>IFERROR(__xludf.DUMMYFUNCTION("""COMPUTED_VALUE"""),"LOMELLO EVA")</f>
        <v>LOMELLO EVA</v>
      </c>
      <c r="D4347" s="1" t="str">
        <f>IFERROR(__xludf.DUMMYFUNCTION("""COMPUTED_VALUE"""),"Lentes de STOCK")</f>
        <v>Lentes de STOCK</v>
      </c>
      <c r="E4347" s="1" t="str">
        <f>IFERROR(__xludf.DUMMYFUNCTION("""COMPUTED_VALUE"""),"ARTIGAS Ivana P.")</f>
        <v>ARTIGAS Ivana P.</v>
      </c>
      <c r="F4347" s="1" t="str">
        <f t="shared" si="1"/>
        <v>ARTIGAS </v>
      </c>
      <c r="G4347" s="1" t="str">
        <f t="shared" si="2"/>
        <v>Ivana P.</v>
      </c>
      <c r="H4347" s="1" t="str">
        <f>IFERROR(__xludf.DUMMYFUNCTION("""COMPUTED_VALUE"""),"4/4/2023, 17:00:00")</f>
        <v>4/4/2023, 17:00:00</v>
      </c>
      <c r="I4347" s="1" t="str">
        <f>IFERROR(__xludf.DUMMYFUNCTION("""COMPUTED_VALUE"""),"Completado en SUCURSAL")</f>
        <v>Completado en SUCURSAL</v>
      </c>
      <c r="J4347" s="1">
        <f t="shared" si="3"/>
        <v>5</v>
      </c>
      <c r="K4347" s="1" t="str">
        <f t="shared" si="4"/>
        <v>Tus Lentes estan LISTAS PARA ENTREGAR, te esperamos.</v>
      </c>
    </row>
    <row r="4348">
      <c r="A4348" s="1">
        <f>IFERROR(__xludf.DUMMYFUNCTION("""COMPUTED_VALUE"""),88911.0)</f>
        <v>88911</v>
      </c>
      <c r="B4348" s="5">
        <f>IFERROR(__xludf.DUMMYFUNCTION("""COMPUTED_VALUE"""),45014.75088527778)</f>
        <v>45014.75089</v>
      </c>
      <c r="C4348" s="1" t="str">
        <f>IFERROR(__xludf.DUMMYFUNCTION("""COMPUTED_VALUE"""),"CUEVAS NATALIA")</f>
        <v>CUEVAS NATALIA</v>
      </c>
      <c r="D4348" s="1" t="str">
        <f>IFERROR(__xludf.DUMMYFUNCTION("""COMPUTED_VALUE"""),"Lentes de STOCK")</f>
        <v>Lentes de STOCK</v>
      </c>
      <c r="E4348" s="1" t="str">
        <f>IFERROR(__xludf.DUMMYFUNCTION("""COMPUTED_VALUE"""),"RIVADAVIA Santiago LOPEZ")</f>
        <v>RIVADAVIA Santiago LOPEZ</v>
      </c>
      <c r="F4348" s="1" t="str">
        <f t="shared" si="1"/>
        <v>RIVADAVIA </v>
      </c>
      <c r="G4348" s="1" t="str">
        <f t="shared" si="2"/>
        <v>Santiago LOPEZ</v>
      </c>
      <c r="H4348" s="1" t="str">
        <f>IFERROR(__xludf.DUMMYFUNCTION("""COMPUTED_VALUE"""),"31/3/2023, 17:00:00")</f>
        <v>31/3/2023, 17:00:00</v>
      </c>
      <c r="I4348" s="1" t="str">
        <f>IFERROR(__xludf.DUMMYFUNCTION("""COMPUTED_VALUE"""),"RETIRADO OK POR CLIENTE")</f>
        <v>RETIRADO OK POR CLIENTE</v>
      </c>
      <c r="J4348" s="1">
        <f t="shared" si="3"/>
        <v>6</v>
      </c>
      <c r="K4348" s="1" t="str">
        <f t="shared" si="4"/>
        <v>Entregamos tus lentes, que los disfrutes!</v>
      </c>
    </row>
    <row r="4349">
      <c r="A4349" s="1">
        <f>IFERROR(__xludf.DUMMYFUNCTION("""COMPUTED_VALUE"""),88912.0)</f>
        <v>88912</v>
      </c>
      <c r="B4349" s="5">
        <f>IFERROR(__xludf.DUMMYFUNCTION("""COMPUTED_VALUE"""),45014.75161559028)</f>
        <v>45014.75162</v>
      </c>
      <c r="C4349" s="1" t="str">
        <f>IFERROR(__xludf.DUMMYFUNCTION("""COMPUTED_VALUE"""),"LEYES MARCOS")</f>
        <v>LEYES MARCOS</v>
      </c>
      <c r="D4349" s="1" t="str">
        <f>IFERROR(__xludf.DUMMYFUNCTION("""COMPUTED_VALUE"""),"Lentes de STOCK")</f>
        <v>Lentes de STOCK</v>
      </c>
      <c r="E4349" s="1" t="str">
        <f>IFERROR(__xludf.DUMMYFUNCTION("""COMPUTED_VALUE"""),"ARTIGAS Roció")</f>
        <v>ARTIGAS Roció</v>
      </c>
      <c r="F4349" s="1" t="str">
        <f t="shared" si="1"/>
        <v>ARTIGAS </v>
      </c>
      <c r="G4349" s="1" t="str">
        <f t="shared" si="2"/>
        <v>Roció</v>
      </c>
      <c r="H4349" s="1" t="str">
        <f>IFERROR(__xludf.DUMMYFUNCTION("""COMPUTED_VALUE"""),"5/4/2023, 17:00:00")</f>
        <v>5/4/2023, 17:00:00</v>
      </c>
      <c r="I4349" s="1" t="str">
        <f>IFERROR(__xludf.DUMMYFUNCTION("""COMPUTED_VALUE"""),"RETIRADO OK POR CLIENTE")</f>
        <v>RETIRADO OK POR CLIENTE</v>
      </c>
      <c r="J4349" s="1">
        <f t="shared" si="3"/>
        <v>6</v>
      </c>
      <c r="K4349" s="1" t="str">
        <f t="shared" si="4"/>
        <v>Entregamos tus lentes, que los disfrutes!</v>
      </c>
    </row>
    <row r="4350">
      <c r="A4350" s="1">
        <f>IFERROR(__xludf.DUMMYFUNCTION("""COMPUTED_VALUE"""),88913.0)</f>
        <v>88913</v>
      </c>
      <c r="B4350" s="5">
        <f>IFERROR(__xludf.DUMMYFUNCTION("""COMPUTED_VALUE"""),45014.75582340278)</f>
        <v>45014.75582</v>
      </c>
      <c r="C4350" s="1" t="str">
        <f>IFERROR(__xludf.DUMMYFUNCTION("""COMPUTED_VALUE"""),"SAA ALVARO LISANDRO")</f>
        <v>SAA ALVARO LISANDRO</v>
      </c>
      <c r="D4350" s="1" t="str">
        <f>IFERROR(__xludf.DUMMYFUNCTION("""COMPUTED_VALUE"""),"Lentes de STOCK")</f>
        <v>Lentes de STOCK</v>
      </c>
      <c r="E4350" s="1" t="str">
        <f>IFERROR(__xludf.DUMMYFUNCTION("""COMPUTED_VALUE"""),"ARTIGAS Roció")</f>
        <v>ARTIGAS Roció</v>
      </c>
      <c r="F4350" s="1" t="str">
        <f t="shared" si="1"/>
        <v>ARTIGAS </v>
      </c>
      <c r="G4350" s="1" t="str">
        <f t="shared" si="2"/>
        <v>Roció</v>
      </c>
      <c r="H4350" s="1" t="str">
        <f>IFERROR(__xludf.DUMMYFUNCTION("""COMPUTED_VALUE"""),"11/4/2023, 17:00:00")</f>
        <v>11/4/2023, 17:00:00</v>
      </c>
      <c r="I4350" s="1" t="str">
        <f>IFERROR(__xludf.DUMMYFUNCTION("""COMPUTED_VALUE"""),"RETIRADO OK POR CLIENTE")</f>
        <v>RETIRADO OK POR CLIENTE</v>
      </c>
      <c r="J4350" s="1">
        <f t="shared" si="3"/>
        <v>6</v>
      </c>
      <c r="K4350" s="1" t="str">
        <f t="shared" si="4"/>
        <v>Entregamos tus lentes, que los disfrutes!</v>
      </c>
    </row>
    <row r="4351">
      <c r="A4351" s="1">
        <f>IFERROR(__xludf.DUMMYFUNCTION("""COMPUTED_VALUE"""),88914.0)</f>
        <v>88914</v>
      </c>
      <c r="B4351" s="5">
        <f>IFERROR(__xludf.DUMMYFUNCTION("""COMPUTED_VALUE"""),45014.761802141205)</f>
        <v>45014.7618</v>
      </c>
      <c r="C4351" s="1" t="str">
        <f>IFERROR(__xludf.DUMMYFUNCTION("""COMPUTED_VALUE"""),"Camargo Noemi")</f>
        <v>Camargo Noemi</v>
      </c>
      <c r="D4351" s="1" t="str">
        <f>IFERROR(__xludf.DUMMYFUNCTION("""COMPUTED_VALUE"""),"Reparaciones/Otros")</f>
        <v>Reparaciones/Otros</v>
      </c>
      <c r="E4351" s="1" t="str">
        <f>IFERROR(__xludf.DUMMYFUNCTION("""COMPUTED_VALUE"""),"ARTIGAS Micaela")</f>
        <v>ARTIGAS Micaela</v>
      </c>
      <c r="F4351" s="1" t="str">
        <f t="shared" si="1"/>
        <v>ARTIGAS </v>
      </c>
      <c r="G4351" s="1" t="str">
        <f t="shared" si="2"/>
        <v>Micaela</v>
      </c>
      <c r="H4351" s="1" t="str">
        <f>IFERROR(__xludf.DUMMYFUNCTION("""COMPUTED_VALUE"""),"30/3/2023, 17:00:00")</f>
        <v>30/3/2023, 17:00:00</v>
      </c>
      <c r="I4351" s="1" t="str">
        <f>IFERROR(__xludf.DUMMYFUNCTION("""COMPUTED_VALUE"""),"Completado en SUCURSAL")</f>
        <v>Completado en SUCURSAL</v>
      </c>
      <c r="J4351" s="1">
        <f t="shared" si="3"/>
        <v>5</v>
      </c>
      <c r="K4351" s="1" t="str">
        <f t="shared" si="4"/>
        <v>Tus Lentes estan LISTAS PARA ENTREGAR, te esperamos.</v>
      </c>
    </row>
    <row r="4352">
      <c r="A4352" s="1">
        <f>IFERROR(__xludf.DUMMYFUNCTION("""COMPUTED_VALUE"""),88915.0)</f>
        <v>88915</v>
      </c>
      <c r="B4352" s="5">
        <f>IFERROR(__xludf.DUMMYFUNCTION("""COMPUTED_VALUE"""),45014.76464219908)</f>
        <v>45014.76464</v>
      </c>
      <c r="C4352" s="1" t="str">
        <f>IFERROR(__xludf.DUMMYFUNCTION("""COMPUTED_VALUE"""),"TERRAZA DORA")</f>
        <v>TERRAZA DORA</v>
      </c>
      <c r="D4352" s="1" t="str">
        <f>IFERROR(__xludf.DUMMYFUNCTION("""COMPUTED_VALUE"""),"Lentes de STOCK")</f>
        <v>Lentes de STOCK</v>
      </c>
      <c r="E4352" s="1" t="str">
        <f>IFERROR(__xludf.DUMMYFUNCTION("""COMPUTED_VALUE"""),"RIVADAVIA Santiago LOPEZ")</f>
        <v>RIVADAVIA Santiago LOPEZ</v>
      </c>
      <c r="F4352" s="1" t="str">
        <f t="shared" si="1"/>
        <v>RIVADAVIA </v>
      </c>
      <c r="G4352" s="1" t="str">
        <f t="shared" si="2"/>
        <v>Santiago LOPEZ</v>
      </c>
      <c r="H4352" s="1" t="str">
        <f>IFERROR(__xludf.DUMMYFUNCTION("""COMPUTED_VALUE"""),"3/4/2023, 17:00:00")</f>
        <v>3/4/2023, 17:00:00</v>
      </c>
      <c r="I4352" s="1" t="str">
        <f>IFERROR(__xludf.DUMMYFUNCTION("""COMPUTED_VALUE"""),"RETIRADO OK POR CLIENTE")</f>
        <v>RETIRADO OK POR CLIENTE</v>
      </c>
      <c r="J4352" s="1">
        <f t="shared" si="3"/>
        <v>6</v>
      </c>
      <c r="K4352" s="1" t="str">
        <f t="shared" si="4"/>
        <v>Entregamos tus lentes, que los disfrutes!</v>
      </c>
    </row>
    <row r="4353">
      <c r="A4353" s="1">
        <f>IFERROR(__xludf.DUMMYFUNCTION("""COMPUTED_VALUE"""),88916.0)</f>
        <v>88916</v>
      </c>
      <c r="B4353" s="5">
        <f>IFERROR(__xludf.DUMMYFUNCTION("""COMPUTED_VALUE"""),45014.76502697916)</f>
        <v>45014.76503</v>
      </c>
      <c r="C4353" s="1" t="str">
        <f>IFERROR(__xludf.DUMMYFUNCTION("""COMPUTED_VALUE"""),"Romero Samuel")</f>
        <v>Romero Samuel</v>
      </c>
      <c r="D4353" s="1" t="str">
        <f>IFERROR(__xludf.DUMMYFUNCTION("""COMPUTED_VALUE"""),"Reparaciones/Otros")</f>
        <v>Reparaciones/Otros</v>
      </c>
      <c r="E4353" s="1" t="str">
        <f>IFERROR(__xludf.DUMMYFUNCTION("""COMPUTED_VALUE"""),"ARTIGAS Micaela")</f>
        <v>ARTIGAS Micaela</v>
      </c>
      <c r="F4353" s="1" t="str">
        <f t="shared" si="1"/>
        <v>ARTIGAS </v>
      </c>
      <c r="G4353" s="1" t="str">
        <f t="shared" si="2"/>
        <v>Micaela</v>
      </c>
      <c r="H4353" s="1" t="str">
        <f>IFERROR(__xludf.DUMMYFUNCTION("""COMPUTED_VALUE"""),"30/3/2023, 17:00:00")</f>
        <v>30/3/2023, 17:00:00</v>
      </c>
      <c r="I4353" s="1" t="str">
        <f>IFERROR(__xludf.DUMMYFUNCTION("""COMPUTED_VALUE"""),"Completado en SUCURSAL")</f>
        <v>Completado en SUCURSAL</v>
      </c>
      <c r="J4353" s="1">
        <f t="shared" si="3"/>
        <v>5</v>
      </c>
      <c r="K4353" s="1" t="str">
        <f t="shared" si="4"/>
        <v>Tus Lentes estan LISTAS PARA ENTREGAR, te esperamos.</v>
      </c>
    </row>
    <row r="4354">
      <c r="A4354" s="1">
        <f>IFERROR(__xludf.DUMMYFUNCTION("""COMPUTED_VALUE"""),88917.0)</f>
        <v>88917</v>
      </c>
      <c r="B4354" s="5">
        <f>IFERROR(__xludf.DUMMYFUNCTION("""COMPUTED_VALUE"""),45014.767752037034)</f>
        <v>45014.76775</v>
      </c>
      <c r="C4354" s="1" t="str">
        <f>IFERROR(__xludf.DUMMYFUNCTION("""COMPUTED_VALUE"""),"mostilla ana loreana")</f>
        <v>mostilla ana loreana</v>
      </c>
      <c r="D4354" s="1" t="str">
        <f>IFERROR(__xludf.DUMMYFUNCTION("""COMPUTED_VALUE"""),"Lentes de STOCK")</f>
        <v>Lentes de STOCK</v>
      </c>
      <c r="E4354" s="1" t="str">
        <f>IFERROR(__xludf.DUMMYFUNCTION("""COMPUTED_VALUE"""),"RIVADAVIA Santiago N")</f>
        <v>RIVADAVIA Santiago N</v>
      </c>
      <c r="F4354" s="1" t="str">
        <f t="shared" si="1"/>
        <v>RIVADAVIA </v>
      </c>
      <c r="G4354" s="1" t="str">
        <f t="shared" si="2"/>
        <v>Santiago N</v>
      </c>
      <c r="H4354" s="1" t="str">
        <f>IFERROR(__xludf.DUMMYFUNCTION("""COMPUTED_VALUE"""),"31/3/2023, 17:00:00")</f>
        <v>31/3/2023, 17:00:00</v>
      </c>
      <c r="I4354" s="1" t="str">
        <f>IFERROR(__xludf.DUMMYFUNCTION("""COMPUTED_VALUE"""),"RETIRADO OK POR CLIENTE")</f>
        <v>RETIRADO OK POR CLIENTE</v>
      </c>
      <c r="J4354" s="1">
        <f t="shared" si="3"/>
        <v>6</v>
      </c>
      <c r="K4354" s="1" t="str">
        <f t="shared" si="4"/>
        <v>Entregamos tus lentes, que los disfrutes!</v>
      </c>
    </row>
    <row r="4355">
      <c r="A4355" s="1">
        <f>IFERROR(__xludf.DUMMYFUNCTION("""COMPUTED_VALUE"""),88918.0)</f>
        <v>88918</v>
      </c>
      <c r="B4355" s="5">
        <f>IFERROR(__xludf.DUMMYFUNCTION("""COMPUTED_VALUE"""),45014.77069427083)</f>
        <v>45014.77069</v>
      </c>
      <c r="C4355" s="1" t="str">
        <f>IFERROR(__xludf.DUMMYFUNCTION("""COMPUTED_VALUE"""),"ESCUDERO ANA MARIA ")</f>
        <v>ESCUDERO ANA MARIA </v>
      </c>
      <c r="D4355" s="1" t="str">
        <f>IFERROR(__xludf.DUMMYFUNCTION("""COMPUTED_VALUE"""),"Reparaciones/Otros")</f>
        <v>Reparaciones/Otros</v>
      </c>
      <c r="E4355" s="1" t="str">
        <f>IFERROR(__xludf.DUMMYFUNCTION("""COMPUTED_VALUE"""),"RIVADAVIA Christian C.")</f>
        <v>RIVADAVIA Christian C.</v>
      </c>
      <c r="F4355" s="1" t="str">
        <f t="shared" si="1"/>
        <v>RIVADAVIA </v>
      </c>
      <c r="G4355" s="1" t="str">
        <f t="shared" si="2"/>
        <v>Christian C.</v>
      </c>
      <c r="H4355" s="1" t="str">
        <f>IFERROR(__xludf.DUMMYFUNCTION("""COMPUTED_VALUE"""),"31/3/2023, 17:00:00")</f>
        <v>31/3/2023, 17:00:00</v>
      </c>
      <c r="I4355" s="1" t="str">
        <f>IFERROR(__xludf.DUMMYFUNCTION("""COMPUTED_VALUE"""),"Recibido en Laboratorio")</f>
        <v>Recibido en Laboratorio</v>
      </c>
      <c r="J4355" s="1">
        <f t="shared" si="3"/>
        <v>2</v>
      </c>
      <c r="K4355" s="1" t="str">
        <f t="shared" si="4"/>
        <v>Nuestro Laboratorio esta trabajando en tus lentes, los entregaremos en la fecha acordada.</v>
      </c>
    </row>
    <row r="4356">
      <c r="A4356" s="1">
        <f>IFERROR(__xludf.DUMMYFUNCTION("""COMPUTED_VALUE"""),88919.0)</f>
        <v>88919</v>
      </c>
      <c r="B4356" s="5">
        <f>IFERROR(__xludf.DUMMYFUNCTION("""COMPUTED_VALUE"""),45014.77159341435)</f>
        <v>45014.77159</v>
      </c>
      <c r="C4356" s="1" t="str">
        <f>IFERROR(__xludf.DUMMYFUNCTION("""COMPUTED_VALUE"""),"CHAVES EDUARDO")</f>
        <v>CHAVES EDUARDO</v>
      </c>
      <c r="D4356" s="1" t="str">
        <f>IFERROR(__xludf.DUMMYFUNCTION("""COMPUTED_VALUE"""),"Lentes de STOCK")</f>
        <v>Lentes de STOCK</v>
      </c>
      <c r="E4356" s="1" t="str">
        <f>IFERROR(__xludf.DUMMYFUNCTION("""COMPUTED_VALUE"""),"ARTIGAS Roció")</f>
        <v>ARTIGAS Roció</v>
      </c>
      <c r="F4356" s="1" t="str">
        <f t="shared" si="1"/>
        <v>ARTIGAS </v>
      </c>
      <c r="G4356" s="1" t="str">
        <f t="shared" si="2"/>
        <v>Roció</v>
      </c>
      <c r="H4356" s="1" t="str">
        <f>IFERROR(__xludf.DUMMYFUNCTION("""COMPUTED_VALUE"""),"5/4/2023, 17:00:00")</f>
        <v>5/4/2023, 17:00:00</v>
      </c>
      <c r="I4356" s="1" t="str">
        <f>IFERROR(__xludf.DUMMYFUNCTION("""COMPUTED_VALUE"""),"RETIRADO OK POR CLIENTE")</f>
        <v>RETIRADO OK POR CLIENTE</v>
      </c>
      <c r="J4356" s="1">
        <f t="shared" si="3"/>
        <v>6</v>
      </c>
      <c r="K4356" s="1" t="str">
        <f t="shared" si="4"/>
        <v>Entregamos tus lentes, que los disfrutes!</v>
      </c>
    </row>
    <row r="4357">
      <c r="A4357" s="1">
        <f>IFERROR(__xludf.DUMMYFUNCTION("""COMPUTED_VALUE"""),88920.0)</f>
        <v>88920</v>
      </c>
      <c r="B4357" s="5">
        <f>IFERROR(__xludf.DUMMYFUNCTION("""COMPUTED_VALUE"""),45014.77239528935)</f>
        <v>45014.7724</v>
      </c>
      <c r="C4357" s="1" t="str">
        <f>IFERROR(__xludf.DUMMYFUNCTION("""COMPUTED_VALUE"""),"DUPAUS CLAUDIO")</f>
        <v>DUPAUS CLAUDIO</v>
      </c>
      <c r="D4357" s="1" t="str">
        <f>IFERROR(__xludf.DUMMYFUNCTION("""COMPUTED_VALUE"""),"Lentes de STOCK")</f>
        <v>Lentes de STOCK</v>
      </c>
      <c r="E4357" s="1" t="str">
        <f>IFERROR(__xludf.DUMMYFUNCTION("""COMPUTED_VALUE"""),"ARTIGAS Ivana P.")</f>
        <v>ARTIGAS Ivana P.</v>
      </c>
      <c r="F4357" s="1" t="str">
        <f t="shared" si="1"/>
        <v>ARTIGAS </v>
      </c>
      <c r="G4357" s="1" t="str">
        <f t="shared" si="2"/>
        <v>Ivana P.</v>
      </c>
      <c r="H4357" s="1" t="str">
        <f>IFERROR(__xludf.DUMMYFUNCTION("""COMPUTED_VALUE"""),"5/4/2023, 17:00:00")</f>
        <v>5/4/2023, 17:00:00</v>
      </c>
      <c r="I4357" s="1" t="str">
        <f>IFERROR(__xludf.DUMMYFUNCTION("""COMPUTED_VALUE"""),"RETIRADO OK POR CLIENTE")</f>
        <v>RETIRADO OK POR CLIENTE</v>
      </c>
      <c r="J4357" s="1">
        <f t="shared" si="3"/>
        <v>6</v>
      </c>
      <c r="K4357" s="1" t="str">
        <f t="shared" si="4"/>
        <v>Entregamos tus lentes, que los disfrutes!</v>
      </c>
    </row>
    <row r="4358">
      <c r="A4358" s="1">
        <f>IFERROR(__xludf.DUMMYFUNCTION("""COMPUTED_VALUE"""),88921.0)</f>
        <v>88921</v>
      </c>
      <c r="B4358" s="5">
        <f>IFERROR(__xludf.DUMMYFUNCTION("""COMPUTED_VALUE"""),45014.775019305554)</f>
        <v>45014.77502</v>
      </c>
      <c r="C4358" s="1" t="str">
        <f>IFERROR(__xludf.DUMMYFUNCTION("""COMPUTED_VALUE"""),"CORDOBA ROCIO")</f>
        <v>CORDOBA ROCIO</v>
      </c>
      <c r="D4358" s="1" t="str">
        <f>IFERROR(__xludf.DUMMYFUNCTION("""COMPUTED_VALUE"""),"Lentes de STOCK")</f>
        <v>Lentes de STOCK</v>
      </c>
      <c r="E4358" s="1" t="str">
        <f>IFERROR(__xludf.DUMMYFUNCTION("""COMPUTED_VALUE"""),"RIVADAVIA Santiago LOPEZ")</f>
        <v>RIVADAVIA Santiago LOPEZ</v>
      </c>
      <c r="F4358" s="1" t="str">
        <f t="shared" si="1"/>
        <v>RIVADAVIA </v>
      </c>
      <c r="G4358" s="1" t="str">
        <f t="shared" si="2"/>
        <v>Santiago LOPEZ</v>
      </c>
      <c r="H4358" s="1" t="str">
        <f>IFERROR(__xludf.DUMMYFUNCTION("""COMPUTED_VALUE"""),"3/4/2023, 17:00:00")</f>
        <v>3/4/2023, 17:00:00</v>
      </c>
      <c r="I4358" s="1" t="str">
        <f>IFERROR(__xludf.DUMMYFUNCTION("""COMPUTED_VALUE"""),"RETIRADO OK POR CLIENTE")</f>
        <v>RETIRADO OK POR CLIENTE</v>
      </c>
      <c r="J4358" s="1">
        <f t="shared" si="3"/>
        <v>6</v>
      </c>
      <c r="K4358" s="1" t="str">
        <f t="shared" si="4"/>
        <v>Entregamos tus lentes, que los disfrutes!</v>
      </c>
    </row>
    <row r="4359">
      <c r="A4359" s="1">
        <f>IFERROR(__xludf.DUMMYFUNCTION("""COMPUTED_VALUE"""),88922.0)</f>
        <v>88922</v>
      </c>
      <c r="B4359" s="5">
        <f>IFERROR(__xludf.DUMMYFUNCTION("""COMPUTED_VALUE"""),45014.77598287037)</f>
        <v>45014.77598</v>
      </c>
      <c r="C4359" s="1" t="str">
        <f>IFERROR(__xludf.DUMMYFUNCTION("""COMPUTED_VALUE"""),"CHAVES FACUNDO")</f>
        <v>CHAVES FACUNDO</v>
      </c>
      <c r="D4359" s="1" t="str">
        <f>IFERROR(__xludf.DUMMYFUNCTION("""COMPUTED_VALUE"""),"Lentes de STOCK")</f>
        <v>Lentes de STOCK</v>
      </c>
      <c r="E4359" s="1" t="str">
        <f>IFERROR(__xludf.DUMMYFUNCTION("""COMPUTED_VALUE"""),"ARTIGAS Roció")</f>
        <v>ARTIGAS Roció</v>
      </c>
      <c r="F4359" s="1" t="str">
        <f t="shared" si="1"/>
        <v>ARTIGAS </v>
      </c>
      <c r="G4359" s="1" t="str">
        <f t="shared" si="2"/>
        <v>Roció</v>
      </c>
      <c r="H4359" s="1" t="str">
        <f>IFERROR(__xludf.DUMMYFUNCTION("""COMPUTED_VALUE"""),"5/4/2023, 17:00:00")</f>
        <v>5/4/2023, 17:00:00</v>
      </c>
      <c r="I4359" s="1" t="str">
        <f>IFERROR(__xludf.DUMMYFUNCTION("""COMPUTED_VALUE"""),"RETIRADO OK POR CLIENTE")</f>
        <v>RETIRADO OK POR CLIENTE</v>
      </c>
      <c r="J4359" s="1">
        <f t="shared" si="3"/>
        <v>6</v>
      </c>
      <c r="K4359" s="1" t="str">
        <f t="shared" si="4"/>
        <v>Entregamos tus lentes, que los disfrutes!</v>
      </c>
    </row>
    <row r="4360">
      <c r="A4360" s="1">
        <f>IFERROR(__xludf.DUMMYFUNCTION("""COMPUTED_VALUE"""),88923.0)</f>
        <v>88923</v>
      </c>
      <c r="B4360" s="5">
        <f>IFERROR(__xludf.DUMMYFUNCTION("""COMPUTED_VALUE"""),45014.77691373843)</f>
        <v>45014.77691</v>
      </c>
      <c r="C4360" s="1" t="str">
        <f>IFERROR(__xludf.DUMMYFUNCTION("""COMPUTED_VALUE"""),"ROJAS YESICA")</f>
        <v>ROJAS YESICA</v>
      </c>
      <c r="D4360" s="1" t="str">
        <f>IFERROR(__xludf.DUMMYFUNCTION("""COMPUTED_VALUE"""),"Lentes de STOCK")</f>
        <v>Lentes de STOCK</v>
      </c>
      <c r="E4360" s="1" t="str">
        <f>IFERROR(__xludf.DUMMYFUNCTION("""COMPUTED_VALUE"""),"RIVADAVIA Christian C.")</f>
        <v>RIVADAVIA Christian C.</v>
      </c>
      <c r="F4360" s="1" t="str">
        <f t="shared" si="1"/>
        <v>RIVADAVIA </v>
      </c>
      <c r="G4360" s="1" t="str">
        <f t="shared" si="2"/>
        <v>Christian C.</v>
      </c>
      <c r="H4360" s="1" t="str">
        <f>IFERROR(__xludf.DUMMYFUNCTION("""COMPUTED_VALUE"""),"5/4/2023, 17:00:00")</f>
        <v>5/4/2023, 17:00:00</v>
      </c>
      <c r="I4360" s="1" t="str">
        <f>IFERROR(__xludf.DUMMYFUNCTION("""COMPUTED_VALUE"""),"Completado en SUCURSAL")</f>
        <v>Completado en SUCURSAL</v>
      </c>
      <c r="J4360" s="1">
        <f t="shared" si="3"/>
        <v>5</v>
      </c>
      <c r="K4360" s="1" t="str">
        <f t="shared" si="4"/>
        <v>Tus Lentes estan LISTAS PARA ENTREGAR, te esperamos.</v>
      </c>
    </row>
    <row r="4361">
      <c r="A4361" s="1">
        <f>IFERROR(__xludf.DUMMYFUNCTION("""COMPUTED_VALUE"""),88924.0)</f>
        <v>88924</v>
      </c>
      <c r="B4361" s="5">
        <f>IFERROR(__xludf.DUMMYFUNCTION("""COMPUTED_VALUE"""),45014.77864369213)</f>
        <v>45014.77864</v>
      </c>
      <c r="C4361" s="1" t="str">
        <f>IFERROR(__xludf.DUMMYFUNCTION("""COMPUTED_VALUE"""),"Mangeon Jose Claudio")</f>
        <v>Mangeon Jose Claudio</v>
      </c>
      <c r="D4361" s="1" t="str">
        <f>IFERROR(__xludf.DUMMYFUNCTION("""COMPUTED_VALUE"""),"Reparaciones/Otros")</f>
        <v>Reparaciones/Otros</v>
      </c>
      <c r="E4361" s="1" t="str">
        <f>IFERROR(__xludf.DUMMYFUNCTION("""COMPUTED_VALUE"""),"RIVADAVIA Javier")</f>
        <v>RIVADAVIA Javier</v>
      </c>
      <c r="F4361" s="1" t="str">
        <f t="shared" si="1"/>
        <v>RIVADAVIA </v>
      </c>
      <c r="G4361" s="1" t="str">
        <f t="shared" si="2"/>
        <v>Javier</v>
      </c>
      <c r="H4361" s="1" t="str">
        <f>IFERROR(__xludf.DUMMYFUNCTION("""COMPUTED_VALUE"""),"31/3/2023, 17:00:00")</f>
        <v>31/3/2023, 17:00:00</v>
      </c>
      <c r="I4361" s="1" t="str">
        <f>IFERROR(__xludf.DUMMYFUNCTION("""COMPUTED_VALUE"""),"Completado en SUCURSAL")</f>
        <v>Completado en SUCURSAL</v>
      </c>
      <c r="J4361" s="1">
        <f t="shared" si="3"/>
        <v>5</v>
      </c>
      <c r="K4361" s="1" t="str">
        <f t="shared" si="4"/>
        <v>Tus Lentes estan LISTAS PARA ENTREGAR, te esperamos.</v>
      </c>
    </row>
    <row r="4362">
      <c r="A4362" s="1">
        <f>IFERROR(__xludf.DUMMYFUNCTION("""COMPUTED_VALUE"""),88925.0)</f>
        <v>88925</v>
      </c>
      <c r="B4362" s="5">
        <f>IFERROR(__xludf.DUMMYFUNCTION("""COMPUTED_VALUE"""),45014.78455519676)</f>
        <v>45014.78456</v>
      </c>
      <c r="C4362" s="1" t="str">
        <f>IFERROR(__xludf.DUMMYFUNCTION("""COMPUTED_VALUE"""),"funes osvaldo antonio")</f>
        <v>funes osvaldo antonio</v>
      </c>
      <c r="D4362" s="1" t="str">
        <f>IFERROR(__xludf.DUMMYFUNCTION("""COMPUTED_VALUE"""),"Lentes de LABORATORIO")</f>
        <v>Lentes de LABORATORIO</v>
      </c>
      <c r="E4362" s="1" t="str">
        <f>IFERROR(__xludf.DUMMYFUNCTION("""COMPUTED_VALUE"""),"RIVADAVIA Santiago N")</f>
        <v>RIVADAVIA Santiago N</v>
      </c>
      <c r="F4362" s="1" t="str">
        <f t="shared" si="1"/>
        <v>RIVADAVIA </v>
      </c>
      <c r="G4362" s="1" t="str">
        <f t="shared" si="2"/>
        <v>Santiago N</v>
      </c>
      <c r="H4362" s="1" t="str">
        <f>IFERROR(__xludf.DUMMYFUNCTION("""COMPUTED_VALUE"""),"5/4/2023, 17:00:00")</f>
        <v>5/4/2023, 17:00:00</v>
      </c>
      <c r="I4362" s="1" t="str">
        <f>IFERROR(__xludf.DUMMYFUNCTION("""COMPUTED_VALUE"""),"Completado en SUCURSAL")</f>
        <v>Completado en SUCURSAL</v>
      </c>
      <c r="J4362" s="1">
        <f t="shared" si="3"/>
        <v>5</v>
      </c>
      <c r="K4362" s="1" t="str">
        <f t="shared" si="4"/>
        <v>Tus Lentes estan LISTAS PARA ENTREGAR, te esperamos.</v>
      </c>
    </row>
    <row r="4363">
      <c r="A4363" s="1">
        <f>IFERROR(__xludf.DUMMYFUNCTION("""COMPUTED_VALUE"""),88926.0)</f>
        <v>88926</v>
      </c>
      <c r="B4363" s="5">
        <f>IFERROR(__xludf.DUMMYFUNCTION("""COMPUTED_VALUE"""),45014.78497871528)</f>
        <v>45014.78498</v>
      </c>
      <c r="C4363" s="1" t="str">
        <f>IFERROR(__xludf.DUMMYFUNCTION("""COMPUTED_VALUE"""),"ESCUDERO BERTA")</f>
        <v>ESCUDERO BERTA</v>
      </c>
      <c r="D4363" s="1" t="str">
        <f>IFERROR(__xludf.DUMMYFUNCTION("""COMPUTED_VALUE"""),"Lentes de STOCK")</f>
        <v>Lentes de STOCK</v>
      </c>
      <c r="E4363" s="1" t="str">
        <f>IFERROR(__xludf.DUMMYFUNCTION("""COMPUTED_VALUE"""),"ARTIGAS Roció")</f>
        <v>ARTIGAS Roció</v>
      </c>
      <c r="F4363" s="1" t="str">
        <f t="shared" si="1"/>
        <v>ARTIGAS </v>
      </c>
      <c r="G4363" s="1" t="str">
        <f t="shared" si="2"/>
        <v>Roció</v>
      </c>
      <c r="H4363" s="1" t="str">
        <f>IFERROR(__xludf.DUMMYFUNCTION("""COMPUTED_VALUE"""),"3/4/2023, 17:00:00")</f>
        <v>3/4/2023, 17:00:00</v>
      </c>
      <c r="I4363" s="1" t="str">
        <f>IFERROR(__xludf.DUMMYFUNCTION("""COMPUTED_VALUE"""),"Completado en SUCURSAL")</f>
        <v>Completado en SUCURSAL</v>
      </c>
      <c r="J4363" s="1">
        <f t="shared" si="3"/>
        <v>5</v>
      </c>
      <c r="K4363" s="1" t="str">
        <f t="shared" si="4"/>
        <v>Tus Lentes estan LISTAS PARA ENTREGAR, te esperamos.</v>
      </c>
    </row>
    <row r="4364">
      <c r="A4364" s="1">
        <f>IFERROR(__xludf.DUMMYFUNCTION("""COMPUTED_VALUE"""),88927.0)</f>
        <v>88927</v>
      </c>
      <c r="B4364" s="5">
        <f>IFERROR(__xludf.DUMMYFUNCTION("""COMPUTED_VALUE"""),45014.78697122685)</f>
        <v>45014.78697</v>
      </c>
      <c r="C4364" s="1" t="str">
        <f>IFERROR(__xludf.DUMMYFUNCTION("""COMPUTED_VALUE"""),"RIVERO PAMELA")</f>
        <v>RIVERO PAMELA</v>
      </c>
      <c r="D4364" s="1" t="str">
        <f>IFERROR(__xludf.DUMMYFUNCTION("""COMPUTED_VALUE"""),"Lentes de STOCK")</f>
        <v>Lentes de STOCK</v>
      </c>
      <c r="E4364" s="1" t="str">
        <f>IFERROR(__xludf.DUMMYFUNCTION("""COMPUTED_VALUE"""),"RIVADAVIA Christian C.")</f>
        <v>RIVADAVIA Christian C.</v>
      </c>
      <c r="F4364" s="1" t="str">
        <f t="shared" si="1"/>
        <v>RIVADAVIA </v>
      </c>
      <c r="G4364" s="1" t="str">
        <f t="shared" si="2"/>
        <v>Christian C.</v>
      </c>
      <c r="H4364" s="1" t="str">
        <f>IFERROR(__xludf.DUMMYFUNCTION("""COMPUTED_VALUE"""),"5/4/2023, 17:00:00")</f>
        <v>5/4/2023, 17:00:00</v>
      </c>
      <c r="I4364" s="1" t="str">
        <f>IFERROR(__xludf.DUMMYFUNCTION("""COMPUTED_VALUE"""),"Completado en SUCURSAL")</f>
        <v>Completado en SUCURSAL</v>
      </c>
      <c r="J4364" s="1">
        <f t="shared" si="3"/>
        <v>5</v>
      </c>
      <c r="K4364" s="1" t="str">
        <f t="shared" si="4"/>
        <v>Tus Lentes estan LISTAS PARA ENTREGAR, te esperamos.</v>
      </c>
    </row>
    <row r="4365">
      <c r="A4365" s="1">
        <f>IFERROR(__xludf.DUMMYFUNCTION("""COMPUTED_VALUE"""),88928.0)</f>
        <v>88928</v>
      </c>
      <c r="B4365" s="5">
        <f>IFERROR(__xludf.DUMMYFUNCTION("""COMPUTED_VALUE"""),45014.79016982639)</f>
        <v>45014.79017</v>
      </c>
      <c r="C4365" s="1" t="str">
        <f>IFERROR(__xludf.DUMMYFUNCTION("""COMPUTED_VALUE"""),"CABAÑEZ DAMIAN ")</f>
        <v>CABAÑEZ DAMIAN </v>
      </c>
      <c r="D4365" s="1" t="str">
        <f>IFERROR(__xludf.DUMMYFUNCTION("""COMPUTED_VALUE"""),"Lentes de STOCK")</f>
        <v>Lentes de STOCK</v>
      </c>
      <c r="E4365" s="1" t="str">
        <f>IFERROR(__xludf.DUMMYFUNCTION("""COMPUTED_VALUE"""),"RIVADAVIA Luciana")</f>
        <v>RIVADAVIA Luciana</v>
      </c>
      <c r="F4365" s="1" t="str">
        <f t="shared" si="1"/>
        <v>RIVADAVIA </v>
      </c>
      <c r="G4365" s="1" t="str">
        <f t="shared" si="2"/>
        <v>Luciana</v>
      </c>
      <c r="H4365" s="1" t="str">
        <f>IFERROR(__xludf.DUMMYFUNCTION("""COMPUTED_VALUE"""),"3/4/2023, 17:00:00")</f>
        <v>3/4/2023, 17:00:00</v>
      </c>
      <c r="I4365" s="1" t="str">
        <f>IFERROR(__xludf.DUMMYFUNCTION("""COMPUTED_VALUE"""),"RETIRADO OK POR CLIENTE")</f>
        <v>RETIRADO OK POR CLIENTE</v>
      </c>
      <c r="J4365" s="1">
        <f t="shared" si="3"/>
        <v>6</v>
      </c>
      <c r="K4365" s="1" t="str">
        <f t="shared" si="4"/>
        <v>Entregamos tus lentes, que los disfrutes!</v>
      </c>
    </row>
    <row r="4366">
      <c r="A4366" s="1">
        <f>IFERROR(__xludf.DUMMYFUNCTION("""COMPUTED_VALUE"""),88929.0)</f>
        <v>88929</v>
      </c>
      <c r="B4366" s="5">
        <f>IFERROR(__xludf.DUMMYFUNCTION("""COMPUTED_VALUE"""),45014.79953221064)</f>
        <v>45014.79953</v>
      </c>
      <c r="C4366" s="1" t="str">
        <f>IFERROR(__xludf.DUMMYFUNCTION("""COMPUTED_VALUE"""),"AGUERO HIPOLITO")</f>
        <v>AGUERO HIPOLITO</v>
      </c>
      <c r="D4366" s="1" t="str">
        <f>IFERROR(__xludf.DUMMYFUNCTION("""COMPUTED_VALUE"""),"Lentes de STOCK")</f>
        <v>Lentes de STOCK</v>
      </c>
      <c r="E4366" s="1" t="str">
        <f>IFERROR(__xludf.DUMMYFUNCTION("""COMPUTED_VALUE"""),"ARTIGAS Ivana P.")</f>
        <v>ARTIGAS Ivana P.</v>
      </c>
      <c r="F4366" s="1" t="str">
        <f t="shared" si="1"/>
        <v>ARTIGAS </v>
      </c>
      <c r="G4366" s="1" t="str">
        <f t="shared" si="2"/>
        <v>Ivana P.</v>
      </c>
      <c r="H4366" s="1" t="str">
        <f>IFERROR(__xludf.DUMMYFUNCTION("""COMPUTED_VALUE"""),"4/4/2023, 17:00:00")</f>
        <v>4/4/2023, 17:00:00</v>
      </c>
      <c r="I4366" s="1" t="str">
        <f>IFERROR(__xludf.DUMMYFUNCTION("""COMPUTED_VALUE"""),"Completado en SUCURSAL")</f>
        <v>Completado en SUCURSAL</v>
      </c>
      <c r="J4366" s="1">
        <f t="shared" si="3"/>
        <v>5</v>
      </c>
      <c r="K4366" s="1" t="str">
        <f t="shared" si="4"/>
        <v>Tus Lentes estan LISTAS PARA ENTREGAR, te esperamos.</v>
      </c>
    </row>
    <row r="4367">
      <c r="A4367" s="1">
        <f>IFERROR(__xludf.DUMMYFUNCTION("""COMPUTED_VALUE"""),88930.0)</f>
        <v>88930</v>
      </c>
      <c r="B4367" s="5">
        <f>IFERROR(__xludf.DUMMYFUNCTION("""COMPUTED_VALUE"""),45014.80324599537)</f>
        <v>45014.80325</v>
      </c>
      <c r="C4367" s="1" t="str">
        <f>IFERROR(__xludf.DUMMYFUNCTION("""COMPUTED_VALUE"""),"ROSALES JUAN / KC")</f>
        <v>ROSALES JUAN / KC</v>
      </c>
      <c r="D4367" s="1" t="str">
        <f>IFERROR(__xludf.DUMMYFUNCTION("""COMPUTED_VALUE"""),"Lentes de STOCK")</f>
        <v>Lentes de STOCK</v>
      </c>
      <c r="E4367" s="1" t="str">
        <f>IFERROR(__xludf.DUMMYFUNCTION("""COMPUTED_VALUE"""),"ARTIGAS Ivana P.")</f>
        <v>ARTIGAS Ivana P.</v>
      </c>
      <c r="F4367" s="1" t="str">
        <f t="shared" si="1"/>
        <v>ARTIGAS </v>
      </c>
      <c r="G4367" s="1" t="str">
        <f t="shared" si="2"/>
        <v>Ivana P.</v>
      </c>
      <c r="H4367" s="1" t="str">
        <f>IFERROR(__xludf.DUMMYFUNCTION("""COMPUTED_VALUE"""),"4/4/2023, 17:00:00")</f>
        <v>4/4/2023, 17:00:00</v>
      </c>
      <c r="I4367" s="1" t="str">
        <f>IFERROR(__xludf.DUMMYFUNCTION("""COMPUTED_VALUE"""),"Completado en SUCURSAL")</f>
        <v>Completado en SUCURSAL</v>
      </c>
      <c r="J4367" s="1">
        <f t="shared" si="3"/>
        <v>5</v>
      </c>
      <c r="K4367" s="1" t="str">
        <f t="shared" si="4"/>
        <v>Tus Lentes estan LISTAS PARA ENTREGAR, te esperamos.</v>
      </c>
    </row>
    <row r="4368">
      <c r="A4368" s="1">
        <f>IFERROR(__xludf.DUMMYFUNCTION("""COMPUTED_VALUE"""),88931.0)</f>
        <v>88931</v>
      </c>
      <c r="B4368" s="5">
        <f>IFERROR(__xludf.DUMMYFUNCTION("""COMPUTED_VALUE"""),45014.80856233796)</f>
        <v>45014.80856</v>
      </c>
      <c r="C4368" s="1" t="str">
        <f>IFERROR(__xludf.DUMMYFUNCTION("""COMPUTED_VALUE"""),"AMAYA TATIANA")</f>
        <v>AMAYA TATIANA</v>
      </c>
      <c r="D4368" s="1" t="str">
        <f>IFERROR(__xludf.DUMMYFUNCTION("""COMPUTED_VALUE"""),"Lentes de STOCK")</f>
        <v>Lentes de STOCK</v>
      </c>
      <c r="E4368" s="1" t="str">
        <f>IFERROR(__xludf.DUMMYFUNCTION("""COMPUTED_VALUE"""),"ARTIGAS Ivana P.")</f>
        <v>ARTIGAS Ivana P.</v>
      </c>
      <c r="F4368" s="1" t="str">
        <f t="shared" si="1"/>
        <v>ARTIGAS </v>
      </c>
      <c r="G4368" s="1" t="str">
        <f t="shared" si="2"/>
        <v>Ivana P.</v>
      </c>
      <c r="H4368" s="1" t="str">
        <f>IFERROR(__xludf.DUMMYFUNCTION("""COMPUTED_VALUE"""),"4/4/2023, 17:00:00")</f>
        <v>4/4/2023, 17:00:00</v>
      </c>
      <c r="I4368" s="1" t="str">
        <f>IFERROR(__xludf.DUMMYFUNCTION("""COMPUTED_VALUE"""),"Completado en SUCURSAL")</f>
        <v>Completado en SUCURSAL</v>
      </c>
      <c r="J4368" s="1">
        <f t="shared" si="3"/>
        <v>5</v>
      </c>
      <c r="K4368" s="1" t="str">
        <f t="shared" si="4"/>
        <v>Tus Lentes estan LISTAS PARA ENTREGAR, te esperamos.</v>
      </c>
    </row>
    <row r="4369">
      <c r="A4369" s="1">
        <f>IFERROR(__xludf.DUMMYFUNCTION("""COMPUTED_VALUE"""),88932.0)</f>
        <v>88932</v>
      </c>
      <c r="B4369" s="5">
        <f>IFERROR(__xludf.DUMMYFUNCTION("""COMPUTED_VALUE"""),45014.81747466435)</f>
        <v>45014.81747</v>
      </c>
      <c r="C4369" s="1" t="str">
        <f>IFERROR(__xludf.DUMMYFUNCTION("""COMPUTED_VALUE"""),"CARDINAS BRANDON FRANCISCO")</f>
        <v>CARDINAS BRANDON FRANCISCO</v>
      </c>
      <c r="D4369" s="1" t="str">
        <f>IFERROR(__xludf.DUMMYFUNCTION("""COMPUTED_VALUE"""),"Lentes de LABORATORIO")</f>
        <v>Lentes de LABORATORIO</v>
      </c>
      <c r="E4369" s="1" t="str">
        <f>IFERROR(__xludf.DUMMYFUNCTION("""COMPUTED_VALUE"""),"ARTIGAS Roció")</f>
        <v>ARTIGAS Roció</v>
      </c>
      <c r="F4369" s="1" t="str">
        <f t="shared" si="1"/>
        <v>ARTIGAS </v>
      </c>
      <c r="G4369" s="1" t="str">
        <f t="shared" si="2"/>
        <v>Roció</v>
      </c>
      <c r="H4369" s="1" t="str">
        <f>IFERROR(__xludf.DUMMYFUNCTION("""COMPUTED_VALUE"""),"14/4/2023, 17:00:00")</f>
        <v>14/4/2023, 17:00:00</v>
      </c>
      <c r="I4369" s="1" t="str">
        <f>IFERROR(__xludf.DUMMYFUNCTION("""COMPUTED_VALUE"""),"Completado en SUCURSAL")</f>
        <v>Completado en SUCURSAL</v>
      </c>
      <c r="J4369" s="1">
        <f t="shared" si="3"/>
        <v>5</v>
      </c>
      <c r="K4369" s="1" t="str">
        <f t="shared" si="4"/>
        <v>Tus Lentes estan LISTAS PARA ENTREGAR, te esperamos.</v>
      </c>
    </row>
    <row r="4370">
      <c r="A4370" s="1">
        <f>IFERROR(__xludf.DUMMYFUNCTION("""COMPUTED_VALUE"""),88933.0)</f>
        <v>88933</v>
      </c>
      <c r="B4370" s="5">
        <f>IFERROR(__xludf.DUMMYFUNCTION("""COMPUTED_VALUE"""),45014.82165074074)</f>
        <v>45014.82165</v>
      </c>
      <c r="C4370" s="1" t="str">
        <f>IFERROR(__xludf.DUMMYFUNCTION("""COMPUTED_VALUE"""),"ALCARAZ DOMINGO")</f>
        <v>ALCARAZ DOMINGO</v>
      </c>
      <c r="D4370" s="1" t="str">
        <f>IFERROR(__xludf.DUMMYFUNCTION("""COMPUTED_VALUE"""),"Lentes de STOCK")</f>
        <v>Lentes de STOCK</v>
      </c>
      <c r="E4370" s="1" t="str">
        <f>IFERROR(__xludf.DUMMYFUNCTION("""COMPUTED_VALUE"""),"ARTIGAS Ivana P.")</f>
        <v>ARTIGAS Ivana P.</v>
      </c>
      <c r="F4370" s="1" t="str">
        <f t="shared" si="1"/>
        <v>ARTIGAS </v>
      </c>
      <c r="G4370" s="1" t="str">
        <f t="shared" si="2"/>
        <v>Ivana P.</v>
      </c>
      <c r="H4370" s="1" t="str">
        <f>IFERROR(__xludf.DUMMYFUNCTION("""COMPUTED_VALUE"""),"4/4/2023, 17:00:00")</f>
        <v>4/4/2023, 17:00:00</v>
      </c>
      <c r="I4370" s="1" t="str">
        <f>IFERROR(__xludf.DUMMYFUNCTION("""COMPUTED_VALUE"""),"Completado en SUCURSAL")</f>
        <v>Completado en SUCURSAL</v>
      </c>
      <c r="J4370" s="1">
        <f t="shared" si="3"/>
        <v>5</v>
      </c>
      <c r="K4370" s="1" t="str">
        <f t="shared" si="4"/>
        <v>Tus Lentes estan LISTAS PARA ENTREGAR, te esperamos.</v>
      </c>
    </row>
    <row r="4371">
      <c r="A4371" s="1">
        <f>IFERROR(__xludf.DUMMYFUNCTION("""COMPUTED_VALUE"""),88934.0)</f>
        <v>88934</v>
      </c>
      <c r="B4371" s="5">
        <f>IFERROR(__xludf.DUMMYFUNCTION("""COMPUTED_VALUE"""),45014.823565046296)</f>
        <v>45014.82357</v>
      </c>
      <c r="C4371" s="1" t="str">
        <f>IFERROR(__xludf.DUMMYFUNCTION("""COMPUTED_VALUE"""),"FERNANDEZ MONICA")</f>
        <v>FERNANDEZ MONICA</v>
      </c>
      <c r="D4371" s="1" t="str">
        <f>IFERROR(__xludf.DUMMYFUNCTION("""COMPUTED_VALUE"""),"Lentes de STOCK")</f>
        <v>Lentes de STOCK</v>
      </c>
      <c r="E4371" s="1" t="str">
        <f>IFERROR(__xludf.DUMMYFUNCTION("""COMPUTED_VALUE"""),"RIVADAVIA Christian C.")</f>
        <v>RIVADAVIA Christian C.</v>
      </c>
      <c r="F4371" s="1" t="str">
        <f t="shared" si="1"/>
        <v>RIVADAVIA </v>
      </c>
      <c r="G4371" s="1" t="str">
        <f t="shared" si="2"/>
        <v>Christian C.</v>
      </c>
      <c r="H4371" s="1" t="str">
        <f>IFERROR(__xludf.DUMMYFUNCTION("""COMPUTED_VALUE"""),"3/4/2023, 17:00:00")</f>
        <v>3/4/2023, 17:00:00</v>
      </c>
      <c r="I4371" s="1" t="str">
        <f>IFERROR(__xludf.DUMMYFUNCTION("""COMPUTED_VALUE"""),"RETIRADO OK POR CLIENTE")</f>
        <v>RETIRADO OK POR CLIENTE</v>
      </c>
      <c r="J4371" s="1">
        <f t="shared" si="3"/>
        <v>6</v>
      </c>
      <c r="K4371" s="1" t="str">
        <f t="shared" si="4"/>
        <v>Entregamos tus lentes, que los disfrutes!</v>
      </c>
    </row>
    <row r="4372">
      <c r="A4372" s="1">
        <f>IFERROR(__xludf.DUMMYFUNCTION("""COMPUTED_VALUE"""),88935.0)</f>
        <v>88935</v>
      </c>
      <c r="B4372" s="5">
        <f>IFERROR(__xludf.DUMMYFUNCTION("""COMPUTED_VALUE"""),45014.83876944444)</f>
        <v>45014.83877</v>
      </c>
      <c r="C4372" s="1" t="str">
        <f>IFERROR(__xludf.DUMMYFUNCTION("""COMPUTED_VALUE"""),"SANTI MARTINIANO")</f>
        <v>SANTI MARTINIANO</v>
      </c>
      <c r="D4372" s="1" t="str">
        <f>IFERROR(__xludf.DUMMYFUNCTION("""COMPUTED_VALUE"""),"Lentes de STOCK")</f>
        <v>Lentes de STOCK</v>
      </c>
      <c r="E4372" s="1" t="str">
        <f>IFERROR(__xludf.DUMMYFUNCTION("""COMPUTED_VALUE"""),"RIVADAVIA Luciana")</f>
        <v>RIVADAVIA Luciana</v>
      </c>
      <c r="F4372" s="1" t="str">
        <f t="shared" si="1"/>
        <v>RIVADAVIA </v>
      </c>
      <c r="G4372" s="1" t="str">
        <f t="shared" si="2"/>
        <v>Luciana</v>
      </c>
      <c r="H4372" s="1" t="str">
        <f>IFERROR(__xludf.DUMMYFUNCTION("""COMPUTED_VALUE"""),"5/4/2023, 17:00:00")</f>
        <v>5/4/2023, 17:00:00</v>
      </c>
      <c r="I4372" s="1" t="str">
        <f>IFERROR(__xludf.DUMMYFUNCTION("""COMPUTED_VALUE"""),"RETIRADO OK POR CLIENTE")</f>
        <v>RETIRADO OK POR CLIENTE</v>
      </c>
      <c r="J4372" s="1">
        <f t="shared" si="3"/>
        <v>6</v>
      </c>
      <c r="K4372" s="1" t="str">
        <f t="shared" si="4"/>
        <v>Entregamos tus lentes, que los disfrutes!</v>
      </c>
    </row>
    <row r="4373">
      <c r="A4373" s="1">
        <f>IFERROR(__xludf.DUMMYFUNCTION("""COMPUTED_VALUE"""),88936.0)</f>
        <v>88936</v>
      </c>
      <c r="B4373" s="5">
        <f>IFERROR(__xludf.DUMMYFUNCTION("""COMPUTED_VALUE"""),45014.84163436343)</f>
        <v>45014.84163</v>
      </c>
      <c r="C4373" s="1" t="str">
        <f>IFERROR(__xludf.DUMMYFUNCTION("""COMPUTED_VALUE"""),"BAEZ CYNTHIA ")</f>
        <v>BAEZ CYNTHIA </v>
      </c>
      <c r="D4373" s="1" t="str">
        <f>IFERROR(__xludf.DUMMYFUNCTION("""COMPUTED_VALUE"""),"Lentes de STOCK")</f>
        <v>Lentes de STOCK</v>
      </c>
      <c r="E4373" s="1" t="str">
        <f>IFERROR(__xludf.DUMMYFUNCTION("""COMPUTED_VALUE"""),"RIVADAVIA Christian C.")</f>
        <v>RIVADAVIA Christian C.</v>
      </c>
      <c r="F4373" s="1" t="str">
        <f t="shared" si="1"/>
        <v>RIVADAVIA </v>
      </c>
      <c r="G4373" s="1" t="str">
        <f t="shared" si="2"/>
        <v>Christian C.</v>
      </c>
      <c r="H4373" s="1" t="str">
        <f>IFERROR(__xludf.DUMMYFUNCTION("""COMPUTED_VALUE"""),"1/4/2023, 17:00:00")</f>
        <v>1/4/2023, 17:00:00</v>
      </c>
      <c r="I4373" s="1" t="str">
        <f>IFERROR(__xludf.DUMMYFUNCTION("""COMPUTED_VALUE"""),"Completado en SUCURSAL")</f>
        <v>Completado en SUCURSAL</v>
      </c>
      <c r="J4373" s="1">
        <f t="shared" si="3"/>
        <v>5</v>
      </c>
      <c r="K4373" s="1" t="str">
        <f t="shared" si="4"/>
        <v>Tus Lentes estan LISTAS PARA ENTREGAR, te esperamos.</v>
      </c>
    </row>
    <row r="4374">
      <c r="A4374" s="1">
        <f>IFERROR(__xludf.DUMMYFUNCTION("""COMPUTED_VALUE"""),88937.0)</f>
        <v>88937</v>
      </c>
      <c r="B4374" s="5">
        <f>IFERROR(__xludf.DUMMYFUNCTION("""COMPUTED_VALUE"""),45015.35636622686)</f>
        <v>45015.35637</v>
      </c>
      <c r="C4374" s="1" t="str">
        <f>IFERROR(__xludf.DUMMYFUNCTION("""COMPUTED_VALUE"""),"ZAVALA RAUL ARMANDO (PROGRAMA MEDICINA DEL INTERIOR GOB)")</f>
        <v>ZAVALA RAUL ARMANDO (PROGRAMA MEDICINA DEL INTERIOR GOB)</v>
      </c>
      <c r="D4374" s="1" t="str">
        <f>IFERROR(__xludf.DUMMYFUNCTION("""COMPUTED_VALUE"""),"Lentes de STOCK")</f>
        <v>Lentes de STOCK</v>
      </c>
      <c r="E4374" s="1" t="str">
        <f>IFERROR(__xludf.DUMMYFUNCTION("""COMPUTED_VALUE"""),"Online ADMIN.")</f>
        <v>Online ADMIN.</v>
      </c>
      <c r="F4374" s="1" t="str">
        <f t="shared" si="1"/>
        <v>Online </v>
      </c>
      <c r="G4374" s="1" t="str">
        <f t="shared" si="2"/>
        <v>ADMIN.</v>
      </c>
      <c r="H4374" s="1" t="str">
        <f>IFERROR(__xludf.DUMMYFUNCTION("""COMPUTED_VALUE"""),"1/4/2023, 17:00:00")</f>
        <v>1/4/2023, 17:00:00</v>
      </c>
      <c r="I4374" s="1" t="str">
        <f>IFERROR(__xludf.DUMMYFUNCTION("""COMPUTED_VALUE"""),"Completado en SUCURSAL")</f>
        <v>Completado en SUCURSAL</v>
      </c>
      <c r="J4374" s="1">
        <f t="shared" si="3"/>
        <v>5</v>
      </c>
      <c r="K4374" s="1" t="str">
        <f t="shared" si="4"/>
        <v>Tus Lentes estan LISTAS PARA ENTREGAR, te esperamos.</v>
      </c>
    </row>
    <row r="4375">
      <c r="A4375" s="1">
        <f>IFERROR(__xludf.DUMMYFUNCTION("""COMPUTED_VALUE"""),88938.0)</f>
        <v>88938</v>
      </c>
      <c r="B4375" s="5">
        <f>IFERROR(__xludf.DUMMYFUNCTION("""COMPUTED_VALUE"""),45015.35700366898)</f>
        <v>45015.357</v>
      </c>
      <c r="C4375" s="1" t="str">
        <f>IFERROR(__xludf.DUMMYFUNCTION("""COMPUTED_VALUE"""),"VELAZQUEZ LORENA DEL VALLE (PROGRAMA MEDICINA DEL INTERIOR GOB)")</f>
        <v>VELAZQUEZ LORENA DEL VALLE (PROGRAMA MEDICINA DEL INTERIOR GOB)</v>
      </c>
      <c r="D4375" s="1" t="str">
        <f>IFERROR(__xludf.DUMMYFUNCTION("""COMPUTED_VALUE"""),"Lentes de STOCK")</f>
        <v>Lentes de STOCK</v>
      </c>
      <c r="E4375" s="1" t="str">
        <f>IFERROR(__xludf.DUMMYFUNCTION("""COMPUTED_VALUE"""),"Online ADMIN.")</f>
        <v>Online ADMIN.</v>
      </c>
      <c r="F4375" s="1" t="str">
        <f t="shared" si="1"/>
        <v>Online </v>
      </c>
      <c r="G4375" s="1" t="str">
        <f t="shared" si="2"/>
        <v>ADMIN.</v>
      </c>
      <c r="H4375" s="1" t="str">
        <f>IFERROR(__xludf.DUMMYFUNCTION("""COMPUTED_VALUE"""),"1/4/2023, 17:00:00")</f>
        <v>1/4/2023, 17:00:00</v>
      </c>
      <c r="I4375" s="1" t="str">
        <f>IFERROR(__xludf.DUMMYFUNCTION("""COMPUTED_VALUE"""),"Completado en SUCURSAL")</f>
        <v>Completado en SUCURSAL</v>
      </c>
      <c r="J4375" s="1">
        <f t="shared" si="3"/>
        <v>5</v>
      </c>
      <c r="K4375" s="1" t="str">
        <f t="shared" si="4"/>
        <v>Tus Lentes estan LISTAS PARA ENTREGAR, te esperamos.</v>
      </c>
    </row>
    <row r="4376">
      <c r="A4376" s="1">
        <f>IFERROR(__xludf.DUMMYFUNCTION("""COMPUTED_VALUE"""),88939.0)</f>
        <v>88939</v>
      </c>
      <c r="B4376" s="5">
        <f>IFERROR(__xludf.DUMMYFUNCTION("""COMPUTED_VALUE"""),45015.35757363426)</f>
        <v>45015.35757</v>
      </c>
      <c r="C4376" s="1" t="str">
        <f>IFERROR(__xludf.DUMMYFUNCTION("""COMPUTED_VALUE"""),"RIVAROLA ARIANA BELEN (PROGRAMA MEDICINA DEL INTERIOR GOB)")</f>
        <v>RIVAROLA ARIANA BELEN (PROGRAMA MEDICINA DEL INTERIOR GOB)</v>
      </c>
      <c r="D4376" s="1" t="str">
        <f>IFERROR(__xludf.DUMMYFUNCTION("""COMPUTED_VALUE"""),"Lentes de STOCK")</f>
        <v>Lentes de STOCK</v>
      </c>
      <c r="E4376" s="1" t="str">
        <f>IFERROR(__xludf.DUMMYFUNCTION("""COMPUTED_VALUE"""),"Online ADMIN.")</f>
        <v>Online ADMIN.</v>
      </c>
      <c r="F4376" s="1" t="str">
        <f t="shared" si="1"/>
        <v>Online </v>
      </c>
      <c r="G4376" s="1" t="str">
        <f t="shared" si="2"/>
        <v>ADMIN.</v>
      </c>
      <c r="H4376" s="1" t="str">
        <f>IFERROR(__xludf.DUMMYFUNCTION("""COMPUTED_VALUE"""),"1/4/2023, 17:00:00")</f>
        <v>1/4/2023, 17:00:00</v>
      </c>
      <c r="I4376" s="1" t="str">
        <f>IFERROR(__xludf.DUMMYFUNCTION("""COMPUTED_VALUE"""),"Completado en SUCURSAL")</f>
        <v>Completado en SUCURSAL</v>
      </c>
      <c r="J4376" s="1">
        <f t="shared" si="3"/>
        <v>5</v>
      </c>
      <c r="K4376" s="1" t="str">
        <f t="shared" si="4"/>
        <v>Tus Lentes estan LISTAS PARA ENTREGAR, te esperamos.</v>
      </c>
    </row>
    <row r="4377">
      <c r="A4377" s="1">
        <f>IFERROR(__xludf.DUMMYFUNCTION("""COMPUTED_VALUE"""),88940.0)</f>
        <v>88940</v>
      </c>
      <c r="B4377" s="5">
        <f>IFERROR(__xludf.DUMMYFUNCTION("""COMPUTED_VALUE"""),45015.358178622686)</f>
        <v>45015.35818</v>
      </c>
      <c r="C4377" s="1" t="str">
        <f>IFERROR(__xludf.DUMMYFUNCTION("""COMPUTED_VALUE"""),"PONCE ORTIZ CAROLINA NOELIA (PROGRAMA MEDICINA DEL INTERIOR GOB)")</f>
        <v>PONCE ORTIZ CAROLINA NOELIA (PROGRAMA MEDICINA DEL INTERIOR GOB)</v>
      </c>
      <c r="D4377" s="1" t="str">
        <f>IFERROR(__xludf.DUMMYFUNCTION("""COMPUTED_VALUE"""),"Lentes de STOCK")</f>
        <v>Lentes de STOCK</v>
      </c>
      <c r="E4377" s="1" t="str">
        <f>IFERROR(__xludf.DUMMYFUNCTION("""COMPUTED_VALUE"""),"Online ADMIN.")</f>
        <v>Online ADMIN.</v>
      </c>
      <c r="F4377" s="1" t="str">
        <f t="shared" si="1"/>
        <v>Online </v>
      </c>
      <c r="G4377" s="1" t="str">
        <f t="shared" si="2"/>
        <v>ADMIN.</v>
      </c>
      <c r="H4377" s="1" t="str">
        <f>IFERROR(__xludf.DUMMYFUNCTION("""COMPUTED_VALUE"""),"1/4/2023, 17:00:00")</f>
        <v>1/4/2023, 17:00:00</v>
      </c>
      <c r="I4377" s="1" t="str">
        <f>IFERROR(__xludf.DUMMYFUNCTION("""COMPUTED_VALUE"""),"Completado en SUCURSAL")</f>
        <v>Completado en SUCURSAL</v>
      </c>
      <c r="J4377" s="1">
        <f t="shared" si="3"/>
        <v>5</v>
      </c>
      <c r="K4377" s="1" t="str">
        <f t="shared" si="4"/>
        <v>Tus Lentes estan LISTAS PARA ENTREGAR, te esperamos.</v>
      </c>
    </row>
    <row r="4378">
      <c r="A4378" s="1">
        <f>IFERROR(__xludf.DUMMYFUNCTION("""COMPUTED_VALUE"""),88941.0)</f>
        <v>88941</v>
      </c>
      <c r="B4378" s="5">
        <f>IFERROR(__xludf.DUMMYFUNCTION("""COMPUTED_VALUE"""),45015.35883453704)</f>
        <v>45015.35883</v>
      </c>
      <c r="C4378" s="1" t="str">
        <f>IFERROR(__xludf.DUMMYFUNCTION("""COMPUTED_VALUE"""),"QUINTEROS DIAZ NIHAL MAYLEN (PROGRAMA MEDICINA DEL INTERIOR GOB)")</f>
        <v>QUINTEROS DIAZ NIHAL MAYLEN (PROGRAMA MEDICINA DEL INTERIOR GOB)</v>
      </c>
      <c r="D4378" s="1" t="str">
        <f>IFERROR(__xludf.DUMMYFUNCTION("""COMPUTED_VALUE"""),"Lentes de STOCK")</f>
        <v>Lentes de STOCK</v>
      </c>
      <c r="E4378" s="1" t="str">
        <f>IFERROR(__xludf.DUMMYFUNCTION("""COMPUTED_VALUE"""),"Online ADMIN.")</f>
        <v>Online ADMIN.</v>
      </c>
      <c r="F4378" s="1" t="str">
        <f t="shared" si="1"/>
        <v>Online </v>
      </c>
      <c r="G4378" s="1" t="str">
        <f t="shared" si="2"/>
        <v>ADMIN.</v>
      </c>
      <c r="H4378" s="1" t="str">
        <f>IFERROR(__xludf.DUMMYFUNCTION("""COMPUTED_VALUE"""),"1/4/2023, 17:00:00")</f>
        <v>1/4/2023, 17:00:00</v>
      </c>
      <c r="I4378" s="1" t="str">
        <f>IFERROR(__xludf.DUMMYFUNCTION("""COMPUTED_VALUE"""),"Completado en SUCURSAL")</f>
        <v>Completado en SUCURSAL</v>
      </c>
      <c r="J4378" s="1">
        <f t="shared" si="3"/>
        <v>5</v>
      </c>
      <c r="K4378" s="1" t="str">
        <f t="shared" si="4"/>
        <v>Tus Lentes estan LISTAS PARA ENTREGAR, te esperamos.</v>
      </c>
    </row>
    <row r="4379">
      <c r="A4379" s="1">
        <f>IFERROR(__xludf.DUMMYFUNCTION("""COMPUTED_VALUE"""),88942.0)</f>
        <v>88942</v>
      </c>
      <c r="B4379" s="5">
        <f>IFERROR(__xludf.DUMMYFUNCTION("""COMPUTED_VALUE"""),45015.36601893519)</f>
        <v>45015.36602</v>
      </c>
      <c r="C4379" s="1" t="str">
        <f>IFERROR(__xludf.DUMMYFUNCTION("""COMPUTED_VALUE"""),"PEREYRA ESTHER BELEN (PROGRAMA MEDICINA DEL INTERIOR GOB)")</f>
        <v>PEREYRA ESTHER BELEN (PROGRAMA MEDICINA DEL INTERIOR GOB)</v>
      </c>
      <c r="D4379" s="1" t="str">
        <f>IFERROR(__xludf.DUMMYFUNCTION("""COMPUTED_VALUE"""),"Lentes de STOCK")</f>
        <v>Lentes de STOCK</v>
      </c>
      <c r="E4379" s="1" t="str">
        <f>IFERROR(__xludf.DUMMYFUNCTION("""COMPUTED_VALUE"""),"Online ADMIN.")</f>
        <v>Online ADMIN.</v>
      </c>
      <c r="F4379" s="1" t="str">
        <f t="shared" si="1"/>
        <v>Online </v>
      </c>
      <c r="G4379" s="1" t="str">
        <f t="shared" si="2"/>
        <v>ADMIN.</v>
      </c>
      <c r="H4379" s="1" t="str">
        <f>IFERROR(__xludf.DUMMYFUNCTION("""COMPUTED_VALUE"""),"1/4/2023, 17:00:00")</f>
        <v>1/4/2023, 17:00:00</v>
      </c>
      <c r="I4379" s="1" t="str">
        <f>IFERROR(__xludf.DUMMYFUNCTION("""COMPUTED_VALUE"""),"Completado en SUCURSAL")</f>
        <v>Completado en SUCURSAL</v>
      </c>
      <c r="J4379" s="1">
        <f t="shared" si="3"/>
        <v>5</v>
      </c>
      <c r="K4379" s="1" t="str">
        <f t="shared" si="4"/>
        <v>Tus Lentes estan LISTAS PARA ENTREGAR, te esperamos.</v>
      </c>
    </row>
    <row r="4380">
      <c r="A4380" s="1">
        <f>IFERROR(__xludf.DUMMYFUNCTION("""COMPUTED_VALUE"""),88943.0)</f>
        <v>88943</v>
      </c>
      <c r="B4380" s="5">
        <f>IFERROR(__xludf.DUMMYFUNCTION("""COMPUTED_VALUE"""),45015.36708469907)</f>
        <v>45015.36708</v>
      </c>
      <c r="C4380" s="1" t="str">
        <f>IFERROR(__xludf.DUMMYFUNCTION("""COMPUTED_VALUE"""),"OJEDA FRANCHESCA VALENTINA (PROGRAMA MEDICINA DEL INTERIOR GOB)")</f>
        <v>OJEDA FRANCHESCA VALENTINA (PROGRAMA MEDICINA DEL INTERIOR GOB)</v>
      </c>
      <c r="D4380" s="1" t="str">
        <f>IFERROR(__xludf.DUMMYFUNCTION("""COMPUTED_VALUE"""),"Lentes de STOCK")</f>
        <v>Lentes de STOCK</v>
      </c>
      <c r="E4380" s="1" t="str">
        <f>IFERROR(__xludf.DUMMYFUNCTION("""COMPUTED_VALUE"""),"Online ADMIN.")</f>
        <v>Online ADMIN.</v>
      </c>
      <c r="F4380" s="1" t="str">
        <f t="shared" si="1"/>
        <v>Online </v>
      </c>
      <c r="G4380" s="1" t="str">
        <f t="shared" si="2"/>
        <v>ADMIN.</v>
      </c>
      <c r="H4380" s="1" t="str">
        <f>IFERROR(__xludf.DUMMYFUNCTION("""COMPUTED_VALUE"""),"1/4/2023, 17:00:00")</f>
        <v>1/4/2023, 17:00:00</v>
      </c>
      <c r="I4380" s="1" t="str">
        <f>IFERROR(__xludf.DUMMYFUNCTION("""COMPUTED_VALUE"""),"Completado en SUCURSAL")</f>
        <v>Completado en SUCURSAL</v>
      </c>
      <c r="J4380" s="1">
        <f t="shared" si="3"/>
        <v>5</v>
      </c>
      <c r="K4380" s="1" t="str">
        <f t="shared" si="4"/>
        <v>Tus Lentes estan LISTAS PARA ENTREGAR, te esperamos.</v>
      </c>
    </row>
    <row r="4381">
      <c r="A4381" s="1">
        <f>IFERROR(__xludf.DUMMYFUNCTION("""COMPUTED_VALUE"""),88944.0)</f>
        <v>88944</v>
      </c>
      <c r="B4381" s="5">
        <f>IFERROR(__xludf.DUMMYFUNCTION("""COMPUTED_VALUE"""),45015.36772603009)</f>
        <v>45015.36773</v>
      </c>
      <c r="C4381" s="1" t="str">
        <f>IFERROR(__xludf.DUMMYFUNCTION("""COMPUTED_VALUE"""),"OVIEDO EVELYN FERNANDA (PROGRAMA MEDICINA DEL INTERIOR GOB)")</f>
        <v>OVIEDO EVELYN FERNANDA (PROGRAMA MEDICINA DEL INTERIOR GOB)</v>
      </c>
      <c r="D4381" s="1" t="str">
        <f>IFERROR(__xludf.DUMMYFUNCTION("""COMPUTED_VALUE"""),"Lentes de LABORATORIO")</f>
        <v>Lentes de LABORATORIO</v>
      </c>
      <c r="E4381" s="1" t="str">
        <f>IFERROR(__xludf.DUMMYFUNCTION("""COMPUTED_VALUE"""),"Online ADMIN.")</f>
        <v>Online ADMIN.</v>
      </c>
      <c r="F4381" s="1" t="str">
        <f t="shared" si="1"/>
        <v>Online </v>
      </c>
      <c r="G4381" s="1" t="str">
        <f t="shared" si="2"/>
        <v>ADMIN.</v>
      </c>
      <c r="H4381" s="1" t="str">
        <f>IFERROR(__xludf.DUMMYFUNCTION("""COMPUTED_VALUE"""),"6/4/2023, 17:00:00")</f>
        <v>6/4/2023, 17:00:00</v>
      </c>
      <c r="I4381" s="1" t="str">
        <f>IFERROR(__xludf.DUMMYFUNCTION("""COMPUTED_VALUE"""),"Completado en SUCURSAL")</f>
        <v>Completado en SUCURSAL</v>
      </c>
      <c r="J4381" s="1">
        <f t="shared" si="3"/>
        <v>5</v>
      </c>
      <c r="K4381" s="1" t="str">
        <f t="shared" si="4"/>
        <v>Tus Lentes estan LISTAS PARA ENTREGAR, te esperamos.</v>
      </c>
    </row>
    <row r="4382">
      <c r="A4382" s="1">
        <f>IFERROR(__xludf.DUMMYFUNCTION("""COMPUTED_VALUE"""),88945.0)</f>
        <v>88945</v>
      </c>
      <c r="B4382" s="5">
        <f>IFERROR(__xludf.DUMMYFUNCTION("""COMPUTED_VALUE"""),45015.368746736116)</f>
        <v>45015.36875</v>
      </c>
      <c r="C4382" s="1" t="str">
        <f>IFERROR(__xludf.DUMMYFUNCTION("""COMPUTED_VALUE"""),"OCHOA ANA RAMONA (PROGRAMA MEDICINA DEL INTERIOR GOB)")</f>
        <v>OCHOA ANA RAMONA (PROGRAMA MEDICINA DEL INTERIOR GOB)</v>
      </c>
      <c r="D4382" s="1" t="str">
        <f>IFERROR(__xludf.DUMMYFUNCTION("""COMPUTED_VALUE"""),"Lentes de STOCK")</f>
        <v>Lentes de STOCK</v>
      </c>
      <c r="E4382" s="1" t="str">
        <f>IFERROR(__xludf.DUMMYFUNCTION("""COMPUTED_VALUE"""),"Online ADMIN.")</f>
        <v>Online ADMIN.</v>
      </c>
      <c r="F4382" s="1" t="str">
        <f t="shared" si="1"/>
        <v>Online </v>
      </c>
      <c r="G4382" s="1" t="str">
        <f t="shared" si="2"/>
        <v>ADMIN.</v>
      </c>
      <c r="H4382" s="1" t="str">
        <f>IFERROR(__xludf.DUMMYFUNCTION("""COMPUTED_VALUE"""),"1/4/2023, 17:00:00")</f>
        <v>1/4/2023, 17:00:00</v>
      </c>
      <c r="I4382" s="1"/>
      <c r="J4382" s="1">
        <f t="shared" si="3"/>
        <v>0</v>
      </c>
      <c r="K4382" s="1" t="str">
        <f t="shared" si="4"/>
        <v/>
      </c>
    </row>
    <row r="4383">
      <c r="A4383" s="1">
        <f>IFERROR(__xludf.DUMMYFUNCTION("""COMPUTED_VALUE"""),88946.0)</f>
        <v>88946</v>
      </c>
      <c r="B4383" s="5">
        <f>IFERROR(__xludf.DUMMYFUNCTION("""COMPUTED_VALUE"""),45015.36990556713)</f>
        <v>45015.36991</v>
      </c>
      <c r="C4383" s="1" t="str">
        <f>IFERROR(__xludf.DUMMYFUNCTION("""COMPUTED_VALUE"""),"MOLINA SOFIA MACARENA (PROGRAMA MEDICINA DEL INTERIOR GOB)")</f>
        <v>MOLINA SOFIA MACARENA (PROGRAMA MEDICINA DEL INTERIOR GOB)</v>
      </c>
      <c r="D4383" s="1" t="str">
        <f>IFERROR(__xludf.DUMMYFUNCTION("""COMPUTED_VALUE"""),"Lentes de LABORATORIO")</f>
        <v>Lentes de LABORATORIO</v>
      </c>
      <c r="E4383" s="1" t="str">
        <f>IFERROR(__xludf.DUMMYFUNCTION("""COMPUTED_VALUE"""),"Online ADMIN.")</f>
        <v>Online ADMIN.</v>
      </c>
      <c r="F4383" s="1" t="str">
        <f t="shared" si="1"/>
        <v>Online </v>
      </c>
      <c r="G4383" s="1" t="str">
        <f t="shared" si="2"/>
        <v>ADMIN.</v>
      </c>
      <c r="H4383" s="1" t="str">
        <f>IFERROR(__xludf.DUMMYFUNCTION("""COMPUTED_VALUE"""),"6/4/2023, 17:00:00")</f>
        <v>6/4/2023, 17:00:00</v>
      </c>
      <c r="I4383" s="1" t="str">
        <f>IFERROR(__xludf.DUMMYFUNCTION("""COMPUTED_VALUE"""),"Completado en SUCURSAL")</f>
        <v>Completado en SUCURSAL</v>
      </c>
      <c r="J4383" s="1">
        <f t="shared" si="3"/>
        <v>5</v>
      </c>
      <c r="K4383" s="1" t="str">
        <f t="shared" si="4"/>
        <v>Tus Lentes estan LISTAS PARA ENTREGAR, te esperamos.</v>
      </c>
    </row>
    <row r="4384">
      <c r="A4384" s="1">
        <f>IFERROR(__xludf.DUMMYFUNCTION("""COMPUTED_VALUE"""),88947.0)</f>
        <v>88947</v>
      </c>
      <c r="B4384" s="5">
        <f>IFERROR(__xludf.DUMMYFUNCTION("""COMPUTED_VALUE"""),45015.37119638889)</f>
        <v>45015.3712</v>
      </c>
      <c r="C4384" s="1" t="str">
        <f>IFERROR(__xludf.DUMMYFUNCTION("""COMPUTED_VALUE"""),"OCAÑA ENZO GAEL (PROGRAMA MEDICINA DEL INTERIOR GOB)")</f>
        <v>OCAÑA ENZO GAEL (PROGRAMA MEDICINA DEL INTERIOR GOB)</v>
      </c>
      <c r="D4384" s="1" t="str">
        <f>IFERROR(__xludf.DUMMYFUNCTION("""COMPUTED_VALUE"""),"Lentes de LABORATORIO")</f>
        <v>Lentes de LABORATORIO</v>
      </c>
      <c r="E4384" s="1" t="str">
        <f>IFERROR(__xludf.DUMMYFUNCTION("""COMPUTED_VALUE"""),"Online ADMIN.")</f>
        <v>Online ADMIN.</v>
      </c>
      <c r="F4384" s="1" t="str">
        <f t="shared" si="1"/>
        <v>Online </v>
      </c>
      <c r="G4384" s="1" t="str">
        <f t="shared" si="2"/>
        <v>ADMIN.</v>
      </c>
      <c r="H4384" s="1" t="str">
        <f>IFERROR(__xludf.DUMMYFUNCTION("""COMPUTED_VALUE"""),"6/4/2023, 17:00:00")</f>
        <v>6/4/2023, 17:00:00</v>
      </c>
      <c r="I4384" s="1" t="str">
        <f>IFERROR(__xludf.DUMMYFUNCTION("""COMPUTED_VALUE"""),"Completado en SUCURSAL")</f>
        <v>Completado en SUCURSAL</v>
      </c>
      <c r="J4384" s="1">
        <f t="shared" si="3"/>
        <v>5</v>
      </c>
      <c r="K4384" s="1" t="str">
        <f t="shared" si="4"/>
        <v>Tus Lentes estan LISTAS PARA ENTREGAR, te esperamos.</v>
      </c>
    </row>
    <row r="4385">
      <c r="A4385" s="1">
        <f>IFERROR(__xludf.DUMMYFUNCTION("""COMPUTED_VALUE"""),88948.0)</f>
        <v>88948</v>
      </c>
      <c r="B4385" s="5">
        <f>IFERROR(__xludf.DUMMYFUNCTION("""COMPUTED_VALUE"""),45015.37173989583)</f>
        <v>45015.37174</v>
      </c>
      <c r="C4385" s="1" t="str">
        <f>IFERROR(__xludf.DUMMYFUNCTION("""COMPUTED_VALUE"""),"OROS FEDERICO MATIAS (PROGRAMA MEDICINA DEL INTERIOR GOB)")</f>
        <v>OROS FEDERICO MATIAS (PROGRAMA MEDICINA DEL INTERIOR GOB)</v>
      </c>
      <c r="D4385" s="1" t="str">
        <f>IFERROR(__xludf.DUMMYFUNCTION("""COMPUTED_VALUE"""),"Lentes de STOCK")</f>
        <v>Lentes de STOCK</v>
      </c>
      <c r="E4385" s="1" t="str">
        <f>IFERROR(__xludf.DUMMYFUNCTION("""COMPUTED_VALUE"""),"Online ADMIN.")</f>
        <v>Online ADMIN.</v>
      </c>
      <c r="F4385" s="1" t="str">
        <f t="shared" si="1"/>
        <v>Online </v>
      </c>
      <c r="G4385" s="1" t="str">
        <f t="shared" si="2"/>
        <v>ADMIN.</v>
      </c>
      <c r="H4385" s="1" t="str">
        <f>IFERROR(__xludf.DUMMYFUNCTION("""COMPUTED_VALUE"""),"1/4/2023, 17:00:00")</f>
        <v>1/4/2023, 17:00:00</v>
      </c>
      <c r="I4385" s="1" t="str">
        <f>IFERROR(__xludf.DUMMYFUNCTION("""COMPUTED_VALUE"""),"Completado en SUCURSAL")</f>
        <v>Completado en SUCURSAL</v>
      </c>
      <c r="J4385" s="1">
        <f t="shared" si="3"/>
        <v>5</v>
      </c>
      <c r="K4385" s="1" t="str">
        <f t="shared" si="4"/>
        <v>Tus Lentes estan LISTAS PARA ENTREGAR, te esperamos.</v>
      </c>
    </row>
    <row r="4386">
      <c r="A4386" s="1">
        <f>IFERROR(__xludf.DUMMYFUNCTION("""COMPUTED_VALUE"""),88949.0)</f>
        <v>88949</v>
      </c>
      <c r="B4386" s="5">
        <f>IFERROR(__xludf.DUMMYFUNCTION("""COMPUTED_VALUE"""),45015.37253554398)</f>
        <v>45015.37254</v>
      </c>
      <c r="C4386" s="1" t="str">
        <f>IFERROR(__xludf.DUMMYFUNCTION("""COMPUTED_VALUE"""),"MERCAU ESPERANZA ROMELIA (PROGRAMA MEDICINA DEL INTERIOR GOB)")</f>
        <v>MERCAU ESPERANZA ROMELIA (PROGRAMA MEDICINA DEL INTERIOR GOB)</v>
      </c>
      <c r="D4386" s="1" t="str">
        <f>IFERROR(__xludf.DUMMYFUNCTION("""COMPUTED_VALUE"""),"Lentes de STOCK")</f>
        <v>Lentes de STOCK</v>
      </c>
      <c r="E4386" s="1" t="str">
        <f>IFERROR(__xludf.DUMMYFUNCTION("""COMPUTED_VALUE"""),"Online ADMIN.")</f>
        <v>Online ADMIN.</v>
      </c>
      <c r="F4386" s="1" t="str">
        <f t="shared" si="1"/>
        <v>Online </v>
      </c>
      <c r="G4386" s="1" t="str">
        <f t="shared" si="2"/>
        <v>ADMIN.</v>
      </c>
      <c r="H4386" s="1" t="str">
        <f>IFERROR(__xludf.DUMMYFUNCTION("""COMPUTED_VALUE"""),"1/4/2023, 17:00:00")</f>
        <v>1/4/2023, 17:00:00</v>
      </c>
      <c r="I4386" s="1" t="str">
        <f>IFERROR(__xludf.DUMMYFUNCTION("""COMPUTED_VALUE"""),"Recibido en Laboratorio")</f>
        <v>Recibido en Laboratorio</v>
      </c>
      <c r="J4386" s="1">
        <f t="shared" si="3"/>
        <v>2</v>
      </c>
      <c r="K4386" s="1" t="str">
        <f t="shared" si="4"/>
        <v>Nuestro Laboratorio esta trabajando en tus lentes, los entregaremos en la fecha acordada.</v>
      </c>
    </row>
    <row r="4387">
      <c r="A4387" s="1">
        <f>IFERROR(__xludf.DUMMYFUNCTION("""COMPUTED_VALUE"""),88950.0)</f>
        <v>88950</v>
      </c>
      <c r="B4387" s="5">
        <f>IFERROR(__xludf.DUMMYFUNCTION("""COMPUTED_VALUE"""),45015.3731169213)</f>
        <v>45015.37312</v>
      </c>
      <c r="C4387" s="1" t="str">
        <f>IFERROR(__xludf.DUMMYFUNCTION("""COMPUTED_VALUE"""),"GOMES BENEITE JUAN SEBASTIAN (PROGRAMA MEDICINA DEL INTERIOR GOB)")</f>
        <v>GOMES BENEITE JUAN SEBASTIAN (PROGRAMA MEDICINA DEL INTERIOR GOB)</v>
      </c>
      <c r="D4387" s="1" t="str">
        <f>IFERROR(__xludf.DUMMYFUNCTION("""COMPUTED_VALUE"""),"Lentes de STOCK")</f>
        <v>Lentes de STOCK</v>
      </c>
      <c r="E4387" s="1" t="str">
        <f>IFERROR(__xludf.DUMMYFUNCTION("""COMPUTED_VALUE"""),"Online ADMIN.")</f>
        <v>Online ADMIN.</v>
      </c>
      <c r="F4387" s="1" t="str">
        <f t="shared" si="1"/>
        <v>Online </v>
      </c>
      <c r="G4387" s="1" t="str">
        <f t="shared" si="2"/>
        <v>ADMIN.</v>
      </c>
      <c r="H4387" s="1" t="str">
        <f>IFERROR(__xludf.DUMMYFUNCTION("""COMPUTED_VALUE"""),"1/4/2023, 17:00:00")</f>
        <v>1/4/2023, 17:00:00</v>
      </c>
      <c r="I4387" s="1" t="str">
        <f>IFERROR(__xludf.DUMMYFUNCTION("""COMPUTED_VALUE"""),"Completado en SUCURSAL")</f>
        <v>Completado en SUCURSAL</v>
      </c>
      <c r="J4387" s="1">
        <f t="shared" si="3"/>
        <v>5</v>
      </c>
      <c r="K4387" s="1" t="str">
        <f t="shared" si="4"/>
        <v>Tus Lentes estan LISTAS PARA ENTREGAR, te esperamos.</v>
      </c>
    </row>
    <row r="4388">
      <c r="A4388" s="1">
        <f>IFERROR(__xludf.DUMMYFUNCTION("""COMPUTED_VALUE"""),88951.0)</f>
        <v>88951</v>
      </c>
      <c r="B4388" s="5">
        <f>IFERROR(__xludf.DUMMYFUNCTION("""COMPUTED_VALUE"""),45015.37372891203)</f>
        <v>45015.37373</v>
      </c>
      <c r="C4388" s="1" t="str">
        <f>IFERROR(__xludf.DUMMYFUNCTION("""COMPUTED_VALUE"""),"FUSTER RUBEN CECILIO (PROGRAMA MEDICINA DEL INTERIOR GOB)")</f>
        <v>FUSTER RUBEN CECILIO (PROGRAMA MEDICINA DEL INTERIOR GOB)</v>
      </c>
      <c r="D4388" s="1" t="str">
        <f>IFERROR(__xludf.DUMMYFUNCTION("""COMPUTED_VALUE"""),"Lentes de STOCK")</f>
        <v>Lentes de STOCK</v>
      </c>
      <c r="E4388" s="1" t="str">
        <f>IFERROR(__xludf.DUMMYFUNCTION("""COMPUTED_VALUE"""),"Online ADMIN.")</f>
        <v>Online ADMIN.</v>
      </c>
      <c r="F4388" s="1" t="str">
        <f t="shared" si="1"/>
        <v>Online </v>
      </c>
      <c r="G4388" s="1" t="str">
        <f t="shared" si="2"/>
        <v>ADMIN.</v>
      </c>
      <c r="H4388" s="1" t="str">
        <f>IFERROR(__xludf.DUMMYFUNCTION("""COMPUTED_VALUE"""),"1/4/2023, 17:00:00")</f>
        <v>1/4/2023, 17:00:00</v>
      </c>
      <c r="I4388" s="1" t="str">
        <f>IFERROR(__xludf.DUMMYFUNCTION("""COMPUTED_VALUE"""),"Completado en SUCURSAL")</f>
        <v>Completado en SUCURSAL</v>
      </c>
      <c r="J4388" s="1">
        <f t="shared" si="3"/>
        <v>5</v>
      </c>
      <c r="K4388" s="1" t="str">
        <f t="shared" si="4"/>
        <v>Tus Lentes estan LISTAS PARA ENTREGAR, te esperamos.</v>
      </c>
    </row>
    <row r="4389">
      <c r="A4389" s="1">
        <f>IFERROR(__xludf.DUMMYFUNCTION("""COMPUTED_VALUE"""),88952.0)</f>
        <v>88952</v>
      </c>
      <c r="B4389" s="5">
        <f>IFERROR(__xludf.DUMMYFUNCTION("""COMPUTED_VALUE"""),45015.37442280093)</f>
        <v>45015.37442</v>
      </c>
      <c r="C4389" s="1" t="str">
        <f>IFERROR(__xludf.DUMMYFUNCTION("""COMPUTED_VALUE"""),"GEREZ MARCELA NOEMI DAMARIS (PROGRAMA MEDICINA DEL INTERIOR GOB)")</f>
        <v>GEREZ MARCELA NOEMI DAMARIS (PROGRAMA MEDICINA DEL INTERIOR GOB)</v>
      </c>
      <c r="D4389" s="1" t="str">
        <f>IFERROR(__xludf.DUMMYFUNCTION("""COMPUTED_VALUE"""),"Lentes de STOCK")</f>
        <v>Lentes de STOCK</v>
      </c>
      <c r="E4389" s="1" t="str">
        <f>IFERROR(__xludf.DUMMYFUNCTION("""COMPUTED_VALUE"""),"Online ADMIN.")</f>
        <v>Online ADMIN.</v>
      </c>
      <c r="F4389" s="1" t="str">
        <f t="shared" si="1"/>
        <v>Online </v>
      </c>
      <c r="G4389" s="1" t="str">
        <f t="shared" si="2"/>
        <v>ADMIN.</v>
      </c>
      <c r="H4389" s="1" t="str">
        <f>IFERROR(__xludf.DUMMYFUNCTION("""COMPUTED_VALUE"""),"1/4/2023, 17:00:00")</f>
        <v>1/4/2023, 17:00:00</v>
      </c>
      <c r="I4389" s="1" t="str">
        <f>IFERROR(__xludf.DUMMYFUNCTION("""COMPUTED_VALUE"""),"Completado en SUCURSAL")</f>
        <v>Completado en SUCURSAL</v>
      </c>
      <c r="J4389" s="1">
        <f t="shared" si="3"/>
        <v>5</v>
      </c>
      <c r="K4389" s="1" t="str">
        <f t="shared" si="4"/>
        <v>Tus Lentes estan LISTAS PARA ENTREGAR, te esperamos.</v>
      </c>
    </row>
    <row r="4390">
      <c r="A4390" s="1">
        <f>IFERROR(__xludf.DUMMYFUNCTION("""COMPUTED_VALUE"""),88953.0)</f>
        <v>88953</v>
      </c>
      <c r="B4390" s="5">
        <f>IFERROR(__xludf.DUMMYFUNCTION("""COMPUTED_VALUE"""),45015.37502839121)</f>
        <v>45015.37503</v>
      </c>
      <c r="C4390" s="1" t="str">
        <f>IFERROR(__xludf.DUMMYFUNCTION("""COMPUTED_VALUE"""),"ALANIZ GABRIELA SOLEDAD (PROGRAMA MEDICINA DEL INTERIOR GOB)")</f>
        <v>ALANIZ GABRIELA SOLEDAD (PROGRAMA MEDICINA DEL INTERIOR GOB)</v>
      </c>
      <c r="D4390" s="1" t="str">
        <f>IFERROR(__xludf.DUMMYFUNCTION("""COMPUTED_VALUE"""),"Lentes de STOCK")</f>
        <v>Lentes de STOCK</v>
      </c>
      <c r="E4390" s="1" t="str">
        <f>IFERROR(__xludf.DUMMYFUNCTION("""COMPUTED_VALUE"""),"Online ADMIN.")</f>
        <v>Online ADMIN.</v>
      </c>
      <c r="F4390" s="1" t="str">
        <f t="shared" si="1"/>
        <v>Online </v>
      </c>
      <c r="G4390" s="1" t="str">
        <f t="shared" si="2"/>
        <v>ADMIN.</v>
      </c>
      <c r="H4390" s="1" t="str">
        <f>IFERROR(__xludf.DUMMYFUNCTION("""COMPUTED_VALUE"""),"1/4/2023, 17:00:00")</f>
        <v>1/4/2023, 17:00:00</v>
      </c>
      <c r="I4390" s="1" t="str">
        <f>IFERROR(__xludf.DUMMYFUNCTION("""COMPUTED_VALUE"""),"Completado en SUCURSAL")</f>
        <v>Completado en SUCURSAL</v>
      </c>
      <c r="J4390" s="1">
        <f t="shared" si="3"/>
        <v>5</v>
      </c>
      <c r="K4390" s="1" t="str">
        <f t="shared" si="4"/>
        <v>Tus Lentes estan LISTAS PARA ENTREGAR, te esperamos.</v>
      </c>
    </row>
    <row r="4391">
      <c r="A4391" s="1">
        <f>IFERROR(__xludf.DUMMYFUNCTION("""COMPUTED_VALUE"""),88954.0)</f>
        <v>88954</v>
      </c>
      <c r="B4391" s="5">
        <f>IFERROR(__xludf.DUMMYFUNCTION("""COMPUTED_VALUE"""),45015.3755972338)</f>
        <v>45015.3756</v>
      </c>
      <c r="C4391" s="1" t="str">
        <f>IFERROR(__xludf.DUMMYFUNCTION("""COMPUTED_VALUE"""),"CARRIZO MODESTO NICOLAS (PROGRAMA MEDICINA DEL INTERIOR GOB)")</f>
        <v>CARRIZO MODESTO NICOLAS (PROGRAMA MEDICINA DEL INTERIOR GOB)</v>
      </c>
      <c r="D4391" s="1" t="str">
        <f>IFERROR(__xludf.DUMMYFUNCTION("""COMPUTED_VALUE"""),"Lentes de STOCK")</f>
        <v>Lentes de STOCK</v>
      </c>
      <c r="E4391" s="1" t="str">
        <f>IFERROR(__xludf.DUMMYFUNCTION("""COMPUTED_VALUE"""),"Online ADMIN.")</f>
        <v>Online ADMIN.</v>
      </c>
      <c r="F4391" s="1" t="str">
        <f t="shared" si="1"/>
        <v>Online </v>
      </c>
      <c r="G4391" s="1" t="str">
        <f t="shared" si="2"/>
        <v>ADMIN.</v>
      </c>
      <c r="H4391" s="1" t="str">
        <f>IFERROR(__xludf.DUMMYFUNCTION("""COMPUTED_VALUE"""),"1/4/2023, 17:00:00")</f>
        <v>1/4/2023, 17:00:00</v>
      </c>
      <c r="I4391" s="1" t="str">
        <f>IFERROR(__xludf.DUMMYFUNCTION("""COMPUTED_VALUE"""),"Completado en SUCURSAL")</f>
        <v>Completado en SUCURSAL</v>
      </c>
      <c r="J4391" s="1">
        <f t="shared" si="3"/>
        <v>5</v>
      </c>
      <c r="K4391" s="1" t="str">
        <f t="shared" si="4"/>
        <v>Tus Lentes estan LISTAS PARA ENTREGAR, te esperamos.</v>
      </c>
    </row>
    <row r="4392">
      <c r="A4392" s="1">
        <f>IFERROR(__xludf.DUMMYFUNCTION("""COMPUTED_VALUE"""),88955.0)</f>
        <v>88955</v>
      </c>
      <c r="B4392" s="5">
        <f>IFERROR(__xludf.DUMMYFUNCTION("""COMPUTED_VALUE"""),45015.37622502315)</f>
        <v>45015.37623</v>
      </c>
      <c r="C4392" s="1" t="str">
        <f>IFERROR(__xludf.DUMMYFUNCTION("""COMPUTED_VALUE"""),"CARRIZO MODESTO NICOLAS (PROGRAMA MEDICINA DEL INTERIOR GOB)")</f>
        <v>CARRIZO MODESTO NICOLAS (PROGRAMA MEDICINA DEL INTERIOR GOB)</v>
      </c>
      <c r="D4392" s="1" t="str">
        <f>IFERROR(__xludf.DUMMYFUNCTION("""COMPUTED_VALUE"""),"Lentes de STOCK")</f>
        <v>Lentes de STOCK</v>
      </c>
      <c r="E4392" s="1" t="str">
        <f>IFERROR(__xludf.DUMMYFUNCTION("""COMPUTED_VALUE"""),"Online ADMIN.")</f>
        <v>Online ADMIN.</v>
      </c>
      <c r="F4392" s="1" t="str">
        <f t="shared" si="1"/>
        <v>Online </v>
      </c>
      <c r="G4392" s="1" t="str">
        <f t="shared" si="2"/>
        <v>ADMIN.</v>
      </c>
      <c r="H4392" s="1" t="str">
        <f>IFERROR(__xludf.DUMMYFUNCTION("""COMPUTED_VALUE"""),"1/4/2023, 17:00:00")</f>
        <v>1/4/2023, 17:00:00</v>
      </c>
      <c r="I4392" s="1" t="str">
        <f>IFERROR(__xludf.DUMMYFUNCTION("""COMPUTED_VALUE"""),"Completado en SUCURSAL")</f>
        <v>Completado en SUCURSAL</v>
      </c>
      <c r="J4392" s="1">
        <f t="shared" si="3"/>
        <v>5</v>
      </c>
      <c r="K4392" s="1" t="str">
        <f t="shared" si="4"/>
        <v>Tus Lentes estan LISTAS PARA ENTREGAR, te esperamos.</v>
      </c>
    </row>
    <row r="4393">
      <c r="A4393" s="1">
        <f>IFERROR(__xludf.DUMMYFUNCTION("""COMPUTED_VALUE"""),88956.0)</f>
        <v>88956</v>
      </c>
      <c r="B4393" s="5">
        <f>IFERROR(__xludf.DUMMYFUNCTION("""COMPUTED_VALUE"""),45015.37672697917)</f>
        <v>45015.37673</v>
      </c>
      <c r="C4393" s="1" t="str">
        <f>IFERROR(__xludf.DUMMYFUNCTION("""COMPUTED_VALUE"""),"CHAVEZ LARA MARTINA (PROGRAMA MEDICINA DEL INTERIOR GOB)")</f>
        <v>CHAVEZ LARA MARTINA (PROGRAMA MEDICINA DEL INTERIOR GOB)</v>
      </c>
      <c r="D4393" s="1" t="str">
        <f>IFERROR(__xludf.DUMMYFUNCTION("""COMPUTED_VALUE"""),"Lentes de STOCK")</f>
        <v>Lentes de STOCK</v>
      </c>
      <c r="E4393" s="1" t="str">
        <f>IFERROR(__xludf.DUMMYFUNCTION("""COMPUTED_VALUE"""),"Online ADMIN.")</f>
        <v>Online ADMIN.</v>
      </c>
      <c r="F4393" s="1" t="str">
        <f t="shared" si="1"/>
        <v>Online </v>
      </c>
      <c r="G4393" s="1" t="str">
        <f t="shared" si="2"/>
        <v>ADMIN.</v>
      </c>
      <c r="H4393" s="1" t="str">
        <f>IFERROR(__xludf.DUMMYFUNCTION("""COMPUTED_VALUE"""),"1/4/2023, 17:00:00")</f>
        <v>1/4/2023, 17:00:00</v>
      </c>
      <c r="I4393" s="1" t="str">
        <f>IFERROR(__xludf.DUMMYFUNCTION("""COMPUTED_VALUE"""),"Completado en SUCURSAL")</f>
        <v>Completado en SUCURSAL</v>
      </c>
      <c r="J4393" s="1">
        <f t="shared" si="3"/>
        <v>5</v>
      </c>
      <c r="K4393" s="1" t="str">
        <f t="shared" si="4"/>
        <v>Tus Lentes estan LISTAS PARA ENTREGAR, te esperamos.</v>
      </c>
    </row>
    <row r="4394">
      <c r="A4394" s="1">
        <f>IFERROR(__xludf.DUMMYFUNCTION("""COMPUTED_VALUE"""),88957.0)</f>
        <v>88957</v>
      </c>
      <c r="B4394" s="5">
        <f>IFERROR(__xludf.DUMMYFUNCTION("""COMPUTED_VALUE"""),45015.377348738424)</f>
        <v>45015.37735</v>
      </c>
      <c r="C4394" s="1" t="str">
        <f>IFERROR(__xludf.DUMMYFUNCTION("""COMPUTED_VALUE"""),"CORREA YEVENES IVONNE ANTONIETA (PROGRAMA MEDICINA DEL INTERIOR GOB)")</f>
        <v>CORREA YEVENES IVONNE ANTONIETA (PROGRAMA MEDICINA DEL INTERIOR GOB)</v>
      </c>
      <c r="D4394" s="1" t="str">
        <f>IFERROR(__xludf.DUMMYFUNCTION("""COMPUTED_VALUE"""),"Lentes de STOCK")</f>
        <v>Lentes de STOCK</v>
      </c>
      <c r="E4394" s="1" t="str">
        <f>IFERROR(__xludf.DUMMYFUNCTION("""COMPUTED_VALUE"""),"Online ADMIN.")</f>
        <v>Online ADMIN.</v>
      </c>
      <c r="F4394" s="1" t="str">
        <f t="shared" si="1"/>
        <v>Online </v>
      </c>
      <c r="G4394" s="1" t="str">
        <f t="shared" si="2"/>
        <v>ADMIN.</v>
      </c>
      <c r="H4394" s="1" t="str">
        <f>IFERROR(__xludf.DUMMYFUNCTION("""COMPUTED_VALUE"""),"1/4/2023, 17:00:00")</f>
        <v>1/4/2023, 17:00:00</v>
      </c>
      <c r="I4394" s="1" t="str">
        <f>IFERROR(__xludf.DUMMYFUNCTION("""COMPUTED_VALUE"""),"Completado en SUCURSAL")</f>
        <v>Completado en SUCURSAL</v>
      </c>
      <c r="J4394" s="1">
        <f t="shared" si="3"/>
        <v>5</v>
      </c>
      <c r="K4394" s="1" t="str">
        <f t="shared" si="4"/>
        <v>Tus Lentes estan LISTAS PARA ENTREGAR, te esperamos.</v>
      </c>
    </row>
    <row r="4395">
      <c r="A4395" s="1">
        <f>IFERROR(__xludf.DUMMYFUNCTION("""COMPUTED_VALUE"""),88958.0)</f>
        <v>88958</v>
      </c>
      <c r="B4395" s="5">
        <f>IFERROR(__xludf.DUMMYFUNCTION("""COMPUTED_VALUE"""),45015.378360891205)</f>
        <v>45015.37836</v>
      </c>
      <c r="C4395" s="1" t="str">
        <f>IFERROR(__xludf.DUMMYFUNCTION("""COMPUTED_VALUE"""),"DIAZ FERNANDA ISABEL (PROGRAMA MEDICINA DEL INTERIOR GOB)")</f>
        <v>DIAZ FERNANDA ISABEL (PROGRAMA MEDICINA DEL INTERIOR GOB)</v>
      </c>
      <c r="D4395" s="1" t="str">
        <f>IFERROR(__xludf.DUMMYFUNCTION("""COMPUTED_VALUE"""),"Lentes de STOCK")</f>
        <v>Lentes de STOCK</v>
      </c>
      <c r="E4395" s="1" t="str">
        <f>IFERROR(__xludf.DUMMYFUNCTION("""COMPUTED_VALUE"""),"Online ADMIN.")</f>
        <v>Online ADMIN.</v>
      </c>
      <c r="F4395" s="1" t="str">
        <f t="shared" si="1"/>
        <v>Online </v>
      </c>
      <c r="G4395" s="1" t="str">
        <f t="shared" si="2"/>
        <v>ADMIN.</v>
      </c>
      <c r="H4395" s="1" t="str">
        <f>IFERROR(__xludf.DUMMYFUNCTION("""COMPUTED_VALUE"""),"1/4/2023, 17:00:00")</f>
        <v>1/4/2023, 17:00:00</v>
      </c>
      <c r="I4395" s="1" t="str">
        <f>IFERROR(__xludf.DUMMYFUNCTION("""COMPUTED_VALUE"""),"Completado en SUCURSAL")</f>
        <v>Completado en SUCURSAL</v>
      </c>
      <c r="J4395" s="1">
        <f t="shared" si="3"/>
        <v>5</v>
      </c>
      <c r="K4395" s="1" t="str">
        <f t="shared" si="4"/>
        <v>Tus Lentes estan LISTAS PARA ENTREGAR, te esperamos.</v>
      </c>
    </row>
    <row r="4396">
      <c r="A4396" s="1">
        <f>IFERROR(__xludf.DUMMYFUNCTION("""COMPUTED_VALUE"""),88959.0)</f>
        <v>88959</v>
      </c>
      <c r="B4396" s="5">
        <f>IFERROR(__xludf.DUMMYFUNCTION("""COMPUTED_VALUE"""),45015.37887755787)</f>
        <v>45015.37888</v>
      </c>
      <c r="C4396" s="1" t="str">
        <f>IFERROR(__xludf.DUMMYFUNCTION("""COMPUTED_VALUE"""),"FUNES MAYRA AYELEN (PROGRAMA MEDICINA DEL INTERIOR GOB)")</f>
        <v>FUNES MAYRA AYELEN (PROGRAMA MEDICINA DEL INTERIOR GOB)</v>
      </c>
      <c r="D4396" s="1" t="str">
        <f>IFERROR(__xludf.DUMMYFUNCTION("""COMPUTED_VALUE"""),"Lentes de STOCK")</f>
        <v>Lentes de STOCK</v>
      </c>
      <c r="E4396" s="1" t="str">
        <f>IFERROR(__xludf.DUMMYFUNCTION("""COMPUTED_VALUE"""),"Online ADMIN.")</f>
        <v>Online ADMIN.</v>
      </c>
      <c r="F4396" s="1" t="str">
        <f t="shared" si="1"/>
        <v>Online </v>
      </c>
      <c r="G4396" s="1" t="str">
        <f t="shared" si="2"/>
        <v>ADMIN.</v>
      </c>
      <c r="H4396" s="1" t="str">
        <f>IFERROR(__xludf.DUMMYFUNCTION("""COMPUTED_VALUE"""),"1/4/2023, 17:00:00")</f>
        <v>1/4/2023, 17:00:00</v>
      </c>
      <c r="I4396" s="1" t="str">
        <f>IFERROR(__xludf.DUMMYFUNCTION("""COMPUTED_VALUE"""),"Completado en SUCURSAL")</f>
        <v>Completado en SUCURSAL</v>
      </c>
      <c r="J4396" s="1">
        <f t="shared" si="3"/>
        <v>5</v>
      </c>
      <c r="K4396" s="1" t="str">
        <f t="shared" si="4"/>
        <v>Tus Lentes estan LISTAS PARA ENTREGAR, te esperamos.</v>
      </c>
    </row>
    <row r="4397">
      <c r="A4397" s="1">
        <f>IFERROR(__xludf.DUMMYFUNCTION("""COMPUTED_VALUE"""),88960.0)</f>
        <v>88960</v>
      </c>
      <c r="B4397" s="5">
        <f>IFERROR(__xludf.DUMMYFUNCTION("""COMPUTED_VALUE"""),45015.37944101852)</f>
        <v>45015.37944</v>
      </c>
      <c r="C4397" s="1" t="str">
        <f>IFERROR(__xludf.DUMMYFUNCTION("""COMPUTED_VALUE"""),"AIRES JOSE ROBERTO (PROGRAMA MEDICINA DEL INTERIOR GOB)")</f>
        <v>AIRES JOSE ROBERTO (PROGRAMA MEDICINA DEL INTERIOR GOB)</v>
      </c>
      <c r="D4397" s="1" t="str">
        <f>IFERROR(__xludf.DUMMYFUNCTION("""COMPUTED_VALUE"""),"Lentes de STOCK")</f>
        <v>Lentes de STOCK</v>
      </c>
      <c r="E4397" s="1" t="str">
        <f>IFERROR(__xludf.DUMMYFUNCTION("""COMPUTED_VALUE"""),"Online ADMIN.")</f>
        <v>Online ADMIN.</v>
      </c>
      <c r="F4397" s="1" t="str">
        <f t="shared" si="1"/>
        <v>Online </v>
      </c>
      <c r="G4397" s="1" t="str">
        <f t="shared" si="2"/>
        <v>ADMIN.</v>
      </c>
      <c r="H4397" s="1" t="str">
        <f>IFERROR(__xludf.DUMMYFUNCTION("""COMPUTED_VALUE"""),"1/4/2023, 17:00:00")</f>
        <v>1/4/2023, 17:00:00</v>
      </c>
      <c r="I4397" s="1" t="str">
        <f>IFERROR(__xludf.DUMMYFUNCTION("""COMPUTED_VALUE"""),"Completado en SUCURSAL")</f>
        <v>Completado en SUCURSAL</v>
      </c>
      <c r="J4397" s="1">
        <f t="shared" si="3"/>
        <v>5</v>
      </c>
      <c r="K4397" s="1" t="str">
        <f t="shared" si="4"/>
        <v>Tus Lentes estan LISTAS PARA ENTREGAR, te esperamos.</v>
      </c>
    </row>
    <row r="4398">
      <c r="A4398" s="1">
        <f>IFERROR(__xludf.DUMMYFUNCTION("""COMPUTED_VALUE"""),88961.0)</f>
        <v>88961</v>
      </c>
      <c r="B4398" s="5">
        <f>IFERROR(__xludf.DUMMYFUNCTION("""COMPUTED_VALUE"""),45015.382052615736)</f>
        <v>45015.38205</v>
      </c>
      <c r="C4398" s="1" t="str">
        <f>IFERROR(__xludf.DUMMYFUNCTION("""COMPUTED_VALUE"""),"BARLOA FRANCISCO")</f>
        <v>BARLOA FRANCISCO</v>
      </c>
      <c r="D4398" s="1" t="str">
        <f>IFERROR(__xludf.DUMMYFUNCTION("""COMPUTED_VALUE"""),"Lentes de LABORATORIO")</f>
        <v>Lentes de LABORATORIO</v>
      </c>
      <c r="E4398" s="1" t="str">
        <f>IFERROR(__xludf.DUMMYFUNCTION("""COMPUTED_VALUE"""),"ARTIGAS Ivana P.")</f>
        <v>ARTIGAS Ivana P.</v>
      </c>
      <c r="F4398" s="1" t="str">
        <f t="shared" si="1"/>
        <v>ARTIGAS </v>
      </c>
      <c r="G4398" s="1" t="str">
        <f t="shared" si="2"/>
        <v>Ivana P.</v>
      </c>
      <c r="H4398" s="1" t="str">
        <f>IFERROR(__xludf.DUMMYFUNCTION("""COMPUTED_VALUE"""),"6/4/2023, 17:00:00")</f>
        <v>6/4/2023, 17:00:00</v>
      </c>
      <c r="I4398" s="1" t="str">
        <f>IFERROR(__xludf.DUMMYFUNCTION("""COMPUTED_VALUE"""),"Recibido en Laboratorio")</f>
        <v>Recibido en Laboratorio</v>
      </c>
      <c r="J4398" s="1">
        <f t="shared" si="3"/>
        <v>2</v>
      </c>
      <c r="K4398" s="1" t="str">
        <f t="shared" si="4"/>
        <v>Nuestro Laboratorio esta trabajando en tus lentes, los entregaremos en la fecha acordada.</v>
      </c>
    </row>
    <row r="4399">
      <c r="A4399" s="1">
        <f>IFERROR(__xludf.DUMMYFUNCTION("""COMPUTED_VALUE"""),88962.0)</f>
        <v>88962</v>
      </c>
      <c r="B4399" s="5">
        <f>IFERROR(__xludf.DUMMYFUNCTION("""COMPUTED_VALUE"""),45015.38416893518)</f>
        <v>45015.38417</v>
      </c>
      <c r="C4399" s="1" t="str">
        <f>IFERROR(__xludf.DUMMYFUNCTION("""COMPUTED_VALUE"""),"MANSILLA MARIA OFELIA")</f>
        <v>MANSILLA MARIA OFELIA</v>
      </c>
      <c r="D4399" s="1" t="str">
        <f>IFERROR(__xludf.DUMMYFUNCTION("""COMPUTED_VALUE"""),"Lentes de STOCK")</f>
        <v>Lentes de STOCK</v>
      </c>
      <c r="E4399" s="1" t="str">
        <f>IFERROR(__xludf.DUMMYFUNCTION("""COMPUTED_VALUE"""),"ARTIGAS Roció")</f>
        <v>ARTIGAS Roció</v>
      </c>
      <c r="F4399" s="1" t="str">
        <f t="shared" si="1"/>
        <v>ARTIGAS </v>
      </c>
      <c r="G4399" s="1" t="str">
        <f t="shared" si="2"/>
        <v>Roció</v>
      </c>
      <c r="H4399" s="1" t="str">
        <f>IFERROR(__xludf.DUMMYFUNCTION("""COMPUTED_VALUE"""),"6/4/2023, 17:00:00")</f>
        <v>6/4/2023, 17:00:00</v>
      </c>
      <c r="I4399" s="1" t="str">
        <f>IFERROR(__xludf.DUMMYFUNCTION("""COMPUTED_VALUE"""),"Completado en SUCURSAL")</f>
        <v>Completado en SUCURSAL</v>
      </c>
      <c r="J4399" s="1">
        <f t="shared" si="3"/>
        <v>5</v>
      </c>
      <c r="K4399" s="1" t="str">
        <f t="shared" si="4"/>
        <v>Tus Lentes estan LISTAS PARA ENTREGAR, te esperamos.</v>
      </c>
    </row>
    <row r="4400">
      <c r="A4400" s="1">
        <f>IFERROR(__xludf.DUMMYFUNCTION("""COMPUTED_VALUE"""),88963.0)</f>
        <v>88963</v>
      </c>
      <c r="B4400" s="5">
        <f>IFERROR(__xludf.DUMMYFUNCTION("""COMPUTED_VALUE"""),45015.39497309028)</f>
        <v>45015.39497</v>
      </c>
      <c r="C4400" s="1" t="str">
        <f>IFERROR(__xludf.DUMMYFUNCTION("""COMPUTED_VALUE"""),"BACCHETTA MONICA GABRIELA")</f>
        <v>BACCHETTA MONICA GABRIELA</v>
      </c>
      <c r="D4400" s="1" t="str">
        <f>IFERROR(__xludf.DUMMYFUNCTION("""COMPUTED_VALUE"""),"Lentes MULTIFOCALES")</f>
        <v>Lentes MULTIFOCALES</v>
      </c>
      <c r="E4400" s="1" t="str">
        <f>IFERROR(__xludf.DUMMYFUNCTION("""COMPUTED_VALUE"""),"RIVADAVIA Marcela L")</f>
        <v>RIVADAVIA Marcela L</v>
      </c>
      <c r="F4400" s="1" t="str">
        <f t="shared" si="1"/>
        <v>RIVADAVIA </v>
      </c>
      <c r="G4400" s="1" t="str">
        <f t="shared" si="2"/>
        <v>Marcela L</v>
      </c>
      <c r="H4400" s="1" t="str">
        <f>IFERROR(__xludf.DUMMYFUNCTION("""COMPUTED_VALUE"""),"18/4/2023, 17:00:00")</f>
        <v>18/4/2023, 17:00:00</v>
      </c>
      <c r="I4400" s="1" t="str">
        <f>IFERROR(__xludf.DUMMYFUNCTION("""COMPUTED_VALUE"""),"Completado en SUCURSAL")</f>
        <v>Completado en SUCURSAL</v>
      </c>
      <c r="J4400" s="1">
        <f t="shared" si="3"/>
        <v>5</v>
      </c>
      <c r="K4400" s="1" t="str">
        <f t="shared" si="4"/>
        <v>Tus Lentes estan LISTAS PARA ENTREGAR, te esperamos.</v>
      </c>
    </row>
    <row r="4401">
      <c r="A4401" s="1">
        <f>IFERROR(__xludf.DUMMYFUNCTION("""COMPUTED_VALUE"""),88964.0)</f>
        <v>88964</v>
      </c>
      <c r="B4401" s="5">
        <f>IFERROR(__xludf.DUMMYFUNCTION("""COMPUTED_VALUE"""),45015.40181681713)</f>
        <v>45015.40182</v>
      </c>
      <c r="C4401" s="1" t="str">
        <f>IFERROR(__xludf.DUMMYFUNCTION("""COMPUTED_VALUE"""),"MANZANO MARIA ISABEL")</f>
        <v>MANZANO MARIA ISABEL</v>
      </c>
      <c r="D4401" s="1" t="str">
        <f>IFERROR(__xludf.DUMMYFUNCTION("""COMPUTED_VALUE"""),"Lentes de STOCK")</f>
        <v>Lentes de STOCK</v>
      </c>
      <c r="E4401" s="1" t="str">
        <f>IFERROR(__xludf.DUMMYFUNCTION("""COMPUTED_VALUE"""),"RIVADAVIA Santiago LOPEZ")</f>
        <v>RIVADAVIA Santiago LOPEZ</v>
      </c>
      <c r="F4401" s="1" t="str">
        <f t="shared" si="1"/>
        <v>RIVADAVIA </v>
      </c>
      <c r="G4401" s="1" t="str">
        <f t="shared" si="2"/>
        <v>Santiago LOPEZ</v>
      </c>
      <c r="H4401" s="1" t="str">
        <f>IFERROR(__xludf.DUMMYFUNCTION("""COMPUTED_VALUE"""),"5/4/2023, 17:00:00")</f>
        <v>5/4/2023, 17:00:00</v>
      </c>
      <c r="I4401" s="1" t="str">
        <f>IFERROR(__xludf.DUMMYFUNCTION("""COMPUTED_VALUE"""),"Completado en SUCURSAL")</f>
        <v>Completado en SUCURSAL</v>
      </c>
      <c r="J4401" s="1">
        <f t="shared" si="3"/>
        <v>5</v>
      </c>
      <c r="K4401" s="1" t="str">
        <f t="shared" si="4"/>
        <v>Tus Lentes estan LISTAS PARA ENTREGAR, te esperamos.</v>
      </c>
    </row>
    <row r="4402">
      <c r="A4402" s="1">
        <f>IFERROR(__xludf.DUMMYFUNCTION("""COMPUTED_VALUE"""),88965.0)</f>
        <v>88965</v>
      </c>
      <c r="B4402" s="5">
        <f>IFERROR(__xludf.DUMMYFUNCTION("""COMPUTED_VALUE"""),45015.40694372685)</f>
        <v>45015.40694</v>
      </c>
      <c r="C4402" s="1" t="str">
        <f>IFERROR(__xludf.DUMMYFUNCTION("""COMPUTED_VALUE"""),"FERNANDEZ AMILCAR DARFOL")</f>
        <v>FERNANDEZ AMILCAR DARFOL</v>
      </c>
      <c r="D4402" s="1" t="str">
        <f>IFERROR(__xludf.DUMMYFUNCTION("""COMPUTED_VALUE"""),"Lentes de STOCK")</f>
        <v>Lentes de STOCK</v>
      </c>
      <c r="E4402" s="1" t="str">
        <f>IFERROR(__xludf.DUMMYFUNCTION("""COMPUTED_VALUE"""),"ARTIGAS Roció")</f>
        <v>ARTIGAS Roció</v>
      </c>
      <c r="F4402" s="1" t="str">
        <f t="shared" si="1"/>
        <v>ARTIGAS </v>
      </c>
      <c r="G4402" s="1" t="str">
        <f t="shared" si="2"/>
        <v>Roció</v>
      </c>
      <c r="H4402" s="1" t="str">
        <f>IFERROR(__xludf.DUMMYFUNCTION("""COMPUTED_VALUE"""),"6/4/2023, 17:00:00")</f>
        <v>6/4/2023, 17:00:00</v>
      </c>
      <c r="I4402" s="1" t="str">
        <f>IFERROR(__xludf.DUMMYFUNCTION("""COMPUTED_VALUE"""),"RETIRADO OK POR CLIENTE")</f>
        <v>RETIRADO OK POR CLIENTE</v>
      </c>
      <c r="J4402" s="1">
        <f t="shared" si="3"/>
        <v>6</v>
      </c>
      <c r="K4402" s="1" t="str">
        <f t="shared" si="4"/>
        <v>Entregamos tus lentes, que los disfrutes!</v>
      </c>
    </row>
    <row r="4403">
      <c r="A4403" s="1">
        <f>IFERROR(__xludf.DUMMYFUNCTION("""COMPUTED_VALUE"""),88966.0)</f>
        <v>88966</v>
      </c>
      <c r="B4403" s="5">
        <f>IFERROR(__xludf.DUMMYFUNCTION("""COMPUTED_VALUE"""),45015.40894439815)</f>
        <v>45015.40894</v>
      </c>
      <c r="C4403" s="1" t="str">
        <f>IFERROR(__xludf.DUMMYFUNCTION("""COMPUTED_VALUE"""),"BELINAUX DIEGO / DOS ANCLAS")</f>
        <v>BELINAUX DIEGO / DOS ANCLAS</v>
      </c>
      <c r="D4403" s="1" t="str">
        <f>IFERROR(__xludf.DUMMYFUNCTION("""COMPUTED_VALUE"""),"Lentes MULTIFOCALES")</f>
        <v>Lentes MULTIFOCALES</v>
      </c>
      <c r="E4403" s="1" t="str">
        <f>IFERROR(__xludf.DUMMYFUNCTION("""COMPUTED_VALUE"""),"ARTIGAS Ivana P.")</f>
        <v>ARTIGAS Ivana P.</v>
      </c>
      <c r="F4403" s="1" t="str">
        <f t="shared" si="1"/>
        <v>ARTIGAS </v>
      </c>
      <c r="G4403" s="1" t="str">
        <f t="shared" si="2"/>
        <v>Ivana P.</v>
      </c>
      <c r="H4403" s="1" t="str">
        <f>IFERROR(__xludf.DUMMYFUNCTION("""COMPUTED_VALUE"""),"12/4/2023, 17:00:00")</f>
        <v>12/4/2023, 17:00:00</v>
      </c>
      <c r="I4403" s="1" t="str">
        <f>IFERROR(__xludf.DUMMYFUNCTION("""COMPUTED_VALUE"""),"Completado en SUCURSAL")</f>
        <v>Completado en SUCURSAL</v>
      </c>
      <c r="J4403" s="1">
        <f t="shared" si="3"/>
        <v>5</v>
      </c>
      <c r="K4403" s="1" t="str">
        <f t="shared" si="4"/>
        <v>Tus Lentes estan LISTAS PARA ENTREGAR, te esperamos.</v>
      </c>
    </row>
    <row r="4404">
      <c r="A4404" s="1">
        <f>IFERROR(__xludf.DUMMYFUNCTION("""COMPUTED_VALUE"""),88967.0)</f>
        <v>88967</v>
      </c>
      <c r="B4404" s="5">
        <f>IFERROR(__xludf.DUMMYFUNCTION("""COMPUTED_VALUE"""),45015.41356565972)</f>
        <v>45015.41357</v>
      </c>
      <c r="C4404" s="1" t="str">
        <f>IFERROR(__xludf.DUMMYFUNCTION("""COMPUTED_VALUE"""),"MIRANDA TEJEIRA HILARIA")</f>
        <v>MIRANDA TEJEIRA HILARIA</v>
      </c>
      <c r="D4404" s="1" t="str">
        <f>IFERROR(__xludf.DUMMYFUNCTION("""COMPUTED_VALUE"""),"Lentes de STOCK")</f>
        <v>Lentes de STOCK</v>
      </c>
      <c r="E4404" s="1" t="str">
        <f>IFERROR(__xludf.DUMMYFUNCTION("""COMPUTED_VALUE"""),"ARTIGAS Ivana P.")</f>
        <v>ARTIGAS Ivana P.</v>
      </c>
      <c r="F4404" s="1" t="str">
        <f t="shared" si="1"/>
        <v>ARTIGAS </v>
      </c>
      <c r="G4404" s="1" t="str">
        <f t="shared" si="2"/>
        <v>Ivana P.</v>
      </c>
      <c r="H4404" s="1" t="str">
        <f>IFERROR(__xludf.DUMMYFUNCTION("""COMPUTED_VALUE"""),"4/4/2023, 17:00:00")</f>
        <v>4/4/2023, 17:00:00</v>
      </c>
      <c r="I4404" s="1" t="str">
        <f>IFERROR(__xludf.DUMMYFUNCTION("""COMPUTED_VALUE"""),"RETIRADO OK POR CLIENTE")</f>
        <v>RETIRADO OK POR CLIENTE</v>
      </c>
      <c r="J4404" s="1">
        <f t="shared" si="3"/>
        <v>6</v>
      </c>
      <c r="K4404" s="1" t="str">
        <f t="shared" si="4"/>
        <v>Entregamos tus lentes, que los disfrutes!</v>
      </c>
    </row>
    <row r="4405">
      <c r="A4405" s="1">
        <f>IFERROR(__xludf.DUMMYFUNCTION("""COMPUTED_VALUE"""),88968.0)</f>
        <v>88968</v>
      </c>
      <c r="B4405" s="5">
        <f>IFERROR(__xludf.DUMMYFUNCTION("""COMPUTED_VALUE"""),45015.4142412963)</f>
        <v>45015.41424</v>
      </c>
      <c r="C4405" s="1" t="str">
        <f>IFERROR(__xludf.DUMMYFUNCTION("""COMPUTED_VALUE"""),"AMITRANO MARIELA")</f>
        <v>AMITRANO MARIELA</v>
      </c>
      <c r="D4405" s="1" t="str">
        <f>IFERROR(__xludf.DUMMYFUNCTION("""COMPUTED_VALUE"""),"Lentes de STOCK")</f>
        <v>Lentes de STOCK</v>
      </c>
      <c r="E4405" s="1" t="str">
        <f>IFERROR(__xludf.DUMMYFUNCTION("""COMPUTED_VALUE"""),"RIVADAVIA Christian C.")</f>
        <v>RIVADAVIA Christian C.</v>
      </c>
      <c r="F4405" s="1" t="str">
        <f t="shared" si="1"/>
        <v>RIVADAVIA </v>
      </c>
      <c r="G4405" s="1" t="str">
        <f t="shared" si="2"/>
        <v>Christian C.</v>
      </c>
      <c r="H4405" s="1" t="str">
        <f>IFERROR(__xludf.DUMMYFUNCTION("""COMPUTED_VALUE"""),"4/4/2023, 17:00:00")</f>
        <v>4/4/2023, 17:00:00</v>
      </c>
      <c r="I4405" s="1" t="str">
        <f>IFERROR(__xludf.DUMMYFUNCTION("""COMPUTED_VALUE"""),"RETIRADO OK POR CLIENTE")</f>
        <v>RETIRADO OK POR CLIENTE</v>
      </c>
      <c r="J4405" s="1">
        <f t="shared" si="3"/>
        <v>6</v>
      </c>
      <c r="K4405" s="1" t="str">
        <f t="shared" si="4"/>
        <v>Entregamos tus lentes, que los disfrutes!</v>
      </c>
    </row>
    <row r="4406">
      <c r="A4406" s="1">
        <f>IFERROR(__xludf.DUMMYFUNCTION("""COMPUTED_VALUE"""),88969.0)</f>
        <v>88969</v>
      </c>
      <c r="B4406" s="5">
        <f>IFERROR(__xludf.DUMMYFUNCTION("""COMPUTED_VALUE"""),45015.429186608795)</f>
        <v>45015.42919</v>
      </c>
      <c r="C4406" s="1" t="str">
        <f>IFERROR(__xludf.DUMMYFUNCTION("""COMPUTED_VALUE"""),"LUCERO PASCUA")</f>
        <v>LUCERO PASCUA</v>
      </c>
      <c r="D4406" s="1" t="str">
        <f>IFERROR(__xludf.DUMMYFUNCTION("""COMPUTED_VALUE"""),"Lentes de STOCK")</f>
        <v>Lentes de STOCK</v>
      </c>
      <c r="E4406" s="1" t="str">
        <f>IFERROR(__xludf.DUMMYFUNCTION("""COMPUTED_VALUE"""),"RIVADAVIA Luciana")</f>
        <v>RIVADAVIA Luciana</v>
      </c>
      <c r="F4406" s="1" t="str">
        <f t="shared" si="1"/>
        <v>RIVADAVIA </v>
      </c>
      <c r="G4406" s="1" t="str">
        <f t="shared" si="2"/>
        <v>Luciana</v>
      </c>
      <c r="H4406" s="1" t="str">
        <f>IFERROR(__xludf.DUMMYFUNCTION("""COMPUTED_VALUE"""),"5/4/2023, 17:00:00")</f>
        <v>5/4/2023, 17:00:00</v>
      </c>
      <c r="I4406" s="1" t="str">
        <f>IFERROR(__xludf.DUMMYFUNCTION("""COMPUTED_VALUE"""),"Completado en SUCURSAL")</f>
        <v>Completado en SUCURSAL</v>
      </c>
      <c r="J4406" s="1">
        <f t="shared" si="3"/>
        <v>5</v>
      </c>
      <c r="K4406" s="1" t="str">
        <f t="shared" si="4"/>
        <v>Tus Lentes estan LISTAS PARA ENTREGAR, te esperamos.</v>
      </c>
    </row>
    <row r="4407">
      <c r="A4407" s="1">
        <f>IFERROR(__xludf.DUMMYFUNCTION("""COMPUTED_VALUE"""),88970.0)</f>
        <v>88970</v>
      </c>
      <c r="B4407" s="5">
        <f>IFERROR(__xludf.DUMMYFUNCTION("""COMPUTED_VALUE"""),45015.43224409722)</f>
        <v>45015.43224</v>
      </c>
      <c r="C4407" s="1" t="str">
        <f>IFERROR(__xludf.DUMMYFUNCTION("""COMPUTED_VALUE"""),"saa petrino orlando")</f>
        <v>saa petrino orlando</v>
      </c>
      <c r="D4407" s="1" t="str">
        <f>IFERROR(__xludf.DUMMYFUNCTION("""COMPUTED_VALUE"""),"Lentes de STOCK")</f>
        <v>Lentes de STOCK</v>
      </c>
      <c r="E4407" s="1" t="str">
        <f>IFERROR(__xludf.DUMMYFUNCTION("""COMPUTED_VALUE"""),"RIVADAVIA Santiago N")</f>
        <v>RIVADAVIA Santiago N</v>
      </c>
      <c r="F4407" s="1" t="str">
        <f t="shared" si="1"/>
        <v>RIVADAVIA </v>
      </c>
      <c r="G4407" s="1" t="str">
        <f t="shared" si="2"/>
        <v>Santiago N</v>
      </c>
      <c r="H4407" s="1" t="str">
        <f>IFERROR(__xludf.DUMMYFUNCTION("""COMPUTED_VALUE"""),"1/4/2023, 17:00:00")</f>
        <v>1/4/2023, 17:00:00</v>
      </c>
      <c r="I4407" s="1" t="str">
        <f>IFERROR(__xludf.DUMMYFUNCTION("""COMPUTED_VALUE"""),"RETIRADO OK POR CLIENTE")</f>
        <v>RETIRADO OK POR CLIENTE</v>
      </c>
      <c r="J4407" s="1">
        <f t="shared" si="3"/>
        <v>6</v>
      </c>
      <c r="K4407" s="1" t="str">
        <f t="shared" si="4"/>
        <v>Entregamos tus lentes, que los disfrutes!</v>
      </c>
    </row>
    <row r="4408">
      <c r="A4408" s="1">
        <f>IFERROR(__xludf.DUMMYFUNCTION("""COMPUTED_VALUE"""),88971.0)</f>
        <v>88971</v>
      </c>
      <c r="B4408" s="5">
        <f>IFERROR(__xludf.DUMMYFUNCTION("""COMPUTED_VALUE"""),45015.4324222338)</f>
        <v>45015.43242</v>
      </c>
      <c r="C4408" s="1" t="str">
        <f>IFERROR(__xludf.DUMMYFUNCTION("""COMPUTED_VALUE"""),"AGUERO PAULO")</f>
        <v>AGUERO PAULO</v>
      </c>
      <c r="D4408" s="1" t="str">
        <f>IFERROR(__xludf.DUMMYFUNCTION("""COMPUTED_VALUE"""),"Lentes de STOCK")</f>
        <v>Lentes de STOCK</v>
      </c>
      <c r="E4408" s="1" t="str">
        <f>IFERROR(__xludf.DUMMYFUNCTION("""COMPUTED_VALUE"""),"RIVADAVIA Luciana")</f>
        <v>RIVADAVIA Luciana</v>
      </c>
      <c r="F4408" s="1" t="str">
        <f t="shared" si="1"/>
        <v>RIVADAVIA </v>
      </c>
      <c r="G4408" s="1" t="str">
        <f t="shared" si="2"/>
        <v>Luciana</v>
      </c>
      <c r="H4408" s="1" t="str">
        <f>IFERROR(__xludf.DUMMYFUNCTION("""COMPUTED_VALUE"""),"5/4/2023, 17:00:00")</f>
        <v>5/4/2023, 17:00:00</v>
      </c>
      <c r="I4408" s="1" t="str">
        <f>IFERROR(__xludf.DUMMYFUNCTION("""COMPUTED_VALUE"""),"Completado en SUCURSAL")</f>
        <v>Completado en SUCURSAL</v>
      </c>
      <c r="J4408" s="1">
        <f t="shared" si="3"/>
        <v>5</v>
      </c>
      <c r="K4408" s="1" t="str">
        <f t="shared" si="4"/>
        <v>Tus Lentes estan LISTAS PARA ENTREGAR, te esperamos.</v>
      </c>
    </row>
    <row r="4409">
      <c r="A4409" s="1">
        <f>IFERROR(__xludf.DUMMYFUNCTION("""COMPUTED_VALUE"""),88972.0)</f>
        <v>88972</v>
      </c>
      <c r="B4409" s="5">
        <f>IFERROR(__xludf.DUMMYFUNCTION("""COMPUTED_VALUE"""),45015.433574236115)</f>
        <v>45015.43357</v>
      </c>
      <c r="C4409" s="1" t="str">
        <f>IFERROR(__xludf.DUMMYFUNCTION("""COMPUTED_VALUE"""),"MIRANDA PABLO / COLGATE")</f>
        <v>MIRANDA PABLO / COLGATE</v>
      </c>
      <c r="D4409" s="1" t="str">
        <f>IFERROR(__xludf.DUMMYFUNCTION("""COMPUTED_VALUE"""),"Lentes de LABORATORIO")</f>
        <v>Lentes de LABORATORIO</v>
      </c>
      <c r="E4409" s="1" t="str">
        <f>IFERROR(__xludf.DUMMYFUNCTION("""COMPUTED_VALUE"""),"ARTIGAS Ivana P.")</f>
        <v>ARTIGAS Ivana P.</v>
      </c>
      <c r="F4409" s="1" t="str">
        <f t="shared" si="1"/>
        <v>ARTIGAS </v>
      </c>
      <c r="G4409" s="1" t="str">
        <f t="shared" si="2"/>
        <v>Ivana P.</v>
      </c>
      <c r="H4409" s="1" t="str">
        <f>IFERROR(__xludf.DUMMYFUNCTION("""COMPUTED_VALUE"""),"10/4/2023, 17:00:00")</f>
        <v>10/4/2023, 17:00:00</v>
      </c>
      <c r="I4409" s="1" t="str">
        <f>IFERROR(__xludf.DUMMYFUNCTION("""COMPUTED_VALUE"""),"Completado en SUCURSAL")</f>
        <v>Completado en SUCURSAL</v>
      </c>
      <c r="J4409" s="1">
        <f t="shared" si="3"/>
        <v>5</v>
      </c>
      <c r="K4409" s="1" t="str">
        <f t="shared" si="4"/>
        <v>Tus Lentes estan LISTAS PARA ENTREGAR, te esperamos.</v>
      </c>
    </row>
    <row r="4410">
      <c r="A4410" s="1">
        <f>IFERROR(__xludf.DUMMYFUNCTION("""COMPUTED_VALUE"""),88973.0)</f>
        <v>88973</v>
      </c>
      <c r="B4410" s="5">
        <f>IFERROR(__xludf.DUMMYFUNCTION("""COMPUTED_VALUE"""),45015.4389716088)</f>
        <v>45015.43897</v>
      </c>
      <c r="C4410" s="1" t="str">
        <f>IFERROR(__xludf.DUMMYFUNCTION("""COMPUTED_VALUE"""),"PRIANTE JOSE ANTONIO")</f>
        <v>PRIANTE JOSE ANTONIO</v>
      </c>
      <c r="D4410" s="1" t="str">
        <f>IFERROR(__xludf.DUMMYFUNCTION("""COMPUTED_VALUE"""),"Lentes BIFOCALES")</f>
        <v>Lentes BIFOCALES</v>
      </c>
      <c r="E4410" s="1" t="str">
        <f>IFERROR(__xludf.DUMMYFUNCTION("""COMPUTED_VALUE"""),"ARTIGAS Roció")</f>
        <v>ARTIGAS Roció</v>
      </c>
      <c r="F4410" s="1" t="str">
        <f t="shared" si="1"/>
        <v>ARTIGAS </v>
      </c>
      <c r="G4410" s="1" t="str">
        <f t="shared" si="2"/>
        <v>Roció</v>
      </c>
      <c r="H4410" s="1" t="str">
        <f>IFERROR(__xludf.DUMMYFUNCTION("""COMPUTED_VALUE"""),"10/4/2023, 17:00:00")</f>
        <v>10/4/2023, 17:00:00</v>
      </c>
      <c r="I4410" s="1" t="str">
        <f>IFERROR(__xludf.DUMMYFUNCTION("""COMPUTED_VALUE"""),"RETIRADO OK POR CLIENTE")</f>
        <v>RETIRADO OK POR CLIENTE</v>
      </c>
      <c r="J4410" s="1">
        <f t="shared" si="3"/>
        <v>6</v>
      </c>
      <c r="K4410" s="1" t="str">
        <f t="shared" si="4"/>
        <v>Entregamos tus lentes, que los disfrutes!</v>
      </c>
    </row>
    <row r="4411">
      <c r="A4411" s="1">
        <f>IFERROR(__xludf.DUMMYFUNCTION("""COMPUTED_VALUE"""),88974.0)</f>
        <v>88974</v>
      </c>
      <c r="B4411" s="5">
        <f>IFERROR(__xludf.DUMMYFUNCTION("""COMPUTED_VALUE"""),45015.451466921295)</f>
        <v>45015.45147</v>
      </c>
      <c r="C4411" s="1" t="str">
        <f>IFERROR(__xludf.DUMMYFUNCTION("""COMPUTED_VALUE"""),"LUCARELLI SILVINA")</f>
        <v>LUCARELLI SILVINA</v>
      </c>
      <c r="D4411" s="1" t="str">
        <f>IFERROR(__xludf.DUMMYFUNCTION("""COMPUTED_VALUE"""),"Lentes MULTIFOCALES")</f>
        <v>Lentes MULTIFOCALES</v>
      </c>
      <c r="E4411" s="1" t="str">
        <f>IFERROR(__xludf.DUMMYFUNCTION("""COMPUTED_VALUE"""),"RIVADAVIA Santiago LOPEZ")</f>
        <v>RIVADAVIA Santiago LOPEZ</v>
      </c>
      <c r="F4411" s="1" t="str">
        <f t="shared" si="1"/>
        <v>RIVADAVIA </v>
      </c>
      <c r="G4411" s="1" t="str">
        <f t="shared" si="2"/>
        <v>Santiago LOPEZ</v>
      </c>
      <c r="H4411" s="1" t="str">
        <f>IFERROR(__xludf.DUMMYFUNCTION("""COMPUTED_VALUE"""),"14/4/2023, 17:00:00")</f>
        <v>14/4/2023, 17:00:00</v>
      </c>
      <c r="I4411" s="1" t="str">
        <f>IFERROR(__xludf.DUMMYFUNCTION("""COMPUTED_VALUE"""),"Recibido en Laboratorio")</f>
        <v>Recibido en Laboratorio</v>
      </c>
      <c r="J4411" s="1">
        <f t="shared" si="3"/>
        <v>2</v>
      </c>
      <c r="K4411" s="1" t="str">
        <f t="shared" si="4"/>
        <v>Nuestro Laboratorio esta trabajando en tus lentes, los entregaremos en la fecha acordada.</v>
      </c>
    </row>
    <row r="4412">
      <c r="A4412" s="1">
        <f>IFERROR(__xludf.DUMMYFUNCTION("""COMPUTED_VALUE"""),88975.0)</f>
        <v>88975</v>
      </c>
      <c r="B4412" s="5">
        <f>IFERROR(__xludf.DUMMYFUNCTION("""COMPUTED_VALUE"""),45015.4557580324)</f>
        <v>45015.45576</v>
      </c>
      <c r="C4412" s="1" t="str">
        <f>IFERROR(__xludf.DUMMYFUNCTION("""COMPUTED_VALUE"""),"BENITEZ CLAUDIA NOEMI")</f>
        <v>BENITEZ CLAUDIA NOEMI</v>
      </c>
      <c r="D4412" s="1" t="str">
        <f>IFERROR(__xludf.DUMMYFUNCTION("""COMPUTED_VALUE"""),"Lentes de STOCK")</f>
        <v>Lentes de STOCK</v>
      </c>
      <c r="E4412" s="1" t="str">
        <f>IFERROR(__xludf.DUMMYFUNCTION("""COMPUTED_VALUE"""),"ARTIGAS Roció")</f>
        <v>ARTIGAS Roció</v>
      </c>
      <c r="F4412" s="1" t="str">
        <f t="shared" si="1"/>
        <v>ARTIGAS </v>
      </c>
      <c r="G4412" s="1" t="str">
        <f t="shared" si="2"/>
        <v>Roció</v>
      </c>
      <c r="H4412" s="1" t="str">
        <f>IFERROR(__xludf.DUMMYFUNCTION("""COMPUTED_VALUE"""),"10/4/2023, 17:00:00")</f>
        <v>10/4/2023, 17:00:00</v>
      </c>
      <c r="I4412" s="1" t="str">
        <f>IFERROR(__xludf.DUMMYFUNCTION("""COMPUTED_VALUE"""),"RETIRADO OK POR CLIENTE")</f>
        <v>RETIRADO OK POR CLIENTE</v>
      </c>
      <c r="J4412" s="1">
        <f t="shared" si="3"/>
        <v>6</v>
      </c>
      <c r="K4412" s="1" t="str">
        <f t="shared" si="4"/>
        <v>Entregamos tus lentes, que los disfrutes!</v>
      </c>
    </row>
    <row r="4413">
      <c r="A4413" s="1">
        <f>IFERROR(__xludf.DUMMYFUNCTION("""COMPUTED_VALUE"""),88976.0)</f>
        <v>88976</v>
      </c>
      <c r="B4413" s="5">
        <f>IFERROR(__xludf.DUMMYFUNCTION("""COMPUTED_VALUE"""),45015.4584840625)</f>
        <v>45015.45848</v>
      </c>
      <c r="C4413" s="1" t="str">
        <f>IFERROR(__xludf.DUMMYFUNCTION("""COMPUTED_VALUE"""),"OROZCO NORMA")</f>
        <v>OROZCO NORMA</v>
      </c>
      <c r="D4413" s="1" t="str">
        <f>IFERROR(__xludf.DUMMYFUNCTION("""COMPUTED_VALUE"""),"Reparaciones/Otros")</f>
        <v>Reparaciones/Otros</v>
      </c>
      <c r="E4413" s="1" t="str">
        <f>IFERROR(__xludf.DUMMYFUNCTION("""COMPUTED_VALUE"""),"RIVADAVIA Christian C.")</f>
        <v>RIVADAVIA Christian C.</v>
      </c>
      <c r="F4413" s="1" t="str">
        <f t="shared" si="1"/>
        <v>RIVADAVIA </v>
      </c>
      <c r="G4413" s="1" t="str">
        <f t="shared" si="2"/>
        <v>Christian C.</v>
      </c>
      <c r="H4413" s="1" t="str">
        <f>IFERROR(__xludf.DUMMYFUNCTION("""COMPUTED_VALUE"""),"4/4/2023, 17:00:00")</f>
        <v>4/4/2023, 17:00:00</v>
      </c>
      <c r="I4413" s="1" t="str">
        <f>IFERROR(__xludf.DUMMYFUNCTION("""COMPUTED_VALUE"""),"Completado en SUCURSAL")</f>
        <v>Completado en SUCURSAL</v>
      </c>
      <c r="J4413" s="1">
        <f t="shared" si="3"/>
        <v>5</v>
      </c>
      <c r="K4413" s="1" t="str">
        <f t="shared" si="4"/>
        <v>Tus Lentes estan LISTAS PARA ENTREGAR, te esperamos.</v>
      </c>
    </row>
    <row r="4414">
      <c r="A4414" s="1">
        <f>IFERROR(__xludf.DUMMYFUNCTION("""COMPUTED_VALUE"""),88977.0)</f>
        <v>88977</v>
      </c>
      <c r="B4414" s="5">
        <f>IFERROR(__xludf.DUMMYFUNCTION("""COMPUTED_VALUE"""),45015.46755753472)</f>
        <v>45015.46756</v>
      </c>
      <c r="C4414" s="1" t="str">
        <f>IFERROR(__xludf.DUMMYFUNCTION("""COMPUTED_VALUE"""),"BOTTO ALICIA ARGENTINA")</f>
        <v>BOTTO ALICIA ARGENTINA</v>
      </c>
      <c r="D4414" s="1" t="str">
        <f>IFERROR(__xludf.DUMMYFUNCTION("""COMPUTED_VALUE"""),"Lentes BIFOCALES")</f>
        <v>Lentes BIFOCALES</v>
      </c>
      <c r="E4414" s="1" t="str">
        <f>IFERROR(__xludf.DUMMYFUNCTION("""COMPUTED_VALUE"""),"ARTIGAS Roció")</f>
        <v>ARTIGAS Roció</v>
      </c>
      <c r="F4414" s="1" t="str">
        <f t="shared" si="1"/>
        <v>ARTIGAS </v>
      </c>
      <c r="G4414" s="1" t="str">
        <f t="shared" si="2"/>
        <v>Roció</v>
      </c>
      <c r="H4414" s="1" t="str">
        <f>IFERROR(__xludf.DUMMYFUNCTION("""COMPUTED_VALUE"""),"10/4/2023, 17:00:00")</f>
        <v>10/4/2023, 17:00:00</v>
      </c>
      <c r="I4414" s="1" t="str">
        <f>IFERROR(__xludf.DUMMYFUNCTION("""COMPUTED_VALUE"""),"Recibido en Laboratorio")</f>
        <v>Recibido en Laboratorio</v>
      </c>
      <c r="J4414" s="1">
        <f t="shared" si="3"/>
        <v>2</v>
      </c>
      <c r="K4414" s="1" t="str">
        <f t="shared" si="4"/>
        <v>Nuestro Laboratorio esta trabajando en tus lentes, los entregaremos en la fecha acordada.</v>
      </c>
    </row>
    <row r="4415">
      <c r="A4415" s="1">
        <f>IFERROR(__xludf.DUMMYFUNCTION("""COMPUTED_VALUE"""),88978.0)</f>
        <v>88978</v>
      </c>
      <c r="B4415" s="5">
        <f>IFERROR(__xludf.DUMMYFUNCTION("""COMPUTED_VALUE"""),45015.47523465278)</f>
        <v>45015.47523</v>
      </c>
      <c r="C4415" s="1" t="str">
        <f>IFERROR(__xludf.DUMMYFUNCTION("""COMPUTED_VALUE"""),"BULOVACICH MIRTA MAGDALENA")</f>
        <v>BULOVACICH MIRTA MAGDALENA</v>
      </c>
      <c r="D4415" s="1" t="str">
        <f>IFERROR(__xludf.DUMMYFUNCTION("""COMPUTED_VALUE"""),"Lentes de STOCK")</f>
        <v>Lentes de STOCK</v>
      </c>
      <c r="E4415" s="1" t="str">
        <f>IFERROR(__xludf.DUMMYFUNCTION("""COMPUTED_VALUE"""),"RIVADAVIA Marcela L")</f>
        <v>RIVADAVIA Marcela L</v>
      </c>
      <c r="F4415" s="1" t="str">
        <f t="shared" si="1"/>
        <v>RIVADAVIA </v>
      </c>
      <c r="G4415" s="1" t="str">
        <f t="shared" si="2"/>
        <v>Marcela L</v>
      </c>
      <c r="H4415" s="1" t="str">
        <f>IFERROR(__xludf.DUMMYFUNCTION("""COMPUTED_VALUE"""),"5/4/2023, 17:00:00")</f>
        <v>5/4/2023, 17:00:00</v>
      </c>
      <c r="I4415" s="1" t="str">
        <f>IFERROR(__xludf.DUMMYFUNCTION("""COMPUTED_VALUE"""),"RETIRADO OK POR CLIENTE")</f>
        <v>RETIRADO OK POR CLIENTE</v>
      </c>
      <c r="J4415" s="1">
        <f t="shared" si="3"/>
        <v>6</v>
      </c>
      <c r="K4415" s="1" t="str">
        <f t="shared" si="4"/>
        <v>Entregamos tus lentes, que los disfrutes!</v>
      </c>
    </row>
    <row r="4416">
      <c r="A4416" s="1">
        <f>IFERROR(__xludf.DUMMYFUNCTION("""COMPUTED_VALUE"""),88979.0)</f>
        <v>88979</v>
      </c>
      <c r="B4416" s="5">
        <f>IFERROR(__xludf.DUMMYFUNCTION("""COMPUTED_VALUE"""),45015.48190049769)</f>
        <v>45015.4819</v>
      </c>
      <c r="C4416" s="1" t="str">
        <f>IFERROR(__xludf.DUMMYFUNCTION("""COMPUTED_VALUE"""),"SCALLY MARCELA")</f>
        <v>SCALLY MARCELA</v>
      </c>
      <c r="D4416" s="1" t="str">
        <f>IFERROR(__xludf.DUMMYFUNCTION("""COMPUTED_VALUE"""),"Lentes de STOCK")</f>
        <v>Lentes de STOCK</v>
      </c>
      <c r="E4416" s="1" t="str">
        <f>IFERROR(__xludf.DUMMYFUNCTION("""COMPUTED_VALUE"""),"RIVADAVIA Luciana")</f>
        <v>RIVADAVIA Luciana</v>
      </c>
      <c r="F4416" s="1" t="str">
        <f t="shared" si="1"/>
        <v>RIVADAVIA </v>
      </c>
      <c r="G4416" s="1" t="str">
        <f t="shared" si="2"/>
        <v>Luciana</v>
      </c>
      <c r="H4416" s="1" t="str">
        <f>IFERROR(__xludf.DUMMYFUNCTION("""COMPUTED_VALUE"""),"5/4/2023, 17:00:00")</f>
        <v>5/4/2023, 17:00:00</v>
      </c>
      <c r="I4416" s="1" t="str">
        <f>IFERROR(__xludf.DUMMYFUNCTION("""COMPUTED_VALUE"""),"Completado en SUCURSAL")</f>
        <v>Completado en SUCURSAL</v>
      </c>
      <c r="J4416" s="1">
        <f t="shared" si="3"/>
        <v>5</v>
      </c>
      <c r="K4416" s="1" t="str">
        <f t="shared" si="4"/>
        <v>Tus Lentes estan LISTAS PARA ENTREGAR, te esperamos.</v>
      </c>
    </row>
    <row r="4417">
      <c r="A4417" s="1">
        <f>IFERROR(__xludf.DUMMYFUNCTION("""COMPUTED_VALUE"""),88980.0)</f>
        <v>88980</v>
      </c>
      <c r="B4417" s="5">
        <f>IFERROR(__xludf.DUMMYFUNCTION("""COMPUTED_VALUE"""),45015.48645758102)</f>
        <v>45015.48646</v>
      </c>
      <c r="C4417" s="1" t="str">
        <f>IFERROR(__xludf.DUMMYFUNCTION("""COMPUTED_VALUE"""),"ledesma angelica")</f>
        <v>ledesma angelica</v>
      </c>
      <c r="D4417" s="1" t="str">
        <f>IFERROR(__xludf.DUMMYFUNCTION("""COMPUTED_VALUE"""),"Reparaciones/Otros")</f>
        <v>Reparaciones/Otros</v>
      </c>
      <c r="E4417" s="1" t="str">
        <f>IFERROR(__xludf.DUMMYFUNCTION("""COMPUTED_VALUE"""),"RIVADAVIA Daniel CM")</f>
        <v>RIVADAVIA Daniel CM</v>
      </c>
      <c r="F4417" s="1" t="str">
        <f t="shared" si="1"/>
        <v>RIVADAVIA </v>
      </c>
      <c r="G4417" s="1" t="str">
        <f t="shared" si="2"/>
        <v>Daniel CM</v>
      </c>
      <c r="H4417" s="1" t="str">
        <f>IFERROR(__xludf.DUMMYFUNCTION("""COMPUTED_VALUE"""),"31/3/2023, 17:00:00")</f>
        <v>31/3/2023, 17:00:00</v>
      </c>
      <c r="I4417" s="1" t="str">
        <f>IFERROR(__xludf.DUMMYFUNCTION("""COMPUTED_VALUE"""),"Completado en SUCURSAL")</f>
        <v>Completado en SUCURSAL</v>
      </c>
      <c r="J4417" s="1">
        <f t="shared" si="3"/>
        <v>5</v>
      </c>
      <c r="K4417" s="1" t="str">
        <f t="shared" si="4"/>
        <v>Tus Lentes estan LISTAS PARA ENTREGAR, te esperamos.</v>
      </c>
    </row>
    <row r="4418">
      <c r="A4418" s="1">
        <f>IFERROR(__xludf.DUMMYFUNCTION("""COMPUTED_VALUE"""),88981.0)</f>
        <v>88981</v>
      </c>
      <c r="B4418" s="5">
        <f>IFERROR(__xludf.DUMMYFUNCTION("""COMPUTED_VALUE"""),45015.492123564814)</f>
        <v>45015.49212</v>
      </c>
      <c r="C4418" s="1" t="str">
        <f>IFERROR(__xludf.DUMMYFUNCTION("""COMPUTED_VALUE"""),"ochoa ana ramona ")</f>
        <v>ochoa ana ramona </v>
      </c>
      <c r="D4418" s="1" t="str">
        <f>IFERROR(__xludf.DUMMYFUNCTION("""COMPUTED_VALUE"""),"Lentes de STOCK")</f>
        <v>Lentes de STOCK</v>
      </c>
      <c r="E4418" s="1" t="str">
        <f>IFERROR(__xludf.DUMMYFUNCTION("""COMPUTED_VALUE"""),"Online ADMIN.")</f>
        <v>Online ADMIN.</v>
      </c>
      <c r="F4418" s="1" t="str">
        <f t="shared" si="1"/>
        <v>Online </v>
      </c>
      <c r="G4418" s="1" t="str">
        <f t="shared" si="2"/>
        <v>ADMIN.</v>
      </c>
      <c r="H4418" s="1" t="str">
        <f>IFERROR(__xludf.DUMMYFUNCTION("""COMPUTED_VALUE"""),"3/4/2023, 17:00:00")</f>
        <v>3/4/2023, 17:00:00</v>
      </c>
      <c r="I4418" s="1" t="str">
        <f>IFERROR(__xludf.DUMMYFUNCTION("""COMPUTED_VALUE"""),"Completado en SUCURSAL")</f>
        <v>Completado en SUCURSAL</v>
      </c>
      <c r="J4418" s="1">
        <f t="shared" si="3"/>
        <v>5</v>
      </c>
      <c r="K4418" s="1" t="str">
        <f t="shared" si="4"/>
        <v>Tus Lentes estan LISTAS PARA ENTREGAR, te esperamos.</v>
      </c>
    </row>
    <row r="4419">
      <c r="A4419" s="1">
        <f>IFERROR(__xludf.DUMMYFUNCTION("""COMPUTED_VALUE"""),88982.0)</f>
        <v>88982</v>
      </c>
      <c r="B4419" s="5">
        <f>IFERROR(__xludf.DUMMYFUNCTION("""COMPUTED_VALUE"""),45015.50016630787)</f>
        <v>45015.50017</v>
      </c>
      <c r="C4419" s="1" t="str">
        <f>IFERROR(__xludf.DUMMYFUNCTION("""COMPUTED_VALUE"""),"CALDERON ANTONIA ")</f>
        <v>CALDERON ANTONIA </v>
      </c>
      <c r="D4419" s="1" t="str">
        <f>IFERROR(__xludf.DUMMYFUNCTION("""COMPUTED_VALUE"""),"Lentes de STOCK")</f>
        <v>Lentes de STOCK</v>
      </c>
      <c r="E4419" s="1" t="str">
        <f>IFERROR(__xludf.DUMMYFUNCTION("""COMPUTED_VALUE"""),"RIVADAVIA Christian C.")</f>
        <v>RIVADAVIA Christian C.</v>
      </c>
      <c r="F4419" s="1" t="str">
        <f t="shared" si="1"/>
        <v>RIVADAVIA </v>
      </c>
      <c r="G4419" s="1" t="str">
        <f t="shared" si="2"/>
        <v>Christian C.</v>
      </c>
      <c r="H4419" s="1" t="str">
        <f>IFERROR(__xludf.DUMMYFUNCTION("""COMPUTED_VALUE"""),"5/4/2023, 17:00:00")</f>
        <v>5/4/2023, 17:00:00</v>
      </c>
      <c r="I4419" s="1" t="str">
        <f>IFERROR(__xludf.DUMMYFUNCTION("""COMPUTED_VALUE"""),"RETIRADO OK POR CLIENTE")</f>
        <v>RETIRADO OK POR CLIENTE</v>
      </c>
      <c r="J4419" s="1">
        <f t="shared" si="3"/>
        <v>6</v>
      </c>
      <c r="K4419" s="1" t="str">
        <f t="shared" si="4"/>
        <v>Entregamos tus lentes, que los disfrutes!</v>
      </c>
    </row>
    <row r="4420">
      <c r="A4420" s="1">
        <f>IFERROR(__xludf.DUMMYFUNCTION("""COMPUTED_VALUE"""),88983.0)</f>
        <v>88983</v>
      </c>
      <c r="B4420" s="5">
        <f>IFERROR(__xludf.DUMMYFUNCTION("""COMPUTED_VALUE"""),45015.50099006944)</f>
        <v>45015.50099</v>
      </c>
      <c r="C4420" s="1" t="str">
        <f>IFERROR(__xludf.DUMMYFUNCTION("""COMPUTED_VALUE"""),"PIPITONE LUIS")</f>
        <v>PIPITONE LUIS</v>
      </c>
      <c r="D4420" s="1" t="str">
        <f>IFERROR(__xludf.DUMMYFUNCTION("""COMPUTED_VALUE"""),"Lentes de STOCK")</f>
        <v>Lentes de STOCK</v>
      </c>
      <c r="E4420" s="1" t="str">
        <f>IFERROR(__xludf.DUMMYFUNCTION("""COMPUTED_VALUE"""),"ARTIGAS Ivana P.")</f>
        <v>ARTIGAS Ivana P.</v>
      </c>
      <c r="F4420" s="1" t="str">
        <f t="shared" si="1"/>
        <v>ARTIGAS </v>
      </c>
      <c r="G4420" s="1" t="str">
        <f t="shared" si="2"/>
        <v>Ivana P.</v>
      </c>
      <c r="H4420" s="1" t="str">
        <f>IFERROR(__xludf.DUMMYFUNCTION("""COMPUTED_VALUE"""),"3/4/2023, 17:00:00")</f>
        <v>3/4/2023, 17:00:00</v>
      </c>
      <c r="I4420" s="1" t="str">
        <f>IFERROR(__xludf.DUMMYFUNCTION("""COMPUTED_VALUE"""),"Completado en SUCURSAL")</f>
        <v>Completado en SUCURSAL</v>
      </c>
      <c r="J4420" s="1">
        <f t="shared" si="3"/>
        <v>5</v>
      </c>
      <c r="K4420" s="1" t="str">
        <f t="shared" si="4"/>
        <v>Tus Lentes estan LISTAS PARA ENTREGAR, te esperamos.</v>
      </c>
    </row>
    <row r="4421">
      <c r="A4421" s="1">
        <f>IFERROR(__xludf.DUMMYFUNCTION("""COMPUTED_VALUE"""),88984.0)</f>
        <v>88984</v>
      </c>
      <c r="B4421" s="5">
        <f>IFERROR(__xludf.DUMMYFUNCTION("""COMPUTED_VALUE"""),45015.50434291667)</f>
        <v>45015.50434</v>
      </c>
      <c r="C4421" s="1" t="str">
        <f>IFERROR(__xludf.DUMMYFUNCTION("""COMPUTED_VALUE"""),"CORIA VERA LIAM")</f>
        <v>CORIA VERA LIAM</v>
      </c>
      <c r="D4421" s="1" t="str">
        <f>IFERROR(__xludf.DUMMYFUNCTION("""COMPUTED_VALUE"""),"Lentes de STOCK")</f>
        <v>Lentes de STOCK</v>
      </c>
      <c r="E4421" s="1" t="str">
        <f>IFERROR(__xludf.DUMMYFUNCTION("""COMPUTED_VALUE"""),"RIVADAVIA Christian C.")</f>
        <v>RIVADAVIA Christian C.</v>
      </c>
      <c r="F4421" s="1" t="str">
        <f t="shared" si="1"/>
        <v>RIVADAVIA </v>
      </c>
      <c r="G4421" s="1" t="str">
        <f t="shared" si="2"/>
        <v>Christian C.</v>
      </c>
      <c r="H4421" s="1" t="str">
        <f>IFERROR(__xludf.DUMMYFUNCTION("""COMPUTED_VALUE"""),"4/4/2023, 17:00:00")</f>
        <v>4/4/2023, 17:00:00</v>
      </c>
      <c r="I4421" s="1" t="str">
        <f>IFERROR(__xludf.DUMMYFUNCTION("""COMPUTED_VALUE"""),"RETIRADO OK POR CLIENTE")</f>
        <v>RETIRADO OK POR CLIENTE</v>
      </c>
      <c r="J4421" s="1">
        <f t="shared" si="3"/>
        <v>6</v>
      </c>
      <c r="K4421" s="1" t="str">
        <f t="shared" si="4"/>
        <v>Entregamos tus lentes, que los disfrutes!</v>
      </c>
    </row>
    <row r="4422">
      <c r="A4422" s="1">
        <f>IFERROR(__xludf.DUMMYFUNCTION("""COMPUTED_VALUE"""),88985.0)</f>
        <v>88985</v>
      </c>
      <c r="B4422" s="5">
        <f>IFERROR(__xludf.DUMMYFUNCTION("""COMPUTED_VALUE"""),45015.51022055556)</f>
        <v>45015.51022</v>
      </c>
      <c r="C4422" s="1" t="str">
        <f>IFERROR(__xludf.DUMMYFUNCTION("""COMPUTED_VALUE"""),"AGUIRRE KARINA")</f>
        <v>AGUIRRE KARINA</v>
      </c>
      <c r="D4422" s="1" t="str">
        <f>IFERROR(__xludf.DUMMYFUNCTION("""COMPUTED_VALUE"""),"Lentes de STOCK")</f>
        <v>Lentes de STOCK</v>
      </c>
      <c r="E4422" s="1" t="str">
        <f>IFERROR(__xludf.DUMMYFUNCTION("""COMPUTED_VALUE"""),"ARTIGAS Roció")</f>
        <v>ARTIGAS Roció</v>
      </c>
      <c r="F4422" s="1" t="str">
        <f t="shared" si="1"/>
        <v>ARTIGAS </v>
      </c>
      <c r="G4422" s="1" t="str">
        <f t="shared" si="2"/>
        <v>Roció</v>
      </c>
      <c r="H4422" s="1" t="str">
        <f>IFERROR(__xludf.DUMMYFUNCTION("""COMPUTED_VALUE"""),"6/4/2023, 17:00:00")</f>
        <v>6/4/2023, 17:00:00</v>
      </c>
      <c r="I4422" s="1" t="str">
        <f>IFERROR(__xludf.DUMMYFUNCTION("""COMPUTED_VALUE"""),"RETIRADO OK POR CLIENTE")</f>
        <v>RETIRADO OK POR CLIENTE</v>
      </c>
      <c r="J4422" s="1">
        <f t="shared" si="3"/>
        <v>6</v>
      </c>
      <c r="K4422" s="1" t="str">
        <f t="shared" si="4"/>
        <v>Entregamos tus lentes, que los disfrutes!</v>
      </c>
    </row>
    <row r="4423">
      <c r="A4423" s="1">
        <f>IFERROR(__xludf.DUMMYFUNCTION("""COMPUTED_VALUE"""),88986.0)</f>
        <v>88986</v>
      </c>
      <c r="B4423" s="5">
        <f>IFERROR(__xludf.DUMMYFUNCTION("""COMPUTED_VALUE"""),45015.51577697917)</f>
        <v>45015.51578</v>
      </c>
      <c r="C4423" s="1" t="str">
        <f>IFERROR(__xludf.DUMMYFUNCTION("""COMPUTED_VALUE"""),"GOMEZ NELIDA")</f>
        <v>GOMEZ NELIDA</v>
      </c>
      <c r="D4423" s="1" t="str">
        <f>IFERROR(__xludf.DUMMYFUNCTION("""COMPUTED_VALUE"""),"Lentes de STOCK")</f>
        <v>Lentes de STOCK</v>
      </c>
      <c r="E4423" s="1" t="str">
        <f>IFERROR(__xludf.DUMMYFUNCTION("""COMPUTED_VALUE"""),"ARTIGAS Ivana P.")</f>
        <v>ARTIGAS Ivana P.</v>
      </c>
      <c r="F4423" s="1" t="str">
        <f t="shared" si="1"/>
        <v>ARTIGAS </v>
      </c>
      <c r="G4423" s="1" t="str">
        <f t="shared" si="2"/>
        <v>Ivana P.</v>
      </c>
      <c r="H4423" s="1" t="str">
        <f>IFERROR(__xludf.DUMMYFUNCTION("""COMPUTED_VALUE"""),"5/4/2023, 17:00:00")</f>
        <v>5/4/2023, 17:00:00</v>
      </c>
      <c r="I4423" s="1" t="str">
        <f>IFERROR(__xludf.DUMMYFUNCTION("""COMPUTED_VALUE"""),"Completado en SUCURSAL")</f>
        <v>Completado en SUCURSAL</v>
      </c>
      <c r="J4423" s="1">
        <f t="shared" si="3"/>
        <v>5</v>
      </c>
      <c r="K4423" s="1" t="str">
        <f t="shared" si="4"/>
        <v>Tus Lentes estan LISTAS PARA ENTREGAR, te esperamos.</v>
      </c>
    </row>
    <row r="4424">
      <c r="A4424" s="1">
        <f>IFERROR(__xludf.DUMMYFUNCTION("""COMPUTED_VALUE"""),88987.0)</f>
        <v>88987</v>
      </c>
      <c r="B4424" s="5">
        <f>IFERROR(__xludf.DUMMYFUNCTION("""COMPUTED_VALUE"""),45015.52484452546)</f>
        <v>45015.52484</v>
      </c>
      <c r="C4424" s="1" t="str">
        <f>IFERROR(__xludf.DUMMYFUNCTION("""COMPUTED_VALUE"""),"ALBA ELENA BEATRIZ ")</f>
        <v>ALBA ELENA BEATRIZ </v>
      </c>
      <c r="D4424" s="1" t="str">
        <f>IFERROR(__xludf.DUMMYFUNCTION("""COMPUTED_VALUE"""),"Lentes de STOCK")</f>
        <v>Lentes de STOCK</v>
      </c>
      <c r="E4424" s="1" t="str">
        <f>IFERROR(__xludf.DUMMYFUNCTION("""COMPUTED_VALUE"""),"RIVADAVIA Luciana")</f>
        <v>RIVADAVIA Luciana</v>
      </c>
      <c r="F4424" s="1" t="str">
        <f t="shared" si="1"/>
        <v>RIVADAVIA </v>
      </c>
      <c r="G4424" s="1" t="str">
        <f t="shared" si="2"/>
        <v>Luciana</v>
      </c>
      <c r="H4424" s="1" t="str">
        <f>IFERROR(__xludf.DUMMYFUNCTION("""COMPUTED_VALUE"""),"5/4/2023, 17:00:00")</f>
        <v>5/4/2023, 17:00:00</v>
      </c>
      <c r="I4424" s="1" t="str">
        <f>IFERROR(__xludf.DUMMYFUNCTION("""COMPUTED_VALUE"""),"Completado en SUCURSAL")</f>
        <v>Completado en SUCURSAL</v>
      </c>
      <c r="J4424" s="1">
        <f t="shared" si="3"/>
        <v>5</v>
      </c>
      <c r="K4424" s="1" t="str">
        <f t="shared" si="4"/>
        <v>Tus Lentes estan LISTAS PARA ENTREGAR, te esperamos.</v>
      </c>
    </row>
    <row r="4425">
      <c r="A4425" s="1">
        <f>IFERROR(__xludf.DUMMYFUNCTION("""COMPUTED_VALUE"""),88988.0)</f>
        <v>88988</v>
      </c>
      <c r="B4425" s="5">
        <f>IFERROR(__xludf.DUMMYFUNCTION("""COMPUTED_VALUE"""),45015.53293619213)</f>
        <v>45015.53294</v>
      </c>
      <c r="C4425" s="1" t="str">
        <f>IFERROR(__xludf.DUMMYFUNCTION("""COMPUTED_VALUE"""),"sosa leonor")</f>
        <v>sosa leonor</v>
      </c>
      <c r="D4425" s="1" t="str">
        <f>IFERROR(__xludf.DUMMYFUNCTION("""COMPUTED_VALUE"""),"Lentes de STOCK")</f>
        <v>Lentes de STOCK</v>
      </c>
      <c r="E4425" s="1" t="str">
        <f>IFERROR(__xludf.DUMMYFUNCTION("""COMPUTED_VALUE"""),"ARTIGAS Roció")</f>
        <v>ARTIGAS Roció</v>
      </c>
      <c r="F4425" s="1" t="str">
        <f t="shared" si="1"/>
        <v>ARTIGAS </v>
      </c>
      <c r="G4425" s="1" t="str">
        <f t="shared" si="2"/>
        <v>Roció</v>
      </c>
      <c r="H4425" s="1" t="str">
        <f>IFERROR(__xludf.DUMMYFUNCTION("""COMPUTED_VALUE"""),"6/4/2023, 17:00:00")</f>
        <v>6/4/2023, 17:00:00</v>
      </c>
      <c r="I4425" s="1" t="str">
        <f>IFERROR(__xludf.DUMMYFUNCTION("""COMPUTED_VALUE"""),"Completado en SUCURSAL")</f>
        <v>Completado en SUCURSAL</v>
      </c>
      <c r="J4425" s="1">
        <f t="shared" si="3"/>
        <v>5</v>
      </c>
      <c r="K4425" s="1" t="str">
        <f t="shared" si="4"/>
        <v>Tus Lentes estan LISTAS PARA ENTREGAR, te esperamos.</v>
      </c>
    </row>
    <row r="4426">
      <c r="A4426" s="1">
        <f>IFERROR(__xludf.DUMMYFUNCTION("""COMPUTED_VALUE"""),88989.0)</f>
        <v>88989</v>
      </c>
      <c r="B4426" s="5">
        <f>IFERROR(__xludf.DUMMYFUNCTION("""COMPUTED_VALUE"""),45015.537812870374)</f>
        <v>45015.53781</v>
      </c>
      <c r="C4426" s="1" t="str">
        <f>IFERROR(__xludf.DUMMYFUNCTION("""COMPUTED_VALUE"""),"SOSA LEONOR")</f>
        <v>SOSA LEONOR</v>
      </c>
      <c r="D4426" s="1" t="str">
        <f>IFERROR(__xludf.DUMMYFUNCTION("""COMPUTED_VALUE"""),"Reparaciones/Otros")</f>
        <v>Reparaciones/Otros</v>
      </c>
      <c r="E4426" s="1" t="str">
        <f>IFERROR(__xludf.DUMMYFUNCTION("""COMPUTED_VALUE"""),"ARTIGAS Roció")</f>
        <v>ARTIGAS Roció</v>
      </c>
      <c r="F4426" s="1" t="str">
        <f t="shared" si="1"/>
        <v>ARTIGAS </v>
      </c>
      <c r="G4426" s="1" t="str">
        <f t="shared" si="2"/>
        <v>Roció</v>
      </c>
      <c r="H4426" s="1" t="str">
        <f>IFERROR(__xludf.DUMMYFUNCTION("""COMPUTED_VALUE"""),"3/4/2023, 17:00:00")</f>
        <v>3/4/2023, 17:00:00</v>
      </c>
      <c r="I4426" s="1"/>
      <c r="J4426" s="1">
        <f t="shared" si="3"/>
        <v>0</v>
      </c>
      <c r="K4426" s="1" t="str">
        <f t="shared" si="4"/>
        <v/>
      </c>
    </row>
    <row r="4427">
      <c r="A4427" s="1">
        <f>IFERROR(__xludf.DUMMYFUNCTION("""COMPUTED_VALUE"""),88990.0)</f>
        <v>88990</v>
      </c>
      <c r="B4427" s="5">
        <f>IFERROR(__xludf.DUMMYFUNCTION("""COMPUTED_VALUE"""),45015.53892890047)</f>
        <v>45015.53893</v>
      </c>
      <c r="C4427" s="1" t="str">
        <f>IFERROR(__xludf.DUMMYFUNCTION("""COMPUTED_VALUE"""),"QUEVEDO MARIA ISABEL")</f>
        <v>QUEVEDO MARIA ISABEL</v>
      </c>
      <c r="D4427" s="1" t="str">
        <f>IFERROR(__xludf.DUMMYFUNCTION("""COMPUTED_VALUE"""),"Reparaciones/Otros")</f>
        <v>Reparaciones/Otros</v>
      </c>
      <c r="E4427" s="1" t="str">
        <f>IFERROR(__xludf.DUMMYFUNCTION("""COMPUTED_VALUE"""),"RIVADAVIA Marcela L")</f>
        <v>RIVADAVIA Marcela L</v>
      </c>
      <c r="F4427" s="1" t="str">
        <f t="shared" si="1"/>
        <v>RIVADAVIA </v>
      </c>
      <c r="G4427" s="1" t="str">
        <f t="shared" si="2"/>
        <v>Marcela L</v>
      </c>
      <c r="H4427" s="1" t="str">
        <f>IFERROR(__xludf.DUMMYFUNCTION("""COMPUTED_VALUE"""),"12/4/2023, 17:00:00")</f>
        <v>12/4/2023, 17:00:00</v>
      </c>
      <c r="I4427" s="1" t="str">
        <f>IFERROR(__xludf.DUMMYFUNCTION("""COMPUTED_VALUE"""),"Recibido en Laboratorio")</f>
        <v>Recibido en Laboratorio</v>
      </c>
      <c r="J4427" s="1">
        <f t="shared" si="3"/>
        <v>2</v>
      </c>
      <c r="K4427" s="1" t="str">
        <f t="shared" si="4"/>
        <v>Nuestro Laboratorio esta trabajando en tus lentes, los entregaremos en la fecha acordada.</v>
      </c>
    </row>
    <row r="4428">
      <c r="A4428" s="1">
        <f>IFERROR(__xludf.DUMMYFUNCTION("""COMPUTED_VALUE"""),88991.0)</f>
        <v>88991</v>
      </c>
      <c r="B4428" s="5">
        <f>IFERROR(__xludf.DUMMYFUNCTION("""COMPUTED_VALUE"""),45015.54422851852)</f>
        <v>45015.54423</v>
      </c>
      <c r="C4428" s="1" t="str">
        <f>IFERROR(__xludf.DUMMYFUNCTION("""COMPUTED_VALUE"""),"SOSA AGUSTINA")</f>
        <v>SOSA AGUSTINA</v>
      </c>
      <c r="D4428" s="1" t="str">
        <f>IFERROR(__xludf.DUMMYFUNCTION("""COMPUTED_VALUE"""),"Lentes de STOCK")</f>
        <v>Lentes de STOCK</v>
      </c>
      <c r="E4428" s="1" t="str">
        <f>IFERROR(__xludf.DUMMYFUNCTION("""COMPUTED_VALUE"""),"ARTIGAS Ivana P.")</f>
        <v>ARTIGAS Ivana P.</v>
      </c>
      <c r="F4428" s="1" t="str">
        <f t="shared" si="1"/>
        <v>ARTIGAS </v>
      </c>
      <c r="G4428" s="1" t="str">
        <f t="shared" si="2"/>
        <v>Ivana P.</v>
      </c>
      <c r="H4428" s="1" t="str">
        <f>IFERROR(__xludf.DUMMYFUNCTION("""COMPUTED_VALUE"""),"5/4/2023, 17:00:00")</f>
        <v>5/4/2023, 17:00:00</v>
      </c>
      <c r="I4428" s="1" t="str">
        <f>IFERROR(__xludf.DUMMYFUNCTION("""COMPUTED_VALUE"""),"Completado en SUCURSAL")</f>
        <v>Completado en SUCURSAL</v>
      </c>
      <c r="J4428" s="1">
        <f t="shared" si="3"/>
        <v>5</v>
      </c>
      <c r="K4428" s="1" t="str">
        <f t="shared" si="4"/>
        <v>Tus Lentes estan LISTAS PARA ENTREGAR, te esperamos.</v>
      </c>
    </row>
    <row r="4429">
      <c r="A4429" s="1">
        <f>IFERROR(__xludf.DUMMYFUNCTION("""COMPUTED_VALUE"""),88992.0)</f>
        <v>88992</v>
      </c>
      <c r="B4429" s="5">
        <f>IFERROR(__xludf.DUMMYFUNCTION("""COMPUTED_VALUE"""),45015.55016219907)</f>
        <v>45015.55016</v>
      </c>
      <c r="C4429" s="1" t="str">
        <f>IFERROR(__xludf.DUMMYFUNCTION("""COMPUTED_VALUE"""),"SOTO JORGE ANIBAL")</f>
        <v>SOTO JORGE ANIBAL</v>
      </c>
      <c r="D4429" s="1" t="str">
        <f>IFERROR(__xludf.DUMMYFUNCTION("""COMPUTED_VALUE"""),"Lentes de STOCK")</f>
        <v>Lentes de STOCK</v>
      </c>
      <c r="E4429" s="1" t="str">
        <f>IFERROR(__xludf.DUMMYFUNCTION("""COMPUTED_VALUE"""),"ARTIGAS Roció")</f>
        <v>ARTIGAS Roció</v>
      </c>
      <c r="F4429" s="1" t="str">
        <f t="shared" si="1"/>
        <v>ARTIGAS </v>
      </c>
      <c r="G4429" s="1" t="str">
        <f t="shared" si="2"/>
        <v>Roció</v>
      </c>
      <c r="H4429" s="1" t="str">
        <f>IFERROR(__xludf.DUMMYFUNCTION("""COMPUTED_VALUE"""),"3/4/2023, 17:00:00")</f>
        <v>3/4/2023, 17:00:00</v>
      </c>
      <c r="I4429" s="1" t="str">
        <f>IFERROR(__xludf.DUMMYFUNCTION("""COMPUTED_VALUE"""),"Completado en SUCURSAL")</f>
        <v>Completado en SUCURSAL</v>
      </c>
      <c r="J4429" s="1">
        <f t="shared" si="3"/>
        <v>5</v>
      </c>
      <c r="K4429" s="1" t="str">
        <f t="shared" si="4"/>
        <v>Tus Lentes estan LISTAS PARA ENTREGAR, te esperamos.</v>
      </c>
    </row>
    <row r="4430">
      <c r="A4430" s="1">
        <f>IFERROR(__xludf.DUMMYFUNCTION("""COMPUTED_VALUE"""),88993.0)</f>
        <v>88993</v>
      </c>
      <c r="B4430" s="5">
        <f>IFERROR(__xludf.DUMMYFUNCTION("""COMPUTED_VALUE"""),45015.55124508102)</f>
        <v>45015.55125</v>
      </c>
      <c r="C4430" s="1" t="str">
        <f>IFERROR(__xludf.DUMMYFUNCTION("""COMPUTED_VALUE"""),"escobar maria")</f>
        <v>escobar maria</v>
      </c>
      <c r="D4430" s="1" t="str">
        <f>IFERROR(__xludf.DUMMYFUNCTION("""COMPUTED_VALUE"""),"Lentes de STOCK")</f>
        <v>Lentes de STOCK</v>
      </c>
      <c r="E4430" s="1" t="str">
        <f>IFERROR(__xludf.DUMMYFUNCTION("""COMPUTED_VALUE"""),"RIVADAVIA Santiago LOPEZ")</f>
        <v>RIVADAVIA Santiago LOPEZ</v>
      </c>
      <c r="F4430" s="1" t="str">
        <f t="shared" si="1"/>
        <v>RIVADAVIA </v>
      </c>
      <c r="G4430" s="1" t="str">
        <f t="shared" si="2"/>
        <v>Santiago LOPEZ</v>
      </c>
      <c r="H4430" s="1" t="str">
        <f>IFERROR(__xludf.DUMMYFUNCTION("""COMPUTED_VALUE"""),"3/4/2023, 17:00:00")</f>
        <v>3/4/2023, 17:00:00</v>
      </c>
      <c r="I4430" s="1" t="str">
        <f>IFERROR(__xludf.DUMMYFUNCTION("""COMPUTED_VALUE"""),"Completado en SUCURSAL")</f>
        <v>Completado en SUCURSAL</v>
      </c>
      <c r="J4430" s="1">
        <f t="shared" si="3"/>
        <v>5</v>
      </c>
      <c r="K4430" s="1" t="str">
        <f t="shared" si="4"/>
        <v>Tus Lentes estan LISTAS PARA ENTREGAR, te esperamos.</v>
      </c>
    </row>
    <row r="4431">
      <c r="A4431" s="1">
        <f>IFERROR(__xludf.DUMMYFUNCTION("""COMPUTED_VALUE"""),88994.0)</f>
        <v>88994</v>
      </c>
      <c r="B4431" s="5">
        <f>IFERROR(__xludf.DUMMYFUNCTION("""COMPUTED_VALUE"""),45015.565705879635)</f>
        <v>45015.56571</v>
      </c>
      <c r="C4431" s="1" t="str">
        <f>IFERROR(__xludf.DUMMYFUNCTION("""COMPUTED_VALUE"""),"AMIEVA ALDO")</f>
        <v>AMIEVA ALDO</v>
      </c>
      <c r="D4431" s="1" t="str">
        <f>IFERROR(__xludf.DUMMYFUNCTION("""COMPUTED_VALUE"""),"Reparaciones/Otros")</f>
        <v>Reparaciones/Otros</v>
      </c>
      <c r="E4431" s="1" t="str">
        <f>IFERROR(__xludf.DUMMYFUNCTION("""COMPUTED_VALUE"""),"RIVADAVIA Marcela L")</f>
        <v>RIVADAVIA Marcela L</v>
      </c>
      <c r="F4431" s="1" t="str">
        <f t="shared" si="1"/>
        <v>RIVADAVIA </v>
      </c>
      <c r="G4431" s="1" t="str">
        <f t="shared" si="2"/>
        <v>Marcela L</v>
      </c>
      <c r="H4431" s="1" t="str">
        <f>IFERROR(__xludf.DUMMYFUNCTION("""COMPUTED_VALUE"""),"3/4/2023, 17:00:00")</f>
        <v>3/4/2023, 17:00:00</v>
      </c>
      <c r="I4431" s="1" t="str">
        <f>IFERROR(__xludf.DUMMYFUNCTION("""COMPUTED_VALUE"""),"Completado en SUCURSAL")</f>
        <v>Completado en SUCURSAL</v>
      </c>
      <c r="J4431" s="1">
        <f t="shared" si="3"/>
        <v>5</v>
      </c>
      <c r="K4431" s="1" t="str">
        <f t="shared" si="4"/>
        <v>Tus Lentes estan LISTAS PARA ENTREGAR, te esperamos.</v>
      </c>
    </row>
    <row r="4432">
      <c r="A4432" s="1">
        <f>IFERROR(__xludf.DUMMYFUNCTION("""COMPUTED_VALUE"""),88995.0)</f>
        <v>88995</v>
      </c>
      <c r="B4432" s="5">
        <f>IFERROR(__xludf.DUMMYFUNCTION("""COMPUTED_VALUE"""),45015.69400452546)</f>
        <v>45015.694</v>
      </c>
      <c r="C4432" s="1" t="str">
        <f>IFERROR(__xludf.DUMMYFUNCTION("""COMPUTED_VALUE"""),"SOHROBIGARAT RAMON BAUTISTA")</f>
        <v>SOHROBIGARAT RAMON BAUTISTA</v>
      </c>
      <c r="D4432" s="1" t="str">
        <f>IFERROR(__xludf.DUMMYFUNCTION("""COMPUTED_VALUE"""),"Lentes de STOCK")</f>
        <v>Lentes de STOCK</v>
      </c>
      <c r="E4432" s="1" t="str">
        <f>IFERROR(__xludf.DUMMYFUNCTION("""COMPUTED_VALUE"""),"ARTIGAS Roció")</f>
        <v>ARTIGAS Roció</v>
      </c>
      <c r="F4432" s="1" t="str">
        <f t="shared" si="1"/>
        <v>ARTIGAS </v>
      </c>
      <c r="G4432" s="1" t="str">
        <f t="shared" si="2"/>
        <v>Roció</v>
      </c>
      <c r="H4432" s="1" t="str">
        <f>IFERROR(__xludf.DUMMYFUNCTION("""COMPUTED_VALUE"""),"10/4/2023, 17:00:00")</f>
        <v>10/4/2023, 17:00:00</v>
      </c>
      <c r="I4432" s="1"/>
      <c r="J4432" s="1">
        <f t="shared" si="3"/>
        <v>0</v>
      </c>
      <c r="K4432" s="1" t="str">
        <f t="shared" si="4"/>
        <v/>
      </c>
    </row>
    <row r="4433">
      <c r="A4433" s="1">
        <f>IFERROR(__xludf.DUMMYFUNCTION("""COMPUTED_VALUE"""),88996.0)</f>
        <v>88996</v>
      </c>
      <c r="B4433" s="5">
        <f>IFERROR(__xludf.DUMMYFUNCTION("""COMPUTED_VALUE"""),45015.701458923606)</f>
        <v>45015.70146</v>
      </c>
      <c r="C4433" s="1" t="str">
        <f>IFERROR(__xludf.DUMMYFUNCTION("""COMPUTED_VALUE"""),"BARDELLI GRACIELA")</f>
        <v>BARDELLI GRACIELA</v>
      </c>
      <c r="D4433" s="1" t="str">
        <f>IFERROR(__xludf.DUMMYFUNCTION("""COMPUTED_VALUE"""),"Lentes MULTIFOCALES")</f>
        <v>Lentes MULTIFOCALES</v>
      </c>
      <c r="E4433" s="1" t="str">
        <f>IFERROR(__xludf.DUMMYFUNCTION("""COMPUTED_VALUE"""),"ARTIGAS Ivana P.")</f>
        <v>ARTIGAS Ivana P.</v>
      </c>
      <c r="F4433" s="1" t="str">
        <f t="shared" si="1"/>
        <v>ARTIGAS </v>
      </c>
      <c r="G4433" s="1" t="str">
        <f t="shared" si="2"/>
        <v>Ivana P.</v>
      </c>
      <c r="H4433" s="1" t="str">
        <f>IFERROR(__xludf.DUMMYFUNCTION("""COMPUTED_VALUE"""),"5/4/2023, 17:00:00")</f>
        <v>5/4/2023, 17:00:00</v>
      </c>
      <c r="I4433" s="1" t="str">
        <f>IFERROR(__xludf.DUMMYFUNCTION("""COMPUTED_VALUE"""),"Completado en SUCURSAL")</f>
        <v>Completado en SUCURSAL</v>
      </c>
      <c r="J4433" s="1">
        <f t="shared" si="3"/>
        <v>5</v>
      </c>
      <c r="K4433" s="1" t="str">
        <f t="shared" si="4"/>
        <v>Tus Lentes estan LISTAS PARA ENTREGAR, te esperamos.</v>
      </c>
    </row>
    <row r="4434">
      <c r="A4434" s="1">
        <f>IFERROR(__xludf.DUMMYFUNCTION("""COMPUTED_VALUE"""),88997.0)</f>
        <v>88997</v>
      </c>
      <c r="B4434" s="5">
        <f>IFERROR(__xludf.DUMMYFUNCTION("""COMPUTED_VALUE"""),45015.70435834491)</f>
        <v>45015.70436</v>
      </c>
      <c r="C4434" s="1" t="str">
        <f>IFERROR(__xludf.DUMMYFUNCTION("""COMPUTED_VALUE"""),"MENDOZA ROCO JOSE ")</f>
        <v>MENDOZA ROCO JOSE </v>
      </c>
      <c r="D4434" s="1" t="str">
        <f>IFERROR(__xludf.DUMMYFUNCTION("""COMPUTED_VALUE"""),"Lentes MULTIFOCALES")</f>
        <v>Lentes MULTIFOCALES</v>
      </c>
      <c r="E4434" s="1" t="str">
        <f>IFERROR(__xludf.DUMMYFUNCTION("""COMPUTED_VALUE"""),"ARTIGAS Roció")</f>
        <v>ARTIGAS Roció</v>
      </c>
      <c r="F4434" s="1" t="str">
        <f t="shared" si="1"/>
        <v>ARTIGAS </v>
      </c>
      <c r="G4434" s="1" t="str">
        <f t="shared" si="2"/>
        <v>Roció</v>
      </c>
      <c r="H4434" s="1" t="str">
        <f>IFERROR(__xludf.DUMMYFUNCTION("""COMPUTED_VALUE"""),"13/4/2023, 17:00:00")</f>
        <v>13/4/2023, 17:00:00</v>
      </c>
      <c r="I4434" s="1" t="str">
        <f>IFERROR(__xludf.DUMMYFUNCTION("""COMPUTED_VALUE"""),"Completado en SUCURSAL")</f>
        <v>Completado en SUCURSAL</v>
      </c>
      <c r="J4434" s="1">
        <f t="shared" si="3"/>
        <v>5</v>
      </c>
      <c r="K4434" s="1" t="str">
        <f t="shared" si="4"/>
        <v>Tus Lentes estan LISTAS PARA ENTREGAR, te esperamos.</v>
      </c>
    </row>
    <row r="4435">
      <c r="A4435" s="1">
        <f>IFERROR(__xludf.DUMMYFUNCTION("""COMPUTED_VALUE"""),88998.0)</f>
        <v>88998</v>
      </c>
      <c r="B4435" s="5">
        <f>IFERROR(__xludf.DUMMYFUNCTION("""COMPUTED_VALUE"""),45015.704574386575)</f>
        <v>45015.70457</v>
      </c>
      <c r="C4435" s="1" t="str">
        <f>IFERROR(__xludf.DUMMYFUNCTION("""COMPUTED_VALUE"""),"garcia lucio")</f>
        <v>garcia lucio</v>
      </c>
      <c r="D4435" s="1" t="str">
        <f>IFERROR(__xludf.DUMMYFUNCTION("""COMPUTED_VALUE"""),"Lentes de STOCK")</f>
        <v>Lentes de STOCK</v>
      </c>
      <c r="E4435" s="1" t="str">
        <f>IFERROR(__xludf.DUMMYFUNCTION("""COMPUTED_VALUE"""),"RIVADAVIA Santiago LOPEZ")</f>
        <v>RIVADAVIA Santiago LOPEZ</v>
      </c>
      <c r="F4435" s="1" t="str">
        <f t="shared" si="1"/>
        <v>RIVADAVIA </v>
      </c>
      <c r="G4435" s="1" t="str">
        <f t="shared" si="2"/>
        <v>Santiago LOPEZ</v>
      </c>
      <c r="H4435" s="1" t="str">
        <f>IFERROR(__xludf.DUMMYFUNCTION("""COMPUTED_VALUE"""),"4/4/2023, 17:00:00")</f>
        <v>4/4/2023, 17:00:00</v>
      </c>
      <c r="I4435" s="1" t="str">
        <f>IFERROR(__xludf.DUMMYFUNCTION("""COMPUTED_VALUE"""),"Recibido en Laboratorio")</f>
        <v>Recibido en Laboratorio</v>
      </c>
      <c r="J4435" s="1">
        <f t="shared" si="3"/>
        <v>2</v>
      </c>
      <c r="K4435" s="1" t="str">
        <f t="shared" si="4"/>
        <v>Nuestro Laboratorio esta trabajando en tus lentes, los entregaremos en la fecha acordada.</v>
      </c>
    </row>
    <row r="4436">
      <c r="A4436" s="1">
        <f>IFERROR(__xludf.DUMMYFUNCTION("""COMPUTED_VALUE"""),88999.0)</f>
        <v>88999</v>
      </c>
      <c r="B4436" s="5">
        <f>IFERROR(__xludf.DUMMYFUNCTION("""COMPUTED_VALUE"""),45015.707980810184)</f>
        <v>45015.70798</v>
      </c>
      <c r="C4436" s="1" t="str">
        <f>IFERROR(__xludf.DUMMYFUNCTION("""COMPUTED_VALUE"""),"CASARES BEATRIZ HAYDEE")</f>
        <v>CASARES BEATRIZ HAYDEE</v>
      </c>
      <c r="D4436" s="1" t="str">
        <f>IFERROR(__xludf.DUMMYFUNCTION("""COMPUTED_VALUE"""),"Lentes de STOCK")</f>
        <v>Lentes de STOCK</v>
      </c>
      <c r="E4436" s="1" t="str">
        <f>IFERROR(__xludf.DUMMYFUNCTION("""COMPUTED_VALUE"""),"RIVADAVIA Luciana")</f>
        <v>RIVADAVIA Luciana</v>
      </c>
      <c r="F4436" s="1" t="str">
        <f t="shared" si="1"/>
        <v>RIVADAVIA </v>
      </c>
      <c r="G4436" s="1" t="str">
        <f t="shared" si="2"/>
        <v>Luciana</v>
      </c>
      <c r="H4436" s="1" t="str">
        <f>IFERROR(__xludf.DUMMYFUNCTION("""COMPUTED_VALUE"""),"4/4/2023, 17:00:00")</f>
        <v>4/4/2023, 17:00:00</v>
      </c>
      <c r="I4436" s="1" t="str">
        <f>IFERROR(__xludf.DUMMYFUNCTION("""COMPUTED_VALUE"""),"RETIRADO OK POR CLIENTE")</f>
        <v>RETIRADO OK POR CLIENTE</v>
      </c>
      <c r="J4436" s="1">
        <f t="shared" si="3"/>
        <v>6</v>
      </c>
      <c r="K4436" s="1" t="str">
        <f t="shared" si="4"/>
        <v>Entregamos tus lentes, que los disfrutes!</v>
      </c>
    </row>
    <row r="4437">
      <c r="A4437" s="1">
        <f>IFERROR(__xludf.DUMMYFUNCTION("""COMPUTED_VALUE"""),89000.0)</f>
        <v>89000</v>
      </c>
      <c r="B4437" s="5">
        <f>IFERROR(__xludf.DUMMYFUNCTION("""COMPUTED_VALUE"""),45015.71578642361)</f>
        <v>45015.71579</v>
      </c>
      <c r="C4437" s="1" t="str">
        <f>IFERROR(__xludf.DUMMYFUNCTION("""COMPUTED_VALUE"""),"MODICA ROSA INES")</f>
        <v>MODICA ROSA INES</v>
      </c>
      <c r="D4437" s="1" t="str">
        <f>IFERROR(__xludf.DUMMYFUNCTION("""COMPUTED_VALUE"""),"Lentes de STOCK")</f>
        <v>Lentes de STOCK</v>
      </c>
      <c r="E4437" s="1" t="str">
        <f>IFERROR(__xludf.DUMMYFUNCTION("""COMPUTED_VALUE"""),"ARTIGAS Ivana P.")</f>
        <v>ARTIGAS Ivana P.</v>
      </c>
      <c r="F4437" s="1" t="str">
        <f t="shared" si="1"/>
        <v>ARTIGAS </v>
      </c>
      <c r="G4437" s="1" t="str">
        <f t="shared" si="2"/>
        <v>Ivana P.</v>
      </c>
      <c r="H4437" s="1" t="str">
        <f>IFERROR(__xludf.DUMMYFUNCTION("""COMPUTED_VALUE"""),"5/4/2023, 17:00:00")</f>
        <v>5/4/2023, 17:00:00</v>
      </c>
      <c r="I4437" s="1"/>
      <c r="J4437" s="1">
        <f t="shared" si="3"/>
        <v>0</v>
      </c>
      <c r="K4437" s="1" t="str">
        <f t="shared" si="4"/>
        <v/>
      </c>
    </row>
    <row r="4438">
      <c r="A4438" s="1">
        <f>IFERROR(__xludf.DUMMYFUNCTION("""COMPUTED_VALUE"""),89001.0)</f>
        <v>89001</v>
      </c>
      <c r="B4438" s="5">
        <f>IFERROR(__xludf.DUMMYFUNCTION("""COMPUTED_VALUE"""),45015.71689865741)</f>
        <v>45015.7169</v>
      </c>
      <c r="C4438" s="1" t="str">
        <f>IFERROR(__xludf.DUMMYFUNCTION("""COMPUTED_VALUE"""),"CABRERA SANTINO")</f>
        <v>CABRERA SANTINO</v>
      </c>
      <c r="D4438" s="1" t="str">
        <f>IFERROR(__xludf.DUMMYFUNCTION("""COMPUTED_VALUE"""),"Lentes de STOCK")</f>
        <v>Lentes de STOCK</v>
      </c>
      <c r="E4438" s="1" t="str">
        <f>IFERROR(__xludf.DUMMYFUNCTION("""COMPUTED_VALUE"""),"ARTIGAS Roció")</f>
        <v>ARTIGAS Roció</v>
      </c>
      <c r="F4438" s="1" t="str">
        <f t="shared" si="1"/>
        <v>ARTIGAS </v>
      </c>
      <c r="G4438" s="1" t="str">
        <f t="shared" si="2"/>
        <v>Roció</v>
      </c>
      <c r="H4438" s="1" t="str">
        <f>IFERROR(__xludf.DUMMYFUNCTION("""COMPUTED_VALUE"""),"6/4/2023, 17:00:00")</f>
        <v>6/4/2023, 17:00:00</v>
      </c>
      <c r="I4438" s="1" t="str">
        <f>IFERROR(__xludf.DUMMYFUNCTION("""COMPUTED_VALUE"""),"Completado en SUCURSAL")</f>
        <v>Completado en SUCURSAL</v>
      </c>
      <c r="J4438" s="1">
        <f t="shared" si="3"/>
        <v>5</v>
      </c>
      <c r="K4438" s="1" t="str">
        <f t="shared" si="4"/>
        <v>Tus Lentes estan LISTAS PARA ENTREGAR, te esperamos.</v>
      </c>
    </row>
    <row r="4439">
      <c r="A4439" s="1">
        <f>IFERROR(__xludf.DUMMYFUNCTION("""COMPUTED_VALUE"""),89002.0)</f>
        <v>89002</v>
      </c>
      <c r="B4439" s="5">
        <f>IFERROR(__xludf.DUMMYFUNCTION("""COMPUTED_VALUE"""),45015.718974664356)</f>
        <v>45015.71897</v>
      </c>
      <c r="C4439" s="1" t="str">
        <f>IFERROR(__xludf.DUMMYFUNCTION("""COMPUTED_VALUE"""),"MODICA ROSA")</f>
        <v>MODICA ROSA</v>
      </c>
      <c r="D4439" s="1" t="str">
        <f>IFERROR(__xludf.DUMMYFUNCTION("""COMPUTED_VALUE"""),"Lentes BIFOCALES")</f>
        <v>Lentes BIFOCALES</v>
      </c>
      <c r="E4439" s="1" t="str">
        <f>IFERROR(__xludf.DUMMYFUNCTION("""COMPUTED_VALUE"""),"ARTIGAS Ivana P.")</f>
        <v>ARTIGAS Ivana P.</v>
      </c>
      <c r="F4439" s="1" t="str">
        <f t="shared" si="1"/>
        <v>ARTIGAS </v>
      </c>
      <c r="G4439" s="1" t="str">
        <f t="shared" si="2"/>
        <v>Ivana P.</v>
      </c>
      <c r="H4439" s="1" t="str">
        <f>IFERROR(__xludf.DUMMYFUNCTION("""COMPUTED_VALUE"""),"5/4/2023, 17:00:00")</f>
        <v>5/4/2023, 17:00:00</v>
      </c>
      <c r="I4439" s="1" t="str">
        <f>IFERROR(__xludf.DUMMYFUNCTION("""COMPUTED_VALUE"""),"Completado en SUCURSAL")</f>
        <v>Completado en SUCURSAL</v>
      </c>
      <c r="J4439" s="1">
        <f t="shared" si="3"/>
        <v>5</v>
      </c>
      <c r="K4439" s="1" t="str">
        <f t="shared" si="4"/>
        <v>Tus Lentes estan LISTAS PARA ENTREGAR, te esperamos.</v>
      </c>
    </row>
    <row r="4440">
      <c r="A4440" s="1">
        <f>IFERROR(__xludf.DUMMYFUNCTION("""COMPUTED_VALUE"""),89003.0)</f>
        <v>89003</v>
      </c>
      <c r="B4440" s="5">
        <f>IFERROR(__xludf.DUMMYFUNCTION("""COMPUTED_VALUE"""),45015.72212553241)</f>
        <v>45015.72213</v>
      </c>
      <c r="C4440" s="1" t="str">
        <f>IFERROR(__xludf.DUMMYFUNCTION("""COMPUTED_VALUE"""),"QUIROGA GAUNA ANNA LUCIA")</f>
        <v>QUIROGA GAUNA ANNA LUCIA</v>
      </c>
      <c r="D4440" s="1" t="str">
        <f>IFERROR(__xludf.DUMMYFUNCTION("""COMPUTED_VALUE"""),"Lentes de STOCK")</f>
        <v>Lentes de STOCK</v>
      </c>
      <c r="E4440" s="1" t="str">
        <f>IFERROR(__xludf.DUMMYFUNCTION("""COMPUTED_VALUE"""),"RIVADAVIA Luciana")</f>
        <v>RIVADAVIA Luciana</v>
      </c>
      <c r="F4440" s="1" t="str">
        <f t="shared" si="1"/>
        <v>RIVADAVIA </v>
      </c>
      <c r="G4440" s="1" t="str">
        <f t="shared" si="2"/>
        <v>Luciana</v>
      </c>
      <c r="H4440" s="1" t="str">
        <f>IFERROR(__xludf.DUMMYFUNCTION("""COMPUTED_VALUE"""),"4/4/2023, 17:00:00")</f>
        <v>4/4/2023, 17:00:00</v>
      </c>
      <c r="I4440" s="1" t="str">
        <f>IFERROR(__xludf.DUMMYFUNCTION("""COMPUTED_VALUE"""),"Completado en SUCURSAL")</f>
        <v>Completado en SUCURSAL</v>
      </c>
      <c r="J4440" s="1">
        <f t="shared" si="3"/>
        <v>5</v>
      </c>
      <c r="K4440" s="1" t="str">
        <f t="shared" si="4"/>
        <v>Tus Lentes estan LISTAS PARA ENTREGAR, te esperamos.</v>
      </c>
    </row>
    <row r="4441">
      <c r="A4441" s="1">
        <f>IFERROR(__xludf.DUMMYFUNCTION("""COMPUTED_VALUE"""),89004.0)</f>
        <v>89004</v>
      </c>
      <c r="B4441" s="5">
        <f>IFERROR(__xludf.DUMMYFUNCTION("""COMPUTED_VALUE"""),45015.72246105324)</f>
        <v>45015.72246</v>
      </c>
      <c r="C4441" s="1" t="str">
        <f>IFERROR(__xludf.DUMMYFUNCTION("""COMPUTED_VALUE"""),"Rodriguez Berta ")</f>
        <v>Rodriguez Berta </v>
      </c>
      <c r="D4441" s="1" t="str">
        <f>IFERROR(__xludf.DUMMYFUNCTION("""COMPUTED_VALUE"""),"Reparaciones/Otros")</f>
        <v>Reparaciones/Otros</v>
      </c>
      <c r="E4441" s="1" t="str">
        <f>IFERROR(__xludf.DUMMYFUNCTION("""COMPUTED_VALUE"""),"ARTIGAS Micaela")</f>
        <v>ARTIGAS Micaela</v>
      </c>
      <c r="F4441" s="1" t="str">
        <f t="shared" si="1"/>
        <v>ARTIGAS </v>
      </c>
      <c r="G4441" s="1" t="str">
        <f t="shared" si="2"/>
        <v>Micaela</v>
      </c>
      <c r="H4441" s="1" t="str">
        <f>IFERROR(__xludf.DUMMYFUNCTION("""COMPUTED_VALUE"""),"3/4/2023, 17:00:00")</f>
        <v>3/4/2023, 17:00:00</v>
      </c>
      <c r="I4441" s="1" t="str">
        <f>IFERROR(__xludf.DUMMYFUNCTION("""COMPUTED_VALUE"""),"Completado en SUCURSAL")</f>
        <v>Completado en SUCURSAL</v>
      </c>
      <c r="J4441" s="1">
        <f t="shared" si="3"/>
        <v>5</v>
      </c>
      <c r="K4441" s="1" t="str">
        <f t="shared" si="4"/>
        <v>Tus Lentes estan LISTAS PARA ENTREGAR, te esperamos.</v>
      </c>
    </row>
    <row r="4442">
      <c r="A4442" s="1">
        <f>IFERROR(__xludf.DUMMYFUNCTION("""COMPUTED_VALUE"""),89005.0)</f>
        <v>89005</v>
      </c>
      <c r="B4442" s="5">
        <f>IFERROR(__xludf.DUMMYFUNCTION("""COMPUTED_VALUE"""),45015.72904501157)</f>
        <v>45015.72905</v>
      </c>
      <c r="C4442" s="1" t="str">
        <f>IFERROR(__xludf.DUMMYFUNCTION("""COMPUTED_VALUE"""),"GOLFETTO CAROLINA")</f>
        <v>GOLFETTO CAROLINA</v>
      </c>
      <c r="D4442" s="1" t="str">
        <f>IFERROR(__xludf.DUMMYFUNCTION("""COMPUTED_VALUE"""),"Lentes de STOCK")</f>
        <v>Lentes de STOCK</v>
      </c>
      <c r="E4442" s="1" t="str">
        <f>IFERROR(__xludf.DUMMYFUNCTION("""COMPUTED_VALUE"""),"RIVADAVIA Javier")</f>
        <v>RIVADAVIA Javier</v>
      </c>
      <c r="F4442" s="1" t="str">
        <f t="shared" si="1"/>
        <v>RIVADAVIA </v>
      </c>
      <c r="G4442" s="1" t="str">
        <f t="shared" si="2"/>
        <v>Javier</v>
      </c>
      <c r="H4442" s="1" t="str">
        <f>IFERROR(__xludf.DUMMYFUNCTION("""COMPUTED_VALUE"""),"4/4/2023, 17:00:00")</f>
        <v>4/4/2023, 17:00:00</v>
      </c>
      <c r="I4442" s="1" t="str">
        <f>IFERROR(__xludf.DUMMYFUNCTION("""COMPUTED_VALUE"""),"Completado en SUCURSAL")</f>
        <v>Completado en SUCURSAL</v>
      </c>
      <c r="J4442" s="1">
        <f t="shared" si="3"/>
        <v>5</v>
      </c>
      <c r="K4442" s="1" t="str">
        <f t="shared" si="4"/>
        <v>Tus Lentes estan LISTAS PARA ENTREGAR, te esperamos.</v>
      </c>
    </row>
    <row r="4443">
      <c r="A4443" s="1">
        <f>IFERROR(__xludf.DUMMYFUNCTION("""COMPUTED_VALUE"""),89006.0)</f>
        <v>89006</v>
      </c>
      <c r="B4443" s="5">
        <f>IFERROR(__xludf.DUMMYFUNCTION("""COMPUTED_VALUE"""),45015.73098950231)</f>
        <v>45015.73099</v>
      </c>
      <c r="C4443" s="1" t="str">
        <f>IFERROR(__xludf.DUMMYFUNCTION("""COMPUTED_VALUE"""),"CHIAPERO SANTINO")</f>
        <v>CHIAPERO SANTINO</v>
      </c>
      <c r="D4443" s="1" t="str">
        <f>IFERROR(__xludf.DUMMYFUNCTION("""COMPUTED_VALUE"""),"Lentes de STOCK")</f>
        <v>Lentes de STOCK</v>
      </c>
      <c r="E4443" s="1" t="str">
        <f>IFERROR(__xludf.DUMMYFUNCTION("""COMPUTED_VALUE"""),"RIVADAVIA Christian C.")</f>
        <v>RIVADAVIA Christian C.</v>
      </c>
      <c r="F4443" s="1" t="str">
        <f t="shared" si="1"/>
        <v>RIVADAVIA </v>
      </c>
      <c r="G4443" s="1" t="str">
        <f t="shared" si="2"/>
        <v>Christian C.</v>
      </c>
      <c r="H4443" s="1" t="str">
        <f>IFERROR(__xludf.DUMMYFUNCTION("""COMPUTED_VALUE"""),"4/4/2023, 17:00:00")</f>
        <v>4/4/2023, 17:00:00</v>
      </c>
      <c r="I4443" s="1" t="str">
        <f>IFERROR(__xludf.DUMMYFUNCTION("""COMPUTED_VALUE"""),"RETIRADO OK POR CLIENTE")</f>
        <v>RETIRADO OK POR CLIENTE</v>
      </c>
      <c r="J4443" s="1">
        <f t="shared" si="3"/>
        <v>6</v>
      </c>
      <c r="K4443" s="1" t="str">
        <f t="shared" si="4"/>
        <v>Entregamos tus lentes, que los disfrutes!</v>
      </c>
    </row>
    <row r="4444">
      <c r="A4444" s="1">
        <f>IFERROR(__xludf.DUMMYFUNCTION("""COMPUTED_VALUE"""),89007.0)</f>
        <v>89007</v>
      </c>
      <c r="B4444" s="5">
        <f>IFERROR(__xludf.DUMMYFUNCTION("""COMPUTED_VALUE"""),45015.747453738426)</f>
        <v>45015.74745</v>
      </c>
      <c r="C4444" s="1" t="str">
        <f>IFERROR(__xludf.DUMMYFUNCTION("""COMPUTED_VALUE"""),"FLORENTINO HECTOR")</f>
        <v>FLORENTINO HECTOR</v>
      </c>
      <c r="D4444" s="1" t="str">
        <f>IFERROR(__xludf.DUMMYFUNCTION("""COMPUTED_VALUE"""),"Lentes de STOCK")</f>
        <v>Lentes de STOCK</v>
      </c>
      <c r="E4444" s="1" t="str">
        <f>IFERROR(__xludf.DUMMYFUNCTION("""COMPUTED_VALUE"""),"RIVADAVIA Santiago LOPEZ")</f>
        <v>RIVADAVIA Santiago LOPEZ</v>
      </c>
      <c r="F4444" s="1" t="str">
        <f t="shared" si="1"/>
        <v>RIVADAVIA </v>
      </c>
      <c r="G4444" s="1" t="str">
        <f t="shared" si="2"/>
        <v>Santiago LOPEZ</v>
      </c>
      <c r="H4444" s="1" t="str">
        <f>IFERROR(__xludf.DUMMYFUNCTION("""COMPUTED_VALUE"""),"3/4/2023, 17:00:00")</f>
        <v>3/4/2023, 17:00:00</v>
      </c>
      <c r="I4444" s="1" t="str">
        <f>IFERROR(__xludf.DUMMYFUNCTION("""COMPUTED_VALUE"""),"RETIRADO OK POR CLIENTE")</f>
        <v>RETIRADO OK POR CLIENTE</v>
      </c>
      <c r="J4444" s="1">
        <f t="shared" si="3"/>
        <v>6</v>
      </c>
      <c r="K4444" s="1" t="str">
        <f t="shared" si="4"/>
        <v>Entregamos tus lentes, que los disfrutes!</v>
      </c>
    </row>
    <row r="4445">
      <c r="A4445" s="1">
        <f>IFERROR(__xludf.DUMMYFUNCTION("""COMPUTED_VALUE"""),89008.0)</f>
        <v>89008</v>
      </c>
      <c r="B4445" s="5">
        <f>IFERROR(__xludf.DUMMYFUNCTION("""COMPUTED_VALUE"""),45015.74924269676)</f>
        <v>45015.74924</v>
      </c>
      <c r="C4445" s="1" t="str">
        <f>IFERROR(__xludf.DUMMYFUNCTION("""COMPUTED_VALUE"""),"QUITERO THEO")</f>
        <v>QUITERO THEO</v>
      </c>
      <c r="D4445" s="1" t="str">
        <f>IFERROR(__xludf.DUMMYFUNCTION("""COMPUTED_VALUE"""),"Lentes de LABORATORIO")</f>
        <v>Lentes de LABORATORIO</v>
      </c>
      <c r="E4445" s="1" t="str">
        <f>IFERROR(__xludf.DUMMYFUNCTION("""COMPUTED_VALUE"""),"RIVADAVIA Luciana")</f>
        <v>RIVADAVIA Luciana</v>
      </c>
      <c r="F4445" s="1" t="str">
        <f t="shared" si="1"/>
        <v>RIVADAVIA </v>
      </c>
      <c r="G4445" s="1" t="str">
        <f t="shared" si="2"/>
        <v>Luciana</v>
      </c>
      <c r="H4445" s="1" t="str">
        <f>IFERROR(__xludf.DUMMYFUNCTION("""COMPUTED_VALUE"""),"13/4/2023, 17:00:00")</f>
        <v>13/4/2023, 17:00:00</v>
      </c>
      <c r="I4445" s="1" t="str">
        <f>IFERROR(__xludf.DUMMYFUNCTION("""COMPUTED_VALUE"""),"Completado en SUCURSAL")</f>
        <v>Completado en SUCURSAL</v>
      </c>
      <c r="J4445" s="1">
        <f t="shared" si="3"/>
        <v>5</v>
      </c>
      <c r="K4445" s="1" t="str">
        <f t="shared" si="4"/>
        <v>Tus Lentes estan LISTAS PARA ENTREGAR, te esperamos.</v>
      </c>
    </row>
    <row r="4446">
      <c r="A4446" s="1">
        <f>IFERROR(__xludf.DUMMYFUNCTION("""COMPUTED_VALUE"""),89009.0)</f>
        <v>89009</v>
      </c>
      <c r="B4446" s="5">
        <f>IFERROR(__xludf.DUMMYFUNCTION("""COMPUTED_VALUE"""),45015.75498883102)</f>
        <v>45015.75499</v>
      </c>
      <c r="C4446" s="1" t="str">
        <f>IFERROR(__xludf.DUMMYFUNCTION("""COMPUTED_VALUE"""),"LOYATO LUCERO AMADEO")</f>
        <v>LOYATO LUCERO AMADEO</v>
      </c>
      <c r="D4446" s="1" t="str">
        <f>IFERROR(__xludf.DUMMYFUNCTION("""COMPUTED_VALUE"""),"Lentes de STOCK")</f>
        <v>Lentes de STOCK</v>
      </c>
      <c r="E4446" s="1" t="str">
        <f>IFERROR(__xludf.DUMMYFUNCTION("""COMPUTED_VALUE"""),"ARTIGAS Ivana P.")</f>
        <v>ARTIGAS Ivana P.</v>
      </c>
      <c r="F4446" s="1" t="str">
        <f t="shared" si="1"/>
        <v>ARTIGAS </v>
      </c>
      <c r="G4446" s="1" t="str">
        <f t="shared" si="2"/>
        <v>Ivana P.</v>
      </c>
      <c r="H4446" s="1" t="str">
        <f>IFERROR(__xludf.DUMMYFUNCTION("""COMPUTED_VALUE"""),"4/4/2023, 17:00:00")</f>
        <v>4/4/2023, 17:00:00</v>
      </c>
      <c r="I4446" s="1" t="str">
        <f>IFERROR(__xludf.DUMMYFUNCTION("""COMPUTED_VALUE"""),"RETIRADO OK POR CLIENTE")</f>
        <v>RETIRADO OK POR CLIENTE</v>
      </c>
      <c r="J4446" s="1">
        <f t="shared" si="3"/>
        <v>6</v>
      </c>
      <c r="K4446" s="1" t="str">
        <f t="shared" si="4"/>
        <v>Entregamos tus lentes, que los disfrutes!</v>
      </c>
    </row>
    <row r="4447">
      <c r="A4447" s="1">
        <f>IFERROR(__xludf.DUMMYFUNCTION("""COMPUTED_VALUE"""),89010.0)</f>
        <v>89010</v>
      </c>
      <c r="B4447" s="5">
        <f>IFERROR(__xludf.DUMMYFUNCTION("""COMPUTED_VALUE"""),45015.756524780096)</f>
        <v>45015.75652</v>
      </c>
      <c r="C4447" s="1" t="str">
        <f>IFERROR(__xludf.DUMMYFUNCTION("""COMPUTED_VALUE"""),"LUCERO GRACIELA ")</f>
        <v>LUCERO GRACIELA </v>
      </c>
      <c r="D4447" s="1" t="str">
        <f>IFERROR(__xludf.DUMMYFUNCTION("""COMPUTED_VALUE"""),"Lentes de STOCK")</f>
        <v>Lentes de STOCK</v>
      </c>
      <c r="E4447" s="1" t="str">
        <f>IFERROR(__xludf.DUMMYFUNCTION("""COMPUTED_VALUE"""),"ARTIGAS Ivana P.")</f>
        <v>ARTIGAS Ivana P.</v>
      </c>
      <c r="F4447" s="1" t="str">
        <f t="shared" si="1"/>
        <v>ARTIGAS </v>
      </c>
      <c r="G4447" s="1" t="str">
        <f t="shared" si="2"/>
        <v>Ivana P.</v>
      </c>
      <c r="H4447" s="1" t="str">
        <f>IFERROR(__xludf.DUMMYFUNCTION("""COMPUTED_VALUE"""),"4/4/2023, 17:00:00")</f>
        <v>4/4/2023, 17:00:00</v>
      </c>
      <c r="I4447" s="1" t="str">
        <f>IFERROR(__xludf.DUMMYFUNCTION("""COMPUTED_VALUE"""),"RETIRADO OK POR CLIENTE")</f>
        <v>RETIRADO OK POR CLIENTE</v>
      </c>
      <c r="J4447" s="1">
        <f t="shared" si="3"/>
        <v>6</v>
      </c>
      <c r="K4447" s="1" t="str">
        <f t="shared" si="4"/>
        <v>Entregamos tus lentes, que los disfrutes!</v>
      </c>
    </row>
    <row r="4448">
      <c r="A4448" s="1">
        <f>IFERROR(__xludf.DUMMYFUNCTION("""COMPUTED_VALUE"""),89011.0)</f>
        <v>89011</v>
      </c>
      <c r="B4448" s="5">
        <f>IFERROR(__xludf.DUMMYFUNCTION("""COMPUTED_VALUE"""),45015.757412858795)</f>
        <v>45015.75741</v>
      </c>
      <c r="C4448" s="1" t="str">
        <f>IFERROR(__xludf.DUMMYFUNCTION("""COMPUTED_VALUE"""),"Daiana giachino")</f>
        <v>Daiana giachino</v>
      </c>
      <c r="D4448" s="1" t="str">
        <f>IFERROR(__xludf.DUMMYFUNCTION("""COMPUTED_VALUE"""),"Reparaciones/Otros")</f>
        <v>Reparaciones/Otros</v>
      </c>
      <c r="E4448" s="1" t="str">
        <f>IFERROR(__xludf.DUMMYFUNCTION("""COMPUTED_VALUE"""),"ARTIGAS Micaela")</f>
        <v>ARTIGAS Micaela</v>
      </c>
      <c r="F4448" s="1" t="str">
        <f t="shared" si="1"/>
        <v>ARTIGAS </v>
      </c>
      <c r="G4448" s="1" t="str">
        <f t="shared" si="2"/>
        <v>Micaela</v>
      </c>
      <c r="H4448" s="1" t="str">
        <f>IFERROR(__xludf.DUMMYFUNCTION("""COMPUTED_VALUE"""),"3/4/2023, 17:00:00")</f>
        <v>3/4/2023, 17:00:00</v>
      </c>
      <c r="I4448" s="1" t="str">
        <f>IFERROR(__xludf.DUMMYFUNCTION("""COMPUTED_VALUE"""),"Completado en SUCURSAL")</f>
        <v>Completado en SUCURSAL</v>
      </c>
      <c r="J4448" s="1">
        <f t="shared" si="3"/>
        <v>5</v>
      </c>
      <c r="K4448" s="1" t="str">
        <f t="shared" si="4"/>
        <v>Tus Lentes estan LISTAS PARA ENTREGAR, te esperamos.</v>
      </c>
    </row>
    <row r="4449">
      <c r="A4449" s="1">
        <f>IFERROR(__xludf.DUMMYFUNCTION("""COMPUTED_VALUE"""),89012.0)</f>
        <v>89012</v>
      </c>
      <c r="B4449" s="5">
        <f>IFERROR(__xludf.DUMMYFUNCTION("""COMPUTED_VALUE"""),45015.76633766203)</f>
        <v>45015.76634</v>
      </c>
      <c r="C4449" s="1" t="str">
        <f>IFERROR(__xludf.DUMMYFUNCTION("""COMPUTED_VALUE"""),"IBARRA GERMAN")</f>
        <v>IBARRA GERMAN</v>
      </c>
      <c r="D4449" s="1" t="str">
        <f>IFERROR(__xludf.DUMMYFUNCTION("""COMPUTED_VALUE"""),"Reparaciones/Otros")</f>
        <v>Reparaciones/Otros</v>
      </c>
      <c r="E4449" s="1" t="str">
        <f>IFERROR(__xludf.DUMMYFUNCTION("""COMPUTED_VALUE"""),"ARTIGAS Ivana P.")</f>
        <v>ARTIGAS Ivana P.</v>
      </c>
      <c r="F4449" s="1" t="str">
        <f t="shared" si="1"/>
        <v>ARTIGAS </v>
      </c>
      <c r="G4449" s="1" t="str">
        <f t="shared" si="2"/>
        <v>Ivana P.</v>
      </c>
      <c r="H4449" s="1" t="str">
        <f>IFERROR(__xludf.DUMMYFUNCTION("""COMPUTED_VALUE"""),"3/4/2023, 17:00:00")</f>
        <v>3/4/2023, 17:00:00</v>
      </c>
      <c r="I4449" s="1" t="str">
        <f>IFERROR(__xludf.DUMMYFUNCTION("""COMPUTED_VALUE"""),"RETIRADO OK POR CLIENTE")</f>
        <v>RETIRADO OK POR CLIENTE</v>
      </c>
      <c r="J4449" s="1">
        <f t="shared" si="3"/>
        <v>6</v>
      </c>
      <c r="K4449" s="1" t="str">
        <f t="shared" si="4"/>
        <v>Entregamos tus lentes, que los disfrutes!</v>
      </c>
    </row>
    <row r="4450">
      <c r="A4450" s="1">
        <f>IFERROR(__xludf.DUMMYFUNCTION("""COMPUTED_VALUE"""),89013.0)</f>
        <v>89013</v>
      </c>
      <c r="B4450" s="5">
        <f>IFERROR(__xludf.DUMMYFUNCTION("""COMPUTED_VALUE"""),45015.7737384838)</f>
        <v>45015.77374</v>
      </c>
      <c r="C4450" s="1" t="str">
        <f>IFERROR(__xludf.DUMMYFUNCTION("""COMPUTED_VALUE"""),"RODRIGUEZ ROCIO")</f>
        <v>RODRIGUEZ ROCIO</v>
      </c>
      <c r="D4450" s="1" t="str">
        <f>IFERROR(__xludf.DUMMYFUNCTION("""COMPUTED_VALUE"""),"Lentes de STOCK")</f>
        <v>Lentes de STOCK</v>
      </c>
      <c r="E4450" s="1" t="str">
        <f>IFERROR(__xludf.DUMMYFUNCTION("""COMPUTED_VALUE"""),"RIVADAVIA Christian C.")</f>
        <v>RIVADAVIA Christian C.</v>
      </c>
      <c r="F4450" s="1" t="str">
        <f t="shared" si="1"/>
        <v>RIVADAVIA </v>
      </c>
      <c r="G4450" s="1" t="str">
        <f t="shared" si="2"/>
        <v>Christian C.</v>
      </c>
      <c r="H4450" s="1" t="str">
        <f>IFERROR(__xludf.DUMMYFUNCTION("""COMPUTED_VALUE"""),"4/4/2023, 17:00:00")</f>
        <v>4/4/2023, 17:00:00</v>
      </c>
      <c r="I4450" s="1" t="str">
        <f>IFERROR(__xludf.DUMMYFUNCTION("""COMPUTED_VALUE"""),"Completado en SUCURSAL")</f>
        <v>Completado en SUCURSAL</v>
      </c>
      <c r="J4450" s="1">
        <f t="shared" si="3"/>
        <v>5</v>
      </c>
      <c r="K4450" s="1" t="str">
        <f t="shared" si="4"/>
        <v>Tus Lentes estan LISTAS PARA ENTREGAR, te esperamos.</v>
      </c>
    </row>
    <row r="4451">
      <c r="A4451" s="1">
        <f>IFERROR(__xludf.DUMMYFUNCTION("""COMPUTED_VALUE"""),89014.0)</f>
        <v>89014</v>
      </c>
      <c r="B4451" s="5">
        <f>IFERROR(__xludf.DUMMYFUNCTION("""COMPUTED_VALUE"""),45015.7764212037)</f>
        <v>45015.77642</v>
      </c>
      <c r="C4451" s="1" t="str">
        <f>IFERROR(__xludf.DUMMYFUNCTION("""COMPUTED_VALUE"""),"OCHOA DANTE")</f>
        <v>OCHOA DANTE</v>
      </c>
      <c r="D4451" s="1" t="str">
        <f>IFERROR(__xludf.DUMMYFUNCTION("""COMPUTED_VALUE"""),"Reparaciones/Otros")</f>
        <v>Reparaciones/Otros</v>
      </c>
      <c r="E4451" s="1" t="str">
        <f>IFERROR(__xludf.DUMMYFUNCTION("""COMPUTED_VALUE"""),"RIVADAVIA Christian C.")</f>
        <v>RIVADAVIA Christian C.</v>
      </c>
      <c r="F4451" s="1" t="str">
        <f t="shared" si="1"/>
        <v>RIVADAVIA </v>
      </c>
      <c r="G4451" s="1" t="str">
        <f t="shared" si="2"/>
        <v>Christian C.</v>
      </c>
      <c r="H4451" s="1" t="str">
        <f>IFERROR(__xludf.DUMMYFUNCTION("""COMPUTED_VALUE"""),"4/4/2023, 17:00:00")</f>
        <v>4/4/2023, 17:00:00</v>
      </c>
      <c r="I4451" s="1" t="str">
        <f>IFERROR(__xludf.DUMMYFUNCTION("""COMPUTED_VALUE"""),"RETIRADO OK POR CLIENTE")</f>
        <v>RETIRADO OK POR CLIENTE</v>
      </c>
      <c r="J4451" s="1">
        <f t="shared" si="3"/>
        <v>6</v>
      </c>
      <c r="K4451" s="1" t="str">
        <f t="shared" si="4"/>
        <v>Entregamos tus lentes, que los disfrutes!</v>
      </c>
    </row>
    <row r="4452">
      <c r="A4452" s="1">
        <f>IFERROR(__xludf.DUMMYFUNCTION("""COMPUTED_VALUE"""),89015.0)</f>
        <v>89015</v>
      </c>
      <c r="B4452" s="5">
        <f>IFERROR(__xludf.DUMMYFUNCTION("""COMPUTED_VALUE"""),45015.77676126157)</f>
        <v>45015.77676</v>
      </c>
      <c r="C4452" s="1" t="str">
        <f>IFERROR(__xludf.DUMMYFUNCTION("""COMPUTED_VALUE"""),"TRIPISANCHEZ MARIA PILAR")</f>
        <v>TRIPISANCHEZ MARIA PILAR</v>
      </c>
      <c r="D4452" s="1" t="str">
        <f>IFERROR(__xludf.DUMMYFUNCTION("""COMPUTED_VALUE"""),"Lentes de STOCK")</f>
        <v>Lentes de STOCK</v>
      </c>
      <c r="E4452" s="1" t="str">
        <f>IFERROR(__xludf.DUMMYFUNCTION("""COMPUTED_VALUE"""),"ARTIGAS Ivana P.")</f>
        <v>ARTIGAS Ivana P.</v>
      </c>
      <c r="F4452" s="1" t="str">
        <f t="shared" si="1"/>
        <v>ARTIGAS </v>
      </c>
      <c r="G4452" s="1" t="str">
        <f t="shared" si="2"/>
        <v>Ivana P.</v>
      </c>
      <c r="H4452" s="1" t="str">
        <f>IFERROR(__xludf.DUMMYFUNCTION("""COMPUTED_VALUE"""),"5/4/2023, 17:00:00")</f>
        <v>5/4/2023, 17:00:00</v>
      </c>
      <c r="I4452" s="1" t="str">
        <f>IFERROR(__xludf.DUMMYFUNCTION("""COMPUTED_VALUE"""),"Completado en SUCURSAL")</f>
        <v>Completado en SUCURSAL</v>
      </c>
      <c r="J4452" s="1">
        <f t="shared" si="3"/>
        <v>5</v>
      </c>
      <c r="K4452" s="1" t="str">
        <f t="shared" si="4"/>
        <v>Tus Lentes estan LISTAS PARA ENTREGAR, te esperamos.</v>
      </c>
    </row>
    <row r="4453">
      <c r="A4453" s="1">
        <f>IFERROR(__xludf.DUMMYFUNCTION("""COMPUTED_VALUE"""),89016.0)</f>
        <v>89016</v>
      </c>
      <c r="B4453" s="5">
        <f>IFERROR(__xludf.DUMMYFUNCTION("""COMPUTED_VALUE"""),45015.77944525463)</f>
        <v>45015.77945</v>
      </c>
      <c r="C4453" s="1" t="str">
        <f>IFERROR(__xludf.DUMMYFUNCTION("""COMPUTED_VALUE"""),"PUIG ADRIANA")</f>
        <v>PUIG ADRIANA</v>
      </c>
      <c r="D4453" s="1" t="str">
        <f>IFERROR(__xludf.DUMMYFUNCTION("""COMPUTED_VALUE"""),"Lentes de STOCK")</f>
        <v>Lentes de STOCK</v>
      </c>
      <c r="E4453" s="1" t="str">
        <f>IFERROR(__xludf.DUMMYFUNCTION("""COMPUTED_VALUE"""),"RIVADAVIA Luciana")</f>
        <v>RIVADAVIA Luciana</v>
      </c>
      <c r="F4453" s="1" t="str">
        <f t="shared" si="1"/>
        <v>RIVADAVIA </v>
      </c>
      <c r="G4453" s="1" t="str">
        <f t="shared" si="2"/>
        <v>Luciana</v>
      </c>
      <c r="H4453" s="1" t="str">
        <f>IFERROR(__xludf.DUMMYFUNCTION("""COMPUTED_VALUE"""),"5/4/2023, 17:00:00")</f>
        <v>5/4/2023, 17:00:00</v>
      </c>
      <c r="I4453" s="1" t="str">
        <f>IFERROR(__xludf.DUMMYFUNCTION("""COMPUTED_VALUE"""),"Completado en SUCURSAL")</f>
        <v>Completado en SUCURSAL</v>
      </c>
      <c r="J4453" s="1">
        <f t="shared" si="3"/>
        <v>5</v>
      </c>
      <c r="K4453" s="1" t="str">
        <f t="shared" si="4"/>
        <v>Tus Lentes estan LISTAS PARA ENTREGAR, te esperamos.</v>
      </c>
    </row>
    <row r="4454">
      <c r="A4454" s="1">
        <f>IFERROR(__xludf.DUMMYFUNCTION("""COMPUTED_VALUE"""),89017.0)</f>
        <v>89017</v>
      </c>
      <c r="B4454" s="5">
        <f>IFERROR(__xludf.DUMMYFUNCTION("""COMPUTED_VALUE"""),45015.79907807871)</f>
        <v>45015.79908</v>
      </c>
      <c r="C4454" s="1" t="str">
        <f>IFERROR(__xludf.DUMMYFUNCTION("""COMPUTED_VALUE"""),"SOHROBIGARAT RAMON BAUTISTA")</f>
        <v>SOHROBIGARAT RAMON BAUTISTA</v>
      </c>
      <c r="D4454" s="1" t="str">
        <f>IFERROR(__xludf.DUMMYFUNCTION("""COMPUTED_VALUE"""),"Lentes MULTIFOCALES")</f>
        <v>Lentes MULTIFOCALES</v>
      </c>
      <c r="E4454" s="1" t="str">
        <f>IFERROR(__xludf.DUMMYFUNCTION("""COMPUTED_VALUE"""),"ARTIGAS Roció")</f>
        <v>ARTIGAS Roció</v>
      </c>
      <c r="F4454" s="1" t="str">
        <f t="shared" si="1"/>
        <v>ARTIGAS </v>
      </c>
      <c r="G4454" s="1" t="str">
        <f t="shared" si="2"/>
        <v>Roció</v>
      </c>
      <c r="H4454" s="1" t="str">
        <f>IFERROR(__xludf.DUMMYFUNCTION("""COMPUTED_VALUE"""),"13/4/2023, 17:00:00")</f>
        <v>13/4/2023, 17:00:00</v>
      </c>
      <c r="I4454" s="1" t="str">
        <f>IFERROR(__xludf.DUMMYFUNCTION("""COMPUTED_VALUE"""),"Completado en SUCURSAL")</f>
        <v>Completado en SUCURSAL</v>
      </c>
      <c r="J4454" s="1">
        <f t="shared" si="3"/>
        <v>5</v>
      </c>
      <c r="K4454" s="1" t="str">
        <f t="shared" si="4"/>
        <v>Tus Lentes estan LISTAS PARA ENTREGAR, te esperamos.</v>
      </c>
    </row>
    <row r="4455">
      <c r="A4455" s="1">
        <f>IFERROR(__xludf.DUMMYFUNCTION("""COMPUTED_VALUE"""),89018.0)</f>
        <v>89018</v>
      </c>
      <c r="B4455" s="5">
        <f>IFERROR(__xludf.DUMMYFUNCTION("""COMPUTED_VALUE"""),45015.80065722222)</f>
        <v>45015.80066</v>
      </c>
      <c r="C4455" s="1" t="str">
        <f>IFERROR(__xludf.DUMMYFUNCTION("""COMPUTED_VALUE"""),"GAMBLUCH MARISA")</f>
        <v>GAMBLUCH MARISA</v>
      </c>
      <c r="D4455" s="1" t="str">
        <f>IFERROR(__xludf.DUMMYFUNCTION("""COMPUTED_VALUE"""),"Lentes de STOCK")</f>
        <v>Lentes de STOCK</v>
      </c>
      <c r="E4455" s="1" t="str">
        <f>IFERROR(__xludf.DUMMYFUNCTION("""COMPUTED_VALUE"""),"ARTIGAS Roció")</f>
        <v>ARTIGAS Roció</v>
      </c>
      <c r="F4455" s="1" t="str">
        <f t="shared" si="1"/>
        <v>ARTIGAS </v>
      </c>
      <c r="G4455" s="1" t="str">
        <f t="shared" si="2"/>
        <v>Roció</v>
      </c>
      <c r="H4455" s="1" t="str">
        <f>IFERROR(__xludf.DUMMYFUNCTION("""COMPUTED_VALUE"""),"6/4/2023, 17:00:00")</f>
        <v>6/4/2023, 17:00:00</v>
      </c>
      <c r="I4455" s="1" t="str">
        <f>IFERROR(__xludf.DUMMYFUNCTION("""COMPUTED_VALUE"""),"Recibido en Laboratorio")</f>
        <v>Recibido en Laboratorio</v>
      </c>
      <c r="J4455" s="1">
        <f t="shared" si="3"/>
        <v>2</v>
      </c>
      <c r="K4455" s="1" t="str">
        <f t="shared" si="4"/>
        <v>Nuestro Laboratorio esta trabajando en tus lentes, los entregaremos en la fecha acordada.</v>
      </c>
    </row>
    <row r="4456">
      <c r="A4456" s="1">
        <f>IFERROR(__xludf.DUMMYFUNCTION("""COMPUTED_VALUE"""),89019.0)</f>
        <v>89019</v>
      </c>
      <c r="B4456" s="5">
        <f>IFERROR(__xludf.DUMMYFUNCTION("""COMPUTED_VALUE"""),45015.805623402775)</f>
        <v>45015.80562</v>
      </c>
      <c r="C4456" s="1" t="str">
        <f>IFERROR(__xludf.DUMMYFUNCTION("""COMPUTED_VALUE"""),"CACACE ROBERTO")</f>
        <v>CACACE ROBERTO</v>
      </c>
      <c r="D4456" s="1" t="str">
        <f>IFERROR(__xludf.DUMMYFUNCTION("""COMPUTED_VALUE"""),"Lentes de STOCK")</f>
        <v>Lentes de STOCK</v>
      </c>
      <c r="E4456" s="1" t="str">
        <f>IFERROR(__xludf.DUMMYFUNCTION("""COMPUTED_VALUE"""),"RIVADAVIA Luciana")</f>
        <v>RIVADAVIA Luciana</v>
      </c>
      <c r="F4456" s="1" t="str">
        <f t="shared" si="1"/>
        <v>RIVADAVIA </v>
      </c>
      <c r="G4456" s="1" t="str">
        <f t="shared" si="2"/>
        <v>Luciana</v>
      </c>
      <c r="H4456" s="1" t="str">
        <f>IFERROR(__xludf.DUMMYFUNCTION("""COMPUTED_VALUE"""),"5/4/2023, 17:00:00")</f>
        <v>5/4/2023, 17:00:00</v>
      </c>
      <c r="I4456" s="1" t="str">
        <f>IFERROR(__xludf.DUMMYFUNCTION("""COMPUTED_VALUE"""),"RETIRADO OK POR CLIENTE")</f>
        <v>RETIRADO OK POR CLIENTE</v>
      </c>
      <c r="J4456" s="1">
        <f t="shared" si="3"/>
        <v>6</v>
      </c>
      <c r="K4456" s="1" t="str">
        <f t="shared" si="4"/>
        <v>Entregamos tus lentes, que los disfrutes!</v>
      </c>
    </row>
    <row r="4457">
      <c r="A4457" s="1">
        <f>IFERROR(__xludf.DUMMYFUNCTION("""COMPUTED_VALUE"""),89020.0)</f>
        <v>89020</v>
      </c>
      <c r="B4457" s="5">
        <f>IFERROR(__xludf.DUMMYFUNCTION("""COMPUTED_VALUE"""),45015.80598809027)</f>
        <v>45015.80599</v>
      </c>
      <c r="C4457" s="1" t="str">
        <f>IFERROR(__xludf.DUMMYFUNCTION("""COMPUTED_VALUE"""),"Antonio Alfonso")</f>
        <v>Antonio Alfonso</v>
      </c>
      <c r="D4457" s="1" t="str">
        <f>IFERROR(__xludf.DUMMYFUNCTION("""COMPUTED_VALUE"""),"Lentes de STOCK")</f>
        <v>Lentes de STOCK</v>
      </c>
      <c r="E4457" s="1" t="str">
        <f>IFERROR(__xludf.DUMMYFUNCTION("""COMPUTED_VALUE"""),"ARTIGAS Roció")</f>
        <v>ARTIGAS Roció</v>
      </c>
      <c r="F4457" s="1" t="str">
        <f t="shared" si="1"/>
        <v>ARTIGAS </v>
      </c>
      <c r="G4457" s="1" t="str">
        <f t="shared" si="2"/>
        <v>Roció</v>
      </c>
      <c r="H4457" s="1" t="str">
        <f>IFERROR(__xludf.DUMMYFUNCTION("""COMPUTED_VALUE"""),"10/4/2023, 17:00:00")</f>
        <v>10/4/2023, 17:00:00</v>
      </c>
      <c r="I4457" s="1" t="str">
        <f>IFERROR(__xludf.DUMMYFUNCTION("""COMPUTED_VALUE"""),"Recibido en Laboratorio")</f>
        <v>Recibido en Laboratorio</v>
      </c>
      <c r="J4457" s="1">
        <f t="shared" si="3"/>
        <v>2</v>
      </c>
      <c r="K4457" s="1" t="str">
        <f t="shared" si="4"/>
        <v>Nuestro Laboratorio esta trabajando en tus lentes, los entregaremos en la fecha acordada.</v>
      </c>
    </row>
    <row r="4458">
      <c r="A4458" s="1">
        <f>IFERROR(__xludf.DUMMYFUNCTION("""COMPUTED_VALUE"""),89021.0)</f>
        <v>89021</v>
      </c>
      <c r="B4458" s="5">
        <f>IFERROR(__xludf.DUMMYFUNCTION("""COMPUTED_VALUE"""),45015.80885717593)</f>
        <v>45015.80886</v>
      </c>
      <c r="C4458" s="1" t="str">
        <f>IFERROR(__xludf.DUMMYFUNCTION("""COMPUTED_VALUE"""),"PEREZ RAFAELA")</f>
        <v>PEREZ RAFAELA</v>
      </c>
      <c r="D4458" s="1" t="str">
        <f>IFERROR(__xludf.DUMMYFUNCTION("""COMPUTED_VALUE"""),"Lentes de STOCK")</f>
        <v>Lentes de STOCK</v>
      </c>
      <c r="E4458" s="1" t="str">
        <f>IFERROR(__xludf.DUMMYFUNCTION("""COMPUTED_VALUE"""),"ARTIGAS Roció")</f>
        <v>ARTIGAS Roció</v>
      </c>
      <c r="F4458" s="1" t="str">
        <f t="shared" si="1"/>
        <v>ARTIGAS </v>
      </c>
      <c r="G4458" s="1" t="str">
        <f t="shared" si="2"/>
        <v>Roció</v>
      </c>
      <c r="H4458" s="1" t="str">
        <f>IFERROR(__xludf.DUMMYFUNCTION("""COMPUTED_VALUE"""),"10/4/2023, 17:00:00")</f>
        <v>10/4/2023, 17:00:00</v>
      </c>
      <c r="I4458" s="1" t="str">
        <f>IFERROR(__xludf.DUMMYFUNCTION("""COMPUTED_VALUE"""),"Completado en SUCURSAL")</f>
        <v>Completado en SUCURSAL</v>
      </c>
      <c r="J4458" s="1">
        <f t="shared" si="3"/>
        <v>5</v>
      </c>
      <c r="K4458" s="1" t="str">
        <f t="shared" si="4"/>
        <v>Tus Lentes estan LISTAS PARA ENTREGAR, te esperamos.</v>
      </c>
    </row>
    <row r="4459">
      <c r="A4459" s="1">
        <f>IFERROR(__xludf.DUMMYFUNCTION("""COMPUTED_VALUE"""),89022.0)</f>
        <v>89022</v>
      </c>
      <c r="B4459" s="5">
        <f>IFERROR(__xludf.DUMMYFUNCTION("""COMPUTED_VALUE"""),45015.810630312495)</f>
        <v>45015.81063</v>
      </c>
      <c r="C4459" s="1" t="str">
        <f>IFERROR(__xludf.DUMMYFUNCTION("""COMPUTED_VALUE"""),"ESCUDERO JOAQUIN")</f>
        <v>ESCUDERO JOAQUIN</v>
      </c>
      <c r="D4459" s="1" t="str">
        <f>IFERROR(__xludf.DUMMYFUNCTION("""COMPUTED_VALUE"""),"Lentes de STOCK")</f>
        <v>Lentes de STOCK</v>
      </c>
      <c r="E4459" s="1" t="str">
        <f>IFERROR(__xludf.DUMMYFUNCTION("""COMPUTED_VALUE"""),"ARTIGAS Ivana P.")</f>
        <v>ARTIGAS Ivana P.</v>
      </c>
      <c r="F4459" s="1" t="str">
        <f t="shared" si="1"/>
        <v>ARTIGAS </v>
      </c>
      <c r="G4459" s="1" t="str">
        <f t="shared" si="2"/>
        <v>Ivana P.</v>
      </c>
      <c r="H4459" s="1" t="str">
        <f>IFERROR(__xludf.DUMMYFUNCTION("""COMPUTED_VALUE"""),"5/4/2023, 17:00:00")</f>
        <v>5/4/2023, 17:00:00</v>
      </c>
      <c r="I4459" s="1" t="str">
        <f>IFERROR(__xludf.DUMMYFUNCTION("""COMPUTED_VALUE"""),"RETIRADO OK POR CLIENTE")</f>
        <v>RETIRADO OK POR CLIENTE</v>
      </c>
      <c r="J4459" s="1">
        <f t="shared" si="3"/>
        <v>6</v>
      </c>
      <c r="K4459" s="1" t="str">
        <f t="shared" si="4"/>
        <v>Entregamos tus lentes, que los disfrutes!</v>
      </c>
    </row>
    <row r="4460">
      <c r="A4460" s="1">
        <f>IFERROR(__xludf.DUMMYFUNCTION("""COMPUTED_VALUE"""),89023.0)</f>
        <v>89023</v>
      </c>
      <c r="B4460" s="5">
        <f>IFERROR(__xludf.DUMMYFUNCTION("""COMPUTED_VALUE"""),45015.811672662036)</f>
        <v>45015.81167</v>
      </c>
      <c r="C4460" s="1" t="str">
        <f>IFERROR(__xludf.DUMMYFUNCTION("""COMPUTED_VALUE"""),"GOMEZ JONATHAN")</f>
        <v>GOMEZ JONATHAN</v>
      </c>
      <c r="D4460" s="1" t="str">
        <f>IFERROR(__xludf.DUMMYFUNCTION("""COMPUTED_VALUE"""),"Lentes de STOCK")</f>
        <v>Lentes de STOCK</v>
      </c>
      <c r="E4460" s="1" t="str">
        <f>IFERROR(__xludf.DUMMYFUNCTION("""COMPUTED_VALUE"""),"RIVADAVIA Javier")</f>
        <v>RIVADAVIA Javier</v>
      </c>
      <c r="F4460" s="1" t="str">
        <f t="shared" si="1"/>
        <v>RIVADAVIA </v>
      </c>
      <c r="G4460" s="1" t="str">
        <f t="shared" si="2"/>
        <v>Javier</v>
      </c>
      <c r="H4460" s="1" t="str">
        <f>IFERROR(__xludf.DUMMYFUNCTION("""COMPUTED_VALUE"""),"5/4/2023, 17:00:00")</f>
        <v>5/4/2023, 17:00:00</v>
      </c>
      <c r="I4460" s="1" t="str">
        <f>IFERROR(__xludf.DUMMYFUNCTION("""COMPUTED_VALUE"""),"RETIRADO OK POR CLIENTE")</f>
        <v>RETIRADO OK POR CLIENTE</v>
      </c>
      <c r="J4460" s="1">
        <f t="shared" si="3"/>
        <v>6</v>
      </c>
      <c r="K4460" s="1" t="str">
        <f t="shared" si="4"/>
        <v>Entregamos tus lentes, que los disfrutes!</v>
      </c>
    </row>
    <row r="4461">
      <c r="A4461" s="1">
        <f>IFERROR(__xludf.DUMMYFUNCTION("""COMPUTED_VALUE"""),89024.0)</f>
        <v>89024</v>
      </c>
      <c r="B4461" s="5">
        <f>IFERROR(__xludf.DUMMYFUNCTION("""COMPUTED_VALUE"""),45015.81232391203)</f>
        <v>45015.81232</v>
      </c>
      <c r="C4461" s="1" t="str">
        <f>IFERROR(__xludf.DUMMYFUNCTION("""COMPUTED_VALUE"""),"ALBORNOZ BENICIO")</f>
        <v>ALBORNOZ BENICIO</v>
      </c>
      <c r="D4461" s="1" t="str">
        <f>IFERROR(__xludf.DUMMYFUNCTION("""COMPUTED_VALUE"""),"Lentes de STOCK")</f>
        <v>Lentes de STOCK</v>
      </c>
      <c r="E4461" s="1" t="str">
        <f>IFERROR(__xludf.DUMMYFUNCTION("""COMPUTED_VALUE"""),"ARTIGAS Ivana P.")</f>
        <v>ARTIGAS Ivana P.</v>
      </c>
      <c r="F4461" s="1" t="str">
        <f t="shared" si="1"/>
        <v>ARTIGAS </v>
      </c>
      <c r="G4461" s="1" t="str">
        <f t="shared" si="2"/>
        <v>Ivana P.</v>
      </c>
      <c r="H4461" s="1" t="str">
        <f>IFERROR(__xludf.DUMMYFUNCTION("""COMPUTED_VALUE"""),"5/4/2023, 17:00:00")</f>
        <v>5/4/2023, 17:00:00</v>
      </c>
      <c r="I4461" s="1" t="str">
        <f>IFERROR(__xludf.DUMMYFUNCTION("""COMPUTED_VALUE"""),"RETIRADO OK POR CLIENTE")</f>
        <v>RETIRADO OK POR CLIENTE</v>
      </c>
      <c r="J4461" s="1">
        <f t="shared" si="3"/>
        <v>6</v>
      </c>
      <c r="K4461" s="1" t="str">
        <f t="shared" si="4"/>
        <v>Entregamos tus lentes, que los disfrutes!</v>
      </c>
    </row>
    <row r="4462">
      <c r="A4462" s="1">
        <f>IFERROR(__xludf.DUMMYFUNCTION("""COMPUTED_VALUE"""),89025.0)</f>
        <v>89025</v>
      </c>
      <c r="B4462" s="5">
        <f>IFERROR(__xludf.DUMMYFUNCTION("""COMPUTED_VALUE"""),45015.81447222222)</f>
        <v>45015.81447</v>
      </c>
      <c r="C4462" s="1" t="str">
        <f>IFERROR(__xludf.DUMMYFUNCTION("""COMPUTED_VALUE"""),"Valentina oviedo ")</f>
        <v>Valentina oviedo </v>
      </c>
      <c r="D4462" s="1" t="str">
        <f>IFERROR(__xludf.DUMMYFUNCTION("""COMPUTED_VALUE"""),"Reparaciones/Otros")</f>
        <v>Reparaciones/Otros</v>
      </c>
      <c r="E4462" s="1" t="str">
        <f>IFERROR(__xludf.DUMMYFUNCTION("""COMPUTED_VALUE"""),"ARTIGAS Micaela")</f>
        <v>ARTIGAS Micaela</v>
      </c>
      <c r="F4462" s="1" t="str">
        <f t="shared" si="1"/>
        <v>ARTIGAS </v>
      </c>
      <c r="G4462" s="1" t="str">
        <f t="shared" si="2"/>
        <v>Micaela</v>
      </c>
      <c r="H4462" s="1" t="str">
        <f>IFERROR(__xludf.DUMMYFUNCTION("""COMPUTED_VALUE"""),"3/4/2023, 17:00:00")</f>
        <v>3/4/2023, 17:00:00</v>
      </c>
      <c r="I4462" s="1" t="str">
        <f>IFERROR(__xludf.DUMMYFUNCTION("""COMPUTED_VALUE"""),"Completado en SUCURSAL")</f>
        <v>Completado en SUCURSAL</v>
      </c>
      <c r="J4462" s="1">
        <f t="shared" si="3"/>
        <v>5</v>
      </c>
      <c r="K4462" s="1" t="str">
        <f t="shared" si="4"/>
        <v>Tus Lentes estan LISTAS PARA ENTREGAR, te esperamos.</v>
      </c>
    </row>
    <row r="4463">
      <c r="A4463" s="1">
        <f>IFERROR(__xludf.DUMMYFUNCTION("""COMPUTED_VALUE"""),89026.0)</f>
        <v>89026</v>
      </c>
      <c r="B4463" s="5">
        <f>IFERROR(__xludf.DUMMYFUNCTION("""COMPUTED_VALUE"""),45015.817975729165)</f>
        <v>45015.81798</v>
      </c>
      <c r="C4463" s="1" t="str">
        <f>IFERROR(__xludf.DUMMYFUNCTION("""COMPUTED_VALUE"""),"DE LA RETA FRANCO")</f>
        <v>DE LA RETA FRANCO</v>
      </c>
      <c r="D4463" s="1" t="str">
        <f>IFERROR(__xludf.DUMMYFUNCTION("""COMPUTED_VALUE"""),"Lentes de LABORATORIO")</f>
        <v>Lentes de LABORATORIO</v>
      </c>
      <c r="E4463" s="1" t="str">
        <f>IFERROR(__xludf.DUMMYFUNCTION("""COMPUTED_VALUE"""),"ARTIGAS Ivana P.")</f>
        <v>ARTIGAS Ivana P.</v>
      </c>
      <c r="F4463" s="1" t="str">
        <f t="shared" si="1"/>
        <v>ARTIGAS </v>
      </c>
      <c r="G4463" s="1" t="str">
        <f t="shared" si="2"/>
        <v>Ivana P.</v>
      </c>
      <c r="H4463" s="1" t="str">
        <f>IFERROR(__xludf.DUMMYFUNCTION("""COMPUTED_VALUE"""),"10/4/2023, 17:00:00")</f>
        <v>10/4/2023, 17:00:00</v>
      </c>
      <c r="I4463" s="1" t="str">
        <f>IFERROR(__xludf.DUMMYFUNCTION("""COMPUTED_VALUE"""),"Recibido en Laboratorio")</f>
        <v>Recibido en Laboratorio</v>
      </c>
      <c r="J4463" s="1">
        <f t="shared" si="3"/>
        <v>2</v>
      </c>
      <c r="K4463" s="1" t="str">
        <f t="shared" si="4"/>
        <v>Nuestro Laboratorio esta trabajando en tus lentes, los entregaremos en la fecha acordada.</v>
      </c>
    </row>
    <row r="4464">
      <c r="A4464" s="1">
        <f>IFERROR(__xludf.DUMMYFUNCTION("""COMPUTED_VALUE"""),89027.0)</f>
        <v>89027</v>
      </c>
      <c r="B4464" s="5">
        <f>IFERROR(__xludf.DUMMYFUNCTION("""COMPUTED_VALUE"""),45015.82127892361)</f>
        <v>45015.82128</v>
      </c>
      <c r="C4464" s="1" t="str">
        <f>IFERROR(__xludf.DUMMYFUNCTION("""COMPUTED_VALUE"""),"BRITOS KEVIN")</f>
        <v>BRITOS KEVIN</v>
      </c>
      <c r="D4464" s="1" t="str">
        <f>IFERROR(__xludf.DUMMYFUNCTION("""COMPUTED_VALUE"""),"Lentes de STOCK")</f>
        <v>Lentes de STOCK</v>
      </c>
      <c r="E4464" s="1" t="str">
        <f>IFERROR(__xludf.DUMMYFUNCTION("""COMPUTED_VALUE"""),"ARTIGAS Roció")</f>
        <v>ARTIGAS Roció</v>
      </c>
      <c r="F4464" s="1" t="str">
        <f t="shared" si="1"/>
        <v>ARTIGAS </v>
      </c>
      <c r="G4464" s="1" t="str">
        <f t="shared" si="2"/>
        <v>Roció</v>
      </c>
      <c r="H4464" s="1" t="str">
        <f>IFERROR(__xludf.DUMMYFUNCTION("""COMPUTED_VALUE"""),"10/4/2023, 17:00:00")</f>
        <v>10/4/2023, 17:00:00</v>
      </c>
      <c r="I4464" s="1" t="str">
        <f>IFERROR(__xludf.DUMMYFUNCTION("""COMPUTED_VALUE"""),"Completado en SUCURSAL")</f>
        <v>Completado en SUCURSAL</v>
      </c>
      <c r="J4464" s="1">
        <f t="shared" si="3"/>
        <v>5</v>
      </c>
      <c r="K4464" s="1" t="str">
        <f t="shared" si="4"/>
        <v>Tus Lentes estan LISTAS PARA ENTREGAR, te esperamos.</v>
      </c>
    </row>
    <row r="4465">
      <c r="A4465" s="1">
        <f>IFERROR(__xludf.DUMMYFUNCTION("""COMPUTED_VALUE"""),89028.0)</f>
        <v>89028</v>
      </c>
      <c r="B4465" s="5">
        <f>IFERROR(__xludf.DUMMYFUNCTION("""COMPUTED_VALUE"""),45015.82780559028)</f>
        <v>45015.82781</v>
      </c>
      <c r="C4465" s="1" t="str">
        <f>IFERROR(__xludf.DUMMYFUNCTION("""COMPUTED_VALUE"""),"RAMOS LAUTARO")</f>
        <v>RAMOS LAUTARO</v>
      </c>
      <c r="D4465" s="1" t="str">
        <f>IFERROR(__xludf.DUMMYFUNCTION("""COMPUTED_VALUE"""),"Lentes de STOCK")</f>
        <v>Lentes de STOCK</v>
      </c>
      <c r="E4465" s="1" t="str">
        <f>IFERROR(__xludf.DUMMYFUNCTION("""COMPUTED_VALUE"""),"RIVADAVIA Santiago LOPEZ")</f>
        <v>RIVADAVIA Santiago LOPEZ</v>
      </c>
      <c r="F4465" s="1" t="str">
        <f t="shared" si="1"/>
        <v>RIVADAVIA </v>
      </c>
      <c r="G4465" s="1" t="str">
        <f t="shared" si="2"/>
        <v>Santiago LOPEZ</v>
      </c>
      <c r="H4465" s="1" t="str">
        <f>IFERROR(__xludf.DUMMYFUNCTION("""COMPUTED_VALUE"""),"3/4/2023, 17:00:00")</f>
        <v>3/4/2023, 17:00:00</v>
      </c>
      <c r="I4465" s="1" t="str">
        <f>IFERROR(__xludf.DUMMYFUNCTION("""COMPUTED_VALUE"""),"RETIRADO OK POR CLIENTE")</f>
        <v>RETIRADO OK POR CLIENTE</v>
      </c>
      <c r="J4465" s="1">
        <f t="shared" si="3"/>
        <v>6</v>
      </c>
      <c r="K4465" s="1" t="str">
        <f t="shared" si="4"/>
        <v>Entregamos tus lentes, que los disfrutes!</v>
      </c>
    </row>
    <row r="4466">
      <c r="A4466" s="1">
        <f>IFERROR(__xludf.DUMMYFUNCTION("""COMPUTED_VALUE"""),89029.0)</f>
        <v>89029</v>
      </c>
      <c r="B4466" s="5">
        <f>IFERROR(__xludf.DUMMYFUNCTION("""COMPUTED_VALUE"""),45015.83044561342)</f>
        <v>45015.83045</v>
      </c>
      <c r="C4466" s="1" t="str">
        <f>IFERROR(__xludf.DUMMYFUNCTION("""COMPUTED_VALUE"""),"LUCERO CARMEN")</f>
        <v>LUCERO CARMEN</v>
      </c>
      <c r="D4466" s="1" t="str">
        <f>IFERROR(__xludf.DUMMYFUNCTION("""COMPUTED_VALUE"""),"Lentes de LABORATORIO")</f>
        <v>Lentes de LABORATORIO</v>
      </c>
      <c r="E4466" s="1" t="str">
        <f>IFERROR(__xludf.DUMMYFUNCTION("""COMPUTED_VALUE"""),"ARTIGAS Ivana P.")</f>
        <v>ARTIGAS Ivana P.</v>
      </c>
      <c r="F4466" s="1" t="str">
        <f t="shared" si="1"/>
        <v>ARTIGAS </v>
      </c>
      <c r="G4466" s="1" t="str">
        <f t="shared" si="2"/>
        <v>Ivana P.</v>
      </c>
      <c r="H4466" s="1" t="str">
        <f>IFERROR(__xludf.DUMMYFUNCTION("""COMPUTED_VALUE"""),"6/4/2023, 17:00:00")</f>
        <v>6/4/2023, 17:00:00</v>
      </c>
      <c r="I4466" s="1" t="str">
        <f>IFERROR(__xludf.DUMMYFUNCTION("""COMPUTED_VALUE"""),"Completado en SUCURSAL")</f>
        <v>Completado en SUCURSAL</v>
      </c>
      <c r="J4466" s="1">
        <f t="shared" si="3"/>
        <v>5</v>
      </c>
      <c r="K4466" s="1" t="str">
        <f t="shared" si="4"/>
        <v>Tus Lentes estan LISTAS PARA ENTREGAR, te esperamos.</v>
      </c>
    </row>
    <row r="4467">
      <c r="A4467" s="1">
        <f>IFERROR(__xludf.DUMMYFUNCTION("""COMPUTED_VALUE"""),89030.0)</f>
        <v>89030</v>
      </c>
      <c r="B4467" s="5">
        <f>IFERROR(__xludf.DUMMYFUNCTION("""COMPUTED_VALUE"""),45015.840587858795)</f>
        <v>45015.84059</v>
      </c>
      <c r="C4467" s="1" t="str">
        <f>IFERROR(__xludf.DUMMYFUNCTION("""COMPUTED_VALUE"""),"LEPES RITA")</f>
        <v>LEPES RITA</v>
      </c>
      <c r="D4467" s="1" t="str">
        <f>IFERROR(__xludf.DUMMYFUNCTION("""COMPUTED_VALUE"""),"Reparaciones/Otros")</f>
        <v>Reparaciones/Otros</v>
      </c>
      <c r="E4467" s="1" t="str">
        <f>IFERROR(__xludf.DUMMYFUNCTION("""COMPUTED_VALUE"""),"RIVADAVIA Daniel CM")</f>
        <v>RIVADAVIA Daniel CM</v>
      </c>
      <c r="F4467" s="1" t="str">
        <f t="shared" si="1"/>
        <v>RIVADAVIA </v>
      </c>
      <c r="G4467" s="1" t="str">
        <f t="shared" si="2"/>
        <v>Daniel CM</v>
      </c>
      <c r="H4467" s="1" t="str">
        <f>IFERROR(__xludf.DUMMYFUNCTION("""COMPUTED_VALUE"""),"3/4/2023, 17:00:00")</f>
        <v>3/4/2023, 17:00:00</v>
      </c>
      <c r="I4467" s="1" t="str">
        <f>IFERROR(__xludf.DUMMYFUNCTION("""COMPUTED_VALUE"""),"Completado en SUCURSAL")</f>
        <v>Completado en SUCURSAL</v>
      </c>
      <c r="J4467" s="1">
        <f t="shared" si="3"/>
        <v>5</v>
      </c>
      <c r="K4467" s="1" t="str">
        <f t="shared" si="4"/>
        <v>Tus Lentes estan LISTAS PARA ENTREGAR, te esperamos.</v>
      </c>
    </row>
    <row r="4468">
      <c r="A4468" s="1">
        <f>IFERROR(__xludf.DUMMYFUNCTION("""COMPUTED_VALUE"""),89031.0)</f>
        <v>89031</v>
      </c>
      <c r="B4468" s="5">
        <f>IFERROR(__xludf.DUMMYFUNCTION("""COMPUTED_VALUE"""),45015.85305527778)</f>
        <v>45015.85306</v>
      </c>
      <c r="C4468" s="1" t="str">
        <f>IFERROR(__xludf.DUMMYFUNCTION("""COMPUTED_VALUE"""),"LUNA CECILIA")</f>
        <v>LUNA CECILIA</v>
      </c>
      <c r="D4468" s="1" t="str">
        <f>IFERROR(__xludf.DUMMYFUNCTION("""COMPUTED_VALUE"""),"Lentes MULTIFOCALES")</f>
        <v>Lentes MULTIFOCALES</v>
      </c>
      <c r="E4468" s="1" t="str">
        <f>IFERROR(__xludf.DUMMYFUNCTION("""COMPUTED_VALUE"""),"RIVADAVIA Christian C.")</f>
        <v>RIVADAVIA Christian C.</v>
      </c>
      <c r="F4468" s="1" t="str">
        <f t="shared" si="1"/>
        <v>RIVADAVIA </v>
      </c>
      <c r="G4468" s="1" t="str">
        <f t="shared" si="2"/>
        <v>Christian C.</v>
      </c>
      <c r="H4468" s="1" t="str">
        <f>IFERROR(__xludf.DUMMYFUNCTION("""COMPUTED_VALUE"""),"3/4/2023, 17:00:00")</f>
        <v>3/4/2023, 17:00:00</v>
      </c>
      <c r="I4468" s="1" t="str">
        <f>IFERROR(__xludf.DUMMYFUNCTION("""COMPUTED_VALUE"""),"Completado en SUCURSAL")</f>
        <v>Completado en SUCURSAL</v>
      </c>
      <c r="J4468" s="1">
        <f t="shared" si="3"/>
        <v>5</v>
      </c>
      <c r="K4468" s="1" t="str">
        <f t="shared" si="4"/>
        <v>Tus Lentes estan LISTAS PARA ENTREGAR, te esperamos.</v>
      </c>
    </row>
    <row r="4469">
      <c r="A4469" s="1">
        <f>IFERROR(__xludf.DUMMYFUNCTION("""COMPUTED_VALUE"""),89032.0)</f>
        <v>89032</v>
      </c>
      <c r="B4469" s="5">
        <f>IFERROR(__xludf.DUMMYFUNCTION("""COMPUTED_VALUE"""),45016.359678900466)</f>
        <v>45016.35968</v>
      </c>
      <c r="C4469" s="1" t="str">
        <f>IFERROR(__xludf.DUMMYFUNCTION("""COMPUTED_VALUE"""),"lucero hugo")</f>
        <v>lucero hugo</v>
      </c>
      <c r="D4469" s="1" t="str">
        <f>IFERROR(__xludf.DUMMYFUNCTION("""COMPUTED_VALUE"""),"Lentes de STOCK")</f>
        <v>Lentes de STOCK</v>
      </c>
      <c r="E4469" s="1" t="str">
        <f>IFERROR(__xludf.DUMMYFUNCTION("""COMPUTED_VALUE"""),"RIVADAVIA Santiago N")</f>
        <v>RIVADAVIA Santiago N</v>
      </c>
      <c r="F4469" s="1" t="str">
        <f t="shared" si="1"/>
        <v>RIVADAVIA </v>
      </c>
      <c r="G4469" s="1" t="str">
        <f t="shared" si="2"/>
        <v>Santiago N</v>
      </c>
      <c r="H4469" s="1" t="str">
        <f>IFERROR(__xludf.DUMMYFUNCTION("""COMPUTED_VALUE"""),"3/4/2023, 17:00:00")</f>
        <v>3/4/2023, 17:00:00</v>
      </c>
      <c r="I4469" s="1" t="str">
        <f>IFERROR(__xludf.DUMMYFUNCTION("""COMPUTED_VALUE"""),"Completado en SUCURSAL")</f>
        <v>Completado en SUCURSAL</v>
      </c>
      <c r="J4469" s="1">
        <f t="shared" si="3"/>
        <v>5</v>
      </c>
      <c r="K4469" s="1" t="str">
        <f t="shared" si="4"/>
        <v>Tus Lentes estan LISTAS PARA ENTREGAR, te esperamos.</v>
      </c>
    </row>
    <row r="4470">
      <c r="A4470" s="1">
        <f>IFERROR(__xludf.DUMMYFUNCTION("""COMPUTED_VALUE"""),89033.0)</f>
        <v>89033</v>
      </c>
      <c r="B4470" s="5">
        <f>IFERROR(__xludf.DUMMYFUNCTION("""COMPUTED_VALUE"""),45016.37588)</f>
        <v>45016.37588</v>
      </c>
      <c r="C4470" s="1" t="str">
        <f>IFERROR(__xludf.DUMMYFUNCTION("""COMPUTED_VALUE"""),"alcaraz ilsa")</f>
        <v>alcaraz ilsa</v>
      </c>
      <c r="D4470" s="1" t="str">
        <f>IFERROR(__xludf.DUMMYFUNCTION("""COMPUTED_VALUE"""),"Lentes de STOCK")</f>
        <v>Lentes de STOCK</v>
      </c>
      <c r="E4470" s="1" t="str">
        <f>IFERROR(__xludf.DUMMYFUNCTION("""COMPUTED_VALUE"""),"RIVADAVIA Santiago N")</f>
        <v>RIVADAVIA Santiago N</v>
      </c>
      <c r="F4470" s="1" t="str">
        <f t="shared" si="1"/>
        <v>RIVADAVIA </v>
      </c>
      <c r="G4470" s="1" t="str">
        <f t="shared" si="2"/>
        <v>Santiago N</v>
      </c>
      <c r="H4470" s="1" t="str">
        <f>IFERROR(__xludf.DUMMYFUNCTION("""COMPUTED_VALUE"""),"3/4/2023, 17:00:00")</f>
        <v>3/4/2023, 17:00:00</v>
      </c>
      <c r="I4470" s="1" t="str">
        <f>IFERROR(__xludf.DUMMYFUNCTION("""COMPUTED_VALUE"""),"Completado en SUCURSAL")</f>
        <v>Completado en SUCURSAL</v>
      </c>
      <c r="J4470" s="1">
        <f t="shared" si="3"/>
        <v>5</v>
      </c>
      <c r="K4470" s="1" t="str">
        <f t="shared" si="4"/>
        <v>Tus Lentes estan LISTAS PARA ENTREGAR, te esperamos.</v>
      </c>
    </row>
    <row r="4471">
      <c r="A4471" s="1">
        <f>IFERROR(__xludf.DUMMYFUNCTION("""COMPUTED_VALUE"""),89034.0)</f>
        <v>89034</v>
      </c>
      <c r="B4471" s="5">
        <f>IFERROR(__xludf.DUMMYFUNCTION("""COMPUTED_VALUE"""),45016.38402440972)</f>
        <v>45016.38402</v>
      </c>
      <c r="C4471" s="1" t="str">
        <f>IFERROR(__xludf.DUMMYFUNCTION("""COMPUTED_VALUE"""),"VALENTINO CECILIA")</f>
        <v>VALENTINO CECILIA</v>
      </c>
      <c r="D4471" s="1" t="str">
        <f>IFERROR(__xludf.DUMMYFUNCTION("""COMPUTED_VALUE"""),"Lentes de STOCK")</f>
        <v>Lentes de STOCK</v>
      </c>
      <c r="E4471" s="1" t="str">
        <f>IFERROR(__xludf.DUMMYFUNCTION("""COMPUTED_VALUE"""),"ARTIGAS Roció")</f>
        <v>ARTIGAS Roció</v>
      </c>
      <c r="F4471" s="1" t="str">
        <f t="shared" si="1"/>
        <v>ARTIGAS </v>
      </c>
      <c r="G4471" s="1" t="str">
        <f t="shared" si="2"/>
        <v>Roció</v>
      </c>
      <c r="H4471" s="1" t="str">
        <f>IFERROR(__xludf.DUMMYFUNCTION("""COMPUTED_VALUE"""),"10/4/2023, 17:00:00")</f>
        <v>10/4/2023, 17:00:00</v>
      </c>
      <c r="I4471" s="1" t="str">
        <f>IFERROR(__xludf.DUMMYFUNCTION("""COMPUTED_VALUE"""),"Completado en SUCURSAL")</f>
        <v>Completado en SUCURSAL</v>
      </c>
      <c r="J4471" s="1">
        <f t="shared" si="3"/>
        <v>5</v>
      </c>
      <c r="K4471" s="1" t="str">
        <f t="shared" si="4"/>
        <v>Tus Lentes estan LISTAS PARA ENTREGAR, te esperamos.</v>
      </c>
    </row>
    <row r="4472">
      <c r="A4472" s="1">
        <f>IFERROR(__xludf.DUMMYFUNCTION("""COMPUTED_VALUE"""),89035.0)</f>
        <v>89035</v>
      </c>
      <c r="B4472" s="5">
        <f>IFERROR(__xludf.DUMMYFUNCTION("""COMPUTED_VALUE"""),45016.384046921296)</f>
        <v>45016.38405</v>
      </c>
      <c r="C4472" s="1" t="str">
        <f>IFERROR(__xludf.DUMMYFUNCTION("""COMPUTED_VALUE"""),"ORDOÑEZ ROCIO")</f>
        <v>ORDOÑEZ ROCIO</v>
      </c>
      <c r="D4472" s="1" t="str">
        <f>IFERROR(__xludf.DUMMYFUNCTION("""COMPUTED_VALUE"""),"Reparaciones/Otros")</f>
        <v>Reparaciones/Otros</v>
      </c>
      <c r="E4472" s="1" t="str">
        <f>IFERROR(__xludf.DUMMYFUNCTION("""COMPUTED_VALUE"""),"ARTIGAS Ivana P.")</f>
        <v>ARTIGAS Ivana P.</v>
      </c>
      <c r="F4472" s="1" t="str">
        <f t="shared" si="1"/>
        <v>ARTIGAS </v>
      </c>
      <c r="G4472" s="1" t="str">
        <f t="shared" si="2"/>
        <v>Ivana P.</v>
      </c>
      <c r="H4472" s="1" t="str">
        <f>IFERROR(__xludf.DUMMYFUNCTION("""COMPUTED_VALUE"""),"3/4/2023, 17:00:00")</f>
        <v>3/4/2023, 17:00:00</v>
      </c>
      <c r="I4472" s="1" t="str">
        <f>IFERROR(__xludf.DUMMYFUNCTION("""COMPUTED_VALUE"""),"Completado en SUCURSAL")</f>
        <v>Completado en SUCURSAL</v>
      </c>
      <c r="J4472" s="1">
        <f t="shared" si="3"/>
        <v>5</v>
      </c>
      <c r="K4472" s="1" t="str">
        <f t="shared" si="4"/>
        <v>Tus Lentes estan LISTAS PARA ENTREGAR, te esperamos.</v>
      </c>
    </row>
    <row r="4473">
      <c r="A4473" s="1">
        <f>IFERROR(__xludf.DUMMYFUNCTION("""COMPUTED_VALUE"""),89036.0)</f>
        <v>89036</v>
      </c>
      <c r="B4473" s="5">
        <f>IFERROR(__xludf.DUMMYFUNCTION("""COMPUTED_VALUE"""),45016.38623662037)</f>
        <v>45016.38624</v>
      </c>
      <c r="C4473" s="1" t="str">
        <f>IFERROR(__xludf.DUMMYFUNCTION("""COMPUTED_VALUE"""),"VALENTINO CECILIA")</f>
        <v>VALENTINO CECILIA</v>
      </c>
      <c r="D4473" s="1" t="str">
        <f>IFERROR(__xludf.DUMMYFUNCTION("""COMPUTED_VALUE"""),"Lentes de STOCK")</f>
        <v>Lentes de STOCK</v>
      </c>
      <c r="E4473" s="1" t="str">
        <f>IFERROR(__xludf.DUMMYFUNCTION("""COMPUTED_VALUE"""),"ARTIGAS Roció")</f>
        <v>ARTIGAS Roció</v>
      </c>
      <c r="F4473" s="1" t="str">
        <f t="shared" si="1"/>
        <v>ARTIGAS </v>
      </c>
      <c r="G4473" s="1" t="str">
        <f t="shared" si="2"/>
        <v>Roció</v>
      </c>
      <c r="H4473" s="1" t="str">
        <f>IFERROR(__xludf.DUMMYFUNCTION("""COMPUTED_VALUE"""),"3/4/2023, 17:00:00")</f>
        <v>3/4/2023, 17:00:00</v>
      </c>
      <c r="I4473" s="1" t="str">
        <f>IFERROR(__xludf.DUMMYFUNCTION("""COMPUTED_VALUE"""),"RETIRADO OK POR CLIENTE")</f>
        <v>RETIRADO OK POR CLIENTE</v>
      </c>
      <c r="J4473" s="1">
        <f t="shared" si="3"/>
        <v>6</v>
      </c>
      <c r="K4473" s="1" t="str">
        <f t="shared" si="4"/>
        <v>Entregamos tus lentes, que los disfrutes!</v>
      </c>
    </row>
    <row r="4474">
      <c r="A4474" s="1">
        <f>IFERROR(__xludf.DUMMYFUNCTION("""COMPUTED_VALUE"""),89037.0)</f>
        <v>89037</v>
      </c>
      <c r="B4474" s="5">
        <f>IFERROR(__xludf.DUMMYFUNCTION("""COMPUTED_VALUE"""),45016.39624664352)</f>
        <v>45016.39625</v>
      </c>
      <c r="C4474" s="1" t="str">
        <f>IFERROR(__xludf.DUMMYFUNCTION("""COMPUTED_VALUE"""),"LAGOS EDUARDO")</f>
        <v>LAGOS EDUARDO</v>
      </c>
      <c r="D4474" s="1" t="str">
        <f>IFERROR(__xludf.DUMMYFUNCTION("""COMPUTED_VALUE"""),"Lentes de STOCK")</f>
        <v>Lentes de STOCK</v>
      </c>
      <c r="E4474" s="1" t="str">
        <f>IFERROR(__xludf.DUMMYFUNCTION("""COMPUTED_VALUE"""),"ARTIGAS Ivana P.")</f>
        <v>ARTIGAS Ivana P.</v>
      </c>
      <c r="F4474" s="1" t="str">
        <f t="shared" si="1"/>
        <v>ARTIGAS </v>
      </c>
      <c r="G4474" s="1" t="str">
        <f t="shared" si="2"/>
        <v>Ivana P.</v>
      </c>
      <c r="H4474" s="1" t="str">
        <f>IFERROR(__xludf.DUMMYFUNCTION("""COMPUTED_VALUE"""),"5/4/2023, 17:00:00")</f>
        <v>5/4/2023, 17:00:00</v>
      </c>
      <c r="I4474" s="1" t="str">
        <f>IFERROR(__xludf.DUMMYFUNCTION("""COMPUTED_VALUE"""),"RETIRADO OK POR CLIENTE")</f>
        <v>RETIRADO OK POR CLIENTE</v>
      </c>
      <c r="J4474" s="1">
        <f t="shared" si="3"/>
        <v>6</v>
      </c>
      <c r="K4474" s="1" t="str">
        <f t="shared" si="4"/>
        <v>Entregamos tus lentes, que los disfrutes!</v>
      </c>
    </row>
    <row r="4475">
      <c r="A4475" s="1">
        <f>IFERROR(__xludf.DUMMYFUNCTION("""COMPUTED_VALUE"""),89038.0)</f>
        <v>89038</v>
      </c>
      <c r="B4475" s="5">
        <f>IFERROR(__xludf.DUMMYFUNCTION("""COMPUTED_VALUE"""),45016.39952681713)</f>
        <v>45016.39953</v>
      </c>
      <c r="C4475" s="1" t="str">
        <f>IFERROR(__xludf.DUMMYFUNCTION("""COMPUTED_VALUE"""),"CRISTALLI ELVIRA ROSA")</f>
        <v>CRISTALLI ELVIRA ROSA</v>
      </c>
      <c r="D4475" s="1" t="str">
        <f>IFERROR(__xludf.DUMMYFUNCTION("""COMPUTED_VALUE"""),"Lentes MULTIFOCALES")</f>
        <v>Lentes MULTIFOCALES</v>
      </c>
      <c r="E4475" s="1" t="str">
        <f>IFERROR(__xludf.DUMMYFUNCTION("""COMPUTED_VALUE"""),"RIVADAVIA Santiago LOPEZ")</f>
        <v>RIVADAVIA Santiago LOPEZ</v>
      </c>
      <c r="F4475" s="1" t="str">
        <f t="shared" si="1"/>
        <v>RIVADAVIA </v>
      </c>
      <c r="G4475" s="1" t="str">
        <f t="shared" si="2"/>
        <v>Santiago LOPEZ</v>
      </c>
      <c r="H4475" s="1" t="str">
        <f>IFERROR(__xludf.DUMMYFUNCTION("""COMPUTED_VALUE"""),"12/4/2023, 17:00:00")</f>
        <v>12/4/2023, 17:00:00</v>
      </c>
      <c r="I4475" s="1" t="str">
        <f>IFERROR(__xludf.DUMMYFUNCTION("""COMPUTED_VALUE"""),"Completado en SUCURSAL")</f>
        <v>Completado en SUCURSAL</v>
      </c>
      <c r="J4475" s="1">
        <f t="shared" si="3"/>
        <v>5</v>
      </c>
      <c r="K4475" s="1" t="str">
        <f t="shared" si="4"/>
        <v>Tus Lentes estan LISTAS PARA ENTREGAR, te esperamos.</v>
      </c>
    </row>
    <row r="4476">
      <c r="A4476" s="1">
        <f>IFERROR(__xludf.DUMMYFUNCTION("""COMPUTED_VALUE"""),89039.0)</f>
        <v>89039</v>
      </c>
      <c r="B4476" s="5">
        <f>IFERROR(__xludf.DUMMYFUNCTION("""COMPUTED_VALUE"""),45016.406045462965)</f>
        <v>45016.40605</v>
      </c>
      <c r="C4476" s="1" t="str">
        <f>IFERROR(__xludf.DUMMYFUNCTION("""COMPUTED_VALUE"""),"torres catalina")</f>
        <v>torres catalina</v>
      </c>
      <c r="D4476" s="1" t="str">
        <f>IFERROR(__xludf.DUMMYFUNCTION("""COMPUTED_VALUE"""),"Lentes de STOCK")</f>
        <v>Lentes de STOCK</v>
      </c>
      <c r="E4476" s="1" t="str">
        <f>IFERROR(__xludf.DUMMYFUNCTION("""COMPUTED_VALUE"""),"RIVADAVIA Christian C.")</f>
        <v>RIVADAVIA Christian C.</v>
      </c>
      <c r="F4476" s="1" t="str">
        <f t="shared" si="1"/>
        <v>RIVADAVIA </v>
      </c>
      <c r="G4476" s="1" t="str">
        <f t="shared" si="2"/>
        <v>Christian C.</v>
      </c>
      <c r="H4476" s="1" t="str">
        <f>IFERROR(__xludf.DUMMYFUNCTION("""COMPUTED_VALUE"""),"6/4/2023, 17:00:00")</f>
        <v>6/4/2023, 17:00:00</v>
      </c>
      <c r="I4476" s="1" t="str">
        <f>IFERROR(__xludf.DUMMYFUNCTION("""COMPUTED_VALUE"""),"RETIRADO OK POR CLIENTE")</f>
        <v>RETIRADO OK POR CLIENTE</v>
      </c>
      <c r="J4476" s="1">
        <f t="shared" si="3"/>
        <v>6</v>
      </c>
      <c r="K4476" s="1" t="str">
        <f t="shared" si="4"/>
        <v>Entregamos tus lentes, que los disfrutes!</v>
      </c>
    </row>
    <row r="4477">
      <c r="A4477" s="1">
        <f>IFERROR(__xludf.DUMMYFUNCTION("""COMPUTED_VALUE"""),89040.0)</f>
        <v>89040</v>
      </c>
      <c r="B4477" s="5">
        <f>IFERROR(__xludf.DUMMYFUNCTION("""COMPUTED_VALUE"""),45016.408040462964)</f>
        <v>45016.40804</v>
      </c>
      <c r="C4477" s="1" t="str">
        <f>IFERROR(__xludf.DUMMYFUNCTION("""COMPUTED_VALUE"""),"constanzo zupo pedro")</f>
        <v>constanzo zupo pedro</v>
      </c>
      <c r="D4477" s="1" t="str">
        <f>IFERROR(__xludf.DUMMYFUNCTION("""COMPUTED_VALUE"""),"Lentes de STOCK")</f>
        <v>Lentes de STOCK</v>
      </c>
      <c r="E4477" s="1" t="str">
        <f>IFERROR(__xludf.DUMMYFUNCTION("""COMPUTED_VALUE"""),"RIVADAVIA Santiago N")</f>
        <v>RIVADAVIA Santiago N</v>
      </c>
      <c r="F4477" s="1" t="str">
        <f t="shared" si="1"/>
        <v>RIVADAVIA </v>
      </c>
      <c r="G4477" s="1" t="str">
        <f t="shared" si="2"/>
        <v>Santiago N</v>
      </c>
      <c r="H4477" s="1" t="str">
        <f>IFERROR(__xludf.DUMMYFUNCTION("""COMPUTED_VALUE"""),"6/4/2023, 17:00:00")</f>
        <v>6/4/2023, 17:00:00</v>
      </c>
      <c r="I4477" s="1" t="str">
        <f>IFERROR(__xludf.DUMMYFUNCTION("""COMPUTED_VALUE"""),"Completado en SUCURSAL")</f>
        <v>Completado en SUCURSAL</v>
      </c>
      <c r="J4477" s="1">
        <f t="shared" si="3"/>
        <v>5</v>
      </c>
      <c r="K4477" s="1" t="str">
        <f t="shared" si="4"/>
        <v>Tus Lentes estan LISTAS PARA ENTREGAR, te esperamos.</v>
      </c>
    </row>
    <row r="4478">
      <c r="A4478" s="1">
        <f>IFERROR(__xludf.DUMMYFUNCTION("""COMPUTED_VALUE"""),89041.0)</f>
        <v>89041</v>
      </c>
      <c r="B4478" s="5">
        <f>IFERROR(__xludf.DUMMYFUNCTION("""COMPUTED_VALUE"""),45016.41808501157)</f>
        <v>45016.41809</v>
      </c>
      <c r="C4478" s="1" t="str">
        <f>IFERROR(__xludf.DUMMYFUNCTION("""COMPUTED_VALUE"""),"SUAREZ DAMISA")</f>
        <v>SUAREZ DAMISA</v>
      </c>
      <c r="D4478" s="1" t="str">
        <f>IFERROR(__xludf.DUMMYFUNCTION("""COMPUTED_VALUE"""),"Lentes de STOCK")</f>
        <v>Lentes de STOCK</v>
      </c>
      <c r="E4478" s="1" t="str">
        <f>IFERROR(__xludf.DUMMYFUNCTION("""COMPUTED_VALUE"""),"RIVADAVIA Christian C.")</f>
        <v>RIVADAVIA Christian C.</v>
      </c>
      <c r="F4478" s="1" t="str">
        <f t="shared" si="1"/>
        <v>RIVADAVIA </v>
      </c>
      <c r="G4478" s="1" t="str">
        <f t="shared" si="2"/>
        <v>Christian C.</v>
      </c>
      <c r="H4478" s="1" t="str">
        <f>IFERROR(__xludf.DUMMYFUNCTION("""COMPUTED_VALUE"""),"6/4/2023, 17:00:00")</f>
        <v>6/4/2023, 17:00:00</v>
      </c>
      <c r="I4478" s="1" t="str">
        <f>IFERROR(__xludf.DUMMYFUNCTION("""COMPUTED_VALUE"""),"Completado en SUCURSAL")</f>
        <v>Completado en SUCURSAL</v>
      </c>
      <c r="J4478" s="1">
        <f t="shared" si="3"/>
        <v>5</v>
      </c>
      <c r="K4478" s="1" t="str">
        <f t="shared" si="4"/>
        <v>Tus Lentes estan LISTAS PARA ENTREGAR, te esperamos.</v>
      </c>
    </row>
    <row r="4479">
      <c r="A4479" s="1">
        <f>IFERROR(__xludf.DUMMYFUNCTION("""COMPUTED_VALUE"""),89042.0)</f>
        <v>89042</v>
      </c>
      <c r="B4479" s="5">
        <f>IFERROR(__xludf.DUMMYFUNCTION("""COMPUTED_VALUE"""),45016.423400844906)</f>
        <v>45016.4234</v>
      </c>
      <c r="C4479" s="1" t="str">
        <f>IFERROR(__xludf.DUMMYFUNCTION("""COMPUTED_VALUE"""),"LOPEZ MABEL")</f>
        <v>LOPEZ MABEL</v>
      </c>
      <c r="D4479" s="1" t="str">
        <f>IFERROR(__xludf.DUMMYFUNCTION("""COMPUTED_VALUE"""),"Lentes de STOCK")</f>
        <v>Lentes de STOCK</v>
      </c>
      <c r="E4479" s="1" t="str">
        <f>IFERROR(__xludf.DUMMYFUNCTION("""COMPUTED_VALUE"""),"ARTIGAS Ivana P.")</f>
        <v>ARTIGAS Ivana P.</v>
      </c>
      <c r="F4479" s="1" t="str">
        <f t="shared" si="1"/>
        <v>ARTIGAS </v>
      </c>
      <c r="G4479" s="1" t="str">
        <f t="shared" si="2"/>
        <v>Ivana P.</v>
      </c>
      <c r="H4479" s="1" t="str">
        <f>IFERROR(__xludf.DUMMYFUNCTION("""COMPUTED_VALUE"""),"10/4/2023, 17:00:00")</f>
        <v>10/4/2023, 17:00:00</v>
      </c>
      <c r="I4479" s="1" t="str">
        <f>IFERROR(__xludf.DUMMYFUNCTION("""COMPUTED_VALUE"""),"Completado en SUCURSAL")</f>
        <v>Completado en SUCURSAL</v>
      </c>
      <c r="J4479" s="1">
        <f t="shared" si="3"/>
        <v>5</v>
      </c>
      <c r="K4479" s="1" t="str">
        <f t="shared" si="4"/>
        <v>Tus Lentes estan LISTAS PARA ENTREGAR, te esperamos.</v>
      </c>
    </row>
    <row r="4480">
      <c r="A4480" s="1">
        <f>IFERROR(__xludf.DUMMYFUNCTION("""COMPUTED_VALUE"""),89043.0)</f>
        <v>89043</v>
      </c>
      <c r="B4480" s="5">
        <f>IFERROR(__xludf.DUMMYFUNCTION("""COMPUTED_VALUE"""),45016.42353443287)</f>
        <v>45016.42353</v>
      </c>
      <c r="C4480" s="1" t="str">
        <f>IFERROR(__xludf.DUMMYFUNCTION("""COMPUTED_VALUE"""),"MORAN MARIA CELESTE")</f>
        <v>MORAN MARIA CELESTE</v>
      </c>
      <c r="D4480" s="1" t="str">
        <f>IFERROR(__xludf.DUMMYFUNCTION("""COMPUTED_VALUE"""),"Lentes MULTIFOCALES")</f>
        <v>Lentes MULTIFOCALES</v>
      </c>
      <c r="E4480" s="1" t="str">
        <f>IFERROR(__xludf.DUMMYFUNCTION("""COMPUTED_VALUE"""),"RIVADAVIA Santiago LOPEZ")</f>
        <v>RIVADAVIA Santiago LOPEZ</v>
      </c>
      <c r="F4480" s="1" t="str">
        <f t="shared" si="1"/>
        <v>RIVADAVIA </v>
      </c>
      <c r="G4480" s="1" t="str">
        <f t="shared" si="2"/>
        <v>Santiago LOPEZ</v>
      </c>
      <c r="H4480" s="1" t="str">
        <f>IFERROR(__xludf.DUMMYFUNCTION("""COMPUTED_VALUE"""),"10/4/2023, 17:00:00")</f>
        <v>10/4/2023, 17:00:00</v>
      </c>
      <c r="I4480" s="1" t="str">
        <f>IFERROR(__xludf.DUMMYFUNCTION("""COMPUTED_VALUE"""),"Completado en SUCURSAL")</f>
        <v>Completado en SUCURSAL</v>
      </c>
      <c r="J4480" s="1">
        <f t="shared" si="3"/>
        <v>5</v>
      </c>
      <c r="K4480" s="1" t="str">
        <f t="shared" si="4"/>
        <v>Tus Lentes estan LISTAS PARA ENTREGAR, te esperamos.</v>
      </c>
    </row>
    <row r="4481">
      <c r="A4481" s="1">
        <f>IFERROR(__xludf.DUMMYFUNCTION("""COMPUTED_VALUE"""),89044.0)</f>
        <v>89044</v>
      </c>
      <c r="B4481" s="5">
        <f>IFERROR(__xludf.DUMMYFUNCTION("""COMPUTED_VALUE"""),45016.423893287036)</f>
        <v>45016.42389</v>
      </c>
      <c r="C4481" s="1" t="str">
        <f>IFERROR(__xludf.DUMMYFUNCTION("""COMPUTED_VALUE"""),"GODOY DIOLINDA GUADALUPE")</f>
        <v>GODOY DIOLINDA GUADALUPE</v>
      </c>
      <c r="D4481" s="1" t="str">
        <f>IFERROR(__xludf.DUMMYFUNCTION("""COMPUTED_VALUE"""),"Lentes de STOCK")</f>
        <v>Lentes de STOCK</v>
      </c>
      <c r="E4481" s="1" t="str">
        <f>IFERROR(__xludf.DUMMYFUNCTION("""COMPUTED_VALUE"""),"RIVADAVIA Marcela L")</f>
        <v>RIVADAVIA Marcela L</v>
      </c>
      <c r="F4481" s="1" t="str">
        <f t="shared" si="1"/>
        <v>RIVADAVIA </v>
      </c>
      <c r="G4481" s="1" t="str">
        <f t="shared" si="2"/>
        <v>Marcela L</v>
      </c>
      <c r="H4481" s="1" t="str">
        <f>IFERROR(__xludf.DUMMYFUNCTION("""COMPUTED_VALUE"""),"10/4/2023, 17:00:00")</f>
        <v>10/4/2023, 17:00:00</v>
      </c>
      <c r="I4481" s="1" t="str">
        <f>IFERROR(__xludf.DUMMYFUNCTION("""COMPUTED_VALUE"""),"Completado en SUCURSAL")</f>
        <v>Completado en SUCURSAL</v>
      </c>
      <c r="J4481" s="1">
        <f t="shared" si="3"/>
        <v>5</v>
      </c>
      <c r="K4481" s="1" t="str">
        <f t="shared" si="4"/>
        <v>Tus Lentes estan LISTAS PARA ENTREGAR, te esperamos.</v>
      </c>
    </row>
    <row r="4482">
      <c r="A4482" s="1">
        <f>IFERROR(__xludf.DUMMYFUNCTION("""COMPUTED_VALUE"""),89045.0)</f>
        <v>89045</v>
      </c>
      <c r="B4482" s="5">
        <f>IFERROR(__xludf.DUMMYFUNCTION("""COMPUTED_VALUE"""),45016.42501140047)</f>
        <v>45016.42501</v>
      </c>
      <c r="C4482" s="1" t="str">
        <f>IFERROR(__xludf.DUMMYFUNCTION("""COMPUTED_VALUE"""),"AVACA AZUL")</f>
        <v>AVACA AZUL</v>
      </c>
      <c r="D4482" s="1" t="str">
        <f>IFERROR(__xludf.DUMMYFUNCTION("""COMPUTED_VALUE"""),"Lentes de STOCK")</f>
        <v>Lentes de STOCK</v>
      </c>
      <c r="E4482" s="1" t="str">
        <f>IFERROR(__xludf.DUMMYFUNCTION("""COMPUTED_VALUE"""),"ARTIGAS Ivana P.")</f>
        <v>ARTIGAS Ivana P.</v>
      </c>
      <c r="F4482" s="1" t="str">
        <f t="shared" si="1"/>
        <v>ARTIGAS </v>
      </c>
      <c r="G4482" s="1" t="str">
        <f t="shared" si="2"/>
        <v>Ivana P.</v>
      </c>
      <c r="H4482" s="1" t="str">
        <f>IFERROR(__xludf.DUMMYFUNCTION("""COMPUTED_VALUE"""),"3/4/2023, 17:00:00")</f>
        <v>3/4/2023, 17:00:00</v>
      </c>
      <c r="I4482" s="1" t="str">
        <f>IFERROR(__xludf.DUMMYFUNCTION("""COMPUTED_VALUE"""),"Completado en SUCURSAL")</f>
        <v>Completado en SUCURSAL</v>
      </c>
      <c r="J4482" s="1">
        <f t="shared" si="3"/>
        <v>5</v>
      </c>
      <c r="K4482" s="1" t="str">
        <f t="shared" si="4"/>
        <v>Tus Lentes estan LISTAS PARA ENTREGAR, te esperamos.</v>
      </c>
    </row>
    <row r="4483">
      <c r="A4483" s="1">
        <f>IFERROR(__xludf.DUMMYFUNCTION("""COMPUTED_VALUE"""),89046.0)</f>
        <v>89046</v>
      </c>
      <c r="B4483" s="5">
        <f>IFERROR(__xludf.DUMMYFUNCTION("""COMPUTED_VALUE"""),45016.439142187504)</f>
        <v>45016.43914</v>
      </c>
      <c r="C4483" s="1" t="str">
        <f>IFERROR(__xludf.DUMMYFUNCTION("""COMPUTED_VALUE"""),"HERRERA ANDREA VANESA")</f>
        <v>HERRERA ANDREA VANESA</v>
      </c>
      <c r="D4483" s="1" t="str">
        <f>IFERROR(__xludf.DUMMYFUNCTION("""COMPUTED_VALUE"""),"Lentes de STOCK")</f>
        <v>Lentes de STOCK</v>
      </c>
      <c r="E4483" s="1" t="str">
        <f>IFERROR(__xludf.DUMMYFUNCTION("""COMPUTED_VALUE"""),"RIVADAVIA Javier")</f>
        <v>RIVADAVIA Javier</v>
      </c>
      <c r="F4483" s="1" t="str">
        <f t="shared" si="1"/>
        <v>RIVADAVIA </v>
      </c>
      <c r="G4483" s="1" t="str">
        <f t="shared" si="2"/>
        <v>Javier</v>
      </c>
      <c r="H4483" s="1" t="str">
        <f>IFERROR(__xludf.DUMMYFUNCTION("""COMPUTED_VALUE"""),"5/4/2023, 17:00:00")</f>
        <v>5/4/2023, 17:00:00</v>
      </c>
      <c r="I4483" s="1" t="str">
        <f>IFERROR(__xludf.DUMMYFUNCTION("""COMPUTED_VALUE"""),"Completado en SUCURSAL")</f>
        <v>Completado en SUCURSAL</v>
      </c>
      <c r="J4483" s="1">
        <f t="shared" si="3"/>
        <v>5</v>
      </c>
      <c r="K4483" s="1" t="str">
        <f t="shared" si="4"/>
        <v>Tus Lentes estan LISTAS PARA ENTREGAR, te esperamos.</v>
      </c>
    </row>
    <row r="4484">
      <c r="A4484" s="1">
        <f>IFERROR(__xludf.DUMMYFUNCTION("""COMPUTED_VALUE"""),89047.0)</f>
        <v>89047</v>
      </c>
      <c r="B4484" s="5">
        <f>IFERROR(__xludf.DUMMYFUNCTION("""COMPUTED_VALUE"""),45016.44015890046)</f>
        <v>45016.44016</v>
      </c>
      <c r="C4484" s="1" t="str">
        <f>IFERROR(__xludf.DUMMYFUNCTION("""COMPUTED_VALUE"""),"CORREA ANTONIA ")</f>
        <v>CORREA ANTONIA </v>
      </c>
      <c r="D4484" s="1" t="str">
        <f>IFERROR(__xludf.DUMMYFUNCTION("""COMPUTED_VALUE"""),"Lentes de STOCK")</f>
        <v>Lentes de STOCK</v>
      </c>
      <c r="E4484" s="1" t="str">
        <f>IFERROR(__xludf.DUMMYFUNCTION("""COMPUTED_VALUE"""),"RIVADAVIA Christian C.")</f>
        <v>RIVADAVIA Christian C.</v>
      </c>
      <c r="F4484" s="1" t="str">
        <f t="shared" si="1"/>
        <v>RIVADAVIA </v>
      </c>
      <c r="G4484" s="1" t="str">
        <f t="shared" si="2"/>
        <v>Christian C.</v>
      </c>
      <c r="H4484" s="1" t="str">
        <f>IFERROR(__xludf.DUMMYFUNCTION("""COMPUTED_VALUE"""),"6/4/2023, 17:00:00")</f>
        <v>6/4/2023, 17:00:00</v>
      </c>
      <c r="I4484" s="1" t="str">
        <f>IFERROR(__xludf.DUMMYFUNCTION("""COMPUTED_VALUE"""),"Completado en SUCURSAL")</f>
        <v>Completado en SUCURSAL</v>
      </c>
      <c r="J4484" s="1">
        <f t="shared" si="3"/>
        <v>5</v>
      </c>
      <c r="K4484" s="1" t="str">
        <f t="shared" si="4"/>
        <v>Tus Lentes estan LISTAS PARA ENTREGAR, te esperamos.</v>
      </c>
    </row>
    <row r="4485">
      <c r="A4485" s="1">
        <f>IFERROR(__xludf.DUMMYFUNCTION("""COMPUTED_VALUE"""),89048.0)</f>
        <v>89048</v>
      </c>
      <c r="B4485" s="5">
        <f>IFERROR(__xludf.DUMMYFUNCTION("""COMPUTED_VALUE"""),45016.44767041667)</f>
        <v>45016.44767</v>
      </c>
      <c r="C4485" s="1" t="str">
        <f>IFERROR(__xludf.DUMMYFUNCTION("""COMPUTED_VALUE"""),"PRIMAVERA ANDY ")</f>
        <v>PRIMAVERA ANDY </v>
      </c>
      <c r="D4485" s="1" t="str">
        <f>IFERROR(__xludf.DUMMYFUNCTION("""COMPUTED_VALUE"""),"Lentes de LABORATORIO")</f>
        <v>Lentes de LABORATORIO</v>
      </c>
      <c r="E4485" s="1" t="str">
        <f>IFERROR(__xludf.DUMMYFUNCTION("""COMPUTED_VALUE"""),"RIVADAVIA Luciana")</f>
        <v>RIVADAVIA Luciana</v>
      </c>
      <c r="F4485" s="1" t="str">
        <f t="shared" si="1"/>
        <v>RIVADAVIA </v>
      </c>
      <c r="G4485" s="1" t="str">
        <f t="shared" si="2"/>
        <v>Luciana</v>
      </c>
      <c r="H4485" s="1" t="str">
        <f>IFERROR(__xludf.DUMMYFUNCTION("""COMPUTED_VALUE"""),"18/4/2023, 17:00:00")</f>
        <v>18/4/2023, 17:00:00</v>
      </c>
      <c r="I4485" s="1" t="str">
        <f>IFERROR(__xludf.DUMMYFUNCTION("""COMPUTED_VALUE"""),"Completado en SUCURSAL")</f>
        <v>Completado en SUCURSAL</v>
      </c>
      <c r="J4485" s="1">
        <f t="shared" si="3"/>
        <v>5</v>
      </c>
      <c r="K4485" s="1" t="str">
        <f t="shared" si="4"/>
        <v>Tus Lentes estan LISTAS PARA ENTREGAR, te esperamos.</v>
      </c>
    </row>
    <row r="4486">
      <c r="A4486" s="1">
        <f>IFERROR(__xludf.DUMMYFUNCTION("""COMPUTED_VALUE"""),89049.0)</f>
        <v>89049</v>
      </c>
      <c r="B4486" s="5">
        <f>IFERROR(__xludf.DUMMYFUNCTION("""COMPUTED_VALUE"""),45016.45570535879)</f>
        <v>45016.45571</v>
      </c>
      <c r="C4486" s="1" t="str">
        <f>IFERROR(__xludf.DUMMYFUNCTION("""COMPUTED_VALUE"""),"GONZALEZ MARIO")</f>
        <v>GONZALEZ MARIO</v>
      </c>
      <c r="D4486" s="1" t="str">
        <f>IFERROR(__xludf.DUMMYFUNCTION("""COMPUTED_VALUE"""),"Lentes de STOCK")</f>
        <v>Lentes de STOCK</v>
      </c>
      <c r="E4486" s="1" t="str">
        <f>IFERROR(__xludf.DUMMYFUNCTION("""COMPUTED_VALUE"""),"ARTIGAS Ivana P.")</f>
        <v>ARTIGAS Ivana P.</v>
      </c>
      <c r="F4486" s="1" t="str">
        <f t="shared" si="1"/>
        <v>ARTIGAS </v>
      </c>
      <c r="G4486" s="1" t="str">
        <f t="shared" si="2"/>
        <v>Ivana P.</v>
      </c>
      <c r="H4486" s="1" t="str">
        <f>IFERROR(__xludf.DUMMYFUNCTION("""COMPUTED_VALUE"""),"5/4/2023, 17:00:00")</f>
        <v>5/4/2023, 17:00:00</v>
      </c>
      <c r="I4486" s="1" t="str">
        <f>IFERROR(__xludf.DUMMYFUNCTION("""COMPUTED_VALUE"""),"RETIRADO OK POR CLIENTE")</f>
        <v>RETIRADO OK POR CLIENTE</v>
      </c>
      <c r="J4486" s="1">
        <f t="shared" si="3"/>
        <v>6</v>
      </c>
      <c r="K4486" s="1" t="str">
        <f t="shared" si="4"/>
        <v>Entregamos tus lentes, que los disfrutes!</v>
      </c>
    </row>
    <row r="4487">
      <c r="A4487" s="1">
        <f>IFERROR(__xludf.DUMMYFUNCTION("""COMPUTED_VALUE"""),89050.0)</f>
        <v>89050</v>
      </c>
      <c r="B4487" s="5">
        <f>IFERROR(__xludf.DUMMYFUNCTION("""COMPUTED_VALUE"""),45016.45997642361)</f>
        <v>45016.45998</v>
      </c>
      <c r="C4487" s="1" t="str">
        <f>IFERROR(__xludf.DUMMYFUNCTION("""COMPUTED_VALUE"""),"MIRANDA MIA ")</f>
        <v>MIRANDA MIA </v>
      </c>
      <c r="D4487" s="1" t="str">
        <f>IFERROR(__xludf.DUMMYFUNCTION("""COMPUTED_VALUE"""),"Lentes de STOCK")</f>
        <v>Lentes de STOCK</v>
      </c>
      <c r="E4487" s="1" t="str">
        <f>IFERROR(__xludf.DUMMYFUNCTION("""COMPUTED_VALUE"""),"RIVADAVIA Christian C.")</f>
        <v>RIVADAVIA Christian C.</v>
      </c>
      <c r="F4487" s="1" t="str">
        <f t="shared" si="1"/>
        <v>RIVADAVIA </v>
      </c>
      <c r="G4487" s="1" t="str">
        <f t="shared" si="2"/>
        <v>Christian C.</v>
      </c>
      <c r="H4487" s="1" t="str">
        <f>IFERROR(__xludf.DUMMYFUNCTION("""COMPUTED_VALUE"""),"6/4/2023, 17:00:00")</f>
        <v>6/4/2023, 17:00:00</v>
      </c>
      <c r="I4487" s="1" t="str">
        <f>IFERROR(__xludf.DUMMYFUNCTION("""COMPUTED_VALUE"""),"Completado en SUCURSAL")</f>
        <v>Completado en SUCURSAL</v>
      </c>
      <c r="J4487" s="1">
        <f t="shared" si="3"/>
        <v>5</v>
      </c>
      <c r="K4487" s="1" t="str">
        <f t="shared" si="4"/>
        <v>Tus Lentes estan LISTAS PARA ENTREGAR, te esperamos.</v>
      </c>
    </row>
    <row r="4488">
      <c r="A4488" s="1">
        <f>IFERROR(__xludf.DUMMYFUNCTION("""COMPUTED_VALUE"""),89051.0)</f>
        <v>89051</v>
      </c>
      <c r="B4488" s="5">
        <f>IFERROR(__xludf.DUMMYFUNCTION("""COMPUTED_VALUE"""),45016.46401476851)</f>
        <v>45016.46401</v>
      </c>
      <c r="C4488" s="1" t="str">
        <f>IFERROR(__xludf.DUMMYFUNCTION("""COMPUTED_VALUE"""),"GAUNA GARRO GERMAN")</f>
        <v>GAUNA GARRO GERMAN</v>
      </c>
      <c r="D4488" s="1" t="str">
        <f>IFERROR(__xludf.DUMMYFUNCTION("""COMPUTED_VALUE"""),"Lentes de STOCK")</f>
        <v>Lentes de STOCK</v>
      </c>
      <c r="E4488" s="1" t="str">
        <f>IFERROR(__xludf.DUMMYFUNCTION("""COMPUTED_VALUE"""),"RIVADAVIA Santiago LOPEZ")</f>
        <v>RIVADAVIA Santiago LOPEZ</v>
      </c>
      <c r="F4488" s="1" t="str">
        <f t="shared" si="1"/>
        <v>RIVADAVIA </v>
      </c>
      <c r="G4488" s="1" t="str">
        <f t="shared" si="2"/>
        <v>Santiago LOPEZ</v>
      </c>
      <c r="H4488" s="1" t="str">
        <f>IFERROR(__xludf.DUMMYFUNCTION("""COMPUTED_VALUE"""),"4/4/2023, 17:00:00")</f>
        <v>4/4/2023, 17:00:00</v>
      </c>
      <c r="I4488" s="1" t="str">
        <f>IFERROR(__xludf.DUMMYFUNCTION("""COMPUTED_VALUE"""),"RETIRADO OK POR CLIENTE")</f>
        <v>RETIRADO OK POR CLIENTE</v>
      </c>
      <c r="J4488" s="1">
        <f t="shared" si="3"/>
        <v>6</v>
      </c>
      <c r="K4488" s="1" t="str">
        <f t="shared" si="4"/>
        <v>Entregamos tus lentes, que los disfrutes!</v>
      </c>
    </row>
    <row r="4489">
      <c r="A4489" s="1">
        <f>IFERROR(__xludf.DUMMYFUNCTION("""COMPUTED_VALUE"""),89052.0)</f>
        <v>89052</v>
      </c>
      <c r="B4489" s="5">
        <f>IFERROR(__xludf.DUMMYFUNCTION("""COMPUTED_VALUE"""),45016.46431809028)</f>
        <v>45016.46432</v>
      </c>
      <c r="C4489" s="1" t="str">
        <f>IFERROR(__xludf.DUMMYFUNCTION("""COMPUTED_VALUE"""),"LEDESMA DOMINGA")</f>
        <v>LEDESMA DOMINGA</v>
      </c>
      <c r="D4489" s="1" t="str">
        <f>IFERROR(__xludf.DUMMYFUNCTION("""COMPUTED_VALUE"""),"Lentes de STOCK")</f>
        <v>Lentes de STOCK</v>
      </c>
      <c r="E4489" s="1" t="str">
        <f>IFERROR(__xludf.DUMMYFUNCTION("""COMPUTED_VALUE"""),"ARTIGAS Ivana P.")</f>
        <v>ARTIGAS Ivana P.</v>
      </c>
      <c r="F4489" s="1" t="str">
        <f t="shared" si="1"/>
        <v>ARTIGAS </v>
      </c>
      <c r="G4489" s="1" t="str">
        <f t="shared" si="2"/>
        <v>Ivana P.</v>
      </c>
      <c r="H4489" s="1" t="str">
        <f>IFERROR(__xludf.DUMMYFUNCTION("""COMPUTED_VALUE"""),"10/4/2023, 17:00:00")</f>
        <v>10/4/2023, 17:00:00</v>
      </c>
      <c r="I4489" s="1" t="str">
        <f>IFERROR(__xludf.DUMMYFUNCTION("""COMPUTED_VALUE"""),"Completado en SUCURSAL")</f>
        <v>Completado en SUCURSAL</v>
      </c>
      <c r="J4489" s="1">
        <f t="shared" si="3"/>
        <v>5</v>
      </c>
      <c r="K4489" s="1" t="str">
        <f t="shared" si="4"/>
        <v>Tus Lentes estan LISTAS PARA ENTREGAR, te esperamos.</v>
      </c>
    </row>
    <row r="4490">
      <c r="A4490" s="1">
        <f>IFERROR(__xludf.DUMMYFUNCTION("""COMPUTED_VALUE"""),89053.0)</f>
        <v>89053</v>
      </c>
      <c r="B4490" s="5">
        <f>IFERROR(__xludf.DUMMYFUNCTION("""COMPUTED_VALUE"""),45016.46540596065)</f>
        <v>45016.46541</v>
      </c>
      <c r="C4490" s="1" t="str">
        <f>IFERROR(__xludf.DUMMYFUNCTION("""COMPUTED_VALUE"""),"Ledezma Olga")</f>
        <v>Ledezma Olga</v>
      </c>
      <c r="D4490" s="1" t="str">
        <f>IFERROR(__xludf.DUMMYFUNCTION("""COMPUTED_VALUE"""),"Reparaciones/Otros")</f>
        <v>Reparaciones/Otros</v>
      </c>
      <c r="E4490" s="1" t="str">
        <f>IFERROR(__xludf.DUMMYFUNCTION("""COMPUTED_VALUE"""),"ARTIGAS Sandra G")</f>
        <v>ARTIGAS Sandra G</v>
      </c>
      <c r="F4490" s="1" t="str">
        <f t="shared" si="1"/>
        <v>ARTIGAS </v>
      </c>
      <c r="G4490" s="1" t="str">
        <f t="shared" si="2"/>
        <v>Sandra G</v>
      </c>
      <c r="H4490" s="1" t="str">
        <f>IFERROR(__xludf.DUMMYFUNCTION("""COMPUTED_VALUE"""),"3/4/2023, 17:00:00")</f>
        <v>3/4/2023, 17:00:00</v>
      </c>
      <c r="I4490" s="1" t="str">
        <f>IFERROR(__xludf.DUMMYFUNCTION("""COMPUTED_VALUE"""),"Completado en SUCURSAL")</f>
        <v>Completado en SUCURSAL</v>
      </c>
      <c r="J4490" s="1">
        <f t="shared" si="3"/>
        <v>5</v>
      </c>
      <c r="K4490" s="1" t="str">
        <f t="shared" si="4"/>
        <v>Tus Lentes estan LISTAS PARA ENTREGAR, te esperamos.</v>
      </c>
    </row>
    <row r="4491">
      <c r="A4491" s="1">
        <f>IFERROR(__xludf.DUMMYFUNCTION("""COMPUTED_VALUE"""),89054.0)</f>
        <v>89054</v>
      </c>
      <c r="B4491" s="5">
        <f>IFERROR(__xludf.DUMMYFUNCTION("""COMPUTED_VALUE"""),45016.489883622686)</f>
        <v>45016.48988</v>
      </c>
      <c r="C4491" s="1" t="str">
        <f>IFERROR(__xludf.DUMMYFUNCTION("""COMPUTED_VALUE"""),"BAEZ JULIANA")</f>
        <v>BAEZ JULIANA</v>
      </c>
      <c r="D4491" s="1" t="str">
        <f>IFERROR(__xludf.DUMMYFUNCTION("""COMPUTED_VALUE"""),"Lentes de STOCK")</f>
        <v>Lentes de STOCK</v>
      </c>
      <c r="E4491" s="1" t="str">
        <f>IFERROR(__xludf.DUMMYFUNCTION("""COMPUTED_VALUE"""),"RIVADAVIA Christian C.")</f>
        <v>RIVADAVIA Christian C.</v>
      </c>
      <c r="F4491" s="1" t="str">
        <f t="shared" si="1"/>
        <v>RIVADAVIA </v>
      </c>
      <c r="G4491" s="1" t="str">
        <f t="shared" si="2"/>
        <v>Christian C.</v>
      </c>
      <c r="H4491" s="1" t="str">
        <f>IFERROR(__xludf.DUMMYFUNCTION("""COMPUTED_VALUE"""),"11/4/2023, 17:00:00")</f>
        <v>11/4/2023, 17:00:00</v>
      </c>
      <c r="I4491" s="1" t="str">
        <f>IFERROR(__xludf.DUMMYFUNCTION("""COMPUTED_VALUE"""),"Completado en SUCURSAL")</f>
        <v>Completado en SUCURSAL</v>
      </c>
      <c r="J4491" s="1">
        <f t="shared" si="3"/>
        <v>5</v>
      </c>
      <c r="K4491" s="1" t="str">
        <f t="shared" si="4"/>
        <v>Tus Lentes estan LISTAS PARA ENTREGAR, te esperamos.</v>
      </c>
    </row>
    <row r="4492">
      <c r="A4492" s="1">
        <f>IFERROR(__xludf.DUMMYFUNCTION("""COMPUTED_VALUE"""),89055.0)</f>
        <v>89055</v>
      </c>
      <c r="B4492" s="5">
        <f>IFERROR(__xludf.DUMMYFUNCTION("""COMPUTED_VALUE"""),45016.490625046295)</f>
        <v>45016.49063</v>
      </c>
      <c r="C4492" s="1" t="str">
        <f>IFERROR(__xludf.DUMMYFUNCTION("""COMPUTED_VALUE"""),"FERNANDEZ ESTEFANIA DANIELA")</f>
        <v>FERNANDEZ ESTEFANIA DANIELA</v>
      </c>
      <c r="D4492" s="1" t="str">
        <f>IFERROR(__xludf.DUMMYFUNCTION("""COMPUTED_VALUE"""),"Lentes de STOCK")</f>
        <v>Lentes de STOCK</v>
      </c>
      <c r="E4492" s="1" t="str">
        <f>IFERROR(__xludf.DUMMYFUNCTION("""COMPUTED_VALUE"""),"RIVADAVIA Marcela L")</f>
        <v>RIVADAVIA Marcela L</v>
      </c>
      <c r="F4492" s="1" t="str">
        <f t="shared" si="1"/>
        <v>RIVADAVIA </v>
      </c>
      <c r="G4492" s="1" t="str">
        <f t="shared" si="2"/>
        <v>Marcela L</v>
      </c>
      <c r="H4492" s="1" t="str">
        <f>IFERROR(__xludf.DUMMYFUNCTION("""COMPUTED_VALUE"""),"5/4/2023, 17:00:00")</f>
        <v>5/4/2023, 17:00:00</v>
      </c>
      <c r="I4492" s="1" t="str">
        <f>IFERROR(__xludf.DUMMYFUNCTION("""COMPUTED_VALUE"""),"RETIRADO OK POR CLIENTE")</f>
        <v>RETIRADO OK POR CLIENTE</v>
      </c>
      <c r="J4492" s="1">
        <f t="shared" si="3"/>
        <v>6</v>
      </c>
      <c r="K4492" s="1" t="str">
        <f t="shared" si="4"/>
        <v>Entregamos tus lentes, que los disfrutes!</v>
      </c>
    </row>
    <row r="4493">
      <c r="A4493" s="1">
        <f>IFERROR(__xludf.DUMMYFUNCTION("""COMPUTED_VALUE"""),89056.0)</f>
        <v>89056</v>
      </c>
      <c r="B4493" s="5">
        <f>IFERROR(__xludf.DUMMYFUNCTION("""COMPUTED_VALUE"""),45016.49256116898)</f>
        <v>45016.49256</v>
      </c>
      <c r="C4493" s="1"/>
      <c r="D4493" s="1" t="str">
        <f>IFERROR(__xludf.DUMMYFUNCTION("""COMPUTED_VALUE"""),"Reparaciones/Otros")</f>
        <v>Reparaciones/Otros</v>
      </c>
      <c r="E4493" s="1" t="str">
        <f>IFERROR(__xludf.DUMMYFUNCTION("""COMPUTED_VALUE"""),"ARTIGAS Sandra G")</f>
        <v>ARTIGAS Sandra G</v>
      </c>
      <c r="F4493" s="1" t="str">
        <f t="shared" si="1"/>
        <v>ARTIGAS </v>
      </c>
      <c r="G4493" s="1" t="str">
        <f t="shared" si="2"/>
        <v>Sandra G</v>
      </c>
      <c r="H4493" s="1" t="str">
        <f>IFERROR(__xludf.DUMMYFUNCTION("""COMPUTED_VALUE"""),"3/4/2023, 17:00:00")</f>
        <v>3/4/2023, 17:00:00</v>
      </c>
      <c r="I4493" s="1"/>
      <c r="J4493" s="1">
        <f t="shared" si="3"/>
        <v>0</v>
      </c>
      <c r="K4493" s="1" t="str">
        <f t="shared" si="4"/>
        <v/>
      </c>
    </row>
    <row r="4494">
      <c r="A4494" s="1">
        <f>IFERROR(__xludf.DUMMYFUNCTION("""COMPUTED_VALUE"""),89057.0)</f>
        <v>89057</v>
      </c>
      <c r="B4494" s="5">
        <f>IFERROR(__xludf.DUMMYFUNCTION("""COMPUTED_VALUE"""),45016.493809293985)</f>
        <v>45016.49381</v>
      </c>
      <c r="C4494" s="1" t="str">
        <f>IFERROR(__xludf.DUMMYFUNCTION("""COMPUTED_VALUE"""),"WIGGENHAUSER ALEJANDRO DANIEL")</f>
        <v>WIGGENHAUSER ALEJANDRO DANIEL</v>
      </c>
      <c r="D4494" s="1" t="str">
        <f>IFERROR(__xludf.DUMMYFUNCTION("""COMPUTED_VALUE"""),"Lentes de STOCK")</f>
        <v>Lentes de STOCK</v>
      </c>
      <c r="E4494" s="1" t="str">
        <f>IFERROR(__xludf.DUMMYFUNCTION("""COMPUTED_VALUE"""),"RIVADAVIA Marcela L")</f>
        <v>RIVADAVIA Marcela L</v>
      </c>
      <c r="F4494" s="1" t="str">
        <f t="shared" si="1"/>
        <v>RIVADAVIA </v>
      </c>
      <c r="G4494" s="1" t="str">
        <f t="shared" si="2"/>
        <v>Marcela L</v>
      </c>
      <c r="H4494" s="1" t="str">
        <f>IFERROR(__xludf.DUMMYFUNCTION("""COMPUTED_VALUE"""),"5/4/2023, 17:00:00")</f>
        <v>5/4/2023, 17:00:00</v>
      </c>
      <c r="I4494" s="1" t="str">
        <f>IFERROR(__xludf.DUMMYFUNCTION("""COMPUTED_VALUE"""),"RETIRADO OK POR CLIENTE")</f>
        <v>RETIRADO OK POR CLIENTE</v>
      </c>
      <c r="J4494" s="1">
        <f t="shared" si="3"/>
        <v>6</v>
      </c>
      <c r="K4494" s="1" t="str">
        <f t="shared" si="4"/>
        <v>Entregamos tus lentes, que los disfrutes!</v>
      </c>
    </row>
    <row r="4495">
      <c r="A4495" s="1">
        <f>IFERROR(__xludf.DUMMYFUNCTION("""COMPUTED_VALUE"""),89058.0)</f>
        <v>89058</v>
      </c>
      <c r="B4495" s="5">
        <f>IFERROR(__xludf.DUMMYFUNCTION("""COMPUTED_VALUE"""),45016.497720405096)</f>
        <v>45016.49772</v>
      </c>
      <c r="C4495" s="1" t="str">
        <f>IFERROR(__xludf.DUMMYFUNCTION("""COMPUTED_VALUE"""),"IRIARTE PAMELA")</f>
        <v>IRIARTE PAMELA</v>
      </c>
      <c r="D4495" s="1" t="str">
        <f>IFERROR(__xludf.DUMMYFUNCTION("""COMPUTED_VALUE"""),"Lentes de STOCK")</f>
        <v>Lentes de STOCK</v>
      </c>
      <c r="E4495" s="1" t="str">
        <f>IFERROR(__xludf.DUMMYFUNCTION("""COMPUTED_VALUE"""),"ARTIGAS Roció")</f>
        <v>ARTIGAS Roció</v>
      </c>
      <c r="F4495" s="1" t="str">
        <f t="shared" si="1"/>
        <v>ARTIGAS </v>
      </c>
      <c r="G4495" s="1" t="str">
        <f t="shared" si="2"/>
        <v>Roció</v>
      </c>
      <c r="H4495" s="1" t="str">
        <f>IFERROR(__xludf.DUMMYFUNCTION("""COMPUTED_VALUE"""),"12/4/2023, 17:00:00")</f>
        <v>12/4/2023, 17:00:00</v>
      </c>
      <c r="I4495" s="1" t="str">
        <f>IFERROR(__xludf.DUMMYFUNCTION("""COMPUTED_VALUE"""),"Completado en SUCURSAL")</f>
        <v>Completado en SUCURSAL</v>
      </c>
      <c r="J4495" s="1">
        <f t="shared" si="3"/>
        <v>5</v>
      </c>
      <c r="K4495" s="1" t="str">
        <f t="shared" si="4"/>
        <v>Tus Lentes estan LISTAS PARA ENTREGAR, te esperamos.</v>
      </c>
    </row>
    <row r="4496">
      <c r="A4496" s="1">
        <f>IFERROR(__xludf.DUMMYFUNCTION("""COMPUTED_VALUE"""),89059.0)</f>
        <v>89059</v>
      </c>
      <c r="B4496" s="5">
        <f>IFERROR(__xludf.DUMMYFUNCTION("""COMPUTED_VALUE"""),45016.49902148148)</f>
        <v>45016.49902</v>
      </c>
      <c r="C4496" s="1" t="str">
        <f>IFERROR(__xludf.DUMMYFUNCTION("""COMPUTED_VALUE"""),"ITURRIOZ ESTEBAN")</f>
        <v>ITURRIOZ ESTEBAN</v>
      </c>
      <c r="D4496" s="1" t="str">
        <f>IFERROR(__xludf.DUMMYFUNCTION("""COMPUTED_VALUE"""),"Lentes de STOCK")</f>
        <v>Lentes de STOCK</v>
      </c>
      <c r="E4496" s="1" t="str">
        <f>IFERROR(__xludf.DUMMYFUNCTION("""COMPUTED_VALUE"""),"RIVADAVIA Christian C.")</f>
        <v>RIVADAVIA Christian C.</v>
      </c>
      <c r="F4496" s="1" t="str">
        <f t="shared" si="1"/>
        <v>RIVADAVIA </v>
      </c>
      <c r="G4496" s="1" t="str">
        <f t="shared" si="2"/>
        <v>Christian C.</v>
      </c>
      <c r="H4496" s="1" t="str">
        <f>IFERROR(__xludf.DUMMYFUNCTION("""COMPUTED_VALUE"""),"5/4/2023, 17:00:00")</f>
        <v>5/4/2023, 17:00:00</v>
      </c>
      <c r="I4496" s="1" t="str">
        <f>IFERROR(__xludf.DUMMYFUNCTION("""COMPUTED_VALUE"""),"RETIRADO OK POR CLIENTE")</f>
        <v>RETIRADO OK POR CLIENTE</v>
      </c>
      <c r="J4496" s="1">
        <f t="shared" si="3"/>
        <v>6</v>
      </c>
      <c r="K4496" s="1" t="str">
        <f t="shared" si="4"/>
        <v>Entregamos tus lentes, que los disfrutes!</v>
      </c>
    </row>
    <row r="4497">
      <c r="A4497" s="1">
        <f>IFERROR(__xludf.DUMMYFUNCTION("""COMPUTED_VALUE"""),89060.0)</f>
        <v>89060</v>
      </c>
      <c r="B4497" s="5">
        <f>IFERROR(__xludf.DUMMYFUNCTION("""COMPUTED_VALUE"""),45016.50565332176)</f>
        <v>45016.50565</v>
      </c>
      <c r="C4497" s="1" t="str">
        <f>IFERROR(__xludf.DUMMYFUNCTION("""COMPUTED_VALUE"""),"JOFRE JUAN")</f>
        <v>JOFRE JUAN</v>
      </c>
      <c r="D4497" s="1" t="str">
        <f>IFERROR(__xludf.DUMMYFUNCTION("""COMPUTED_VALUE"""),"Lentes de STOCK")</f>
        <v>Lentes de STOCK</v>
      </c>
      <c r="E4497" s="1" t="str">
        <f>IFERROR(__xludf.DUMMYFUNCTION("""COMPUTED_VALUE"""),"ARTIGAS Roció")</f>
        <v>ARTIGAS Roció</v>
      </c>
      <c r="F4497" s="1" t="str">
        <f t="shared" si="1"/>
        <v>ARTIGAS </v>
      </c>
      <c r="G4497" s="1" t="str">
        <f t="shared" si="2"/>
        <v>Roció</v>
      </c>
      <c r="H4497" s="1" t="str">
        <f>IFERROR(__xludf.DUMMYFUNCTION("""COMPUTED_VALUE"""),"12/4/2023, 17:00:00")</f>
        <v>12/4/2023, 17:00:00</v>
      </c>
      <c r="I4497" s="1" t="str">
        <f>IFERROR(__xludf.DUMMYFUNCTION("""COMPUTED_VALUE"""),"Completado en SUCURSAL")</f>
        <v>Completado en SUCURSAL</v>
      </c>
      <c r="J4497" s="1">
        <f t="shared" si="3"/>
        <v>5</v>
      </c>
      <c r="K4497" s="1" t="str">
        <f t="shared" si="4"/>
        <v>Tus Lentes estan LISTAS PARA ENTREGAR, te esperamos.</v>
      </c>
    </row>
    <row r="4498">
      <c r="A4498" s="1">
        <f>IFERROR(__xludf.DUMMYFUNCTION("""COMPUTED_VALUE"""),89061.0)</f>
        <v>89061</v>
      </c>
      <c r="B4498" s="5">
        <f>IFERROR(__xludf.DUMMYFUNCTION("""COMPUTED_VALUE"""),45016.50703332176)</f>
        <v>45016.50703</v>
      </c>
      <c r="C4498" s="1" t="str">
        <f>IFERROR(__xludf.DUMMYFUNCTION("""COMPUTED_VALUE"""),"gatica silvana")</f>
        <v>gatica silvana</v>
      </c>
      <c r="D4498" s="1" t="str">
        <f>IFERROR(__xludf.DUMMYFUNCTION("""COMPUTED_VALUE"""),"Lentes de STOCK")</f>
        <v>Lentes de STOCK</v>
      </c>
      <c r="E4498" s="1" t="str">
        <f>IFERROR(__xludf.DUMMYFUNCTION("""COMPUTED_VALUE"""),"RIVADAVIA Santiago N")</f>
        <v>RIVADAVIA Santiago N</v>
      </c>
      <c r="F4498" s="1" t="str">
        <f t="shared" si="1"/>
        <v>RIVADAVIA </v>
      </c>
      <c r="G4498" s="1" t="str">
        <f t="shared" si="2"/>
        <v>Santiago N</v>
      </c>
      <c r="H4498" s="1" t="str">
        <f>IFERROR(__xludf.DUMMYFUNCTION("""COMPUTED_VALUE"""),"3/4/2023, 17:00:00")</f>
        <v>3/4/2023, 17:00:00</v>
      </c>
      <c r="I4498" s="1" t="str">
        <f>IFERROR(__xludf.DUMMYFUNCTION("""COMPUTED_VALUE"""),"RETIRADO OK POR CLIENTE")</f>
        <v>RETIRADO OK POR CLIENTE</v>
      </c>
      <c r="J4498" s="1">
        <f t="shared" si="3"/>
        <v>6</v>
      </c>
      <c r="K4498" s="1" t="str">
        <f t="shared" si="4"/>
        <v>Entregamos tus lentes, que los disfrutes!</v>
      </c>
    </row>
    <row r="4499">
      <c r="A4499" s="1">
        <f>IFERROR(__xludf.DUMMYFUNCTION("""COMPUTED_VALUE"""),89062.0)</f>
        <v>89062</v>
      </c>
      <c r="B4499" s="5">
        <f>IFERROR(__xludf.DUMMYFUNCTION("""COMPUTED_VALUE"""),45016.5107179051)</f>
        <v>45016.51072</v>
      </c>
      <c r="C4499" s="1" t="str">
        <f>IFERROR(__xludf.DUMMYFUNCTION("""COMPUTED_VALUE"""),"SUAREZ HECTOR")</f>
        <v>SUAREZ HECTOR</v>
      </c>
      <c r="D4499" s="1" t="str">
        <f>IFERROR(__xludf.DUMMYFUNCTION("""COMPUTED_VALUE"""),"Lentes de STOCK")</f>
        <v>Lentes de STOCK</v>
      </c>
      <c r="E4499" s="1" t="str">
        <f>IFERROR(__xludf.DUMMYFUNCTION("""COMPUTED_VALUE"""),"RIVADAVIA Luciana")</f>
        <v>RIVADAVIA Luciana</v>
      </c>
      <c r="F4499" s="1" t="str">
        <f t="shared" si="1"/>
        <v>RIVADAVIA </v>
      </c>
      <c r="G4499" s="1" t="str">
        <f t="shared" si="2"/>
        <v>Luciana</v>
      </c>
      <c r="H4499" s="1" t="str">
        <f>IFERROR(__xludf.DUMMYFUNCTION("""COMPUTED_VALUE"""),"5/4/2023, 17:00:00")</f>
        <v>5/4/2023, 17:00:00</v>
      </c>
      <c r="I4499" s="1" t="str">
        <f>IFERROR(__xludf.DUMMYFUNCTION("""COMPUTED_VALUE"""),"Completado en SUCURSAL")</f>
        <v>Completado en SUCURSAL</v>
      </c>
      <c r="J4499" s="1">
        <f t="shared" si="3"/>
        <v>5</v>
      </c>
      <c r="K4499" s="1" t="str">
        <f t="shared" si="4"/>
        <v>Tus Lentes estan LISTAS PARA ENTREGAR, te esperamos.</v>
      </c>
    </row>
    <row r="4500">
      <c r="A4500" s="1">
        <f>IFERROR(__xludf.DUMMYFUNCTION("""COMPUTED_VALUE"""),89063.0)</f>
        <v>89063</v>
      </c>
      <c r="B4500" s="5">
        <f>IFERROR(__xludf.DUMMYFUNCTION("""COMPUTED_VALUE"""),45016.51273701389)</f>
        <v>45016.51274</v>
      </c>
      <c r="C4500" s="1" t="str">
        <f>IFERROR(__xludf.DUMMYFUNCTION("""COMPUTED_VALUE"""),"LOZANO MARIA INES")</f>
        <v>LOZANO MARIA INES</v>
      </c>
      <c r="D4500" s="1" t="str">
        <f>IFERROR(__xludf.DUMMYFUNCTION("""COMPUTED_VALUE"""),"Lentes de STOCK")</f>
        <v>Lentes de STOCK</v>
      </c>
      <c r="E4500" s="1" t="str">
        <f>IFERROR(__xludf.DUMMYFUNCTION("""COMPUTED_VALUE"""),"RIVADAVIA Marcela L")</f>
        <v>RIVADAVIA Marcela L</v>
      </c>
      <c r="F4500" s="1" t="str">
        <f t="shared" si="1"/>
        <v>RIVADAVIA </v>
      </c>
      <c r="G4500" s="1" t="str">
        <f t="shared" si="2"/>
        <v>Marcela L</v>
      </c>
      <c r="H4500" s="1" t="str">
        <f>IFERROR(__xludf.DUMMYFUNCTION("""COMPUTED_VALUE"""),"5/4/2023, 17:00:00")</f>
        <v>5/4/2023, 17:00:00</v>
      </c>
      <c r="I4500" s="1" t="str">
        <f>IFERROR(__xludf.DUMMYFUNCTION("""COMPUTED_VALUE"""),"RETIRADO OK POR CLIENTE")</f>
        <v>RETIRADO OK POR CLIENTE</v>
      </c>
      <c r="J4500" s="1">
        <f t="shared" si="3"/>
        <v>6</v>
      </c>
      <c r="K4500" s="1" t="str">
        <f t="shared" si="4"/>
        <v>Entregamos tus lentes, que los disfrutes!</v>
      </c>
    </row>
    <row r="4501">
      <c r="A4501" s="1">
        <f>IFERROR(__xludf.DUMMYFUNCTION("""COMPUTED_VALUE"""),89064.0)</f>
        <v>89064</v>
      </c>
      <c r="B4501" s="5">
        <f>IFERROR(__xludf.DUMMYFUNCTION("""COMPUTED_VALUE"""),45016.51880503472)</f>
        <v>45016.51881</v>
      </c>
      <c r="C4501" s="1" t="str">
        <f>IFERROR(__xludf.DUMMYFUNCTION("""COMPUTED_VALUE"""),"GARCIA CLARA PAOLA")</f>
        <v>GARCIA CLARA PAOLA</v>
      </c>
      <c r="D4501" s="1" t="str">
        <f>IFERROR(__xludf.DUMMYFUNCTION("""COMPUTED_VALUE"""),"Lentes de STOCK")</f>
        <v>Lentes de STOCK</v>
      </c>
      <c r="E4501" s="1" t="str">
        <f>IFERROR(__xludf.DUMMYFUNCTION("""COMPUTED_VALUE"""),"RIVADAVIA Christian C.")</f>
        <v>RIVADAVIA Christian C.</v>
      </c>
      <c r="F4501" s="1" t="str">
        <f t="shared" si="1"/>
        <v>RIVADAVIA </v>
      </c>
      <c r="G4501" s="1" t="str">
        <f t="shared" si="2"/>
        <v>Christian C.</v>
      </c>
      <c r="H4501" s="1" t="str">
        <f>IFERROR(__xludf.DUMMYFUNCTION("""COMPUTED_VALUE"""),"6/4/2023, 17:00:00")</f>
        <v>6/4/2023, 17:00:00</v>
      </c>
      <c r="I4501" s="1" t="str">
        <f>IFERROR(__xludf.DUMMYFUNCTION("""COMPUTED_VALUE"""),"Completado en SUCURSAL")</f>
        <v>Completado en SUCURSAL</v>
      </c>
      <c r="J4501" s="1">
        <f t="shared" si="3"/>
        <v>5</v>
      </c>
      <c r="K4501" s="1" t="str">
        <f t="shared" si="4"/>
        <v>Tus Lentes estan LISTAS PARA ENTREGAR, te esperamos.</v>
      </c>
    </row>
    <row r="4502">
      <c r="A4502" s="1">
        <f>IFERROR(__xludf.DUMMYFUNCTION("""COMPUTED_VALUE"""),89065.0)</f>
        <v>89065</v>
      </c>
      <c r="B4502" s="5">
        <f>IFERROR(__xludf.DUMMYFUNCTION("""COMPUTED_VALUE"""),45016.518896168986)</f>
        <v>45016.5189</v>
      </c>
      <c r="C4502" s="1" t="str">
        <f>IFERROR(__xludf.DUMMYFUNCTION("""COMPUTED_VALUE"""),"QUIROGA MARIA MICAELA")</f>
        <v>QUIROGA MARIA MICAELA</v>
      </c>
      <c r="D4502" s="1" t="str">
        <f>IFERROR(__xludf.DUMMYFUNCTION("""COMPUTED_VALUE"""),"Lentes de STOCK")</f>
        <v>Lentes de STOCK</v>
      </c>
      <c r="E4502" s="1" t="str">
        <f>IFERROR(__xludf.DUMMYFUNCTION("""COMPUTED_VALUE"""),"RIVADAVIA Christian C.")</f>
        <v>RIVADAVIA Christian C.</v>
      </c>
      <c r="F4502" s="1" t="str">
        <f t="shared" si="1"/>
        <v>RIVADAVIA </v>
      </c>
      <c r="G4502" s="1" t="str">
        <f t="shared" si="2"/>
        <v>Christian C.</v>
      </c>
      <c r="H4502" s="1" t="str">
        <f>IFERROR(__xludf.DUMMYFUNCTION("""COMPUTED_VALUE"""),"6/4/2023, 17:00:00")</f>
        <v>6/4/2023, 17:00:00</v>
      </c>
      <c r="I4502" s="1" t="str">
        <f>IFERROR(__xludf.DUMMYFUNCTION("""COMPUTED_VALUE"""),"Completado en SUCURSAL")</f>
        <v>Completado en SUCURSAL</v>
      </c>
      <c r="J4502" s="1">
        <f t="shared" si="3"/>
        <v>5</v>
      </c>
      <c r="K4502" s="1" t="str">
        <f t="shared" si="4"/>
        <v>Tus Lentes estan LISTAS PARA ENTREGAR, te esperamos.</v>
      </c>
    </row>
    <row r="4503">
      <c r="A4503" s="1">
        <f>IFERROR(__xludf.DUMMYFUNCTION("""COMPUTED_VALUE"""),89066.0)</f>
        <v>89066</v>
      </c>
      <c r="B4503" s="5">
        <f>IFERROR(__xludf.DUMMYFUNCTION("""COMPUTED_VALUE"""),45016.5203578588)</f>
        <v>45016.52036</v>
      </c>
      <c r="C4503" s="1" t="str">
        <f>IFERROR(__xludf.DUMMYFUNCTION("""COMPUTED_VALUE"""),"MIGLIOZZI MARIA FELICITA")</f>
        <v>MIGLIOZZI MARIA FELICITA</v>
      </c>
      <c r="D4503" s="1" t="str">
        <f>IFERROR(__xludf.DUMMYFUNCTION("""COMPUTED_VALUE"""),"Reparaciones/Otros")</f>
        <v>Reparaciones/Otros</v>
      </c>
      <c r="E4503" s="1" t="str">
        <f>IFERROR(__xludf.DUMMYFUNCTION("""COMPUTED_VALUE"""),"RIVADAVIA Daniel CM")</f>
        <v>RIVADAVIA Daniel CM</v>
      </c>
      <c r="F4503" s="1" t="str">
        <f t="shared" si="1"/>
        <v>RIVADAVIA </v>
      </c>
      <c r="G4503" s="1" t="str">
        <f t="shared" si="2"/>
        <v>Daniel CM</v>
      </c>
      <c r="H4503" s="1" t="str">
        <f>IFERROR(__xludf.DUMMYFUNCTION("""COMPUTED_VALUE"""),"3/4/2023, 17:00:00")</f>
        <v>3/4/2023, 17:00:00</v>
      </c>
      <c r="I4503" s="1" t="str">
        <f>IFERROR(__xludf.DUMMYFUNCTION("""COMPUTED_VALUE"""),"Recibido en Laboratorio")</f>
        <v>Recibido en Laboratorio</v>
      </c>
      <c r="J4503" s="1">
        <f t="shared" si="3"/>
        <v>2</v>
      </c>
      <c r="K4503" s="1" t="str">
        <f t="shared" si="4"/>
        <v>Nuestro Laboratorio esta trabajando en tus lentes, los entregaremos en la fecha acordada.</v>
      </c>
    </row>
    <row r="4504">
      <c r="A4504" s="1">
        <f>IFERROR(__xludf.DUMMYFUNCTION("""COMPUTED_VALUE"""),89067.0)</f>
        <v>89067</v>
      </c>
      <c r="B4504" s="5">
        <f>IFERROR(__xludf.DUMMYFUNCTION("""COMPUTED_VALUE"""),45016.527594803236)</f>
        <v>45016.52759</v>
      </c>
      <c r="C4504" s="1" t="str">
        <f>IFERROR(__xludf.DUMMYFUNCTION("""COMPUTED_VALUE"""),"CAMPDERROS MERCEDES EDITH")</f>
        <v>CAMPDERROS MERCEDES EDITH</v>
      </c>
      <c r="D4504" s="1" t="str">
        <f>IFERROR(__xludf.DUMMYFUNCTION("""COMPUTED_VALUE"""),"Lentes de STOCK")</f>
        <v>Lentes de STOCK</v>
      </c>
      <c r="E4504" s="1" t="str">
        <f>IFERROR(__xludf.DUMMYFUNCTION("""COMPUTED_VALUE"""),"RIVADAVIA Marcela L")</f>
        <v>RIVADAVIA Marcela L</v>
      </c>
      <c r="F4504" s="1" t="str">
        <f t="shared" si="1"/>
        <v>RIVADAVIA </v>
      </c>
      <c r="G4504" s="1" t="str">
        <f t="shared" si="2"/>
        <v>Marcela L</v>
      </c>
      <c r="H4504" s="1" t="str">
        <f>IFERROR(__xludf.DUMMYFUNCTION("""COMPUTED_VALUE"""),"11/4/2023, 17:00:00")</f>
        <v>11/4/2023, 17:00:00</v>
      </c>
      <c r="I4504" s="1" t="str">
        <f>IFERROR(__xludf.DUMMYFUNCTION("""COMPUTED_VALUE"""),"Completado en SUCURSAL")</f>
        <v>Completado en SUCURSAL</v>
      </c>
      <c r="J4504" s="1">
        <f t="shared" si="3"/>
        <v>5</v>
      </c>
      <c r="K4504" s="1" t="str">
        <f t="shared" si="4"/>
        <v>Tus Lentes estan LISTAS PARA ENTREGAR, te esperamos.</v>
      </c>
    </row>
    <row r="4505">
      <c r="A4505" s="1">
        <f>IFERROR(__xludf.DUMMYFUNCTION("""COMPUTED_VALUE"""),89068.0)</f>
        <v>89068</v>
      </c>
      <c r="B4505" s="5">
        <f>IFERROR(__xludf.DUMMYFUNCTION("""COMPUTED_VALUE"""),45016.532229108794)</f>
        <v>45016.53223</v>
      </c>
      <c r="C4505" s="1" t="str">
        <f>IFERROR(__xludf.DUMMYFUNCTION("""COMPUTED_VALUE"""),"LUNA ALDO")</f>
        <v>LUNA ALDO</v>
      </c>
      <c r="D4505" s="1" t="str">
        <f>IFERROR(__xludf.DUMMYFUNCTION("""COMPUTED_VALUE"""),"Lentes MULTIFOCALES")</f>
        <v>Lentes MULTIFOCALES</v>
      </c>
      <c r="E4505" s="1" t="str">
        <f>IFERROR(__xludf.DUMMYFUNCTION("""COMPUTED_VALUE"""),"RIVADAVIA Santiago LOPEZ")</f>
        <v>RIVADAVIA Santiago LOPEZ</v>
      </c>
      <c r="F4505" s="1" t="str">
        <f t="shared" si="1"/>
        <v>RIVADAVIA </v>
      </c>
      <c r="G4505" s="1" t="str">
        <f t="shared" si="2"/>
        <v>Santiago LOPEZ</v>
      </c>
      <c r="H4505" s="1" t="str">
        <f>IFERROR(__xludf.DUMMYFUNCTION("""COMPUTED_VALUE"""),"13/4/2023, 17:00:00")</f>
        <v>13/4/2023, 17:00:00</v>
      </c>
      <c r="I4505" s="1" t="str">
        <f>IFERROR(__xludf.DUMMYFUNCTION("""COMPUTED_VALUE"""),"Recibido en Laboratorio")</f>
        <v>Recibido en Laboratorio</v>
      </c>
      <c r="J4505" s="1">
        <f t="shared" si="3"/>
        <v>2</v>
      </c>
      <c r="K4505" s="1" t="str">
        <f t="shared" si="4"/>
        <v>Nuestro Laboratorio esta trabajando en tus lentes, los entregaremos en la fecha acordada.</v>
      </c>
    </row>
    <row r="4506">
      <c r="A4506" s="1">
        <f>IFERROR(__xludf.DUMMYFUNCTION("""COMPUTED_VALUE"""),89069.0)</f>
        <v>89069</v>
      </c>
      <c r="B4506" s="5">
        <f>IFERROR(__xludf.DUMMYFUNCTION("""COMPUTED_VALUE"""),45016.53523424768)</f>
        <v>45016.53523</v>
      </c>
      <c r="C4506" s="1" t="str">
        <f>IFERROR(__xludf.DUMMYFUNCTION("""COMPUTED_VALUE"""),"BARROSO JUANA")</f>
        <v>BARROSO JUANA</v>
      </c>
      <c r="D4506" s="1" t="str">
        <f>IFERROR(__xludf.DUMMYFUNCTION("""COMPUTED_VALUE"""),"Lentes de STOCK")</f>
        <v>Lentes de STOCK</v>
      </c>
      <c r="E4506" s="1" t="str">
        <f>IFERROR(__xludf.DUMMYFUNCTION("""COMPUTED_VALUE"""),"RIVADAVIA Luciana")</f>
        <v>RIVADAVIA Luciana</v>
      </c>
      <c r="F4506" s="1" t="str">
        <f t="shared" si="1"/>
        <v>RIVADAVIA </v>
      </c>
      <c r="G4506" s="1" t="str">
        <f t="shared" si="2"/>
        <v>Luciana</v>
      </c>
      <c r="H4506" s="1" t="str">
        <f>IFERROR(__xludf.DUMMYFUNCTION("""COMPUTED_VALUE"""),"5/4/2023, 17:00:00")</f>
        <v>5/4/2023, 17:00:00</v>
      </c>
      <c r="I4506" s="1" t="str">
        <f>IFERROR(__xludf.DUMMYFUNCTION("""COMPUTED_VALUE"""),"RETIRADO OK POR CLIENTE")</f>
        <v>RETIRADO OK POR CLIENTE</v>
      </c>
      <c r="J4506" s="1">
        <f t="shared" si="3"/>
        <v>6</v>
      </c>
      <c r="K4506" s="1" t="str">
        <f t="shared" si="4"/>
        <v>Entregamos tus lentes, que los disfrutes!</v>
      </c>
    </row>
    <row r="4507">
      <c r="A4507" s="1">
        <f>IFERROR(__xludf.DUMMYFUNCTION("""COMPUTED_VALUE"""),89070.0)</f>
        <v>89070</v>
      </c>
      <c r="B4507" s="5">
        <f>IFERROR(__xludf.DUMMYFUNCTION("""COMPUTED_VALUE"""),45016.53833122685)</f>
        <v>45016.53833</v>
      </c>
      <c r="C4507" s="1" t="str">
        <f>IFERROR(__xludf.DUMMYFUNCTION("""COMPUTED_VALUE"""),"QUISTAPACE OSCAR")</f>
        <v>QUISTAPACE OSCAR</v>
      </c>
      <c r="D4507" s="1" t="str">
        <f>IFERROR(__xludf.DUMMYFUNCTION("""COMPUTED_VALUE"""),"Lentes de LABORATORIO")</f>
        <v>Lentes de LABORATORIO</v>
      </c>
      <c r="E4507" s="1" t="str">
        <f>IFERROR(__xludf.DUMMYFUNCTION("""COMPUTED_VALUE"""),"ARTIGAS Ivana P.")</f>
        <v>ARTIGAS Ivana P.</v>
      </c>
      <c r="F4507" s="1" t="str">
        <f t="shared" si="1"/>
        <v>ARTIGAS </v>
      </c>
      <c r="G4507" s="1" t="str">
        <f t="shared" si="2"/>
        <v>Ivana P.</v>
      </c>
      <c r="H4507" s="1" t="str">
        <f>IFERROR(__xludf.DUMMYFUNCTION("""COMPUTED_VALUE"""),"15/4/2023, 17:00:00")</f>
        <v>15/4/2023, 17:00:00</v>
      </c>
      <c r="I4507" s="1" t="str">
        <f>IFERROR(__xludf.DUMMYFUNCTION("""COMPUTED_VALUE"""),"Recibido en Laboratorio")</f>
        <v>Recibido en Laboratorio</v>
      </c>
      <c r="J4507" s="1">
        <f t="shared" si="3"/>
        <v>2</v>
      </c>
      <c r="K4507" s="1" t="str">
        <f t="shared" si="4"/>
        <v>Nuestro Laboratorio esta trabajando en tus lentes, los entregaremos en la fecha acordada.</v>
      </c>
    </row>
    <row r="4508">
      <c r="A4508" s="1">
        <f>IFERROR(__xludf.DUMMYFUNCTION("""COMPUTED_VALUE"""),89071.0)</f>
        <v>89071</v>
      </c>
      <c r="B4508" s="5">
        <f>IFERROR(__xludf.DUMMYFUNCTION("""COMPUTED_VALUE"""),45016.54040677083)</f>
        <v>45016.54041</v>
      </c>
      <c r="C4508" s="1" t="str">
        <f>IFERROR(__xludf.DUMMYFUNCTION("""COMPUTED_VALUE"""),"ROMERO ELSA CRISTINA")</f>
        <v>ROMERO ELSA CRISTINA</v>
      </c>
      <c r="D4508" s="1" t="str">
        <f>IFERROR(__xludf.DUMMYFUNCTION("""COMPUTED_VALUE"""),"Lentes de STOCK")</f>
        <v>Lentes de STOCK</v>
      </c>
      <c r="E4508" s="1" t="str">
        <f>IFERROR(__xludf.DUMMYFUNCTION("""COMPUTED_VALUE"""),"ARTIGAS Roció")</f>
        <v>ARTIGAS Roció</v>
      </c>
      <c r="F4508" s="1" t="str">
        <f t="shared" si="1"/>
        <v>ARTIGAS </v>
      </c>
      <c r="G4508" s="1" t="str">
        <f t="shared" si="2"/>
        <v>Roció</v>
      </c>
      <c r="H4508" s="1" t="str">
        <f>IFERROR(__xludf.DUMMYFUNCTION("""COMPUTED_VALUE"""),"11/4/2023, 17:00:00")</f>
        <v>11/4/2023, 17:00:00</v>
      </c>
      <c r="I4508" s="1" t="str">
        <f>IFERROR(__xludf.DUMMYFUNCTION("""COMPUTED_VALUE"""),"Completado en SUCURSAL")</f>
        <v>Completado en SUCURSAL</v>
      </c>
      <c r="J4508" s="1">
        <f t="shared" si="3"/>
        <v>5</v>
      </c>
      <c r="K4508" s="1" t="str">
        <f t="shared" si="4"/>
        <v>Tus Lentes estan LISTAS PARA ENTREGAR, te esperamos.</v>
      </c>
    </row>
    <row r="4509">
      <c r="A4509" s="1">
        <f>IFERROR(__xludf.DUMMYFUNCTION("""COMPUTED_VALUE"""),89072.0)</f>
        <v>89072</v>
      </c>
      <c r="B4509" s="5">
        <f>IFERROR(__xludf.DUMMYFUNCTION("""COMPUTED_VALUE"""),45016.54184099537)</f>
        <v>45016.54184</v>
      </c>
      <c r="C4509" s="1" t="str">
        <f>IFERROR(__xludf.DUMMYFUNCTION("""COMPUTED_VALUE"""),"BUSTOS FARA MARCELA")</f>
        <v>BUSTOS FARA MARCELA</v>
      </c>
      <c r="D4509" s="1" t="str">
        <f>IFERROR(__xludf.DUMMYFUNCTION("""COMPUTED_VALUE"""),"Lentes de STOCK")</f>
        <v>Lentes de STOCK</v>
      </c>
      <c r="E4509" s="1" t="str">
        <f>IFERROR(__xludf.DUMMYFUNCTION("""COMPUTED_VALUE"""),"RIVADAVIA Daniel CM")</f>
        <v>RIVADAVIA Daniel CM</v>
      </c>
      <c r="F4509" s="1" t="str">
        <f t="shared" si="1"/>
        <v>RIVADAVIA </v>
      </c>
      <c r="G4509" s="1" t="str">
        <f t="shared" si="2"/>
        <v>Daniel CM</v>
      </c>
      <c r="H4509" s="1" t="str">
        <f>IFERROR(__xludf.DUMMYFUNCTION("""COMPUTED_VALUE"""),"3/4/2023, 17:00:00")</f>
        <v>3/4/2023, 17:00:00</v>
      </c>
      <c r="I4509" s="1" t="str">
        <f>IFERROR(__xludf.DUMMYFUNCTION("""COMPUTED_VALUE"""),"Completado en SUCURSAL")</f>
        <v>Completado en SUCURSAL</v>
      </c>
      <c r="J4509" s="1">
        <f t="shared" si="3"/>
        <v>5</v>
      </c>
      <c r="K4509" s="1" t="str">
        <f t="shared" si="4"/>
        <v>Tus Lentes estan LISTAS PARA ENTREGAR, te esperamos.</v>
      </c>
    </row>
    <row r="4510">
      <c r="A4510" s="1">
        <f>IFERROR(__xludf.DUMMYFUNCTION("""COMPUTED_VALUE"""),89073.0)</f>
        <v>89073</v>
      </c>
      <c r="B4510" s="5">
        <f>IFERROR(__xludf.DUMMYFUNCTION("""COMPUTED_VALUE"""),45016.54353739583)</f>
        <v>45016.54354</v>
      </c>
      <c r="C4510" s="1" t="str">
        <f>IFERROR(__xludf.DUMMYFUNCTION("""COMPUTED_VALUE"""),"GARRO RENE DEL CARMEN")</f>
        <v>GARRO RENE DEL CARMEN</v>
      </c>
      <c r="D4510" s="1" t="str">
        <f>IFERROR(__xludf.DUMMYFUNCTION("""COMPUTED_VALUE"""),"Lentes de STOCK")</f>
        <v>Lentes de STOCK</v>
      </c>
      <c r="E4510" s="1" t="str">
        <f>IFERROR(__xludf.DUMMYFUNCTION("""COMPUTED_VALUE"""),"RIVADAVIA Christian C.")</f>
        <v>RIVADAVIA Christian C.</v>
      </c>
      <c r="F4510" s="1" t="str">
        <f t="shared" si="1"/>
        <v>RIVADAVIA </v>
      </c>
      <c r="G4510" s="1" t="str">
        <f t="shared" si="2"/>
        <v>Christian C.</v>
      </c>
      <c r="H4510" s="1" t="str">
        <f>IFERROR(__xludf.DUMMYFUNCTION("""COMPUTED_VALUE"""),"6/4/2023, 17:00:00")</f>
        <v>6/4/2023, 17:00:00</v>
      </c>
      <c r="I4510" s="1" t="str">
        <f>IFERROR(__xludf.DUMMYFUNCTION("""COMPUTED_VALUE"""),"Completado en SUCURSAL")</f>
        <v>Completado en SUCURSAL</v>
      </c>
      <c r="J4510" s="1">
        <f t="shared" si="3"/>
        <v>5</v>
      </c>
      <c r="K4510" s="1" t="str">
        <f t="shared" si="4"/>
        <v>Tus Lentes estan LISTAS PARA ENTREGAR, te esperamos.</v>
      </c>
    </row>
    <row r="4511">
      <c r="A4511" s="1">
        <f>IFERROR(__xludf.DUMMYFUNCTION("""COMPUTED_VALUE"""),89074.0)</f>
        <v>89074</v>
      </c>
      <c r="B4511" s="5">
        <f>IFERROR(__xludf.DUMMYFUNCTION("""COMPUTED_VALUE"""),45016.54464587963)</f>
        <v>45016.54465</v>
      </c>
      <c r="C4511" s="1" t="str">
        <f>IFERROR(__xludf.DUMMYFUNCTION("""COMPUTED_VALUE"""),"VILLEGAS ESPERANZA DOLLY")</f>
        <v>VILLEGAS ESPERANZA DOLLY</v>
      </c>
      <c r="D4511" s="1" t="str">
        <f>IFERROR(__xludf.DUMMYFUNCTION("""COMPUTED_VALUE"""),"Lentes de STOCK")</f>
        <v>Lentes de STOCK</v>
      </c>
      <c r="E4511" s="1" t="str">
        <f>IFERROR(__xludf.DUMMYFUNCTION("""COMPUTED_VALUE"""),"ARTIGAS Ivana P.")</f>
        <v>ARTIGAS Ivana P.</v>
      </c>
      <c r="F4511" s="1" t="str">
        <f t="shared" si="1"/>
        <v>ARTIGAS </v>
      </c>
      <c r="G4511" s="1" t="str">
        <f t="shared" si="2"/>
        <v>Ivana P.</v>
      </c>
      <c r="H4511" s="1" t="str">
        <f>IFERROR(__xludf.DUMMYFUNCTION("""COMPUTED_VALUE"""),"10/4/2023, 17:00:00")</f>
        <v>10/4/2023, 17:00:00</v>
      </c>
      <c r="I4511" s="1" t="str">
        <f>IFERROR(__xludf.DUMMYFUNCTION("""COMPUTED_VALUE"""),"Completado en SUCURSAL")</f>
        <v>Completado en SUCURSAL</v>
      </c>
      <c r="J4511" s="1">
        <f t="shared" si="3"/>
        <v>5</v>
      </c>
      <c r="K4511" s="1" t="str">
        <f t="shared" si="4"/>
        <v>Tus Lentes estan LISTAS PARA ENTREGAR, te esperamos.</v>
      </c>
    </row>
    <row r="4512">
      <c r="A4512" s="1">
        <f>IFERROR(__xludf.DUMMYFUNCTION("""COMPUTED_VALUE"""),89075.0)</f>
        <v>89075</v>
      </c>
      <c r="B4512" s="5">
        <f>IFERROR(__xludf.DUMMYFUNCTION("""COMPUTED_VALUE"""),45016.551438599534)</f>
        <v>45016.55144</v>
      </c>
      <c r="C4512" s="1" t="str">
        <f>IFERROR(__xludf.DUMMYFUNCTION("""COMPUTED_VALUE"""),"ALCARAZ SANTIAGO")</f>
        <v>ALCARAZ SANTIAGO</v>
      </c>
      <c r="D4512" s="1" t="str">
        <f>IFERROR(__xludf.DUMMYFUNCTION("""COMPUTED_VALUE"""),"Lentes de STOCK")</f>
        <v>Lentes de STOCK</v>
      </c>
      <c r="E4512" s="1" t="str">
        <f>IFERROR(__xludf.DUMMYFUNCTION("""COMPUTED_VALUE"""),"ARTIGAS Roció")</f>
        <v>ARTIGAS Roció</v>
      </c>
      <c r="F4512" s="1" t="str">
        <f t="shared" si="1"/>
        <v>ARTIGAS </v>
      </c>
      <c r="G4512" s="1" t="str">
        <f t="shared" si="2"/>
        <v>Roció</v>
      </c>
      <c r="H4512" s="1" t="str">
        <f>IFERROR(__xludf.DUMMYFUNCTION("""COMPUTED_VALUE"""),"12/4/2023, 17:00:00")</f>
        <v>12/4/2023, 17:00:00</v>
      </c>
      <c r="I4512" s="1" t="str">
        <f>IFERROR(__xludf.DUMMYFUNCTION("""COMPUTED_VALUE"""),"Recibido en Laboratorio")</f>
        <v>Recibido en Laboratorio</v>
      </c>
      <c r="J4512" s="1">
        <f t="shared" si="3"/>
        <v>2</v>
      </c>
      <c r="K4512" s="1" t="str">
        <f t="shared" si="4"/>
        <v>Nuestro Laboratorio esta trabajando en tus lentes, los entregaremos en la fecha acordada.</v>
      </c>
    </row>
    <row r="4513">
      <c r="A4513" s="1">
        <f>IFERROR(__xludf.DUMMYFUNCTION("""COMPUTED_VALUE"""),89076.0)</f>
        <v>89076</v>
      </c>
      <c r="B4513" s="5">
        <f>IFERROR(__xludf.DUMMYFUNCTION("""COMPUTED_VALUE"""),45016.563313101855)</f>
        <v>45016.56331</v>
      </c>
      <c r="C4513" s="1" t="str">
        <f>IFERROR(__xludf.DUMMYFUNCTION("""COMPUTED_VALUE"""),"TOBARES  GUADALUPE ")</f>
        <v>TOBARES  GUADALUPE </v>
      </c>
      <c r="D4513" s="1" t="str">
        <f>IFERROR(__xludf.DUMMYFUNCTION("""COMPUTED_VALUE"""),"Lentes de STOCK")</f>
        <v>Lentes de STOCK</v>
      </c>
      <c r="E4513" s="1" t="str">
        <f>IFERROR(__xludf.DUMMYFUNCTION("""COMPUTED_VALUE"""),"RIVADAVIA Luciana")</f>
        <v>RIVADAVIA Luciana</v>
      </c>
      <c r="F4513" s="1" t="str">
        <f t="shared" si="1"/>
        <v>RIVADAVIA </v>
      </c>
      <c r="G4513" s="1" t="str">
        <f t="shared" si="2"/>
        <v>Luciana</v>
      </c>
      <c r="H4513" s="1" t="str">
        <f>IFERROR(__xludf.DUMMYFUNCTION("""COMPUTED_VALUE"""),"6/4/2023, 17:00:00")</f>
        <v>6/4/2023, 17:00:00</v>
      </c>
      <c r="I4513" s="1" t="str">
        <f>IFERROR(__xludf.DUMMYFUNCTION("""COMPUTED_VALUE"""),"Completado en SUCURSAL")</f>
        <v>Completado en SUCURSAL</v>
      </c>
      <c r="J4513" s="1">
        <f t="shared" si="3"/>
        <v>5</v>
      </c>
      <c r="K4513" s="1" t="str">
        <f t="shared" si="4"/>
        <v>Tus Lentes estan LISTAS PARA ENTREGAR, te esperamos.</v>
      </c>
    </row>
    <row r="4514">
      <c r="A4514" s="1">
        <f>IFERROR(__xludf.DUMMYFUNCTION("""COMPUTED_VALUE"""),89077.0)</f>
        <v>89077</v>
      </c>
      <c r="B4514" s="5">
        <f>IFERROR(__xludf.DUMMYFUNCTION("""COMPUTED_VALUE"""),45016.69855826389)</f>
        <v>45016.69856</v>
      </c>
      <c r="C4514" s="1" t="str">
        <f>IFERROR(__xludf.DUMMYFUNCTION("""COMPUTED_VALUE"""),"OROS ISABELLA MONSERRAT")</f>
        <v>OROS ISABELLA MONSERRAT</v>
      </c>
      <c r="D4514" s="1" t="str">
        <f>IFERROR(__xludf.DUMMYFUNCTION("""COMPUTED_VALUE"""),"Lentes de STOCK")</f>
        <v>Lentes de STOCK</v>
      </c>
      <c r="E4514" s="1" t="str">
        <f>IFERROR(__xludf.DUMMYFUNCTION("""COMPUTED_VALUE"""),"RIVADAVIA Marcela L")</f>
        <v>RIVADAVIA Marcela L</v>
      </c>
      <c r="F4514" s="1" t="str">
        <f t="shared" si="1"/>
        <v>RIVADAVIA </v>
      </c>
      <c r="G4514" s="1" t="str">
        <f t="shared" si="2"/>
        <v>Marcela L</v>
      </c>
      <c r="H4514" s="1" t="str">
        <f>IFERROR(__xludf.DUMMYFUNCTION("""COMPUTED_VALUE"""),"5/4/2023, 17:00:00")</f>
        <v>5/4/2023, 17:00:00</v>
      </c>
      <c r="I4514" s="1" t="str">
        <f>IFERROR(__xludf.DUMMYFUNCTION("""COMPUTED_VALUE"""),"RETIRADO OK POR CLIENTE")</f>
        <v>RETIRADO OK POR CLIENTE</v>
      </c>
      <c r="J4514" s="1">
        <f t="shared" si="3"/>
        <v>6</v>
      </c>
      <c r="K4514" s="1" t="str">
        <f t="shared" si="4"/>
        <v>Entregamos tus lentes, que los disfrutes!</v>
      </c>
    </row>
    <row r="4515">
      <c r="A4515" s="1">
        <f>IFERROR(__xludf.DUMMYFUNCTION("""COMPUTED_VALUE"""),89078.0)</f>
        <v>89078</v>
      </c>
      <c r="B4515" s="5">
        <f>IFERROR(__xludf.DUMMYFUNCTION("""COMPUTED_VALUE"""),45016.70214824074)</f>
        <v>45016.70215</v>
      </c>
      <c r="C4515" s="1" t="str">
        <f>IFERROR(__xludf.DUMMYFUNCTION("""COMPUTED_VALUE"""),"MUÑOZ OSCAR")</f>
        <v>MUÑOZ OSCAR</v>
      </c>
      <c r="D4515" s="1" t="str">
        <f>IFERROR(__xludf.DUMMYFUNCTION("""COMPUTED_VALUE"""),"Lentes de STOCK")</f>
        <v>Lentes de STOCK</v>
      </c>
      <c r="E4515" s="1" t="str">
        <f>IFERROR(__xludf.DUMMYFUNCTION("""COMPUTED_VALUE"""),"RIVADAVIA Javier")</f>
        <v>RIVADAVIA Javier</v>
      </c>
      <c r="F4515" s="1" t="str">
        <f t="shared" si="1"/>
        <v>RIVADAVIA </v>
      </c>
      <c r="G4515" s="1" t="str">
        <f t="shared" si="2"/>
        <v>Javier</v>
      </c>
      <c r="H4515" s="1" t="str">
        <f>IFERROR(__xludf.DUMMYFUNCTION("""COMPUTED_VALUE"""),"6/4/2023, 17:00:00")</f>
        <v>6/4/2023, 17:00:00</v>
      </c>
      <c r="I4515" s="1" t="str">
        <f>IFERROR(__xludf.DUMMYFUNCTION("""COMPUTED_VALUE"""),"Completado en SUCURSAL")</f>
        <v>Completado en SUCURSAL</v>
      </c>
      <c r="J4515" s="1">
        <f t="shared" si="3"/>
        <v>5</v>
      </c>
      <c r="K4515" s="1" t="str">
        <f t="shared" si="4"/>
        <v>Tus Lentes estan LISTAS PARA ENTREGAR, te esperamos.</v>
      </c>
    </row>
    <row r="4516">
      <c r="A4516" s="1">
        <f>IFERROR(__xludf.DUMMYFUNCTION("""COMPUTED_VALUE"""),89079.0)</f>
        <v>89079</v>
      </c>
      <c r="B4516" s="5">
        <f>IFERROR(__xludf.DUMMYFUNCTION("""COMPUTED_VALUE"""),45016.71442388889)</f>
        <v>45016.71442</v>
      </c>
      <c r="C4516" s="1" t="str">
        <f>IFERROR(__xludf.DUMMYFUNCTION("""COMPUTED_VALUE"""),"PEREYRA JOSE ANTONIO")</f>
        <v>PEREYRA JOSE ANTONIO</v>
      </c>
      <c r="D4516" s="1" t="str">
        <f>IFERROR(__xludf.DUMMYFUNCTION("""COMPUTED_VALUE"""),"Lentes de STOCK")</f>
        <v>Lentes de STOCK</v>
      </c>
      <c r="E4516" s="1" t="str">
        <f>IFERROR(__xludf.DUMMYFUNCTION("""COMPUTED_VALUE"""),"RIVADAVIA Marcela L")</f>
        <v>RIVADAVIA Marcela L</v>
      </c>
      <c r="F4516" s="1" t="str">
        <f t="shared" si="1"/>
        <v>RIVADAVIA </v>
      </c>
      <c r="G4516" s="1" t="str">
        <f t="shared" si="2"/>
        <v>Marcela L</v>
      </c>
      <c r="H4516" s="1" t="str">
        <f>IFERROR(__xludf.DUMMYFUNCTION("""COMPUTED_VALUE"""),"10/4/2023, 17:00:00")</f>
        <v>10/4/2023, 17:00:00</v>
      </c>
      <c r="I4516" s="1" t="str">
        <f>IFERROR(__xludf.DUMMYFUNCTION("""COMPUTED_VALUE"""),"Completado en SUCURSAL")</f>
        <v>Completado en SUCURSAL</v>
      </c>
      <c r="J4516" s="1">
        <f t="shared" si="3"/>
        <v>5</v>
      </c>
      <c r="K4516" s="1" t="str">
        <f t="shared" si="4"/>
        <v>Tus Lentes estan LISTAS PARA ENTREGAR, te esperamos.</v>
      </c>
    </row>
    <row r="4517">
      <c r="A4517" s="1">
        <f>IFERROR(__xludf.DUMMYFUNCTION("""COMPUTED_VALUE"""),89080.0)</f>
        <v>89080</v>
      </c>
      <c r="B4517" s="5">
        <f>IFERROR(__xludf.DUMMYFUNCTION("""COMPUTED_VALUE"""),45016.71701756945)</f>
        <v>45016.71702</v>
      </c>
      <c r="C4517" s="1" t="str">
        <f>IFERROR(__xludf.DUMMYFUNCTION("""COMPUTED_VALUE"""),"MAURE CARLOS")</f>
        <v>MAURE CARLOS</v>
      </c>
      <c r="D4517" s="1" t="str">
        <f>IFERROR(__xludf.DUMMYFUNCTION("""COMPUTED_VALUE"""),"Reparaciones/Otros")</f>
        <v>Reparaciones/Otros</v>
      </c>
      <c r="E4517" s="1" t="str">
        <f>IFERROR(__xludf.DUMMYFUNCTION("""COMPUTED_VALUE"""),"ARTIGAS Ivana P.")</f>
        <v>ARTIGAS Ivana P.</v>
      </c>
      <c r="F4517" s="1" t="str">
        <f t="shared" si="1"/>
        <v>ARTIGAS </v>
      </c>
      <c r="G4517" s="1" t="str">
        <f t="shared" si="2"/>
        <v>Ivana P.</v>
      </c>
      <c r="H4517" s="1" t="str">
        <f>IFERROR(__xludf.DUMMYFUNCTION("""COMPUTED_VALUE"""),"3/4/2023, 17:00:00")</f>
        <v>3/4/2023, 17:00:00</v>
      </c>
      <c r="I4517" s="1" t="str">
        <f>IFERROR(__xludf.DUMMYFUNCTION("""COMPUTED_VALUE"""),"Completado en SUCURSAL")</f>
        <v>Completado en SUCURSAL</v>
      </c>
      <c r="J4517" s="1">
        <f t="shared" si="3"/>
        <v>5</v>
      </c>
      <c r="K4517" s="1" t="str">
        <f t="shared" si="4"/>
        <v>Tus Lentes estan LISTAS PARA ENTREGAR, te esperamos.</v>
      </c>
    </row>
    <row r="4518">
      <c r="A4518" s="1">
        <f>IFERROR(__xludf.DUMMYFUNCTION("""COMPUTED_VALUE"""),89081.0)</f>
        <v>89081</v>
      </c>
      <c r="B4518" s="5">
        <f>IFERROR(__xludf.DUMMYFUNCTION("""COMPUTED_VALUE"""),45016.72059010417)</f>
        <v>45016.72059</v>
      </c>
      <c r="C4518" s="1" t="str">
        <f>IFERROR(__xludf.DUMMYFUNCTION("""COMPUTED_VALUE"""),"PEREYRA ANTONELLA")</f>
        <v>PEREYRA ANTONELLA</v>
      </c>
      <c r="D4518" s="1" t="str">
        <f>IFERROR(__xludf.DUMMYFUNCTION("""COMPUTED_VALUE"""),"Lentes de STOCK")</f>
        <v>Lentes de STOCK</v>
      </c>
      <c r="E4518" s="1" t="str">
        <f>IFERROR(__xludf.DUMMYFUNCTION("""COMPUTED_VALUE"""),"RIVADAVIA Santiago LOPEZ")</f>
        <v>RIVADAVIA Santiago LOPEZ</v>
      </c>
      <c r="F4518" s="1" t="str">
        <f t="shared" si="1"/>
        <v>RIVADAVIA </v>
      </c>
      <c r="G4518" s="1" t="str">
        <f t="shared" si="2"/>
        <v>Santiago LOPEZ</v>
      </c>
      <c r="H4518" s="1" t="str">
        <f>IFERROR(__xludf.DUMMYFUNCTION("""COMPUTED_VALUE"""),"4/4/2023, 17:00:00")</f>
        <v>4/4/2023, 17:00:00</v>
      </c>
      <c r="I4518" s="1" t="str">
        <f>IFERROR(__xludf.DUMMYFUNCTION("""COMPUTED_VALUE"""),"RETIRADO OK POR CLIENTE")</f>
        <v>RETIRADO OK POR CLIENTE</v>
      </c>
      <c r="J4518" s="1">
        <f t="shared" si="3"/>
        <v>6</v>
      </c>
      <c r="K4518" s="1" t="str">
        <f t="shared" si="4"/>
        <v>Entregamos tus lentes, que los disfrutes!</v>
      </c>
    </row>
    <row r="4519">
      <c r="A4519" s="1">
        <f>IFERROR(__xludf.DUMMYFUNCTION("""COMPUTED_VALUE"""),89082.0)</f>
        <v>89082</v>
      </c>
      <c r="B4519" s="5">
        <f>IFERROR(__xludf.DUMMYFUNCTION("""COMPUTED_VALUE"""),45016.7250365625)</f>
        <v>45016.72504</v>
      </c>
      <c r="C4519" s="1" t="str">
        <f>IFERROR(__xludf.DUMMYFUNCTION("""COMPUTED_VALUE"""),"ANDRADA ALDO")</f>
        <v>ANDRADA ALDO</v>
      </c>
      <c r="D4519" s="1" t="str">
        <f>IFERROR(__xludf.DUMMYFUNCTION("""COMPUTED_VALUE"""),"Lentes de STOCK")</f>
        <v>Lentes de STOCK</v>
      </c>
      <c r="E4519" s="1" t="str">
        <f>IFERROR(__xludf.DUMMYFUNCTION("""COMPUTED_VALUE"""),"ARTIGAS Ivana P.")</f>
        <v>ARTIGAS Ivana P.</v>
      </c>
      <c r="F4519" s="1" t="str">
        <f t="shared" si="1"/>
        <v>ARTIGAS </v>
      </c>
      <c r="G4519" s="1" t="str">
        <f t="shared" si="2"/>
        <v>Ivana P.</v>
      </c>
      <c r="H4519" s="1" t="str">
        <f>IFERROR(__xludf.DUMMYFUNCTION("""COMPUTED_VALUE"""),"3/4/2023, 17:00:00")</f>
        <v>3/4/2023, 17:00:00</v>
      </c>
      <c r="I4519" s="1" t="str">
        <f>IFERROR(__xludf.DUMMYFUNCTION("""COMPUTED_VALUE"""),"Completado en SUCURSAL")</f>
        <v>Completado en SUCURSAL</v>
      </c>
      <c r="J4519" s="1">
        <f t="shared" si="3"/>
        <v>5</v>
      </c>
      <c r="K4519" s="1" t="str">
        <f t="shared" si="4"/>
        <v>Tus Lentes estan LISTAS PARA ENTREGAR, te esperamos.</v>
      </c>
    </row>
    <row r="4520">
      <c r="A4520" s="1">
        <f>IFERROR(__xludf.DUMMYFUNCTION("""COMPUTED_VALUE"""),89083.0)</f>
        <v>89083</v>
      </c>
      <c r="B4520" s="5">
        <f>IFERROR(__xludf.DUMMYFUNCTION("""COMPUTED_VALUE"""),45016.73199137731)</f>
        <v>45016.73199</v>
      </c>
      <c r="C4520" s="1" t="str">
        <f>IFERROR(__xludf.DUMMYFUNCTION("""COMPUTED_VALUE"""),"REY SANTIAGO LAUTARO")</f>
        <v>REY SANTIAGO LAUTARO</v>
      </c>
      <c r="D4520" s="1" t="str">
        <f>IFERROR(__xludf.DUMMYFUNCTION("""COMPUTED_VALUE"""),"Lentes de LABORATORIO")</f>
        <v>Lentes de LABORATORIO</v>
      </c>
      <c r="E4520" s="1" t="str">
        <f>IFERROR(__xludf.DUMMYFUNCTION("""COMPUTED_VALUE"""),"ARTIGAS Roció")</f>
        <v>ARTIGAS Roció</v>
      </c>
      <c r="F4520" s="1" t="str">
        <f t="shared" si="1"/>
        <v>ARTIGAS </v>
      </c>
      <c r="G4520" s="1" t="str">
        <f t="shared" si="2"/>
        <v>Roció</v>
      </c>
      <c r="H4520" s="1" t="str">
        <f>IFERROR(__xludf.DUMMYFUNCTION("""COMPUTED_VALUE"""),"14/4/2023, 17:00:00")</f>
        <v>14/4/2023, 17:00:00</v>
      </c>
      <c r="I4520" s="1" t="str">
        <f>IFERROR(__xludf.DUMMYFUNCTION("""COMPUTED_VALUE"""),"Completado en SUCURSAL")</f>
        <v>Completado en SUCURSAL</v>
      </c>
      <c r="J4520" s="1">
        <f t="shared" si="3"/>
        <v>5</v>
      </c>
      <c r="K4520" s="1" t="str">
        <f t="shared" si="4"/>
        <v>Tus Lentes estan LISTAS PARA ENTREGAR, te esperamos.</v>
      </c>
    </row>
    <row r="4521">
      <c r="A4521" s="1">
        <f>IFERROR(__xludf.DUMMYFUNCTION("""COMPUTED_VALUE"""),89084.0)</f>
        <v>89084</v>
      </c>
      <c r="B4521" s="5">
        <f>IFERROR(__xludf.DUMMYFUNCTION("""COMPUTED_VALUE"""),45016.745953136575)</f>
        <v>45016.74595</v>
      </c>
      <c r="C4521" s="1" t="str">
        <f>IFERROR(__xludf.DUMMYFUNCTION("""COMPUTED_VALUE"""),"vera yesica")</f>
        <v>vera yesica</v>
      </c>
      <c r="D4521" s="1" t="str">
        <f>IFERROR(__xludf.DUMMYFUNCTION("""COMPUTED_VALUE"""),"Reparaciones/Otros")</f>
        <v>Reparaciones/Otros</v>
      </c>
      <c r="E4521" s="1" t="str">
        <f>IFERROR(__xludf.DUMMYFUNCTION("""COMPUTED_VALUE"""),"RIVADAVIA Santiago LOPEZ")</f>
        <v>RIVADAVIA Santiago LOPEZ</v>
      </c>
      <c r="F4521" s="1" t="str">
        <f t="shared" si="1"/>
        <v>RIVADAVIA </v>
      </c>
      <c r="G4521" s="1" t="str">
        <f t="shared" si="2"/>
        <v>Santiago LOPEZ</v>
      </c>
      <c r="H4521" s="1" t="str">
        <f>IFERROR(__xludf.DUMMYFUNCTION("""COMPUTED_VALUE"""),"3/4/2023, 17:00:00")</f>
        <v>3/4/2023, 17:00:00</v>
      </c>
      <c r="I4521" s="1" t="str">
        <f>IFERROR(__xludf.DUMMYFUNCTION("""COMPUTED_VALUE"""),"Recibido en Laboratorio")</f>
        <v>Recibido en Laboratorio</v>
      </c>
      <c r="J4521" s="1">
        <f t="shared" si="3"/>
        <v>2</v>
      </c>
      <c r="K4521" s="1" t="str">
        <f t="shared" si="4"/>
        <v>Nuestro Laboratorio esta trabajando en tus lentes, los entregaremos en la fecha acordada.</v>
      </c>
    </row>
    <row r="4522">
      <c r="A4522" s="1">
        <f>IFERROR(__xludf.DUMMYFUNCTION("""COMPUTED_VALUE"""),89085.0)</f>
        <v>89085</v>
      </c>
      <c r="B4522" s="5">
        <f>IFERROR(__xludf.DUMMYFUNCTION("""COMPUTED_VALUE"""),45016.75296304398)</f>
        <v>45016.75296</v>
      </c>
      <c r="C4522" s="1" t="str">
        <f>IFERROR(__xludf.DUMMYFUNCTION("""COMPUTED_VALUE"""),"PEREZ MANUEL AGUSTIN")</f>
        <v>PEREZ MANUEL AGUSTIN</v>
      </c>
      <c r="D4522" s="1" t="str">
        <f>IFERROR(__xludf.DUMMYFUNCTION("""COMPUTED_VALUE"""),"Lentes de STOCK")</f>
        <v>Lentes de STOCK</v>
      </c>
      <c r="E4522" s="1" t="str">
        <f>IFERROR(__xludf.DUMMYFUNCTION("""COMPUTED_VALUE"""),"ARTIGAS Roció")</f>
        <v>ARTIGAS Roció</v>
      </c>
      <c r="F4522" s="1" t="str">
        <f t="shared" si="1"/>
        <v>ARTIGAS </v>
      </c>
      <c r="G4522" s="1" t="str">
        <f t="shared" si="2"/>
        <v>Roció</v>
      </c>
      <c r="H4522" s="1" t="str">
        <f>IFERROR(__xludf.DUMMYFUNCTION("""COMPUTED_VALUE"""),"12/4/2023, 17:00:00")</f>
        <v>12/4/2023, 17:00:00</v>
      </c>
      <c r="I4522" s="1" t="str">
        <f>IFERROR(__xludf.DUMMYFUNCTION("""COMPUTED_VALUE"""),"Completado en SUCURSAL")</f>
        <v>Completado en SUCURSAL</v>
      </c>
      <c r="J4522" s="1">
        <f t="shared" si="3"/>
        <v>5</v>
      </c>
      <c r="K4522" s="1" t="str">
        <f t="shared" si="4"/>
        <v>Tus Lentes estan LISTAS PARA ENTREGAR, te esperamos.</v>
      </c>
    </row>
    <row r="4523">
      <c r="A4523" s="1">
        <f>IFERROR(__xludf.DUMMYFUNCTION("""COMPUTED_VALUE"""),89086.0)</f>
        <v>89086</v>
      </c>
      <c r="B4523" s="5">
        <f>IFERROR(__xludf.DUMMYFUNCTION("""COMPUTED_VALUE"""),45016.75386614584)</f>
        <v>45016.75387</v>
      </c>
      <c r="C4523" s="1" t="str">
        <f>IFERROR(__xludf.DUMMYFUNCTION("""COMPUTED_VALUE"""),"MIRANDA RUBEN")</f>
        <v>MIRANDA RUBEN</v>
      </c>
      <c r="D4523" s="1" t="str">
        <f>IFERROR(__xludf.DUMMYFUNCTION("""COMPUTED_VALUE"""),"Lentes de STOCK")</f>
        <v>Lentes de STOCK</v>
      </c>
      <c r="E4523" s="1" t="str">
        <f>IFERROR(__xludf.DUMMYFUNCTION("""COMPUTED_VALUE"""),"RIVADAVIA Marcela L")</f>
        <v>RIVADAVIA Marcela L</v>
      </c>
      <c r="F4523" s="1" t="str">
        <f t="shared" si="1"/>
        <v>RIVADAVIA </v>
      </c>
      <c r="G4523" s="1" t="str">
        <f t="shared" si="2"/>
        <v>Marcela L</v>
      </c>
      <c r="H4523" s="1" t="str">
        <f>IFERROR(__xludf.DUMMYFUNCTION("""COMPUTED_VALUE"""),"11/4/2023, 17:00:00")</f>
        <v>11/4/2023, 17:00:00</v>
      </c>
      <c r="I4523" s="1" t="str">
        <f>IFERROR(__xludf.DUMMYFUNCTION("""COMPUTED_VALUE"""),"Recibido en Laboratorio")</f>
        <v>Recibido en Laboratorio</v>
      </c>
      <c r="J4523" s="1">
        <f t="shared" si="3"/>
        <v>2</v>
      </c>
      <c r="K4523" s="1" t="str">
        <f t="shared" si="4"/>
        <v>Nuestro Laboratorio esta trabajando en tus lentes, los entregaremos en la fecha acordada.</v>
      </c>
    </row>
    <row r="4524">
      <c r="A4524" s="1">
        <f>IFERROR(__xludf.DUMMYFUNCTION("""COMPUTED_VALUE"""),89087.0)</f>
        <v>89087</v>
      </c>
      <c r="B4524" s="5">
        <f>IFERROR(__xludf.DUMMYFUNCTION("""COMPUTED_VALUE"""),45016.7561106713)</f>
        <v>45016.75611</v>
      </c>
      <c r="C4524" s="1" t="str">
        <f>IFERROR(__xludf.DUMMYFUNCTION("""COMPUTED_VALUE"""),"chavez cristina elizabeth")</f>
        <v>chavez cristina elizabeth</v>
      </c>
      <c r="D4524" s="1" t="str">
        <f>IFERROR(__xludf.DUMMYFUNCTION("""COMPUTED_VALUE"""),"Lentes de STOCK")</f>
        <v>Lentes de STOCK</v>
      </c>
      <c r="E4524" s="1" t="str">
        <f>IFERROR(__xludf.DUMMYFUNCTION("""COMPUTED_VALUE"""),"RIVADAVIA Santiago LOPEZ")</f>
        <v>RIVADAVIA Santiago LOPEZ</v>
      </c>
      <c r="F4524" s="1" t="str">
        <f t="shared" si="1"/>
        <v>RIVADAVIA </v>
      </c>
      <c r="G4524" s="1" t="str">
        <f t="shared" si="2"/>
        <v>Santiago LOPEZ</v>
      </c>
      <c r="H4524" s="1" t="str">
        <f>IFERROR(__xludf.DUMMYFUNCTION("""COMPUTED_VALUE"""),"14/4/2023, 17:00:00")</f>
        <v>14/4/2023, 17:00:00</v>
      </c>
      <c r="I4524" s="1" t="str">
        <f>IFERROR(__xludf.DUMMYFUNCTION("""COMPUTED_VALUE"""),"Completado en SUCURSAL")</f>
        <v>Completado en SUCURSAL</v>
      </c>
      <c r="J4524" s="1">
        <f t="shared" si="3"/>
        <v>5</v>
      </c>
      <c r="K4524" s="1" t="str">
        <f t="shared" si="4"/>
        <v>Tus Lentes estan LISTAS PARA ENTREGAR, te esperamos.</v>
      </c>
    </row>
    <row r="4525">
      <c r="A4525" s="1">
        <f>IFERROR(__xludf.DUMMYFUNCTION("""COMPUTED_VALUE"""),89088.0)</f>
        <v>89088</v>
      </c>
      <c r="B4525" s="5">
        <f>IFERROR(__xludf.DUMMYFUNCTION("""COMPUTED_VALUE"""),45016.7564931713)</f>
        <v>45016.75649</v>
      </c>
      <c r="C4525" s="1" t="str">
        <f>IFERROR(__xludf.DUMMYFUNCTION("""COMPUTED_VALUE"""),"QUIROGA MARTHA")</f>
        <v>QUIROGA MARTHA</v>
      </c>
      <c r="D4525" s="1" t="str">
        <f>IFERROR(__xludf.DUMMYFUNCTION("""COMPUTED_VALUE"""),"Lentes de STOCK")</f>
        <v>Lentes de STOCK</v>
      </c>
      <c r="E4525" s="1" t="str">
        <f>IFERROR(__xludf.DUMMYFUNCTION("""COMPUTED_VALUE"""),"RIVADAVIA Luciana")</f>
        <v>RIVADAVIA Luciana</v>
      </c>
      <c r="F4525" s="1" t="str">
        <f t="shared" si="1"/>
        <v>RIVADAVIA </v>
      </c>
      <c r="G4525" s="1" t="str">
        <f t="shared" si="2"/>
        <v>Luciana</v>
      </c>
      <c r="H4525" s="1" t="str">
        <f>IFERROR(__xludf.DUMMYFUNCTION("""COMPUTED_VALUE"""),"5/4/2023, 17:00:00")</f>
        <v>5/4/2023, 17:00:00</v>
      </c>
      <c r="I4525" s="1" t="str">
        <f>IFERROR(__xludf.DUMMYFUNCTION("""COMPUTED_VALUE"""),"RETIRADO OK POR CLIENTE")</f>
        <v>RETIRADO OK POR CLIENTE</v>
      </c>
      <c r="J4525" s="1">
        <f t="shared" si="3"/>
        <v>6</v>
      </c>
      <c r="K4525" s="1" t="str">
        <f t="shared" si="4"/>
        <v>Entregamos tus lentes, que los disfrutes!</v>
      </c>
    </row>
    <row r="4526">
      <c r="A4526" s="1">
        <f>IFERROR(__xludf.DUMMYFUNCTION("""COMPUTED_VALUE"""),89089.0)</f>
        <v>89089</v>
      </c>
      <c r="B4526" s="5">
        <f>IFERROR(__xludf.DUMMYFUNCTION("""COMPUTED_VALUE"""),45016.760147141205)</f>
        <v>45016.76015</v>
      </c>
      <c r="C4526" s="1" t="str">
        <f>IFERROR(__xludf.DUMMYFUNCTION("""COMPUTED_VALUE"""),"MONTILLA ANA LORENA")</f>
        <v>MONTILLA ANA LORENA</v>
      </c>
      <c r="D4526" s="1" t="str">
        <f>IFERROR(__xludf.DUMMYFUNCTION("""COMPUTED_VALUE"""),"Lentes de STOCK")</f>
        <v>Lentes de STOCK</v>
      </c>
      <c r="E4526" s="1" t="str">
        <f>IFERROR(__xludf.DUMMYFUNCTION("""COMPUTED_VALUE"""),"RIVADAVIA Marcela L")</f>
        <v>RIVADAVIA Marcela L</v>
      </c>
      <c r="F4526" s="1" t="str">
        <f t="shared" si="1"/>
        <v>RIVADAVIA </v>
      </c>
      <c r="G4526" s="1" t="str">
        <f t="shared" si="2"/>
        <v>Marcela L</v>
      </c>
      <c r="H4526" s="1" t="str">
        <f>IFERROR(__xludf.DUMMYFUNCTION("""COMPUTED_VALUE"""),"5/4/2023, 17:00:00")</f>
        <v>5/4/2023, 17:00:00</v>
      </c>
      <c r="I4526" s="1" t="str">
        <f>IFERROR(__xludf.DUMMYFUNCTION("""COMPUTED_VALUE"""),"RETIRADO OK POR CLIENTE")</f>
        <v>RETIRADO OK POR CLIENTE</v>
      </c>
      <c r="J4526" s="1">
        <f t="shared" si="3"/>
        <v>6</v>
      </c>
      <c r="K4526" s="1" t="str">
        <f t="shared" si="4"/>
        <v>Entregamos tus lentes, que los disfrutes!</v>
      </c>
    </row>
    <row r="4527">
      <c r="A4527" s="1">
        <f>IFERROR(__xludf.DUMMYFUNCTION("""COMPUTED_VALUE"""),89090.0)</f>
        <v>89090</v>
      </c>
      <c r="B4527" s="5">
        <f>IFERROR(__xludf.DUMMYFUNCTION("""COMPUTED_VALUE"""),45016.76027629629)</f>
        <v>45016.76028</v>
      </c>
      <c r="C4527" s="1" t="str">
        <f>IFERROR(__xludf.DUMMYFUNCTION("""COMPUTED_VALUE"""),"CASADOS MARCOS")</f>
        <v>CASADOS MARCOS</v>
      </c>
      <c r="D4527" s="1" t="str">
        <f>IFERROR(__xludf.DUMMYFUNCTION("""COMPUTED_VALUE"""),"Lentes de STOCK")</f>
        <v>Lentes de STOCK</v>
      </c>
      <c r="E4527" s="1" t="str">
        <f>IFERROR(__xludf.DUMMYFUNCTION("""COMPUTED_VALUE"""),"ARTIGAS Ivana P.")</f>
        <v>ARTIGAS Ivana P.</v>
      </c>
      <c r="F4527" s="1" t="str">
        <f t="shared" si="1"/>
        <v>ARTIGAS </v>
      </c>
      <c r="G4527" s="1" t="str">
        <f t="shared" si="2"/>
        <v>Ivana P.</v>
      </c>
      <c r="H4527" s="1" t="str">
        <f>IFERROR(__xludf.DUMMYFUNCTION("""COMPUTED_VALUE"""),"10/4/2023, 17:00:00")</f>
        <v>10/4/2023, 17:00:00</v>
      </c>
      <c r="I4527" s="1" t="str">
        <f>IFERROR(__xludf.DUMMYFUNCTION("""COMPUTED_VALUE"""),"Completado en SUCURSAL")</f>
        <v>Completado en SUCURSAL</v>
      </c>
      <c r="J4527" s="1">
        <f t="shared" si="3"/>
        <v>5</v>
      </c>
      <c r="K4527" s="1" t="str">
        <f t="shared" si="4"/>
        <v>Tus Lentes estan LISTAS PARA ENTREGAR, te esperamos.</v>
      </c>
    </row>
    <row r="4528">
      <c r="A4528" s="1">
        <f>IFERROR(__xludf.DUMMYFUNCTION("""COMPUTED_VALUE"""),89091.0)</f>
        <v>89091</v>
      </c>
      <c r="B4528" s="5">
        <f>IFERROR(__xludf.DUMMYFUNCTION("""COMPUTED_VALUE"""),45016.760821724536)</f>
        <v>45016.76082</v>
      </c>
      <c r="C4528" s="1" t="str">
        <f>IFERROR(__xludf.DUMMYFUNCTION("""COMPUTED_VALUE"""),"GOMEZ ESTEBAN IGNACIO")</f>
        <v>GOMEZ ESTEBAN IGNACIO</v>
      </c>
      <c r="D4528" s="1" t="str">
        <f>IFERROR(__xludf.DUMMYFUNCTION("""COMPUTED_VALUE"""),"Lentes de STOCK")</f>
        <v>Lentes de STOCK</v>
      </c>
      <c r="E4528" s="1" t="str">
        <f>IFERROR(__xludf.DUMMYFUNCTION("""COMPUTED_VALUE"""),"ARTIGAS Roció")</f>
        <v>ARTIGAS Roció</v>
      </c>
      <c r="F4528" s="1" t="str">
        <f t="shared" si="1"/>
        <v>ARTIGAS </v>
      </c>
      <c r="G4528" s="1" t="str">
        <f t="shared" si="2"/>
        <v>Roció</v>
      </c>
      <c r="H4528" s="1" t="str">
        <f>IFERROR(__xludf.DUMMYFUNCTION("""COMPUTED_VALUE"""),"12/4/2023, 17:00:00")</f>
        <v>12/4/2023, 17:00:00</v>
      </c>
      <c r="I4528" s="1" t="str">
        <f>IFERROR(__xludf.DUMMYFUNCTION("""COMPUTED_VALUE"""),"Completado en SUCURSAL")</f>
        <v>Completado en SUCURSAL</v>
      </c>
      <c r="J4528" s="1">
        <f t="shared" si="3"/>
        <v>5</v>
      </c>
      <c r="K4528" s="1" t="str">
        <f t="shared" si="4"/>
        <v>Tus Lentes estan LISTAS PARA ENTREGAR, te esperamos.</v>
      </c>
    </row>
    <row r="4529">
      <c r="A4529" s="1">
        <f>IFERROR(__xludf.DUMMYFUNCTION("""COMPUTED_VALUE"""),89092.0)</f>
        <v>89092</v>
      </c>
      <c r="B4529" s="5">
        <f>IFERROR(__xludf.DUMMYFUNCTION("""COMPUTED_VALUE"""),45016.77115291667)</f>
        <v>45016.77115</v>
      </c>
      <c r="C4529" s="1" t="str">
        <f>IFERROR(__xludf.DUMMYFUNCTION("""COMPUTED_VALUE"""),"ALVAREZ EPIFANIA")</f>
        <v>ALVAREZ EPIFANIA</v>
      </c>
      <c r="D4529" s="1" t="str">
        <f>IFERROR(__xludf.DUMMYFUNCTION("""COMPUTED_VALUE"""),"Lentes de STOCK")</f>
        <v>Lentes de STOCK</v>
      </c>
      <c r="E4529" s="1" t="str">
        <f>IFERROR(__xludf.DUMMYFUNCTION("""COMPUTED_VALUE"""),"ARTIGAS Ivana P.")</f>
        <v>ARTIGAS Ivana P.</v>
      </c>
      <c r="F4529" s="1" t="str">
        <f t="shared" si="1"/>
        <v>ARTIGAS </v>
      </c>
      <c r="G4529" s="1" t="str">
        <f t="shared" si="2"/>
        <v>Ivana P.</v>
      </c>
      <c r="H4529" s="1" t="str">
        <f>IFERROR(__xludf.DUMMYFUNCTION("""COMPUTED_VALUE"""),"3/4/2023, 17:00:00")</f>
        <v>3/4/2023, 17:00:00</v>
      </c>
      <c r="I4529" s="1" t="str">
        <f>IFERROR(__xludf.DUMMYFUNCTION("""COMPUTED_VALUE"""),"Completado en SUCURSAL")</f>
        <v>Completado en SUCURSAL</v>
      </c>
      <c r="J4529" s="1">
        <f t="shared" si="3"/>
        <v>5</v>
      </c>
      <c r="K4529" s="1" t="str">
        <f t="shared" si="4"/>
        <v>Tus Lentes estan LISTAS PARA ENTREGAR, te esperamos.</v>
      </c>
    </row>
    <row r="4530">
      <c r="A4530" s="1">
        <f>IFERROR(__xludf.DUMMYFUNCTION("""COMPUTED_VALUE"""),89093.0)</f>
        <v>89093</v>
      </c>
      <c r="B4530" s="5">
        <f>IFERROR(__xludf.DUMMYFUNCTION("""COMPUTED_VALUE"""),45016.77166396991)</f>
        <v>45016.77166</v>
      </c>
      <c r="C4530" s="1" t="str">
        <f>IFERROR(__xludf.DUMMYFUNCTION("""COMPUTED_VALUE"""),"BURGA FANNY")</f>
        <v>BURGA FANNY</v>
      </c>
      <c r="D4530" s="1" t="str">
        <f>IFERROR(__xludf.DUMMYFUNCTION("""COMPUTED_VALUE"""),"Reparaciones/Otros")</f>
        <v>Reparaciones/Otros</v>
      </c>
      <c r="E4530" s="1" t="str">
        <f>IFERROR(__xludf.DUMMYFUNCTION("""COMPUTED_VALUE"""),"RIVADAVIA Marcela L")</f>
        <v>RIVADAVIA Marcela L</v>
      </c>
      <c r="F4530" s="1" t="str">
        <f t="shared" si="1"/>
        <v>RIVADAVIA </v>
      </c>
      <c r="G4530" s="1" t="str">
        <f t="shared" si="2"/>
        <v>Marcela L</v>
      </c>
      <c r="H4530" s="1" t="str">
        <f>IFERROR(__xludf.DUMMYFUNCTION("""COMPUTED_VALUE"""),"3/4/2023, 17:00:00")</f>
        <v>3/4/2023, 17:00:00</v>
      </c>
      <c r="I4530" s="1" t="str">
        <f>IFERROR(__xludf.DUMMYFUNCTION("""COMPUTED_VALUE"""),"Completado en SUCURSAL")</f>
        <v>Completado en SUCURSAL</v>
      </c>
      <c r="J4530" s="1">
        <f t="shared" si="3"/>
        <v>5</v>
      </c>
      <c r="K4530" s="1" t="str">
        <f t="shared" si="4"/>
        <v>Tus Lentes estan LISTAS PARA ENTREGAR, te esperamos.</v>
      </c>
    </row>
    <row r="4531">
      <c r="A4531" s="1">
        <f>IFERROR(__xludf.DUMMYFUNCTION("""COMPUTED_VALUE"""),89094.0)</f>
        <v>89094</v>
      </c>
      <c r="B4531" s="5">
        <f>IFERROR(__xludf.DUMMYFUNCTION("""COMPUTED_VALUE"""),45016.77271123843)</f>
        <v>45016.77271</v>
      </c>
      <c r="C4531" s="1" t="str">
        <f>IFERROR(__xludf.DUMMYFUNCTION("""COMPUTED_VALUE"""),"JUAREZ SERGIO DANIEL")</f>
        <v>JUAREZ SERGIO DANIEL</v>
      </c>
      <c r="D4531" s="1" t="str">
        <f>IFERROR(__xludf.DUMMYFUNCTION("""COMPUTED_VALUE"""),"Lentes MULTIFOCALES")</f>
        <v>Lentes MULTIFOCALES</v>
      </c>
      <c r="E4531" s="1" t="str">
        <f>IFERROR(__xludf.DUMMYFUNCTION("""COMPUTED_VALUE"""),"ARTIGAS Roció")</f>
        <v>ARTIGAS Roció</v>
      </c>
      <c r="F4531" s="1" t="str">
        <f t="shared" si="1"/>
        <v>ARTIGAS </v>
      </c>
      <c r="G4531" s="1" t="str">
        <f t="shared" si="2"/>
        <v>Roció</v>
      </c>
      <c r="H4531" s="1" t="str">
        <f>IFERROR(__xludf.DUMMYFUNCTION("""COMPUTED_VALUE"""),"17/4/2023, 17:00:00")</f>
        <v>17/4/2023, 17:00:00</v>
      </c>
      <c r="I4531" s="1" t="str">
        <f>IFERROR(__xludf.DUMMYFUNCTION("""COMPUTED_VALUE"""),"Completado en SUCURSAL")</f>
        <v>Completado en SUCURSAL</v>
      </c>
      <c r="J4531" s="1">
        <f t="shared" si="3"/>
        <v>5</v>
      </c>
      <c r="K4531" s="1" t="str">
        <f t="shared" si="4"/>
        <v>Tus Lentes estan LISTAS PARA ENTREGAR, te esperamos.</v>
      </c>
    </row>
    <row r="4532">
      <c r="A4532" s="1">
        <f>IFERROR(__xludf.DUMMYFUNCTION("""COMPUTED_VALUE"""),89095.0)</f>
        <v>89095</v>
      </c>
      <c r="B4532" s="5">
        <f>IFERROR(__xludf.DUMMYFUNCTION("""COMPUTED_VALUE"""),45016.77445645833)</f>
        <v>45016.77446</v>
      </c>
      <c r="C4532" s="1" t="str">
        <f>IFERROR(__xludf.DUMMYFUNCTION("""COMPUTED_VALUE"""),"ROLON GUADALUPE ")</f>
        <v>ROLON GUADALUPE </v>
      </c>
      <c r="D4532" s="1" t="str">
        <f>IFERROR(__xludf.DUMMYFUNCTION("""COMPUTED_VALUE"""),"Lentes de STOCK")</f>
        <v>Lentes de STOCK</v>
      </c>
      <c r="E4532" s="1" t="str">
        <f>IFERROR(__xludf.DUMMYFUNCTION("""COMPUTED_VALUE"""),"RIVADAVIA Santiago N")</f>
        <v>RIVADAVIA Santiago N</v>
      </c>
      <c r="F4532" s="1" t="str">
        <f t="shared" si="1"/>
        <v>RIVADAVIA </v>
      </c>
      <c r="G4532" s="1" t="str">
        <f t="shared" si="2"/>
        <v>Santiago N</v>
      </c>
      <c r="H4532" s="1" t="str">
        <f>IFERROR(__xludf.DUMMYFUNCTION("""COMPUTED_VALUE"""),"3/4/2023, 17:00:00")</f>
        <v>3/4/2023, 17:00:00</v>
      </c>
      <c r="I4532" s="1" t="str">
        <f>IFERROR(__xludf.DUMMYFUNCTION("""COMPUTED_VALUE"""),"RETIRADO OK POR CLIENTE")</f>
        <v>RETIRADO OK POR CLIENTE</v>
      </c>
      <c r="J4532" s="1">
        <f t="shared" si="3"/>
        <v>6</v>
      </c>
      <c r="K4532" s="1" t="str">
        <f t="shared" si="4"/>
        <v>Entregamos tus lentes, que los disfrutes!</v>
      </c>
    </row>
    <row r="4533">
      <c r="A4533" s="1">
        <f>IFERROR(__xludf.DUMMYFUNCTION("""COMPUTED_VALUE"""),89096.0)</f>
        <v>89096</v>
      </c>
      <c r="B4533" s="5">
        <f>IFERROR(__xludf.DUMMYFUNCTION("""COMPUTED_VALUE"""),45016.77549989583)</f>
        <v>45016.7755</v>
      </c>
      <c r="C4533" s="1" t="str">
        <f>IFERROR(__xludf.DUMMYFUNCTION("""COMPUTED_VALUE"""),"Santiago Diz besso")</f>
        <v>Santiago Diz besso</v>
      </c>
      <c r="D4533" s="1" t="str">
        <f>IFERROR(__xludf.DUMMYFUNCTION("""COMPUTED_VALUE"""),"Reparaciones/Otros")</f>
        <v>Reparaciones/Otros</v>
      </c>
      <c r="E4533" s="1" t="str">
        <f>IFERROR(__xludf.DUMMYFUNCTION("""COMPUTED_VALUE"""),"ARTIGAS Micaela")</f>
        <v>ARTIGAS Micaela</v>
      </c>
      <c r="F4533" s="1" t="str">
        <f t="shared" si="1"/>
        <v>ARTIGAS </v>
      </c>
      <c r="G4533" s="1" t="str">
        <f t="shared" si="2"/>
        <v>Micaela</v>
      </c>
      <c r="H4533" s="1" t="str">
        <f>IFERROR(__xludf.DUMMYFUNCTION("""COMPUTED_VALUE"""),"3/4/2023, 17:00:00")</f>
        <v>3/4/2023, 17:00:00</v>
      </c>
      <c r="I4533" s="1" t="str">
        <f>IFERROR(__xludf.DUMMYFUNCTION("""COMPUTED_VALUE"""),"Recibido en Laboratorio")</f>
        <v>Recibido en Laboratorio</v>
      </c>
      <c r="J4533" s="1">
        <f t="shared" si="3"/>
        <v>2</v>
      </c>
      <c r="K4533" s="1" t="str">
        <f t="shared" si="4"/>
        <v>Nuestro Laboratorio esta trabajando en tus lentes, los entregaremos en la fecha acordada.</v>
      </c>
    </row>
    <row r="4534">
      <c r="A4534" s="1">
        <f>IFERROR(__xludf.DUMMYFUNCTION("""COMPUTED_VALUE"""),89097.0)</f>
        <v>89097</v>
      </c>
      <c r="B4534" s="5">
        <f>IFERROR(__xludf.DUMMYFUNCTION("""COMPUTED_VALUE"""),45016.77668804398)</f>
        <v>45016.77669</v>
      </c>
      <c r="C4534" s="1" t="str">
        <f>IFERROR(__xludf.DUMMYFUNCTION("""COMPUTED_VALUE"""),"PALACIO ROSANA")</f>
        <v>PALACIO ROSANA</v>
      </c>
      <c r="D4534" s="1" t="str">
        <f>IFERROR(__xludf.DUMMYFUNCTION("""COMPUTED_VALUE"""),"Lentes de STOCK")</f>
        <v>Lentes de STOCK</v>
      </c>
      <c r="E4534" s="1" t="str">
        <f>IFERROR(__xludf.DUMMYFUNCTION("""COMPUTED_VALUE"""),"RIVADAVIA Christian C.")</f>
        <v>RIVADAVIA Christian C.</v>
      </c>
      <c r="F4534" s="1" t="str">
        <f t="shared" si="1"/>
        <v>RIVADAVIA </v>
      </c>
      <c r="G4534" s="1" t="str">
        <f t="shared" si="2"/>
        <v>Christian C.</v>
      </c>
      <c r="H4534" s="1" t="str">
        <f>IFERROR(__xludf.DUMMYFUNCTION("""COMPUTED_VALUE"""),"5/4/2023, 17:00:00")</f>
        <v>5/4/2023, 17:00:00</v>
      </c>
      <c r="I4534" s="1" t="str">
        <f>IFERROR(__xludf.DUMMYFUNCTION("""COMPUTED_VALUE"""),"RETIRADO OK POR CLIENTE")</f>
        <v>RETIRADO OK POR CLIENTE</v>
      </c>
      <c r="J4534" s="1">
        <f t="shared" si="3"/>
        <v>6</v>
      </c>
      <c r="K4534" s="1" t="str">
        <f t="shared" si="4"/>
        <v>Entregamos tus lentes, que los disfrutes!</v>
      </c>
    </row>
    <row r="4535">
      <c r="A4535" s="1">
        <f>IFERROR(__xludf.DUMMYFUNCTION("""COMPUTED_VALUE"""),89098.0)</f>
        <v>89098</v>
      </c>
      <c r="B4535" s="5">
        <f>IFERROR(__xludf.DUMMYFUNCTION("""COMPUTED_VALUE"""),45016.77796355324)</f>
        <v>45016.77796</v>
      </c>
      <c r="C4535" s="1" t="str">
        <f>IFERROR(__xludf.DUMMYFUNCTION("""COMPUTED_VALUE"""),"LEAL IRMA")</f>
        <v>LEAL IRMA</v>
      </c>
      <c r="D4535" s="1" t="str">
        <f>IFERROR(__xludf.DUMMYFUNCTION("""COMPUTED_VALUE"""),"Lentes de STOCK")</f>
        <v>Lentes de STOCK</v>
      </c>
      <c r="E4535" s="1" t="str">
        <f>IFERROR(__xludf.DUMMYFUNCTION("""COMPUTED_VALUE"""),"ARTIGAS Roció")</f>
        <v>ARTIGAS Roció</v>
      </c>
      <c r="F4535" s="1" t="str">
        <f t="shared" si="1"/>
        <v>ARTIGAS </v>
      </c>
      <c r="G4535" s="1" t="str">
        <f t="shared" si="2"/>
        <v>Roció</v>
      </c>
      <c r="H4535" s="1" t="str">
        <f>IFERROR(__xludf.DUMMYFUNCTION("""COMPUTED_VALUE"""),"11/4/2023, 17:00:00")</f>
        <v>11/4/2023, 17:00:00</v>
      </c>
      <c r="I4535" s="1" t="str">
        <f>IFERROR(__xludf.DUMMYFUNCTION("""COMPUTED_VALUE"""),"Completado en SUCURSAL")</f>
        <v>Completado en SUCURSAL</v>
      </c>
      <c r="J4535" s="1">
        <f t="shared" si="3"/>
        <v>5</v>
      </c>
      <c r="K4535" s="1" t="str">
        <f t="shared" si="4"/>
        <v>Tus Lentes estan LISTAS PARA ENTREGAR, te esperamos.</v>
      </c>
    </row>
    <row r="4536">
      <c r="A4536" s="1">
        <f>IFERROR(__xludf.DUMMYFUNCTION("""COMPUTED_VALUE"""),89099.0)</f>
        <v>89099</v>
      </c>
      <c r="B4536" s="5">
        <f>IFERROR(__xludf.DUMMYFUNCTION("""COMPUTED_VALUE"""),45016.77978200231)</f>
        <v>45016.77978</v>
      </c>
      <c r="C4536" s="1" t="str">
        <f>IFERROR(__xludf.DUMMYFUNCTION("""COMPUTED_VALUE"""),"CALVO DANIELA ANTONELLA")</f>
        <v>CALVO DANIELA ANTONELLA</v>
      </c>
      <c r="D4536" s="1" t="str">
        <f>IFERROR(__xludf.DUMMYFUNCTION("""COMPUTED_VALUE"""),"Lentes de STOCK")</f>
        <v>Lentes de STOCK</v>
      </c>
      <c r="E4536" s="1" t="str">
        <f>IFERROR(__xludf.DUMMYFUNCTION("""COMPUTED_VALUE"""),"RIVADAVIA Santiago LOPEZ")</f>
        <v>RIVADAVIA Santiago LOPEZ</v>
      </c>
      <c r="F4536" s="1" t="str">
        <f t="shared" si="1"/>
        <v>RIVADAVIA </v>
      </c>
      <c r="G4536" s="1" t="str">
        <f t="shared" si="2"/>
        <v>Santiago LOPEZ</v>
      </c>
      <c r="H4536" s="1" t="str">
        <f>IFERROR(__xludf.DUMMYFUNCTION("""COMPUTED_VALUE"""),"5/4/2023, 17:00:00")</f>
        <v>5/4/2023, 17:00:00</v>
      </c>
      <c r="I4536" s="1" t="str">
        <f>IFERROR(__xludf.DUMMYFUNCTION("""COMPUTED_VALUE"""),"RETIRADO OK POR CLIENTE")</f>
        <v>RETIRADO OK POR CLIENTE</v>
      </c>
      <c r="J4536" s="1">
        <f t="shared" si="3"/>
        <v>6</v>
      </c>
      <c r="K4536" s="1" t="str">
        <f t="shared" si="4"/>
        <v>Entregamos tus lentes, que los disfrutes!</v>
      </c>
    </row>
    <row r="4537">
      <c r="A4537" s="1">
        <f>IFERROR(__xludf.DUMMYFUNCTION("""COMPUTED_VALUE"""),89100.0)</f>
        <v>89100</v>
      </c>
      <c r="B4537" s="5">
        <f>IFERROR(__xludf.DUMMYFUNCTION("""COMPUTED_VALUE"""),45016.78046483797)</f>
        <v>45016.78046</v>
      </c>
      <c r="C4537" s="1" t="str">
        <f>IFERROR(__xludf.DUMMYFUNCTION("""COMPUTED_VALUE"""),"GIL STELLA MARIS")</f>
        <v>GIL STELLA MARIS</v>
      </c>
      <c r="D4537" s="1" t="str">
        <f>IFERROR(__xludf.DUMMYFUNCTION("""COMPUTED_VALUE"""),"Lentes de STOCK")</f>
        <v>Lentes de STOCK</v>
      </c>
      <c r="E4537" s="1" t="str">
        <f>IFERROR(__xludf.DUMMYFUNCTION("""COMPUTED_VALUE"""),"ARTIGAS Ivana P.")</f>
        <v>ARTIGAS Ivana P.</v>
      </c>
      <c r="F4537" s="1" t="str">
        <f t="shared" si="1"/>
        <v>ARTIGAS </v>
      </c>
      <c r="G4537" s="1" t="str">
        <f t="shared" si="2"/>
        <v>Ivana P.</v>
      </c>
      <c r="H4537" s="1" t="str">
        <f>IFERROR(__xludf.DUMMYFUNCTION("""COMPUTED_VALUE"""),"10/4/2023, 17:00:00")</f>
        <v>10/4/2023, 17:00:00</v>
      </c>
      <c r="I4537" s="1" t="str">
        <f>IFERROR(__xludf.DUMMYFUNCTION("""COMPUTED_VALUE"""),"RETIRADO OK POR CLIENTE")</f>
        <v>RETIRADO OK POR CLIENTE</v>
      </c>
      <c r="J4537" s="1">
        <f t="shared" si="3"/>
        <v>6</v>
      </c>
      <c r="K4537" s="1" t="str">
        <f t="shared" si="4"/>
        <v>Entregamos tus lentes, que los disfrutes!</v>
      </c>
    </row>
    <row r="4538">
      <c r="A4538" s="1">
        <f>IFERROR(__xludf.DUMMYFUNCTION("""COMPUTED_VALUE"""),89101.0)</f>
        <v>89101</v>
      </c>
      <c r="B4538" s="5">
        <f>IFERROR(__xludf.DUMMYFUNCTION("""COMPUTED_VALUE"""),45016.79064949074)</f>
        <v>45016.79065</v>
      </c>
      <c r="C4538" s="1" t="str">
        <f>IFERROR(__xludf.DUMMYFUNCTION("""COMPUTED_VALUE"""),"BARBOSA MARTA ")</f>
        <v>BARBOSA MARTA </v>
      </c>
      <c r="D4538" s="1" t="str">
        <f>IFERROR(__xludf.DUMMYFUNCTION("""COMPUTED_VALUE"""),"Lentes BIFOCALES")</f>
        <v>Lentes BIFOCALES</v>
      </c>
      <c r="E4538" s="1" t="str">
        <f>IFERROR(__xludf.DUMMYFUNCTION("""COMPUTED_VALUE"""),"RIVADAVIA Javier")</f>
        <v>RIVADAVIA Javier</v>
      </c>
      <c r="F4538" s="1" t="str">
        <f t="shared" si="1"/>
        <v>RIVADAVIA </v>
      </c>
      <c r="G4538" s="1" t="str">
        <f t="shared" si="2"/>
        <v>Javier</v>
      </c>
      <c r="H4538" s="1" t="str">
        <f>IFERROR(__xludf.DUMMYFUNCTION("""COMPUTED_VALUE"""),"10/4/2023, 17:00:00")</f>
        <v>10/4/2023, 17:00:00</v>
      </c>
      <c r="I4538" s="1" t="str">
        <f>IFERROR(__xludf.DUMMYFUNCTION("""COMPUTED_VALUE"""),"Completado en SUCURSAL")</f>
        <v>Completado en SUCURSAL</v>
      </c>
      <c r="J4538" s="1">
        <f t="shared" si="3"/>
        <v>5</v>
      </c>
      <c r="K4538" s="1" t="str">
        <f t="shared" si="4"/>
        <v>Tus Lentes estan LISTAS PARA ENTREGAR, te esperamos.</v>
      </c>
    </row>
    <row r="4539">
      <c r="A4539" s="1">
        <f>IFERROR(__xludf.DUMMYFUNCTION("""COMPUTED_VALUE"""),89102.0)</f>
        <v>89102</v>
      </c>
      <c r="B4539" s="5">
        <f>IFERROR(__xludf.DUMMYFUNCTION("""COMPUTED_VALUE"""),45016.79322082176)</f>
        <v>45016.79322</v>
      </c>
      <c r="C4539" s="1" t="str">
        <f>IFERROR(__xludf.DUMMYFUNCTION("""COMPUTED_VALUE"""),"MAGNIEM PERKMAN LARA ")</f>
        <v>MAGNIEM PERKMAN LARA </v>
      </c>
      <c r="D4539" s="1" t="str">
        <f>IFERROR(__xludf.DUMMYFUNCTION("""COMPUTED_VALUE"""),"Lentes de STOCK")</f>
        <v>Lentes de STOCK</v>
      </c>
      <c r="E4539" s="1" t="str">
        <f>IFERROR(__xludf.DUMMYFUNCTION("""COMPUTED_VALUE"""),"RIVADAVIA Javier")</f>
        <v>RIVADAVIA Javier</v>
      </c>
      <c r="F4539" s="1" t="str">
        <f t="shared" si="1"/>
        <v>RIVADAVIA </v>
      </c>
      <c r="G4539" s="1" t="str">
        <f t="shared" si="2"/>
        <v>Javier</v>
      </c>
      <c r="H4539" s="1" t="str">
        <f>IFERROR(__xludf.DUMMYFUNCTION("""COMPUTED_VALUE"""),"6/4/2023, 17:00:00")</f>
        <v>6/4/2023, 17:00:00</v>
      </c>
      <c r="I4539" s="1" t="str">
        <f>IFERROR(__xludf.DUMMYFUNCTION("""COMPUTED_VALUE"""),"Completado en SUCURSAL")</f>
        <v>Completado en SUCURSAL</v>
      </c>
      <c r="J4539" s="1">
        <f t="shared" si="3"/>
        <v>5</v>
      </c>
      <c r="K4539" s="1" t="str">
        <f t="shared" si="4"/>
        <v>Tus Lentes estan LISTAS PARA ENTREGAR, te esperamos.</v>
      </c>
    </row>
    <row r="4540">
      <c r="A4540" s="1">
        <f>IFERROR(__xludf.DUMMYFUNCTION("""COMPUTED_VALUE"""),89103.0)</f>
        <v>89103</v>
      </c>
      <c r="B4540" s="5">
        <f>IFERROR(__xludf.DUMMYFUNCTION("""COMPUTED_VALUE"""),45016.79841594907)</f>
        <v>45016.79842</v>
      </c>
      <c r="C4540" s="1" t="str">
        <f>IFERROR(__xludf.DUMMYFUNCTION("""COMPUTED_VALUE"""),"LAUTARO PEDROZA")</f>
        <v>LAUTARO PEDROZA</v>
      </c>
      <c r="D4540" s="1" t="str">
        <f>IFERROR(__xludf.DUMMYFUNCTION("""COMPUTED_VALUE"""),"Lentes de LABORATORIO")</f>
        <v>Lentes de LABORATORIO</v>
      </c>
      <c r="E4540" s="1" t="str">
        <f>IFERROR(__xludf.DUMMYFUNCTION("""COMPUTED_VALUE"""),"RIVADAVIA Santiago LOPEZ")</f>
        <v>RIVADAVIA Santiago LOPEZ</v>
      </c>
      <c r="F4540" s="1" t="str">
        <f t="shared" si="1"/>
        <v>RIVADAVIA </v>
      </c>
      <c r="G4540" s="1" t="str">
        <f t="shared" si="2"/>
        <v>Santiago LOPEZ</v>
      </c>
      <c r="H4540" s="1" t="str">
        <f>IFERROR(__xludf.DUMMYFUNCTION("""COMPUTED_VALUE"""),"17/4/2023, 17:00:00")</f>
        <v>17/4/2023, 17:00:00</v>
      </c>
      <c r="I4540" s="1" t="str">
        <f>IFERROR(__xludf.DUMMYFUNCTION("""COMPUTED_VALUE"""),"Completado en SUCURSAL")</f>
        <v>Completado en SUCURSAL</v>
      </c>
      <c r="J4540" s="1">
        <f t="shared" si="3"/>
        <v>5</v>
      </c>
      <c r="K4540" s="1" t="str">
        <f t="shared" si="4"/>
        <v>Tus Lentes estan LISTAS PARA ENTREGAR, te esperamos.</v>
      </c>
    </row>
    <row r="4541">
      <c r="A4541" s="1">
        <f>IFERROR(__xludf.DUMMYFUNCTION("""COMPUTED_VALUE"""),89104.0)</f>
        <v>89104</v>
      </c>
      <c r="B4541" s="5">
        <f>IFERROR(__xludf.DUMMYFUNCTION("""COMPUTED_VALUE"""),45016.8020197338)</f>
        <v>45016.80202</v>
      </c>
      <c r="C4541" s="1" t="str">
        <f>IFERROR(__xludf.DUMMYFUNCTION("""COMPUTED_VALUE"""),"MERCAU LILIANA MERCEDES")</f>
        <v>MERCAU LILIANA MERCEDES</v>
      </c>
      <c r="D4541" s="1" t="str">
        <f>IFERROR(__xludf.DUMMYFUNCTION("""COMPUTED_VALUE"""),"Lentes de STOCK")</f>
        <v>Lentes de STOCK</v>
      </c>
      <c r="E4541" s="1" t="str">
        <f>IFERROR(__xludf.DUMMYFUNCTION("""COMPUTED_VALUE"""),"RIVADAVIA Marcela L")</f>
        <v>RIVADAVIA Marcela L</v>
      </c>
      <c r="F4541" s="1" t="str">
        <f t="shared" si="1"/>
        <v>RIVADAVIA </v>
      </c>
      <c r="G4541" s="1" t="str">
        <f t="shared" si="2"/>
        <v>Marcela L</v>
      </c>
      <c r="H4541" s="1" t="str">
        <f>IFERROR(__xludf.DUMMYFUNCTION("""COMPUTED_VALUE"""),"10/4/2023, 17:00:00")</f>
        <v>10/4/2023, 17:00:00</v>
      </c>
      <c r="I4541" s="1" t="str">
        <f>IFERROR(__xludf.DUMMYFUNCTION("""COMPUTED_VALUE"""),"Completado en SUCURSAL")</f>
        <v>Completado en SUCURSAL</v>
      </c>
      <c r="J4541" s="1">
        <f t="shared" si="3"/>
        <v>5</v>
      </c>
      <c r="K4541" s="1" t="str">
        <f t="shared" si="4"/>
        <v>Tus Lentes estan LISTAS PARA ENTREGAR, te esperamos.</v>
      </c>
    </row>
    <row r="4542">
      <c r="A4542" s="1">
        <f>IFERROR(__xludf.DUMMYFUNCTION("""COMPUTED_VALUE"""),89105.0)</f>
        <v>89105</v>
      </c>
      <c r="B4542" s="5">
        <f>IFERROR(__xludf.DUMMYFUNCTION("""COMPUTED_VALUE"""),45016.80600140046)</f>
        <v>45016.806</v>
      </c>
      <c r="C4542" s="1" t="str">
        <f>IFERROR(__xludf.DUMMYFUNCTION("""COMPUTED_VALUE"""),"ROSSI JUAN")</f>
        <v>ROSSI JUAN</v>
      </c>
      <c r="D4542" s="1" t="str">
        <f>IFERROR(__xludf.DUMMYFUNCTION("""COMPUTED_VALUE"""),"Lentes de STOCK")</f>
        <v>Lentes de STOCK</v>
      </c>
      <c r="E4542" s="1" t="str">
        <f>IFERROR(__xludf.DUMMYFUNCTION("""COMPUTED_VALUE"""),"RIVADAVIA Santiago LOPEZ")</f>
        <v>RIVADAVIA Santiago LOPEZ</v>
      </c>
      <c r="F4542" s="1" t="str">
        <f t="shared" si="1"/>
        <v>RIVADAVIA </v>
      </c>
      <c r="G4542" s="1" t="str">
        <f t="shared" si="2"/>
        <v>Santiago LOPEZ</v>
      </c>
      <c r="H4542" s="1" t="str">
        <f>IFERROR(__xludf.DUMMYFUNCTION("""COMPUTED_VALUE"""),"4/4/2023, 17:00:00")</f>
        <v>4/4/2023, 17:00:00</v>
      </c>
      <c r="I4542" s="1" t="str">
        <f>IFERROR(__xludf.DUMMYFUNCTION("""COMPUTED_VALUE"""),"Completado en SUCURSAL")</f>
        <v>Completado en SUCURSAL</v>
      </c>
      <c r="J4542" s="1">
        <f t="shared" si="3"/>
        <v>5</v>
      </c>
      <c r="K4542" s="1" t="str">
        <f t="shared" si="4"/>
        <v>Tus Lentes estan LISTAS PARA ENTREGAR, te esperamos.</v>
      </c>
    </row>
    <row r="4543">
      <c r="A4543" s="1">
        <f>IFERROR(__xludf.DUMMYFUNCTION("""COMPUTED_VALUE"""),89106.0)</f>
        <v>89106</v>
      </c>
      <c r="B4543" s="5">
        <f>IFERROR(__xludf.DUMMYFUNCTION("""COMPUTED_VALUE"""),45016.812339675926)</f>
        <v>45016.81234</v>
      </c>
      <c r="C4543" s="1" t="str">
        <f>IFERROR(__xludf.DUMMYFUNCTION("""COMPUTED_VALUE"""),"CARRIZO VANINA")</f>
        <v>CARRIZO VANINA</v>
      </c>
      <c r="D4543" s="1" t="str">
        <f>IFERROR(__xludf.DUMMYFUNCTION("""COMPUTED_VALUE"""),"Lentes de STOCK")</f>
        <v>Lentes de STOCK</v>
      </c>
      <c r="E4543" s="1" t="str">
        <f>IFERROR(__xludf.DUMMYFUNCTION("""COMPUTED_VALUE"""),"RIVADAVIA Christian C.")</f>
        <v>RIVADAVIA Christian C.</v>
      </c>
      <c r="F4543" s="1" t="str">
        <f t="shared" si="1"/>
        <v>RIVADAVIA </v>
      </c>
      <c r="G4543" s="1" t="str">
        <f t="shared" si="2"/>
        <v>Christian C.</v>
      </c>
      <c r="H4543" s="1" t="str">
        <f>IFERROR(__xludf.DUMMYFUNCTION("""COMPUTED_VALUE"""),"6/4/2023, 17:00:00")</f>
        <v>6/4/2023, 17:00:00</v>
      </c>
      <c r="I4543" s="1" t="str">
        <f>IFERROR(__xludf.DUMMYFUNCTION("""COMPUTED_VALUE"""),"Completado en SUCURSAL")</f>
        <v>Completado en SUCURSAL</v>
      </c>
      <c r="J4543" s="1">
        <f t="shared" si="3"/>
        <v>5</v>
      </c>
      <c r="K4543" s="1" t="str">
        <f t="shared" si="4"/>
        <v>Tus Lentes estan LISTAS PARA ENTREGAR, te esperamos.</v>
      </c>
    </row>
    <row r="4544">
      <c r="A4544" s="1">
        <f>IFERROR(__xludf.DUMMYFUNCTION("""COMPUTED_VALUE"""),89107.0)</f>
        <v>89107</v>
      </c>
      <c r="B4544" s="5">
        <f>IFERROR(__xludf.DUMMYFUNCTION("""COMPUTED_VALUE"""),45016.81443885417)</f>
        <v>45016.81444</v>
      </c>
      <c r="C4544" s="1" t="str">
        <f>IFERROR(__xludf.DUMMYFUNCTION("""COMPUTED_VALUE"""),"FERNANDEZ GRISELDA")</f>
        <v>FERNANDEZ GRISELDA</v>
      </c>
      <c r="D4544" s="1" t="str">
        <f>IFERROR(__xludf.DUMMYFUNCTION("""COMPUTED_VALUE"""),"Lentes MULTIFOCALES")</f>
        <v>Lentes MULTIFOCALES</v>
      </c>
      <c r="E4544" s="1" t="str">
        <f>IFERROR(__xludf.DUMMYFUNCTION("""COMPUTED_VALUE"""),"ARTIGAS Ivana P.")</f>
        <v>ARTIGAS Ivana P.</v>
      </c>
      <c r="F4544" s="1" t="str">
        <f t="shared" si="1"/>
        <v>ARTIGAS </v>
      </c>
      <c r="G4544" s="1" t="str">
        <f t="shared" si="2"/>
        <v>Ivana P.</v>
      </c>
      <c r="H4544" s="1" t="str">
        <f>IFERROR(__xludf.DUMMYFUNCTION("""COMPUTED_VALUE"""),"13/4/2023, 17:00:00")</f>
        <v>13/4/2023, 17:00:00</v>
      </c>
      <c r="I4544" s="1" t="str">
        <f>IFERROR(__xludf.DUMMYFUNCTION("""COMPUTED_VALUE"""),"Completado en SUCURSAL")</f>
        <v>Completado en SUCURSAL</v>
      </c>
      <c r="J4544" s="1">
        <f t="shared" si="3"/>
        <v>5</v>
      </c>
      <c r="K4544" s="1" t="str">
        <f t="shared" si="4"/>
        <v>Tus Lentes estan LISTAS PARA ENTREGAR, te esperamos.</v>
      </c>
    </row>
    <row r="4545">
      <c r="A4545" s="1">
        <f>IFERROR(__xludf.DUMMYFUNCTION("""COMPUTED_VALUE"""),89108.0)</f>
        <v>89108</v>
      </c>
      <c r="B4545" s="5">
        <f>IFERROR(__xludf.DUMMYFUNCTION("""COMPUTED_VALUE"""),45016.81694060186)</f>
        <v>45016.81694</v>
      </c>
      <c r="C4545" s="1" t="str">
        <f>IFERROR(__xludf.DUMMYFUNCTION("""COMPUTED_VALUE"""),"ROSSI PABLO")</f>
        <v>ROSSI PABLO</v>
      </c>
      <c r="D4545" s="1" t="str">
        <f>IFERROR(__xludf.DUMMYFUNCTION("""COMPUTED_VALUE"""),"Lentes de STOCK")</f>
        <v>Lentes de STOCK</v>
      </c>
      <c r="E4545" s="1" t="str">
        <f>IFERROR(__xludf.DUMMYFUNCTION("""COMPUTED_VALUE"""),"RIVADAVIA Santiago LOPEZ")</f>
        <v>RIVADAVIA Santiago LOPEZ</v>
      </c>
      <c r="F4545" s="1" t="str">
        <f t="shared" si="1"/>
        <v>RIVADAVIA </v>
      </c>
      <c r="G4545" s="1" t="str">
        <f t="shared" si="2"/>
        <v>Santiago LOPEZ</v>
      </c>
      <c r="H4545" s="1" t="str">
        <f>IFERROR(__xludf.DUMMYFUNCTION("""COMPUTED_VALUE"""),"4/4/2023, 17:00:00")</f>
        <v>4/4/2023, 17:00:00</v>
      </c>
      <c r="I4545" s="1" t="str">
        <f>IFERROR(__xludf.DUMMYFUNCTION("""COMPUTED_VALUE"""),"Completado en SUCURSAL")</f>
        <v>Completado en SUCURSAL</v>
      </c>
      <c r="J4545" s="1">
        <f t="shared" si="3"/>
        <v>5</v>
      </c>
      <c r="K4545" s="1" t="str">
        <f t="shared" si="4"/>
        <v>Tus Lentes estan LISTAS PARA ENTREGAR, te esperamos.</v>
      </c>
    </row>
    <row r="4546">
      <c r="A4546" s="1">
        <f>IFERROR(__xludf.DUMMYFUNCTION("""COMPUTED_VALUE"""),89109.0)</f>
        <v>89109</v>
      </c>
      <c r="B4546" s="5">
        <f>IFERROR(__xludf.DUMMYFUNCTION("""COMPUTED_VALUE"""),45016.821263715276)</f>
        <v>45016.82126</v>
      </c>
      <c r="C4546" s="1" t="str">
        <f>IFERROR(__xludf.DUMMYFUNCTION("""COMPUTED_VALUE"""),"LUJAN MELVA")</f>
        <v>LUJAN MELVA</v>
      </c>
      <c r="D4546" s="1" t="str">
        <f>IFERROR(__xludf.DUMMYFUNCTION("""COMPUTED_VALUE"""),"Lentes de STOCK")</f>
        <v>Lentes de STOCK</v>
      </c>
      <c r="E4546" s="1" t="str">
        <f>IFERROR(__xludf.DUMMYFUNCTION("""COMPUTED_VALUE"""),"ARTIGAS Roció")</f>
        <v>ARTIGAS Roció</v>
      </c>
      <c r="F4546" s="1" t="str">
        <f t="shared" si="1"/>
        <v>ARTIGAS </v>
      </c>
      <c r="G4546" s="1" t="str">
        <f t="shared" si="2"/>
        <v>Roció</v>
      </c>
      <c r="H4546" s="1" t="str">
        <f>IFERROR(__xludf.DUMMYFUNCTION("""COMPUTED_VALUE"""),"12/4/2023, 17:00:00")</f>
        <v>12/4/2023, 17:00:00</v>
      </c>
      <c r="I4546" s="1" t="str">
        <f>IFERROR(__xludf.DUMMYFUNCTION("""COMPUTED_VALUE"""),"Completado en SUCURSAL")</f>
        <v>Completado en SUCURSAL</v>
      </c>
      <c r="J4546" s="1">
        <f t="shared" si="3"/>
        <v>5</v>
      </c>
      <c r="K4546" s="1" t="str">
        <f t="shared" si="4"/>
        <v>Tus Lentes estan LISTAS PARA ENTREGAR, te esperamos.</v>
      </c>
    </row>
    <row r="4547">
      <c r="A4547" s="1">
        <f>IFERROR(__xludf.DUMMYFUNCTION("""COMPUTED_VALUE"""),89110.0)</f>
        <v>89110</v>
      </c>
      <c r="B4547" s="5">
        <f>IFERROR(__xludf.DUMMYFUNCTION("""COMPUTED_VALUE"""),45016.82398236111)</f>
        <v>45016.82398</v>
      </c>
      <c r="C4547" s="1" t="str">
        <f>IFERROR(__xludf.DUMMYFUNCTION("""COMPUTED_VALUE"""),"GONZALEZ LUIS")</f>
        <v>GONZALEZ LUIS</v>
      </c>
      <c r="D4547" s="1" t="str">
        <f>IFERROR(__xludf.DUMMYFUNCTION("""COMPUTED_VALUE"""),"Lentes de STOCK")</f>
        <v>Lentes de STOCK</v>
      </c>
      <c r="E4547" s="1" t="str">
        <f>IFERROR(__xludf.DUMMYFUNCTION("""COMPUTED_VALUE"""),"ARTIGAS Ivana P.")</f>
        <v>ARTIGAS Ivana P.</v>
      </c>
      <c r="F4547" s="1" t="str">
        <f t="shared" si="1"/>
        <v>ARTIGAS </v>
      </c>
      <c r="G4547" s="1" t="str">
        <f t="shared" si="2"/>
        <v>Ivana P.</v>
      </c>
      <c r="H4547" s="1" t="str">
        <f>IFERROR(__xludf.DUMMYFUNCTION("""COMPUTED_VALUE"""),"10/4/2023, 17:00:00")</f>
        <v>10/4/2023, 17:00:00</v>
      </c>
      <c r="I4547" s="1" t="str">
        <f>IFERROR(__xludf.DUMMYFUNCTION("""COMPUTED_VALUE"""),"Recibido en Laboratorio")</f>
        <v>Recibido en Laboratorio</v>
      </c>
      <c r="J4547" s="1">
        <f t="shared" si="3"/>
        <v>2</v>
      </c>
      <c r="K4547" s="1" t="str">
        <f t="shared" si="4"/>
        <v>Nuestro Laboratorio esta trabajando en tus lentes, los entregaremos en la fecha acordada.</v>
      </c>
    </row>
    <row r="4548">
      <c r="A4548" s="1">
        <f>IFERROR(__xludf.DUMMYFUNCTION("""COMPUTED_VALUE"""),89111.0)</f>
        <v>89111</v>
      </c>
      <c r="B4548" s="5">
        <f>IFERROR(__xludf.DUMMYFUNCTION("""COMPUTED_VALUE"""),45016.82843570602)</f>
        <v>45016.82844</v>
      </c>
      <c r="C4548" s="1" t="str">
        <f>IFERROR(__xludf.DUMMYFUNCTION("""COMPUTED_VALUE"""),"ESCUDERO CARLA")</f>
        <v>ESCUDERO CARLA</v>
      </c>
      <c r="D4548" s="1" t="str">
        <f>IFERROR(__xludf.DUMMYFUNCTION("""COMPUTED_VALUE"""),"Lentes de STOCK")</f>
        <v>Lentes de STOCK</v>
      </c>
      <c r="E4548" s="1" t="str">
        <f>IFERROR(__xludf.DUMMYFUNCTION("""COMPUTED_VALUE"""),"RIVADAVIA Christian C.")</f>
        <v>RIVADAVIA Christian C.</v>
      </c>
      <c r="F4548" s="1" t="str">
        <f t="shared" si="1"/>
        <v>RIVADAVIA </v>
      </c>
      <c r="G4548" s="1" t="str">
        <f t="shared" si="2"/>
        <v>Christian C.</v>
      </c>
      <c r="H4548" s="1" t="str">
        <f>IFERROR(__xludf.DUMMYFUNCTION("""COMPUTED_VALUE"""),"6/4/2023, 17:00:00")</f>
        <v>6/4/2023, 17:00:00</v>
      </c>
      <c r="I4548" s="1" t="str">
        <f>IFERROR(__xludf.DUMMYFUNCTION("""COMPUTED_VALUE"""),"RETIRADO OK POR CLIENTE")</f>
        <v>RETIRADO OK POR CLIENTE</v>
      </c>
      <c r="J4548" s="1">
        <f t="shared" si="3"/>
        <v>6</v>
      </c>
      <c r="K4548" s="1" t="str">
        <f t="shared" si="4"/>
        <v>Entregamos tus lentes, que los disfrutes!</v>
      </c>
    </row>
    <row r="4549">
      <c r="A4549" s="1">
        <f>IFERROR(__xludf.DUMMYFUNCTION("""COMPUTED_VALUE"""),89112.0)</f>
        <v>89112</v>
      </c>
      <c r="B4549" s="5">
        <f>IFERROR(__xludf.DUMMYFUNCTION("""COMPUTED_VALUE"""),45016.839633634256)</f>
        <v>45016.83963</v>
      </c>
      <c r="C4549" s="1" t="str">
        <f>IFERROR(__xludf.DUMMYFUNCTION("""COMPUTED_VALUE"""),"VILELA GABRIELA ALBERTO")</f>
        <v>VILELA GABRIELA ALBERTO</v>
      </c>
      <c r="D4549" s="1" t="str">
        <f>IFERROR(__xludf.DUMMYFUNCTION("""COMPUTED_VALUE"""),"Lentes de LABORATORIO")</f>
        <v>Lentes de LABORATORIO</v>
      </c>
      <c r="E4549" s="1" t="str">
        <f>IFERROR(__xludf.DUMMYFUNCTION("""COMPUTED_VALUE"""),"RIVADAVIA Marcela L")</f>
        <v>RIVADAVIA Marcela L</v>
      </c>
      <c r="F4549" s="1" t="str">
        <f t="shared" si="1"/>
        <v>RIVADAVIA </v>
      </c>
      <c r="G4549" s="1" t="str">
        <f t="shared" si="2"/>
        <v>Marcela L</v>
      </c>
      <c r="H4549" s="1" t="str">
        <f>IFERROR(__xludf.DUMMYFUNCTION("""COMPUTED_VALUE"""),"18/4/2023, 17:00:00")</f>
        <v>18/4/2023, 17:00:00</v>
      </c>
      <c r="I4549" s="1" t="str">
        <f>IFERROR(__xludf.DUMMYFUNCTION("""COMPUTED_VALUE"""),"Recibido en Laboratorio")</f>
        <v>Recibido en Laboratorio</v>
      </c>
      <c r="J4549" s="1">
        <f t="shared" si="3"/>
        <v>2</v>
      </c>
      <c r="K4549" s="1" t="str">
        <f t="shared" si="4"/>
        <v>Nuestro Laboratorio esta trabajando en tus lentes, los entregaremos en la fecha acordada.</v>
      </c>
    </row>
    <row r="4550">
      <c r="A4550" s="1">
        <f>IFERROR(__xludf.DUMMYFUNCTION("""COMPUTED_VALUE"""),89113.0)</f>
        <v>89113</v>
      </c>
      <c r="B4550" s="5">
        <f>IFERROR(__xludf.DUMMYFUNCTION("""COMPUTED_VALUE"""),45016.85051561343)</f>
        <v>45016.85052</v>
      </c>
      <c r="C4550" s="1" t="str">
        <f>IFERROR(__xludf.DUMMYFUNCTION("""COMPUTED_VALUE"""),"DIAZ STEFANI AGUSTINA")</f>
        <v>DIAZ STEFANI AGUSTINA</v>
      </c>
      <c r="D4550" s="1" t="str">
        <f>IFERROR(__xludf.DUMMYFUNCTION("""COMPUTED_VALUE"""),"Lentes de STOCK")</f>
        <v>Lentes de STOCK</v>
      </c>
      <c r="E4550" s="1" t="str">
        <f>IFERROR(__xludf.DUMMYFUNCTION("""COMPUTED_VALUE"""),"RIVADAVIA Javier")</f>
        <v>RIVADAVIA Javier</v>
      </c>
      <c r="F4550" s="1" t="str">
        <f t="shared" si="1"/>
        <v>RIVADAVIA </v>
      </c>
      <c r="G4550" s="1" t="str">
        <f t="shared" si="2"/>
        <v>Javier</v>
      </c>
      <c r="H4550" s="1" t="str">
        <f>IFERROR(__xludf.DUMMYFUNCTION("""COMPUTED_VALUE"""),"6/4/2023, 17:00:00")</f>
        <v>6/4/2023, 17:00:00</v>
      </c>
      <c r="I4550" s="1" t="str">
        <f>IFERROR(__xludf.DUMMYFUNCTION("""COMPUTED_VALUE"""),"Completado en SUCURSAL")</f>
        <v>Completado en SUCURSAL</v>
      </c>
      <c r="J4550" s="1">
        <f t="shared" si="3"/>
        <v>5</v>
      </c>
      <c r="K4550" s="1" t="str">
        <f t="shared" si="4"/>
        <v>Tus Lentes estan LISTAS PARA ENTREGAR, te esperamos.</v>
      </c>
    </row>
    <row r="4551">
      <c r="A4551" s="1">
        <f>IFERROR(__xludf.DUMMYFUNCTION("""COMPUTED_VALUE"""),89114.0)</f>
        <v>89114</v>
      </c>
      <c r="B4551" s="5">
        <f>IFERROR(__xludf.DUMMYFUNCTION("""COMPUTED_VALUE"""),45016.858984872684)</f>
        <v>45016.85898</v>
      </c>
      <c r="C4551" s="1" t="str">
        <f>IFERROR(__xludf.DUMMYFUNCTION("""COMPUTED_VALUE"""),"GARRAZA LARA ")</f>
        <v>GARRAZA LARA </v>
      </c>
      <c r="D4551" s="1" t="str">
        <f>IFERROR(__xludf.DUMMYFUNCTION("""COMPUTED_VALUE"""),"Lentes de STOCK")</f>
        <v>Lentes de STOCK</v>
      </c>
      <c r="E4551" s="1" t="str">
        <f>IFERROR(__xludf.DUMMYFUNCTION("""COMPUTED_VALUE"""),"RIVADAVIA Christian C.")</f>
        <v>RIVADAVIA Christian C.</v>
      </c>
      <c r="F4551" s="1" t="str">
        <f t="shared" si="1"/>
        <v>RIVADAVIA </v>
      </c>
      <c r="G4551" s="1" t="str">
        <f t="shared" si="2"/>
        <v>Christian C.</v>
      </c>
      <c r="H4551" s="1" t="str">
        <f>IFERROR(__xludf.DUMMYFUNCTION("""COMPUTED_VALUE"""),"10/4/2023, 17:00:00")</f>
        <v>10/4/2023, 17:00:00</v>
      </c>
      <c r="I4551" s="1" t="str">
        <f>IFERROR(__xludf.DUMMYFUNCTION("""COMPUTED_VALUE"""),"Recibido en Laboratorio")</f>
        <v>Recibido en Laboratorio</v>
      </c>
      <c r="J4551" s="1">
        <f t="shared" si="3"/>
        <v>2</v>
      </c>
      <c r="K4551" s="1" t="str">
        <f t="shared" si="4"/>
        <v>Nuestro Laboratorio esta trabajando en tus lentes, los entregaremos en la fecha acordada.</v>
      </c>
    </row>
    <row r="4552">
      <c r="A4552" s="1">
        <f>IFERROR(__xludf.DUMMYFUNCTION("""COMPUTED_VALUE"""),89115.0)</f>
        <v>89115</v>
      </c>
      <c r="B4552" s="5">
        <f>IFERROR(__xludf.DUMMYFUNCTION("""COMPUTED_VALUE"""),45016.862511342595)</f>
        <v>45016.86251</v>
      </c>
      <c r="C4552" s="1" t="str">
        <f>IFERROR(__xludf.DUMMYFUNCTION("""COMPUTED_VALUE"""),"SORIA AGOSTINA")</f>
        <v>SORIA AGOSTINA</v>
      </c>
      <c r="D4552" s="1" t="str">
        <f>IFERROR(__xludf.DUMMYFUNCTION("""COMPUTED_VALUE"""),"Reparaciones/Otros")</f>
        <v>Reparaciones/Otros</v>
      </c>
      <c r="E4552" s="1" t="str">
        <f>IFERROR(__xludf.DUMMYFUNCTION("""COMPUTED_VALUE"""),"RIVADAVIA Luciana")</f>
        <v>RIVADAVIA Luciana</v>
      </c>
      <c r="F4552" s="1" t="str">
        <f t="shared" si="1"/>
        <v>RIVADAVIA </v>
      </c>
      <c r="G4552" s="1" t="str">
        <f t="shared" si="2"/>
        <v>Luciana</v>
      </c>
      <c r="H4552" s="1" t="str">
        <f>IFERROR(__xludf.DUMMYFUNCTION("""COMPUTED_VALUE"""),"3/4/2023, 17:00:00")</f>
        <v>3/4/2023, 17:00:00</v>
      </c>
      <c r="I4552" s="1" t="str">
        <f>IFERROR(__xludf.DUMMYFUNCTION("""COMPUTED_VALUE"""),"Recibido en Laboratorio")</f>
        <v>Recibido en Laboratorio</v>
      </c>
      <c r="J4552" s="1">
        <f t="shared" si="3"/>
        <v>2</v>
      </c>
      <c r="K4552" s="1" t="str">
        <f t="shared" si="4"/>
        <v>Nuestro Laboratorio esta trabajando en tus lentes, los entregaremos en la fecha acordada.</v>
      </c>
    </row>
    <row r="4553">
      <c r="A4553" s="1">
        <f>IFERROR(__xludf.DUMMYFUNCTION("""COMPUTED_VALUE"""),89116.0)</f>
        <v>89116</v>
      </c>
      <c r="B4553" s="5">
        <f>IFERROR(__xludf.DUMMYFUNCTION("""COMPUTED_VALUE"""),45017.38963276621)</f>
        <v>45017.38963</v>
      </c>
      <c r="C4553" s="1" t="str">
        <f>IFERROR(__xludf.DUMMYFUNCTION("""COMPUTED_VALUE"""),"MOLINA RAUL")</f>
        <v>MOLINA RAUL</v>
      </c>
      <c r="D4553" s="1" t="str">
        <f>IFERROR(__xludf.DUMMYFUNCTION("""COMPUTED_VALUE"""),"Lentes de STOCK")</f>
        <v>Lentes de STOCK</v>
      </c>
      <c r="E4553" s="1" t="str">
        <f>IFERROR(__xludf.DUMMYFUNCTION("""COMPUTED_VALUE"""),"RIVADAVIA Santiago LOPEZ")</f>
        <v>RIVADAVIA Santiago LOPEZ</v>
      </c>
      <c r="F4553" s="1" t="str">
        <f t="shared" si="1"/>
        <v>RIVADAVIA </v>
      </c>
      <c r="G4553" s="1" t="str">
        <f t="shared" si="2"/>
        <v>Santiago LOPEZ</v>
      </c>
      <c r="H4553" s="1" t="str">
        <f>IFERROR(__xludf.DUMMYFUNCTION("""COMPUTED_VALUE"""),"4/4/2023, 17:00:00")</f>
        <v>4/4/2023, 17:00:00</v>
      </c>
      <c r="I4553" s="1" t="str">
        <f>IFERROR(__xludf.DUMMYFUNCTION("""COMPUTED_VALUE"""),"RETIRADO OK POR CLIENTE")</f>
        <v>RETIRADO OK POR CLIENTE</v>
      </c>
      <c r="J4553" s="1">
        <f t="shared" si="3"/>
        <v>6</v>
      </c>
      <c r="K4553" s="1" t="str">
        <f t="shared" si="4"/>
        <v>Entregamos tus lentes, que los disfrutes!</v>
      </c>
    </row>
    <row r="4554">
      <c r="A4554" s="1">
        <f>IFERROR(__xludf.DUMMYFUNCTION("""COMPUTED_VALUE"""),89117.0)</f>
        <v>89117</v>
      </c>
      <c r="B4554" s="5">
        <f>IFERROR(__xludf.DUMMYFUNCTION("""COMPUTED_VALUE"""),45017.3973475463)</f>
        <v>45017.39735</v>
      </c>
      <c r="C4554" s="1" t="str">
        <f>IFERROR(__xludf.DUMMYFUNCTION("""COMPUTED_VALUE"""),"GARCIA ALEIDA")</f>
        <v>GARCIA ALEIDA</v>
      </c>
      <c r="D4554" s="1" t="str">
        <f>IFERROR(__xludf.DUMMYFUNCTION("""COMPUTED_VALUE"""),"Lentes de STOCK")</f>
        <v>Lentes de STOCK</v>
      </c>
      <c r="E4554" s="1" t="str">
        <f>IFERROR(__xludf.DUMMYFUNCTION("""COMPUTED_VALUE"""),"ARTIGAS Ivana P.")</f>
        <v>ARTIGAS Ivana P.</v>
      </c>
      <c r="F4554" s="1" t="str">
        <f t="shared" si="1"/>
        <v>ARTIGAS </v>
      </c>
      <c r="G4554" s="1" t="str">
        <f t="shared" si="2"/>
        <v>Ivana P.</v>
      </c>
      <c r="H4554" s="1" t="str">
        <f>IFERROR(__xludf.DUMMYFUNCTION("""COMPUTED_VALUE"""),"5/4/2023, 17:00:00")</f>
        <v>5/4/2023, 17:00:00</v>
      </c>
      <c r="I4554" s="1" t="str">
        <f>IFERROR(__xludf.DUMMYFUNCTION("""COMPUTED_VALUE"""),"Completado en SUCURSAL")</f>
        <v>Completado en SUCURSAL</v>
      </c>
      <c r="J4554" s="1">
        <f t="shared" si="3"/>
        <v>5</v>
      </c>
      <c r="K4554" s="1" t="str">
        <f t="shared" si="4"/>
        <v>Tus Lentes estan LISTAS PARA ENTREGAR, te esperamos.</v>
      </c>
    </row>
    <row r="4555">
      <c r="A4555" s="1">
        <f>IFERROR(__xludf.DUMMYFUNCTION("""COMPUTED_VALUE"""),89118.0)</f>
        <v>89118</v>
      </c>
      <c r="B4555" s="5">
        <f>IFERROR(__xludf.DUMMYFUNCTION("""COMPUTED_VALUE"""),45017.399096099536)</f>
        <v>45017.3991</v>
      </c>
      <c r="C4555" s="1" t="str">
        <f>IFERROR(__xludf.DUMMYFUNCTION("""COMPUTED_VALUE"""),"LEZCANO VANESA")</f>
        <v>LEZCANO VANESA</v>
      </c>
      <c r="D4555" s="1" t="str">
        <f>IFERROR(__xludf.DUMMYFUNCTION("""COMPUTED_VALUE"""),"Reparaciones/Otros")</f>
        <v>Reparaciones/Otros</v>
      </c>
      <c r="E4555" s="1" t="str">
        <f>IFERROR(__xludf.DUMMYFUNCTION("""COMPUTED_VALUE"""),"RIVADAVIA Javier")</f>
        <v>RIVADAVIA Javier</v>
      </c>
      <c r="F4555" s="1" t="str">
        <f t="shared" si="1"/>
        <v>RIVADAVIA </v>
      </c>
      <c r="G4555" s="1" t="str">
        <f t="shared" si="2"/>
        <v>Javier</v>
      </c>
      <c r="H4555" s="1" t="str">
        <f>IFERROR(__xludf.DUMMYFUNCTION("""COMPUTED_VALUE"""),"3/4/2023, 17:00:00")</f>
        <v>3/4/2023, 17:00:00</v>
      </c>
      <c r="I4555" s="1" t="str">
        <f>IFERROR(__xludf.DUMMYFUNCTION("""COMPUTED_VALUE"""),"Recibido en Laboratorio")</f>
        <v>Recibido en Laboratorio</v>
      </c>
      <c r="J4555" s="1">
        <f t="shared" si="3"/>
        <v>2</v>
      </c>
      <c r="K4555" s="1" t="str">
        <f t="shared" si="4"/>
        <v>Nuestro Laboratorio esta trabajando en tus lentes, los entregaremos en la fecha acordada.</v>
      </c>
    </row>
    <row r="4556">
      <c r="A4556" s="1">
        <f>IFERROR(__xludf.DUMMYFUNCTION("""COMPUTED_VALUE"""),89119.0)</f>
        <v>89119</v>
      </c>
      <c r="B4556" s="5">
        <f>IFERROR(__xludf.DUMMYFUNCTION("""COMPUTED_VALUE"""),45017.42649324074)</f>
        <v>45017.42649</v>
      </c>
      <c r="C4556" s="1" t="str">
        <f>IFERROR(__xludf.DUMMYFUNCTION("""COMPUTED_VALUE"""),"PEREZ SANDRA VERONICA")</f>
        <v>PEREZ SANDRA VERONICA</v>
      </c>
      <c r="D4556" s="1" t="str">
        <f>IFERROR(__xludf.DUMMYFUNCTION("""COMPUTED_VALUE"""),"Lentes BIFOCALES")</f>
        <v>Lentes BIFOCALES</v>
      </c>
      <c r="E4556" s="1" t="str">
        <f>IFERROR(__xludf.DUMMYFUNCTION("""COMPUTED_VALUE"""),"RIVADAVIA Santiago N")</f>
        <v>RIVADAVIA Santiago N</v>
      </c>
      <c r="F4556" s="1" t="str">
        <f t="shared" si="1"/>
        <v>RIVADAVIA </v>
      </c>
      <c r="G4556" s="1" t="str">
        <f t="shared" si="2"/>
        <v>Santiago N</v>
      </c>
      <c r="H4556" s="1" t="str">
        <f>IFERROR(__xludf.DUMMYFUNCTION("""COMPUTED_VALUE"""),"10/4/2023, 17:00:00")</f>
        <v>10/4/2023, 17:00:00</v>
      </c>
      <c r="I4556" s="1"/>
      <c r="J4556" s="1">
        <f t="shared" si="3"/>
        <v>0</v>
      </c>
      <c r="K4556" s="1" t="str">
        <f t="shared" si="4"/>
        <v/>
      </c>
    </row>
    <row r="4557">
      <c r="A4557" s="1">
        <f>IFERROR(__xludf.DUMMYFUNCTION("""COMPUTED_VALUE"""),89120.0)</f>
        <v>89120</v>
      </c>
      <c r="B4557" s="5">
        <f>IFERROR(__xludf.DUMMYFUNCTION("""COMPUTED_VALUE"""),45017.430487199075)</f>
        <v>45017.43049</v>
      </c>
      <c r="C4557" s="1" t="str">
        <f>IFERROR(__xludf.DUMMYFUNCTION("""COMPUTED_VALUE"""),"sosa cecilia ")</f>
        <v>sosa cecilia </v>
      </c>
      <c r="D4557" s="1" t="str">
        <f>IFERROR(__xludf.DUMMYFUNCTION("""COMPUTED_VALUE"""),"Lentes de STOCK")</f>
        <v>Lentes de STOCK</v>
      </c>
      <c r="E4557" s="1" t="str">
        <f>IFERROR(__xludf.DUMMYFUNCTION("""COMPUTED_VALUE"""),"RIVADAVIA Santiago N")</f>
        <v>RIVADAVIA Santiago N</v>
      </c>
      <c r="F4557" s="1" t="str">
        <f t="shared" si="1"/>
        <v>RIVADAVIA </v>
      </c>
      <c r="G4557" s="1" t="str">
        <f t="shared" si="2"/>
        <v>Santiago N</v>
      </c>
      <c r="H4557" s="1" t="str">
        <f>IFERROR(__xludf.DUMMYFUNCTION("""COMPUTED_VALUE"""),"4/4/2023, 17:00:00")</f>
        <v>4/4/2023, 17:00:00</v>
      </c>
      <c r="I4557" s="1" t="str">
        <f>IFERROR(__xludf.DUMMYFUNCTION("""COMPUTED_VALUE"""),"Completado en SUCURSAL")</f>
        <v>Completado en SUCURSAL</v>
      </c>
      <c r="J4557" s="1">
        <f t="shared" si="3"/>
        <v>5</v>
      </c>
      <c r="K4557" s="1" t="str">
        <f t="shared" si="4"/>
        <v>Tus Lentes estan LISTAS PARA ENTREGAR, te esperamos.</v>
      </c>
    </row>
    <row r="4558">
      <c r="A4558" s="1">
        <f>IFERROR(__xludf.DUMMYFUNCTION("""COMPUTED_VALUE"""),89121.0)</f>
        <v>89121</v>
      </c>
      <c r="B4558" s="5">
        <f>IFERROR(__xludf.DUMMYFUNCTION("""COMPUTED_VALUE"""),45017.435263935186)</f>
        <v>45017.43526</v>
      </c>
      <c r="C4558" s="1" t="str">
        <f>IFERROR(__xludf.DUMMYFUNCTION("""COMPUTED_VALUE"""),"REPETTI GABRIELA")</f>
        <v>REPETTI GABRIELA</v>
      </c>
      <c r="D4558" s="1" t="str">
        <f>IFERROR(__xludf.DUMMYFUNCTION("""COMPUTED_VALUE"""),"Reparaciones/Otros")</f>
        <v>Reparaciones/Otros</v>
      </c>
      <c r="E4558" s="1" t="str">
        <f>IFERROR(__xludf.DUMMYFUNCTION("""COMPUTED_VALUE"""),"ARTIGAS Ivana P.")</f>
        <v>ARTIGAS Ivana P.</v>
      </c>
      <c r="F4558" s="1" t="str">
        <f t="shared" si="1"/>
        <v>ARTIGAS </v>
      </c>
      <c r="G4558" s="1" t="str">
        <f t="shared" si="2"/>
        <v>Ivana P.</v>
      </c>
      <c r="H4558" s="1" t="str">
        <f>IFERROR(__xludf.DUMMYFUNCTION("""COMPUTED_VALUE"""),"3/4/2023, 17:00:00")</f>
        <v>3/4/2023, 17:00:00</v>
      </c>
      <c r="I4558" s="1" t="str">
        <f>IFERROR(__xludf.DUMMYFUNCTION("""COMPUTED_VALUE"""),"Completado en SUCURSAL")</f>
        <v>Completado en SUCURSAL</v>
      </c>
      <c r="J4558" s="1">
        <f t="shared" si="3"/>
        <v>5</v>
      </c>
      <c r="K4558" s="1" t="str">
        <f t="shared" si="4"/>
        <v>Tus Lentes estan LISTAS PARA ENTREGAR, te esperamos.</v>
      </c>
    </row>
    <row r="4559">
      <c r="A4559" s="1">
        <f>IFERROR(__xludf.DUMMYFUNCTION("""COMPUTED_VALUE"""),89122.0)</f>
        <v>89122</v>
      </c>
      <c r="B4559" s="5">
        <f>IFERROR(__xludf.DUMMYFUNCTION("""COMPUTED_VALUE"""),45017.4385587963)</f>
        <v>45017.43856</v>
      </c>
      <c r="C4559" s="1" t="str">
        <f>IFERROR(__xludf.DUMMYFUNCTION("""COMPUTED_VALUE"""),"IRAOLA YAMILA")</f>
        <v>IRAOLA YAMILA</v>
      </c>
      <c r="D4559" s="1" t="str">
        <f>IFERROR(__xludf.DUMMYFUNCTION("""COMPUTED_VALUE"""),"Reparaciones/Otros")</f>
        <v>Reparaciones/Otros</v>
      </c>
      <c r="E4559" s="1" t="str">
        <f>IFERROR(__xludf.DUMMYFUNCTION("""COMPUTED_VALUE"""),"ARTIGAS Roció")</f>
        <v>ARTIGAS Roció</v>
      </c>
      <c r="F4559" s="1" t="str">
        <f t="shared" si="1"/>
        <v>ARTIGAS </v>
      </c>
      <c r="G4559" s="1" t="str">
        <f t="shared" si="2"/>
        <v>Roció</v>
      </c>
      <c r="H4559" s="1" t="str">
        <f>IFERROR(__xludf.DUMMYFUNCTION("""COMPUTED_VALUE"""),"3/4/2023, 17:00:00")</f>
        <v>3/4/2023, 17:00:00</v>
      </c>
      <c r="I4559" s="1" t="str">
        <f>IFERROR(__xludf.DUMMYFUNCTION("""COMPUTED_VALUE"""),"Completado en SUCURSAL")</f>
        <v>Completado en SUCURSAL</v>
      </c>
      <c r="J4559" s="1">
        <f t="shared" si="3"/>
        <v>5</v>
      </c>
      <c r="K4559" s="1" t="str">
        <f t="shared" si="4"/>
        <v>Tus Lentes estan LISTAS PARA ENTREGAR, te esperamos.</v>
      </c>
    </row>
    <row r="4560">
      <c r="A4560" s="1">
        <f>IFERROR(__xludf.DUMMYFUNCTION("""COMPUTED_VALUE"""),89123.0)</f>
        <v>89123</v>
      </c>
      <c r="B4560" s="5">
        <f>IFERROR(__xludf.DUMMYFUNCTION("""COMPUTED_VALUE"""),45017.44842046296)</f>
        <v>45017.44842</v>
      </c>
      <c r="C4560" s="1" t="str">
        <f>IFERROR(__xludf.DUMMYFUNCTION("""COMPUTED_VALUE"""),"OCHOA ANA MIRTA")</f>
        <v>OCHOA ANA MIRTA</v>
      </c>
      <c r="D4560" s="1" t="str">
        <f>IFERROR(__xludf.DUMMYFUNCTION("""COMPUTED_VALUE"""),"Lentes de STOCK")</f>
        <v>Lentes de STOCK</v>
      </c>
      <c r="E4560" s="1" t="str">
        <f>IFERROR(__xludf.DUMMYFUNCTION("""COMPUTED_VALUE"""),"ARTIGAS Roció")</f>
        <v>ARTIGAS Roció</v>
      </c>
      <c r="F4560" s="1" t="str">
        <f t="shared" si="1"/>
        <v>ARTIGAS </v>
      </c>
      <c r="G4560" s="1" t="str">
        <f t="shared" si="2"/>
        <v>Roció</v>
      </c>
      <c r="H4560" s="1" t="str">
        <f>IFERROR(__xludf.DUMMYFUNCTION("""COMPUTED_VALUE"""),"12/4/2023, 17:00:00")</f>
        <v>12/4/2023, 17:00:00</v>
      </c>
      <c r="I4560" s="1" t="str">
        <f>IFERROR(__xludf.DUMMYFUNCTION("""COMPUTED_VALUE"""),"Completado en SUCURSAL")</f>
        <v>Completado en SUCURSAL</v>
      </c>
      <c r="J4560" s="1">
        <f t="shared" si="3"/>
        <v>5</v>
      </c>
      <c r="K4560" s="1" t="str">
        <f t="shared" si="4"/>
        <v>Tus Lentes estan LISTAS PARA ENTREGAR, te esperamos.</v>
      </c>
    </row>
    <row r="4561">
      <c r="A4561" s="1">
        <f>IFERROR(__xludf.DUMMYFUNCTION("""COMPUTED_VALUE"""),89124.0)</f>
        <v>89124</v>
      </c>
      <c r="B4561" s="5">
        <f>IFERROR(__xludf.DUMMYFUNCTION("""COMPUTED_VALUE"""),45017.45165113426)</f>
        <v>45017.45165</v>
      </c>
      <c r="C4561" s="1" t="str">
        <f>IFERROR(__xludf.DUMMYFUNCTION("""COMPUTED_VALUE"""),"VILLEGAS MUÑOZ MARIA SOL")</f>
        <v>VILLEGAS MUÑOZ MARIA SOL</v>
      </c>
      <c r="D4561" s="1" t="str">
        <f>IFERROR(__xludf.DUMMYFUNCTION("""COMPUTED_VALUE"""),"Lentes de STOCK")</f>
        <v>Lentes de STOCK</v>
      </c>
      <c r="E4561" s="1" t="str">
        <f>IFERROR(__xludf.DUMMYFUNCTION("""COMPUTED_VALUE"""),"ARTIGAS Ivana P.")</f>
        <v>ARTIGAS Ivana P.</v>
      </c>
      <c r="F4561" s="1" t="str">
        <f t="shared" si="1"/>
        <v>ARTIGAS </v>
      </c>
      <c r="G4561" s="1" t="str">
        <f t="shared" si="2"/>
        <v>Ivana P.</v>
      </c>
      <c r="H4561" s="1" t="str">
        <f>IFERROR(__xludf.DUMMYFUNCTION("""COMPUTED_VALUE"""),"5/4/2023, 17:00:00")</f>
        <v>5/4/2023, 17:00:00</v>
      </c>
      <c r="I4561" s="1" t="str">
        <f>IFERROR(__xludf.DUMMYFUNCTION("""COMPUTED_VALUE"""),"RETIRADO OK POR CLIENTE")</f>
        <v>RETIRADO OK POR CLIENTE</v>
      </c>
      <c r="J4561" s="1">
        <f t="shared" si="3"/>
        <v>6</v>
      </c>
      <c r="K4561" s="1" t="str">
        <f t="shared" si="4"/>
        <v>Entregamos tus lentes, que los disfrutes!</v>
      </c>
    </row>
    <row r="4562">
      <c r="A4562" s="1">
        <f>IFERROR(__xludf.DUMMYFUNCTION("""COMPUTED_VALUE"""),89125.0)</f>
        <v>89125</v>
      </c>
      <c r="B4562" s="5">
        <f>IFERROR(__xludf.DUMMYFUNCTION("""COMPUTED_VALUE"""),45017.454517025464)</f>
        <v>45017.45452</v>
      </c>
      <c r="C4562" s="1" t="str">
        <f>IFERROR(__xludf.DUMMYFUNCTION("""COMPUTED_VALUE"""),"LOPEZ LA TORRE FLORENCIA ")</f>
        <v>LOPEZ LA TORRE FLORENCIA </v>
      </c>
      <c r="D4562" s="1" t="str">
        <f>IFERROR(__xludf.DUMMYFUNCTION("""COMPUTED_VALUE"""),"Lentes de LABORATORIO")</f>
        <v>Lentes de LABORATORIO</v>
      </c>
      <c r="E4562" s="1" t="str">
        <f>IFERROR(__xludf.DUMMYFUNCTION("""COMPUTED_VALUE"""),"RIVADAVIA Christian C.")</f>
        <v>RIVADAVIA Christian C.</v>
      </c>
      <c r="F4562" s="1" t="str">
        <f t="shared" si="1"/>
        <v>RIVADAVIA </v>
      </c>
      <c r="G4562" s="1" t="str">
        <f t="shared" si="2"/>
        <v>Christian C.</v>
      </c>
      <c r="H4562" s="1" t="str">
        <f>IFERROR(__xludf.DUMMYFUNCTION("""COMPUTED_VALUE"""),"13/4/2023, 17:00:00")</f>
        <v>13/4/2023, 17:00:00</v>
      </c>
      <c r="I4562" s="1" t="str">
        <f>IFERROR(__xludf.DUMMYFUNCTION("""COMPUTED_VALUE"""),"Completado en SUCURSAL")</f>
        <v>Completado en SUCURSAL</v>
      </c>
      <c r="J4562" s="1">
        <f t="shared" si="3"/>
        <v>5</v>
      </c>
      <c r="K4562" s="1" t="str">
        <f t="shared" si="4"/>
        <v>Tus Lentes estan LISTAS PARA ENTREGAR, te esperamos.</v>
      </c>
    </row>
    <row r="4563">
      <c r="A4563" s="1">
        <f>IFERROR(__xludf.DUMMYFUNCTION("""COMPUTED_VALUE"""),89126.0)</f>
        <v>89126</v>
      </c>
      <c r="B4563" s="5">
        <f>IFERROR(__xludf.DUMMYFUNCTION("""COMPUTED_VALUE"""),45017.46026978009)</f>
        <v>45017.46027</v>
      </c>
      <c r="C4563" s="1" t="str">
        <f>IFERROR(__xludf.DUMMYFUNCTION("""COMPUTED_VALUE"""),"DARGAINZ FLORENCIA")</f>
        <v>DARGAINZ FLORENCIA</v>
      </c>
      <c r="D4563" s="1" t="str">
        <f>IFERROR(__xludf.DUMMYFUNCTION("""COMPUTED_VALUE"""),"Lentes de STOCK")</f>
        <v>Lentes de STOCK</v>
      </c>
      <c r="E4563" s="1" t="str">
        <f>IFERROR(__xludf.DUMMYFUNCTION("""COMPUTED_VALUE"""),"RIVADAVIA Christian C.")</f>
        <v>RIVADAVIA Christian C.</v>
      </c>
      <c r="F4563" s="1" t="str">
        <f t="shared" si="1"/>
        <v>RIVADAVIA </v>
      </c>
      <c r="G4563" s="1" t="str">
        <f t="shared" si="2"/>
        <v>Christian C.</v>
      </c>
      <c r="H4563" s="1" t="str">
        <f>IFERROR(__xludf.DUMMYFUNCTION("""COMPUTED_VALUE"""),"6/4/2023, 17:00:00")</f>
        <v>6/4/2023, 17:00:00</v>
      </c>
      <c r="I4563" s="1" t="str">
        <f>IFERROR(__xludf.DUMMYFUNCTION("""COMPUTED_VALUE"""),"Completado en SUCURSAL")</f>
        <v>Completado en SUCURSAL</v>
      </c>
      <c r="J4563" s="1">
        <f t="shared" si="3"/>
        <v>5</v>
      </c>
      <c r="K4563" s="1" t="str">
        <f t="shared" si="4"/>
        <v>Tus Lentes estan LISTAS PARA ENTREGAR, te esperamos.</v>
      </c>
    </row>
    <row r="4564">
      <c r="A4564" s="1">
        <f>IFERROR(__xludf.DUMMYFUNCTION("""COMPUTED_VALUE"""),89127.0)</f>
        <v>89127</v>
      </c>
      <c r="B4564" s="5">
        <f>IFERROR(__xludf.DUMMYFUNCTION("""COMPUTED_VALUE"""),45017.46371056713)</f>
        <v>45017.46371</v>
      </c>
      <c r="C4564" s="1" t="str">
        <f>IFERROR(__xludf.DUMMYFUNCTION("""COMPUTED_VALUE"""),"PUERTO GORDO FAUSTINO")</f>
        <v>PUERTO GORDO FAUSTINO</v>
      </c>
      <c r="D4564" s="1" t="str">
        <f>IFERROR(__xludf.DUMMYFUNCTION("""COMPUTED_VALUE"""),"Lentes de STOCK")</f>
        <v>Lentes de STOCK</v>
      </c>
      <c r="E4564" s="1" t="str">
        <f>IFERROR(__xludf.DUMMYFUNCTION("""COMPUTED_VALUE"""),"ARTIGAS Roció")</f>
        <v>ARTIGAS Roció</v>
      </c>
      <c r="F4564" s="1" t="str">
        <f t="shared" si="1"/>
        <v>ARTIGAS </v>
      </c>
      <c r="G4564" s="1" t="str">
        <f t="shared" si="2"/>
        <v>Roció</v>
      </c>
      <c r="H4564" s="1" t="str">
        <f>IFERROR(__xludf.DUMMYFUNCTION("""COMPUTED_VALUE"""),"12/4/2023, 17:00:00")</f>
        <v>12/4/2023, 17:00:00</v>
      </c>
      <c r="I4564" s="1" t="str">
        <f>IFERROR(__xludf.DUMMYFUNCTION("""COMPUTED_VALUE"""),"Completado en SUCURSAL")</f>
        <v>Completado en SUCURSAL</v>
      </c>
      <c r="J4564" s="1">
        <f t="shared" si="3"/>
        <v>5</v>
      </c>
      <c r="K4564" s="1" t="str">
        <f t="shared" si="4"/>
        <v>Tus Lentes estan LISTAS PARA ENTREGAR, te esperamos.</v>
      </c>
    </row>
    <row r="4565">
      <c r="A4565" s="1">
        <f>IFERROR(__xludf.DUMMYFUNCTION("""COMPUTED_VALUE"""),89128.0)</f>
        <v>89128</v>
      </c>
      <c r="B4565" s="5">
        <f>IFERROR(__xludf.DUMMYFUNCTION("""COMPUTED_VALUE"""),45017.46652954861)</f>
        <v>45017.46653</v>
      </c>
      <c r="C4565" s="1" t="str">
        <f>IFERROR(__xludf.DUMMYFUNCTION("""COMPUTED_VALUE"""),"VARGAS OLGA MARIA DEL ROSARIO")</f>
        <v>VARGAS OLGA MARIA DEL ROSARIO</v>
      </c>
      <c r="D4565" s="1" t="str">
        <f>IFERROR(__xludf.DUMMYFUNCTION("""COMPUTED_VALUE"""),"Lentes de STOCK")</f>
        <v>Lentes de STOCK</v>
      </c>
      <c r="E4565" s="1" t="str">
        <f>IFERROR(__xludf.DUMMYFUNCTION("""COMPUTED_VALUE"""),"RIVADAVIA Javier")</f>
        <v>RIVADAVIA Javier</v>
      </c>
      <c r="F4565" s="1" t="str">
        <f t="shared" si="1"/>
        <v>RIVADAVIA </v>
      </c>
      <c r="G4565" s="1" t="str">
        <f t="shared" si="2"/>
        <v>Javier</v>
      </c>
      <c r="H4565" s="1" t="str">
        <f>IFERROR(__xludf.DUMMYFUNCTION("""COMPUTED_VALUE"""),"5/4/2023, 17:00:00")</f>
        <v>5/4/2023, 17:00:00</v>
      </c>
      <c r="I4565" s="1" t="str">
        <f>IFERROR(__xludf.DUMMYFUNCTION("""COMPUTED_VALUE"""),"Recibido en Laboratorio")</f>
        <v>Recibido en Laboratorio</v>
      </c>
      <c r="J4565" s="1">
        <f t="shared" si="3"/>
        <v>2</v>
      </c>
      <c r="K4565" s="1" t="str">
        <f t="shared" si="4"/>
        <v>Nuestro Laboratorio esta trabajando en tus lentes, los entregaremos en la fecha acordada.</v>
      </c>
    </row>
    <row r="4566">
      <c r="A4566" s="1">
        <f>IFERROR(__xludf.DUMMYFUNCTION("""COMPUTED_VALUE"""),89129.0)</f>
        <v>89129</v>
      </c>
      <c r="B4566" s="5">
        <f>IFERROR(__xludf.DUMMYFUNCTION("""COMPUTED_VALUE"""),45017.469569594905)</f>
        <v>45017.46957</v>
      </c>
      <c r="C4566" s="1" t="str">
        <f>IFERROR(__xludf.DUMMYFUNCTION("""COMPUTED_VALUE"""),"TRAGLIA JORGE LUIS")</f>
        <v>TRAGLIA JORGE LUIS</v>
      </c>
      <c r="D4566" s="1" t="str">
        <f>IFERROR(__xludf.DUMMYFUNCTION("""COMPUTED_VALUE"""),"Lentes de STOCK")</f>
        <v>Lentes de STOCK</v>
      </c>
      <c r="E4566" s="1" t="str">
        <f>IFERROR(__xludf.DUMMYFUNCTION("""COMPUTED_VALUE"""),"RIVADAVIA Javier")</f>
        <v>RIVADAVIA Javier</v>
      </c>
      <c r="F4566" s="1" t="str">
        <f t="shared" si="1"/>
        <v>RIVADAVIA </v>
      </c>
      <c r="G4566" s="1" t="str">
        <f t="shared" si="2"/>
        <v>Javier</v>
      </c>
      <c r="H4566" s="1" t="str">
        <f>IFERROR(__xludf.DUMMYFUNCTION("""COMPUTED_VALUE"""),"5/4/2023, 17:00:00")</f>
        <v>5/4/2023, 17:00:00</v>
      </c>
      <c r="I4566" s="1" t="str">
        <f>IFERROR(__xludf.DUMMYFUNCTION("""COMPUTED_VALUE"""),"Recibido en Laboratorio")</f>
        <v>Recibido en Laboratorio</v>
      </c>
      <c r="J4566" s="1">
        <f t="shared" si="3"/>
        <v>2</v>
      </c>
      <c r="K4566" s="1" t="str">
        <f t="shared" si="4"/>
        <v>Nuestro Laboratorio esta trabajando en tus lentes, los entregaremos en la fecha acordada.</v>
      </c>
    </row>
    <row r="4567">
      <c r="A4567" s="1">
        <f>IFERROR(__xludf.DUMMYFUNCTION("""COMPUTED_VALUE"""),89130.0)</f>
        <v>89130</v>
      </c>
      <c r="B4567" s="5">
        <f>IFERROR(__xludf.DUMMYFUNCTION("""COMPUTED_VALUE"""),45017.472933391204)</f>
        <v>45017.47293</v>
      </c>
      <c r="C4567" s="1" t="str">
        <f>IFERROR(__xludf.DUMMYFUNCTION("""COMPUTED_VALUE"""),"ORTIZ NATALIA ")</f>
        <v>ORTIZ NATALIA </v>
      </c>
      <c r="D4567" s="1" t="str">
        <f>IFERROR(__xludf.DUMMYFUNCTION("""COMPUTED_VALUE"""),"Lentes de STOCK")</f>
        <v>Lentes de STOCK</v>
      </c>
      <c r="E4567" s="1" t="str">
        <f>IFERROR(__xludf.DUMMYFUNCTION("""COMPUTED_VALUE"""),"ARTIGAS Roció")</f>
        <v>ARTIGAS Roció</v>
      </c>
      <c r="F4567" s="1" t="str">
        <f t="shared" si="1"/>
        <v>ARTIGAS </v>
      </c>
      <c r="G4567" s="1" t="str">
        <f t="shared" si="2"/>
        <v>Roció</v>
      </c>
      <c r="H4567" s="1" t="str">
        <f>IFERROR(__xludf.DUMMYFUNCTION("""COMPUTED_VALUE"""),"12/4/2023, 17:00:00")</f>
        <v>12/4/2023, 17:00:00</v>
      </c>
      <c r="I4567" s="1" t="str">
        <f>IFERROR(__xludf.DUMMYFUNCTION("""COMPUTED_VALUE"""),"Completado en SUCURSAL")</f>
        <v>Completado en SUCURSAL</v>
      </c>
      <c r="J4567" s="1">
        <f t="shared" si="3"/>
        <v>5</v>
      </c>
      <c r="K4567" s="1" t="str">
        <f t="shared" si="4"/>
        <v>Tus Lentes estan LISTAS PARA ENTREGAR, te esperamos.</v>
      </c>
    </row>
    <row r="4568">
      <c r="A4568" s="1">
        <f>IFERROR(__xludf.DUMMYFUNCTION("""COMPUTED_VALUE"""),89131.0)</f>
        <v>89131</v>
      </c>
      <c r="B4568" s="5">
        <f>IFERROR(__xludf.DUMMYFUNCTION("""COMPUTED_VALUE"""),45017.47486664352)</f>
        <v>45017.47487</v>
      </c>
      <c r="C4568" s="1" t="str">
        <f>IFERROR(__xludf.DUMMYFUNCTION("""COMPUTED_VALUE"""),"ESCALANTE MARIO AGUSTIN")</f>
        <v>ESCALANTE MARIO AGUSTIN</v>
      </c>
      <c r="D4568" s="1" t="str">
        <f>IFERROR(__xludf.DUMMYFUNCTION("""COMPUTED_VALUE"""),"Lentes de STOCK")</f>
        <v>Lentes de STOCK</v>
      </c>
      <c r="E4568" s="1" t="str">
        <f>IFERROR(__xludf.DUMMYFUNCTION("""COMPUTED_VALUE"""),"ARTIGAS Roció")</f>
        <v>ARTIGAS Roció</v>
      </c>
      <c r="F4568" s="1" t="str">
        <f t="shared" si="1"/>
        <v>ARTIGAS </v>
      </c>
      <c r="G4568" s="1" t="str">
        <f t="shared" si="2"/>
        <v>Roció</v>
      </c>
      <c r="H4568" s="1" t="str">
        <f>IFERROR(__xludf.DUMMYFUNCTION("""COMPUTED_VALUE"""),"12/4/2023, 17:00:00")</f>
        <v>12/4/2023, 17:00:00</v>
      </c>
      <c r="I4568" s="1" t="str">
        <f>IFERROR(__xludf.DUMMYFUNCTION("""COMPUTED_VALUE"""),"Completado en SUCURSAL")</f>
        <v>Completado en SUCURSAL</v>
      </c>
      <c r="J4568" s="1">
        <f t="shared" si="3"/>
        <v>5</v>
      </c>
      <c r="K4568" s="1" t="str">
        <f t="shared" si="4"/>
        <v>Tus Lentes estan LISTAS PARA ENTREGAR, te esperamos.</v>
      </c>
    </row>
    <row r="4569">
      <c r="A4569" s="1">
        <f>IFERROR(__xludf.DUMMYFUNCTION("""COMPUTED_VALUE"""),89132.0)</f>
        <v>89132</v>
      </c>
      <c r="B4569" s="5">
        <f>IFERROR(__xludf.DUMMYFUNCTION("""COMPUTED_VALUE"""),45017.48861277778)</f>
        <v>45017.48861</v>
      </c>
      <c r="C4569" s="1" t="str">
        <f>IFERROR(__xludf.DUMMYFUNCTION("""COMPUTED_VALUE"""),"JUANTEGUY MARIO")</f>
        <v>JUANTEGUY MARIO</v>
      </c>
      <c r="D4569" s="1" t="str">
        <f>IFERROR(__xludf.DUMMYFUNCTION("""COMPUTED_VALUE"""),"Lentes de STOCK")</f>
        <v>Lentes de STOCK</v>
      </c>
      <c r="E4569" s="1" t="str">
        <f>IFERROR(__xludf.DUMMYFUNCTION("""COMPUTED_VALUE"""),"RIVADAVIA Santiago LOPEZ")</f>
        <v>RIVADAVIA Santiago LOPEZ</v>
      </c>
      <c r="F4569" s="1" t="str">
        <f t="shared" si="1"/>
        <v>RIVADAVIA </v>
      </c>
      <c r="G4569" s="1" t="str">
        <f t="shared" si="2"/>
        <v>Santiago LOPEZ</v>
      </c>
      <c r="H4569" s="1" t="str">
        <f>IFERROR(__xludf.DUMMYFUNCTION("""COMPUTED_VALUE"""),"4/4/2023, 17:00:00")</f>
        <v>4/4/2023, 17:00:00</v>
      </c>
      <c r="I4569" s="1" t="str">
        <f>IFERROR(__xludf.DUMMYFUNCTION("""COMPUTED_VALUE"""),"Completado en SUCURSAL")</f>
        <v>Completado en SUCURSAL</v>
      </c>
      <c r="J4569" s="1">
        <f t="shared" si="3"/>
        <v>5</v>
      </c>
      <c r="K4569" s="1" t="str">
        <f t="shared" si="4"/>
        <v>Tus Lentes estan LISTAS PARA ENTREGAR, te esperamos.</v>
      </c>
    </row>
    <row r="4570">
      <c r="A4570" s="1">
        <f>IFERROR(__xludf.DUMMYFUNCTION("""COMPUTED_VALUE"""),89133.0)</f>
        <v>89133</v>
      </c>
      <c r="B4570" s="5">
        <f>IFERROR(__xludf.DUMMYFUNCTION("""COMPUTED_VALUE"""),45017.49146679398)</f>
        <v>45017.49147</v>
      </c>
      <c r="C4570" s="1" t="str">
        <f>IFERROR(__xludf.DUMMYFUNCTION("""COMPUTED_VALUE"""),"POLLINI SCARPATI FLORENCIA")</f>
        <v>POLLINI SCARPATI FLORENCIA</v>
      </c>
      <c r="D4570" s="1" t="str">
        <f>IFERROR(__xludf.DUMMYFUNCTION("""COMPUTED_VALUE"""),"Lentes de STOCK")</f>
        <v>Lentes de STOCK</v>
      </c>
      <c r="E4570" s="1" t="str">
        <f>IFERROR(__xludf.DUMMYFUNCTION("""COMPUTED_VALUE"""),"RIVADAVIA Javier")</f>
        <v>RIVADAVIA Javier</v>
      </c>
      <c r="F4570" s="1" t="str">
        <f t="shared" si="1"/>
        <v>RIVADAVIA </v>
      </c>
      <c r="G4570" s="1" t="str">
        <f t="shared" si="2"/>
        <v>Javier</v>
      </c>
      <c r="H4570" s="1" t="str">
        <f>IFERROR(__xludf.DUMMYFUNCTION("""COMPUTED_VALUE"""),"4/4/2023, 17:00:00")</f>
        <v>4/4/2023, 17:00:00</v>
      </c>
      <c r="I4570" s="1" t="str">
        <f>IFERROR(__xludf.DUMMYFUNCTION("""COMPUTED_VALUE"""),"RETIRADO OK POR CLIENTE")</f>
        <v>RETIRADO OK POR CLIENTE</v>
      </c>
      <c r="J4570" s="1">
        <f t="shared" si="3"/>
        <v>6</v>
      </c>
      <c r="K4570" s="1" t="str">
        <f t="shared" si="4"/>
        <v>Entregamos tus lentes, que los disfrutes!</v>
      </c>
    </row>
    <row r="4571">
      <c r="A4571" s="1">
        <f>IFERROR(__xludf.DUMMYFUNCTION("""COMPUTED_VALUE"""),89134.0)</f>
        <v>89134</v>
      </c>
      <c r="B4571" s="5">
        <f>IFERROR(__xludf.DUMMYFUNCTION("""COMPUTED_VALUE"""),45017.4930984838)</f>
        <v>45017.4931</v>
      </c>
      <c r="C4571" s="1" t="str">
        <f>IFERROR(__xludf.DUMMYFUNCTION("""COMPUTED_VALUE"""),"Chen Emilia")</f>
        <v>Chen Emilia</v>
      </c>
      <c r="D4571" s="1" t="str">
        <f>IFERROR(__xludf.DUMMYFUNCTION("""COMPUTED_VALUE"""),"Reparaciones/Otros")</f>
        <v>Reparaciones/Otros</v>
      </c>
      <c r="E4571" s="1" t="str">
        <f>IFERROR(__xludf.DUMMYFUNCTION("""COMPUTED_VALUE"""),"ARTIGAS Roció")</f>
        <v>ARTIGAS Roció</v>
      </c>
      <c r="F4571" s="1" t="str">
        <f t="shared" si="1"/>
        <v>ARTIGAS </v>
      </c>
      <c r="G4571" s="1" t="str">
        <f t="shared" si="2"/>
        <v>Roció</v>
      </c>
      <c r="H4571" s="1" t="str">
        <f>IFERROR(__xludf.DUMMYFUNCTION("""COMPUTED_VALUE"""),"4/4/2023, 17:00:00")</f>
        <v>4/4/2023, 17:00:00</v>
      </c>
      <c r="I4571" s="1" t="str">
        <f>IFERROR(__xludf.DUMMYFUNCTION("""COMPUTED_VALUE"""),"Recibido en Laboratorio")</f>
        <v>Recibido en Laboratorio</v>
      </c>
      <c r="J4571" s="1">
        <f t="shared" si="3"/>
        <v>2</v>
      </c>
      <c r="K4571" s="1" t="str">
        <f t="shared" si="4"/>
        <v>Nuestro Laboratorio esta trabajando en tus lentes, los entregaremos en la fecha acordada.</v>
      </c>
    </row>
    <row r="4572">
      <c r="A4572" s="1">
        <f>IFERROR(__xludf.DUMMYFUNCTION("""COMPUTED_VALUE"""),89135.0)</f>
        <v>89135</v>
      </c>
      <c r="B4572" s="5">
        <f>IFERROR(__xludf.DUMMYFUNCTION("""COMPUTED_VALUE"""),45017.49358741898)</f>
        <v>45017.49359</v>
      </c>
      <c r="C4572" s="1" t="str">
        <f>IFERROR(__xludf.DUMMYFUNCTION("""COMPUTED_VALUE"""),"POLLINI SCARPATI LUCAS")</f>
        <v>POLLINI SCARPATI LUCAS</v>
      </c>
      <c r="D4572" s="1" t="str">
        <f>IFERROR(__xludf.DUMMYFUNCTION("""COMPUTED_VALUE"""),"Lentes de STOCK")</f>
        <v>Lentes de STOCK</v>
      </c>
      <c r="E4572" s="1" t="str">
        <f>IFERROR(__xludf.DUMMYFUNCTION("""COMPUTED_VALUE"""),"RIVADAVIA Javier")</f>
        <v>RIVADAVIA Javier</v>
      </c>
      <c r="F4572" s="1" t="str">
        <f t="shared" si="1"/>
        <v>RIVADAVIA </v>
      </c>
      <c r="G4572" s="1" t="str">
        <f t="shared" si="2"/>
        <v>Javier</v>
      </c>
      <c r="H4572" s="1" t="str">
        <f>IFERROR(__xludf.DUMMYFUNCTION("""COMPUTED_VALUE"""),"5/4/2023, 17:00:00")</f>
        <v>5/4/2023, 17:00:00</v>
      </c>
      <c r="I4572" s="1" t="str">
        <f>IFERROR(__xludf.DUMMYFUNCTION("""COMPUTED_VALUE"""),"RETIRADO OK POR CLIENTE")</f>
        <v>RETIRADO OK POR CLIENTE</v>
      </c>
      <c r="J4572" s="1">
        <f t="shared" si="3"/>
        <v>6</v>
      </c>
      <c r="K4572" s="1" t="str">
        <f t="shared" si="4"/>
        <v>Entregamos tus lentes, que los disfrutes!</v>
      </c>
    </row>
    <row r="4573">
      <c r="A4573" s="1">
        <f>IFERROR(__xludf.DUMMYFUNCTION("""COMPUTED_VALUE"""),89136.0)</f>
        <v>89136</v>
      </c>
      <c r="B4573" s="5">
        <f>IFERROR(__xludf.DUMMYFUNCTION("""COMPUTED_VALUE"""),45017.49423496528)</f>
        <v>45017.49423</v>
      </c>
      <c r="C4573" s="1" t="str">
        <f>IFERROR(__xludf.DUMMYFUNCTION("""COMPUTED_VALUE"""),"MERCAU MARCOS")</f>
        <v>MERCAU MARCOS</v>
      </c>
      <c r="D4573" s="1" t="str">
        <f>IFERROR(__xludf.DUMMYFUNCTION("""COMPUTED_VALUE"""),"Lentes de STOCK")</f>
        <v>Lentes de STOCK</v>
      </c>
      <c r="E4573" s="1" t="str">
        <f>IFERROR(__xludf.DUMMYFUNCTION("""COMPUTED_VALUE"""),"ARTIGAS Ivana P.")</f>
        <v>ARTIGAS Ivana P.</v>
      </c>
      <c r="F4573" s="1" t="str">
        <f t="shared" si="1"/>
        <v>ARTIGAS </v>
      </c>
      <c r="G4573" s="1" t="str">
        <f t="shared" si="2"/>
        <v>Ivana P.</v>
      </c>
      <c r="H4573" s="1" t="str">
        <f>IFERROR(__xludf.DUMMYFUNCTION("""COMPUTED_VALUE"""),"6/4/2023, 17:00:00")</f>
        <v>6/4/2023, 17:00:00</v>
      </c>
      <c r="I4573" s="1" t="str">
        <f>IFERROR(__xludf.DUMMYFUNCTION("""COMPUTED_VALUE"""),"Recibido en Laboratorio")</f>
        <v>Recibido en Laboratorio</v>
      </c>
      <c r="J4573" s="1">
        <f t="shared" si="3"/>
        <v>2</v>
      </c>
      <c r="K4573" s="1" t="str">
        <f t="shared" si="4"/>
        <v>Nuestro Laboratorio esta trabajando en tus lentes, los entregaremos en la fecha acordada.</v>
      </c>
    </row>
    <row r="4574">
      <c r="A4574" s="1">
        <f>IFERROR(__xludf.DUMMYFUNCTION("""COMPUTED_VALUE"""),89137.0)</f>
        <v>89137</v>
      </c>
      <c r="B4574" s="5">
        <f>IFERROR(__xludf.DUMMYFUNCTION("""COMPUTED_VALUE"""),45017.498779699075)</f>
        <v>45017.49878</v>
      </c>
      <c r="C4574" s="1" t="str">
        <f>IFERROR(__xludf.DUMMYFUNCTION("""COMPUTED_VALUE"""),"MERCADO BENICIO ")</f>
        <v>MERCADO BENICIO </v>
      </c>
      <c r="D4574" s="1" t="str">
        <f>IFERROR(__xludf.DUMMYFUNCTION("""COMPUTED_VALUE"""),"Lentes de STOCK")</f>
        <v>Lentes de STOCK</v>
      </c>
      <c r="E4574" s="1" t="str">
        <f>IFERROR(__xludf.DUMMYFUNCTION("""COMPUTED_VALUE"""),"RIVADAVIA Christian C.")</f>
        <v>RIVADAVIA Christian C.</v>
      </c>
      <c r="F4574" s="1" t="str">
        <f t="shared" si="1"/>
        <v>RIVADAVIA </v>
      </c>
      <c r="G4574" s="1" t="str">
        <f t="shared" si="2"/>
        <v>Christian C.</v>
      </c>
      <c r="H4574" s="1" t="str">
        <f>IFERROR(__xludf.DUMMYFUNCTION("""COMPUTED_VALUE"""),"6/4/2023, 17:00:00")</f>
        <v>6/4/2023, 17:00:00</v>
      </c>
      <c r="I4574" s="1" t="str">
        <f>IFERROR(__xludf.DUMMYFUNCTION("""COMPUTED_VALUE"""),"RETIRADO OK POR CLIENTE")</f>
        <v>RETIRADO OK POR CLIENTE</v>
      </c>
      <c r="J4574" s="1">
        <f t="shared" si="3"/>
        <v>6</v>
      </c>
      <c r="K4574" s="1" t="str">
        <f t="shared" si="4"/>
        <v>Entregamos tus lentes, que los disfrutes!</v>
      </c>
    </row>
    <row r="4575">
      <c r="A4575" s="1">
        <f>IFERROR(__xludf.DUMMYFUNCTION("""COMPUTED_VALUE"""),89138.0)</f>
        <v>89138</v>
      </c>
      <c r="B4575" s="5">
        <f>IFERROR(__xludf.DUMMYFUNCTION("""COMPUTED_VALUE"""),45017.50332428241)</f>
        <v>45017.50332</v>
      </c>
      <c r="C4575" s="1" t="str">
        <f>IFERROR(__xludf.DUMMYFUNCTION("""COMPUTED_VALUE"""),"CAO MALVINA")</f>
        <v>CAO MALVINA</v>
      </c>
      <c r="D4575" s="1" t="str">
        <f>IFERROR(__xludf.DUMMYFUNCTION("""COMPUTED_VALUE"""),"Reparaciones/Otros")</f>
        <v>Reparaciones/Otros</v>
      </c>
      <c r="E4575" s="1" t="str">
        <f>IFERROR(__xludf.DUMMYFUNCTION("""COMPUTED_VALUE"""),"RIVADAVIA Javier")</f>
        <v>RIVADAVIA Javier</v>
      </c>
      <c r="F4575" s="1" t="str">
        <f t="shared" si="1"/>
        <v>RIVADAVIA </v>
      </c>
      <c r="G4575" s="1" t="str">
        <f t="shared" si="2"/>
        <v>Javier</v>
      </c>
      <c r="H4575" s="1" t="str">
        <f>IFERROR(__xludf.DUMMYFUNCTION("""COMPUTED_VALUE"""),"3/4/2023, 17:00:00")</f>
        <v>3/4/2023, 17:00:00</v>
      </c>
      <c r="I4575" s="1"/>
      <c r="J4575" s="1">
        <f t="shared" si="3"/>
        <v>0</v>
      </c>
      <c r="K4575" s="1" t="str">
        <f t="shared" si="4"/>
        <v/>
      </c>
    </row>
    <row r="4576">
      <c r="A4576" s="1">
        <f>IFERROR(__xludf.DUMMYFUNCTION("""COMPUTED_VALUE"""),89139.0)</f>
        <v>89139</v>
      </c>
      <c r="B4576" s="5">
        <f>IFERROR(__xludf.DUMMYFUNCTION("""COMPUTED_VALUE"""),45017.50607070602)</f>
        <v>45017.50607</v>
      </c>
      <c r="C4576" s="1" t="str">
        <f>IFERROR(__xludf.DUMMYFUNCTION("""COMPUTED_VALUE"""),"PEREZ ARIEL")</f>
        <v>PEREZ ARIEL</v>
      </c>
      <c r="D4576" s="1" t="str">
        <f>IFERROR(__xludf.DUMMYFUNCTION("""COMPUTED_VALUE"""),"Lentes de STOCK")</f>
        <v>Lentes de STOCK</v>
      </c>
      <c r="E4576" s="1" t="str">
        <f>IFERROR(__xludf.DUMMYFUNCTION("""COMPUTED_VALUE"""),"ARTIGAS Ivana P.")</f>
        <v>ARTIGAS Ivana P.</v>
      </c>
      <c r="F4576" s="1" t="str">
        <f t="shared" si="1"/>
        <v>ARTIGAS </v>
      </c>
      <c r="G4576" s="1" t="str">
        <f t="shared" si="2"/>
        <v>Ivana P.</v>
      </c>
      <c r="H4576" s="1" t="str">
        <f>IFERROR(__xludf.DUMMYFUNCTION("""COMPUTED_VALUE"""),"5/4/2023, 17:00:00")</f>
        <v>5/4/2023, 17:00:00</v>
      </c>
      <c r="I4576" s="1" t="str">
        <f>IFERROR(__xludf.DUMMYFUNCTION("""COMPUTED_VALUE"""),"RETIRADO OK POR CLIENTE")</f>
        <v>RETIRADO OK POR CLIENTE</v>
      </c>
      <c r="J4576" s="1">
        <f t="shared" si="3"/>
        <v>6</v>
      </c>
      <c r="K4576" s="1" t="str">
        <f t="shared" si="4"/>
        <v>Entregamos tus lentes, que los disfrutes!</v>
      </c>
    </row>
    <row r="4577">
      <c r="A4577" s="1">
        <f>IFERROR(__xludf.DUMMYFUNCTION("""COMPUTED_VALUE"""),89140.0)</f>
        <v>89140</v>
      </c>
      <c r="B4577" s="5">
        <f>IFERROR(__xludf.DUMMYFUNCTION("""COMPUTED_VALUE"""),45017.507530787036)</f>
        <v>45017.50753</v>
      </c>
      <c r="C4577" s="1" t="str">
        <f>IFERROR(__xludf.DUMMYFUNCTION("""COMPUTED_VALUE"""),"ESCUDERO MERCEDES ANGELINA")</f>
        <v>ESCUDERO MERCEDES ANGELINA</v>
      </c>
      <c r="D4577" s="1" t="str">
        <f>IFERROR(__xludf.DUMMYFUNCTION("""COMPUTED_VALUE"""),"Lentes de STOCK")</f>
        <v>Lentes de STOCK</v>
      </c>
      <c r="E4577" s="1" t="str">
        <f>IFERROR(__xludf.DUMMYFUNCTION("""COMPUTED_VALUE"""),"RIVADAVIA Christian C.")</f>
        <v>RIVADAVIA Christian C.</v>
      </c>
      <c r="F4577" s="1" t="str">
        <f t="shared" si="1"/>
        <v>RIVADAVIA </v>
      </c>
      <c r="G4577" s="1" t="str">
        <f t="shared" si="2"/>
        <v>Christian C.</v>
      </c>
      <c r="H4577" s="1" t="str">
        <f>IFERROR(__xludf.DUMMYFUNCTION("""COMPUTED_VALUE"""),"10/4/2023, 17:00:00")</f>
        <v>10/4/2023, 17:00:00</v>
      </c>
      <c r="I4577" s="1" t="str">
        <f>IFERROR(__xludf.DUMMYFUNCTION("""COMPUTED_VALUE"""),"Completado en SUCURSAL")</f>
        <v>Completado en SUCURSAL</v>
      </c>
      <c r="J4577" s="1">
        <f t="shared" si="3"/>
        <v>5</v>
      </c>
      <c r="K4577" s="1" t="str">
        <f t="shared" si="4"/>
        <v>Tus Lentes estan LISTAS PARA ENTREGAR, te esperamos.</v>
      </c>
    </row>
    <row r="4578">
      <c r="A4578" s="1">
        <f>IFERROR(__xludf.DUMMYFUNCTION("""COMPUTED_VALUE"""),89141.0)</f>
        <v>89141</v>
      </c>
      <c r="B4578" s="5">
        <f>IFERROR(__xludf.DUMMYFUNCTION("""COMPUTED_VALUE"""),45017.50884462963)</f>
        <v>45017.50884</v>
      </c>
      <c r="C4578" s="1" t="str">
        <f>IFERROR(__xludf.DUMMYFUNCTION("""COMPUTED_VALUE"""),"FRIAS JULIA BEATRIZ ")</f>
        <v>FRIAS JULIA BEATRIZ </v>
      </c>
      <c r="D4578" s="1" t="str">
        <f>IFERROR(__xludf.DUMMYFUNCTION("""COMPUTED_VALUE"""),"Lentes de LABORATORIO")</f>
        <v>Lentes de LABORATORIO</v>
      </c>
      <c r="E4578" s="1" t="str">
        <f>IFERROR(__xludf.DUMMYFUNCTION("""COMPUTED_VALUE"""),"RIVADAVIA Luciana")</f>
        <v>RIVADAVIA Luciana</v>
      </c>
      <c r="F4578" s="1" t="str">
        <f t="shared" si="1"/>
        <v>RIVADAVIA </v>
      </c>
      <c r="G4578" s="1" t="str">
        <f t="shared" si="2"/>
        <v>Luciana</v>
      </c>
      <c r="H4578" s="1" t="str">
        <f>IFERROR(__xludf.DUMMYFUNCTION("""COMPUTED_VALUE"""),"19/4/2023, 17:00:00")</f>
        <v>19/4/2023, 17:00:00</v>
      </c>
      <c r="I4578" s="1"/>
      <c r="J4578" s="1">
        <f t="shared" si="3"/>
        <v>0</v>
      </c>
      <c r="K4578" s="1" t="str">
        <f t="shared" si="4"/>
        <v/>
      </c>
    </row>
    <row r="4579">
      <c r="A4579" s="1">
        <f>IFERROR(__xludf.DUMMYFUNCTION("""COMPUTED_VALUE"""),89142.0)</f>
        <v>89142</v>
      </c>
      <c r="B4579" s="5">
        <f>IFERROR(__xludf.DUMMYFUNCTION("""COMPUTED_VALUE"""),45017.511693541666)</f>
        <v>45017.51169</v>
      </c>
      <c r="C4579" s="1" t="str">
        <f>IFERROR(__xludf.DUMMYFUNCTION("""COMPUTED_VALUE"""),"FARIAS JULIA BEATRIZ ")</f>
        <v>FARIAS JULIA BEATRIZ </v>
      </c>
      <c r="D4579" s="1" t="str">
        <f>IFERROR(__xludf.DUMMYFUNCTION("""COMPUTED_VALUE"""),"Lentes de LABORATORIO")</f>
        <v>Lentes de LABORATORIO</v>
      </c>
      <c r="E4579" s="1" t="str">
        <f>IFERROR(__xludf.DUMMYFUNCTION("""COMPUTED_VALUE"""),"RIVADAVIA Luciana")</f>
        <v>RIVADAVIA Luciana</v>
      </c>
      <c r="F4579" s="1" t="str">
        <f t="shared" si="1"/>
        <v>RIVADAVIA </v>
      </c>
      <c r="G4579" s="1" t="str">
        <f t="shared" si="2"/>
        <v>Luciana</v>
      </c>
      <c r="H4579" s="1" t="str">
        <f>IFERROR(__xludf.DUMMYFUNCTION("""COMPUTED_VALUE"""),"19/4/2023, 17:00:00")</f>
        <v>19/4/2023, 17:00:00</v>
      </c>
      <c r="I4579" s="1" t="str">
        <f>IFERROR(__xludf.DUMMYFUNCTION("""COMPUTED_VALUE"""),"Recibido en Laboratorio")</f>
        <v>Recibido en Laboratorio</v>
      </c>
      <c r="J4579" s="1">
        <f t="shared" si="3"/>
        <v>2</v>
      </c>
      <c r="K4579" s="1" t="str">
        <f t="shared" si="4"/>
        <v>Nuestro Laboratorio esta trabajando en tus lentes, los entregaremos en la fecha acordada.</v>
      </c>
    </row>
    <row r="4580">
      <c r="A4580" s="1">
        <f>IFERROR(__xludf.DUMMYFUNCTION("""COMPUTED_VALUE"""),89143.0)</f>
        <v>89143</v>
      </c>
      <c r="B4580" s="5">
        <f>IFERROR(__xludf.DUMMYFUNCTION("""COMPUTED_VALUE"""),45017.51527215278)</f>
        <v>45017.51527</v>
      </c>
      <c r="C4580" s="1" t="str">
        <f>IFERROR(__xludf.DUMMYFUNCTION("""COMPUTED_VALUE"""),"TOLEDO FARRERO MARIA PAULA")</f>
        <v>TOLEDO FARRERO MARIA PAULA</v>
      </c>
      <c r="D4580" s="1" t="str">
        <f>IFERROR(__xludf.DUMMYFUNCTION("""COMPUTED_VALUE"""),"Lentes de STOCK")</f>
        <v>Lentes de STOCK</v>
      </c>
      <c r="E4580" s="1" t="str">
        <f>IFERROR(__xludf.DUMMYFUNCTION("""COMPUTED_VALUE"""),"RIVADAVIA Santiago N")</f>
        <v>RIVADAVIA Santiago N</v>
      </c>
      <c r="F4580" s="1" t="str">
        <f t="shared" si="1"/>
        <v>RIVADAVIA </v>
      </c>
      <c r="G4580" s="1" t="str">
        <f t="shared" si="2"/>
        <v>Santiago N</v>
      </c>
      <c r="H4580" s="1" t="str">
        <f>IFERROR(__xludf.DUMMYFUNCTION("""COMPUTED_VALUE"""),"4/4/2023, 17:00:00")</f>
        <v>4/4/2023, 17:00:00</v>
      </c>
      <c r="I4580" s="1" t="str">
        <f>IFERROR(__xludf.DUMMYFUNCTION("""COMPUTED_VALUE"""),"RETIRADO OK POR CLIENTE")</f>
        <v>RETIRADO OK POR CLIENTE</v>
      </c>
      <c r="J4580" s="1">
        <f t="shared" si="3"/>
        <v>6</v>
      </c>
      <c r="K4580" s="1" t="str">
        <f t="shared" si="4"/>
        <v>Entregamos tus lentes, que los disfrutes!</v>
      </c>
    </row>
    <row r="4581">
      <c r="A4581" s="1">
        <f>IFERROR(__xludf.DUMMYFUNCTION("""COMPUTED_VALUE"""),89144.0)</f>
        <v>89144</v>
      </c>
      <c r="B4581" s="5">
        <f>IFERROR(__xludf.DUMMYFUNCTION("""COMPUTED_VALUE"""),45017.519806435186)</f>
        <v>45017.51981</v>
      </c>
      <c r="C4581" s="1" t="str">
        <f>IFERROR(__xludf.DUMMYFUNCTION("""COMPUTED_VALUE"""),"ANSALDI FRANCESCA")</f>
        <v>ANSALDI FRANCESCA</v>
      </c>
      <c r="D4581" s="1" t="str">
        <f>IFERROR(__xludf.DUMMYFUNCTION("""COMPUTED_VALUE"""),"Lentes de STOCK")</f>
        <v>Lentes de STOCK</v>
      </c>
      <c r="E4581" s="1" t="str">
        <f>IFERROR(__xludf.DUMMYFUNCTION("""COMPUTED_VALUE"""),"RIVADAVIA Christian C.")</f>
        <v>RIVADAVIA Christian C.</v>
      </c>
      <c r="F4581" s="1" t="str">
        <f t="shared" si="1"/>
        <v>RIVADAVIA </v>
      </c>
      <c r="G4581" s="1" t="str">
        <f t="shared" si="2"/>
        <v>Christian C.</v>
      </c>
      <c r="H4581" s="1" t="str">
        <f>IFERROR(__xludf.DUMMYFUNCTION("""COMPUTED_VALUE"""),"10/4/2023, 17:00:00")</f>
        <v>10/4/2023, 17:00:00</v>
      </c>
      <c r="I4581" s="1" t="str">
        <f>IFERROR(__xludf.DUMMYFUNCTION("""COMPUTED_VALUE"""),"RETIRADO OK POR CLIENTE")</f>
        <v>RETIRADO OK POR CLIENTE</v>
      </c>
      <c r="J4581" s="1">
        <f t="shared" si="3"/>
        <v>6</v>
      </c>
      <c r="K4581" s="1" t="str">
        <f t="shared" si="4"/>
        <v>Entregamos tus lentes, que los disfrutes!</v>
      </c>
    </row>
    <row r="4582">
      <c r="A4582" s="1">
        <f>IFERROR(__xludf.DUMMYFUNCTION("""COMPUTED_VALUE"""),89145.0)</f>
        <v>89145</v>
      </c>
      <c r="B4582" s="5">
        <f>IFERROR(__xludf.DUMMYFUNCTION("""COMPUTED_VALUE"""),45017.52637954861)</f>
        <v>45017.52638</v>
      </c>
      <c r="C4582" s="1" t="str">
        <f>IFERROR(__xludf.DUMMYFUNCTION("""COMPUTED_VALUE"""),"BLASCO CARMEN")</f>
        <v>BLASCO CARMEN</v>
      </c>
      <c r="D4582" s="1" t="str">
        <f>IFERROR(__xludf.DUMMYFUNCTION("""COMPUTED_VALUE"""),"Lentes de STOCK")</f>
        <v>Lentes de STOCK</v>
      </c>
      <c r="E4582" s="1" t="str">
        <f>IFERROR(__xludf.DUMMYFUNCTION("""COMPUTED_VALUE"""),"RIVADAVIA Javier")</f>
        <v>RIVADAVIA Javier</v>
      </c>
      <c r="F4582" s="1" t="str">
        <f t="shared" si="1"/>
        <v>RIVADAVIA </v>
      </c>
      <c r="G4582" s="1" t="str">
        <f t="shared" si="2"/>
        <v>Javier</v>
      </c>
      <c r="H4582" s="1" t="str">
        <f>IFERROR(__xludf.DUMMYFUNCTION("""COMPUTED_VALUE"""),"6/4/2023, 17:00:00")</f>
        <v>6/4/2023, 17:00:00</v>
      </c>
      <c r="I4582" s="1" t="str">
        <f>IFERROR(__xludf.DUMMYFUNCTION("""COMPUTED_VALUE"""),"Completado en SUCURSAL")</f>
        <v>Completado en SUCURSAL</v>
      </c>
      <c r="J4582" s="1">
        <f t="shared" si="3"/>
        <v>5</v>
      </c>
      <c r="K4582" s="1" t="str">
        <f t="shared" si="4"/>
        <v>Tus Lentes estan LISTAS PARA ENTREGAR, te esperamos.</v>
      </c>
    </row>
    <row r="4583">
      <c r="A4583" s="1">
        <f>IFERROR(__xludf.DUMMYFUNCTION("""COMPUTED_VALUE"""),89146.0)</f>
        <v>89146</v>
      </c>
      <c r="B4583" s="5">
        <f>IFERROR(__xludf.DUMMYFUNCTION("""COMPUTED_VALUE"""),45017.53142247685)</f>
        <v>45017.53142</v>
      </c>
      <c r="C4583" s="1" t="str">
        <f>IFERROR(__xludf.DUMMYFUNCTION("""COMPUTED_VALUE"""),"NOSTRAY MATIAS")</f>
        <v>NOSTRAY MATIAS</v>
      </c>
      <c r="D4583" s="1" t="str">
        <f>IFERROR(__xludf.DUMMYFUNCTION("""COMPUTED_VALUE"""),"Reparaciones/Otros")</f>
        <v>Reparaciones/Otros</v>
      </c>
      <c r="E4583" s="1" t="str">
        <f>IFERROR(__xludf.DUMMYFUNCTION("""COMPUTED_VALUE"""),"RIVADAVIA Santiago N")</f>
        <v>RIVADAVIA Santiago N</v>
      </c>
      <c r="F4583" s="1" t="str">
        <f t="shared" si="1"/>
        <v>RIVADAVIA </v>
      </c>
      <c r="G4583" s="1" t="str">
        <f t="shared" si="2"/>
        <v>Santiago N</v>
      </c>
      <c r="H4583" s="1" t="str">
        <f>IFERROR(__xludf.DUMMYFUNCTION("""COMPUTED_VALUE"""),"3/4/2023, 17:00:00")</f>
        <v>3/4/2023, 17:00:00</v>
      </c>
      <c r="I4583" s="1"/>
      <c r="J4583" s="1">
        <f t="shared" si="3"/>
        <v>0</v>
      </c>
      <c r="K4583" s="1" t="str">
        <f t="shared" si="4"/>
        <v/>
      </c>
    </row>
    <row r="4584">
      <c r="A4584" s="1">
        <f>IFERROR(__xludf.DUMMYFUNCTION("""COMPUTED_VALUE"""),89147.0)</f>
        <v>89147</v>
      </c>
      <c r="B4584" s="5">
        <f>IFERROR(__xludf.DUMMYFUNCTION("""COMPUTED_VALUE"""),45017.53322697917)</f>
        <v>45017.53323</v>
      </c>
      <c r="C4584" s="1" t="str">
        <f>IFERROR(__xludf.DUMMYFUNCTION("""COMPUTED_VALUE"""),"ZAPATA RAMIRO")</f>
        <v>ZAPATA RAMIRO</v>
      </c>
      <c r="D4584" s="1" t="str">
        <f>IFERROR(__xludf.DUMMYFUNCTION("""COMPUTED_VALUE"""),"Reparaciones/Otros")</f>
        <v>Reparaciones/Otros</v>
      </c>
      <c r="E4584" s="1" t="str">
        <f>IFERROR(__xludf.DUMMYFUNCTION("""COMPUTED_VALUE"""),"ARTIGAS Ivana P.")</f>
        <v>ARTIGAS Ivana P.</v>
      </c>
      <c r="F4584" s="1" t="str">
        <f t="shared" si="1"/>
        <v>ARTIGAS </v>
      </c>
      <c r="G4584" s="1" t="str">
        <f t="shared" si="2"/>
        <v>Ivana P.</v>
      </c>
      <c r="H4584" s="1" t="str">
        <f>IFERROR(__xludf.DUMMYFUNCTION("""COMPUTED_VALUE"""),"3/4/2023, 17:00:00")</f>
        <v>3/4/2023, 17:00:00</v>
      </c>
      <c r="I4584" s="1" t="str">
        <f>IFERROR(__xludf.DUMMYFUNCTION("""COMPUTED_VALUE"""),"Completado en SUCURSAL")</f>
        <v>Completado en SUCURSAL</v>
      </c>
      <c r="J4584" s="1">
        <f t="shared" si="3"/>
        <v>5</v>
      </c>
      <c r="K4584" s="1" t="str">
        <f t="shared" si="4"/>
        <v>Tus Lentes estan LISTAS PARA ENTREGAR, te esperamos.</v>
      </c>
    </row>
    <row r="4585">
      <c r="A4585" s="1">
        <f>IFERROR(__xludf.DUMMYFUNCTION("""COMPUTED_VALUE"""),89148.0)</f>
        <v>89148</v>
      </c>
      <c r="B4585" s="5">
        <f>IFERROR(__xludf.DUMMYFUNCTION("""COMPUTED_VALUE"""),45017.54517880787)</f>
        <v>45017.54518</v>
      </c>
      <c r="C4585" s="1" t="str">
        <f>IFERROR(__xludf.DUMMYFUNCTION("""COMPUTED_VALUE"""),"CUELLO SILVANA")</f>
        <v>CUELLO SILVANA</v>
      </c>
      <c r="D4585" s="1" t="str">
        <f>IFERROR(__xludf.DUMMYFUNCTION("""COMPUTED_VALUE"""),"Lentes MULTIFOCALES")</f>
        <v>Lentes MULTIFOCALES</v>
      </c>
      <c r="E4585" s="1" t="str">
        <f>IFERROR(__xludf.DUMMYFUNCTION("""COMPUTED_VALUE"""),"RIVADAVIA Luciana")</f>
        <v>RIVADAVIA Luciana</v>
      </c>
      <c r="F4585" s="1" t="str">
        <f t="shared" si="1"/>
        <v>RIVADAVIA </v>
      </c>
      <c r="G4585" s="1" t="str">
        <f t="shared" si="2"/>
        <v>Luciana</v>
      </c>
      <c r="H4585" s="1" t="str">
        <f>IFERROR(__xludf.DUMMYFUNCTION("""COMPUTED_VALUE"""),"17/4/2023, 17:00:00")</f>
        <v>17/4/2023, 17:00:00</v>
      </c>
      <c r="I4585" s="1" t="str">
        <f>IFERROR(__xludf.DUMMYFUNCTION("""COMPUTED_VALUE"""),"Completado en SUCURSAL")</f>
        <v>Completado en SUCURSAL</v>
      </c>
      <c r="J4585" s="1">
        <f t="shared" si="3"/>
        <v>5</v>
      </c>
      <c r="K4585" s="1" t="str">
        <f t="shared" si="4"/>
        <v>Tus Lentes estan LISTAS PARA ENTREGAR, te esperamos.</v>
      </c>
    </row>
    <row r="4586">
      <c r="A4586" s="1">
        <f>IFERROR(__xludf.DUMMYFUNCTION("""COMPUTED_VALUE"""),89149.0)</f>
        <v>89149</v>
      </c>
      <c r="B4586" s="5">
        <f>IFERROR(__xludf.DUMMYFUNCTION("""COMPUTED_VALUE"""),45017.5458487037)</f>
        <v>45017.54585</v>
      </c>
      <c r="C4586" s="1" t="str">
        <f>IFERROR(__xludf.DUMMYFUNCTION("""COMPUTED_VALUE"""),"MIRANDA BEATRIZ MABEL")</f>
        <v>MIRANDA BEATRIZ MABEL</v>
      </c>
      <c r="D4586" s="1" t="str">
        <f>IFERROR(__xludf.DUMMYFUNCTION("""COMPUTED_VALUE"""),"Lentes de STOCK")</f>
        <v>Lentes de STOCK</v>
      </c>
      <c r="E4586" s="1" t="str">
        <f>IFERROR(__xludf.DUMMYFUNCTION("""COMPUTED_VALUE"""),"RIVADAVIA Christian C.")</f>
        <v>RIVADAVIA Christian C.</v>
      </c>
      <c r="F4586" s="1" t="str">
        <f t="shared" si="1"/>
        <v>RIVADAVIA </v>
      </c>
      <c r="G4586" s="1" t="str">
        <f t="shared" si="2"/>
        <v>Christian C.</v>
      </c>
      <c r="H4586" s="1" t="str">
        <f>IFERROR(__xludf.DUMMYFUNCTION("""COMPUTED_VALUE"""),"10/4/2023, 17:00:00")</f>
        <v>10/4/2023, 17:00:00</v>
      </c>
      <c r="I4586" s="1" t="str">
        <f>IFERROR(__xludf.DUMMYFUNCTION("""COMPUTED_VALUE"""),"Completado en SUCURSAL")</f>
        <v>Completado en SUCURSAL</v>
      </c>
      <c r="J4586" s="1">
        <f t="shared" si="3"/>
        <v>5</v>
      </c>
      <c r="K4586" s="1" t="str">
        <f t="shared" si="4"/>
        <v>Tus Lentes estan LISTAS PARA ENTREGAR, te esperamos.</v>
      </c>
    </row>
    <row r="4587">
      <c r="A4587" s="1">
        <f>IFERROR(__xludf.DUMMYFUNCTION("""COMPUTED_VALUE"""),89150.0)</f>
        <v>89150</v>
      </c>
      <c r="B4587" s="5">
        <f>IFERROR(__xludf.DUMMYFUNCTION("""COMPUTED_VALUE"""),45019.37818818287)</f>
        <v>45019.37819</v>
      </c>
      <c r="C4587" s="1" t="str">
        <f>IFERROR(__xludf.DUMMYFUNCTION("""COMPUTED_VALUE"""),"CARMONA MARCOS")</f>
        <v>CARMONA MARCOS</v>
      </c>
      <c r="D4587" s="1" t="str">
        <f>IFERROR(__xludf.DUMMYFUNCTION("""COMPUTED_VALUE"""),"Reparaciones/Otros")</f>
        <v>Reparaciones/Otros</v>
      </c>
      <c r="E4587" s="1" t="str">
        <f>IFERROR(__xludf.DUMMYFUNCTION("""COMPUTED_VALUE"""),"RIVADAVIA Marcela L")</f>
        <v>RIVADAVIA Marcela L</v>
      </c>
      <c r="F4587" s="1" t="str">
        <f t="shared" si="1"/>
        <v>RIVADAVIA </v>
      </c>
      <c r="G4587" s="1" t="str">
        <f t="shared" si="2"/>
        <v>Marcela L</v>
      </c>
      <c r="H4587" s="1" t="str">
        <f>IFERROR(__xludf.DUMMYFUNCTION("""COMPUTED_VALUE"""),"4/4/2023, 17:00:00")</f>
        <v>4/4/2023, 17:00:00</v>
      </c>
      <c r="I4587" s="1" t="str">
        <f>IFERROR(__xludf.DUMMYFUNCTION("""COMPUTED_VALUE"""),"Completado en SUCURSAL")</f>
        <v>Completado en SUCURSAL</v>
      </c>
      <c r="J4587" s="1">
        <f t="shared" si="3"/>
        <v>5</v>
      </c>
      <c r="K4587" s="1" t="str">
        <f t="shared" si="4"/>
        <v>Tus Lentes estan LISTAS PARA ENTREGAR, te esperamos.</v>
      </c>
    </row>
    <row r="4588">
      <c r="A4588" s="1">
        <f>IFERROR(__xludf.DUMMYFUNCTION("""COMPUTED_VALUE"""),89151.0)</f>
        <v>89151</v>
      </c>
      <c r="B4588" s="5">
        <f>IFERROR(__xludf.DUMMYFUNCTION("""COMPUTED_VALUE"""),45019.38098915509)</f>
        <v>45019.38099</v>
      </c>
      <c r="C4588" s="1" t="str">
        <f>IFERROR(__xludf.DUMMYFUNCTION("""COMPUTED_VALUE"""),"GODOY MARIELA")</f>
        <v>GODOY MARIELA</v>
      </c>
      <c r="D4588" s="1" t="str">
        <f>IFERROR(__xludf.DUMMYFUNCTION("""COMPUTED_VALUE"""),"Reparaciones/Otros")</f>
        <v>Reparaciones/Otros</v>
      </c>
      <c r="E4588" s="1" t="str">
        <f>IFERROR(__xludf.DUMMYFUNCTION("""COMPUTED_VALUE"""),"ARTIGAS Ivana P.")</f>
        <v>ARTIGAS Ivana P.</v>
      </c>
      <c r="F4588" s="1" t="str">
        <f t="shared" si="1"/>
        <v>ARTIGAS </v>
      </c>
      <c r="G4588" s="1" t="str">
        <f t="shared" si="2"/>
        <v>Ivana P.</v>
      </c>
      <c r="H4588" s="1" t="str">
        <f>IFERROR(__xludf.DUMMYFUNCTION("""COMPUTED_VALUE"""),"5/4/2023, 17:00:00")</f>
        <v>5/4/2023, 17:00:00</v>
      </c>
      <c r="I4588" s="1" t="str">
        <f>IFERROR(__xludf.DUMMYFUNCTION("""COMPUTED_VALUE"""),"Recibido en Laboratorio")</f>
        <v>Recibido en Laboratorio</v>
      </c>
      <c r="J4588" s="1">
        <f t="shared" si="3"/>
        <v>2</v>
      </c>
      <c r="K4588" s="1" t="str">
        <f t="shared" si="4"/>
        <v>Nuestro Laboratorio esta trabajando en tus lentes, los entregaremos en la fecha acordada.</v>
      </c>
    </row>
    <row r="4589">
      <c r="A4589" s="1">
        <f>IFERROR(__xludf.DUMMYFUNCTION("""COMPUTED_VALUE"""),89152.0)</f>
        <v>89152</v>
      </c>
      <c r="B4589" s="5">
        <f>IFERROR(__xludf.DUMMYFUNCTION("""COMPUTED_VALUE"""),45019.386474548606)</f>
        <v>45019.38647</v>
      </c>
      <c r="C4589" s="1" t="str">
        <f>IFERROR(__xludf.DUMMYFUNCTION("""COMPUTED_VALUE"""),"FUNES FANNY HAYDEE")</f>
        <v>FUNES FANNY HAYDEE</v>
      </c>
      <c r="D4589" s="1" t="str">
        <f>IFERROR(__xludf.DUMMYFUNCTION("""COMPUTED_VALUE"""),"Lentes de STOCK")</f>
        <v>Lentes de STOCK</v>
      </c>
      <c r="E4589" s="1" t="str">
        <f>IFERROR(__xludf.DUMMYFUNCTION("""COMPUTED_VALUE"""),"ARTIGAS Roció")</f>
        <v>ARTIGAS Roció</v>
      </c>
      <c r="F4589" s="1" t="str">
        <f t="shared" si="1"/>
        <v>ARTIGAS </v>
      </c>
      <c r="G4589" s="1" t="str">
        <f t="shared" si="2"/>
        <v>Roció</v>
      </c>
      <c r="H4589" s="1" t="str">
        <f>IFERROR(__xludf.DUMMYFUNCTION("""COMPUTED_VALUE"""),"13/4/2023, 17:00:00")</f>
        <v>13/4/2023, 17:00:00</v>
      </c>
      <c r="I4589" s="1" t="str">
        <f>IFERROR(__xludf.DUMMYFUNCTION("""COMPUTED_VALUE"""),"Completado en SUCURSAL")</f>
        <v>Completado en SUCURSAL</v>
      </c>
      <c r="J4589" s="1">
        <f t="shared" si="3"/>
        <v>5</v>
      </c>
      <c r="K4589" s="1" t="str">
        <f t="shared" si="4"/>
        <v>Tus Lentes estan LISTAS PARA ENTREGAR, te esperamos.</v>
      </c>
    </row>
    <row r="4590">
      <c r="A4590" s="1">
        <f>IFERROR(__xludf.DUMMYFUNCTION("""COMPUTED_VALUE"""),89153.0)</f>
        <v>89153</v>
      </c>
      <c r="B4590" s="5">
        <f>IFERROR(__xludf.DUMMYFUNCTION("""COMPUTED_VALUE"""),45019.398093888885)</f>
        <v>45019.39809</v>
      </c>
      <c r="C4590" s="1" t="str">
        <f>IFERROR(__xludf.DUMMYFUNCTION("""COMPUTED_VALUE"""),"ALCARAZ MARTHA ANGELICA")</f>
        <v>ALCARAZ MARTHA ANGELICA</v>
      </c>
      <c r="D4590" s="1" t="str">
        <f>IFERROR(__xludf.DUMMYFUNCTION("""COMPUTED_VALUE"""),"Lentes de STOCK")</f>
        <v>Lentes de STOCK</v>
      </c>
      <c r="E4590" s="1" t="str">
        <f>IFERROR(__xludf.DUMMYFUNCTION("""COMPUTED_VALUE"""),"ARTIGAS Roció")</f>
        <v>ARTIGAS Roció</v>
      </c>
      <c r="F4590" s="1" t="str">
        <f t="shared" si="1"/>
        <v>ARTIGAS </v>
      </c>
      <c r="G4590" s="1" t="str">
        <f t="shared" si="2"/>
        <v>Roció</v>
      </c>
      <c r="H4590" s="1" t="str">
        <f>IFERROR(__xludf.DUMMYFUNCTION("""COMPUTED_VALUE"""),"13/4/2023, 17:00:00")</f>
        <v>13/4/2023, 17:00:00</v>
      </c>
      <c r="I4590" s="1" t="str">
        <f>IFERROR(__xludf.DUMMYFUNCTION("""COMPUTED_VALUE"""),"Completado en SUCURSAL")</f>
        <v>Completado en SUCURSAL</v>
      </c>
      <c r="J4590" s="1">
        <f t="shared" si="3"/>
        <v>5</v>
      </c>
      <c r="K4590" s="1" t="str">
        <f t="shared" si="4"/>
        <v>Tus Lentes estan LISTAS PARA ENTREGAR, te esperamos.</v>
      </c>
    </row>
    <row r="4591">
      <c r="A4591" s="1">
        <f>IFERROR(__xludf.DUMMYFUNCTION("""COMPUTED_VALUE"""),89154.0)</f>
        <v>89154</v>
      </c>
      <c r="B4591" s="5">
        <f>IFERROR(__xludf.DUMMYFUNCTION("""COMPUTED_VALUE"""),45019.408238159725)</f>
        <v>45019.40824</v>
      </c>
      <c r="C4591" s="1" t="str">
        <f>IFERROR(__xludf.DUMMYFUNCTION("""COMPUTED_VALUE"""),"MORAN TERESA LILIA")</f>
        <v>MORAN TERESA LILIA</v>
      </c>
      <c r="D4591" s="1" t="str">
        <f>IFERROR(__xludf.DUMMYFUNCTION("""COMPUTED_VALUE"""),"Lentes de STOCK")</f>
        <v>Lentes de STOCK</v>
      </c>
      <c r="E4591" s="1" t="str">
        <f>IFERROR(__xludf.DUMMYFUNCTION("""COMPUTED_VALUE"""),"RIVADAVIA Santiago LOPEZ")</f>
        <v>RIVADAVIA Santiago LOPEZ</v>
      </c>
      <c r="F4591" s="1" t="str">
        <f t="shared" si="1"/>
        <v>RIVADAVIA </v>
      </c>
      <c r="G4591" s="1" t="str">
        <f t="shared" si="2"/>
        <v>Santiago LOPEZ</v>
      </c>
      <c r="H4591" s="1" t="str">
        <f>IFERROR(__xludf.DUMMYFUNCTION("""COMPUTED_VALUE"""),"5/4/2023, 17:00:00")</f>
        <v>5/4/2023, 17:00:00</v>
      </c>
      <c r="I4591" s="1" t="str">
        <f>IFERROR(__xludf.DUMMYFUNCTION("""COMPUTED_VALUE"""),"RETIRADO OK POR CLIENTE")</f>
        <v>RETIRADO OK POR CLIENTE</v>
      </c>
      <c r="J4591" s="1">
        <f t="shared" si="3"/>
        <v>6</v>
      </c>
      <c r="K4591" s="1" t="str">
        <f t="shared" si="4"/>
        <v>Entregamos tus lentes, que los disfrutes!</v>
      </c>
    </row>
    <row r="4592">
      <c r="A4592" s="1">
        <f>IFERROR(__xludf.DUMMYFUNCTION("""COMPUTED_VALUE"""),89155.0)</f>
        <v>89155</v>
      </c>
      <c r="B4592" s="5">
        <f>IFERROR(__xludf.DUMMYFUNCTION("""COMPUTED_VALUE"""),45019.41225234953)</f>
        <v>45019.41225</v>
      </c>
      <c r="C4592" s="1" t="str">
        <f>IFERROR(__xludf.DUMMYFUNCTION("""COMPUTED_VALUE"""),"ARIAS SONIA ISABEL ")</f>
        <v>ARIAS SONIA ISABEL </v>
      </c>
      <c r="D4592" s="1" t="str">
        <f>IFERROR(__xludf.DUMMYFUNCTION("""COMPUTED_VALUE"""),"Lentes de STOCK")</f>
        <v>Lentes de STOCK</v>
      </c>
      <c r="E4592" s="1" t="str">
        <f>IFERROR(__xludf.DUMMYFUNCTION("""COMPUTED_VALUE"""),"ARTIGAS Roció")</f>
        <v>ARTIGAS Roció</v>
      </c>
      <c r="F4592" s="1" t="str">
        <f t="shared" si="1"/>
        <v>ARTIGAS </v>
      </c>
      <c r="G4592" s="1" t="str">
        <f t="shared" si="2"/>
        <v>Roció</v>
      </c>
      <c r="H4592" s="1" t="str">
        <f>IFERROR(__xludf.DUMMYFUNCTION("""COMPUTED_VALUE"""),"14/4/2023, 17:00:00")</f>
        <v>14/4/2023, 17:00:00</v>
      </c>
      <c r="I4592" s="1" t="str">
        <f>IFERROR(__xludf.DUMMYFUNCTION("""COMPUTED_VALUE"""),"Completado en SUCURSAL")</f>
        <v>Completado en SUCURSAL</v>
      </c>
      <c r="J4592" s="1">
        <f t="shared" si="3"/>
        <v>5</v>
      </c>
      <c r="K4592" s="1" t="str">
        <f t="shared" si="4"/>
        <v>Tus Lentes estan LISTAS PARA ENTREGAR, te esperamos.</v>
      </c>
    </row>
    <row r="4593">
      <c r="A4593" s="1">
        <f>IFERROR(__xludf.DUMMYFUNCTION("""COMPUTED_VALUE"""),89156.0)</f>
        <v>89156</v>
      </c>
      <c r="B4593" s="5">
        <f>IFERROR(__xludf.DUMMYFUNCTION("""COMPUTED_VALUE"""),45019.41483962963)</f>
        <v>45019.41484</v>
      </c>
      <c r="C4593" s="1" t="str">
        <f>IFERROR(__xludf.DUMMYFUNCTION("""COMPUTED_VALUE"""),"TRAVERSO CARLOS ALBERTO")</f>
        <v>TRAVERSO CARLOS ALBERTO</v>
      </c>
      <c r="D4593" s="1" t="str">
        <f>IFERROR(__xludf.DUMMYFUNCTION("""COMPUTED_VALUE"""),"Lentes de STOCK")</f>
        <v>Lentes de STOCK</v>
      </c>
      <c r="E4593" s="1" t="str">
        <f>IFERROR(__xludf.DUMMYFUNCTION("""COMPUTED_VALUE"""),"RIVADAVIA Santiago N")</f>
        <v>RIVADAVIA Santiago N</v>
      </c>
      <c r="F4593" s="1" t="str">
        <f t="shared" si="1"/>
        <v>RIVADAVIA </v>
      </c>
      <c r="G4593" s="1" t="str">
        <f t="shared" si="2"/>
        <v>Santiago N</v>
      </c>
      <c r="H4593" s="1" t="str">
        <f>IFERROR(__xludf.DUMMYFUNCTION("""COMPUTED_VALUE"""),"5/4/2023, 17:00:00")</f>
        <v>5/4/2023, 17:00:00</v>
      </c>
      <c r="I4593" s="1" t="str">
        <f>IFERROR(__xludf.DUMMYFUNCTION("""COMPUTED_VALUE"""),"Completado en SUCURSAL")</f>
        <v>Completado en SUCURSAL</v>
      </c>
      <c r="J4593" s="1">
        <f t="shared" si="3"/>
        <v>5</v>
      </c>
      <c r="K4593" s="1" t="str">
        <f t="shared" si="4"/>
        <v>Tus Lentes estan LISTAS PARA ENTREGAR, te esperamos.</v>
      </c>
    </row>
    <row r="4594">
      <c r="A4594" s="1">
        <f>IFERROR(__xludf.DUMMYFUNCTION("""COMPUTED_VALUE"""),89157.0)</f>
        <v>89157</v>
      </c>
      <c r="B4594" s="5">
        <f>IFERROR(__xludf.DUMMYFUNCTION("""COMPUTED_VALUE"""),45019.416077118054)</f>
        <v>45019.41608</v>
      </c>
      <c r="C4594" s="1" t="str">
        <f>IFERROR(__xludf.DUMMYFUNCTION("""COMPUTED_VALUE"""),"Bustos Jorge")</f>
        <v>Bustos Jorge</v>
      </c>
      <c r="D4594" s="1" t="str">
        <f>IFERROR(__xludf.DUMMYFUNCTION("""COMPUTED_VALUE"""),"Lentes de LABORATORIO")</f>
        <v>Lentes de LABORATORIO</v>
      </c>
      <c r="E4594" s="1" t="str">
        <f>IFERROR(__xludf.DUMMYFUNCTION("""COMPUTED_VALUE"""),"ARTIGAS Sandra G")</f>
        <v>ARTIGAS Sandra G</v>
      </c>
      <c r="F4594" s="1" t="str">
        <f t="shared" si="1"/>
        <v>ARTIGAS </v>
      </c>
      <c r="G4594" s="1" t="str">
        <f t="shared" si="2"/>
        <v>Sandra G</v>
      </c>
      <c r="H4594" s="1" t="str">
        <f>IFERROR(__xludf.DUMMYFUNCTION("""COMPUTED_VALUE"""),"13/4/2023, 17:00:00")</f>
        <v>13/4/2023, 17:00:00</v>
      </c>
      <c r="I4594" s="1" t="str">
        <f>IFERROR(__xludf.DUMMYFUNCTION("""COMPUTED_VALUE"""),"Completado en SUCURSAL")</f>
        <v>Completado en SUCURSAL</v>
      </c>
      <c r="J4594" s="1">
        <f t="shared" si="3"/>
        <v>5</v>
      </c>
      <c r="K4594" s="1" t="str">
        <f t="shared" si="4"/>
        <v>Tus Lentes estan LISTAS PARA ENTREGAR, te esperamos.</v>
      </c>
    </row>
    <row r="4595">
      <c r="A4595" s="1">
        <f>IFERROR(__xludf.DUMMYFUNCTION("""COMPUTED_VALUE"""),89158.0)</f>
        <v>89158</v>
      </c>
      <c r="B4595" s="5">
        <f>IFERROR(__xludf.DUMMYFUNCTION("""COMPUTED_VALUE"""),45019.41732489583)</f>
        <v>45019.41732</v>
      </c>
      <c r="C4595" s="1" t="str">
        <f>IFERROR(__xludf.DUMMYFUNCTION("""COMPUTED_VALUE"""),"MIRANDA ANA LUCY")</f>
        <v>MIRANDA ANA LUCY</v>
      </c>
      <c r="D4595" s="1" t="str">
        <f>IFERROR(__xludf.DUMMYFUNCTION("""COMPUTED_VALUE"""),"Lentes de STOCK")</f>
        <v>Lentes de STOCK</v>
      </c>
      <c r="E4595" s="1" t="str">
        <f>IFERROR(__xludf.DUMMYFUNCTION("""COMPUTED_VALUE"""),"ARTIGAS Roció")</f>
        <v>ARTIGAS Roció</v>
      </c>
      <c r="F4595" s="1" t="str">
        <f t="shared" si="1"/>
        <v>ARTIGAS </v>
      </c>
      <c r="G4595" s="1" t="str">
        <f t="shared" si="2"/>
        <v>Roció</v>
      </c>
      <c r="H4595" s="1" t="str">
        <f>IFERROR(__xludf.DUMMYFUNCTION("""COMPUTED_VALUE"""),"14/4/2023, 17:00:00")</f>
        <v>14/4/2023, 17:00:00</v>
      </c>
      <c r="I4595" s="1" t="str">
        <f>IFERROR(__xludf.DUMMYFUNCTION("""COMPUTED_VALUE"""),"Completado en SUCURSAL")</f>
        <v>Completado en SUCURSAL</v>
      </c>
      <c r="J4595" s="1">
        <f t="shared" si="3"/>
        <v>5</v>
      </c>
      <c r="K4595" s="1" t="str">
        <f t="shared" si="4"/>
        <v>Tus Lentes estan LISTAS PARA ENTREGAR, te esperamos.</v>
      </c>
    </row>
    <row r="4596">
      <c r="A4596" s="1">
        <f>IFERROR(__xludf.DUMMYFUNCTION("""COMPUTED_VALUE"""),89159.0)</f>
        <v>89159</v>
      </c>
      <c r="B4596" s="5">
        <f>IFERROR(__xludf.DUMMYFUNCTION("""COMPUTED_VALUE"""),45019.42327866898)</f>
        <v>45019.42328</v>
      </c>
      <c r="C4596" s="1" t="str">
        <f>IFERROR(__xludf.DUMMYFUNCTION("""COMPUTED_VALUE"""),"FERNANDEZ  GLADYS ")</f>
        <v>FERNANDEZ  GLADYS </v>
      </c>
      <c r="D4596" s="1" t="str">
        <f>IFERROR(__xludf.DUMMYFUNCTION("""COMPUTED_VALUE"""),"Lentes de STOCK")</f>
        <v>Lentes de STOCK</v>
      </c>
      <c r="E4596" s="1" t="str">
        <f>IFERROR(__xludf.DUMMYFUNCTION("""COMPUTED_VALUE"""),"RIVADAVIA Marcela L")</f>
        <v>RIVADAVIA Marcela L</v>
      </c>
      <c r="F4596" s="1" t="str">
        <f t="shared" si="1"/>
        <v>RIVADAVIA </v>
      </c>
      <c r="G4596" s="1" t="str">
        <f t="shared" si="2"/>
        <v>Marcela L</v>
      </c>
      <c r="H4596" s="1" t="str">
        <f>IFERROR(__xludf.DUMMYFUNCTION("""COMPUTED_VALUE"""),"5/4/2023, 17:00:00")</f>
        <v>5/4/2023, 17:00:00</v>
      </c>
      <c r="I4596" s="1" t="str">
        <f>IFERROR(__xludf.DUMMYFUNCTION("""COMPUTED_VALUE"""),"Completado en SUCURSAL")</f>
        <v>Completado en SUCURSAL</v>
      </c>
      <c r="J4596" s="1">
        <f t="shared" si="3"/>
        <v>5</v>
      </c>
      <c r="K4596" s="1" t="str">
        <f t="shared" si="4"/>
        <v>Tus Lentes estan LISTAS PARA ENTREGAR, te esperamos.</v>
      </c>
    </row>
    <row r="4597">
      <c r="A4597" s="1">
        <f>IFERROR(__xludf.DUMMYFUNCTION("""COMPUTED_VALUE"""),89160.0)</f>
        <v>89160</v>
      </c>
      <c r="B4597" s="5">
        <f>IFERROR(__xludf.DUMMYFUNCTION("""COMPUTED_VALUE"""),45019.42676673611)</f>
        <v>45019.42677</v>
      </c>
      <c r="C4597" s="1" t="str">
        <f>IFERROR(__xludf.DUMMYFUNCTION("""COMPUTED_VALUE"""),"CHIRINO JOSEFA")</f>
        <v>CHIRINO JOSEFA</v>
      </c>
      <c r="D4597" s="1" t="str">
        <f>IFERROR(__xludf.DUMMYFUNCTION("""COMPUTED_VALUE"""),"Reparaciones/Otros")</f>
        <v>Reparaciones/Otros</v>
      </c>
      <c r="E4597" s="1" t="str">
        <f>IFERROR(__xludf.DUMMYFUNCTION("""COMPUTED_VALUE"""),"ARTIGAS Ivana P.")</f>
        <v>ARTIGAS Ivana P.</v>
      </c>
      <c r="F4597" s="1" t="str">
        <f t="shared" si="1"/>
        <v>ARTIGAS </v>
      </c>
      <c r="G4597" s="1" t="str">
        <f t="shared" si="2"/>
        <v>Ivana P.</v>
      </c>
      <c r="H4597" s="1" t="str">
        <f>IFERROR(__xludf.DUMMYFUNCTION("""COMPUTED_VALUE"""),"4/4/2023, 17:00:00")</f>
        <v>4/4/2023, 17:00:00</v>
      </c>
      <c r="I4597" s="1" t="str">
        <f>IFERROR(__xludf.DUMMYFUNCTION("""COMPUTED_VALUE"""),"Completado en SUCURSAL")</f>
        <v>Completado en SUCURSAL</v>
      </c>
      <c r="J4597" s="1">
        <f t="shared" si="3"/>
        <v>5</v>
      </c>
      <c r="K4597" s="1" t="str">
        <f t="shared" si="4"/>
        <v>Tus Lentes estan LISTAS PARA ENTREGAR, te esperamos.</v>
      </c>
    </row>
    <row r="4598">
      <c r="A4598" s="1">
        <f>IFERROR(__xludf.DUMMYFUNCTION("""COMPUTED_VALUE"""),89161.0)</f>
        <v>89161</v>
      </c>
      <c r="B4598" s="5">
        <f>IFERROR(__xludf.DUMMYFUNCTION("""COMPUTED_VALUE"""),45019.42684998843)</f>
        <v>45019.42685</v>
      </c>
      <c r="C4598" s="1" t="str">
        <f>IFERROR(__xludf.DUMMYFUNCTION("""COMPUTED_VALUE"""),"lucero sosa brain")</f>
        <v>lucero sosa brain</v>
      </c>
      <c r="D4598" s="1" t="str">
        <f>IFERROR(__xludf.DUMMYFUNCTION("""COMPUTED_VALUE"""),"Lentes de STOCK")</f>
        <v>Lentes de STOCK</v>
      </c>
      <c r="E4598" s="1" t="str">
        <f>IFERROR(__xludf.DUMMYFUNCTION("""COMPUTED_VALUE"""),"RIVADAVIA Santiago LOPEZ")</f>
        <v>RIVADAVIA Santiago LOPEZ</v>
      </c>
      <c r="F4598" s="1" t="str">
        <f t="shared" si="1"/>
        <v>RIVADAVIA </v>
      </c>
      <c r="G4598" s="1" t="str">
        <f t="shared" si="2"/>
        <v>Santiago LOPEZ</v>
      </c>
      <c r="H4598" s="1" t="str">
        <f>IFERROR(__xludf.DUMMYFUNCTION("""COMPUTED_VALUE"""),"5/4/2023, 17:00:00")</f>
        <v>5/4/2023, 17:00:00</v>
      </c>
      <c r="I4598" s="1" t="str">
        <f>IFERROR(__xludf.DUMMYFUNCTION("""COMPUTED_VALUE"""),"RETIRADO OK POR CLIENTE")</f>
        <v>RETIRADO OK POR CLIENTE</v>
      </c>
      <c r="J4598" s="1">
        <f t="shared" si="3"/>
        <v>6</v>
      </c>
      <c r="K4598" s="1" t="str">
        <f t="shared" si="4"/>
        <v>Entregamos tus lentes, que los disfrutes!</v>
      </c>
    </row>
    <row r="4599">
      <c r="A4599" s="1">
        <f>IFERROR(__xludf.DUMMYFUNCTION("""COMPUTED_VALUE"""),89162.0)</f>
        <v>89162</v>
      </c>
      <c r="B4599" s="5">
        <f>IFERROR(__xludf.DUMMYFUNCTION("""COMPUTED_VALUE"""),45019.426865960646)</f>
        <v>45019.42687</v>
      </c>
      <c r="C4599" s="1" t="str">
        <f>IFERROR(__xludf.DUMMYFUNCTION("""COMPUTED_VALUE"""),"POBLET MIRIAM")</f>
        <v>POBLET MIRIAM</v>
      </c>
      <c r="D4599" s="1" t="str">
        <f>IFERROR(__xludf.DUMMYFUNCTION("""COMPUTED_VALUE"""),"Lentes de STOCK")</f>
        <v>Lentes de STOCK</v>
      </c>
      <c r="E4599" s="1" t="str">
        <f>IFERROR(__xludf.DUMMYFUNCTION("""COMPUTED_VALUE"""),"RIVADAVIA Christian C.")</f>
        <v>RIVADAVIA Christian C.</v>
      </c>
      <c r="F4599" s="1" t="str">
        <f t="shared" si="1"/>
        <v>RIVADAVIA </v>
      </c>
      <c r="G4599" s="1" t="str">
        <f t="shared" si="2"/>
        <v>Christian C.</v>
      </c>
      <c r="H4599" s="1" t="str">
        <f>IFERROR(__xludf.DUMMYFUNCTION("""COMPUTED_VALUE"""),"10/4/2023, 17:00:00")</f>
        <v>10/4/2023, 17:00:00</v>
      </c>
      <c r="I4599" s="1" t="str">
        <f>IFERROR(__xludf.DUMMYFUNCTION("""COMPUTED_VALUE"""),"Recibido en Laboratorio")</f>
        <v>Recibido en Laboratorio</v>
      </c>
      <c r="J4599" s="1">
        <f t="shared" si="3"/>
        <v>2</v>
      </c>
      <c r="K4599" s="1" t="str">
        <f t="shared" si="4"/>
        <v>Nuestro Laboratorio esta trabajando en tus lentes, los entregaremos en la fecha acordada.</v>
      </c>
    </row>
    <row r="4600">
      <c r="A4600" s="1">
        <f>IFERROR(__xludf.DUMMYFUNCTION("""COMPUTED_VALUE"""),89163.0)</f>
        <v>89163</v>
      </c>
      <c r="B4600" s="5">
        <f>IFERROR(__xludf.DUMMYFUNCTION("""COMPUTED_VALUE"""),45019.42881516204)</f>
        <v>45019.42882</v>
      </c>
      <c r="C4600" s="1" t="str">
        <f>IFERROR(__xludf.DUMMYFUNCTION("""COMPUTED_VALUE"""),"OCHOA ALFREDO")</f>
        <v>OCHOA ALFREDO</v>
      </c>
      <c r="D4600" s="1" t="str">
        <f>IFERROR(__xludf.DUMMYFUNCTION("""COMPUTED_VALUE"""),"Lentes de STOCK")</f>
        <v>Lentes de STOCK</v>
      </c>
      <c r="E4600" s="1" t="str">
        <f>IFERROR(__xludf.DUMMYFUNCTION("""COMPUTED_VALUE"""),"RIVADAVIA Luciana")</f>
        <v>RIVADAVIA Luciana</v>
      </c>
      <c r="F4600" s="1" t="str">
        <f t="shared" si="1"/>
        <v>RIVADAVIA </v>
      </c>
      <c r="G4600" s="1" t="str">
        <f t="shared" si="2"/>
        <v>Luciana</v>
      </c>
      <c r="H4600" s="1" t="str">
        <f>IFERROR(__xludf.DUMMYFUNCTION("""COMPUTED_VALUE"""),"6/4/2023, 17:30:00")</f>
        <v>6/4/2023, 17:30:00</v>
      </c>
      <c r="I4600" s="1" t="str">
        <f>IFERROR(__xludf.DUMMYFUNCTION("""COMPUTED_VALUE"""),"Completado en SUCURSAL")</f>
        <v>Completado en SUCURSAL</v>
      </c>
      <c r="J4600" s="1">
        <f t="shared" si="3"/>
        <v>5</v>
      </c>
      <c r="K4600" s="1" t="str">
        <f t="shared" si="4"/>
        <v>Tus Lentes estan LISTAS PARA ENTREGAR, te esperamos.</v>
      </c>
    </row>
    <row r="4601">
      <c r="A4601" s="1">
        <f>IFERROR(__xludf.DUMMYFUNCTION("""COMPUTED_VALUE"""),89164.0)</f>
        <v>89164</v>
      </c>
      <c r="B4601" s="5">
        <f>IFERROR(__xludf.DUMMYFUNCTION("""COMPUTED_VALUE"""),45019.434520324074)</f>
        <v>45019.43452</v>
      </c>
      <c r="C4601" s="1" t="str">
        <f>IFERROR(__xludf.DUMMYFUNCTION("""COMPUTED_VALUE"""),"VILCHEZ MIRTA")</f>
        <v>VILCHEZ MIRTA</v>
      </c>
      <c r="D4601" s="1" t="str">
        <f>IFERROR(__xludf.DUMMYFUNCTION("""COMPUTED_VALUE"""),"Reparaciones/Otros")</f>
        <v>Reparaciones/Otros</v>
      </c>
      <c r="E4601" s="1" t="str">
        <f>IFERROR(__xludf.DUMMYFUNCTION("""COMPUTED_VALUE"""),"RIVADAVIA Daniel CM")</f>
        <v>RIVADAVIA Daniel CM</v>
      </c>
      <c r="F4601" s="1" t="str">
        <f t="shared" si="1"/>
        <v>RIVADAVIA </v>
      </c>
      <c r="G4601" s="1" t="str">
        <f t="shared" si="2"/>
        <v>Daniel CM</v>
      </c>
      <c r="H4601" s="1" t="str">
        <f>IFERROR(__xludf.DUMMYFUNCTION("""COMPUTED_VALUE"""),"4/4/2023, 17:00:00")</f>
        <v>4/4/2023, 17:00:00</v>
      </c>
      <c r="I4601" s="1" t="str">
        <f>IFERROR(__xludf.DUMMYFUNCTION("""COMPUTED_VALUE"""),"Recibido en Laboratorio")</f>
        <v>Recibido en Laboratorio</v>
      </c>
      <c r="J4601" s="1">
        <f t="shared" si="3"/>
        <v>2</v>
      </c>
      <c r="K4601" s="1" t="str">
        <f t="shared" si="4"/>
        <v>Nuestro Laboratorio esta trabajando en tus lentes, los entregaremos en la fecha acordada.</v>
      </c>
    </row>
    <row r="4602">
      <c r="A4602" s="1">
        <f>IFERROR(__xludf.DUMMYFUNCTION("""COMPUTED_VALUE"""),89165.0)</f>
        <v>89165</v>
      </c>
      <c r="B4602" s="5">
        <f>IFERROR(__xludf.DUMMYFUNCTION("""COMPUTED_VALUE"""),45019.43817608796)</f>
        <v>45019.43818</v>
      </c>
      <c r="C4602" s="1" t="str">
        <f>IFERROR(__xludf.DUMMYFUNCTION("""COMPUTED_VALUE"""),"DIAZ ALBA CAROLINA")</f>
        <v>DIAZ ALBA CAROLINA</v>
      </c>
      <c r="D4602" s="1" t="str">
        <f>IFERROR(__xludf.DUMMYFUNCTION("""COMPUTED_VALUE"""),"Lentes de STOCK")</f>
        <v>Lentes de STOCK</v>
      </c>
      <c r="E4602" s="1" t="str">
        <f>IFERROR(__xludf.DUMMYFUNCTION("""COMPUTED_VALUE"""),"RIVADAVIA Daniel CM")</f>
        <v>RIVADAVIA Daniel CM</v>
      </c>
      <c r="F4602" s="1" t="str">
        <f t="shared" si="1"/>
        <v>RIVADAVIA </v>
      </c>
      <c r="G4602" s="1" t="str">
        <f t="shared" si="2"/>
        <v>Daniel CM</v>
      </c>
      <c r="H4602" s="1" t="str">
        <f>IFERROR(__xludf.DUMMYFUNCTION("""COMPUTED_VALUE"""),"6/4/2023, 17:00:00")</f>
        <v>6/4/2023, 17:00:00</v>
      </c>
      <c r="I4602" s="1" t="str">
        <f>IFERROR(__xludf.DUMMYFUNCTION("""COMPUTED_VALUE"""),"Completado en SUCURSAL")</f>
        <v>Completado en SUCURSAL</v>
      </c>
      <c r="J4602" s="1">
        <f t="shared" si="3"/>
        <v>5</v>
      </c>
      <c r="K4602" s="1" t="str">
        <f t="shared" si="4"/>
        <v>Tus Lentes estan LISTAS PARA ENTREGAR, te esperamos.</v>
      </c>
    </row>
    <row r="4603">
      <c r="A4603" s="1">
        <f>IFERROR(__xludf.DUMMYFUNCTION("""COMPUTED_VALUE"""),89166.0)</f>
        <v>89166</v>
      </c>
      <c r="B4603" s="5">
        <f>IFERROR(__xludf.DUMMYFUNCTION("""COMPUTED_VALUE"""),45019.44003037037)</f>
        <v>45019.44003</v>
      </c>
      <c r="C4603" s="1" t="str">
        <f>IFERROR(__xludf.DUMMYFUNCTION("""COMPUTED_VALUE"""),"DE GAETANO PEDRO")</f>
        <v>DE GAETANO PEDRO</v>
      </c>
      <c r="D4603" s="1" t="str">
        <f>IFERROR(__xludf.DUMMYFUNCTION("""COMPUTED_VALUE"""),"Lentes MULTIFOCALES")</f>
        <v>Lentes MULTIFOCALES</v>
      </c>
      <c r="E4603" s="1" t="str">
        <f>IFERROR(__xludf.DUMMYFUNCTION("""COMPUTED_VALUE"""),"ARTIGAS Roció")</f>
        <v>ARTIGAS Roció</v>
      </c>
      <c r="F4603" s="1" t="str">
        <f t="shared" si="1"/>
        <v>ARTIGAS </v>
      </c>
      <c r="G4603" s="1" t="str">
        <f t="shared" si="2"/>
        <v>Roció</v>
      </c>
      <c r="H4603" s="1" t="str">
        <f>IFERROR(__xludf.DUMMYFUNCTION("""COMPUTED_VALUE"""),"21/4/2023, 17:00:00")</f>
        <v>21/4/2023, 17:00:00</v>
      </c>
      <c r="I4603" s="1"/>
      <c r="J4603" s="1">
        <f t="shared" si="3"/>
        <v>0</v>
      </c>
      <c r="K4603" s="1" t="str">
        <f t="shared" si="4"/>
        <v/>
      </c>
    </row>
    <row r="4604">
      <c r="A4604" s="1">
        <f>IFERROR(__xludf.DUMMYFUNCTION("""COMPUTED_VALUE"""),89167.0)</f>
        <v>89167</v>
      </c>
      <c r="B4604" s="5">
        <f>IFERROR(__xludf.DUMMYFUNCTION("""COMPUTED_VALUE"""),45019.44270396991)</f>
        <v>45019.4427</v>
      </c>
      <c r="C4604" s="1" t="str">
        <f>IFERROR(__xludf.DUMMYFUNCTION("""COMPUTED_VALUE"""),"VARGAS ERNESTO ")</f>
        <v>VARGAS ERNESTO </v>
      </c>
      <c r="D4604" s="1" t="str">
        <f>IFERROR(__xludf.DUMMYFUNCTION("""COMPUTED_VALUE"""),"Lentes de STOCK")</f>
        <v>Lentes de STOCK</v>
      </c>
      <c r="E4604" s="1" t="str">
        <f>IFERROR(__xludf.DUMMYFUNCTION("""COMPUTED_VALUE"""),"RIVADAVIA Christian C.")</f>
        <v>RIVADAVIA Christian C.</v>
      </c>
      <c r="F4604" s="1" t="str">
        <f t="shared" si="1"/>
        <v>RIVADAVIA </v>
      </c>
      <c r="G4604" s="1" t="str">
        <f t="shared" si="2"/>
        <v>Christian C.</v>
      </c>
      <c r="H4604" s="1" t="str">
        <f>IFERROR(__xludf.DUMMYFUNCTION("""COMPUTED_VALUE"""),"10/4/2023, 17:00:00")</f>
        <v>10/4/2023, 17:00:00</v>
      </c>
      <c r="I4604" s="1" t="str">
        <f>IFERROR(__xludf.DUMMYFUNCTION("""COMPUTED_VALUE"""),"RETIRADO OK POR CLIENTE")</f>
        <v>RETIRADO OK POR CLIENTE</v>
      </c>
      <c r="J4604" s="1">
        <f t="shared" si="3"/>
        <v>6</v>
      </c>
      <c r="K4604" s="1" t="str">
        <f t="shared" si="4"/>
        <v>Entregamos tus lentes, que los disfrutes!</v>
      </c>
    </row>
    <row r="4605">
      <c r="A4605" s="1">
        <f>IFERROR(__xludf.DUMMYFUNCTION("""COMPUTED_VALUE"""),89168.0)</f>
        <v>89168</v>
      </c>
      <c r="B4605" s="5">
        <f>IFERROR(__xludf.DUMMYFUNCTION("""COMPUTED_VALUE"""),45019.44527134259)</f>
        <v>45019.44527</v>
      </c>
      <c r="C4605" s="1" t="str">
        <f>IFERROR(__xludf.DUMMYFUNCTION("""COMPUTED_VALUE"""),"YUBEL MABEL")</f>
        <v>YUBEL MABEL</v>
      </c>
      <c r="D4605" s="1" t="str">
        <f>IFERROR(__xludf.DUMMYFUNCTION("""COMPUTED_VALUE"""),"Lentes de STOCK")</f>
        <v>Lentes de STOCK</v>
      </c>
      <c r="E4605" s="1" t="str">
        <f>IFERROR(__xludf.DUMMYFUNCTION("""COMPUTED_VALUE"""),"ARTIGAS Ivana P.")</f>
        <v>ARTIGAS Ivana P.</v>
      </c>
      <c r="F4605" s="1" t="str">
        <f t="shared" si="1"/>
        <v>ARTIGAS </v>
      </c>
      <c r="G4605" s="1" t="str">
        <f t="shared" si="2"/>
        <v>Ivana P.</v>
      </c>
      <c r="H4605" s="1" t="str">
        <f>IFERROR(__xludf.DUMMYFUNCTION("""COMPUTED_VALUE"""),"5/4/2023, 17:00:00")</f>
        <v>5/4/2023, 17:00:00</v>
      </c>
      <c r="I4605" s="1" t="str">
        <f>IFERROR(__xludf.DUMMYFUNCTION("""COMPUTED_VALUE"""),"Completado en SUCURSAL")</f>
        <v>Completado en SUCURSAL</v>
      </c>
      <c r="J4605" s="1">
        <f t="shared" si="3"/>
        <v>5</v>
      </c>
      <c r="K4605" s="1" t="str">
        <f t="shared" si="4"/>
        <v>Tus Lentes estan LISTAS PARA ENTREGAR, te esperamos.</v>
      </c>
    </row>
    <row r="4606">
      <c r="A4606" s="1">
        <f>IFERROR(__xludf.DUMMYFUNCTION("""COMPUTED_VALUE"""),89169.0)</f>
        <v>89169</v>
      </c>
      <c r="B4606" s="5">
        <f>IFERROR(__xludf.DUMMYFUNCTION("""COMPUTED_VALUE"""),45019.44747849537)</f>
        <v>45019.44748</v>
      </c>
      <c r="C4606" s="1" t="str">
        <f>IFERROR(__xludf.DUMMYFUNCTION("""COMPUTED_VALUE"""),"NIEVAS NORMA")</f>
        <v>NIEVAS NORMA</v>
      </c>
      <c r="D4606" s="1" t="str">
        <f>IFERROR(__xludf.DUMMYFUNCTION("""COMPUTED_VALUE"""),"Lentes de STOCK")</f>
        <v>Lentes de STOCK</v>
      </c>
      <c r="E4606" s="1" t="str">
        <f>IFERROR(__xludf.DUMMYFUNCTION("""COMPUTED_VALUE"""),"RIVADAVIA Luciana")</f>
        <v>RIVADAVIA Luciana</v>
      </c>
      <c r="F4606" s="1" t="str">
        <f t="shared" si="1"/>
        <v>RIVADAVIA </v>
      </c>
      <c r="G4606" s="1" t="str">
        <f t="shared" si="2"/>
        <v>Luciana</v>
      </c>
      <c r="H4606" s="1" t="str">
        <f>IFERROR(__xludf.DUMMYFUNCTION("""COMPUTED_VALUE"""),"6/4/2023, 17:00:00")</f>
        <v>6/4/2023, 17:00:00</v>
      </c>
      <c r="I4606" s="1" t="str">
        <f>IFERROR(__xludf.DUMMYFUNCTION("""COMPUTED_VALUE"""),"Completado en SUCURSAL")</f>
        <v>Completado en SUCURSAL</v>
      </c>
      <c r="J4606" s="1">
        <f t="shared" si="3"/>
        <v>5</v>
      </c>
      <c r="K4606" s="1" t="str">
        <f t="shared" si="4"/>
        <v>Tus Lentes estan LISTAS PARA ENTREGAR, te esperamos.</v>
      </c>
    </row>
    <row r="4607">
      <c r="A4607" s="1">
        <f>IFERROR(__xludf.DUMMYFUNCTION("""COMPUTED_VALUE"""),89170.0)</f>
        <v>89170</v>
      </c>
      <c r="B4607" s="5">
        <f>IFERROR(__xludf.DUMMYFUNCTION("""COMPUTED_VALUE"""),45019.44827854166)</f>
        <v>45019.44828</v>
      </c>
      <c r="C4607" s="1" t="str">
        <f>IFERROR(__xludf.DUMMYFUNCTION("""COMPUTED_VALUE"""),"VIEIRA JOSE MANUEL")</f>
        <v>VIEIRA JOSE MANUEL</v>
      </c>
      <c r="D4607" s="1" t="str">
        <f>IFERROR(__xludf.DUMMYFUNCTION("""COMPUTED_VALUE"""),"Lentes de STOCK")</f>
        <v>Lentes de STOCK</v>
      </c>
      <c r="E4607" s="1" t="str">
        <f>IFERROR(__xludf.DUMMYFUNCTION("""COMPUTED_VALUE"""),"RIVADAVIA Marcela L")</f>
        <v>RIVADAVIA Marcela L</v>
      </c>
      <c r="F4607" s="1" t="str">
        <f t="shared" si="1"/>
        <v>RIVADAVIA </v>
      </c>
      <c r="G4607" s="1" t="str">
        <f t="shared" si="2"/>
        <v>Marcela L</v>
      </c>
      <c r="H4607" s="1" t="str">
        <f>IFERROR(__xludf.DUMMYFUNCTION("""COMPUTED_VALUE"""),"10/4/2023, 17:00:00")</f>
        <v>10/4/2023, 17:00:00</v>
      </c>
      <c r="I4607" s="1" t="str">
        <f>IFERROR(__xludf.DUMMYFUNCTION("""COMPUTED_VALUE"""),"RETIRADO OK POR CLIENTE")</f>
        <v>RETIRADO OK POR CLIENTE</v>
      </c>
      <c r="J4607" s="1">
        <f t="shared" si="3"/>
        <v>6</v>
      </c>
      <c r="K4607" s="1" t="str">
        <f t="shared" si="4"/>
        <v>Entregamos tus lentes, que los disfrutes!</v>
      </c>
    </row>
    <row r="4608">
      <c r="A4608" s="1">
        <f>IFERROR(__xludf.DUMMYFUNCTION("""COMPUTED_VALUE"""),89171.0)</f>
        <v>89171</v>
      </c>
      <c r="B4608" s="5">
        <f>IFERROR(__xludf.DUMMYFUNCTION("""COMPUTED_VALUE"""),45019.45082525463)</f>
        <v>45019.45083</v>
      </c>
      <c r="C4608" s="1" t="str">
        <f>IFERROR(__xludf.DUMMYFUNCTION("""COMPUTED_VALUE"""),"RODRIGUEZ QUIROGA VALENINA")</f>
        <v>RODRIGUEZ QUIROGA VALENINA</v>
      </c>
      <c r="D4608" s="1" t="str">
        <f>IFERROR(__xludf.DUMMYFUNCTION("""COMPUTED_VALUE"""),"Lentes de STOCK")</f>
        <v>Lentes de STOCK</v>
      </c>
      <c r="E4608" s="1" t="str">
        <f>IFERROR(__xludf.DUMMYFUNCTION("""COMPUTED_VALUE"""),"RIVADAVIA Santiago LOPEZ")</f>
        <v>RIVADAVIA Santiago LOPEZ</v>
      </c>
      <c r="F4608" s="1" t="str">
        <f t="shared" si="1"/>
        <v>RIVADAVIA </v>
      </c>
      <c r="G4608" s="1" t="str">
        <f t="shared" si="2"/>
        <v>Santiago LOPEZ</v>
      </c>
      <c r="H4608" s="1" t="str">
        <f>IFERROR(__xludf.DUMMYFUNCTION("""COMPUTED_VALUE"""),"6/4/2023, 17:00:00")</f>
        <v>6/4/2023, 17:00:00</v>
      </c>
      <c r="I4608" s="1" t="str">
        <f>IFERROR(__xludf.DUMMYFUNCTION("""COMPUTED_VALUE"""),"Completado en SUCURSAL")</f>
        <v>Completado en SUCURSAL</v>
      </c>
      <c r="J4608" s="1">
        <f t="shared" si="3"/>
        <v>5</v>
      </c>
      <c r="K4608" s="1" t="str">
        <f t="shared" si="4"/>
        <v>Tus Lentes estan LISTAS PARA ENTREGAR, te esperamos.</v>
      </c>
    </row>
    <row r="4609">
      <c r="A4609" s="1">
        <f>IFERROR(__xludf.DUMMYFUNCTION("""COMPUTED_VALUE"""),89172.0)</f>
        <v>89172</v>
      </c>
      <c r="B4609" s="5">
        <f>IFERROR(__xludf.DUMMYFUNCTION("""COMPUTED_VALUE"""),45019.45219190972)</f>
        <v>45019.45219</v>
      </c>
      <c r="C4609" s="1" t="str">
        <f>IFERROR(__xludf.DUMMYFUNCTION("""COMPUTED_VALUE"""),"GARRO HIPOLITO")</f>
        <v>GARRO HIPOLITO</v>
      </c>
      <c r="D4609" s="1" t="str">
        <f>IFERROR(__xludf.DUMMYFUNCTION("""COMPUTED_VALUE"""),"Lentes de STOCK")</f>
        <v>Lentes de STOCK</v>
      </c>
      <c r="E4609" s="1" t="str">
        <f>IFERROR(__xludf.DUMMYFUNCTION("""COMPUTED_VALUE"""),"ARTIGAS Ivana P.")</f>
        <v>ARTIGAS Ivana P.</v>
      </c>
      <c r="F4609" s="1" t="str">
        <f t="shared" si="1"/>
        <v>ARTIGAS </v>
      </c>
      <c r="G4609" s="1" t="str">
        <f t="shared" si="2"/>
        <v>Ivana P.</v>
      </c>
      <c r="H4609" s="1" t="str">
        <f>IFERROR(__xludf.DUMMYFUNCTION("""COMPUTED_VALUE"""),"10/4/2023, 17:00:00")</f>
        <v>10/4/2023, 17:00:00</v>
      </c>
      <c r="I4609" s="1" t="str">
        <f>IFERROR(__xludf.DUMMYFUNCTION("""COMPUTED_VALUE"""),"Recibido en Laboratorio")</f>
        <v>Recibido en Laboratorio</v>
      </c>
      <c r="J4609" s="1">
        <f t="shared" si="3"/>
        <v>2</v>
      </c>
      <c r="K4609" s="1" t="str">
        <f t="shared" si="4"/>
        <v>Nuestro Laboratorio esta trabajando en tus lentes, los entregaremos en la fecha acordada.</v>
      </c>
    </row>
    <row r="4610">
      <c r="A4610" s="1">
        <f>IFERROR(__xludf.DUMMYFUNCTION("""COMPUTED_VALUE"""),89173.0)</f>
        <v>89173</v>
      </c>
      <c r="B4610" s="5">
        <f>IFERROR(__xludf.DUMMYFUNCTION("""COMPUTED_VALUE"""),45019.452243611115)</f>
        <v>45019.45224</v>
      </c>
      <c r="C4610" s="1" t="str">
        <f>IFERROR(__xludf.DUMMYFUNCTION("""COMPUTED_VALUE"""),"JARA ROGELIO")</f>
        <v>JARA ROGELIO</v>
      </c>
      <c r="D4610" s="1" t="str">
        <f>IFERROR(__xludf.DUMMYFUNCTION("""COMPUTED_VALUE"""),"Lentes de STOCK")</f>
        <v>Lentes de STOCK</v>
      </c>
      <c r="E4610" s="1" t="str">
        <f>IFERROR(__xludf.DUMMYFUNCTION("""COMPUTED_VALUE"""),"RIVADAVIA Luciana")</f>
        <v>RIVADAVIA Luciana</v>
      </c>
      <c r="F4610" s="1" t="str">
        <f t="shared" si="1"/>
        <v>RIVADAVIA </v>
      </c>
      <c r="G4610" s="1" t="str">
        <f t="shared" si="2"/>
        <v>Luciana</v>
      </c>
      <c r="H4610" s="1" t="str">
        <f>IFERROR(__xludf.DUMMYFUNCTION("""COMPUTED_VALUE"""),"6/4/2023, 17:00:00")</f>
        <v>6/4/2023, 17:00:00</v>
      </c>
      <c r="I4610" s="1" t="str">
        <f>IFERROR(__xludf.DUMMYFUNCTION("""COMPUTED_VALUE"""),"Completado en SUCURSAL")</f>
        <v>Completado en SUCURSAL</v>
      </c>
      <c r="J4610" s="1">
        <f t="shared" si="3"/>
        <v>5</v>
      </c>
      <c r="K4610" s="1" t="str">
        <f t="shared" si="4"/>
        <v>Tus Lentes estan LISTAS PARA ENTREGAR, te esperamos.</v>
      </c>
    </row>
    <row r="4611">
      <c r="A4611" s="1">
        <f>IFERROR(__xludf.DUMMYFUNCTION("""COMPUTED_VALUE"""),89174.0)</f>
        <v>89174</v>
      </c>
      <c r="B4611" s="5">
        <f>IFERROR(__xludf.DUMMYFUNCTION("""COMPUTED_VALUE"""),45019.45235923611)</f>
        <v>45019.45236</v>
      </c>
      <c r="C4611" s="1" t="str">
        <f>IFERROR(__xludf.DUMMYFUNCTION("""COMPUTED_VALUE"""),"VARAS TAMARA")</f>
        <v>VARAS TAMARA</v>
      </c>
      <c r="D4611" s="1" t="str">
        <f>IFERROR(__xludf.DUMMYFUNCTION("""COMPUTED_VALUE"""),"Lentes de STOCK")</f>
        <v>Lentes de STOCK</v>
      </c>
      <c r="E4611" s="1" t="str">
        <f>IFERROR(__xludf.DUMMYFUNCTION("""COMPUTED_VALUE"""),"ARTIGAS Roció")</f>
        <v>ARTIGAS Roció</v>
      </c>
      <c r="F4611" s="1" t="str">
        <f t="shared" si="1"/>
        <v>ARTIGAS </v>
      </c>
      <c r="G4611" s="1" t="str">
        <f t="shared" si="2"/>
        <v>Roció</v>
      </c>
      <c r="H4611" s="1" t="str">
        <f>IFERROR(__xludf.DUMMYFUNCTION("""COMPUTED_VALUE"""),"13/4/2023, 17:00:00")</f>
        <v>13/4/2023, 17:00:00</v>
      </c>
      <c r="I4611" s="1" t="str">
        <f>IFERROR(__xludf.DUMMYFUNCTION("""COMPUTED_VALUE"""),"Completado en SUCURSAL")</f>
        <v>Completado en SUCURSAL</v>
      </c>
      <c r="J4611" s="1">
        <f t="shared" si="3"/>
        <v>5</v>
      </c>
      <c r="K4611" s="1" t="str">
        <f t="shared" si="4"/>
        <v>Tus Lentes estan LISTAS PARA ENTREGAR, te esperamos.</v>
      </c>
    </row>
    <row r="4612">
      <c r="A4612" s="1">
        <f>IFERROR(__xludf.DUMMYFUNCTION("""COMPUTED_VALUE"""),89175.0)</f>
        <v>89175</v>
      </c>
      <c r="B4612" s="5">
        <f>IFERROR(__xludf.DUMMYFUNCTION("""COMPUTED_VALUE"""),45019.45305030093)</f>
        <v>45019.45305</v>
      </c>
      <c r="C4612" s="1" t="str">
        <f>IFERROR(__xludf.DUMMYFUNCTION("""COMPUTED_VALUE"""),"andrada ramiro ezequiel")</f>
        <v>andrada ramiro ezequiel</v>
      </c>
      <c r="D4612" s="1" t="str">
        <f>IFERROR(__xludf.DUMMYFUNCTION("""COMPUTED_VALUE"""),"Lentes de STOCK")</f>
        <v>Lentes de STOCK</v>
      </c>
      <c r="E4612" s="1" t="str">
        <f>IFERROR(__xludf.DUMMYFUNCTION("""COMPUTED_VALUE"""),"RIVADAVIA Santiago N")</f>
        <v>RIVADAVIA Santiago N</v>
      </c>
      <c r="F4612" s="1" t="str">
        <f t="shared" si="1"/>
        <v>RIVADAVIA </v>
      </c>
      <c r="G4612" s="1" t="str">
        <f t="shared" si="2"/>
        <v>Santiago N</v>
      </c>
      <c r="H4612" s="1" t="str">
        <f>IFERROR(__xludf.DUMMYFUNCTION("""COMPUTED_VALUE"""),"10/4/2023, 17:00:00")</f>
        <v>10/4/2023, 17:00:00</v>
      </c>
      <c r="I4612" s="1" t="str">
        <f>IFERROR(__xludf.DUMMYFUNCTION("""COMPUTED_VALUE"""),"Completado en SUCURSAL")</f>
        <v>Completado en SUCURSAL</v>
      </c>
      <c r="J4612" s="1">
        <f t="shared" si="3"/>
        <v>5</v>
      </c>
      <c r="K4612" s="1" t="str">
        <f t="shared" si="4"/>
        <v>Tus Lentes estan LISTAS PARA ENTREGAR, te esperamos.</v>
      </c>
    </row>
    <row r="4613">
      <c r="A4613" s="1">
        <f>IFERROR(__xludf.DUMMYFUNCTION("""COMPUTED_VALUE"""),89176.0)</f>
        <v>89176</v>
      </c>
      <c r="B4613" s="5">
        <f>IFERROR(__xludf.DUMMYFUNCTION("""COMPUTED_VALUE"""),45019.45570158565)</f>
        <v>45019.4557</v>
      </c>
      <c r="C4613" s="1" t="str">
        <f>IFERROR(__xludf.DUMMYFUNCTION("""COMPUTED_VALUE"""),"MORALES LAURA ")</f>
        <v>MORALES LAURA </v>
      </c>
      <c r="D4613" s="1" t="str">
        <f>IFERROR(__xludf.DUMMYFUNCTION("""COMPUTED_VALUE"""),"Lentes de STOCK")</f>
        <v>Lentes de STOCK</v>
      </c>
      <c r="E4613" s="1" t="str">
        <f>IFERROR(__xludf.DUMMYFUNCTION("""COMPUTED_VALUE"""),"RIVADAVIA Christian C.")</f>
        <v>RIVADAVIA Christian C.</v>
      </c>
      <c r="F4613" s="1" t="str">
        <f t="shared" si="1"/>
        <v>RIVADAVIA </v>
      </c>
      <c r="G4613" s="1" t="str">
        <f t="shared" si="2"/>
        <v>Christian C.</v>
      </c>
      <c r="H4613" s="1" t="str">
        <f>IFERROR(__xludf.DUMMYFUNCTION("""COMPUTED_VALUE"""),"6/4/2023, 17:00:00")</f>
        <v>6/4/2023, 17:00:00</v>
      </c>
      <c r="I4613" s="1" t="str">
        <f>IFERROR(__xludf.DUMMYFUNCTION("""COMPUTED_VALUE"""),"Completado en SUCURSAL")</f>
        <v>Completado en SUCURSAL</v>
      </c>
      <c r="J4613" s="1">
        <f t="shared" si="3"/>
        <v>5</v>
      </c>
      <c r="K4613" s="1" t="str">
        <f t="shared" si="4"/>
        <v>Tus Lentes estan LISTAS PARA ENTREGAR, te esperamos.</v>
      </c>
    </row>
    <row r="4614">
      <c r="A4614" s="1">
        <f>IFERROR(__xludf.DUMMYFUNCTION("""COMPUTED_VALUE"""),89177.0)</f>
        <v>89177</v>
      </c>
      <c r="B4614" s="5">
        <f>IFERROR(__xludf.DUMMYFUNCTION("""COMPUTED_VALUE"""),45019.456537418984)</f>
        <v>45019.45654</v>
      </c>
      <c r="C4614" s="1" t="str">
        <f>IFERROR(__xludf.DUMMYFUNCTION("""COMPUTED_VALUE"""),"BARZOLA JORGE")</f>
        <v>BARZOLA JORGE</v>
      </c>
      <c r="D4614" s="1" t="str">
        <f>IFERROR(__xludf.DUMMYFUNCTION("""COMPUTED_VALUE"""),"Lentes de STOCK")</f>
        <v>Lentes de STOCK</v>
      </c>
      <c r="E4614" s="1" t="str">
        <f>IFERROR(__xludf.DUMMYFUNCTION("""COMPUTED_VALUE"""),"ARTIGAS Roció")</f>
        <v>ARTIGAS Roció</v>
      </c>
      <c r="F4614" s="1" t="str">
        <f t="shared" si="1"/>
        <v>ARTIGAS </v>
      </c>
      <c r="G4614" s="1" t="str">
        <f t="shared" si="2"/>
        <v>Roció</v>
      </c>
      <c r="H4614" s="1" t="str">
        <f>IFERROR(__xludf.DUMMYFUNCTION("""COMPUTED_VALUE"""),"13/4/2023, 17:00:00")</f>
        <v>13/4/2023, 17:00:00</v>
      </c>
      <c r="I4614" s="1" t="str">
        <f>IFERROR(__xludf.DUMMYFUNCTION("""COMPUTED_VALUE"""),"Completado en SUCURSAL")</f>
        <v>Completado en SUCURSAL</v>
      </c>
      <c r="J4614" s="1">
        <f t="shared" si="3"/>
        <v>5</v>
      </c>
      <c r="K4614" s="1" t="str">
        <f t="shared" si="4"/>
        <v>Tus Lentes estan LISTAS PARA ENTREGAR, te esperamos.</v>
      </c>
    </row>
    <row r="4615">
      <c r="A4615" s="1">
        <f>IFERROR(__xludf.DUMMYFUNCTION("""COMPUTED_VALUE"""),89178.0)</f>
        <v>89178</v>
      </c>
      <c r="B4615" s="5">
        <f>IFERROR(__xludf.DUMMYFUNCTION("""COMPUTED_VALUE"""),45019.45994822917)</f>
        <v>45019.45995</v>
      </c>
      <c r="C4615" s="1" t="str">
        <f>IFERROR(__xludf.DUMMYFUNCTION("""COMPUTED_VALUE"""),"OLGUIN JEREMIAS")</f>
        <v>OLGUIN JEREMIAS</v>
      </c>
      <c r="D4615" s="1" t="str">
        <f>IFERROR(__xludf.DUMMYFUNCTION("""COMPUTED_VALUE"""),"Lentes de STOCK")</f>
        <v>Lentes de STOCK</v>
      </c>
      <c r="E4615" s="1" t="str">
        <f>IFERROR(__xludf.DUMMYFUNCTION("""COMPUTED_VALUE"""),"RIVADAVIA Santiago LOPEZ")</f>
        <v>RIVADAVIA Santiago LOPEZ</v>
      </c>
      <c r="F4615" s="1" t="str">
        <f t="shared" si="1"/>
        <v>RIVADAVIA </v>
      </c>
      <c r="G4615" s="1" t="str">
        <f t="shared" si="2"/>
        <v>Santiago LOPEZ</v>
      </c>
      <c r="H4615" s="1" t="str">
        <f>IFERROR(__xludf.DUMMYFUNCTION("""COMPUTED_VALUE"""),"6/4/2023, 17:00:00")</f>
        <v>6/4/2023, 17:00:00</v>
      </c>
      <c r="I4615" s="1" t="str">
        <f>IFERROR(__xludf.DUMMYFUNCTION("""COMPUTED_VALUE"""),"Completado en SUCURSAL")</f>
        <v>Completado en SUCURSAL</v>
      </c>
      <c r="J4615" s="1">
        <f t="shared" si="3"/>
        <v>5</v>
      </c>
      <c r="K4615" s="1" t="str">
        <f t="shared" si="4"/>
        <v>Tus Lentes estan LISTAS PARA ENTREGAR, te esperamos.</v>
      </c>
    </row>
    <row r="4616">
      <c r="A4616" s="1">
        <f>IFERROR(__xludf.DUMMYFUNCTION("""COMPUTED_VALUE"""),89179.0)</f>
        <v>89179</v>
      </c>
      <c r="B4616" s="5">
        <f>IFERROR(__xludf.DUMMYFUNCTION("""COMPUTED_VALUE"""),45019.46343847222)</f>
        <v>45019.46344</v>
      </c>
      <c r="C4616" s="1" t="str">
        <f>IFERROR(__xludf.DUMMYFUNCTION("""COMPUTED_VALUE"""),"ROMERO ALICIA")</f>
        <v>ROMERO ALICIA</v>
      </c>
      <c r="D4616" s="1" t="str">
        <f>IFERROR(__xludf.DUMMYFUNCTION("""COMPUTED_VALUE"""),"Lentes MULTIFOCALES")</f>
        <v>Lentes MULTIFOCALES</v>
      </c>
      <c r="E4616" s="1" t="str">
        <f>IFERROR(__xludf.DUMMYFUNCTION("""COMPUTED_VALUE"""),"RIVADAVIA Christian C.")</f>
        <v>RIVADAVIA Christian C.</v>
      </c>
      <c r="F4616" s="1" t="str">
        <f t="shared" si="1"/>
        <v>RIVADAVIA </v>
      </c>
      <c r="G4616" s="1" t="str">
        <f t="shared" si="2"/>
        <v>Christian C.</v>
      </c>
      <c r="H4616" s="1" t="str">
        <f>IFERROR(__xludf.DUMMYFUNCTION("""COMPUTED_VALUE"""),"19/4/2023, 17:00:00")</f>
        <v>19/4/2023, 17:00:00</v>
      </c>
      <c r="I4616" s="1" t="str">
        <f>IFERROR(__xludf.DUMMYFUNCTION("""COMPUTED_VALUE"""),"Completado en SUCURSAL")</f>
        <v>Completado en SUCURSAL</v>
      </c>
      <c r="J4616" s="1">
        <f t="shared" si="3"/>
        <v>5</v>
      </c>
      <c r="K4616" s="1" t="str">
        <f t="shared" si="4"/>
        <v>Tus Lentes estan LISTAS PARA ENTREGAR, te esperamos.</v>
      </c>
    </row>
    <row r="4617">
      <c r="A4617" s="1">
        <f>IFERROR(__xludf.DUMMYFUNCTION("""COMPUTED_VALUE"""),89180.0)</f>
        <v>89180</v>
      </c>
      <c r="B4617" s="5">
        <f>IFERROR(__xludf.DUMMYFUNCTION("""COMPUTED_VALUE"""),45019.467524039355)</f>
        <v>45019.46752</v>
      </c>
      <c r="C4617" s="1" t="str">
        <f>IFERROR(__xludf.DUMMYFUNCTION("""COMPUTED_VALUE"""),"CARLETTI GRACIELA")</f>
        <v>CARLETTI GRACIELA</v>
      </c>
      <c r="D4617" s="1" t="str">
        <f>IFERROR(__xludf.DUMMYFUNCTION("""COMPUTED_VALUE"""),"Reparaciones/Otros")</f>
        <v>Reparaciones/Otros</v>
      </c>
      <c r="E4617" s="1" t="str">
        <f>IFERROR(__xludf.DUMMYFUNCTION("""COMPUTED_VALUE"""),"RIVADAVIA Marcela L")</f>
        <v>RIVADAVIA Marcela L</v>
      </c>
      <c r="F4617" s="1" t="str">
        <f t="shared" si="1"/>
        <v>RIVADAVIA </v>
      </c>
      <c r="G4617" s="1" t="str">
        <f t="shared" si="2"/>
        <v>Marcela L</v>
      </c>
      <c r="H4617" s="1" t="str">
        <f>IFERROR(__xludf.DUMMYFUNCTION("""COMPUTED_VALUE"""),"4/4/2023, 17:00:00")</f>
        <v>4/4/2023, 17:00:00</v>
      </c>
      <c r="I4617" s="1" t="str">
        <f>IFERROR(__xludf.DUMMYFUNCTION("""COMPUTED_VALUE"""),"Completado en SUCURSAL")</f>
        <v>Completado en SUCURSAL</v>
      </c>
      <c r="J4617" s="1">
        <f t="shared" si="3"/>
        <v>5</v>
      </c>
      <c r="K4617" s="1" t="str">
        <f t="shared" si="4"/>
        <v>Tus Lentes estan LISTAS PARA ENTREGAR, te esperamos.</v>
      </c>
    </row>
    <row r="4618">
      <c r="A4618" s="1">
        <f>IFERROR(__xludf.DUMMYFUNCTION("""COMPUTED_VALUE"""),89181.0)</f>
        <v>89181</v>
      </c>
      <c r="B4618" s="5">
        <f>IFERROR(__xludf.DUMMYFUNCTION("""COMPUTED_VALUE"""),45019.473302025464)</f>
        <v>45019.4733</v>
      </c>
      <c r="C4618" s="1" t="str">
        <f>IFERROR(__xludf.DUMMYFUNCTION("""COMPUTED_VALUE"""),"sosa lucila")</f>
        <v>sosa lucila</v>
      </c>
      <c r="D4618" s="1" t="str">
        <f>IFERROR(__xludf.DUMMYFUNCTION("""COMPUTED_VALUE"""),"Lentes de STOCK")</f>
        <v>Lentes de STOCK</v>
      </c>
      <c r="E4618" s="1" t="str">
        <f>IFERROR(__xludf.DUMMYFUNCTION("""COMPUTED_VALUE"""),"RIVADAVIA Luciana")</f>
        <v>RIVADAVIA Luciana</v>
      </c>
      <c r="F4618" s="1" t="str">
        <f t="shared" si="1"/>
        <v>RIVADAVIA </v>
      </c>
      <c r="G4618" s="1" t="str">
        <f t="shared" si="2"/>
        <v>Luciana</v>
      </c>
      <c r="H4618" s="1" t="str">
        <f>IFERROR(__xludf.DUMMYFUNCTION("""COMPUTED_VALUE"""),"6/4/2023, 17:00:00")</f>
        <v>6/4/2023, 17:00:00</v>
      </c>
      <c r="I4618" s="1" t="str">
        <f>IFERROR(__xludf.DUMMYFUNCTION("""COMPUTED_VALUE"""),"Completado en SUCURSAL")</f>
        <v>Completado en SUCURSAL</v>
      </c>
      <c r="J4618" s="1">
        <f t="shared" si="3"/>
        <v>5</v>
      </c>
      <c r="K4618" s="1" t="str">
        <f t="shared" si="4"/>
        <v>Tus Lentes estan LISTAS PARA ENTREGAR, te esperamos.</v>
      </c>
    </row>
    <row r="4619">
      <c r="A4619" s="1">
        <f>IFERROR(__xludf.DUMMYFUNCTION("""COMPUTED_VALUE"""),89182.0)</f>
        <v>89182</v>
      </c>
      <c r="B4619" s="5">
        <f>IFERROR(__xludf.DUMMYFUNCTION("""COMPUTED_VALUE"""),45019.47541829861)</f>
        <v>45019.47542</v>
      </c>
      <c r="C4619" s="1" t="str">
        <f>IFERROR(__xludf.DUMMYFUNCTION("""COMPUTED_VALUE"""),"castro thiago")</f>
        <v>castro thiago</v>
      </c>
      <c r="D4619" s="1" t="str">
        <f>IFERROR(__xludf.DUMMYFUNCTION("""COMPUTED_VALUE"""),"Lentes de LABORATORIO")</f>
        <v>Lentes de LABORATORIO</v>
      </c>
      <c r="E4619" s="1" t="str">
        <f>IFERROR(__xludf.DUMMYFUNCTION("""COMPUTED_VALUE"""),"RIVADAVIA Daniel CM")</f>
        <v>RIVADAVIA Daniel CM</v>
      </c>
      <c r="F4619" s="1" t="str">
        <f t="shared" si="1"/>
        <v>RIVADAVIA </v>
      </c>
      <c r="G4619" s="1" t="str">
        <f t="shared" si="2"/>
        <v>Daniel CM</v>
      </c>
      <c r="H4619" s="1" t="str">
        <f>IFERROR(__xludf.DUMMYFUNCTION("""COMPUTED_VALUE"""),"14/4/2023, 17:00:00")</f>
        <v>14/4/2023, 17:00:00</v>
      </c>
      <c r="I4619" s="1" t="str">
        <f>IFERROR(__xludf.DUMMYFUNCTION("""COMPUTED_VALUE"""),"Completado en SUCURSAL")</f>
        <v>Completado en SUCURSAL</v>
      </c>
      <c r="J4619" s="1">
        <f t="shared" si="3"/>
        <v>5</v>
      </c>
      <c r="K4619" s="1" t="str">
        <f t="shared" si="4"/>
        <v>Tus Lentes estan LISTAS PARA ENTREGAR, te esperamos.</v>
      </c>
    </row>
    <row r="4620">
      <c r="A4620" s="1">
        <f>IFERROR(__xludf.DUMMYFUNCTION("""COMPUTED_VALUE"""),89183.0)</f>
        <v>89183</v>
      </c>
      <c r="B4620" s="5">
        <f>IFERROR(__xludf.DUMMYFUNCTION("""COMPUTED_VALUE"""),45019.47922153935)</f>
        <v>45019.47922</v>
      </c>
      <c r="C4620" s="1" t="str">
        <f>IFERROR(__xludf.DUMMYFUNCTION("""COMPUTED_VALUE"""),"Lucero Lucas")</f>
        <v>Lucero Lucas</v>
      </c>
      <c r="D4620" s="1" t="str">
        <f>IFERROR(__xludf.DUMMYFUNCTION("""COMPUTED_VALUE"""),"Reparaciones/Otros")</f>
        <v>Reparaciones/Otros</v>
      </c>
      <c r="E4620" s="1" t="str">
        <f>IFERROR(__xludf.DUMMYFUNCTION("""COMPUTED_VALUE"""),"ARTIGAS Sandra G")</f>
        <v>ARTIGAS Sandra G</v>
      </c>
      <c r="F4620" s="1" t="str">
        <f t="shared" si="1"/>
        <v>ARTIGAS </v>
      </c>
      <c r="G4620" s="1" t="str">
        <f t="shared" si="2"/>
        <v>Sandra G</v>
      </c>
      <c r="H4620" s="1" t="str">
        <f>IFERROR(__xludf.DUMMYFUNCTION("""COMPUTED_VALUE"""),"5/4/2023, 17:00:00")</f>
        <v>5/4/2023, 17:00:00</v>
      </c>
      <c r="I4620" s="1" t="str">
        <f>IFERROR(__xludf.DUMMYFUNCTION("""COMPUTED_VALUE"""),"Completado en SUCURSAL")</f>
        <v>Completado en SUCURSAL</v>
      </c>
      <c r="J4620" s="1">
        <f t="shared" si="3"/>
        <v>5</v>
      </c>
      <c r="K4620" s="1" t="str">
        <f t="shared" si="4"/>
        <v>Tus Lentes estan LISTAS PARA ENTREGAR, te esperamos.</v>
      </c>
    </row>
    <row r="4621">
      <c r="A4621" s="1">
        <f>IFERROR(__xludf.DUMMYFUNCTION("""COMPUTED_VALUE"""),89184.0)</f>
        <v>89184</v>
      </c>
      <c r="B4621" s="5">
        <f>IFERROR(__xludf.DUMMYFUNCTION("""COMPUTED_VALUE"""),45019.47968979167)</f>
        <v>45019.47969</v>
      </c>
      <c r="C4621" s="1" t="str">
        <f>IFERROR(__xludf.DUMMYFUNCTION("""COMPUTED_VALUE"""),"MARTINEZ ROBERTO JAVIER")</f>
        <v>MARTINEZ ROBERTO JAVIER</v>
      </c>
      <c r="D4621" s="1" t="str">
        <f>IFERROR(__xludf.DUMMYFUNCTION("""COMPUTED_VALUE"""),"Lentes de STOCK")</f>
        <v>Lentes de STOCK</v>
      </c>
      <c r="E4621" s="1" t="str">
        <f>IFERROR(__xludf.DUMMYFUNCTION("""COMPUTED_VALUE"""),"RIVADAVIA Christian C.")</f>
        <v>RIVADAVIA Christian C.</v>
      </c>
      <c r="F4621" s="1" t="str">
        <f t="shared" si="1"/>
        <v>RIVADAVIA </v>
      </c>
      <c r="G4621" s="1" t="str">
        <f t="shared" si="2"/>
        <v>Christian C.</v>
      </c>
      <c r="H4621" s="1" t="str">
        <f>IFERROR(__xludf.DUMMYFUNCTION("""COMPUTED_VALUE"""),"10/4/2023, 17:00:00")</f>
        <v>10/4/2023, 17:00:00</v>
      </c>
      <c r="I4621" s="1" t="str">
        <f>IFERROR(__xludf.DUMMYFUNCTION("""COMPUTED_VALUE"""),"Completado en SUCURSAL")</f>
        <v>Completado en SUCURSAL</v>
      </c>
      <c r="J4621" s="1">
        <f t="shared" si="3"/>
        <v>5</v>
      </c>
      <c r="K4621" s="1" t="str">
        <f t="shared" si="4"/>
        <v>Tus Lentes estan LISTAS PARA ENTREGAR, te esperamos.</v>
      </c>
    </row>
    <row r="4622">
      <c r="A4622" s="1">
        <f>IFERROR(__xludf.DUMMYFUNCTION("""COMPUTED_VALUE"""),89185.0)</f>
        <v>89185</v>
      </c>
      <c r="B4622" s="5">
        <f>IFERROR(__xludf.DUMMYFUNCTION("""COMPUTED_VALUE"""),45019.483714710645)</f>
        <v>45019.48371</v>
      </c>
      <c r="C4622" s="1" t="str">
        <f>IFERROR(__xludf.DUMMYFUNCTION("""COMPUTED_VALUE"""),"GOMINA EDUARDO")</f>
        <v>GOMINA EDUARDO</v>
      </c>
      <c r="D4622" s="1" t="str">
        <f>IFERROR(__xludf.DUMMYFUNCTION("""COMPUTED_VALUE"""),"Lentes de STOCK")</f>
        <v>Lentes de STOCK</v>
      </c>
      <c r="E4622" s="1" t="str">
        <f>IFERROR(__xludf.DUMMYFUNCTION("""COMPUTED_VALUE"""),"RIVADAVIA Santiago N")</f>
        <v>RIVADAVIA Santiago N</v>
      </c>
      <c r="F4622" s="1" t="str">
        <f t="shared" si="1"/>
        <v>RIVADAVIA </v>
      </c>
      <c r="G4622" s="1" t="str">
        <f t="shared" si="2"/>
        <v>Santiago N</v>
      </c>
      <c r="H4622" s="1" t="str">
        <f>IFERROR(__xludf.DUMMYFUNCTION("""COMPUTED_VALUE"""),"6/4/2023, 17:00:00")</f>
        <v>6/4/2023, 17:00:00</v>
      </c>
      <c r="I4622" s="1" t="str">
        <f>IFERROR(__xludf.DUMMYFUNCTION("""COMPUTED_VALUE"""),"Completado en SUCURSAL")</f>
        <v>Completado en SUCURSAL</v>
      </c>
      <c r="J4622" s="1">
        <f t="shared" si="3"/>
        <v>5</v>
      </c>
      <c r="K4622" s="1" t="str">
        <f t="shared" si="4"/>
        <v>Tus Lentes estan LISTAS PARA ENTREGAR, te esperamos.</v>
      </c>
    </row>
    <row r="4623">
      <c r="A4623" s="1">
        <f>IFERROR(__xludf.DUMMYFUNCTION("""COMPUTED_VALUE"""),89186.0)</f>
        <v>89186</v>
      </c>
      <c r="B4623" s="5">
        <f>IFERROR(__xludf.DUMMYFUNCTION("""COMPUTED_VALUE"""),45019.49223321759)</f>
        <v>45019.49223</v>
      </c>
      <c r="C4623" s="1" t="str">
        <f>IFERROR(__xludf.DUMMYFUNCTION("""COMPUTED_VALUE"""),"ARO TICONA JOSE")</f>
        <v>ARO TICONA JOSE</v>
      </c>
      <c r="D4623" s="1" t="str">
        <f>IFERROR(__xludf.DUMMYFUNCTION("""COMPUTED_VALUE"""),"Reparaciones/Otros")</f>
        <v>Reparaciones/Otros</v>
      </c>
      <c r="E4623" s="1" t="str">
        <f>IFERROR(__xludf.DUMMYFUNCTION("""COMPUTED_VALUE"""),"ARTIGAS Roció")</f>
        <v>ARTIGAS Roció</v>
      </c>
      <c r="F4623" s="1" t="str">
        <f t="shared" si="1"/>
        <v>ARTIGAS </v>
      </c>
      <c r="G4623" s="1" t="str">
        <f t="shared" si="2"/>
        <v>Roció</v>
      </c>
      <c r="H4623" s="1" t="str">
        <f>IFERROR(__xludf.DUMMYFUNCTION("""COMPUTED_VALUE"""),"4/4/2023, 17:00:00")</f>
        <v>4/4/2023, 17:00:00</v>
      </c>
      <c r="I4623" s="1" t="str">
        <f>IFERROR(__xludf.DUMMYFUNCTION("""COMPUTED_VALUE"""),"Completado en SUCURSAL")</f>
        <v>Completado en SUCURSAL</v>
      </c>
      <c r="J4623" s="1">
        <f t="shared" si="3"/>
        <v>5</v>
      </c>
      <c r="K4623" s="1" t="str">
        <f t="shared" si="4"/>
        <v>Tus Lentes estan LISTAS PARA ENTREGAR, te esperamos.</v>
      </c>
    </row>
    <row r="4624">
      <c r="A4624" s="1">
        <f>IFERROR(__xludf.DUMMYFUNCTION("""COMPUTED_VALUE"""),89187.0)</f>
        <v>89187</v>
      </c>
      <c r="B4624" s="5">
        <f>IFERROR(__xludf.DUMMYFUNCTION("""COMPUTED_VALUE"""),45019.503214861106)</f>
        <v>45019.50321</v>
      </c>
      <c r="C4624" s="1" t="str">
        <f>IFERROR(__xludf.DUMMYFUNCTION("""COMPUTED_VALUE"""),"MONTENEGRO JAQUELINA")</f>
        <v>MONTENEGRO JAQUELINA</v>
      </c>
      <c r="D4624" s="1" t="str">
        <f>IFERROR(__xludf.DUMMYFUNCTION("""COMPUTED_VALUE"""),"Lentes MULTIFOCALES")</f>
        <v>Lentes MULTIFOCALES</v>
      </c>
      <c r="E4624" s="1" t="str">
        <f>IFERROR(__xludf.DUMMYFUNCTION("""COMPUTED_VALUE"""),"RIVADAVIA Christian C.")</f>
        <v>RIVADAVIA Christian C.</v>
      </c>
      <c r="F4624" s="1" t="str">
        <f t="shared" si="1"/>
        <v>RIVADAVIA </v>
      </c>
      <c r="G4624" s="1" t="str">
        <f t="shared" si="2"/>
        <v>Christian C.</v>
      </c>
      <c r="H4624" s="1" t="str">
        <f>IFERROR(__xludf.DUMMYFUNCTION("""COMPUTED_VALUE"""),"12/4/2023, 17:00:00")</f>
        <v>12/4/2023, 17:00:00</v>
      </c>
      <c r="I4624" s="1" t="str">
        <f>IFERROR(__xludf.DUMMYFUNCTION("""COMPUTED_VALUE"""),"Completado en SUCURSAL")</f>
        <v>Completado en SUCURSAL</v>
      </c>
      <c r="J4624" s="1">
        <f t="shared" si="3"/>
        <v>5</v>
      </c>
      <c r="K4624" s="1" t="str">
        <f t="shared" si="4"/>
        <v>Tus Lentes estan LISTAS PARA ENTREGAR, te esperamos.</v>
      </c>
    </row>
    <row r="4625">
      <c r="A4625" s="1">
        <f>IFERROR(__xludf.DUMMYFUNCTION("""COMPUTED_VALUE"""),89188.0)</f>
        <v>89188</v>
      </c>
      <c r="B4625" s="5">
        <f>IFERROR(__xludf.DUMMYFUNCTION("""COMPUTED_VALUE"""),45019.50323954861)</f>
        <v>45019.50324</v>
      </c>
      <c r="C4625" s="1" t="str">
        <f>IFERROR(__xludf.DUMMYFUNCTION("""COMPUTED_VALUE"""),"Escudero Griselda")</f>
        <v>Escudero Griselda</v>
      </c>
      <c r="D4625" s="1" t="str">
        <f>IFERROR(__xludf.DUMMYFUNCTION("""COMPUTED_VALUE"""),"Reparaciones/Otros")</f>
        <v>Reparaciones/Otros</v>
      </c>
      <c r="E4625" s="1" t="str">
        <f>IFERROR(__xludf.DUMMYFUNCTION("""COMPUTED_VALUE"""),"RIVADAVIA Santiago LOPEZ")</f>
        <v>RIVADAVIA Santiago LOPEZ</v>
      </c>
      <c r="F4625" s="1" t="str">
        <f t="shared" si="1"/>
        <v>RIVADAVIA </v>
      </c>
      <c r="G4625" s="1" t="str">
        <f t="shared" si="2"/>
        <v>Santiago LOPEZ</v>
      </c>
      <c r="H4625" s="1" t="str">
        <f>IFERROR(__xludf.DUMMYFUNCTION("""COMPUTED_VALUE"""),"4/4/2023, 17:00:00")</f>
        <v>4/4/2023, 17:00:00</v>
      </c>
      <c r="I4625" s="1" t="str">
        <f>IFERROR(__xludf.DUMMYFUNCTION("""COMPUTED_VALUE"""),"Completado en SUCURSAL")</f>
        <v>Completado en SUCURSAL</v>
      </c>
      <c r="J4625" s="1">
        <f t="shared" si="3"/>
        <v>5</v>
      </c>
      <c r="K4625" s="1" t="str">
        <f t="shared" si="4"/>
        <v>Tus Lentes estan LISTAS PARA ENTREGAR, te esperamos.</v>
      </c>
    </row>
    <row r="4626">
      <c r="A4626" s="1">
        <f>IFERROR(__xludf.DUMMYFUNCTION("""COMPUTED_VALUE"""),89189.0)</f>
        <v>89189</v>
      </c>
      <c r="B4626" s="5">
        <f>IFERROR(__xludf.DUMMYFUNCTION("""COMPUTED_VALUE"""),45019.51373496528)</f>
        <v>45019.51373</v>
      </c>
      <c r="C4626" s="1" t="str">
        <f>IFERROR(__xludf.DUMMYFUNCTION("""COMPUTED_VALUE"""),"MERCADO LORENA")</f>
        <v>MERCADO LORENA</v>
      </c>
      <c r="D4626" s="1" t="str">
        <f>IFERROR(__xludf.DUMMYFUNCTION("""COMPUTED_VALUE"""),"Lentes de STOCK")</f>
        <v>Lentes de STOCK</v>
      </c>
      <c r="E4626" s="1" t="str">
        <f>IFERROR(__xludf.DUMMYFUNCTION("""COMPUTED_VALUE"""),"ARTIGAS Ivana P.")</f>
        <v>ARTIGAS Ivana P.</v>
      </c>
      <c r="F4626" s="1" t="str">
        <f t="shared" si="1"/>
        <v>ARTIGAS </v>
      </c>
      <c r="G4626" s="1" t="str">
        <f t="shared" si="2"/>
        <v>Ivana P.</v>
      </c>
      <c r="H4626" s="1" t="str">
        <f>IFERROR(__xludf.DUMMYFUNCTION("""COMPUTED_VALUE"""),"5/4/2023, 17:00:00")</f>
        <v>5/4/2023, 17:00:00</v>
      </c>
      <c r="I4626" s="1" t="str">
        <f>IFERROR(__xludf.DUMMYFUNCTION("""COMPUTED_VALUE"""),"Completado en SUCURSAL")</f>
        <v>Completado en SUCURSAL</v>
      </c>
      <c r="J4626" s="1">
        <f t="shared" si="3"/>
        <v>5</v>
      </c>
      <c r="K4626" s="1" t="str">
        <f t="shared" si="4"/>
        <v>Tus Lentes estan LISTAS PARA ENTREGAR, te esperamos.</v>
      </c>
    </row>
    <row r="4627">
      <c r="A4627" s="1">
        <f>IFERROR(__xludf.DUMMYFUNCTION("""COMPUTED_VALUE"""),89190.0)</f>
        <v>89190</v>
      </c>
      <c r="B4627" s="5">
        <f>IFERROR(__xludf.DUMMYFUNCTION("""COMPUTED_VALUE"""),45019.51435462963)</f>
        <v>45019.51435</v>
      </c>
      <c r="C4627" s="1" t="str">
        <f>IFERROR(__xludf.DUMMYFUNCTION("""COMPUTED_VALUE"""),"CADELAGO AMELIA AMADA")</f>
        <v>CADELAGO AMELIA AMADA</v>
      </c>
      <c r="D4627" s="1" t="str">
        <f>IFERROR(__xludf.DUMMYFUNCTION("""COMPUTED_VALUE"""),"Lentes de STOCK")</f>
        <v>Lentes de STOCK</v>
      </c>
      <c r="E4627" s="1" t="str">
        <f>IFERROR(__xludf.DUMMYFUNCTION("""COMPUTED_VALUE"""),"RIVADAVIA Marcela L")</f>
        <v>RIVADAVIA Marcela L</v>
      </c>
      <c r="F4627" s="1" t="str">
        <f t="shared" si="1"/>
        <v>RIVADAVIA </v>
      </c>
      <c r="G4627" s="1" t="str">
        <f t="shared" si="2"/>
        <v>Marcela L</v>
      </c>
      <c r="H4627" s="1" t="str">
        <f>IFERROR(__xludf.DUMMYFUNCTION("""COMPUTED_VALUE"""),"10/4/2023, 17:00:00")</f>
        <v>10/4/2023, 17:00:00</v>
      </c>
      <c r="I4627" s="1" t="str">
        <f>IFERROR(__xludf.DUMMYFUNCTION("""COMPUTED_VALUE"""),"Completado en SUCURSAL")</f>
        <v>Completado en SUCURSAL</v>
      </c>
      <c r="J4627" s="1">
        <f t="shared" si="3"/>
        <v>5</v>
      </c>
      <c r="K4627" s="1" t="str">
        <f t="shared" si="4"/>
        <v>Tus Lentes estan LISTAS PARA ENTREGAR, te esperamos.</v>
      </c>
    </row>
    <row r="4628">
      <c r="A4628" s="1">
        <f>IFERROR(__xludf.DUMMYFUNCTION("""COMPUTED_VALUE"""),89191.0)</f>
        <v>89191</v>
      </c>
      <c r="B4628" s="5">
        <f>IFERROR(__xludf.DUMMYFUNCTION("""COMPUTED_VALUE"""),45019.51758450232)</f>
        <v>45019.51758</v>
      </c>
      <c r="C4628" s="1" t="str">
        <f>IFERROR(__xludf.DUMMYFUNCTION("""COMPUTED_VALUE"""),"ISAGUIRRE CIRO")</f>
        <v>ISAGUIRRE CIRO</v>
      </c>
      <c r="D4628" s="1" t="str">
        <f>IFERROR(__xludf.DUMMYFUNCTION("""COMPUTED_VALUE"""),"Lentes de STOCK")</f>
        <v>Lentes de STOCK</v>
      </c>
      <c r="E4628" s="1" t="str">
        <f>IFERROR(__xludf.DUMMYFUNCTION("""COMPUTED_VALUE"""),"ARTIGAS Roció")</f>
        <v>ARTIGAS Roció</v>
      </c>
      <c r="F4628" s="1" t="str">
        <f t="shared" si="1"/>
        <v>ARTIGAS </v>
      </c>
      <c r="G4628" s="1" t="str">
        <f t="shared" si="2"/>
        <v>Roció</v>
      </c>
      <c r="H4628" s="1" t="str">
        <f>IFERROR(__xludf.DUMMYFUNCTION("""COMPUTED_VALUE"""),"12/4/2023, 17:00:00")</f>
        <v>12/4/2023, 17:00:00</v>
      </c>
      <c r="I4628" s="1" t="str">
        <f>IFERROR(__xludf.DUMMYFUNCTION("""COMPUTED_VALUE"""),"Completado en SUCURSAL")</f>
        <v>Completado en SUCURSAL</v>
      </c>
      <c r="J4628" s="1">
        <f t="shared" si="3"/>
        <v>5</v>
      </c>
      <c r="K4628" s="1" t="str">
        <f t="shared" si="4"/>
        <v>Tus Lentes estan LISTAS PARA ENTREGAR, te esperamos.</v>
      </c>
    </row>
    <row r="4629">
      <c r="A4629" s="1">
        <f>IFERROR(__xludf.DUMMYFUNCTION("""COMPUTED_VALUE"""),89192.0)</f>
        <v>89192</v>
      </c>
      <c r="B4629" s="5">
        <f>IFERROR(__xludf.DUMMYFUNCTION("""COMPUTED_VALUE"""),45019.52045002315)</f>
        <v>45019.52045</v>
      </c>
      <c r="C4629" s="1" t="str">
        <f>IFERROR(__xludf.DUMMYFUNCTION("""COMPUTED_VALUE"""),"KOWALISZYN BELEN ")</f>
        <v>KOWALISZYN BELEN </v>
      </c>
      <c r="D4629" s="1" t="str">
        <f>IFERROR(__xludf.DUMMYFUNCTION("""COMPUTED_VALUE"""),"Reparaciones/Otros")</f>
        <v>Reparaciones/Otros</v>
      </c>
      <c r="E4629" s="1" t="str">
        <f>IFERROR(__xludf.DUMMYFUNCTION("""COMPUTED_VALUE"""),"RIVADAVIA Christian C.")</f>
        <v>RIVADAVIA Christian C.</v>
      </c>
      <c r="F4629" s="1" t="str">
        <f t="shared" si="1"/>
        <v>RIVADAVIA </v>
      </c>
      <c r="G4629" s="1" t="str">
        <f t="shared" si="2"/>
        <v>Christian C.</v>
      </c>
      <c r="H4629" s="1" t="str">
        <f>IFERROR(__xludf.DUMMYFUNCTION("""COMPUTED_VALUE"""),"5/4/2023, 17:00:00")</f>
        <v>5/4/2023, 17:00:00</v>
      </c>
      <c r="I4629" s="1" t="str">
        <f>IFERROR(__xludf.DUMMYFUNCTION("""COMPUTED_VALUE"""),"Completado en SUCURSAL")</f>
        <v>Completado en SUCURSAL</v>
      </c>
      <c r="J4629" s="1">
        <f t="shared" si="3"/>
        <v>5</v>
      </c>
      <c r="K4629" s="1" t="str">
        <f t="shared" si="4"/>
        <v>Tus Lentes estan LISTAS PARA ENTREGAR, te esperamos.</v>
      </c>
    </row>
    <row r="4630">
      <c r="A4630" s="1">
        <f>IFERROR(__xludf.DUMMYFUNCTION("""COMPUTED_VALUE"""),89193.0)</f>
        <v>89193</v>
      </c>
      <c r="B4630" s="5">
        <f>IFERROR(__xludf.DUMMYFUNCTION("""COMPUTED_VALUE"""),45019.523660798615)</f>
        <v>45019.52366</v>
      </c>
      <c r="C4630" s="1" t="str">
        <f>IFERROR(__xludf.DUMMYFUNCTION("""COMPUTED_VALUE"""),"MAYORGA SHANIA")</f>
        <v>MAYORGA SHANIA</v>
      </c>
      <c r="D4630" s="1" t="str">
        <f>IFERROR(__xludf.DUMMYFUNCTION("""COMPUTED_VALUE"""),"Lentes de STOCK")</f>
        <v>Lentes de STOCK</v>
      </c>
      <c r="E4630" s="1" t="str">
        <f>IFERROR(__xludf.DUMMYFUNCTION("""COMPUTED_VALUE"""),"ARTIGAS Roció")</f>
        <v>ARTIGAS Roció</v>
      </c>
      <c r="F4630" s="1" t="str">
        <f t="shared" si="1"/>
        <v>ARTIGAS </v>
      </c>
      <c r="G4630" s="1" t="str">
        <f t="shared" si="2"/>
        <v>Roció</v>
      </c>
      <c r="H4630" s="1" t="str">
        <f>IFERROR(__xludf.DUMMYFUNCTION("""COMPUTED_VALUE"""),"14/4/2023, 17:00:00")</f>
        <v>14/4/2023, 17:00:00</v>
      </c>
      <c r="I4630" s="1" t="str">
        <f>IFERROR(__xludf.DUMMYFUNCTION("""COMPUTED_VALUE"""),"Completado en SUCURSAL")</f>
        <v>Completado en SUCURSAL</v>
      </c>
      <c r="J4630" s="1">
        <f t="shared" si="3"/>
        <v>5</v>
      </c>
      <c r="K4630" s="1" t="str">
        <f t="shared" si="4"/>
        <v>Tus Lentes estan LISTAS PARA ENTREGAR, te esperamos.</v>
      </c>
    </row>
    <row r="4631">
      <c r="A4631" s="1">
        <f>IFERROR(__xludf.DUMMYFUNCTION("""COMPUTED_VALUE"""),89194.0)</f>
        <v>89194</v>
      </c>
      <c r="B4631" s="5">
        <f>IFERROR(__xludf.DUMMYFUNCTION("""COMPUTED_VALUE"""),45019.52779101852)</f>
        <v>45019.52779</v>
      </c>
      <c r="C4631" s="1" t="str">
        <f>IFERROR(__xludf.DUMMYFUNCTION("""COMPUTED_VALUE"""),"LUCIONI LEDESMA JARED")</f>
        <v>LUCIONI LEDESMA JARED</v>
      </c>
      <c r="D4631" s="1" t="str">
        <f>IFERROR(__xludf.DUMMYFUNCTION("""COMPUTED_VALUE"""),"Lentes de STOCK")</f>
        <v>Lentes de STOCK</v>
      </c>
      <c r="E4631" s="1" t="str">
        <f>IFERROR(__xludf.DUMMYFUNCTION("""COMPUTED_VALUE"""),"RIVADAVIA Luciana")</f>
        <v>RIVADAVIA Luciana</v>
      </c>
      <c r="F4631" s="1" t="str">
        <f t="shared" si="1"/>
        <v>RIVADAVIA </v>
      </c>
      <c r="G4631" s="1" t="str">
        <f t="shared" si="2"/>
        <v>Luciana</v>
      </c>
      <c r="H4631" s="1" t="str">
        <f>IFERROR(__xludf.DUMMYFUNCTION("""COMPUTED_VALUE"""),"10/4/2023, 17:00:00")</f>
        <v>10/4/2023, 17:00:00</v>
      </c>
      <c r="I4631" s="1" t="str">
        <f>IFERROR(__xludf.DUMMYFUNCTION("""COMPUTED_VALUE"""),"RETIRADO OK POR CLIENTE")</f>
        <v>RETIRADO OK POR CLIENTE</v>
      </c>
      <c r="J4631" s="1">
        <f t="shared" si="3"/>
        <v>6</v>
      </c>
      <c r="K4631" s="1" t="str">
        <f t="shared" si="4"/>
        <v>Entregamos tus lentes, que los disfrutes!</v>
      </c>
    </row>
    <row r="4632">
      <c r="A4632" s="1">
        <f>IFERROR(__xludf.DUMMYFUNCTION("""COMPUTED_VALUE"""),89195.0)</f>
        <v>89195</v>
      </c>
      <c r="B4632" s="5">
        <f>IFERROR(__xludf.DUMMYFUNCTION("""COMPUTED_VALUE"""),45019.52999983796)</f>
        <v>45019.53</v>
      </c>
      <c r="C4632" s="1" t="str">
        <f>IFERROR(__xludf.DUMMYFUNCTION("""COMPUTED_VALUE"""),"GAUNA MARTA")</f>
        <v>GAUNA MARTA</v>
      </c>
      <c r="D4632" s="1" t="str">
        <f>IFERROR(__xludf.DUMMYFUNCTION("""COMPUTED_VALUE"""),"Lentes de STOCK")</f>
        <v>Lentes de STOCK</v>
      </c>
      <c r="E4632" s="1" t="str">
        <f>IFERROR(__xludf.DUMMYFUNCTION("""COMPUTED_VALUE"""),"ARTIGAS Ivana P.")</f>
        <v>ARTIGAS Ivana P.</v>
      </c>
      <c r="F4632" s="1" t="str">
        <f t="shared" si="1"/>
        <v>ARTIGAS </v>
      </c>
      <c r="G4632" s="1" t="str">
        <f t="shared" si="2"/>
        <v>Ivana P.</v>
      </c>
      <c r="H4632" s="1" t="str">
        <f>IFERROR(__xludf.DUMMYFUNCTION("""COMPUTED_VALUE"""),"5/4/2023, 17:00:00")</f>
        <v>5/4/2023, 17:00:00</v>
      </c>
      <c r="I4632" s="1" t="str">
        <f>IFERROR(__xludf.DUMMYFUNCTION("""COMPUTED_VALUE"""),"RETIRADO OK POR CLIENTE")</f>
        <v>RETIRADO OK POR CLIENTE</v>
      </c>
      <c r="J4632" s="1">
        <f t="shared" si="3"/>
        <v>6</v>
      </c>
      <c r="K4632" s="1" t="str">
        <f t="shared" si="4"/>
        <v>Entregamos tus lentes, que los disfrutes!</v>
      </c>
    </row>
    <row r="4633">
      <c r="A4633" s="1">
        <f>IFERROR(__xludf.DUMMYFUNCTION("""COMPUTED_VALUE"""),89196.0)</f>
        <v>89196</v>
      </c>
      <c r="B4633" s="5">
        <f>IFERROR(__xludf.DUMMYFUNCTION("""COMPUTED_VALUE"""),45019.535025370365)</f>
        <v>45019.53503</v>
      </c>
      <c r="C4633" s="1" t="str">
        <f>IFERROR(__xludf.DUMMYFUNCTION("""COMPUTED_VALUE"""),"FERNANDEZ PATRICIA")</f>
        <v>FERNANDEZ PATRICIA</v>
      </c>
      <c r="D4633" s="1" t="str">
        <f>IFERROR(__xludf.DUMMYFUNCTION("""COMPUTED_VALUE"""),"Lentes BIFOCALES")</f>
        <v>Lentes BIFOCALES</v>
      </c>
      <c r="E4633" s="1" t="str">
        <f>IFERROR(__xludf.DUMMYFUNCTION("""COMPUTED_VALUE"""),"RIVADAVIA Santiago LOPEZ")</f>
        <v>RIVADAVIA Santiago LOPEZ</v>
      </c>
      <c r="F4633" s="1" t="str">
        <f t="shared" si="1"/>
        <v>RIVADAVIA </v>
      </c>
      <c r="G4633" s="1" t="str">
        <f t="shared" si="2"/>
        <v>Santiago LOPEZ</v>
      </c>
      <c r="H4633" s="1" t="str">
        <f>IFERROR(__xludf.DUMMYFUNCTION("""COMPUTED_VALUE"""),"6/4/2023, 17:00:00")</f>
        <v>6/4/2023, 17:00:00</v>
      </c>
      <c r="I4633" s="1" t="str">
        <f>IFERROR(__xludf.DUMMYFUNCTION("""COMPUTED_VALUE"""),"RETIRADO OK POR CLIENTE")</f>
        <v>RETIRADO OK POR CLIENTE</v>
      </c>
      <c r="J4633" s="1">
        <f t="shared" si="3"/>
        <v>6</v>
      </c>
      <c r="K4633" s="1" t="str">
        <f t="shared" si="4"/>
        <v>Entregamos tus lentes, que los disfrutes!</v>
      </c>
    </row>
    <row r="4634">
      <c r="A4634" s="1">
        <f>IFERROR(__xludf.DUMMYFUNCTION("""COMPUTED_VALUE"""),89197.0)</f>
        <v>89197</v>
      </c>
      <c r="B4634" s="5">
        <f>IFERROR(__xludf.DUMMYFUNCTION("""COMPUTED_VALUE"""),45019.53573081018)</f>
        <v>45019.53573</v>
      </c>
      <c r="C4634" s="1" t="str">
        <f>IFERROR(__xludf.DUMMYFUNCTION("""COMPUTED_VALUE"""),"CARRERAS MYRIAM GLADYS")</f>
        <v>CARRERAS MYRIAM GLADYS</v>
      </c>
      <c r="D4634" s="1" t="str">
        <f>IFERROR(__xludf.DUMMYFUNCTION("""COMPUTED_VALUE"""),"Lentes de STOCK")</f>
        <v>Lentes de STOCK</v>
      </c>
      <c r="E4634" s="1" t="str">
        <f>IFERROR(__xludf.DUMMYFUNCTION("""COMPUTED_VALUE"""),"ARTIGAS Roció")</f>
        <v>ARTIGAS Roció</v>
      </c>
      <c r="F4634" s="1" t="str">
        <f t="shared" si="1"/>
        <v>ARTIGAS </v>
      </c>
      <c r="G4634" s="1" t="str">
        <f t="shared" si="2"/>
        <v>Roció</v>
      </c>
      <c r="H4634" s="1" t="str">
        <f>IFERROR(__xludf.DUMMYFUNCTION("""COMPUTED_VALUE"""),"14/4/2023, 17:00:00")</f>
        <v>14/4/2023, 17:00:00</v>
      </c>
      <c r="I4634" s="1" t="str">
        <f>IFERROR(__xludf.DUMMYFUNCTION("""COMPUTED_VALUE"""),"Completado en SUCURSAL")</f>
        <v>Completado en SUCURSAL</v>
      </c>
      <c r="J4634" s="1">
        <f t="shared" si="3"/>
        <v>5</v>
      </c>
      <c r="K4634" s="1" t="str">
        <f t="shared" si="4"/>
        <v>Tus Lentes estan LISTAS PARA ENTREGAR, te esperamos.</v>
      </c>
    </row>
    <row r="4635">
      <c r="A4635" s="1">
        <f>IFERROR(__xludf.DUMMYFUNCTION("""COMPUTED_VALUE"""),89198.0)</f>
        <v>89198</v>
      </c>
      <c r="B4635" s="5">
        <f>IFERROR(__xludf.DUMMYFUNCTION("""COMPUTED_VALUE"""),45019.54294225694)</f>
        <v>45019.54294</v>
      </c>
      <c r="C4635" s="1" t="str">
        <f>IFERROR(__xludf.DUMMYFUNCTION("""COMPUTED_VALUE"""),"LUCERO IRMA AISE")</f>
        <v>LUCERO IRMA AISE</v>
      </c>
      <c r="D4635" s="1" t="str">
        <f>IFERROR(__xludf.DUMMYFUNCTION("""COMPUTED_VALUE"""),"Lentes de STOCK")</f>
        <v>Lentes de STOCK</v>
      </c>
      <c r="E4635" s="1" t="str">
        <f>IFERROR(__xludf.DUMMYFUNCTION("""COMPUTED_VALUE"""),"RIVADAVIA Santiago LOPEZ")</f>
        <v>RIVADAVIA Santiago LOPEZ</v>
      </c>
      <c r="F4635" s="1" t="str">
        <f t="shared" si="1"/>
        <v>RIVADAVIA </v>
      </c>
      <c r="G4635" s="1" t="str">
        <f t="shared" si="2"/>
        <v>Santiago LOPEZ</v>
      </c>
      <c r="H4635" s="1" t="str">
        <f>IFERROR(__xludf.DUMMYFUNCTION("""COMPUTED_VALUE"""),"5/4/2023, 17:00:00")</f>
        <v>5/4/2023, 17:00:00</v>
      </c>
      <c r="I4635" s="1" t="str">
        <f>IFERROR(__xludf.DUMMYFUNCTION("""COMPUTED_VALUE"""),"Completado en SUCURSAL")</f>
        <v>Completado en SUCURSAL</v>
      </c>
      <c r="J4635" s="1">
        <f t="shared" si="3"/>
        <v>5</v>
      </c>
      <c r="K4635" s="1" t="str">
        <f t="shared" si="4"/>
        <v>Tus Lentes estan LISTAS PARA ENTREGAR, te esperamos.</v>
      </c>
    </row>
    <row r="4636">
      <c r="A4636" s="1">
        <f>IFERROR(__xludf.DUMMYFUNCTION("""COMPUTED_VALUE"""),89199.0)</f>
        <v>89199</v>
      </c>
      <c r="B4636" s="5">
        <f>IFERROR(__xludf.DUMMYFUNCTION("""COMPUTED_VALUE"""),45019.5457237963)</f>
        <v>45019.54572</v>
      </c>
      <c r="C4636" s="1" t="str">
        <f>IFERROR(__xludf.DUMMYFUNCTION("""COMPUTED_VALUE"""),"FERNANDEZ GRACIELA NOEMI ")</f>
        <v>FERNANDEZ GRACIELA NOEMI </v>
      </c>
      <c r="D4636" s="1" t="str">
        <f>IFERROR(__xludf.DUMMYFUNCTION("""COMPUTED_VALUE"""),"Lentes de STOCK")</f>
        <v>Lentes de STOCK</v>
      </c>
      <c r="E4636" s="1" t="str">
        <f>IFERROR(__xludf.DUMMYFUNCTION("""COMPUTED_VALUE"""),"RIVADAVIA Marcela L")</f>
        <v>RIVADAVIA Marcela L</v>
      </c>
      <c r="F4636" s="1" t="str">
        <f t="shared" si="1"/>
        <v>RIVADAVIA </v>
      </c>
      <c r="G4636" s="1" t="str">
        <f t="shared" si="2"/>
        <v>Marcela L</v>
      </c>
      <c r="H4636" s="1" t="str">
        <f>IFERROR(__xludf.DUMMYFUNCTION("""COMPUTED_VALUE"""),"10/4/2023, 17:00:00")</f>
        <v>10/4/2023, 17:00:00</v>
      </c>
      <c r="I4636" s="1" t="str">
        <f>IFERROR(__xludf.DUMMYFUNCTION("""COMPUTED_VALUE"""),"RETIRADO OK POR CLIENTE")</f>
        <v>RETIRADO OK POR CLIENTE</v>
      </c>
      <c r="J4636" s="1">
        <f t="shared" si="3"/>
        <v>6</v>
      </c>
      <c r="K4636" s="1" t="str">
        <f t="shared" si="4"/>
        <v>Entregamos tus lentes, que los disfrutes!</v>
      </c>
    </row>
    <row r="4637">
      <c r="A4637" s="1">
        <f>IFERROR(__xludf.DUMMYFUNCTION("""COMPUTED_VALUE"""),89200.0)</f>
        <v>89200</v>
      </c>
      <c r="B4637" s="5">
        <f>IFERROR(__xludf.DUMMYFUNCTION("""COMPUTED_VALUE"""),45019.55466405093)</f>
        <v>45019.55466</v>
      </c>
      <c r="C4637" s="1" t="str">
        <f>IFERROR(__xludf.DUMMYFUNCTION("""COMPUTED_VALUE"""),"AMIEVA DOMINGA")</f>
        <v>AMIEVA DOMINGA</v>
      </c>
      <c r="D4637" s="1" t="str">
        <f>IFERROR(__xludf.DUMMYFUNCTION("""COMPUTED_VALUE"""),"Lentes de STOCK")</f>
        <v>Lentes de STOCK</v>
      </c>
      <c r="E4637" s="1" t="str">
        <f>IFERROR(__xludf.DUMMYFUNCTION("""COMPUTED_VALUE"""),"RIVADAVIA Luciana")</f>
        <v>RIVADAVIA Luciana</v>
      </c>
      <c r="F4637" s="1" t="str">
        <f t="shared" si="1"/>
        <v>RIVADAVIA </v>
      </c>
      <c r="G4637" s="1" t="str">
        <f t="shared" si="2"/>
        <v>Luciana</v>
      </c>
      <c r="H4637" s="1" t="str">
        <f>IFERROR(__xludf.DUMMYFUNCTION("""COMPUTED_VALUE"""),"6/4/2023, 17:00:00")</f>
        <v>6/4/2023, 17:00:00</v>
      </c>
      <c r="I4637" s="1" t="str">
        <f>IFERROR(__xludf.DUMMYFUNCTION("""COMPUTED_VALUE"""),"Completado en SUCURSAL")</f>
        <v>Completado en SUCURSAL</v>
      </c>
      <c r="J4637" s="1">
        <f t="shared" si="3"/>
        <v>5</v>
      </c>
      <c r="K4637" s="1" t="str">
        <f t="shared" si="4"/>
        <v>Tus Lentes estan LISTAS PARA ENTREGAR, te esperamos.</v>
      </c>
    </row>
    <row r="4638">
      <c r="A4638" s="1">
        <f>IFERROR(__xludf.DUMMYFUNCTION("""COMPUTED_VALUE"""),89201.0)</f>
        <v>89201</v>
      </c>
      <c r="B4638" s="5">
        <f>IFERROR(__xludf.DUMMYFUNCTION("""COMPUTED_VALUE"""),45019.555877025465)</f>
        <v>45019.55588</v>
      </c>
      <c r="C4638" s="1" t="str">
        <f>IFERROR(__xludf.DUMMYFUNCTION("""COMPUTED_VALUE"""),"QUIROGA TOBIAS")</f>
        <v>QUIROGA TOBIAS</v>
      </c>
      <c r="D4638" s="1" t="str">
        <f>IFERROR(__xludf.DUMMYFUNCTION("""COMPUTED_VALUE"""),"Reparaciones/Otros")</f>
        <v>Reparaciones/Otros</v>
      </c>
      <c r="E4638" s="1" t="str">
        <f>IFERROR(__xludf.DUMMYFUNCTION("""COMPUTED_VALUE"""),"ARTIGAS Roció")</f>
        <v>ARTIGAS Roció</v>
      </c>
      <c r="F4638" s="1" t="str">
        <f t="shared" si="1"/>
        <v>ARTIGAS </v>
      </c>
      <c r="G4638" s="1" t="str">
        <f t="shared" si="2"/>
        <v>Roció</v>
      </c>
      <c r="H4638" s="1" t="str">
        <f>IFERROR(__xludf.DUMMYFUNCTION("""COMPUTED_VALUE"""),"4/4/2023, 17:00:00")</f>
        <v>4/4/2023, 17:00:00</v>
      </c>
      <c r="I4638" s="1"/>
      <c r="J4638" s="1">
        <f t="shared" si="3"/>
        <v>0</v>
      </c>
      <c r="K4638" s="1" t="str">
        <f t="shared" si="4"/>
        <v/>
      </c>
    </row>
    <row r="4639">
      <c r="A4639" s="1">
        <f>IFERROR(__xludf.DUMMYFUNCTION("""COMPUTED_VALUE"""),89202.0)</f>
        <v>89202</v>
      </c>
      <c r="B4639" s="5">
        <f>IFERROR(__xludf.DUMMYFUNCTION("""COMPUTED_VALUE"""),45019.55821221065)</f>
        <v>45019.55821</v>
      </c>
      <c r="C4639" s="1" t="str">
        <f>IFERROR(__xludf.DUMMYFUNCTION("""COMPUTED_VALUE"""),"PERIN ALANIZ FEDERICO")</f>
        <v>PERIN ALANIZ FEDERICO</v>
      </c>
      <c r="D4639" s="1" t="str">
        <f>IFERROR(__xludf.DUMMYFUNCTION("""COMPUTED_VALUE"""),"Lentes de STOCK")</f>
        <v>Lentes de STOCK</v>
      </c>
      <c r="E4639" s="1" t="str">
        <f>IFERROR(__xludf.DUMMYFUNCTION("""COMPUTED_VALUE"""),"RIVADAVIA Christian C.")</f>
        <v>RIVADAVIA Christian C.</v>
      </c>
      <c r="F4639" s="1" t="str">
        <f t="shared" si="1"/>
        <v>RIVADAVIA </v>
      </c>
      <c r="G4639" s="1" t="str">
        <f t="shared" si="2"/>
        <v>Christian C.</v>
      </c>
      <c r="H4639" s="1" t="str">
        <f>IFERROR(__xludf.DUMMYFUNCTION("""COMPUTED_VALUE"""),"12/4/2023, 17:00:00")</f>
        <v>12/4/2023, 17:00:00</v>
      </c>
      <c r="I4639" s="1" t="str">
        <f>IFERROR(__xludf.DUMMYFUNCTION("""COMPUTED_VALUE"""),"Completado en SUCURSAL")</f>
        <v>Completado en SUCURSAL</v>
      </c>
      <c r="J4639" s="1">
        <f t="shared" si="3"/>
        <v>5</v>
      </c>
      <c r="K4639" s="1" t="str">
        <f t="shared" si="4"/>
        <v>Tus Lentes estan LISTAS PARA ENTREGAR, te esperamos.</v>
      </c>
    </row>
    <row r="4640">
      <c r="A4640" s="1">
        <f>IFERROR(__xludf.DUMMYFUNCTION("""COMPUTED_VALUE"""),89203.0)</f>
        <v>89203</v>
      </c>
      <c r="B4640" s="5">
        <f>IFERROR(__xludf.DUMMYFUNCTION("""COMPUTED_VALUE"""),45019.558956990746)</f>
        <v>45019.55896</v>
      </c>
      <c r="C4640" s="1" t="str">
        <f>IFERROR(__xludf.DUMMYFUNCTION("""COMPUTED_VALUE"""),"SOLOA HERNAN JESUS")</f>
        <v>SOLOA HERNAN JESUS</v>
      </c>
      <c r="D4640" s="1" t="str">
        <f>IFERROR(__xludf.DUMMYFUNCTION("""COMPUTED_VALUE"""),"Lentes de STOCK")</f>
        <v>Lentes de STOCK</v>
      </c>
      <c r="E4640" s="1" t="str">
        <f>IFERROR(__xludf.DUMMYFUNCTION("""COMPUTED_VALUE"""),"RIVADAVIA Marcela L")</f>
        <v>RIVADAVIA Marcela L</v>
      </c>
      <c r="F4640" s="1" t="str">
        <f t="shared" si="1"/>
        <v>RIVADAVIA </v>
      </c>
      <c r="G4640" s="1" t="str">
        <f t="shared" si="2"/>
        <v>Marcela L</v>
      </c>
      <c r="H4640" s="1" t="str">
        <f>IFERROR(__xludf.DUMMYFUNCTION("""COMPUTED_VALUE"""),"10/4/2023, 17:00:00")</f>
        <v>10/4/2023, 17:00:00</v>
      </c>
      <c r="I4640" s="1" t="str">
        <f>IFERROR(__xludf.DUMMYFUNCTION("""COMPUTED_VALUE"""),"Completado en SUCURSAL")</f>
        <v>Completado en SUCURSAL</v>
      </c>
      <c r="J4640" s="1">
        <f t="shared" si="3"/>
        <v>5</v>
      </c>
      <c r="K4640" s="1" t="str">
        <f t="shared" si="4"/>
        <v>Tus Lentes estan LISTAS PARA ENTREGAR, te esperamos.</v>
      </c>
    </row>
    <row r="4641">
      <c r="A4641" s="1">
        <f>IFERROR(__xludf.DUMMYFUNCTION("""COMPUTED_VALUE"""),89204.0)</f>
        <v>89204</v>
      </c>
      <c r="B4641" s="5">
        <f>IFERROR(__xludf.DUMMYFUNCTION("""COMPUTED_VALUE"""),45019.604869664356)</f>
        <v>45019.60487</v>
      </c>
      <c r="C4641" s="1" t="str">
        <f>IFERROR(__xludf.DUMMYFUNCTION("""COMPUTED_VALUE"""),"ALBORNOZ GODOY BAUTISTA PROGRAMA MEDICINA DEL INTERIOR GOB)")</f>
        <v>ALBORNOZ GODOY BAUTISTA PROGRAMA MEDICINA DEL INTERIOR GOB)</v>
      </c>
      <c r="D4641" s="1" t="str">
        <f>IFERROR(__xludf.DUMMYFUNCTION("""COMPUTED_VALUE"""),"Lentes de STOCK")</f>
        <v>Lentes de STOCK</v>
      </c>
      <c r="E4641" s="1" t="str">
        <f>IFERROR(__xludf.DUMMYFUNCTION("""COMPUTED_VALUE"""),"Online ADMIN.")</f>
        <v>Online ADMIN.</v>
      </c>
      <c r="F4641" s="1" t="str">
        <f t="shared" si="1"/>
        <v>Online </v>
      </c>
      <c r="G4641" s="1" t="str">
        <f t="shared" si="2"/>
        <v>ADMIN.</v>
      </c>
      <c r="H4641" s="1" t="str">
        <f>IFERROR(__xludf.DUMMYFUNCTION("""COMPUTED_VALUE"""),"5/4/2023, 17:00:00")</f>
        <v>5/4/2023, 17:00:00</v>
      </c>
      <c r="I4641" s="1" t="str">
        <f>IFERROR(__xludf.DUMMYFUNCTION("""COMPUTED_VALUE"""),"Completado en SUCURSAL")</f>
        <v>Completado en SUCURSAL</v>
      </c>
      <c r="J4641" s="1">
        <f t="shared" si="3"/>
        <v>5</v>
      </c>
      <c r="K4641" s="1" t="str">
        <f t="shared" si="4"/>
        <v>Tus Lentes estan LISTAS PARA ENTREGAR, te esperamos.</v>
      </c>
    </row>
    <row r="4642">
      <c r="A4642" s="1">
        <f>IFERROR(__xludf.DUMMYFUNCTION("""COMPUTED_VALUE"""),89205.0)</f>
        <v>89205</v>
      </c>
      <c r="B4642" s="5">
        <f>IFERROR(__xludf.DUMMYFUNCTION("""COMPUTED_VALUE"""),45019.60563424768)</f>
        <v>45019.60563</v>
      </c>
      <c r="C4642" s="1" t="str">
        <f>IFERROR(__xludf.DUMMYFUNCTION("""COMPUTED_VALUE"""),"ALCARAZ JENNIFER MALENA (PROGRAMA MEDICINA DEL INTERIOR GOB)")</f>
        <v>ALCARAZ JENNIFER MALENA (PROGRAMA MEDICINA DEL INTERIOR GOB)</v>
      </c>
      <c r="D4642" s="1" t="str">
        <f>IFERROR(__xludf.DUMMYFUNCTION("""COMPUTED_VALUE"""),"Lentes de STOCK")</f>
        <v>Lentes de STOCK</v>
      </c>
      <c r="E4642" s="1" t="str">
        <f>IFERROR(__xludf.DUMMYFUNCTION("""COMPUTED_VALUE"""),"Online ADMIN.")</f>
        <v>Online ADMIN.</v>
      </c>
      <c r="F4642" s="1" t="str">
        <f t="shared" si="1"/>
        <v>Online </v>
      </c>
      <c r="G4642" s="1" t="str">
        <f t="shared" si="2"/>
        <v>ADMIN.</v>
      </c>
      <c r="H4642" s="1" t="str">
        <f>IFERROR(__xludf.DUMMYFUNCTION("""COMPUTED_VALUE"""),"5/4/2023, 17:00:00")</f>
        <v>5/4/2023, 17:00:00</v>
      </c>
      <c r="I4642" s="1" t="str">
        <f>IFERROR(__xludf.DUMMYFUNCTION("""COMPUTED_VALUE"""),"Completado en SUCURSAL")</f>
        <v>Completado en SUCURSAL</v>
      </c>
      <c r="J4642" s="1">
        <f t="shared" si="3"/>
        <v>5</v>
      </c>
      <c r="K4642" s="1" t="str">
        <f t="shared" si="4"/>
        <v>Tus Lentes estan LISTAS PARA ENTREGAR, te esperamos.</v>
      </c>
    </row>
    <row r="4643">
      <c r="A4643" s="1">
        <f>IFERROR(__xludf.DUMMYFUNCTION("""COMPUTED_VALUE"""),89206.0)</f>
        <v>89206</v>
      </c>
      <c r="B4643" s="5">
        <f>IFERROR(__xludf.DUMMYFUNCTION("""COMPUTED_VALUE"""),45019.60652973379)</f>
        <v>45019.60653</v>
      </c>
      <c r="C4643" s="1" t="str">
        <f>IFERROR(__xludf.DUMMYFUNCTION("""COMPUTED_VALUE"""),"ALDALLA MARIA ROSANA (PROGRAMA MEDICINA DEL INTERIOR GOB)")</f>
        <v>ALDALLA MARIA ROSANA (PROGRAMA MEDICINA DEL INTERIOR GOB)</v>
      </c>
      <c r="D4643" s="1" t="str">
        <f>IFERROR(__xludf.DUMMYFUNCTION("""COMPUTED_VALUE"""),"Lentes de STOCK")</f>
        <v>Lentes de STOCK</v>
      </c>
      <c r="E4643" s="1" t="str">
        <f>IFERROR(__xludf.DUMMYFUNCTION("""COMPUTED_VALUE"""),"Online ADMIN.")</f>
        <v>Online ADMIN.</v>
      </c>
      <c r="F4643" s="1" t="str">
        <f t="shared" si="1"/>
        <v>Online </v>
      </c>
      <c r="G4643" s="1" t="str">
        <f t="shared" si="2"/>
        <v>ADMIN.</v>
      </c>
      <c r="H4643" s="1" t="str">
        <f>IFERROR(__xludf.DUMMYFUNCTION("""COMPUTED_VALUE"""),"5/4/2023, 17:00:00")</f>
        <v>5/4/2023, 17:00:00</v>
      </c>
      <c r="I4643" s="1" t="str">
        <f>IFERROR(__xludf.DUMMYFUNCTION("""COMPUTED_VALUE"""),"Completado en SUCURSAL")</f>
        <v>Completado en SUCURSAL</v>
      </c>
      <c r="J4643" s="1">
        <f t="shared" si="3"/>
        <v>5</v>
      </c>
      <c r="K4643" s="1" t="str">
        <f t="shared" si="4"/>
        <v>Tus Lentes estan LISTAS PARA ENTREGAR, te esperamos.</v>
      </c>
    </row>
    <row r="4644">
      <c r="A4644" s="1">
        <f>IFERROR(__xludf.DUMMYFUNCTION("""COMPUTED_VALUE"""),89207.0)</f>
        <v>89207</v>
      </c>
      <c r="B4644" s="5">
        <f>IFERROR(__xludf.DUMMYFUNCTION("""COMPUTED_VALUE"""),45019.607048645834)</f>
        <v>45019.60705</v>
      </c>
      <c r="C4644" s="1" t="str">
        <f>IFERROR(__xludf.DUMMYFUNCTION("""COMPUTED_VALUE"""),"ANZORENA GUSTAVO RAMON (PROGRAMA MEDICINA DEL INTERIOR GOB)")</f>
        <v>ANZORENA GUSTAVO RAMON (PROGRAMA MEDICINA DEL INTERIOR GOB)</v>
      </c>
      <c r="D4644" s="1" t="str">
        <f>IFERROR(__xludf.DUMMYFUNCTION("""COMPUTED_VALUE"""),"Lentes de STOCK")</f>
        <v>Lentes de STOCK</v>
      </c>
      <c r="E4644" s="1" t="str">
        <f>IFERROR(__xludf.DUMMYFUNCTION("""COMPUTED_VALUE"""),"Online ADMIN.")</f>
        <v>Online ADMIN.</v>
      </c>
      <c r="F4644" s="1" t="str">
        <f t="shared" si="1"/>
        <v>Online </v>
      </c>
      <c r="G4644" s="1" t="str">
        <f t="shared" si="2"/>
        <v>ADMIN.</v>
      </c>
      <c r="H4644" s="1" t="str">
        <f>IFERROR(__xludf.DUMMYFUNCTION("""COMPUTED_VALUE"""),"5/4/2023, 17:00:00")</f>
        <v>5/4/2023, 17:00:00</v>
      </c>
      <c r="I4644" s="1" t="str">
        <f>IFERROR(__xludf.DUMMYFUNCTION("""COMPUTED_VALUE"""),"Completado en SUCURSAL")</f>
        <v>Completado en SUCURSAL</v>
      </c>
      <c r="J4644" s="1">
        <f t="shared" si="3"/>
        <v>5</v>
      </c>
      <c r="K4644" s="1" t="str">
        <f t="shared" si="4"/>
        <v>Tus Lentes estan LISTAS PARA ENTREGAR, te esperamos.</v>
      </c>
    </row>
    <row r="4645">
      <c r="A4645" s="1">
        <f>IFERROR(__xludf.DUMMYFUNCTION("""COMPUTED_VALUE"""),89208.0)</f>
        <v>89208</v>
      </c>
      <c r="B4645" s="5">
        <f>IFERROR(__xludf.DUMMYFUNCTION("""COMPUTED_VALUE"""),45019.60802717593)</f>
        <v>45019.60803</v>
      </c>
      <c r="C4645" s="1" t="str">
        <f>IFERROR(__xludf.DUMMYFUNCTION("""COMPUTED_VALUE"""),"CABAÑEZ SILDA (PROGRAMA MEDICINA DEL INTERIOR GOB)")</f>
        <v>CABAÑEZ SILDA (PROGRAMA MEDICINA DEL INTERIOR GOB)</v>
      </c>
      <c r="D4645" s="1" t="str">
        <f>IFERROR(__xludf.DUMMYFUNCTION("""COMPUTED_VALUE"""),"Lentes de STOCK")</f>
        <v>Lentes de STOCK</v>
      </c>
      <c r="E4645" s="1" t="str">
        <f>IFERROR(__xludf.DUMMYFUNCTION("""COMPUTED_VALUE"""),"Online ADMIN.")</f>
        <v>Online ADMIN.</v>
      </c>
      <c r="F4645" s="1" t="str">
        <f t="shared" si="1"/>
        <v>Online </v>
      </c>
      <c r="G4645" s="1" t="str">
        <f t="shared" si="2"/>
        <v>ADMIN.</v>
      </c>
      <c r="H4645" s="1" t="str">
        <f>IFERROR(__xludf.DUMMYFUNCTION("""COMPUTED_VALUE"""),"5/4/2023, 17:00:00")</f>
        <v>5/4/2023, 17:00:00</v>
      </c>
      <c r="I4645" s="1" t="str">
        <f>IFERROR(__xludf.DUMMYFUNCTION("""COMPUTED_VALUE"""),"Completado en SUCURSAL")</f>
        <v>Completado en SUCURSAL</v>
      </c>
      <c r="J4645" s="1">
        <f t="shared" si="3"/>
        <v>5</v>
      </c>
      <c r="K4645" s="1" t="str">
        <f t="shared" si="4"/>
        <v>Tus Lentes estan LISTAS PARA ENTREGAR, te esperamos.</v>
      </c>
    </row>
    <row r="4646">
      <c r="A4646" s="1">
        <f>IFERROR(__xludf.DUMMYFUNCTION("""COMPUTED_VALUE"""),89209.0)</f>
        <v>89209</v>
      </c>
      <c r="B4646" s="5">
        <f>IFERROR(__xludf.DUMMYFUNCTION("""COMPUTED_VALUE"""),45019.60851826389)</f>
        <v>45019.60852</v>
      </c>
      <c r="C4646" s="1" t="str">
        <f>IFERROR(__xludf.DUMMYFUNCTION("""COMPUTED_VALUE"""),"CARMONA RAMON ROLANDO (PROGRAMA MEDICINA DEL INTERIOR GOB)")</f>
        <v>CARMONA RAMON ROLANDO (PROGRAMA MEDICINA DEL INTERIOR GOB)</v>
      </c>
      <c r="D4646" s="1" t="str">
        <f>IFERROR(__xludf.DUMMYFUNCTION("""COMPUTED_VALUE"""),"Lentes de STOCK")</f>
        <v>Lentes de STOCK</v>
      </c>
      <c r="E4646" s="1" t="str">
        <f>IFERROR(__xludf.DUMMYFUNCTION("""COMPUTED_VALUE"""),"Online ADMIN.")</f>
        <v>Online ADMIN.</v>
      </c>
      <c r="F4646" s="1" t="str">
        <f t="shared" si="1"/>
        <v>Online </v>
      </c>
      <c r="G4646" s="1" t="str">
        <f t="shared" si="2"/>
        <v>ADMIN.</v>
      </c>
      <c r="H4646" s="1" t="str">
        <f>IFERROR(__xludf.DUMMYFUNCTION("""COMPUTED_VALUE"""),"5/4/2023, 17:00:00")</f>
        <v>5/4/2023, 17:00:00</v>
      </c>
      <c r="I4646" s="1" t="str">
        <f>IFERROR(__xludf.DUMMYFUNCTION("""COMPUTED_VALUE"""),"Completado en SUCURSAL")</f>
        <v>Completado en SUCURSAL</v>
      </c>
      <c r="J4646" s="1">
        <f t="shared" si="3"/>
        <v>5</v>
      </c>
      <c r="K4646" s="1" t="str">
        <f t="shared" si="4"/>
        <v>Tus Lentes estan LISTAS PARA ENTREGAR, te esperamos.</v>
      </c>
    </row>
    <row r="4647">
      <c r="A4647" s="1">
        <f>IFERROR(__xludf.DUMMYFUNCTION("""COMPUTED_VALUE"""),89210.0)</f>
        <v>89210</v>
      </c>
      <c r="B4647" s="5">
        <f>IFERROR(__xludf.DUMMYFUNCTION("""COMPUTED_VALUE"""),45019.6089769213)</f>
        <v>45019.60898</v>
      </c>
      <c r="C4647" s="1" t="str">
        <f>IFERROR(__xludf.DUMMYFUNCTION("""COMPUTED_VALUE"""),"GARAY ANITA DORA (PROGRAMA MEDICINA DEL INTERIOR GOB)")</f>
        <v>GARAY ANITA DORA (PROGRAMA MEDICINA DEL INTERIOR GOB)</v>
      </c>
      <c r="D4647" s="1" t="str">
        <f>IFERROR(__xludf.DUMMYFUNCTION("""COMPUTED_VALUE"""),"Lentes de STOCK")</f>
        <v>Lentes de STOCK</v>
      </c>
      <c r="E4647" s="1" t="str">
        <f>IFERROR(__xludf.DUMMYFUNCTION("""COMPUTED_VALUE"""),"Online ADMIN.")</f>
        <v>Online ADMIN.</v>
      </c>
      <c r="F4647" s="1" t="str">
        <f t="shared" si="1"/>
        <v>Online </v>
      </c>
      <c r="G4647" s="1" t="str">
        <f t="shared" si="2"/>
        <v>ADMIN.</v>
      </c>
      <c r="H4647" s="1" t="str">
        <f>IFERROR(__xludf.DUMMYFUNCTION("""COMPUTED_VALUE"""),"5/4/2023, 17:00:00")</f>
        <v>5/4/2023, 17:00:00</v>
      </c>
      <c r="I4647" s="1" t="str">
        <f>IFERROR(__xludf.DUMMYFUNCTION("""COMPUTED_VALUE"""),"Completado en SUCURSAL")</f>
        <v>Completado en SUCURSAL</v>
      </c>
      <c r="J4647" s="1">
        <f t="shared" si="3"/>
        <v>5</v>
      </c>
      <c r="K4647" s="1" t="str">
        <f t="shared" si="4"/>
        <v>Tus Lentes estan LISTAS PARA ENTREGAR, te esperamos.</v>
      </c>
    </row>
    <row r="4648">
      <c r="A4648" s="1">
        <f>IFERROR(__xludf.DUMMYFUNCTION("""COMPUTED_VALUE"""),89211.0)</f>
        <v>89211</v>
      </c>
      <c r="B4648" s="5">
        <f>IFERROR(__xludf.DUMMYFUNCTION("""COMPUTED_VALUE"""),45019.60952258101)</f>
        <v>45019.60952</v>
      </c>
      <c r="C4648" s="1" t="str">
        <f>IFERROR(__xludf.DUMMYFUNCTION("""COMPUTED_VALUE"""),"GARRO JULIO OSCAR (PROGRAMA MEDICINA DEL INTERIOR GOB)")</f>
        <v>GARRO JULIO OSCAR (PROGRAMA MEDICINA DEL INTERIOR GOB)</v>
      </c>
      <c r="D4648" s="1" t="str">
        <f>IFERROR(__xludf.DUMMYFUNCTION("""COMPUTED_VALUE"""),"Lentes de STOCK")</f>
        <v>Lentes de STOCK</v>
      </c>
      <c r="E4648" s="1" t="str">
        <f>IFERROR(__xludf.DUMMYFUNCTION("""COMPUTED_VALUE"""),"Online ADMIN.")</f>
        <v>Online ADMIN.</v>
      </c>
      <c r="F4648" s="1" t="str">
        <f t="shared" si="1"/>
        <v>Online </v>
      </c>
      <c r="G4648" s="1" t="str">
        <f t="shared" si="2"/>
        <v>ADMIN.</v>
      </c>
      <c r="H4648" s="1" t="str">
        <f>IFERROR(__xludf.DUMMYFUNCTION("""COMPUTED_VALUE"""),"5/4/2023, 17:00:00")</f>
        <v>5/4/2023, 17:00:00</v>
      </c>
      <c r="I4648" s="1" t="str">
        <f>IFERROR(__xludf.DUMMYFUNCTION("""COMPUTED_VALUE"""),"Completado en SUCURSAL")</f>
        <v>Completado en SUCURSAL</v>
      </c>
      <c r="J4648" s="1">
        <f t="shared" si="3"/>
        <v>5</v>
      </c>
      <c r="K4648" s="1" t="str">
        <f t="shared" si="4"/>
        <v>Tus Lentes estan LISTAS PARA ENTREGAR, te esperamos.</v>
      </c>
    </row>
    <row r="4649">
      <c r="A4649" s="1">
        <f>IFERROR(__xludf.DUMMYFUNCTION("""COMPUTED_VALUE"""),89212.0)</f>
        <v>89212</v>
      </c>
      <c r="B4649" s="5">
        <f>IFERROR(__xludf.DUMMYFUNCTION("""COMPUTED_VALUE"""),45019.610111319445)</f>
        <v>45019.61011</v>
      </c>
      <c r="C4649" s="1" t="str">
        <f>IFERROR(__xludf.DUMMYFUNCTION("""COMPUTED_VALUE"""),"GONZALEZ ROSANA NOEMI (PROGRAMA MEDICINA DEL INTERIOR GOB)")</f>
        <v>GONZALEZ ROSANA NOEMI (PROGRAMA MEDICINA DEL INTERIOR GOB)</v>
      </c>
      <c r="D4649" s="1" t="str">
        <f>IFERROR(__xludf.DUMMYFUNCTION("""COMPUTED_VALUE"""),"Lentes de STOCK")</f>
        <v>Lentes de STOCK</v>
      </c>
      <c r="E4649" s="1" t="str">
        <f>IFERROR(__xludf.DUMMYFUNCTION("""COMPUTED_VALUE"""),"Online ADMIN.")</f>
        <v>Online ADMIN.</v>
      </c>
      <c r="F4649" s="1" t="str">
        <f t="shared" si="1"/>
        <v>Online </v>
      </c>
      <c r="G4649" s="1" t="str">
        <f t="shared" si="2"/>
        <v>ADMIN.</v>
      </c>
      <c r="H4649" s="1" t="str">
        <f>IFERROR(__xludf.DUMMYFUNCTION("""COMPUTED_VALUE"""),"5/4/2023, 17:00:00")</f>
        <v>5/4/2023, 17:00:00</v>
      </c>
      <c r="I4649" s="1" t="str">
        <f>IFERROR(__xludf.DUMMYFUNCTION("""COMPUTED_VALUE"""),"Completado en SUCURSAL")</f>
        <v>Completado en SUCURSAL</v>
      </c>
      <c r="J4649" s="1">
        <f t="shared" si="3"/>
        <v>5</v>
      </c>
      <c r="K4649" s="1" t="str">
        <f t="shared" si="4"/>
        <v>Tus Lentes estan LISTAS PARA ENTREGAR, te esperamos.</v>
      </c>
    </row>
    <row r="4650">
      <c r="A4650" s="1">
        <f>IFERROR(__xludf.DUMMYFUNCTION("""COMPUTED_VALUE"""),89213.0)</f>
        <v>89213</v>
      </c>
      <c r="B4650" s="5">
        <f>IFERROR(__xludf.DUMMYFUNCTION("""COMPUTED_VALUE"""),45019.610792708336)</f>
        <v>45019.61079</v>
      </c>
      <c r="C4650" s="1" t="str">
        <f>IFERROR(__xludf.DUMMYFUNCTION("""COMPUTED_VALUE"""),"GUERRA JUAN CARLOS (PROGRAMA MEDICINA DEL INTERIOR GOB)")</f>
        <v>GUERRA JUAN CARLOS (PROGRAMA MEDICINA DEL INTERIOR GOB)</v>
      </c>
      <c r="D4650" s="1" t="str">
        <f>IFERROR(__xludf.DUMMYFUNCTION("""COMPUTED_VALUE"""),"Lentes de STOCK")</f>
        <v>Lentes de STOCK</v>
      </c>
      <c r="E4650" s="1" t="str">
        <f>IFERROR(__xludf.DUMMYFUNCTION("""COMPUTED_VALUE"""),"Online ADMIN.")</f>
        <v>Online ADMIN.</v>
      </c>
      <c r="F4650" s="1" t="str">
        <f t="shared" si="1"/>
        <v>Online </v>
      </c>
      <c r="G4650" s="1" t="str">
        <f t="shared" si="2"/>
        <v>ADMIN.</v>
      </c>
      <c r="H4650" s="1" t="str">
        <f>IFERROR(__xludf.DUMMYFUNCTION("""COMPUTED_VALUE"""),"5/4/2023, 17:00:00")</f>
        <v>5/4/2023, 17:00:00</v>
      </c>
      <c r="I4650" s="1" t="str">
        <f>IFERROR(__xludf.DUMMYFUNCTION("""COMPUTED_VALUE"""),"Completado en SUCURSAL")</f>
        <v>Completado en SUCURSAL</v>
      </c>
      <c r="J4650" s="1">
        <f t="shared" si="3"/>
        <v>5</v>
      </c>
      <c r="K4650" s="1" t="str">
        <f t="shared" si="4"/>
        <v>Tus Lentes estan LISTAS PARA ENTREGAR, te esperamos.</v>
      </c>
    </row>
    <row r="4651">
      <c r="A4651" s="1">
        <f>IFERROR(__xludf.DUMMYFUNCTION("""COMPUTED_VALUE"""),89214.0)</f>
        <v>89214</v>
      </c>
      <c r="B4651" s="5">
        <f>IFERROR(__xludf.DUMMYFUNCTION("""COMPUTED_VALUE"""),45019.61158505787)</f>
        <v>45019.61159</v>
      </c>
      <c r="C4651" s="1" t="str">
        <f>IFERROR(__xludf.DUMMYFUNCTION("""COMPUTED_VALUE"""),"LUCERO DEOLINDA MARILU (PROGRAMA MEDICINA DEL INTERIOR GOB)")</f>
        <v>LUCERO DEOLINDA MARILU (PROGRAMA MEDICINA DEL INTERIOR GOB)</v>
      </c>
      <c r="D4651" s="1" t="str">
        <f>IFERROR(__xludf.DUMMYFUNCTION("""COMPUTED_VALUE"""),"Lentes de STOCK")</f>
        <v>Lentes de STOCK</v>
      </c>
      <c r="E4651" s="1" t="str">
        <f>IFERROR(__xludf.DUMMYFUNCTION("""COMPUTED_VALUE"""),"Online ADMIN.")</f>
        <v>Online ADMIN.</v>
      </c>
      <c r="F4651" s="1" t="str">
        <f t="shared" si="1"/>
        <v>Online </v>
      </c>
      <c r="G4651" s="1" t="str">
        <f t="shared" si="2"/>
        <v>ADMIN.</v>
      </c>
      <c r="H4651" s="1" t="str">
        <f>IFERROR(__xludf.DUMMYFUNCTION("""COMPUTED_VALUE"""),"5/4/2023, 17:00:00")</f>
        <v>5/4/2023, 17:00:00</v>
      </c>
      <c r="I4651" s="1" t="str">
        <f>IFERROR(__xludf.DUMMYFUNCTION("""COMPUTED_VALUE"""),"Completado en SUCURSAL")</f>
        <v>Completado en SUCURSAL</v>
      </c>
      <c r="J4651" s="1">
        <f t="shared" si="3"/>
        <v>5</v>
      </c>
      <c r="K4651" s="1" t="str">
        <f t="shared" si="4"/>
        <v>Tus Lentes estan LISTAS PARA ENTREGAR, te esperamos.</v>
      </c>
    </row>
    <row r="4652">
      <c r="A4652" s="1">
        <f>IFERROR(__xludf.DUMMYFUNCTION("""COMPUTED_VALUE"""),89215.0)</f>
        <v>89215</v>
      </c>
      <c r="B4652" s="5">
        <f>IFERROR(__xludf.DUMMYFUNCTION("""COMPUTED_VALUE"""),45019.61355229167)</f>
        <v>45019.61355</v>
      </c>
      <c r="C4652" s="1" t="str">
        <f>IFERROR(__xludf.DUMMYFUNCTION("""COMPUTED_VALUE"""),"MAGALLANES JAZMIN ABIGAIL (PROGRAMA MEDICINA DEL INTERIOR GOB)")</f>
        <v>MAGALLANES JAZMIN ABIGAIL (PROGRAMA MEDICINA DEL INTERIOR GOB)</v>
      </c>
      <c r="D4652" s="1" t="str">
        <f>IFERROR(__xludf.DUMMYFUNCTION("""COMPUTED_VALUE"""),"Lentes de STOCK")</f>
        <v>Lentes de STOCK</v>
      </c>
      <c r="E4652" s="1" t="str">
        <f>IFERROR(__xludf.DUMMYFUNCTION("""COMPUTED_VALUE"""),"Online ADMIN.")</f>
        <v>Online ADMIN.</v>
      </c>
      <c r="F4652" s="1" t="str">
        <f t="shared" si="1"/>
        <v>Online </v>
      </c>
      <c r="G4652" s="1" t="str">
        <f t="shared" si="2"/>
        <v>ADMIN.</v>
      </c>
      <c r="H4652" s="1" t="str">
        <f>IFERROR(__xludf.DUMMYFUNCTION("""COMPUTED_VALUE"""),"5/4/2023, 17:00:00")</f>
        <v>5/4/2023, 17:00:00</v>
      </c>
      <c r="I4652" s="1" t="str">
        <f>IFERROR(__xludf.DUMMYFUNCTION("""COMPUTED_VALUE"""),"Completado en SUCURSAL")</f>
        <v>Completado en SUCURSAL</v>
      </c>
      <c r="J4652" s="1">
        <f t="shared" si="3"/>
        <v>5</v>
      </c>
      <c r="K4652" s="1" t="str">
        <f t="shared" si="4"/>
        <v>Tus Lentes estan LISTAS PARA ENTREGAR, te esperamos.</v>
      </c>
    </row>
    <row r="4653">
      <c r="A4653" s="1">
        <f>IFERROR(__xludf.DUMMYFUNCTION("""COMPUTED_VALUE"""),89216.0)</f>
        <v>89216</v>
      </c>
      <c r="B4653" s="5">
        <f>IFERROR(__xludf.DUMMYFUNCTION("""COMPUTED_VALUE"""),45019.61412925926)</f>
        <v>45019.61413</v>
      </c>
      <c r="C4653" s="1" t="str">
        <f>IFERROR(__xludf.DUMMYFUNCTION("""COMPUTED_VALUE"""),"OROZCO MARLENE AGUSTINA (PROGRAMA MEDICINA DEL INTERIOR GOB)")</f>
        <v>OROZCO MARLENE AGUSTINA (PROGRAMA MEDICINA DEL INTERIOR GOB)</v>
      </c>
      <c r="D4653" s="1" t="str">
        <f>IFERROR(__xludf.DUMMYFUNCTION("""COMPUTED_VALUE"""),"Lentes de STOCK")</f>
        <v>Lentes de STOCK</v>
      </c>
      <c r="E4653" s="1" t="str">
        <f>IFERROR(__xludf.DUMMYFUNCTION("""COMPUTED_VALUE"""),"Online ADMIN.")</f>
        <v>Online ADMIN.</v>
      </c>
      <c r="F4653" s="1" t="str">
        <f t="shared" si="1"/>
        <v>Online </v>
      </c>
      <c r="G4653" s="1" t="str">
        <f t="shared" si="2"/>
        <v>ADMIN.</v>
      </c>
      <c r="H4653" s="1" t="str">
        <f>IFERROR(__xludf.DUMMYFUNCTION("""COMPUTED_VALUE"""),"5/4/2023, 17:00:00")</f>
        <v>5/4/2023, 17:00:00</v>
      </c>
      <c r="I4653" s="1" t="str">
        <f>IFERROR(__xludf.DUMMYFUNCTION("""COMPUTED_VALUE"""),"Completado en SUCURSAL")</f>
        <v>Completado en SUCURSAL</v>
      </c>
      <c r="J4653" s="1">
        <f t="shared" si="3"/>
        <v>5</v>
      </c>
      <c r="K4653" s="1" t="str">
        <f t="shared" si="4"/>
        <v>Tus Lentes estan LISTAS PARA ENTREGAR, te esperamos.</v>
      </c>
    </row>
    <row r="4654">
      <c r="A4654" s="1">
        <f>IFERROR(__xludf.DUMMYFUNCTION("""COMPUTED_VALUE"""),89217.0)</f>
        <v>89217</v>
      </c>
      <c r="B4654" s="5">
        <f>IFERROR(__xludf.DUMMYFUNCTION("""COMPUTED_VALUE"""),45019.614568425925)</f>
        <v>45019.61457</v>
      </c>
      <c r="C4654" s="1" t="str">
        <f>IFERROR(__xludf.DUMMYFUNCTION("""COMPUTED_VALUE"""),"OROZCO YAMILA NAHIR (PROGRAMA MEDICINA DEL INTERIOR GOB)")</f>
        <v>OROZCO YAMILA NAHIR (PROGRAMA MEDICINA DEL INTERIOR GOB)</v>
      </c>
      <c r="D4654" s="1" t="str">
        <f>IFERROR(__xludf.DUMMYFUNCTION("""COMPUTED_VALUE"""),"Lentes de STOCK")</f>
        <v>Lentes de STOCK</v>
      </c>
      <c r="E4654" s="1" t="str">
        <f>IFERROR(__xludf.DUMMYFUNCTION("""COMPUTED_VALUE"""),"Online ADMIN.")</f>
        <v>Online ADMIN.</v>
      </c>
      <c r="F4654" s="1" t="str">
        <f t="shared" si="1"/>
        <v>Online </v>
      </c>
      <c r="G4654" s="1" t="str">
        <f t="shared" si="2"/>
        <v>ADMIN.</v>
      </c>
      <c r="H4654" s="1" t="str">
        <f>IFERROR(__xludf.DUMMYFUNCTION("""COMPUTED_VALUE"""),"5/4/2023, 17:00:00")</f>
        <v>5/4/2023, 17:00:00</v>
      </c>
      <c r="I4654" s="1" t="str">
        <f>IFERROR(__xludf.DUMMYFUNCTION("""COMPUTED_VALUE"""),"Completado en SUCURSAL")</f>
        <v>Completado en SUCURSAL</v>
      </c>
      <c r="J4654" s="1">
        <f t="shared" si="3"/>
        <v>5</v>
      </c>
      <c r="K4654" s="1" t="str">
        <f t="shared" si="4"/>
        <v>Tus Lentes estan LISTAS PARA ENTREGAR, te esperamos.</v>
      </c>
    </row>
    <row r="4655">
      <c r="A4655" s="1">
        <f>IFERROR(__xludf.DUMMYFUNCTION("""COMPUTED_VALUE"""),89218.0)</f>
        <v>89218</v>
      </c>
      <c r="B4655" s="5">
        <f>IFERROR(__xludf.DUMMYFUNCTION("""COMPUTED_VALUE"""),45019.61525805556)</f>
        <v>45019.61526</v>
      </c>
      <c r="C4655" s="1" t="str">
        <f>IFERROR(__xludf.DUMMYFUNCTION("""COMPUTED_VALUE"""),"PALMA LUISA VIVIANA (PROGRAMA MEDICINA DEL INTERIOR GOB)")</f>
        <v>PALMA LUISA VIVIANA (PROGRAMA MEDICINA DEL INTERIOR GOB)</v>
      </c>
      <c r="D4655" s="1" t="str">
        <f>IFERROR(__xludf.DUMMYFUNCTION("""COMPUTED_VALUE"""),"Lentes de STOCK")</f>
        <v>Lentes de STOCK</v>
      </c>
      <c r="E4655" s="1" t="str">
        <f>IFERROR(__xludf.DUMMYFUNCTION("""COMPUTED_VALUE"""),"Online ADMIN.")</f>
        <v>Online ADMIN.</v>
      </c>
      <c r="F4655" s="1" t="str">
        <f t="shared" si="1"/>
        <v>Online </v>
      </c>
      <c r="G4655" s="1" t="str">
        <f t="shared" si="2"/>
        <v>ADMIN.</v>
      </c>
      <c r="H4655" s="1" t="str">
        <f>IFERROR(__xludf.DUMMYFUNCTION("""COMPUTED_VALUE"""),"5/4/2023, 17:00:00")</f>
        <v>5/4/2023, 17:00:00</v>
      </c>
      <c r="I4655" s="1" t="str">
        <f>IFERROR(__xludf.DUMMYFUNCTION("""COMPUTED_VALUE"""),"Completado en SUCURSAL")</f>
        <v>Completado en SUCURSAL</v>
      </c>
      <c r="J4655" s="1">
        <f t="shared" si="3"/>
        <v>5</v>
      </c>
      <c r="K4655" s="1" t="str">
        <f t="shared" si="4"/>
        <v>Tus Lentes estan LISTAS PARA ENTREGAR, te esperamos.</v>
      </c>
    </row>
    <row r="4656">
      <c r="A4656" s="1">
        <f>IFERROR(__xludf.DUMMYFUNCTION("""COMPUTED_VALUE"""),89219.0)</f>
        <v>89219</v>
      </c>
      <c r="B4656" s="5">
        <f>IFERROR(__xludf.DUMMYFUNCTION("""COMPUTED_VALUE"""),45019.61666789352)</f>
        <v>45019.61667</v>
      </c>
      <c r="C4656" s="1" t="str">
        <f>IFERROR(__xludf.DUMMYFUNCTION("""COMPUTED_VALUE"""),"PERALTA HORACIO MARTIN (PROGRAMA MEDICINA DEL INTERIOR GOB)")</f>
        <v>PERALTA HORACIO MARTIN (PROGRAMA MEDICINA DEL INTERIOR GOB)</v>
      </c>
      <c r="D4656" s="1" t="str">
        <f>IFERROR(__xludf.DUMMYFUNCTION("""COMPUTED_VALUE"""),"Lentes de LABORATORIO")</f>
        <v>Lentes de LABORATORIO</v>
      </c>
      <c r="E4656" s="1" t="str">
        <f>IFERROR(__xludf.DUMMYFUNCTION("""COMPUTED_VALUE"""),"Online ADMIN.")</f>
        <v>Online ADMIN.</v>
      </c>
      <c r="F4656" s="1" t="str">
        <f t="shared" si="1"/>
        <v>Online </v>
      </c>
      <c r="G4656" s="1" t="str">
        <f t="shared" si="2"/>
        <v>ADMIN.</v>
      </c>
      <c r="H4656" s="1" t="str">
        <f>IFERROR(__xludf.DUMMYFUNCTION("""COMPUTED_VALUE"""),"10/4/2023, 17:00:00")</f>
        <v>10/4/2023, 17:00:00</v>
      </c>
      <c r="I4656" s="1" t="str">
        <f>IFERROR(__xludf.DUMMYFUNCTION("""COMPUTED_VALUE"""),"Recibido en Laboratorio")</f>
        <v>Recibido en Laboratorio</v>
      </c>
      <c r="J4656" s="1">
        <f t="shared" si="3"/>
        <v>2</v>
      </c>
      <c r="K4656" s="1" t="str">
        <f t="shared" si="4"/>
        <v>Nuestro Laboratorio esta trabajando en tus lentes, los entregaremos en la fecha acordada.</v>
      </c>
    </row>
    <row r="4657">
      <c r="A4657" s="1">
        <f>IFERROR(__xludf.DUMMYFUNCTION("""COMPUTED_VALUE"""),89220.0)</f>
        <v>89220</v>
      </c>
      <c r="B4657" s="5">
        <f>IFERROR(__xludf.DUMMYFUNCTION("""COMPUTED_VALUE"""),45019.61736105324)</f>
        <v>45019.61736</v>
      </c>
      <c r="C4657" s="1" t="str">
        <f>IFERROR(__xludf.DUMMYFUNCTION("""COMPUTED_VALUE"""),"PIZARRO GARBRIELA LORENA (PROGRAMA MEDICINA DEL INTERIOR GOB)")</f>
        <v>PIZARRO GARBRIELA LORENA (PROGRAMA MEDICINA DEL INTERIOR GOB)</v>
      </c>
      <c r="D4657" s="1" t="str">
        <f>IFERROR(__xludf.DUMMYFUNCTION("""COMPUTED_VALUE"""),"Lentes de STOCK")</f>
        <v>Lentes de STOCK</v>
      </c>
      <c r="E4657" s="1" t="str">
        <f>IFERROR(__xludf.DUMMYFUNCTION("""COMPUTED_VALUE"""),"Online ADMIN.")</f>
        <v>Online ADMIN.</v>
      </c>
      <c r="F4657" s="1" t="str">
        <f t="shared" si="1"/>
        <v>Online </v>
      </c>
      <c r="G4657" s="1" t="str">
        <f t="shared" si="2"/>
        <v>ADMIN.</v>
      </c>
      <c r="H4657" s="1" t="str">
        <f>IFERROR(__xludf.DUMMYFUNCTION("""COMPUTED_VALUE"""),"5/4/2023, 17:00:00")</f>
        <v>5/4/2023, 17:00:00</v>
      </c>
      <c r="I4657" s="1" t="str">
        <f>IFERROR(__xludf.DUMMYFUNCTION("""COMPUTED_VALUE"""),"Completado en SUCURSAL")</f>
        <v>Completado en SUCURSAL</v>
      </c>
      <c r="J4657" s="1">
        <f t="shared" si="3"/>
        <v>5</v>
      </c>
      <c r="K4657" s="1" t="str">
        <f t="shared" si="4"/>
        <v>Tus Lentes estan LISTAS PARA ENTREGAR, te esperamos.</v>
      </c>
    </row>
    <row r="4658">
      <c r="A4658" s="1">
        <f>IFERROR(__xludf.DUMMYFUNCTION("""COMPUTED_VALUE"""),89221.0)</f>
        <v>89221</v>
      </c>
      <c r="B4658" s="5">
        <f>IFERROR(__xludf.DUMMYFUNCTION("""COMPUTED_VALUE"""),45019.617990949075)</f>
        <v>45019.61799</v>
      </c>
      <c r="C4658" s="1" t="str">
        <f>IFERROR(__xludf.DUMMYFUNCTION("""COMPUTED_VALUE"""),"QUIROGA JESSICA MABEL (PROGRAMA MEDICINA DEL INTERIOR GOB)")</f>
        <v>QUIROGA JESSICA MABEL (PROGRAMA MEDICINA DEL INTERIOR GOB)</v>
      </c>
      <c r="D4658" s="1" t="str">
        <f>IFERROR(__xludf.DUMMYFUNCTION("""COMPUTED_VALUE"""),"Lentes de STOCK")</f>
        <v>Lentes de STOCK</v>
      </c>
      <c r="E4658" s="1" t="str">
        <f>IFERROR(__xludf.DUMMYFUNCTION("""COMPUTED_VALUE"""),"Online ADMIN.")</f>
        <v>Online ADMIN.</v>
      </c>
      <c r="F4658" s="1" t="str">
        <f t="shared" si="1"/>
        <v>Online </v>
      </c>
      <c r="G4658" s="1" t="str">
        <f t="shared" si="2"/>
        <v>ADMIN.</v>
      </c>
      <c r="H4658" s="1" t="str">
        <f>IFERROR(__xludf.DUMMYFUNCTION("""COMPUTED_VALUE"""),"5/4/2023, 17:00:00")</f>
        <v>5/4/2023, 17:00:00</v>
      </c>
      <c r="I4658" s="1" t="str">
        <f>IFERROR(__xludf.DUMMYFUNCTION("""COMPUTED_VALUE"""),"Completado en SUCURSAL")</f>
        <v>Completado en SUCURSAL</v>
      </c>
      <c r="J4658" s="1">
        <f t="shared" si="3"/>
        <v>5</v>
      </c>
      <c r="K4658" s="1" t="str">
        <f t="shared" si="4"/>
        <v>Tus Lentes estan LISTAS PARA ENTREGAR, te esperamos.</v>
      </c>
    </row>
    <row r="4659">
      <c r="A4659" s="1">
        <f>IFERROR(__xludf.DUMMYFUNCTION("""COMPUTED_VALUE"""),89222.0)</f>
        <v>89222</v>
      </c>
      <c r="B4659" s="5">
        <f>IFERROR(__xludf.DUMMYFUNCTION("""COMPUTED_VALUE"""),45019.61860268519)</f>
        <v>45019.6186</v>
      </c>
      <c r="C4659" s="1" t="str">
        <f>IFERROR(__xludf.DUMMYFUNCTION("""COMPUTED_VALUE"""),"ROSALES DELIA AMELIA (PROGRAMA MEDICINA DEL INTERIOR GOB)")</f>
        <v>ROSALES DELIA AMELIA (PROGRAMA MEDICINA DEL INTERIOR GOB)</v>
      </c>
      <c r="D4659" s="1" t="str">
        <f>IFERROR(__xludf.DUMMYFUNCTION("""COMPUTED_VALUE"""),"Lentes de STOCK")</f>
        <v>Lentes de STOCK</v>
      </c>
      <c r="E4659" s="1" t="str">
        <f>IFERROR(__xludf.DUMMYFUNCTION("""COMPUTED_VALUE"""),"Online ADMIN.")</f>
        <v>Online ADMIN.</v>
      </c>
      <c r="F4659" s="1" t="str">
        <f t="shared" si="1"/>
        <v>Online </v>
      </c>
      <c r="G4659" s="1" t="str">
        <f t="shared" si="2"/>
        <v>ADMIN.</v>
      </c>
      <c r="H4659" s="1" t="str">
        <f>IFERROR(__xludf.DUMMYFUNCTION("""COMPUTED_VALUE"""),"5/4/2023, 17:00:00")</f>
        <v>5/4/2023, 17:00:00</v>
      </c>
      <c r="I4659" s="1" t="str">
        <f>IFERROR(__xludf.DUMMYFUNCTION("""COMPUTED_VALUE"""),"Completado en SUCURSAL")</f>
        <v>Completado en SUCURSAL</v>
      </c>
      <c r="J4659" s="1">
        <f t="shared" si="3"/>
        <v>5</v>
      </c>
      <c r="K4659" s="1" t="str">
        <f t="shared" si="4"/>
        <v>Tus Lentes estan LISTAS PARA ENTREGAR, te esperamos.</v>
      </c>
    </row>
    <row r="4660">
      <c r="A4660" s="1">
        <f>IFERROR(__xludf.DUMMYFUNCTION("""COMPUTED_VALUE"""),89223.0)</f>
        <v>89223</v>
      </c>
      <c r="B4660" s="5">
        <f>IFERROR(__xludf.DUMMYFUNCTION("""COMPUTED_VALUE"""),45019.61939583333)</f>
        <v>45019.6194</v>
      </c>
      <c r="C4660" s="1" t="str">
        <f>IFERROR(__xludf.DUMMYFUNCTION("""COMPUTED_VALUE"""),"RUFINO HEIDRIAN KALEL (PROGRAMA MEDICINA DEL INTERIOR GOB)")</f>
        <v>RUFINO HEIDRIAN KALEL (PROGRAMA MEDICINA DEL INTERIOR GOB)</v>
      </c>
      <c r="D4660" s="1" t="str">
        <f>IFERROR(__xludf.DUMMYFUNCTION("""COMPUTED_VALUE"""),"Lentes de LABORATORIO")</f>
        <v>Lentes de LABORATORIO</v>
      </c>
      <c r="E4660" s="1" t="str">
        <f>IFERROR(__xludf.DUMMYFUNCTION("""COMPUTED_VALUE"""),"Online ADMIN.")</f>
        <v>Online ADMIN.</v>
      </c>
      <c r="F4660" s="1" t="str">
        <f t="shared" si="1"/>
        <v>Online </v>
      </c>
      <c r="G4660" s="1" t="str">
        <f t="shared" si="2"/>
        <v>ADMIN.</v>
      </c>
      <c r="H4660" s="1" t="str">
        <f>IFERROR(__xludf.DUMMYFUNCTION("""COMPUTED_VALUE"""),"10/4/2023, 17:00:00")</f>
        <v>10/4/2023, 17:00:00</v>
      </c>
      <c r="I4660" s="1" t="str">
        <f>IFERROR(__xludf.DUMMYFUNCTION("""COMPUTED_VALUE"""),"Recibido en Laboratorio")</f>
        <v>Recibido en Laboratorio</v>
      </c>
      <c r="J4660" s="1">
        <f t="shared" si="3"/>
        <v>2</v>
      </c>
      <c r="K4660" s="1" t="str">
        <f t="shared" si="4"/>
        <v>Nuestro Laboratorio esta trabajando en tus lentes, los entregaremos en la fecha acordada.</v>
      </c>
    </row>
    <row r="4661">
      <c r="A4661" s="1">
        <f>IFERROR(__xludf.DUMMYFUNCTION("""COMPUTED_VALUE"""),89224.0)</f>
        <v>89224</v>
      </c>
      <c r="B4661" s="5">
        <f>IFERROR(__xludf.DUMMYFUNCTION("""COMPUTED_VALUE"""),45019.62011556713)</f>
        <v>45019.62012</v>
      </c>
      <c r="C4661" s="1" t="str">
        <f>IFERROR(__xludf.DUMMYFUNCTION("""COMPUTED_VALUE"""),"RUFINO ZAMIEL NAIER (PROGRAMA MEDICINA DEL INTERIOR GOB)")</f>
        <v>RUFINO ZAMIEL NAIER (PROGRAMA MEDICINA DEL INTERIOR GOB)</v>
      </c>
      <c r="D4661" s="1" t="str">
        <f>IFERROR(__xludf.DUMMYFUNCTION("""COMPUTED_VALUE"""),"Lentes de LABORATORIO")</f>
        <v>Lentes de LABORATORIO</v>
      </c>
      <c r="E4661" s="1" t="str">
        <f>IFERROR(__xludf.DUMMYFUNCTION("""COMPUTED_VALUE"""),"Online ADMIN.")</f>
        <v>Online ADMIN.</v>
      </c>
      <c r="F4661" s="1" t="str">
        <f t="shared" si="1"/>
        <v>Online </v>
      </c>
      <c r="G4661" s="1" t="str">
        <f t="shared" si="2"/>
        <v>ADMIN.</v>
      </c>
      <c r="H4661" s="1" t="str">
        <f>IFERROR(__xludf.DUMMYFUNCTION("""COMPUTED_VALUE"""),"10/4/2023, 17:00:00")</f>
        <v>10/4/2023, 17:00:00</v>
      </c>
      <c r="I4661" s="1" t="str">
        <f>IFERROR(__xludf.DUMMYFUNCTION("""COMPUTED_VALUE"""),"Recibido en Laboratorio")</f>
        <v>Recibido en Laboratorio</v>
      </c>
      <c r="J4661" s="1">
        <f t="shared" si="3"/>
        <v>2</v>
      </c>
      <c r="K4661" s="1" t="str">
        <f t="shared" si="4"/>
        <v>Nuestro Laboratorio esta trabajando en tus lentes, los entregaremos en la fecha acordada.</v>
      </c>
    </row>
    <row r="4662">
      <c r="A4662" s="1">
        <f>IFERROR(__xludf.DUMMYFUNCTION("""COMPUTED_VALUE"""),89225.0)</f>
        <v>89225</v>
      </c>
      <c r="B4662" s="5">
        <f>IFERROR(__xludf.DUMMYFUNCTION("""COMPUTED_VALUE"""),45019.62104315972)</f>
        <v>45019.62104</v>
      </c>
      <c r="C4662" s="1" t="str">
        <f>IFERROR(__xludf.DUMMYFUNCTION("""COMPUTED_VALUE"""),"SARMIENTO JAQUELINA GINETTE (PROGRAMA MEDICINA DEL INTERIOR GOB)")</f>
        <v>SARMIENTO JAQUELINA GINETTE (PROGRAMA MEDICINA DEL INTERIOR GOB)</v>
      </c>
      <c r="D4662" s="1" t="str">
        <f>IFERROR(__xludf.DUMMYFUNCTION("""COMPUTED_VALUE"""),"Lentes de STOCK")</f>
        <v>Lentes de STOCK</v>
      </c>
      <c r="E4662" s="1" t="str">
        <f>IFERROR(__xludf.DUMMYFUNCTION("""COMPUTED_VALUE"""),"Online ADMIN.")</f>
        <v>Online ADMIN.</v>
      </c>
      <c r="F4662" s="1" t="str">
        <f t="shared" si="1"/>
        <v>Online </v>
      </c>
      <c r="G4662" s="1" t="str">
        <f t="shared" si="2"/>
        <v>ADMIN.</v>
      </c>
      <c r="H4662" s="1" t="str">
        <f>IFERROR(__xludf.DUMMYFUNCTION("""COMPUTED_VALUE"""),"5/4/2023, 17:00:00")</f>
        <v>5/4/2023, 17:00:00</v>
      </c>
      <c r="I4662" s="1" t="str">
        <f>IFERROR(__xludf.DUMMYFUNCTION("""COMPUTED_VALUE"""),"Completado en SUCURSAL")</f>
        <v>Completado en SUCURSAL</v>
      </c>
      <c r="J4662" s="1">
        <f t="shared" si="3"/>
        <v>5</v>
      </c>
      <c r="K4662" s="1" t="str">
        <f t="shared" si="4"/>
        <v>Tus Lentes estan LISTAS PARA ENTREGAR, te esperamos.</v>
      </c>
    </row>
    <row r="4663">
      <c r="A4663" s="1">
        <f>IFERROR(__xludf.DUMMYFUNCTION("""COMPUTED_VALUE"""),89226.0)</f>
        <v>89226</v>
      </c>
      <c r="B4663" s="5">
        <f>IFERROR(__xludf.DUMMYFUNCTION("""COMPUTED_VALUE"""),45019.62185431713)</f>
        <v>45019.62185</v>
      </c>
      <c r="C4663" s="1" t="str">
        <f>IFERROR(__xludf.DUMMYFUNCTION("""COMPUTED_VALUE"""),"SOSA CARMEN AGUSTINA 0  (PROGRAMA MEDICINA DEL INTERIOR GOB)")</f>
        <v>SOSA CARMEN AGUSTINA 0  (PROGRAMA MEDICINA DEL INTERIOR GOB)</v>
      </c>
      <c r="D4663" s="1" t="str">
        <f>IFERROR(__xludf.DUMMYFUNCTION("""COMPUTED_VALUE"""),"Lentes de STOCK")</f>
        <v>Lentes de STOCK</v>
      </c>
      <c r="E4663" s="1" t="str">
        <f>IFERROR(__xludf.DUMMYFUNCTION("""COMPUTED_VALUE"""),"Online ADMIN.")</f>
        <v>Online ADMIN.</v>
      </c>
      <c r="F4663" s="1" t="str">
        <f t="shared" si="1"/>
        <v>Online </v>
      </c>
      <c r="G4663" s="1" t="str">
        <f t="shared" si="2"/>
        <v>ADMIN.</v>
      </c>
      <c r="H4663" s="1" t="str">
        <f>IFERROR(__xludf.DUMMYFUNCTION("""COMPUTED_VALUE"""),"5/4/2023, 17:00:00")</f>
        <v>5/4/2023, 17:00:00</v>
      </c>
      <c r="I4663" s="1" t="str">
        <f>IFERROR(__xludf.DUMMYFUNCTION("""COMPUTED_VALUE"""),"Completado en SUCURSAL")</f>
        <v>Completado en SUCURSAL</v>
      </c>
      <c r="J4663" s="1">
        <f t="shared" si="3"/>
        <v>5</v>
      </c>
      <c r="K4663" s="1" t="str">
        <f t="shared" si="4"/>
        <v>Tus Lentes estan LISTAS PARA ENTREGAR, te esperamos.</v>
      </c>
    </row>
    <row r="4664">
      <c r="A4664" s="1">
        <f>IFERROR(__xludf.DUMMYFUNCTION("""COMPUTED_VALUE"""),89227.0)</f>
        <v>89227</v>
      </c>
      <c r="B4664" s="5">
        <f>IFERROR(__xludf.DUMMYFUNCTION("""COMPUTED_VALUE"""),45019.622803391205)</f>
        <v>45019.6228</v>
      </c>
      <c r="C4664" s="1" t="str">
        <f>IFERROR(__xludf.DUMMYFUNCTION("""COMPUTED_VALUE"""),"SOSA MARIA CLEMENTINA (PROGRAMA MEDICINA DEL INTERIOR GOB)")</f>
        <v>SOSA MARIA CLEMENTINA (PROGRAMA MEDICINA DEL INTERIOR GOB)</v>
      </c>
      <c r="D4664" s="1" t="str">
        <f>IFERROR(__xludf.DUMMYFUNCTION("""COMPUTED_VALUE"""),"Lentes de STOCK")</f>
        <v>Lentes de STOCK</v>
      </c>
      <c r="E4664" s="1" t="str">
        <f>IFERROR(__xludf.DUMMYFUNCTION("""COMPUTED_VALUE"""),"Online ADMIN.")</f>
        <v>Online ADMIN.</v>
      </c>
      <c r="F4664" s="1" t="str">
        <f t="shared" si="1"/>
        <v>Online </v>
      </c>
      <c r="G4664" s="1" t="str">
        <f t="shared" si="2"/>
        <v>ADMIN.</v>
      </c>
      <c r="H4664" s="1" t="str">
        <f>IFERROR(__xludf.DUMMYFUNCTION("""COMPUTED_VALUE"""),"5/4/2023, 17:00:00")</f>
        <v>5/4/2023, 17:00:00</v>
      </c>
      <c r="I4664" s="1" t="str">
        <f>IFERROR(__xludf.DUMMYFUNCTION("""COMPUTED_VALUE"""),"Completado en SUCURSAL")</f>
        <v>Completado en SUCURSAL</v>
      </c>
      <c r="J4664" s="1">
        <f t="shared" si="3"/>
        <v>5</v>
      </c>
      <c r="K4664" s="1" t="str">
        <f t="shared" si="4"/>
        <v>Tus Lentes estan LISTAS PARA ENTREGAR, te esperamos.</v>
      </c>
    </row>
    <row r="4665">
      <c r="A4665" s="1">
        <f>IFERROR(__xludf.DUMMYFUNCTION("""COMPUTED_VALUE"""),89228.0)</f>
        <v>89228</v>
      </c>
      <c r="B4665" s="5">
        <f>IFERROR(__xludf.DUMMYFUNCTION("""COMPUTED_VALUE"""),45019.623300520834)</f>
        <v>45019.6233</v>
      </c>
      <c r="C4665" s="1" t="str">
        <f>IFERROR(__xludf.DUMMYFUNCTION("""COMPUTED_VALUE"""),"SUAREZ ULISES SANTINO (PROGRAMA MEDICINA DEL INTERIOR GOB)")</f>
        <v>SUAREZ ULISES SANTINO (PROGRAMA MEDICINA DEL INTERIOR GOB)</v>
      </c>
      <c r="D4665" s="1" t="str">
        <f>IFERROR(__xludf.DUMMYFUNCTION("""COMPUTED_VALUE"""),"Lentes de STOCK")</f>
        <v>Lentes de STOCK</v>
      </c>
      <c r="E4665" s="1" t="str">
        <f>IFERROR(__xludf.DUMMYFUNCTION("""COMPUTED_VALUE"""),"Online ADMIN.")</f>
        <v>Online ADMIN.</v>
      </c>
      <c r="F4665" s="1" t="str">
        <f t="shared" si="1"/>
        <v>Online </v>
      </c>
      <c r="G4665" s="1" t="str">
        <f t="shared" si="2"/>
        <v>ADMIN.</v>
      </c>
      <c r="H4665" s="1" t="str">
        <f>IFERROR(__xludf.DUMMYFUNCTION("""COMPUTED_VALUE"""),"5/4/2023, 17:00:00")</f>
        <v>5/4/2023, 17:00:00</v>
      </c>
      <c r="I4665" s="1" t="str">
        <f>IFERROR(__xludf.DUMMYFUNCTION("""COMPUTED_VALUE"""),"Completado en SUCURSAL")</f>
        <v>Completado en SUCURSAL</v>
      </c>
      <c r="J4665" s="1">
        <f t="shared" si="3"/>
        <v>5</v>
      </c>
      <c r="K4665" s="1" t="str">
        <f t="shared" si="4"/>
        <v>Tus Lentes estan LISTAS PARA ENTREGAR, te esperamos.</v>
      </c>
    </row>
    <row r="4666">
      <c r="A4666" s="1">
        <f>IFERROR(__xludf.DUMMYFUNCTION("""COMPUTED_VALUE"""),89229.0)</f>
        <v>89229</v>
      </c>
      <c r="B4666" s="5">
        <f>IFERROR(__xludf.DUMMYFUNCTION("""COMPUTED_VALUE"""),45019.623855405094)</f>
        <v>45019.62386</v>
      </c>
      <c r="C4666" s="1" t="str">
        <f>IFERROR(__xludf.DUMMYFUNCTION("""COMPUTED_VALUE"""),"TORRES CLAUDIO EDGAR (PROGRAMA MEDICINA DEL INTERIOR GOB)")</f>
        <v>TORRES CLAUDIO EDGAR (PROGRAMA MEDICINA DEL INTERIOR GOB)</v>
      </c>
      <c r="D4666" s="1" t="str">
        <f>IFERROR(__xludf.DUMMYFUNCTION("""COMPUTED_VALUE"""),"Lentes de STOCK")</f>
        <v>Lentes de STOCK</v>
      </c>
      <c r="E4666" s="1" t="str">
        <f>IFERROR(__xludf.DUMMYFUNCTION("""COMPUTED_VALUE"""),"Online ADMIN.")</f>
        <v>Online ADMIN.</v>
      </c>
      <c r="F4666" s="1" t="str">
        <f t="shared" si="1"/>
        <v>Online </v>
      </c>
      <c r="G4666" s="1" t="str">
        <f t="shared" si="2"/>
        <v>ADMIN.</v>
      </c>
      <c r="H4666" s="1" t="str">
        <f>IFERROR(__xludf.DUMMYFUNCTION("""COMPUTED_VALUE"""),"5/4/2023, 17:00:00")</f>
        <v>5/4/2023, 17:00:00</v>
      </c>
      <c r="I4666" s="1" t="str">
        <f>IFERROR(__xludf.DUMMYFUNCTION("""COMPUTED_VALUE"""),"Completado en SUCURSAL")</f>
        <v>Completado en SUCURSAL</v>
      </c>
      <c r="J4666" s="1">
        <f t="shared" si="3"/>
        <v>5</v>
      </c>
      <c r="K4666" s="1" t="str">
        <f t="shared" si="4"/>
        <v>Tus Lentes estan LISTAS PARA ENTREGAR, te esperamos.</v>
      </c>
    </row>
    <row r="4667">
      <c r="A4667" s="1">
        <f>IFERROR(__xludf.DUMMYFUNCTION("""COMPUTED_VALUE"""),89230.0)</f>
        <v>89230</v>
      </c>
      <c r="B4667" s="5">
        <f>IFERROR(__xludf.DUMMYFUNCTION("""COMPUTED_VALUE"""),45019.62455728009)</f>
        <v>45019.62456</v>
      </c>
      <c r="C4667" s="1" t="str">
        <f>IFERROR(__xludf.DUMMYFUNCTION("""COMPUTED_VALUE"""),"TRLIN JUAN DOMINGO (PROGRAMA MEDICINA DEL INTERIOR GOB)")</f>
        <v>TRLIN JUAN DOMINGO (PROGRAMA MEDICINA DEL INTERIOR GOB)</v>
      </c>
      <c r="D4667" s="1" t="str">
        <f>IFERROR(__xludf.DUMMYFUNCTION("""COMPUTED_VALUE"""),"Lentes de STOCK")</f>
        <v>Lentes de STOCK</v>
      </c>
      <c r="E4667" s="1" t="str">
        <f>IFERROR(__xludf.DUMMYFUNCTION("""COMPUTED_VALUE"""),"Online ADMIN.")</f>
        <v>Online ADMIN.</v>
      </c>
      <c r="F4667" s="1" t="str">
        <f t="shared" si="1"/>
        <v>Online </v>
      </c>
      <c r="G4667" s="1" t="str">
        <f t="shared" si="2"/>
        <v>ADMIN.</v>
      </c>
      <c r="H4667" s="1" t="str">
        <f>IFERROR(__xludf.DUMMYFUNCTION("""COMPUTED_VALUE"""),"5/4/2023, 17:00:00")</f>
        <v>5/4/2023, 17:00:00</v>
      </c>
      <c r="I4667" s="1" t="str">
        <f>IFERROR(__xludf.DUMMYFUNCTION("""COMPUTED_VALUE"""),"Completado en SUCURSAL")</f>
        <v>Completado en SUCURSAL</v>
      </c>
      <c r="J4667" s="1">
        <f t="shared" si="3"/>
        <v>5</v>
      </c>
      <c r="K4667" s="1" t="str">
        <f t="shared" si="4"/>
        <v>Tus Lentes estan LISTAS PARA ENTREGAR, te esperamos.</v>
      </c>
    </row>
    <row r="4668">
      <c r="A4668" s="1">
        <f>IFERROR(__xludf.DUMMYFUNCTION("""COMPUTED_VALUE"""),89231.0)</f>
        <v>89231</v>
      </c>
      <c r="B4668" s="5">
        <f>IFERROR(__xludf.DUMMYFUNCTION("""COMPUTED_VALUE"""),45019.62520905092)</f>
        <v>45019.62521</v>
      </c>
      <c r="C4668" s="1" t="str">
        <f>IFERROR(__xludf.DUMMYFUNCTION("""COMPUTED_VALUE"""),"ZAPATA MARCIA ERICA (PROGRAMA MEDICINA DEL INTERIOR GOB)")</f>
        <v>ZAPATA MARCIA ERICA (PROGRAMA MEDICINA DEL INTERIOR GOB)</v>
      </c>
      <c r="D4668" s="1" t="str">
        <f>IFERROR(__xludf.DUMMYFUNCTION("""COMPUTED_VALUE"""),"Lentes de STOCK")</f>
        <v>Lentes de STOCK</v>
      </c>
      <c r="E4668" s="1" t="str">
        <f>IFERROR(__xludf.DUMMYFUNCTION("""COMPUTED_VALUE"""),"Online ADMIN.")</f>
        <v>Online ADMIN.</v>
      </c>
      <c r="F4668" s="1" t="str">
        <f t="shared" si="1"/>
        <v>Online </v>
      </c>
      <c r="G4668" s="1" t="str">
        <f t="shared" si="2"/>
        <v>ADMIN.</v>
      </c>
      <c r="H4668" s="1" t="str">
        <f>IFERROR(__xludf.DUMMYFUNCTION("""COMPUTED_VALUE"""),"5/4/2023, 17:00:00")</f>
        <v>5/4/2023, 17:00:00</v>
      </c>
      <c r="I4668" s="1" t="str">
        <f>IFERROR(__xludf.DUMMYFUNCTION("""COMPUTED_VALUE"""),"Completado en SUCURSAL")</f>
        <v>Completado en SUCURSAL</v>
      </c>
      <c r="J4668" s="1">
        <f t="shared" si="3"/>
        <v>5</v>
      </c>
      <c r="K4668" s="1" t="str">
        <f t="shared" si="4"/>
        <v>Tus Lentes estan LISTAS PARA ENTREGAR, te esperamos.</v>
      </c>
    </row>
    <row r="4669">
      <c r="A4669" s="1">
        <f>IFERROR(__xludf.DUMMYFUNCTION("""COMPUTED_VALUE"""),89232.0)</f>
        <v>89232</v>
      </c>
      <c r="B4669" s="5">
        <f>IFERROR(__xludf.DUMMYFUNCTION("""COMPUTED_VALUE"""),45019.6900046875)</f>
        <v>45019.69</v>
      </c>
      <c r="C4669" s="1" t="str">
        <f>IFERROR(__xludf.DUMMYFUNCTION("""COMPUTED_VALUE"""),"delicia emilia")</f>
        <v>delicia emilia</v>
      </c>
      <c r="D4669" s="1" t="str">
        <f>IFERROR(__xludf.DUMMYFUNCTION("""COMPUTED_VALUE"""),"Lentes de STOCK")</f>
        <v>Lentes de STOCK</v>
      </c>
      <c r="E4669" s="1" t="str">
        <f>IFERROR(__xludf.DUMMYFUNCTION("""COMPUTED_VALUE"""),"ARTIGAS Roció")</f>
        <v>ARTIGAS Roció</v>
      </c>
      <c r="F4669" s="1" t="str">
        <f t="shared" si="1"/>
        <v>ARTIGAS </v>
      </c>
      <c r="G4669" s="1" t="str">
        <f t="shared" si="2"/>
        <v>Roció</v>
      </c>
      <c r="H4669" s="1" t="str">
        <f>IFERROR(__xludf.DUMMYFUNCTION("""COMPUTED_VALUE"""),"13/4/2023, 17:00:00")</f>
        <v>13/4/2023, 17:00:00</v>
      </c>
      <c r="I4669" s="1"/>
      <c r="J4669" s="1">
        <f t="shared" si="3"/>
        <v>0</v>
      </c>
      <c r="K4669" s="1" t="str">
        <f t="shared" si="4"/>
        <v/>
      </c>
    </row>
    <row r="4670">
      <c r="A4670" s="1">
        <f>IFERROR(__xludf.DUMMYFUNCTION("""COMPUTED_VALUE"""),89233.0)</f>
        <v>89233</v>
      </c>
      <c r="B4670" s="5">
        <f>IFERROR(__xludf.DUMMYFUNCTION("""COMPUTED_VALUE"""),45019.69315497685)</f>
        <v>45019.69315</v>
      </c>
      <c r="C4670" s="1" t="str">
        <f>IFERROR(__xludf.DUMMYFUNCTION("""COMPUTED_VALUE"""),"MOLINA OSCAR")</f>
        <v>MOLINA OSCAR</v>
      </c>
      <c r="D4670" s="1" t="str">
        <f>IFERROR(__xludf.DUMMYFUNCTION("""COMPUTED_VALUE"""),"Lentes de LABORATORIO")</f>
        <v>Lentes de LABORATORIO</v>
      </c>
      <c r="E4670" s="1" t="str">
        <f>IFERROR(__xludf.DUMMYFUNCTION("""COMPUTED_VALUE"""),"ARTIGAS Ivana P.")</f>
        <v>ARTIGAS Ivana P.</v>
      </c>
      <c r="F4670" s="1" t="str">
        <f t="shared" si="1"/>
        <v>ARTIGAS </v>
      </c>
      <c r="G4670" s="1" t="str">
        <f t="shared" si="2"/>
        <v>Ivana P.</v>
      </c>
      <c r="H4670" s="1" t="str">
        <f>IFERROR(__xludf.DUMMYFUNCTION("""COMPUTED_VALUE"""),"13/4/2023, 17:00:00")</f>
        <v>13/4/2023, 17:00:00</v>
      </c>
      <c r="I4670" s="1" t="str">
        <f>IFERROR(__xludf.DUMMYFUNCTION("""COMPUTED_VALUE"""),"Completado en SUCURSAL")</f>
        <v>Completado en SUCURSAL</v>
      </c>
      <c r="J4670" s="1">
        <f t="shared" si="3"/>
        <v>5</v>
      </c>
      <c r="K4670" s="1" t="str">
        <f t="shared" si="4"/>
        <v>Tus Lentes estan LISTAS PARA ENTREGAR, te esperamos.</v>
      </c>
    </row>
    <row r="4671">
      <c r="A4671" s="1">
        <f>IFERROR(__xludf.DUMMYFUNCTION("""COMPUTED_VALUE"""),89234.0)</f>
        <v>89234</v>
      </c>
      <c r="B4671" s="5">
        <f>IFERROR(__xludf.DUMMYFUNCTION("""COMPUTED_VALUE"""),45019.69930212963)</f>
        <v>45019.6993</v>
      </c>
      <c r="C4671" s="1" t="str">
        <f>IFERROR(__xludf.DUMMYFUNCTION("""COMPUTED_VALUE"""),"GIMENO LAURA MARIA DEL  CARMEN")</f>
        <v>GIMENO LAURA MARIA DEL  CARMEN</v>
      </c>
      <c r="D4671" s="1" t="str">
        <f>IFERROR(__xludf.DUMMYFUNCTION("""COMPUTED_VALUE"""),"Lentes de STOCK")</f>
        <v>Lentes de STOCK</v>
      </c>
      <c r="E4671" s="1" t="str">
        <f>IFERROR(__xludf.DUMMYFUNCTION("""COMPUTED_VALUE"""),"RIVADAVIA Christian C.")</f>
        <v>RIVADAVIA Christian C.</v>
      </c>
      <c r="F4671" s="1" t="str">
        <f t="shared" si="1"/>
        <v>RIVADAVIA </v>
      </c>
      <c r="G4671" s="1" t="str">
        <f t="shared" si="2"/>
        <v>Christian C.</v>
      </c>
      <c r="H4671" s="1" t="str">
        <f>IFERROR(__xludf.DUMMYFUNCTION("""COMPUTED_VALUE"""),"10/4/2023, 17:00:00")</f>
        <v>10/4/2023, 17:00:00</v>
      </c>
      <c r="I4671" s="1" t="str">
        <f>IFERROR(__xludf.DUMMYFUNCTION("""COMPUTED_VALUE"""),"RETIRADO OK POR CLIENTE")</f>
        <v>RETIRADO OK POR CLIENTE</v>
      </c>
      <c r="J4671" s="1">
        <f t="shared" si="3"/>
        <v>6</v>
      </c>
      <c r="K4671" s="1" t="str">
        <f t="shared" si="4"/>
        <v>Entregamos tus lentes, que los disfrutes!</v>
      </c>
    </row>
    <row r="4672">
      <c r="A4672" s="1">
        <f>IFERROR(__xludf.DUMMYFUNCTION("""COMPUTED_VALUE"""),89235.0)</f>
        <v>89235</v>
      </c>
      <c r="B4672" s="5">
        <f>IFERROR(__xludf.DUMMYFUNCTION("""COMPUTED_VALUE"""),45019.70195357639)</f>
        <v>45019.70195</v>
      </c>
      <c r="C4672" s="1" t="str">
        <f>IFERROR(__xludf.DUMMYFUNCTION("""COMPUTED_VALUE"""),"SOSA VICTOR LUIS (PROGRAMA MEDICINA DEL INTERIOR GOB)")</f>
        <v>SOSA VICTOR LUIS (PROGRAMA MEDICINA DEL INTERIOR GOB)</v>
      </c>
      <c r="D4672" s="1" t="str">
        <f>IFERROR(__xludf.DUMMYFUNCTION("""COMPUTED_VALUE"""),"Lentes de STOCK")</f>
        <v>Lentes de STOCK</v>
      </c>
      <c r="E4672" s="1" t="str">
        <f>IFERROR(__xludf.DUMMYFUNCTION("""COMPUTED_VALUE"""),"Online ADMIN.")</f>
        <v>Online ADMIN.</v>
      </c>
      <c r="F4672" s="1" t="str">
        <f t="shared" si="1"/>
        <v>Online </v>
      </c>
      <c r="G4672" s="1" t="str">
        <f t="shared" si="2"/>
        <v>ADMIN.</v>
      </c>
      <c r="H4672" s="1" t="str">
        <f>IFERROR(__xludf.DUMMYFUNCTION("""COMPUTED_VALUE"""),"5/4/2023, 17:00:00")</f>
        <v>5/4/2023, 17:00:00</v>
      </c>
      <c r="I4672" s="1" t="str">
        <f>IFERROR(__xludf.DUMMYFUNCTION("""COMPUTED_VALUE"""),"Completado en SUCURSAL")</f>
        <v>Completado en SUCURSAL</v>
      </c>
      <c r="J4672" s="1">
        <f t="shared" si="3"/>
        <v>5</v>
      </c>
      <c r="K4672" s="1" t="str">
        <f t="shared" si="4"/>
        <v>Tus Lentes estan LISTAS PARA ENTREGAR, te esperamos.</v>
      </c>
    </row>
    <row r="4673">
      <c r="A4673" s="1">
        <f>IFERROR(__xludf.DUMMYFUNCTION("""COMPUTED_VALUE"""),89236.0)</f>
        <v>89236</v>
      </c>
      <c r="B4673" s="5">
        <f>IFERROR(__xludf.DUMMYFUNCTION("""COMPUTED_VALUE"""),45019.7111324537)</f>
        <v>45019.71113</v>
      </c>
      <c r="C4673" s="1" t="str">
        <f>IFERROR(__xludf.DUMMYFUNCTION("""COMPUTED_VALUE"""),"CUELLO WALTER")</f>
        <v>CUELLO WALTER</v>
      </c>
      <c r="D4673" s="1" t="str">
        <f>IFERROR(__xludf.DUMMYFUNCTION("""COMPUTED_VALUE"""),"Lentes de STOCK")</f>
        <v>Lentes de STOCK</v>
      </c>
      <c r="E4673" s="1" t="str">
        <f>IFERROR(__xludf.DUMMYFUNCTION("""COMPUTED_VALUE"""),"RIVADAVIA Luciana")</f>
        <v>RIVADAVIA Luciana</v>
      </c>
      <c r="F4673" s="1" t="str">
        <f t="shared" si="1"/>
        <v>RIVADAVIA </v>
      </c>
      <c r="G4673" s="1" t="str">
        <f t="shared" si="2"/>
        <v>Luciana</v>
      </c>
      <c r="H4673" s="1" t="str">
        <f>IFERROR(__xludf.DUMMYFUNCTION("""COMPUTED_VALUE"""),"10/4/2023, 17:00:00")</f>
        <v>10/4/2023, 17:00:00</v>
      </c>
      <c r="I4673" s="1" t="str">
        <f>IFERROR(__xludf.DUMMYFUNCTION("""COMPUTED_VALUE"""),"Completado en SUCURSAL")</f>
        <v>Completado en SUCURSAL</v>
      </c>
      <c r="J4673" s="1">
        <f t="shared" si="3"/>
        <v>5</v>
      </c>
      <c r="K4673" s="1" t="str">
        <f t="shared" si="4"/>
        <v>Tus Lentes estan LISTAS PARA ENTREGAR, te esperamos.</v>
      </c>
    </row>
    <row r="4674">
      <c r="A4674" s="1">
        <f>IFERROR(__xludf.DUMMYFUNCTION("""COMPUTED_VALUE"""),89237.0)</f>
        <v>89237</v>
      </c>
      <c r="B4674" s="5">
        <f>IFERROR(__xludf.DUMMYFUNCTION("""COMPUTED_VALUE"""),45019.71250277778)</f>
        <v>45019.7125</v>
      </c>
      <c r="C4674" s="1" t="str">
        <f>IFERROR(__xludf.DUMMYFUNCTION("""COMPUTED_VALUE"""),"BONINO BRITOS SOFIA")</f>
        <v>BONINO BRITOS SOFIA</v>
      </c>
      <c r="D4674" s="1" t="str">
        <f>IFERROR(__xludf.DUMMYFUNCTION("""COMPUTED_VALUE"""),"Lentes de STOCK")</f>
        <v>Lentes de STOCK</v>
      </c>
      <c r="E4674" s="1" t="str">
        <f>IFERROR(__xludf.DUMMYFUNCTION("""COMPUTED_VALUE"""),"RIVADAVIA Christian C.")</f>
        <v>RIVADAVIA Christian C.</v>
      </c>
      <c r="F4674" s="1" t="str">
        <f t="shared" si="1"/>
        <v>RIVADAVIA </v>
      </c>
      <c r="G4674" s="1" t="str">
        <f t="shared" si="2"/>
        <v>Christian C.</v>
      </c>
      <c r="H4674" s="1" t="str">
        <f>IFERROR(__xludf.DUMMYFUNCTION("""COMPUTED_VALUE"""),"11/4/2023, 17:00:00")</f>
        <v>11/4/2023, 17:00:00</v>
      </c>
      <c r="I4674" s="1" t="str">
        <f>IFERROR(__xludf.DUMMYFUNCTION("""COMPUTED_VALUE"""),"Completado en SUCURSAL")</f>
        <v>Completado en SUCURSAL</v>
      </c>
      <c r="J4674" s="1">
        <f t="shared" si="3"/>
        <v>5</v>
      </c>
      <c r="K4674" s="1" t="str">
        <f t="shared" si="4"/>
        <v>Tus Lentes estan LISTAS PARA ENTREGAR, te esperamos.</v>
      </c>
    </row>
    <row r="4675">
      <c r="A4675" s="1">
        <f>IFERROR(__xludf.DUMMYFUNCTION("""COMPUTED_VALUE"""),89238.0)</f>
        <v>89238</v>
      </c>
      <c r="B4675" s="5">
        <f>IFERROR(__xludf.DUMMYFUNCTION("""COMPUTED_VALUE"""),45019.724937569445)</f>
        <v>45019.72494</v>
      </c>
      <c r="C4675" s="1" t="str">
        <f>IFERROR(__xludf.DUMMYFUNCTION("""COMPUTED_VALUE"""),"aguero olga")</f>
        <v>aguero olga</v>
      </c>
      <c r="D4675" s="1" t="str">
        <f>IFERROR(__xludf.DUMMYFUNCTION("""COMPUTED_VALUE"""),"Reparaciones/Otros")</f>
        <v>Reparaciones/Otros</v>
      </c>
      <c r="E4675" s="1" t="str">
        <f>IFERROR(__xludf.DUMMYFUNCTION("""COMPUTED_VALUE"""),"RIVADAVIA Christian C.")</f>
        <v>RIVADAVIA Christian C.</v>
      </c>
      <c r="F4675" s="1" t="str">
        <f t="shared" si="1"/>
        <v>RIVADAVIA </v>
      </c>
      <c r="G4675" s="1" t="str">
        <f t="shared" si="2"/>
        <v>Christian C.</v>
      </c>
      <c r="H4675" s="1" t="str">
        <f>IFERROR(__xludf.DUMMYFUNCTION("""COMPUTED_VALUE"""),"5/4/2023, 17:00:00")</f>
        <v>5/4/2023, 17:00:00</v>
      </c>
      <c r="I4675" s="1" t="str">
        <f>IFERROR(__xludf.DUMMYFUNCTION("""COMPUTED_VALUE"""),"Completado en SUCURSAL")</f>
        <v>Completado en SUCURSAL</v>
      </c>
      <c r="J4675" s="1">
        <f t="shared" si="3"/>
        <v>5</v>
      </c>
      <c r="K4675" s="1" t="str">
        <f t="shared" si="4"/>
        <v>Tus Lentes estan LISTAS PARA ENTREGAR, te esperamos.</v>
      </c>
    </row>
    <row r="4676">
      <c r="A4676" s="1">
        <f>IFERROR(__xludf.DUMMYFUNCTION("""COMPUTED_VALUE"""),89239.0)</f>
        <v>89239</v>
      </c>
      <c r="B4676" s="5">
        <f>IFERROR(__xludf.DUMMYFUNCTION("""COMPUTED_VALUE"""),45019.726769270834)</f>
        <v>45019.72677</v>
      </c>
      <c r="C4676" s="1" t="str">
        <f>IFERROR(__xludf.DUMMYFUNCTION("""COMPUTED_VALUE"""),"MORALES FABIAN")</f>
        <v>MORALES FABIAN</v>
      </c>
      <c r="D4676" s="1" t="str">
        <f>IFERROR(__xludf.DUMMYFUNCTION("""COMPUTED_VALUE"""),"Lentes de STOCK")</f>
        <v>Lentes de STOCK</v>
      </c>
      <c r="E4676" s="1" t="str">
        <f>IFERROR(__xludf.DUMMYFUNCTION("""COMPUTED_VALUE"""),"RIVADAVIA Marcela L")</f>
        <v>RIVADAVIA Marcela L</v>
      </c>
      <c r="F4676" s="1" t="str">
        <f t="shared" si="1"/>
        <v>RIVADAVIA </v>
      </c>
      <c r="G4676" s="1" t="str">
        <f t="shared" si="2"/>
        <v>Marcela L</v>
      </c>
      <c r="H4676" s="1" t="str">
        <f>IFERROR(__xludf.DUMMYFUNCTION("""COMPUTED_VALUE"""),"11/4/2023, 17:00:00")</f>
        <v>11/4/2023, 17:00:00</v>
      </c>
      <c r="I4676" s="1" t="str">
        <f>IFERROR(__xludf.DUMMYFUNCTION("""COMPUTED_VALUE"""),"Completado en SUCURSAL")</f>
        <v>Completado en SUCURSAL</v>
      </c>
      <c r="J4676" s="1">
        <f t="shared" si="3"/>
        <v>5</v>
      </c>
      <c r="K4676" s="1" t="str">
        <f t="shared" si="4"/>
        <v>Tus Lentes estan LISTAS PARA ENTREGAR, te esperamos.</v>
      </c>
    </row>
    <row r="4677">
      <c r="A4677" s="1">
        <f>IFERROR(__xludf.DUMMYFUNCTION("""COMPUTED_VALUE"""),89240.0)</f>
        <v>89240</v>
      </c>
      <c r="B4677" s="5">
        <f>IFERROR(__xludf.DUMMYFUNCTION("""COMPUTED_VALUE"""),45019.735186087964)</f>
        <v>45019.73519</v>
      </c>
      <c r="C4677" s="1" t="str">
        <f>IFERROR(__xludf.DUMMYFUNCTION("""COMPUTED_VALUE"""),"BETY")</f>
        <v>BETY</v>
      </c>
      <c r="D4677" s="1" t="str">
        <f>IFERROR(__xludf.DUMMYFUNCTION("""COMPUTED_VALUE"""),"Lentes de STOCK")</f>
        <v>Lentes de STOCK</v>
      </c>
      <c r="E4677" s="1" t="str">
        <f>IFERROR(__xludf.DUMMYFUNCTION("""COMPUTED_VALUE"""),"ARTIGAS Ivana P.")</f>
        <v>ARTIGAS Ivana P.</v>
      </c>
      <c r="F4677" s="1" t="str">
        <f t="shared" si="1"/>
        <v>ARTIGAS </v>
      </c>
      <c r="G4677" s="1" t="str">
        <f t="shared" si="2"/>
        <v>Ivana P.</v>
      </c>
      <c r="H4677" s="1" t="str">
        <f>IFERROR(__xludf.DUMMYFUNCTION("""COMPUTED_VALUE"""),"10/4/2023, 17:00:00")</f>
        <v>10/4/2023, 17:00:00</v>
      </c>
      <c r="I4677" s="1" t="str">
        <f>IFERROR(__xludf.DUMMYFUNCTION("""COMPUTED_VALUE"""),"Completado en SUCURSAL")</f>
        <v>Completado en SUCURSAL</v>
      </c>
      <c r="J4677" s="1">
        <f t="shared" si="3"/>
        <v>5</v>
      </c>
      <c r="K4677" s="1" t="str">
        <f t="shared" si="4"/>
        <v>Tus Lentes estan LISTAS PARA ENTREGAR, te esperamos.</v>
      </c>
    </row>
    <row r="4678" hidden="1">
      <c r="A4678" s="1">
        <f>IFERROR(__xludf.DUMMYFUNCTION("""COMPUTED_VALUE"""),89241.0)</f>
        <v>89241</v>
      </c>
      <c r="B4678" s="5">
        <f>IFERROR(__xludf.DUMMYFUNCTION("""COMPUTED_VALUE"""),45019.74134724537)</f>
        <v>45019.74135</v>
      </c>
      <c r="C4678" s="1" t="str">
        <f>IFERROR(__xludf.DUMMYFUNCTION("""COMPUTED_VALUE"""),"OROZCO ADELA")</f>
        <v>OROZCO ADELA</v>
      </c>
      <c r="D4678" s="1" t="str">
        <f>IFERROR(__xludf.DUMMYFUNCTION("""COMPUTED_VALUE"""),"Lentes BIFOCALES")</f>
        <v>Lentes BIFOCALES</v>
      </c>
      <c r="E4678" s="1" t="str">
        <f>IFERROR(__xludf.DUMMYFUNCTION("""COMPUTED_VALUE"""),"ARTIGAS Roció")</f>
        <v>ARTIGAS Roció</v>
      </c>
      <c r="F4678" s="1" t="str">
        <f t="shared" si="1"/>
        <v>ARTIGAS </v>
      </c>
      <c r="G4678" s="1" t="str">
        <f t="shared" si="2"/>
        <v>Roció</v>
      </c>
      <c r="H4678" s="1" t="str">
        <f>IFERROR(__xludf.DUMMYFUNCTION("""COMPUTED_VALUE"""),"14/4/2023, 17:00:00")</f>
        <v>14/4/2023, 17:00:00</v>
      </c>
      <c r="I4678" s="1" t="str">
        <f>IFERROR(__xludf.DUMMYFUNCTION("""COMPUTED_VALUE"""),"DEMORADO")</f>
        <v>DEMORADO</v>
      </c>
      <c r="J4678" s="1" t="str">
        <f t="shared" si="3"/>
        <v/>
      </c>
      <c r="K4678" s="1" t="str">
        <f t="shared" si="4"/>
        <v>Tuvimos una demora con tus lentes y no podremos entregarlo en las fecha acordada, estamos trabajando para terminarlos cuanto antes, te mantendremos al tanto, si es necesario contactanos via whatsapp.</v>
      </c>
    </row>
    <row r="4679">
      <c r="A4679" s="1">
        <f>IFERROR(__xludf.DUMMYFUNCTION("""COMPUTED_VALUE"""),89242.0)</f>
        <v>89242</v>
      </c>
      <c r="B4679" s="5">
        <f>IFERROR(__xludf.DUMMYFUNCTION("""COMPUTED_VALUE"""),45019.744213391205)</f>
        <v>45019.74421</v>
      </c>
      <c r="C4679" s="1" t="str">
        <f>IFERROR(__xludf.DUMMYFUNCTION("""COMPUTED_VALUE"""),"ESCUDERO ANA MARIA ")</f>
        <v>ESCUDERO ANA MARIA </v>
      </c>
      <c r="D4679" s="1" t="str">
        <f>IFERROR(__xludf.DUMMYFUNCTION("""COMPUTED_VALUE"""),"Lentes de STOCK")</f>
        <v>Lentes de STOCK</v>
      </c>
      <c r="E4679" s="1" t="str">
        <f>IFERROR(__xludf.DUMMYFUNCTION("""COMPUTED_VALUE"""),"RIVADAVIA Christian C.")</f>
        <v>RIVADAVIA Christian C.</v>
      </c>
      <c r="F4679" s="1" t="str">
        <f t="shared" si="1"/>
        <v>RIVADAVIA </v>
      </c>
      <c r="G4679" s="1" t="str">
        <f t="shared" si="2"/>
        <v>Christian C.</v>
      </c>
      <c r="H4679" s="1" t="str">
        <f>IFERROR(__xludf.DUMMYFUNCTION("""COMPUTED_VALUE"""),"10/4/2023, 17:00:00")</f>
        <v>10/4/2023, 17:00:00</v>
      </c>
      <c r="I4679" s="1" t="str">
        <f>IFERROR(__xludf.DUMMYFUNCTION("""COMPUTED_VALUE"""),"Completado en SUCURSAL")</f>
        <v>Completado en SUCURSAL</v>
      </c>
      <c r="J4679" s="1">
        <f t="shared" si="3"/>
        <v>5</v>
      </c>
      <c r="K4679" s="1" t="str">
        <f t="shared" si="4"/>
        <v>Tus Lentes estan LISTAS PARA ENTREGAR, te esperamos.</v>
      </c>
    </row>
    <row r="4680">
      <c r="A4680" s="1">
        <f>IFERROR(__xludf.DUMMYFUNCTION("""COMPUTED_VALUE"""),89243.0)</f>
        <v>89243</v>
      </c>
      <c r="B4680" s="5">
        <f>IFERROR(__xludf.DUMMYFUNCTION("""COMPUTED_VALUE"""),45019.74761958333)</f>
        <v>45019.74762</v>
      </c>
      <c r="C4680" s="1" t="str">
        <f>IFERROR(__xludf.DUMMYFUNCTION("""COMPUTED_VALUE"""),"GONZALEZ ROSA ")</f>
        <v>GONZALEZ ROSA </v>
      </c>
      <c r="D4680" s="1" t="str">
        <f>IFERROR(__xludf.DUMMYFUNCTION("""COMPUTED_VALUE"""),"Lentes de STOCK")</f>
        <v>Lentes de STOCK</v>
      </c>
      <c r="E4680" s="1" t="str">
        <f>IFERROR(__xludf.DUMMYFUNCTION("""COMPUTED_VALUE"""),"RIVADAVIA Santiago N")</f>
        <v>RIVADAVIA Santiago N</v>
      </c>
      <c r="F4680" s="1" t="str">
        <f t="shared" si="1"/>
        <v>RIVADAVIA </v>
      </c>
      <c r="G4680" s="1" t="str">
        <f t="shared" si="2"/>
        <v>Santiago N</v>
      </c>
      <c r="H4680" s="1" t="str">
        <f>IFERROR(__xludf.DUMMYFUNCTION("""COMPUTED_VALUE"""),"6/4/2023, 17:00:00")</f>
        <v>6/4/2023, 17:00:00</v>
      </c>
      <c r="I4680" s="1" t="str">
        <f>IFERROR(__xludf.DUMMYFUNCTION("""COMPUTED_VALUE"""),"Completado en SUCURSAL")</f>
        <v>Completado en SUCURSAL</v>
      </c>
      <c r="J4680" s="1">
        <f t="shared" si="3"/>
        <v>5</v>
      </c>
      <c r="K4680" s="1" t="str">
        <f t="shared" si="4"/>
        <v>Tus Lentes estan LISTAS PARA ENTREGAR, te esperamos.</v>
      </c>
    </row>
    <row r="4681">
      <c r="A4681" s="1">
        <f>IFERROR(__xludf.DUMMYFUNCTION("""COMPUTED_VALUE"""),89244.0)</f>
        <v>89244</v>
      </c>
      <c r="B4681" s="5">
        <f>IFERROR(__xludf.DUMMYFUNCTION("""COMPUTED_VALUE"""),45019.74936195602)</f>
        <v>45019.74936</v>
      </c>
      <c r="C4681" s="1" t="str">
        <f>IFERROR(__xludf.DUMMYFUNCTION("""COMPUTED_VALUE"""),"BARZANTE NATANAEL")</f>
        <v>BARZANTE NATANAEL</v>
      </c>
      <c r="D4681" s="1" t="str">
        <f>IFERROR(__xludf.DUMMYFUNCTION("""COMPUTED_VALUE"""),"Lentes de STOCK")</f>
        <v>Lentes de STOCK</v>
      </c>
      <c r="E4681" s="1" t="str">
        <f>IFERROR(__xludf.DUMMYFUNCTION("""COMPUTED_VALUE"""),"RIVADAVIA Javier")</f>
        <v>RIVADAVIA Javier</v>
      </c>
      <c r="F4681" s="1" t="str">
        <f t="shared" si="1"/>
        <v>RIVADAVIA </v>
      </c>
      <c r="G4681" s="1" t="str">
        <f t="shared" si="2"/>
        <v>Javier</v>
      </c>
      <c r="H4681" s="1" t="str">
        <f>IFERROR(__xludf.DUMMYFUNCTION("""COMPUTED_VALUE"""),"10/4/2023, 17:00:00")</f>
        <v>10/4/2023, 17:00:00</v>
      </c>
      <c r="I4681" s="1" t="str">
        <f>IFERROR(__xludf.DUMMYFUNCTION("""COMPUTED_VALUE"""),"RETIRADO OK POR CLIENTE")</f>
        <v>RETIRADO OK POR CLIENTE</v>
      </c>
      <c r="J4681" s="1">
        <f t="shared" si="3"/>
        <v>6</v>
      </c>
      <c r="K4681" s="1" t="str">
        <f t="shared" si="4"/>
        <v>Entregamos tus lentes, que los disfrutes!</v>
      </c>
    </row>
    <row r="4682">
      <c r="A4682" s="1">
        <f>IFERROR(__xludf.DUMMYFUNCTION("""COMPUTED_VALUE"""),89245.0)</f>
        <v>89245</v>
      </c>
      <c r="B4682" s="5">
        <f>IFERROR(__xludf.DUMMYFUNCTION("""COMPUTED_VALUE"""),45019.75132605324)</f>
        <v>45019.75133</v>
      </c>
      <c r="C4682" s="1" t="str">
        <f>IFERROR(__xludf.DUMMYFUNCTION("""COMPUTED_VALUE"""),"Funes Raul ")</f>
        <v>Funes Raul </v>
      </c>
      <c r="D4682" s="1" t="str">
        <f>IFERROR(__xludf.DUMMYFUNCTION("""COMPUTED_VALUE"""),"Reparaciones/Otros")</f>
        <v>Reparaciones/Otros</v>
      </c>
      <c r="E4682" s="1" t="str">
        <f>IFERROR(__xludf.DUMMYFUNCTION("""COMPUTED_VALUE"""),"ARTIGAS Micaela")</f>
        <v>ARTIGAS Micaela</v>
      </c>
      <c r="F4682" s="1" t="str">
        <f t="shared" si="1"/>
        <v>ARTIGAS </v>
      </c>
      <c r="G4682" s="1" t="str">
        <f t="shared" si="2"/>
        <v>Micaela</v>
      </c>
      <c r="H4682" s="1" t="str">
        <f>IFERROR(__xludf.DUMMYFUNCTION("""COMPUTED_VALUE"""),"4/4/2023, 17:00:00")</f>
        <v>4/4/2023, 17:00:00</v>
      </c>
      <c r="I4682" s="1" t="str">
        <f>IFERROR(__xludf.DUMMYFUNCTION("""COMPUTED_VALUE"""),"Completado en SUCURSAL")</f>
        <v>Completado en SUCURSAL</v>
      </c>
      <c r="J4682" s="1">
        <f t="shared" si="3"/>
        <v>5</v>
      </c>
      <c r="K4682" s="1" t="str">
        <f t="shared" si="4"/>
        <v>Tus Lentes estan LISTAS PARA ENTREGAR, te esperamos.</v>
      </c>
    </row>
    <row r="4683">
      <c r="A4683" s="1">
        <f>IFERROR(__xludf.DUMMYFUNCTION("""COMPUTED_VALUE"""),89246.0)</f>
        <v>89246</v>
      </c>
      <c r="B4683" s="5">
        <f>IFERROR(__xludf.DUMMYFUNCTION("""COMPUTED_VALUE"""),45019.7513775463)</f>
        <v>45019.75138</v>
      </c>
      <c r="C4683" s="1" t="str">
        <f>IFERROR(__xludf.DUMMYFUNCTION("""COMPUTED_VALUE"""),"GIMENEZ AGOSTINA")</f>
        <v>GIMENEZ AGOSTINA</v>
      </c>
      <c r="D4683" s="1" t="str">
        <f>IFERROR(__xludf.DUMMYFUNCTION("""COMPUTED_VALUE"""),"Lentes de STOCK")</f>
        <v>Lentes de STOCK</v>
      </c>
      <c r="E4683" s="1" t="str">
        <f>IFERROR(__xludf.DUMMYFUNCTION("""COMPUTED_VALUE"""),"ARTIGAS Ivana P.")</f>
        <v>ARTIGAS Ivana P.</v>
      </c>
      <c r="F4683" s="1" t="str">
        <f t="shared" si="1"/>
        <v>ARTIGAS </v>
      </c>
      <c r="G4683" s="1" t="str">
        <f t="shared" si="2"/>
        <v>Ivana P.</v>
      </c>
      <c r="H4683" s="1" t="str">
        <f>IFERROR(__xludf.DUMMYFUNCTION("""COMPUTED_VALUE"""),"10/4/2023, 17:00:00")</f>
        <v>10/4/2023, 17:00:00</v>
      </c>
      <c r="I4683" s="1" t="str">
        <f>IFERROR(__xludf.DUMMYFUNCTION("""COMPUTED_VALUE"""),"Completado en SUCURSAL")</f>
        <v>Completado en SUCURSAL</v>
      </c>
      <c r="J4683" s="1">
        <f t="shared" si="3"/>
        <v>5</v>
      </c>
      <c r="K4683" s="1" t="str">
        <f t="shared" si="4"/>
        <v>Tus Lentes estan LISTAS PARA ENTREGAR, te esperamos.</v>
      </c>
    </row>
    <row r="4684">
      <c r="A4684" s="1">
        <f>IFERROR(__xludf.DUMMYFUNCTION("""COMPUTED_VALUE"""),89247.0)</f>
        <v>89247</v>
      </c>
      <c r="B4684" s="5">
        <f>IFERROR(__xludf.DUMMYFUNCTION("""COMPUTED_VALUE"""),45019.75311523148)</f>
        <v>45019.75312</v>
      </c>
      <c r="C4684" s="1" t="str">
        <f>IFERROR(__xludf.DUMMYFUNCTION("""COMPUTED_VALUE"""),"GIMENEZ GABRIEL")</f>
        <v>GIMENEZ GABRIEL</v>
      </c>
      <c r="D4684" s="1" t="str">
        <f>IFERROR(__xludf.DUMMYFUNCTION("""COMPUTED_VALUE"""),"Lentes de STOCK")</f>
        <v>Lentes de STOCK</v>
      </c>
      <c r="E4684" s="1" t="str">
        <f>IFERROR(__xludf.DUMMYFUNCTION("""COMPUTED_VALUE"""),"ARTIGAS Ivana P.")</f>
        <v>ARTIGAS Ivana P.</v>
      </c>
      <c r="F4684" s="1" t="str">
        <f t="shared" si="1"/>
        <v>ARTIGAS </v>
      </c>
      <c r="G4684" s="1" t="str">
        <f t="shared" si="2"/>
        <v>Ivana P.</v>
      </c>
      <c r="H4684" s="1" t="str">
        <f>IFERROR(__xludf.DUMMYFUNCTION("""COMPUTED_VALUE"""),"10/4/2023, 17:00:00")</f>
        <v>10/4/2023, 17:00:00</v>
      </c>
      <c r="I4684" s="1" t="str">
        <f>IFERROR(__xludf.DUMMYFUNCTION("""COMPUTED_VALUE"""),"Completado en SUCURSAL")</f>
        <v>Completado en SUCURSAL</v>
      </c>
      <c r="J4684" s="1">
        <f t="shared" si="3"/>
        <v>5</v>
      </c>
      <c r="K4684" s="1" t="str">
        <f t="shared" si="4"/>
        <v>Tus Lentes estan LISTAS PARA ENTREGAR, te esperamos.</v>
      </c>
    </row>
    <row r="4685">
      <c r="A4685" s="1">
        <f>IFERROR(__xludf.DUMMYFUNCTION("""COMPUTED_VALUE"""),89248.0)</f>
        <v>89248</v>
      </c>
      <c r="B4685" s="5">
        <f>IFERROR(__xludf.DUMMYFUNCTION("""COMPUTED_VALUE"""),45019.755204050925)</f>
        <v>45019.7552</v>
      </c>
      <c r="C4685" s="1" t="str">
        <f>IFERROR(__xludf.DUMMYFUNCTION("""COMPUTED_VALUE"""),"SOSA ANTONIO")</f>
        <v>SOSA ANTONIO</v>
      </c>
      <c r="D4685" s="1" t="str">
        <f>IFERROR(__xludf.DUMMYFUNCTION("""COMPUTED_VALUE"""),"Reparaciones/Otros")</f>
        <v>Reparaciones/Otros</v>
      </c>
      <c r="E4685" s="1" t="str">
        <f>IFERROR(__xludf.DUMMYFUNCTION("""COMPUTED_VALUE"""),"RIVADAVIA Daniel CM")</f>
        <v>RIVADAVIA Daniel CM</v>
      </c>
      <c r="F4685" s="1" t="str">
        <f t="shared" si="1"/>
        <v>RIVADAVIA </v>
      </c>
      <c r="G4685" s="1" t="str">
        <f t="shared" si="2"/>
        <v>Daniel CM</v>
      </c>
      <c r="H4685" s="1" t="str">
        <f>IFERROR(__xludf.DUMMYFUNCTION("""COMPUTED_VALUE"""),"4/4/2023, 17:00:00")</f>
        <v>4/4/2023, 17:00:00</v>
      </c>
      <c r="I4685" s="1" t="str">
        <f>IFERROR(__xludf.DUMMYFUNCTION("""COMPUTED_VALUE"""),"Completado en SUCURSAL")</f>
        <v>Completado en SUCURSAL</v>
      </c>
      <c r="J4685" s="1">
        <f t="shared" si="3"/>
        <v>5</v>
      </c>
      <c r="K4685" s="1" t="str">
        <f t="shared" si="4"/>
        <v>Tus Lentes estan LISTAS PARA ENTREGAR, te esperamos.</v>
      </c>
    </row>
    <row r="4686">
      <c r="A4686" s="1">
        <f>IFERROR(__xludf.DUMMYFUNCTION("""COMPUTED_VALUE"""),89249.0)</f>
        <v>89249</v>
      </c>
      <c r="B4686" s="5">
        <f>IFERROR(__xludf.DUMMYFUNCTION("""COMPUTED_VALUE"""),45019.7604368287)</f>
        <v>45019.76044</v>
      </c>
      <c r="C4686" s="1" t="str">
        <f>IFERROR(__xludf.DUMMYFUNCTION("""COMPUTED_VALUE"""),"MORAN SANDRA NOEMI")</f>
        <v>MORAN SANDRA NOEMI</v>
      </c>
      <c r="D4686" s="1" t="str">
        <f>IFERROR(__xludf.DUMMYFUNCTION("""COMPUTED_VALUE"""),"Lentes de STOCK")</f>
        <v>Lentes de STOCK</v>
      </c>
      <c r="E4686" s="1" t="str">
        <f>IFERROR(__xludf.DUMMYFUNCTION("""COMPUTED_VALUE"""),"RIVADAVIA Christian C.")</f>
        <v>RIVADAVIA Christian C.</v>
      </c>
      <c r="F4686" s="1" t="str">
        <f t="shared" si="1"/>
        <v>RIVADAVIA </v>
      </c>
      <c r="G4686" s="1" t="str">
        <f t="shared" si="2"/>
        <v>Christian C.</v>
      </c>
      <c r="H4686" s="1" t="str">
        <f>IFERROR(__xludf.DUMMYFUNCTION("""COMPUTED_VALUE"""),"10/4/2023, 17:00:00")</f>
        <v>10/4/2023, 17:00:00</v>
      </c>
      <c r="I4686" s="1" t="str">
        <f>IFERROR(__xludf.DUMMYFUNCTION("""COMPUTED_VALUE"""),"RETIRADO OK POR CLIENTE")</f>
        <v>RETIRADO OK POR CLIENTE</v>
      </c>
      <c r="J4686" s="1">
        <f t="shared" si="3"/>
        <v>6</v>
      </c>
      <c r="K4686" s="1" t="str">
        <f t="shared" si="4"/>
        <v>Entregamos tus lentes, que los disfrutes!</v>
      </c>
    </row>
    <row r="4687">
      <c r="A4687" s="1">
        <f>IFERROR(__xludf.DUMMYFUNCTION("""COMPUTED_VALUE"""),89250.0)</f>
        <v>89250</v>
      </c>
      <c r="B4687" s="5">
        <f>IFERROR(__xludf.DUMMYFUNCTION("""COMPUTED_VALUE"""),45019.764802418984)</f>
        <v>45019.7648</v>
      </c>
      <c r="C4687" s="1" t="str">
        <f>IFERROR(__xludf.DUMMYFUNCTION("""COMPUTED_VALUE"""),"parenti angela ")</f>
        <v>parenti angela </v>
      </c>
      <c r="D4687" s="1" t="str">
        <f>IFERROR(__xludf.DUMMYFUNCTION("""COMPUTED_VALUE"""),"Reparaciones/Otros")</f>
        <v>Reparaciones/Otros</v>
      </c>
      <c r="E4687" s="1" t="str">
        <f>IFERROR(__xludf.DUMMYFUNCTION("""COMPUTED_VALUE"""),"ARTIGAS Micaela")</f>
        <v>ARTIGAS Micaela</v>
      </c>
      <c r="F4687" s="1" t="str">
        <f t="shared" si="1"/>
        <v>ARTIGAS </v>
      </c>
      <c r="G4687" s="1" t="str">
        <f t="shared" si="2"/>
        <v>Micaela</v>
      </c>
      <c r="H4687" s="1" t="str">
        <f>IFERROR(__xludf.DUMMYFUNCTION("""COMPUTED_VALUE"""),"4/4/2023, 17:00:00")</f>
        <v>4/4/2023, 17:00:00</v>
      </c>
      <c r="I4687" s="1"/>
      <c r="J4687" s="1">
        <f t="shared" si="3"/>
        <v>0</v>
      </c>
      <c r="K4687" s="1" t="str">
        <f t="shared" si="4"/>
        <v/>
      </c>
    </row>
    <row r="4688">
      <c r="A4688" s="1">
        <f>IFERROR(__xludf.DUMMYFUNCTION("""COMPUTED_VALUE"""),89251.0)</f>
        <v>89251</v>
      </c>
      <c r="B4688" s="5">
        <f>IFERROR(__xludf.DUMMYFUNCTION("""COMPUTED_VALUE"""),45019.766843888894)</f>
        <v>45019.76684</v>
      </c>
      <c r="C4688" s="1" t="str">
        <f>IFERROR(__xludf.DUMMYFUNCTION("""COMPUTED_VALUE"""),"NEIMERMAN LEONARDO SAMUEL")</f>
        <v>NEIMERMAN LEONARDO SAMUEL</v>
      </c>
      <c r="D4688" s="1" t="str">
        <f>IFERROR(__xludf.DUMMYFUNCTION("""COMPUTED_VALUE"""),"Lentes BIFOCALES")</f>
        <v>Lentes BIFOCALES</v>
      </c>
      <c r="E4688" s="1" t="str">
        <f>IFERROR(__xludf.DUMMYFUNCTION("""COMPUTED_VALUE"""),"ARTIGAS Roció")</f>
        <v>ARTIGAS Roció</v>
      </c>
      <c r="F4688" s="1" t="str">
        <f t="shared" si="1"/>
        <v>ARTIGAS </v>
      </c>
      <c r="G4688" s="1" t="str">
        <f t="shared" si="2"/>
        <v>Roció</v>
      </c>
      <c r="H4688" s="1" t="str">
        <f>IFERROR(__xludf.DUMMYFUNCTION("""COMPUTED_VALUE"""),"14/4/2023, 17:00:00")</f>
        <v>14/4/2023, 17:00:00</v>
      </c>
      <c r="I4688" s="1" t="str">
        <f>IFERROR(__xludf.DUMMYFUNCTION("""COMPUTED_VALUE"""),"Completado en SUCURSAL")</f>
        <v>Completado en SUCURSAL</v>
      </c>
      <c r="J4688" s="1">
        <f t="shared" si="3"/>
        <v>5</v>
      </c>
      <c r="K4688" s="1" t="str">
        <f t="shared" si="4"/>
        <v>Tus Lentes estan LISTAS PARA ENTREGAR, te esperamos.</v>
      </c>
    </row>
    <row r="4689">
      <c r="A4689" s="1">
        <f>IFERROR(__xludf.DUMMYFUNCTION("""COMPUTED_VALUE"""),89252.0)</f>
        <v>89252</v>
      </c>
      <c r="B4689" s="5">
        <f>IFERROR(__xludf.DUMMYFUNCTION("""COMPUTED_VALUE"""),45019.76954550926)</f>
        <v>45019.76955</v>
      </c>
      <c r="C4689" s="1" t="str">
        <f>IFERROR(__xludf.DUMMYFUNCTION("""COMPUTED_VALUE"""),"SAAVEDRA ANDREA")</f>
        <v>SAAVEDRA ANDREA</v>
      </c>
      <c r="D4689" s="1" t="str">
        <f>IFERROR(__xludf.DUMMYFUNCTION("""COMPUTED_VALUE"""),"Lentes de STOCK")</f>
        <v>Lentes de STOCK</v>
      </c>
      <c r="E4689" s="1" t="str">
        <f>IFERROR(__xludf.DUMMYFUNCTION("""COMPUTED_VALUE"""),"ARTIGAS Ivana P.")</f>
        <v>ARTIGAS Ivana P.</v>
      </c>
      <c r="F4689" s="1" t="str">
        <f t="shared" si="1"/>
        <v>ARTIGAS </v>
      </c>
      <c r="G4689" s="1" t="str">
        <f t="shared" si="2"/>
        <v>Ivana P.</v>
      </c>
      <c r="H4689" s="1" t="str">
        <f>IFERROR(__xludf.DUMMYFUNCTION("""COMPUTED_VALUE"""),"10/4/2023, 17:00:00")</f>
        <v>10/4/2023, 17:00:00</v>
      </c>
      <c r="I4689" s="1" t="str">
        <f>IFERROR(__xludf.DUMMYFUNCTION("""COMPUTED_VALUE"""),"Completado en SUCURSAL")</f>
        <v>Completado en SUCURSAL</v>
      </c>
      <c r="J4689" s="1">
        <f t="shared" si="3"/>
        <v>5</v>
      </c>
      <c r="K4689" s="1" t="str">
        <f t="shared" si="4"/>
        <v>Tus Lentes estan LISTAS PARA ENTREGAR, te esperamos.</v>
      </c>
    </row>
    <row r="4690">
      <c r="A4690" s="1">
        <f>IFERROR(__xludf.DUMMYFUNCTION("""COMPUTED_VALUE"""),89253.0)</f>
        <v>89253</v>
      </c>
      <c r="B4690" s="5">
        <f>IFERROR(__xludf.DUMMYFUNCTION("""COMPUTED_VALUE"""),45019.77515486111)</f>
        <v>45019.77515</v>
      </c>
      <c r="C4690" s="1" t="str">
        <f>IFERROR(__xludf.DUMMYFUNCTION("""COMPUTED_VALUE"""),"thomas levington jasmin")</f>
        <v>thomas levington jasmin</v>
      </c>
      <c r="D4690" s="1" t="str">
        <f>IFERROR(__xludf.DUMMYFUNCTION("""COMPUTED_VALUE"""),"Lentes de STOCK")</f>
        <v>Lentes de STOCK</v>
      </c>
      <c r="E4690" s="1" t="str">
        <f>IFERROR(__xludf.DUMMYFUNCTION("""COMPUTED_VALUE"""),"RIVADAVIA Santiago N")</f>
        <v>RIVADAVIA Santiago N</v>
      </c>
      <c r="F4690" s="1" t="str">
        <f t="shared" si="1"/>
        <v>RIVADAVIA </v>
      </c>
      <c r="G4690" s="1" t="str">
        <f t="shared" si="2"/>
        <v>Santiago N</v>
      </c>
      <c r="H4690" s="1" t="str">
        <f>IFERROR(__xludf.DUMMYFUNCTION("""COMPUTED_VALUE"""),"10/4/2023, 17:00:00")</f>
        <v>10/4/2023, 17:00:00</v>
      </c>
      <c r="I4690" s="1" t="str">
        <f>IFERROR(__xludf.DUMMYFUNCTION("""COMPUTED_VALUE"""),"Completado en SUCURSAL")</f>
        <v>Completado en SUCURSAL</v>
      </c>
      <c r="J4690" s="1">
        <f t="shared" si="3"/>
        <v>5</v>
      </c>
      <c r="K4690" s="1" t="str">
        <f t="shared" si="4"/>
        <v>Tus Lentes estan LISTAS PARA ENTREGAR, te esperamos.</v>
      </c>
    </row>
    <row r="4691">
      <c r="A4691" s="1">
        <f>IFERROR(__xludf.DUMMYFUNCTION("""COMPUTED_VALUE"""),89254.0)</f>
        <v>89254</v>
      </c>
      <c r="B4691" s="5">
        <f>IFERROR(__xludf.DUMMYFUNCTION("""COMPUTED_VALUE"""),45019.77848100694)</f>
        <v>45019.77848</v>
      </c>
      <c r="C4691" s="1" t="str">
        <f>IFERROR(__xludf.DUMMYFUNCTION("""COMPUTED_VALUE"""),"MIRANDA YESICA")</f>
        <v>MIRANDA YESICA</v>
      </c>
      <c r="D4691" s="1" t="str">
        <f>IFERROR(__xludf.DUMMYFUNCTION("""COMPUTED_VALUE"""),"Lentes de STOCK")</f>
        <v>Lentes de STOCK</v>
      </c>
      <c r="E4691" s="1" t="str">
        <f>IFERROR(__xludf.DUMMYFUNCTION("""COMPUTED_VALUE"""),"ARTIGAS Ivana P.")</f>
        <v>ARTIGAS Ivana P.</v>
      </c>
      <c r="F4691" s="1" t="str">
        <f t="shared" si="1"/>
        <v>ARTIGAS </v>
      </c>
      <c r="G4691" s="1" t="str">
        <f t="shared" si="2"/>
        <v>Ivana P.</v>
      </c>
      <c r="H4691" s="1" t="str">
        <f>IFERROR(__xludf.DUMMYFUNCTION("""COMPUTED_VALUE"""),"10/4/2023, 17:00:00")</f>
        <v>10/4/2023, 17:00:00</v>
      </c>
      <c r="I4691" s="1" t="str">
        <f>IFERROR(__xludf.DUMMYFUNCTION("""COMPUTED_VALUE"""),"Completado en SUCURSAL")</f>
        <v>Completado en SUCURSAL</v>
      </c>
      <c r="J4691" s="1">
        <f t="shared" si="3"/>
        <v>5</v>
      </c>
      <c r="K4691" s="1" t="str">
        <f t="shared" si="4"/>
        <v>Tus Lentes estan LISTAS PARA ENTREGAR, te esperamos.</v>
      </c>
    </row>
    <row r="4692">
      <c r="A4692" s="1">
        <f>IFERROR(__xludf.DUMMYFUNCTION("""COMPUTED_VALUE"""),89255.0)</f>
        <v>89255</v>
      </c>
      <c r="B4692" s="5">
        <f>IFERROR(__xludf.DUMMYFUNCTION("""COMPUTED_VALUE"""),45019.779604386575)</f>
        <v>45019.7796</v>
      </c>
      <c r="C4692" s="1" t="str">
        <f>IFERROR(__xludf.DUMMYFUNCTION("""COMPUTED_VALUE"""),"LUDUEÑA ANDREA")</f>
        <v>LUDUEÑA ANDREA</v>
      </c>
      <c r="D4692" s="1" t="str">
        <f>IFERROR(__xludf.DUMMYFUNCTION("""COMPUTED_VALUE"""),"Lentes de STOCK")</f>
        <v>Lentes de STOCK</v>
      </c>
      <c r="E4692" s="1" t="str">
        <f>IFERROR(__xludf.DUMMYFUNCTION("""COMPUTED_VALUE"""),"RIVADAVIA Luciana")</f>
        <v>RIVADAVIA Luciana</v>
      </c>
      <c r="F4692" s="1" t="str">
        <f t="shared" si="1"/>
        <v>RIVADAVIA </v>
      </c>
      <c r="G4692" s="1" t="str">
        <f t="shared" si="2"/>
        <v>Luciana</v>
      </c>
      <c r="H4692" s="1" t="str">
        <f>IFERROR(__xludf.DUMMYFUNCTION("""COMPUTED_VALUE"""),"10/4/2023, 17:00:00")</f>
        <v>10/4/2023, 17:00:00</v>
      </c>
      <c r="I4692" s="1" t="str">
        <f>IFERROR(__xludf.DUMMYFUNCTION("""COMPUTED_VALUE"""),"RETIRADO OK POR CLIENTE")</f>
        <v>RETIRADO OK POR CLIENTE</v>
      </c>
      <c r="J4692" s="1">
        <f t="shared" si="3"/>
        <v>6</v>
      </c>
      <c r="K4692" s="1" t="str">
        <f t="shared" si="4"/>
        <v>Entregamos tus lentes, que los disfrutes!</v>
      </c>
    </row>
    <row r="4693">
      <c r="A4693" s="1">
        <f>IFERROR(__xludf.DUMMYFUNCTION("""COMPUTED_VALUE"""),89256.0)</f>
        <v>89256</v>
      </c>
      <c r="B4693" s="5">
        <f>IFERROR(__xludf.DUMMYFUNCTION("""COMPUTED_VALUE"""),45019.780639062505)</f>
        <v>45019.78064</v>
      </c>
      <c r="C4693" s="1" t="str">
        <f>IFERROR(__xludf.DUMMYFUNCTION("""COMPUTED_VALUE"""),"VELAZQUEZ CABAÑEZ MATEO")</f>
        <v>VELAZQUEZ CABAÑEZ MATEO</v>
      </c>
      <c r="D4693" s="1" t="str">
        <f>IFERROR(__xludf.DUMMYFUNCTION("""COMPUTED_VALUE"""),"Lentes de STOCK")</f>
        <v>Lentes de STOCK</v>
      </c>
      <c r="E4693" s="1" t="str">
        <f>IFERROR(__xludf.DUMMYFUNCTION("""COMPUTED_VALUE"""),"RIVADAVIA Christian C.")</f>
        <v>RIVADAVIA Christian C.</v>
      </c>
      <c r="F4693" s="1" t="str">
        <f t="shared" si="1"/>
        <v>RIVADAVIA </v>
      </c>
      <c r="G4693" s="1" t="str">
        <f t="shared" si="2"/>
        <v>Christian C.</v>
      </c>
      <c r="H4693" s="1" t="str">
        <f>IFERROR(__xludf.DUMMYFUNCTION("""COMPUTED_VALUE"""),"11/4/2023, 17:00:00")</f>
        <v>11/4/2023, 17:00:00</v>
      </c>
      <c r="I4693" s="1" t="str">
        <f>IFERROR(__xludf.DUMMYFUNCTION("""COMPUTED_VALUE"""),"Completado en SUCURSAL")</f>
        <v>Completado en SUCURSAL</v>
      </c>
      <c r="J4693" s="1">
        <f t="shared" si="3"/>
        <v>5</v>
      </c>
      <c r="K4693" s="1" t="str">
        <f t="shared" si="4"/>
        <v>Tus Lentes estan LISTAS PARA ENTREGAR, te esperamos.</v>
      </c>
    </row>
    <row r="4694">
      <c r="A4694" s="1">
        <f>IFERROR(__xludf.DUMMYFUNCTION("""COMPUTED_VALUE"""),89257.0)</f>
        <v>89257</v>
      </c>
      <c r="B4694" s="5">
        <f>IFERROR(__xludf.DUMMYFUNCTION("""COMPUTED_VALUE"""),45019.78100403935)</f>
        <v>45019.781</v>
      </c>
      <c r="C4694" s="1" t="str">
        <f>IFERROR(__xludf.DUMMYFUNCTION("""COMPUTED_VALUE"""),"DIGENARO MARIO")</f>
        <v>DIGENARO MARIO</v>
      </c>
      <c r="D4694" s="1" t="str">
        <f>IFERROR(__xludf.DUMMYFUNCTION("""COMPUTED_VALUE"""),"Lentes de STOCK")</f>
        <v>Lentes de STOCK</v>
      </c>
      <c r="E4694" s="1" t="str">
        <f>IFERROR(__xludf.DUMMYFUNCTION("""COMPUTED_VALUE"""),"RIVADAVIA Daniel CM")</f>
        <v>RIVADAVIA Daniel CM</v>
      </c>
      <c r="F4694" s="1" t="str">
        <f t="shared" si="1"/>
        <v>RIVADAVIA </v>
      </c>
      <c r="G4694" s="1" t="str">
        <f t="shared" si="2"/>
        <v>Daniel CM</v>
      </c>
      <c r="H4694" s="1" t="str">
        <f>IFERROR(__xludf.DUMMYFUNCTION("""COMPUTED_VALUE"""),"6/4/2023, 17:00:00")</f>
        <v>6/4/2023, 17:00:00</v>
      </c>
      <c r="I4694" s="1" t="str">
        <f>IFERROR(__xludf.DUMMYFUNCTION("""COMPUTED_VALUE"""),"Completado en SUCURSAL")</f>
        <v>Completado en SUCURSAL</v>
      </c>
      <c r="J4694" s="1">
        <f t="shared" si="3"/>
        <v>5</v>
      </c>
      <c r="K4694" s="1" t="str">
        <f t="shared" si="4"/>
        <v>Tus Lentes estan LISTAS PARA ENTREGAR, te esperamos.</v>
      </c>
    </row>
    <row r="4695">
      <c r="A4695" s="1">
        <f>IFERROR(__xludf.DUMMYFUNCTION("""COMPUTED_VALUE"""),89258.0)</f>
        <v>89258</v>
      </c>
      <c r="B4695" s="5">
        <f>IFERROR(__xludf.DUMMYFUNCTION("""COMPUTED_VALUE"""),45019.78234822917)</f>
        <v>45019.78235</v>
      </c>
      <c r="C4695" s="1" t="str">
        <f>IFERROR(__xludf.DUMMYFUNCTION("""COMPUTED_VALUE"""),"KLAPPEMBACH HUGO ALBERTO")</f>
        <v>KLAPPEMBACH HUGO ALBERTO</v>
      </c>
      <c r="D4695" s="1" t="str">
        <f>IFERROR(__xludf.DUMMYFUNCTION("""COMPUTED_VALUE"""),"Lentes de STOCK")</f>
        <v>Lentes de STOCK</v>
      </c>
      <c r="E4695" s="1" t="str">
        <f>IFERROR(__xludf.DUMMYFUNCTION("""COMPUTED_VALUE"""),"RIVADAVIA Santiago N")</f>
        <v>RIVADAVIA Santiago N</v>
      </c>
      <c r="F4695" s="1" t="str">
        <f t="shared" si="1"/>
        <v>RIVADAVIA </v>
      </c>
      <c r="G4695" s="1" t="str">
        <f t="shared" si="2"/>
        <v>Santiago N</v>
      </c>
      <c r="H4695" s="1" t="str">
        <f>IFERROR(__xludf.DUMMYFUNCTION("""COMPUTED_VALUE"""),"6/4/2023, 17:00:00")</f>
        <v>6/4/2023, 17:00:00</v>
      </c>
      <c r="I4695" s="1" t="str">
        <f>IFERROR(__xludf.DUMMYFUNCTION("""COMPUTED_VALUE"""),"Recibido en Laboratorio")</f>
        <v>Recibido en Laboratorio</v>
      </c>
      <c r="J4695" s="1">
        <f t="shared" si="3"/>
        <v>2</v>
      </c>
      <c r="K4695" s="1" t="str">
        <f t="shared" si="4"/>
        <v>Nuestro Laboratorio esta trabajando en tus lentes, los entregaremos en la fecha acordada.</v>
      </c>
    </row>
    <row r="4696">
      <c r="A4696" s="1">
        <f>IFERROR(__xludf.DUMMYFUNCTION("""COMPUTED_VALUE"""),89259.0)</f>
        <v>89259</v>
      </c>
      <c r="B4696" s="5">
        <f>IFERROR(__xludf.DUMMYFUNCTION("""COMPUTED_VALUE"""),45019.78308689815)</f>
        <v>45019.78309</v>
      </c>
      <c r="C4696" s="1" t="str">
        <f>IFERROR(__xludf.DUMMYFUNCTION("""COMPUTED_VALUE"""),"SANCHEZ LUDMILA")</f>
        <v>SANCHEZ LUDMILA</v>
      </c>
      <c r="D4696" s="1" t="str">
        <f>IFERROR(__xludf.DUMMYFUNCTION("""COMPUTED_VALUE"""),"Reparaciones/Otros")</f>
        <v>Reparaciones/Otros</v>
      </c>
      <c r="E4696" s="1" t="str">
        <f>IFERROR(__xludf.DUMMYFUNCTION("""COMPUTED_VALUE"""),"ARTIGAS Roció")</f>
        <v>ARTIGAS Roció</v>
      </c>
      <c r="F4696" s="1" t="str">
        <f t="shared" si="1"/>
        <v>ARTIGAS </v>
      </c>
      <c r="G4696" s="1" t="str">
        <f t="shared" si="2"/>
        <v>Roció</v>
      </c>
      <c r="H4696" s="1" t="str">
        <f>IFERROR(__xludf.DUMMYFUNCTION("""COMPUTED_VALUE"""),"4/4/2023, 17:00:00")</f>
        <v>4/4/2023, 17:00:00</v>
      </c>
      <c r="I4696" s="1"/>
      <c r="J4696" s="1">
        <f t="shared" si="3"/>
        <v>0</v>
      </c>
      <c r="K4696" s="1" t="str">
        <f t="shared" si="4"/>
        <v/>
      </c>
    </row>
    <row r="4697">
      <c r="A4697" s="1">
        <f>IFERROR(__xludf.DUMMYFUNCTION("""COMPUTED_VALUE"""),89260.0)</f>
        <v>89260</v>
      </c>
      <c r="B4697" s="5">
        <f>IFERROR(__xludf.DUMMYFUNCTION("""COMPUTED_VALUE"""),45019.78451787037)</f>
        <v>45019.78452</v>
      </c>
      <c r="C4697" s="1" t="str">
        <f>IFERROR(__xludf.DUMMYFUNCTION("""COMPUTED_VALUE"""),"QUIROGA GARCIA LOLA")</f>
        <v>QUIROGA GARCIA LOLA</v>
      </c>
      <c r="D4697" s="1" t="str">
        <f>IFERROR(__xludf.DUMMYFUNCTION("""COMPUTED_VALUE"""),"Lentes de STOCK")</f>
        <v>Lentes de STOCK</v>
      </c>
      <c r="E4697" s="1" t="str">
        <f>IFERROR(__xludf.DUMMYFUNCTION("""COMPUTED_VALUE"""),"RIVADAVIA Santiago N")</f>
        <v>RIVADAVIA Santiago N</v>
      </c>
      <c r="F4697" s="1" t="str">
        <f t="shared" si="1"/>
        <v>RIVADAVIA </v>
      </c>
      <c r="G4697" s="1" t="str">
        <f t="shared" si="2"/>
        <v>Santiago N</v>
      </c>
      <c r="H4697" s="1" t="str">
        <f>IFERROR(__xludf.DUMMYFUNCTION("""COMPUTED_VALUE"""),"6/4/2023, 17:00:00")</f>
        <v>6/4/2023, 17:00:00</v>
      </c>
      <c r="I4697" s="1" t="str">
        <f>IFERROR(__xludf.DUMMYFUNCTION("""COMPUTED_VALUE"""),"Completado en SUCURSAL")</f>
        <v>Completado en SUCURSAL</v>
      </c>
      <c r="J4697" s="1">
        <f t="shared" si="3"/>
        <v>5</v>
      </c>
      <c r="K4697" s="1" t="str">
        <f t="shared" si="4"/>
        <v>Tus Lentes estan LISTAS PARA ENTREGAR, te esperamos.</v>
      </c>
    </row>
    <row r="4698">
      <c r="A4698" s="1">
        <f>IFERROR(__xludf.DUMMYFUNCTION("""COMPUTED_VALUE"""),89261.0)</f>
        <v>89261</v>
      </c>
      <c r="B4698" s="5">
        <f>IFERROR(__xludf.DUMMYFUNCTION("""COMPUTED_VALUE"""),45019.78861351852)</f>
        <v>45019.78861</v>
      </c>
      <c r="C4698" s="1" t="str">
        <f>IFERROR(__xludf.DUMMYFUNCTION("""COMPUTED_VALUE"""),"GOMEZ PAULA")</f>
        <v>GOMEZ PAULA</v>
      </c>
      <c r="D4698" s="1" t="str">
        <f>IFERROR(__xludf.DUMMYFUNCTION("""COMPUTED_VALUE"""),"Lentes de STOCK")</f>
        <v>Lentes de STOCK</v>
      </c>
      <c r="E4698" s="1" t="str">
        <f>IFERROR(__xludf.DUMMYFUNCTION("""COMPUTED_VALUE"""),"RIVADAVIA Santiago N")</f>
        <v>RIVADAVIA Santiago N</v>
      </c>
      <c r="F4698" s="1" t="str">
        <f t="shared" si="1"/>
        <v>RIVADAVIA </v>
      </c>
      <c r="G4698" s="1" t="str">
        <f t="shared" si="2"/>
        <v>Santiago N</v>
      </c>
      <c r="H4698" s="1" t="str">
        <f>IFERROR(__xludf.DUMMYFUNCTION("""COMPUTED_VALUE"""),"6/4/2023, 17:00:00")</f>
        <v>6/4/2023, 17:00:00</v>
      </c>
      <c r="I4698" s="1" t="str">
        <f>IFERROR(__xludf.DUMMYFUNCTION("""COMPUTED_VALUE"""),"Completado en SUCURSAL")</f>
        <v>Completado en SUCURSAL</v>
      </c>
      <c r="J4698" s="1">
        <f t="shared" si="3"/>
        <v>5</v>
      </c>
      <c r="K4698" s="1" t="str">
        <f t="shared" si="4"/>
        <v>Tus Lentes estan LISTAS PARA ENTREGAR, te esperamos.</v>
      </c>
    </row>
    <row r="4699">
      <c r="A4699" s="1">
        <f>IFERROR(__xludf.DUMMYFUNCTION("""COMPUTED_VALUE"""),89262.0)</f>
        <v>89262</v>
      </c>
      <c r="B4699" s="5">
        <f>IFERROR(__xludf.DUMMYFUNCTION("""COMPUTED_VALUE"""),45019.78908418982)</f>
        <v>45019.78908</v>
      </c>
      <c r="C4699" s="1" t="str">
        <f>IFERROR(__xludf.DUMMYFUNCTION("""COMPUTED_VALUE"""),"PONCE TORRES THIAN")</f>
        <v>PONCE TORRES THIAN</v>
      </c>
      <c r="D4699" s="1" t="str">
        <f>IFERROR(__xludf.DUMMYFUNCTION("""COMPUTED_VALUE"""),"Lentes de STOCK")</f>
        <v>Lentes de STOCK</v>
      </c>
      <c r="E4699" s="1" t="str">
        <f>IFERROR(__xludf.DUMMYFUNCTION("""COMPUTED_VALUE"""),"RIVADAVIA Luciana")</f>
        <v>RIVADAVIA Luciana</v>
      </c>
      <c r="F4699" s="1" t="str">
        <f t="shared" si="1"/>
        <v>RIVADAVIA </v>
      </c>
      <c r="G4699" s="1" t="str">
        <f t="shared" si="2"/>
        <v>Luciana</v>
      </c>
      <c r="H4699" s="1" t="str">
        <f>IFERROR(__xludf.DUMMYFUNCTION("""COMPUTED_VALUE"""),"11/4/2023, 17:00:00")</f>
        <v>11/4/2023, 17:00:00</v>
      </c>
      <c r="I4699" s="1" t="str">
        <f>IFERROR(__xludf.DUMMYFUNCTION("""COMPUTED_VALUE"""),"Completado en SUCURSAL")</f>
        <v>Completado en SUCURSAL</v>
      </c>
      <c r="J4699" s="1">
        <f t="shared" si="3"/>
        <v>5</v>
      </c>
      <c r="K4699" s="1" t="str">
        <f t="shared" si="4"/>
        <v>Tus Lentes estan LISTAS PARA ENTREGAR, te esperamos.</v>
      </c>
    </row>
    <row r="4700">
      <c r="A4700" s="1">
        <f>IFERROR(__xludf.DUMMYFUNCTION("""COMPUTED_VALUE"""),89263.0)</f>
        <v>89263</v>
      </c>
      <c r="B4700" s="5">
        <f>IFERROR(__xludf.DUMMYFUNCTION("""COMPUTED_VALUE"""),45019.78953097222)</f>
        <v>45019.78953</v>
      </c>
      <c r="C4700" s="1" t="str">
        <f>IFERROR(__xludf.DUMMYFUNCTION("""COMPUTED_VALUE"""),"VILLEGAS GISELA")</f>
        <v>VILLEGAS GISELA</v>
      </c>
      <c r="D4700" s="1" t="str">
        <f>IFERROR(__xludf.DUMMYFUNCTION("""COMPUTED_VALUE"""),"Lentes de STOCK")</f>
        <v>Lentes de STOCK</v>
      </c>
      <c r="E4700" s="1" t="str">
        <f>IFERROR(__xludf.DUMMYFUNCTION("""COMPUTED_VALUE"""),"ARTIGAS Roció")</f>
        <v>ARTIGAS Roció</v>
      </c>
      <c r="F4700" s="1" t="str">
        <f t="shared" si="1"/>
        <v>ARTIGAS </v>
      </c>
      <c r="G4700" s="1" t="str">
        <f t="shared" si="2"/>
        <v>Roció</v>
      </c>
      <c r="H4700" s="1" t="str">
        <f>IFERROR(__xludf.DUMMYFUNCTION("""COMPUTED_VALUE"""),"13/4/2023, 17:00:00")</f>
        <v>13/4/2023, 17:00:00</v>
      </c>
      <c r="I4700" s="1" t="str">
        <f>IFERROR(__xludf.DUMMYFUNCTION("""COMPUTED_VALUE"""),"Completado en SUCURSAL")</f>
        <v>Completado en SUCURSAL</v>
      </c>
      <c r="J4700" s="1">
        <f t="shared" si="3"/>
        <v>5</v>
      </c>
      <c r="K4700" s="1" t="str">
        <f t="shared" si="4"/>
        <v>Tus Lentes estan LISTAS PARA ENTREGAR, te esperamos.</v>
      </c>
    </row>
    <row r="4701">
      <c r="A4701" s="1">
        <f>IFERROR(__xludf.DUMMYFUNCTION("""COMPUTED_VALUE"""),89264.0)</f>
        <v>89264</v>
      </c>
      <c r="B4701" s="5">
        <f>IFERROR(__xludf.DUMMYFUNCTION("""COMPUTED_VALUE"""),45019.7917422801)</f>
        <v>45019.79174</v>
      </c>
      <c r="C4701" s="1" t="str">
        <f>IFERROR(__xludf.DUMMYFUNCTION("""COMPUTED_VALUE"""),"BANNO GUADALUPE")</f>
        <v>BANNO GUADALUPE</v>
      </c>
      <c r="D4701" s="1" t="str">
        <f>IFERROR(__xludf.DUMMYFUNCTION("""COMPUTED_VALUE"""),"Lentes de STOCK")</f>
        <v>Lentes de STOCK</v>
      </c>
      <c r="E4701" s="1" t="str">
        <f>IFERROR(__xludf.DUMMYFUNCTION("""COMPUTED_VALUE"""),"RIVADAVIA Christian C.")</f>
        <v>RIVADAVIA Christian C.</v>
      </c>
      <c r="F4701" s="1" t="str">
        <f t="shared" si="1"/>
        <v>RIVADAVIA </v>
      </c>
      <c r="G4701" s="1" t="str">
        <f t="shared" si="2"/>
        <v>Christian C.</v>
      </c>
      <c r="H4701" s="1" t="str">
        <f>IFERROR(__xludf.DUMMYFUNCTION("""COMPUTED_VALUE"""),"12/4/2023, 17:00:00")</f>
        <v>12/4/2023, 17:00:00</v>
      </c>
      <c r="I4701" s="1" t="str">
        <f>IFERROR(__xludf.DUMMYFUNCTION("""COMPUTED_VALUE"""),"Completado en SUCURSAL")</f>
        <v>Completado en SUCURSAL</v>
      </c>
      <c r="J4701" s="1">
        <f t="shared" si="3"/>
        <v>5</v>
      </c>
      <c r="K4701" s="1" t="str">
        <f t="shared" si="4"/>
        <v>Tus Lentes estan LISTAS PARA ENTREGAR, te esperamos.</v>
      </c>
    </row>
    <row r="4702">
      <c r="A4702" s="1">
        <f>IFERROR(__xludf.DUMMYFUNCTION("""COMPUTED_VALUE"""),89265.0)</f>
        <v>89265</v>
      </c>
      <c r="B4702" s="5">
        <f>IFERROR(__xludf.DUMMYFUNCTION("""COMPUTED_VALUE"""),45019.794771076384)</f>
        <v>45019.79477</v>
      </c>
      <c r="C4702" s="1" t="str">
        <f>IFERROR(__xludf.DUMMYFUNCTION("""COMPUTED_VALUE"""),"PASO MATIAS NICOLAS")</f>
        <v>PASO MATIAS NICOLAS</v>
      </c>
      <c r="D4702" s="1" t="str">
        <f>IFERROR(__xludf.DUMMYFUNCTION("""COMPUTED_VALUE"""),"Lentes de STOCK")</f>
        <v>Lentes de STOCK</v>
      </c>
      <c r="E4702" s="1" t="str">
        <f>IFERROR(__xludf.DUMMYFUNCTION("""COMPUTED_VALUE"""),"RIVADAVIA Javier")</f>
        <v>RIVADAVIA Javier</v>
      </c>
      <c r="F4702" s="1" t="str">
        <f t="shared" si="1"/>
        <v>RIVADAVIA </v>
      </c>
      <c r="G4702" s="1" t="str">
        <f t="shared" si="2"/>
        <v>Javier</v>
      </c>
      <c r="H4702" s="1" t="str">
        <f>IFERROR(__xludf.DUMMYFUNCTION("""COMPUTED_VALUE"""),"10/4/2023, 17:00:00")</f>
        <v>10/4/2023, 17:00:00</v>
      </c>
      <c r="I4702" s="1" t="str">
        <f>IFERROR(__xludf.DUMMYFUNCTION("""COMPUTED_VALUE"""),"RETIRADO OK POR CLIENTE")</f>
        <v>RETIRADO OK POR CLIENTE</v>
      </c>
      <c r="J4702" s="1">
        <f t="shared" si="3"/>
        <v>6</v>
      </c>
      <c r="K4702" s="1" t="str">
        <f t="shared" si="4"/>
        <v>Entregamos tus lentes, que los disfrutes!</v>
      </c>
    </row>
    <row r="4703">
      <c r="A4703" s="1">
        <f>IFERROR(__xludf.DUMMYFUNCTION("""COMPUTED_VALUE"""),89266.0)</f>
        <v>89266</v>
      </c>
      <c r="B4703" s="5">
        <f>IFERROR(__xludf.DUMMYFUNCTION("""COMPUTED_VALUE"""),45019.80284787037)</f>
        <v>45019.80285</v>
      </c>
      <c r="C4703" s="1" t="str">
        <f>IFERROR(__xludf.DUMMYFUNCTION("""COMPUTED_VALUE"""),"PIPITONE GIULIANA")</f>
        <v>PIPITONE GIULIANA</v>
      </c>
      <c r="D4703" s="1" t="str">
        <f>IFERROR(__xludf.DUMMYFUNCTION("""COMPUTED_VALUE"""),"Lentes de STOCK")</f>
        <v>Lentes de STOCK</v>
      </c>
      <c r="E4703" s="1" t="str">
        <f>IFERROR(__xludf.DUMMYFUNCTION("""COMPUTED_VALUE"""),"RIVADAVIA Santiago LOPEZ")</f>
        <v>RIVADAVIA Santiago LOPEZ</v>
      </c>
      <c r="F4703" s="1" t="str">
        <f t="shared" si="1"/>
        <v>RIVADAVIA </v>
      </c>
      <c r="G4703" s="1" t="str">
        <f t="shared" si="2"/>
        <v>Santiago LOPEZ</v>
      </c>
      <c r="H4703" s="1" t="str">
        <f>IFERROR(__xludf.DUMMYFUNCTION("""COMPUTED_VALUE"""),"6/4/2023, 17:00:00")</f>
        <v>6/4/2023, 17:00:00</v>
      </c>
      <c r="I4703" s="1" t="str">
        <f>IFERROR(__xludf.DUMMYFUNCTION("""COMPUTED_VALUE"""),"Completado en SUCURSAL")</f>
        <v>Completado en SUCURSAL</v>
      </c>
      <c r="J4703" s="1">
        <f t="shared" si="3"/>
        <v>5</v>
      </c>
      <c r="K4703" s="1" t="str">
        <f t="shared" si="4"/>
        <v>Tus Lentes estan LISTAS PARA ENTREGAR, te esperamos.</v>
      </c>
    </row>
    <row r="4704">
      <c r="A4704" s="1">
        <f>IFERROR(__xludf.DUMMYFUNCTION("""COMPUTED_VALUE"""),89267.0)</f>
        <v>89267</v>
      </c>
      <c r="B4704" s="5">
        <f>IFERROR(__xludf.DUMMYFUNCTION("""COMPUTED_VALUE"""),45019.8079089699)</f>
        <v>45019.80791</v>
      </c>
      <c r="C4704" s="1" t="str">
        <f>IFERROR(__xludf.DUMMYFUNCTION("""COMPUTED_VALUE"""),"FACUNDO ROSALES")</f>
        <v>FACUNDO ROSALES</v>
      </c>
      <c r="D4704" s="1" t="str">
        <f>IFERROR(__xludf.DUMMYFUNCTION("""COMPUTED_VALUE"""),"Lentes de STOCK")</f>
        <v>Lentes de STOCK</v>
      </c>
      <c r="E4704" s="1" t="str">
        <f>IFERROR(__xludf.DUMMYFUNCTION("""COMPUTED_VALUE"""),"RIVADAVIA Javier")</f>
        <v>RIVADAVIA Javier</v>
      </c>
      <c r="F4704" s="1" t="str">
        <f t="shared" si="1"/>
        <v>RIVADAVIA </v>
      </c>
      <c r="G4704" s="1" t="str">
        <f t="shared" si="2"/>
        <v>Javier</v>
      </c>
      <c r="H4704" s="1" t="str">
        <f>IFERROR(__xludf.DUMMYFUNCTION("""COMPUTED_VALUE"""),"10/4/2023, 17:00:00")</f>
        <v>10/4/2023, 17:00:00</v>
      </c>
      <c r="I4704" s="1" t="str">
        <f>IFERROR(__xludf.DUMMYFUNCTION("""COMPUTED_VALUE"""),"Completado en SUCURSAL")</f>
        <v>Completado en SUCURSAL</v>
      </c>
      <c r="J4704" s="1">
        <f t="shared" si="3"/>
        <v>5</v>
      </c>
      <c r="K4704" s="1" t="str">
        <f t="shared" si="4"/>
        <v>Tus Lentes estan LISTAS PARA ENTREGAR, te esperamos.</v>
      </c>
    </row>
    <row r="4705">
      <c r="A4705" s="1">
        <f>IFERROR(__xludf.DUMMYFUNCTION("""COMPUTED_VALUE"""),89268.0)</f>
        <v>89268</v>
      </c>
      <c r="B4705" s="5">
        <f>IFERROR(__xludf.DUMMYFUNCTION("""COMPUTED_VALUE"""),45019.816135706016)</f>
        <v>45019.81614</v>
      </c>
      <c r="C4705" s="1" t="str">
        <f>IFERROR(__xludf.DUMMYFUNCTION("""COMPUTED_VALUE"""),"MERCADO MARISOL VERONICA")</f>
        <v>MERCADO MARISOL VERONICA</v>
      </c>
      <c r="D4705" s="1" t="str">
        <f>IFERROR(__xludf.DUMMYFUNCTION("""COMPUTED_VALUE"""),"Lentes de STOCK")</f>
        <v>Lentes de STOCK</v>
      </c>
      <c r="E4705" s="1" t="str">
        <f>IFERROR(__xludf.DUMMYFUNCTION("""COMPUTED_VALUE"""),"ARTIGAS Roció")</f>
        <v>ARTIGAS Roció</v>
      </c>
      <c r="F4705" s="1" t="str">
        <f t="shared" si="1"/>
        <v>ARTIGAS </v>
      </c>
      <c r="G4705" s="1" t="str">
        <f t="shared" si="2"/>
        <v>Roció</v>
      </c>
      <c r="H4705" s="1" t="str">
        <f>IFERROR(__xludf.DUMMYFUNCTION("""COMPUTED_VALUE"""),"12/4/2023, 17:00:00")</f>
        <v>12/4/2023, 17:00:00</v>
      </c>
      <c r="I4705" s="1"/>
      <c r="J4705" s="1">
        <f t="shared" si="3"/>
        <v>0</v>
      </c>
      <c r="K4705" s="1" t="str">
        <f t="shared" si="4"/>
        <v/>
      </c>
    </row>
    <row r="4706">
      <c r="A4706" s="1">
        <f>IFERROR(__xludf.DUMMYFUNCTION("""COMPUTED_VALUE"""),89269.0)</f>
        <v>89269</v>
      </c>
      <c r="B4706" s="5">
        <f>IFERROR(__xludf.DUMMYFUNCTION("""COMPUTED_VALUE"""),45019.8241878125)</f>
        <v>45019.82419</v>
      </c>
      <c r="C4706" s="1" t="str">
        <f>IFERROR(__xludf.DUMMYFUNCTION("""COMPUTED_VALUE"""),"MALLA IGNACIO")</f>
        <v>MALLA IGNACIO</v>
      </c>
      <c r="D4706" s="1" t="str">
        <f>IFERROR(__xludf.DUMMYFUNCTION("""COMPUTED_VALUE"""),"Lentes de STOCK")</f>
        <v>Lentes de STOCK</v>
      </c>
      <c r="E4706" s="1" t="str">
        <f>IFERROR(__xludf.DUMMYFUNCTION("""COMPUTED_VALUE"""),"RIVADAVIA Luciana")</f>
        <v>RIVADAVIA Luciana</v>
      </c>
      <c r="F4706" s="1" t="str">
        <f t="shared" si="1"/>
        <v>RIVADAVIA </v>
      </c>
      <c r="G4706" s="1" t="str">
        <f t="shared" si="2"/>
        <v>Luciana</v>
      </c>
      <c r="H4706" s="1" t="str">
        <f>IFERROR(__xludf.DUMMYFUNCTION("""COMPUTED_VALUE"""),"11/4/2023, 17:00:00")</f>
        <v>11/4/2023, 17:00:00</v>
      </c>
      <c r="I4706" s="1" t="str">
        <f>IFERROR(__xludf.DUMMYFUNCTION("""COMPUTED_VALUE"""),"Completado en SUCURSAL")</f>
        <v>Completado en SUCURSAL</v>
      </c>
      <c r="J4706" s="1">
        <f t="shared" si="3"/>
        <v>5</v>
      </c>
      <c r="K4706" s="1" t="str">
        <f t="shared" si="4"/>
        <v>Tus Lentes estan LISTAS PARA ENTREGAR, te esperamos.</v>
      </c>
    </row>
    <row r="4707">
      <c r="A4707" s="1">
        <f>IFERROR(__xludf.DUMMYFUNCTION("""COMPUTED_VALUE"""),89270.0)</f>
        <v>89270</v>
      </c>
      <c r="B4707" s="5">
        <f>IFERROR(__xludf.DUMMYFUNCTION("""COMPUTED_VALUE"""),45019.825543831015)</f>
        <v>45019.82554</v>
      </c>
      <c r="C4707" s="1" t="str">
        <f>IFERROR(__xludf.DUMMYFUNCTION("""COMPUTED_VALUE"""),"NASISI MARIA")</f>
        <v>NASISI MARIA</v>
      </c>
      <c r="D4707" s="1" t="str">
        <f>IFERROR(__xludf.DUMMYFUNCTION("""COMPUTED_VALUE"""),"Lentes de STOCK")</f>
        <v>Lentes de STOCK</v>
      </c>
      <c r="E4707" s="1" t="str">
        <f>IFERROR(__xludf.DUMMYFUNCTION("""COMPUTED_VALUE"""),"RIVADAVIA Santiago LOPEZ")</f>
        <v>RIVADAVIA Santiago LOPEZ</v>
      </c>
      <c r="F4707" s="1" t="str">
        <f t="shared" si="1"/>
        <v>RIVADAVIA </v>
      </c>
      <c r="G4707" s="1" t="str">
        <f t="shared" si="2"/>
        <v>Santiago LOPEZ</v>
      </c>
      <c r="H4707" s="1" t="str">
        <f>IFERROR(__xludf.DUMMYFUNCTION("""COMPUTED_VALUE"""),"6/4/2023, 17:00:00")</f>
        <v>6/4/2023, 17:00:00</v>
      </c>
      <c r="I4707" s="1" t="str">
        <f>IFERROR(__xludf.DUMMYFUNCTION("""COMPUTED_VALUE"""),"Completado en SUCURSAL")</f>
        <v>Completado en SUCURSAL</v>
      </c>
      <c r="J4707" s="1">
        <f t="shared" si="3"/>
        <v>5</v>
      </c>
      <c r="K4707" s="1" t="str">
        <f t="shared" si="4"/>
        <v>Tus Lentes estan LISTAS PARA ENTREGAR, te esperamos.</v>
      </c>
    </row>
    <row r="4708">
      <c r="A4708" s="1">
        <f>IFERROR(__xludf.DUMMYFUNCTION("""COMPUTED_VALUE"""),89271.0)</f>
        <v>89271</v>
      </c>
      <c r="B4708" s="5">
        <f>IFERROR(__xludf.DUMMYFUNCTION("""COMPUTED_VALUE"""),45019.82577460648)</f>
        <v>45019.82577</v>
      </c>
      <c r="C4708" s="1" t="str">
        <f>IFERROR(__xludf.DUMMYFUNCTION("""COMPUTED_VALUE"""),"AVILA VELIA NOEMI")</f>
        <v>AVILA VELIA NOEMI</v>
      </c>
      <c r="D4708" s="1" t="str">
        <f>IFERROR(__xludf.DUMMYFUNCTION("""COMPUTED_VALUE"""),"Lentes de STOCK")</f>
        <v>Lentes de STOCK</v>
      </c>
      <c r="E4708" s="1" t="str">
        <f>IFERROR(__xludf.DUMMYFUNCTION("""COMPUTED_VALUE"""),"RIVADAVIA Javier")</f>
        <v>RIVADAVIA Javier</v>
      </c>
      <c r="F4708" s="1" t="str">
        <f t="shared" si="1"/>
        <v>RIVADAVIA </v>
      </c>
      <c r="G4708" s="1" t="str">
        <f t="shared" si="2"/>
        <v>Javier</v>
      </c>
      <c r="H4708" s="1" t="str">
        <f>IFERROR(__xludf.DUMMYFUNCTION("""COMPUTED_VALUE"""),"11/4/2023, 17:00:00")</f>
        <v>11/4/2023, 17:00:00</v>
      </c>
      <c r="I4708" s="1" t="str">
        <f>IFERROR(__xludf.DUMMYFUNCTION("""COMPUTED_VALUE"""),"Completado en SUCURSAL")</f>
        <v>Completado en SUCURSAL</v>
      </c>
      <c r="J4708" s="1">
        <f t="shared" si="3"/>
        <v>5</v>
      </c>
      <c r="K4708" s="1" t="str">
        <f t="shared" si="4"/>
        <v>Tus Lentes estan LISTAS PARA ENTREGAR, te esperamos.</v>
      </c>
    </row>
    <row r="4709">
      <c r="A4709" s="1">
        <f>IFERROR(__xludf.DUMMYFUNCTION("""COMPUTED_VALUE"""),89272.0)</f>
        <v>89272</v>
      </c>
      <c r="B4709" s="5">
        <f>IFERROR(__xludf.DUMMYFUNCTION("""COMPUTED_VALUE"""),45019.82587064814)</f>
        <v>45019.82587</v>
      </c>
      <c r="C4709" s="1" t="str">
        <f>IFERROR(__xludf.DUMMYFUNCTION("""COMPUTED_VALUE"""),"FERNANDEZ GUSTAVO")</f>
        <v>FERNANDEZ GUSTAVO</v>
      </c>
      <c r="D4709" s="1" t="str">
        <f>IFERROR(__xludf.DUMMYFUNCTION("""COMPUTED_VALUE"""),"Lentes de STOCK")</f>
        <v>Lentes de STOCK</v>
      </c>
      <c r="E4709" s="1" t="str">
        <f>IFERROR(__xludf.DUMMYFUNCTION("""COMPUTED_VALUE"""),"ARTIGAS Ivana P.")</f>
        <v>ARTIGAS Ivana P.</v>
      </c>
      <c r="F4709" s="1" t="str">
        <f t="shared" si="1"/>
        <v>ARTIGAS </v>
      </c>
      <c r="G4709" s="1" t="str">
        <f t="shared" si="2"/>
        <v>Ivana P.</v>
      </c>
      <c r="H4709" s="1" t="str">
        <f>IFERROR(__xludf.DUMMYFUNCTION("""COMPUTED_VALUE"""),"10/4/2023, 17:00:00")</f>
        <v>10/4/2023, 17:00:00</v>
      </c>
      <c r="I4709" s="1" t="str">
        <f>IFERROR(__xludf.DUMMYFUNCTION("""COMPUTED_VALUE"""),"RETIRADO OK POR CLIENTE")</f>
        <v>RETIRADO OK POR CLIENTE</v>
      </c>
      <c r="J4709" s="1">
        <f t="shared" si="3"/>
        <v>6</v>
      </c>
      <c r="K4709" s="1" t="str">
        <f t="shared" si="4"/>
        <v>Entregamos tus lentes, que los disfrutes!</v>
      </c>
    </row>
    <row r="4710">
      <c r="A4710" s="1">
        <f>IFERROR(__xludf.DUMMYFUNCTION("""COMPUTED_VALUE"""),89273.0)</f>
        <v>89273</v>
      </c>
      <c r="B4710" s="5">
        <f>IFERROR(__xludf.DUMMYFUNCTION("""COMPUTED_VALUE"""),45019.82813780093)</f>
        <v>45019.82814</v>
      </c>
      <c r="C4710" s="1" t="str">
        <f>IFERROR(__xludf.DUMMYFUNCTION("""COMPUTED_VALUE"""),"SANCHEZ HERNAN")</f>
        <v>SANCHEZ HERNAN</v>
      </c>
      <c r="D4710" s="1" t="str">
        <f>IFERROR(__xludf.DUMMYFUNCTION("""COMPUTED_VALUE"""),"Lentes de STOCK")</f>
        <v>Lentes de STOCK</v>
      </c>
      <c r="E4710" s="1" t="str">
        <f>IFERROR(__xludf.DUMMYFUNCTION("""COMPUTED_VALUE"""),"RIVADAVIA Christian C.")</f>
        <v>RIVADAVIA Christian C.</v>
      </c>
      <c r="F4710" s="1" t="str">
        <f t="shared" si="1"/>
        <v>RIVADAVIA </v>
      </c>
      <c r="G4710" s="1" t="str">
        <f t="shared" si="2"/>
        <v>Christian C.</v>
      </c>
      <c r="H4710" s="1" t="str">
        <f>IFERROR(__xludf.DUMMYFUNCTION("""COMPUTED_VALUE"""),"12/4/2023, 17:00:00")</f>
        <v>12/4/2023, 17:00:00</v>
      </c>
      <c r="I4710" s="1" t="str">
        <f>IFERROR(__xludf.DUMMYFUNCTION("""COMPUTED_VALUE"""),"Completado en SUCURSAL")</f>
        <v>Completado en SUCURSAL</v>
      </c>
      <c r="J4710" s="1">
        <f t="shared" si="3"/>
        <v>5</v>
      </c>
      <c r="K4710" s="1" t="str">
        <f t="shared" si="4"/>
        <v>Tus Lentes estan LISTAS PARA ENTREGAR, te esperamos.</v>
      </c>
    </row>
    <row r="4711">
      <c r="A4711" s="1">
        <f>IFERROR(__xludf.DUMMYFUNCTION("""COMPUTED_VALUE"""),89274.0)</f>
        <v>89274</v>
      </c>
      <c r="B4711" s="5">
        <f>IFERROR(__xludf.DUMMYFUNCTION("""COMPUTED_VALUE"""),45019.83130048611)</f>
        <v>45019.8313</v>
      </c>
      <c r="C4711" s="1" t="str">
        <f>IFERROR(__xludf.DUMMYFUNCTION("""COMPUTED_VALUE"""),"GRILLO MARTA")</f>
        <v>GRILLO MARTA</v>
      </c>
      <c r="D4711" s="1" t="str">
        <f>IFERROR(__xludf.DUMMYFUNCTION("""COMPUTED_VALUE"""),"Lentes MULTIFOCALES")</f>
        <v>Lentes MULTIFOCALES</v>
      </c>
      <c r="E4711" s="1" t="str">
        <f>IFERROR(__xludf.DUMMYFUNCTION("""COMPUTED_VALUE"""),"RIVADAVIA Santiago N")</f>
        <v>RIVADAVIA Santiago N</v>
      </c>
      <c r="F4711" s="1" t="str">
        <f t="shared" si="1"/>
        <v>RIVADAVIA </v>
      </c>
      <c r="G4711" s="1" t="str">
        <f t="shared" si="2"/>
        <v>Santiago N</v>
      </c>
      <c r="H4711" s="1" t="str">
        <f>IFERROR(__xludf.DUMMYFUNCTION("""COMPUTED_VALUE"""),"17/4/2023, 17:00:00")</f>
        <v>17/4/2023, 17:00:00</v>
      </c>
      <c r="I4711" s="1" t="str">
        <f>IFERROR(__xludf.DUMMYFUNCTION("""COMPUTED_VALUE"""),"Completado en SUCURSAL")</f>
        <v>Completado en SUCURSAL</v>
      </c>
      <c r="J4711" s="1">
        <f t="shared" si="3"/>
        <v>5</v>
      </c>
      <c r="K4711" s="1" t="str">
        <f t="shared" si="4"/>
        <v>Tus Lentes estan LISTAS PARA ENTREGAR, te esperamos.</v>
      </c>
    </row>
    <row r="4712">
      <c r="A4712" s="1">
        <f>IFERROR(__xludf.DUMMYFUNCTION("""COMPUTED_VALUE"""),89275.0)</f>
        <v>89275</v>
      </c>
      <c r="B4712" s="5">
        <f>IFERROR(__xludf.DUMMYFUNCTION("""COMPUTED_VALUE"""),45019.835320983795)</f>
        <v>45019.83532</v>
      </c>
      <c r="C4712" s="1" t="str">
        <f>IFERROR(__xludf.DUMMYFUNCTION("""COMPUTED_VALUE"""),"LOPEZ CARLOS ALFREDO")</f>
        <v>LOPEZ CARLOS ALFREDO</v>
      </c>
      <c r="D4712" s="1" t="str">
        <f>IFERROR(__xludf.DUMMYFUNCTION("""COMPUTED_VALUE"""),"Lentes de STOCK")</f>
        <v>Lentes de STOCK</v>
      </c>
      <c r="E4712" s="1" t="str">
        <f>IFERROR(__xludf.DUMMYFUNCTION("""COMPUTED_VALUE"""),"RIVADAVIA Christian C.")</f>
        <v>RIVADAVIA Christian C.</v>
      </c>
      <c r="F4712" s="1" t="str">
        <f t="shared" si="1"/>
        <v>RIVADAVIA </v>
      </c>
      <c r="G4712" s="1" t="str">
        <f t="shared" si="2"/>
        <v>Christian C.</v>
      </c>
      <c r="H4712" s="1" t="str">
        <f>IFERROR(__xludf.DUMMYFUNCTION("""COMPUTED_VALUE"""),"12/4/2023, 17:00:00")</f>
        <v>12/4/2023, 17:00:00</v>
      </c>
      <c r="I4712" s="1" t="str">
        <f>IFERROR(__xludf.DUMMYFUNCTION("""COMPUTED_VALUE"""),"Completado en SUCURSAL")</f>
        <v>Completado en SUCURSAL</v>
      </c>
      <c r="J4712" s="1">
        <f t="shared" si="3"/>
        <v>5</v>
      </c>
      <c r="K4712" s="1" t="str">
        <f t="shared" si="4"/>
        <v>Tus Lentes estan LISTAS PARA ENTREGAR, te esperamos.</v>
      </c>
    </row>
    <row r="4713">
      <c r="A4713" s="1">
        <f>IFERROR(__xludf.DUMMYFUNCTION("""COMPUTED_VALUE"""),89276.0)</f>
        <v>89276</v>
      </c>
      <c r="B4713" s="5">
        <f>IFERROR(__xludf.DUMMYFUNCTION("""COMPUTED_VALUE"""),45019.8427747338)</f>
        <v>45019.84277</v>
      </c>
      <c r="C4713" s="1" t="str">
        <f>IFERROR(__xludf.DUMMYFUNCTION("""COMPUTED_VALUE"""),"PEREZ DARIO")</f>
        <v>PEREZ DARIO</v>
      </c>
      <c r="D4713" s="1" t="str">
        <f>IFERROR(__xludf.DUMMYFUNCTION("""COMPUTED_VALUE"""),"Lentes de STOCK")</f>
        <v>Lentes de STOCK</v>
      </c>
      <c r="E4713" s="1" t="str">
        <f>IFERROR(__xludf.DUMMYFUNCTION("""COMPUTED_VALUE"""),"RIVADAVIA Santiago LOPEZ")</f>
        <v>RIVADAVIA Santiago LOPEZ</v>
      </c>
      <c r="F4713" s="1" t="str">
        <f t="shared" si="1"/>
        <v>RIVADAVIA </v>
      </c>
      <c r="G4713" s="1" t="str">
        <f t="shared" si="2"/>
        <v>Santiago LOPEZ</v>
      </c>
      <c r="H4713" s="1" t="str">
        <f>IFERROR(__xludf.DUMMYFUNCTION("""COMPUTED_VALUE"""),"6/4/2023, 17:00:00")</f>
        <v>6/4/2023, 17:00:00</v>
      </c>
      <c r="I4713" s="1" t="str">
        <f>IFERROR(__xludf.DUMMYFUNCTION("""COMPUTED_VALUE"""),"RETIRADO OK POR CLIENTE")</f>
        <v>RETIRADO OK POR CLIENTE</v>
      </c>
      <c r="J4713" s="1">
        <f t="shared" si="3"/>
        <v>6</v>
      </c>
      <c r="K4713" s="1" t="str">
        <f t="shared" si="4"/>
        <v>Entregamos tus lentes, que los disfrutes!</v>
      </c>
    </row>
    <row r="4714">
      <c r="A4714" s="1">
        <f>IFERROR(__xludf.DUMMYFUNCTION("""COMPUTED_VALUE"""),89277.0)</f>
        <v>89277</v>
      </c>
      <c r="B4714" s="5">
        <f>IFERROR(__xludf.DUMMYFUNCTION("""COMPUTED_VALUE"""),45020.377467708335)</f>
        <v>45020.37747</v>
      </c>
      <c r="C4714" s="1" t="str">
        <f>IFERROR(__xludf.DUMMYFUNCTION("""COMPUTED_VALUE"""),"DI CUNDO FEDERICO")</f>
        <v>DI CUNDO FEDERICO</v>
      </c>
      <c r="D4714" s="1" t="str">
        <f>IFERROR(__xludf.DUMMYFUNCTION("""COMPUTED_VALUE"""),"Reparaciones/Otros")</f>
        <v>Reparaciones/Otros</v>
      </c>
      <c r="E4714" s="1" t="str">
        <f>IFERROR(__xludf.DUMMYFUNCTION("""COMPUTED_VALUE"""),"RIVADAVIA Luciana")</f>
        <v>RIVADAVIA Luciana</v>
      </c>
      <c r="F4714" s="1" t="str">
        <f t="shared" si="1"/>
        <v>RIVADAVIA </v>
      </c>
      <c r="G4714" s="1" t="str">
        <f t="shared" si="2"/>
        <v>Luciana</v>
      </c>
      <c r="H4714" s="1" t="str">
        <f>IFERROR(__xludf.DUMMYFUNCTION("""COMPUTED_VALUE"""),"5/4/2023, 17:00:00")</f>
        <v>5/4/2023, 17:00:00</v>
      </c>
      <c r="I4714" s="1" t="str">
        <f>IFERROR(__xludf.DUMMYFUNCTION("""COMPUTED_VALUE"""),"Recibido en Laboratorio")</f>
        <v>Recibido en Laboratorio</v>
      </c>
      <c r="J4714" s="1">
        <f t="shared" si="3"/>
        <v>2</v>
      </c>
      <c r="K4714" s="1" t="str">
        <f t="shared" si="4"/>
        <v>Nuestro Laboratorio esta trabajando en tus lentes, los entregaremos en la fecha acordada.</v>
      </c>
    </row>
    <row r="4715">
      <c r="A4715" s="1">
        <f>IFERROR(__xludf.DUMMYFUNCTION("""COMPUTED_VALUE"""),89278.0)</f>
        <v>89278</v>
      </c>
      <c r="B4715" s="5">
        <f>IFERROR(__xludf.DUMMYFUNCTION("""COMPUTED_VALUE"""),45020.39152524306)</f>
        <v>45020.39153</v>
      </c>
      <c r="C4715" s="1" t="str">
        <f>IFERROR(__xludf.DUMMYFUNCTION("""COMPUTED_VALUE"""),"AGUIAR LUCILA ALEJANDRA")</f>
        <v>AGUIAR LUCILA ALEJANDRA</v>
      </c>
      <c r="D4715" s="1" t="str">
        <f>IFERROR(__xludf.DUMMYFUNCTION("""COMPUTED_VALUE"""),"Lentes de STOCK")</f>
        <v>Lentes de STOCK</v>
      </c>
      <c r="E4715" s="1" t="str">
        <f>IFERROR(__xludf.DUMMYFUNCTION("""COMPUTED_VALUE"""),"RIVADAVIA Christian C.")</f>
        <v>RIVADAVIA Christian C.</v>
      </c>
      <c r="F4715" s="1" t="str">
        <f t="shared" si="1"/>
        <v>RIVADAVIA </v>
      </c>
      <c r="G4715" s="1" t="str">
        <f t="shared" si="2"/>
        <v>Christian C.</v>
      </c>
      <c r="H4715" s="1" t="str">
        <f>IFERROR(__xludf.DUMMYFUNCTION("""COMPUTED_VALUE"""),"10/4/2023, 17:00:00")</f>
        <v>10/4/2023, 17:00:00</v>
      </c>
      <c r="I4715" s="1" t="str">
        <f>IFERROR(__xludf.DUMMYFUNCTION("""COMPUTED_VALUE"""),"RETIRADO OK POR CLIENTE")</f>
        <v>RETIRADO OK POR CLIENTE</v>
      </c>
      <c r="J4715" s="1">
        <f t="shared" si="3"/>
        <v>6</v>
      </c>
      <c r="K4715" s="1" t="str">
        <f t="shared" si="4"/>
        <v>Entregamos tus lentes, que los disfrutes!</v>
      </c>
    </row>
    <row r="4716">
      <c r="A4716" s="1">
        <f>IFERROR(__xludf.DUMMYFUNCTION("""COMPUTED_VALUE"""),89279.0)</f>
        <v>89279</v>
      </c>
      <c r="B4716" s="5">
        <f>IFERROR(__xludf.DUMMYFUNCTION("""COMPUTED_VALUE"""),45020.40176881944)</f>
        <v>45020.40177</v>
      </c>
      <c r="C4716" s="1" t="str">
        <f>IFERROR(__xludf.DUMMYFUNCTION("""COMPUTED_VALUE"""),"RAMIREZ GRACIELA")</f>
        <v>RAMIREZ GRACIELA</v>
      </c>
      <c r="D4716" s="1" t="str">
        <f>IFERROR(__xludf.DUMMYFUNCTION("""COMPUTED_VALUE"""),"Reparaciones/Otros")</f>
        <v>Reparaciones/Otros</v>
      </c>
      <c r="E4716" s="1" t="str">
        <f>IFERROR(__xludf.DUMMYFUNCTION("""COMPUTED_VALUE"""),"RIVADAVIA Marcela L")</f>
        <v>RIVADAVIA Marcela L</v>
      </c>
      <c r="F4716" s="1" t="str">
        <f t="shared" si="1"/>
        <v>RIVADAVIA </v>
      </c>
      <c r="G4716" s="1" t="str">
        <f t="shared" si="2"/>
        <v>Marcela L</v>
      </c>
      <c r="H4716" s="1" t="str">
        <f>IFERROR(__xludf.DUMMYFUNCTION("""COMPUTED_VALUE"""),"5/4/2023, 17:00:00")</f>
        <v>5/4/2023, 17:00:00</v>
      </c>
      <c r="I4716" s="1" t="str">
        <f>IFERROR(__xludf.DUMMYFUNCTION("""COMPUTED_VALUE"""),"Completado en SUCURSAL")</f>
        <v>Completado en SUCURSAL</v>
      </c>
      <c r="J4716" s="1">
        <f t="shared" si="3"/>
        <v>5</v>
      </c>
      <c r="K4716" s="1" t="str">
        <f t="shared" si="4"/>
        <v>Tus Lentes estan LISTAS PARA ENTREGAR, te esperamos.</v>
      </c>
    </row>
    <row r="4717">
      <c r="A4717" s="1">
        <f>IFERROR(__xludf.DUMMYFUNCTION("""COMPUTED_VALUE"""),89280.0)</f>
        <v>89280</v>
      </c>
      <c r="B4717" s="5">
        <f>IFERROR(__xludf.DUMMYFUNCTION("""COMPUTED_VALUE"""),45020.40417765046)</f>
        <v>45020.40418</v>
      </c>
      <c r="C4717" s="1" t="str">
        <f>IFERROR(__xludf.DUMMYFUNCTION("""COMPUTED_VALUE"""),"GUEVARA, MONICA DEL ROSARIO")</f>
        <v>GUEVARA, MONICA DEL ROSARIO</v>
      </c>
      <c r="D4717" s="1" t="str">
        <f>IFERROR(__xludf.DUMMYFUNCTION("""COMPUTED_VALUE"""),"Lentes de STOCK")</f>
        <v>Lentes de STOCK</v>
      </c>
      <c r="E4717" s="1" t="str">
        <f>IFERROR(__xludf.DUMMYFUNCTION("""COMPUTED_VALUE"""),"RIVADAVIA Christian C.")</f>
        <v>RIVADAVIA Christian C.</v>
      </c>
      <c r="F4717" s="1" t="str">
        <f t="shared" si="1"/>
        <v>RIVADAVIA </v>
      </c>
      <c r="G4717" s="1" t="str">
        <f t="shared" si="2"/>
        <v>Christian C.</v>
      </c>
      <c r="H4717" s="1" t="str">
        <f>IFERROR(__xludf.DUMMYFUNCTION("""COMPUTED_VALUE"""),"12/4/2023, 17:00:00")</f>
        <v>12/4/2023, 17:00:00</v>
      </c>
      <c r="I4717" s="1" t="str">
        <f>IFERROR(__xludf.DUMMYFUNCTION("""COMPUTED_VALUE"""),"Completado en SUCURSAL")</f>
        <v>Completado en SUCURSAL</v>
      </c>
      <c r="J4717" s="1">
        <f t="shared" si="3"/>
        <v>5</v>
      </c>
      <c r="K4717" s="1" t="str">
        <f t="shared" si="4"/>
        <v>Tus Lentes estan LISTAS PARA ENTREGAR, te esperamos.</v>
      </c>
    </row>
    <row r="4718">
      <c r="A4718" s="1">
        <f>IFERROR(__xludf.DUMMYFUNCTION("""COMPUTED_VALUE"""),89281.0)</f>
        <v>89281</v>
      </c>
      <c r="B4718" s="5">
        <f>IFERROR(__xludf.DUMMYFUNCTION("""COMPUTED_VALUE"""),45020.40482053241)</f>
        <v>45020.40482</v>
      </c>
      <c r="C4718" s="1" t="str">
        <f>IFERROR(__xludf.DUMMYFUNCTION("""COMPUTED_VALUE"""),"MORAN BLANCA ")</f>
        <v>MORAN BLANCA </v>
      </c>
      <c r="D4718" s="1" t="str">
        <f>IFERROR(__xludf.DUMMYFUNCTION("""COMPUTED_VALUE"""),"Lentes de STOCK")</f>
        <v>Lentes de STOCK</v>
      </c>
      <c r="E4718" s="1" t="str">
        <f>IFERROR(__xludf.DUMMYFUNCTION("""COMPUTED_VALUE"""),"ARTIGAS Roció")</f>
        <v>ARTIGAS Roció</v>
      </c>
      <c r="F4718" s="1" t="str">
        <f t="shared" si="1"/>
        <v>ARTIGAS </v>
      </c>
      <c r="G4718" s="1" t="str">
        <f t="shared" si="2"/>
        <v>Roció</v>
      </c>
      <c r="H4718" s="1" t="str">
        <f>IFERROR(__xludf.DUMMYFUNCTION("""COMPUTED_VALUE"""),"13/4/2023, 17:00:00")</f>
        <v>13/4/2023, 17:00:00</v>
      </c>
      <c r="I4718" s="1" t="str">
        <f>IFERROR(__xludf.DUMMYFUNCTION("""COMPUTED_VALUE"""),"Recibido en Laboratorio")</f>
        <v>Recibido en Laboratorio</v>
      </c>
      <c r="J4718" s="1">
        <f t="shared" si="3"/>
        <v>2</v>
      </c>
      <c r="K4718" s="1" t="str">
        <f t="shared" si="4"/>
        <v>Nuestro Laboratorio esta trabajando en tus lentes, los entregaremos en la fecha acordada.</v>
      </c>
    </row>
    <row r="4719">
      <c r="A4719" s="1">
        <f>IFERROR(__xludf.DUMMYFUNCTION("""COMPUTED_VALUE"""),89282.0)</f>
        <v>89282</v>
      </c>
      <c r="B4719" s="5">
        <f>IFERROR(__xludf.DUMMYFUNCTION("""COMPUTED_VALUE"""),45020.40913133102)</f>
        <v>45020.40913</v>
      </c>
      <c r="C4719" s="1" t="str">
        <f>IFERROR(__xludf.DUMMYFUNCTION("""COMPUTED_VALUE"""),"ROMERO BRITO CINTIA")</f>
        <v>ROMERO BRITO CINTIA</v>
      </c>
      <c r="D4719" s="1" t="str">
        <f>IFERROR(__xludf.DUMMYFUNCTION("""COMPUTED_VALUE"""),"Lentes de STOCK")</f>
        <v>Lentes de STOCK</v>
      </c>
      <c r="E4719" s="1" t="str">
        <f>IFERROR(__xludf.DUMMYFUNCTION("""COMPUTED_VALUE"""),"RIVADAVIA Luciana")</f>
        <v>RIVADAVIA Luciana</v>
      </c>
      <c r="F4719" s="1" t="str">
        <f t="shared" si="1"/>
        <v>RIVADAVIA </v>
      </c>
      <c r="G4719" s="1" t="str">
        <f t="shared" si="2"/>
        <v>Luciana</v>
      </c>
      <c r="H4719" s="1" t="str">
        <f>IFERROR(__xludf.DUMMYFUNCTION("""COMPUTED_VALUE"""),"11/4/2023, 17:00:00")</f>
        <v>11/4/2023, 17:00:00</v>
      </c>
      <c r="I4719" s="1" t="str">
        <f>IFERROR(__xludf.DUMMYFUNCTION("""COMPUTED_VALUE"""),"Completado en SUCURSAL")</f>
        <v>Completado en SUCURSAL</v>
      </c>
      <c r="J4719" s="1">
        <f t="shared" si="3"/>
        <v>5</v>
      </c>
      <c r="K4719" s="1" t="str">
        <f t="shared" si="4"/>
        <v>Tus Lentes estan LISTAS PARA ENTREGAR, te esperamos.</v>
      </c>
    </row>
    <row r="4720">
      <c r="A4720" s="1">
        <f>IFERROR(__xludf.DUMMYFUNCTION("""COMPUTED_VALUE"""),89283.0)</f>
        <v>89283</v>
      </c>
      <c r="B4720" s="5">
        <f>IFERROR(__xludf.DUMMYFUNCTION("""COMPUTED_VALUE"""),45020.41285260417)</f>
        <v>45020.41285</v>
      </c>
      <c r="C4720" s="1" t="str">
        <f>IFERROR(__xludf.DUMMYFUNCTION("""COMPUTED_VALUE"""),"ALBARRACIN RAMONA DEL JESUS")</f>
        <v>ALBARRACIN RAMONA DEL JESUS</v>
      </c>
      <c r="D4720" s="1" t="str">
        <f>IFERROR(__xludf.DUMMYFUNCTION("""COMPUTED_VALUE"""),"Lentes de STOCK")</f>
        <v>Lentes de STOCK</v>
      </c>
      <c r="E4720" s="1" t="str">
        <f>IFERROR(__xludf.DUMMYFUNCTION("""COMPUTED_VALUE"""),"RIVADAVIA Santiago LOPEZ")</f>
        <v>RIVADAVIA Santiago LOPEZ</v>
      </c>
      <c r="F4720" s="1" t="str">
        <f t="shared" si="1"/>
        <v>RIVADAVIA </v>
      </c>
      <c r="G4720" s="1" t="str">
        <f t="shared" si="2"/>
        <v>Santiago LOPEZ</v>
      </c>
      <c r="H4720" s="1" t="str">
        <f>IFERROR(__xludf.DUMMYFUNCTION("""COMPUTED_VALUE"""),"6/4/2023, 17:00:00")</f>
        <v>6/4/2023, 17:00:00</v>
      </c>
      <c r="I4720" s="1" t="str">
        <f>IFERROR(__xludf.DUMMYFUNCTION("""COMPUTED_VALUE"""),"Completado en SUCURSAL")</f>
        <v>Completado en SUCURSAL</v>
      </c>
      <c r="J4720" s="1">
        <f t="shared" si="3"/>
        <v>5</v>
      </c>
      <c r="K4720" s="1" t="str">
        <f t="shared" si="4"/>
        <v>Tus Lentes estan LISTAS PARA ENTREGAR, te esperamos.</v>
      </c>
    </row>
    <row r="4721">
      <c r="A4721" s="1">
        <f>IFERROR(__xludf.DUMMYFUNCTION("""COMPUTED_VALUE"""),89284.0)</f>
        <v>89284</v>
      </c>
      <c r="B4721" s="5">
        <f>IFERROR(__xludf.DUMMYFUNCTION("""COMPUTED_VALUE"""),45020.41335912037)</f>
        <v>45020.41336</v>
      </c>
      <c r="C4721" s="1" t="str">
        <f>IFERROR(__xludf.DUMMYFUNCTION("""COMPUTED_VALUE"""),"RODRIGUEZ HILARIA")</f>
        <v>RODRIGUEZ HILARIA</v>
      </c>
      <c r="D4721" s="1" t="str">
        <f>IFERROR(__xludf.DUMMYFUNCTION("""COMPUTED_VALUE"""),"Lentes de STOCK")</f>
        <v>Lentes de STOCK</v>
      </c>
      <c r="E4721" s="1" t="str">
        <f>IFERROR(__xludf.DUMMYFUNCTION("""COMPUTED_VALUE"""),"ARTIGAS Roció")</f>
        <v>ARTIGAS Roció</v>
      </c>
      <c r="F4721" s="1" t="str">
        <f t="shared" si="1"/>
        <v>ARTIGAS </v>
      </c>
      <c r="G4721" s="1" t="str">
        <f t="shared" si="2"/>
        <v>Roció</v>
      </c>
      <c r="H4721" s="1" t="str">
        <f>IFERROR(__xludf.DUMMYFUNCTION("""COMPUTED_VALUE"""),"14/4/2023, 17:00:00")</f>
        <v>14/4/2023, 17:00:00</v>
      </c>
      <c r="I4721" s="1" t="str">
        <f>IFERROR(__xludf.DUMMYFUNCTION("""COMPUTED_VALUE"""),"Completado en SUCURSAL")</f>
        <v>Completado en SUCURSAL</v>
      </c>
      <c r="J4721" s="1">
        <f t="shared" si="3"/>
        <v>5</v>
      </c>
      <c r="K4721" s="1" t="str">
        <f t="shared" si="4"/>
        <v>Tus Lentes estan LISTAS PARA ENTREGAR, te esperamos.</v>
      </c>
    </row>
    <row r="4722">
      <c r="A4722" s="1">
        <f>IFERROR(__xludf.DUMMYFUNCTION("""COMPUTED_VALUE"""),89285.0)</f>
        <v>89285</v>
      </c>
      <c r="B4722" s="5">
        <f>IFERROR(__xludf.DUMMYFUNCTION("""COMPUTED_VALUE"""),45020.41394704861)</f>
        <v>45020.41395</v>
      </c>
      <c r="C4722" s="1" t="str">
        <f>IFERROR(__xludf.DUMMYFUNCTION("""COMPUTED_VALUE"""),"OJEDA MATEO")</f>
        <v>OJEDA MATEO</v>
      </c>
      <c r="D4722" s="1" t="str">
        <f>IFERROR(__xludf.DUMMYFUNCTION("""COMPUTED_VALUE"""),"Reparaciones/Otros")</f>
        <v>Reparaciones/Otros</v>
      </c>
      <c r="E4722" s="1" t="str">
        <f>IFERROR(__xludf.DUMMYFUNCTION("""COMPUTED_VALUE"""),"ARTIGAS Sandra G")</f>
        <v>ARTIGAS Sandra G</v>
      </c>
      <c r="F4722" s="1" t="str">
        <f t="shared" si="1"/>
        <v>ARTIGAS </v>
      </c>
      <c r="G4722" s="1" t="str">
        <f t="shared" si="2"/>
        <v>Sandra G</v>
      </c>
      <c r="H4722" s="1" t="str">
        <f>IFERROR(__xludf.DUMMYFUNCTION("""COMPUTED_VALUE"""),"5/4/2023, 17:00:00")</f>
        <v>5/4/2023, 17:00:00</v>
      </c>
      <c r="I4722" s="1" t="str">
        <f>IFERROR(__xludf.DUMMYFUNCTION("""COMPUTED_VALUE"""),"RETIRADO OK POR CLIENTE")</f>
        <v>RETIRADO OK POR CLIENTE</v>
      </c>
      <c r="J4722" s="1">
        <f t="shared" si="3"/>
        <v>6</v>
      </c>
      <c r="K4722" s="1" t="str">
        <f t="shared" si="4"/>
        <v>Entregamos tus lentes, que los disfrutes!</v>
      </c>
    </row>
    <row r="4723">
      <c r="A4723" s="1">
        <f>IFERROR(__xludf.DUMMYFUNCTION("""COMPUTED_VALUE"""),89286.0)</f>
        <v>89286</v>
      </c>
      <c r="B4723" s="5">
        <f>IFERROR(__xludf.DUMMYFUNCTION("""COMPUTED_VALUE"""),45020.42600733796)</f>
        <v>45020.42601</v>
      </c>
      <c r="C4723" s="1" t="str">
        <f>IFERROR(__xludf.DUMMYFUNCTION("""COMPUTED_VALUE"""),"DICIANO MARCOS")</f>
        <v>DICIANO MARCOS</v>
      </c>
      <c r="D4723" s="1" t="str">
        <f>IFERROR(__xludf.DUMMYFUNCTION("""COMPUTED_VALUE"""),"Lentes de STOCK")</f>
        <v>Lentes de STOCK</v>
      </c>
      <c r="E4723" s="1" t="str">
        <f>IFERROR(__xludf.DUMMYFUNCTION("""COMPUTED_VALUE"""),"RIVADAVIA Christian C.")</f>
        <v>RIVADAVIA Christian C.</v>
      </c>
      <c r="F4723" s="1" t="str">
        <f t="shared" si="1"/>
        <v>RIVADAVIA </v>
      </c>
      <c r="G4723" s="1" t="str">
        <f t="shared" si="2"/>
        <v>Christian C.</v>
      </c>
      <c r="H4723" s="1" t="str">
        <f>IFERROR(__xludf.DUMMYFUNCTION("""COMPUTED_VALUE"""),"12/4/2023, 17:00:00")</f>
        <v>12/4/2023, 17:00:00</v>
      </c>
      <c r="I4723" s="1" t="str">
        <f>IFERROR(__xludf.DUMMYFUNCTION("""COMPUTED_VALUE"""),"Completado en SUCURSAL")</f>
        <v>Completado en SUCURSAL</v>
      </c>
      <c r="J4723" s="1">
        <f t="shared" si="3"/>
        <v>5</v>
      </c>
      <c r="K4723" s="1" t="str">
        <f t="shared" si="4"/>
        <v>Tus Lentes estan LISTAS PARA ENTREGAR, te esperamos.</v>
      </c>
    </row>
    <row r="4724" hidden="1">
      <c r="A4724" s="1">
        <f>IFERROR(__xludf.DUMMYFUNCTION("""COMPUTED_VALUE"""),89287.0)</f>
        <v>89287</v>
      </c>
      <c r="B4724" s="5">
        <f>IFERROR(__xludf.DUMMYFUNCTION("""COMPUTED_VALUE"""),45020.42965579861)</f>
        <v>45020.42966</v>
      </c>
      <c r="C4724" s="1" t="str">
        <f>IFERROR(__xludf.DUMMYFUNCTION("""COMPUTED_VALUE"""),"ALBINO KEILA")</f>
        <v>ALBINO KEILA</v>
      </c>
      <c r="D4724" s="1" t="str">
        <f>IFERROR(__xludf.DUMMYFUNCTION("""COMPUTED_VALUE"""),"Lentes de STOCK")</f>
        <v>Lentes de STOCK</v>
      </c>
      <c r="E4724" s="1" t="str">
        <f>IFERROR(__xludf.DUMMYFUNCTION("""COMPUTED_VALUE"""),"ARTIGAS Ivana P.")</f>
        <v>ARTIGAS Ivana P.</v>
      </c>
      <c r="F4724" s="1" t="str">
        <f t="shared" si="1"/>
        <v>ARTIGAS </v>
      </c>
      <c r="G4724" s="1" t="str">
        <f t="shared" si="2"/>
        <v>Ivana P.</v>
      </c>
      <c r="H4724" s="1" t="str">
        <f>IFERROR(__xludf.DUMMYFUNCTION("""COMPUTED_VALUE"""),"10/4/2023, 17:00:00")</f>
        <v>10/4/2023, 17:00:00</v>
      </c>
      <c r="I4724" s="1" t="str">
        <f>IFERROR(__xludf.DUMMYFUNCTION("""COMPUTED_VALUE"""),"DEMORADO")</f>
        <v>DEMORADO</v>
      </c>
      <c r="J4724" s="1" t="str">
        <f t="shared" si="3"/>
        <v/>
      </c>
      <c r="K4724" s="1" t="str">
        <f t="shared" si="4"/>
        <v>Tuvimos una demora con tus lentes y no podremos entregarlo en las fecha acordada, estamos trabajando para terminarlos cuanto antes, te mantendremos al tanto, si es necesario contactanos via whatsapp.</v>
      </c>
    </row>
    <row r="4725">
      <c r="A4725" s="1">
        <f>IFERROR(__xludf.DUMMYFUNCTION("""COMPUTED_VALUE"""),89288.0)</f>
        <v>89288</v>
      </c>
      <c r="B4725" s="5">
        <f>IFERROR(__xludf.DUMMYFUNCTION("""COMPUTED_VALUE"""),45020.439950555556)</f>
        <v>45020.43995</v>
      </c>
      <c r="C4725" s="1" t="str">
        <f>IFERROR(__xludf.DUMMYFUNCTION("""COMPUTED_VALUE"""),"ANELLO MIRTA NANCY")</f>
        <v>ANELLO MIRTA NANCY</v>
      </c>
      <c r="D4725" s="1" t="str">
        <f>IFERROR(__xludf.DUMMYFUNCTION("""COMPUTED_VALUE"""),"Lentes de STOCK")</f>
        <v>Lentes de STOCK</v>
      </c>
      <c r="E4725" s="1" t="str">
        <f>IFERROR(__xludf.DUMMYFUNCTION("""COMPUTED_VALUE"""),"RIVADAVIA Christian C.")</f>
        <v>RIVADAVIA Christian C.</v>
      </c>
      <c r="F4725" s="1" t="str">
        <f t="shared" si="1"/>
        <v>RIVADAVIA </v>
      </c>
      <c r="G4725" s="1" t="str">
        <f t="shared" si="2"/>
        <v>Christian C.</v>
      </c>
      <c r="H4725" s="1" t="str">
        <f>IFERROR(__xludf.DUMMYFUNCTION("""COMPUTED_VALUE"""),"12/4/2023, 17:00:00")</f>
        <v>12/4/2023, 17:00:00</v>
      </c>
      <c r="I4725" s="1" t="str">
        <f>IFERROR(__xludf.DUMMYFUNCTION("""COMPUTED_VALUE"""),"Completado en SUCURSAL")</f>
        <v>Completado en SUCURSAL</v>
      </c>
      <c r="J4725" s="1">
        <f t="shared" si="3"/>
        <v>5</v>
      </c>
      <c r="K4725" s="1" t="str">
        <f t="shared" si="4"/>
        <v>Tus Lentes estan LISTAS PARA ENTREGAR, te esperamos.</v>
      </c>
    </row>
    <row r="4726">
      <c r="A4726" s="1">
        <f>IFERROR(__xludf.DUMMYFUNCTION("""COMPUTED_VALUE"""),89289.0)</f>
        <v>89289</v>
      </c>
      <c r="B4726" s="5">
        <f>IFERROR(__xludf.DUMMYFUNCTION("""COMPUTED_VALUE"""),45020.44095251158)</f>
        <v>45020.44095</v>
      </c>
      <c r="C4726" s="1" t="str">
        <f>IFERROR(__xludf.DUMMYFUNCTION("""COMPUTED_VALUE"""),"berardo federico ministro")</f>
        <v>berardo federico ministro</v>
      </c>
      <c r="D4726" s="1" t="str">
        <f>IFERROR(__xludf.DUMMYFUNCTION("""COMPUTED_VALUE"""),"Lentes de STOCK")</f>
        <v>Lentes de STOCK</v>
      </c>
      <c r="E4726" s="1" t="str">
        <f>IFERROR(__xludf.DUMMYFUNCTION("""COMPUTED_VALUE"""),"RIVADAVIA Santiago N")</f>
        <v>RIVADAVIA Santiago N</v>
      </c>
      <c r="F4726" s="1" t="str">
        <f t="shared" si="1"/>
        <v>RIVADAVIA </v>
      </c>
      <c r="G4726" s="1" t="str">
        <f t="shared" si="2"/>
        <v>Santiago N</v>
      </c>
      <c r="H4726" s="1" t="str">
        <f>IFERROR(__xludf.DUMMYFUNCTION("""COMPUTED_VALUE"""),"10/4/2023, 17:00:00")</f>
        <v>10/4/2023, 17:00:00</v>
      </c>
      <c r="I4726" s="1" t="str">
        <f>IFERROR(__xludf.DUMMYFUNCTION("""COMPUTED_VALUE"""),"Recibido en Laboratorio")</f>
        <v>Recibido en Laboratorio</v>
      </c>
      <c r="J4726" s="1">
        <f t="shared" si="3"/>
        <v>2</v>
      </c>
      <c r="K4726" s="1" t="str">
        <f t="shared" si="4"/>
        <v>Nuestro Laboratorio esta trabajando en tus lentes, los entregaremos en la fecha acordada.</v>
      </c>
    </row>
    <row r="4727">
      <c r="A4727" s="1">
        <f>IFERROR(__xludf.DUMMYFUNCTION("""COMPUTED_VALUE"""),89290.0)</f>
        <v>89290</v>
      </c>
      <c r="B4727" s="5">
        <f>IFERROR(__xludf.DUMMYFUNCTION("""COMPUTED_VALUE"""),45020.440966967595)</f>
        <v>45020.44097</v>
      </c>
      <c r="C4727" s="1" t="str">
        <f>IFERROR(__xludf.DUMMYFUNCTION("""COMPUTED_VALUE"""),"VILLARUEL FACUNDO JAVIER (PROGRAMA MEDICINA DEL INTERIOR GOB)")</f>
        <v>VILLARUEL FACUNDO JAVIER (PROGRAMA MEDICINA DEL INTERIOR GOB)</v>
      </c>
      <c r="D4727" s="1" t="str">
        <f>IFERROR(__xludf.DUMMYFUNCTION("""COMPUTED_VALUE"""),"Lentes de STOCK")</f>
        <v>Lentes de STOCK</v>
      </c>
      <c r="E4727" s="1" t="str">
        <f>IFERROR(__xludf.DUMMYFUNCTION("""COMPUTED_VALUE"""),"Online ADMIN.")</f>
        <v>Online ADMIN.</v>
      </c>
      <c r="F4727" s="1" t="str">
        <f t="shared" si="1"/>
        <v>Online </v>
      </c>
      <c r="G4727" s="1" t="str">
        <f t="shared" si="2"/>
        <v>ADMIN.</v>
      </c>
      <c r="H4727" s="1" t="str">
        <f>IFERROR(__xludf.DUMMYFUNCTION("""COMPUTED_VALUE"""),"6/4/2023, 17:00:00")</f>
        <v>6/4/2023, 17:00:00</v>
      </c>
      <c r="I4727" s="1" t="str">
        <f>IFERROR(__xludf.DUMMYFUNCTION("""COMPUTED_VALUE"""),"Recibido en Laboratorio")</f>
        <v>Recibido en Laboratorio</v>
      </c>
      <c r="J4727" s="1">
        <f t="shared" si="3"/>
        <v>2</v>
      </c>
      <c r="K4727" s="1" t="str">
        <f t="shared" si="4"/>
        <v>Nuestro Laboratorio esta trabajando en tus lentes, los entregaremos en la fecha acordada.</v>
      </c>
    </row>
    <row r="4728">
      <c r="A4728" s="1">
        <f>IFERROR(__xludf.DUMMYFUNCTION("""COMPUTED_VALUE"""),89291.0)</f>
        <v>89291</v>
      </c>
      <c r="B4728" s="5">
        <f>IFERROR(__xludf.DUMMYFUNCTION("""COMPUTED_VALUE"""),45020.4419474537)</f>
        <v>45020.44195</v>
      </c>
      <c r="C4728" s="1" t="str">
        <f>IFERROR(__xludf.DUMMYFUNCTION("""COMPUTED_VALUE"""),"SUAREZ THIARA YAZMIN (PROGRAMA MEDICINA DEL INTERIOR GOB)")</f>
        <v>SUAREZ THIARA YAZMIN (PROGRAMA MEDICINA DEL INTERIOR GOB)</v>
      </c>
      <c r="D4728" s="1" t="str">
        <f>IFERROR(__xludf.DUMMYFUNCTION("""COMPUTED_VALUE"""),"Lentes de STOCK")</f>
        <v>Lentes de STOCK</v>
      </c>
      <c r="E4728" s="1" t="str">
        <f>IFERROR(__xludf.DUMMYFUNCTION("""COMPUTED_VALUE"""),"Online ADMIN.")</f>
        <v>Online ADMIN.</v>
      </c>
      <c r="F4728" s="1" t="str">
        <f t="shared" si="1"/>
        <v>Online </v>
      </c>
      <c r="G4728" s="1" t="str">
        <f t="shared" si="2"/>
        <v>ADMIN.</v>
      </c>
      <c r="H4728" s="1" t="str">
        <f>IFERROR(__xludf.DUMMYFUNCTION("""COMPUTED_VALUE"""),"6/4/2023, 17:00:00")</f>
        <v>6/4/2023, 17:00:00</v>
      </c>
      <c r="I4728" s="1" t="str">
        <f>IFERROR(__xludf.DUMMYFUNCTION("""COMPUTED_VALUE"""),"Completado en SUCURSAL")</f>
        <v>Completado en SUCURSAL</v>
      </c>
      <c r="J4728" s="1">
        <f t="shared" si="3"/>
        <v>5</v>
      </c>
      <c r="K4728" s="1" t="str">
        <f t="shared" si="4"/>
        <v>Tus Lentes estan LISTAS PARA ENTREGAR, te esperamos.</v>
      </c>
    </row>
    <row r="4729">
      <c r="A4729" s="1">
        <f>IFERROR(__xludf.DUMMYFUNCTION("""COMPUTED_VALUE"""),89292.0)</f>
        <v>89292</v>
      </c>
      <c r="B4729" s="5">
        <f>IFERROR(__xludf.DUMMYFUNCTION("""COMPUTED_VALUE"""),45020.44268959491)</f>
        <v>45020.44269</v>
      </c>
      <c r="C4729" s="1" t="str">
        <f>IFERROR(__xludf.DUMMYFUNCTION("""COMPUTED_VALUE"""),"SOSA HUAIQUILAF DANIEL CALEB (PROGRAMA MEDICINA DEL INTERIOR GOB)")</f>
        <v>SOSA HUAIQUILAF DANIEL CALEB (PROGRAMA MEDICINA DEL INTERIOR GOB)</v>
      </c>
      <c r="D4729" s="1" t="str">
        <f>IFERROR(__xludf.DUMMYFUNCTION("""COMPUTED_VALUE"""),"Lentes de STOCK")</f>
        <v>Lentes de STOCK</v>
      </c>
      <c r="E4729" s="1" t="str">
        <f>IFERROR(__xludf.DUMMYFUNCTION("""COMPUTED_VALUE"""),"Online ADMIN.")</f>
        <v>Online ADMIN.</v>
      </c>
      <c r="F4729" s="1" t="str">
        <f t="shared" si="1"/>
        <v>Online </v>
      </c>
      <c r="G4729" s="1" t="str">
        <f t="shared" si="2"/>
        <v>ADMIN.</v>
      </c>
      <c r="H4729" s="1" t="str">
        <f>IFERROR(__xludf.DUMMYFUNCTION("""COMPUTED_VALUE"""),"6/4/2023, 17:00:00")</f>
        <v>6/4/2023, 17:00:00</v>
      </c>
      <c r="I4729" s="1" t="str">
        <f>IFERROR(__xludf.DUMMYFUNCTION("""COMPUTED_VALUE"""),"Recibido en Laboratorio")</f>
        <v>Recibido en Laboratorio</v>
      </c>
      <c r="J4729" s="1">
        <f t="shared" si="3"/>
        <v>2</v>
      </c>
      <c r="K4729" s="1" t="str">
        <f t="shared" si="4"/>
        <v>Nuestro Laboratorio esta trabajando en tus lentes, los entregaremos en la fecha acordada.</v>
      </c>
    </row>
    <row r="4730">
      <c r="A4730" s="1">
        <f>IFERROR(__xludf.DUMMYFUNCTION("""COMPUTED_VALUE"""),89293.0)</f>
        <v>89293</v>
      </c>
      <c r="B4730" s="5">
        <f>IFERROR(__xludf.DUMMYFUNCTION("""COMPUTED_VALUE"""),45020.443836990744)</f>
        <v>45020.44384</v>
      </c>
      <c r="C4730" s="1" t="str">
        <f>IFERROR(__xludf.DUMMYFUNCTION("""COMPUTED_VALUE"""),"RODRIGUEZ MARIA ELIZABETH (PROGRAMA MEDICINA DEL INTERIOR GOB)")</f>
        <v>RODRIGUEZ MARIA ELIZABETH (PROGRAMA MEDICINA DEL INTERIOR GOB)</v>
      </c>
      <c r="D4730" s="1" t="str">
        <f>IFERROR(__xludf.DUMMYFUNCTION("""COMPUTED_VALUE"""),"Lentes de STOCK")</f>
        <v>Lentes de STOCK</v>
      </c>
      <c r="E4730" s="1" t="str">
        <f>IFERROR(__xludf.DUMMYFUNCTION("""COMPUTED_VALUE"""),"Online ADMIN.")</f>
        <v>Online ADMIN.</v>
      </c>
      <c r="F4730" s="1" t="str">
        <f t="shared" si="1"/>
        <v>Online </v>
      </c>
      <c r="G4730" s="1" t="str">
        <f t="shared" si="2"/>
        <v>ADMIN.</v>
      </c>
      <c r="H4730" s="1" t="str">
        <f>IFERROR(__xludf.DUMMYFUNCTION("""COMPUTED_VALUE"""),"6/4/2023, 17:00:00")</f>
        <v>6/4/2023, 17:00:00</v>
      </c>
      <c r="I4730" s="1" t="str">
        <f>IFERROR(__xludf.DUMMYFUNCTION("""COMPUTED_VALUE"""),"Completado en SUCURSAL")</f>
        <v>Completado en SUCURSAL</v>
      </c>
      <c r="J4730" s="1">
        <f t="shared" si="3"/>
        <v>5</v>
      </c>
      <c r="K4730" s="1" t="str">
        <f t="shared" si="4"/>
        <v>Tus Lentes estan LISTAS PARA ENTREGAR, te esperamos.</v>
      </c>
    </row>
    <row r="4731">
      <c r="A4731" s="1">
        <f>IFERROR(__xludf.DUMMYFUNCTION("""COMPUTED_VALUE"""),89294.0)</f>
        <v>89294</v>
      </c>
      <c r="B4731" s="5">
        <f>IFERROR(__xludf.DUMMYFUNCTION("""COMPUTED_VALUE"""),45020.44452092593)</f>
        <v>45020.44452</v>
      </c>
      <c r="C4731" s="1" t="str">
        <f>IFERROR(__xludf.DUMMYFUNCTION("""COMPUTED_VALUE"""),"ROSALES ALEJANDRO JAVIER  (PROGRAMA MEDICINA DEL INTERIOR GOB)")</f>
        <v>ROSALES ALEJANDRO JAVIER  (PROGRAMA MEDICINA DEL INTERIOR GOB)</v>
      </c>
      <c r="D4731" s="1" t="str">
        <f>IFERROR(__xludf.DUMMYFUNCTION("""COMPUTED_VALUE"""),"Lentes de STOCK")</f>
        <v>Lentes de STOCK</v>
      </c>
      <c r="E4731" s="1" t="str">
        <f>IFERROR(__xludf.DUMMYFUNCTION("""COMPUTED_VALUE"""),"Online ADMIN.")</f>
        <v>Online ADMIN.</v>
      </c>
      <c r="F4731" s="1" t="str">
        <f t="shared" si="1"/>
        <v>Online </v>
      </c>
      <c r="G4731" s="1" t="str">
        <f t="shared" si="2"/>
        <v>ADMIN.</v>
      </c>
      <c r="H4731" s="1" t="str">
        <f>IFERROR(__xludf.DUMMYFUNCTION("""COMPUTED_VALUE"""),"6/4/2023, 17:00:00")</f>
        <v>6/4/2023, 17:00:00</v>
      </c>
      <c r="I4731" s="1" t="str">
        <f>IFERROR(__xludf.DUMMYFUNCTION("""COMPUTED_VALUE"""),"Completado en SUCURSAL")</f>
        <v>Completado en SUCURSAL</v>
      </c>
      <c r="J4731" s="1">
        <f t="shared" si="3"/>
        <v>5</v>
      </c>
      <c r="K4731" s="1" t="str">
        <f t="shared" si="4"/>
        <v>Tus Lentes estan LISTAS PARA ENTREGAR, te esperamos.</v>
      </c>
    </row>
    <row r="4732">
      <c r="A4732" s="1">
        <f>IFERROR(__xludf.DUMMYFUNCTION("""COMPUTED_VALUE"""),89295.0)</f>
        <v>89295</v>
      </c>
      <c r="B4732" s="5">
        <f>IFERROR(__xludf.DUMMYFUNCTION("""COMPUTED_VALUE"""),45020.444960023146)</f>
        <v>45020.44496</v>
      </c>
      <c r="C4732" s="1" t="str">
        <f>IFERROR(__xludf.DUMMYFUNCTION("""COMPUTED_VALUE"""),"RODRIGUEZ MAGALI DEL CARMEN (PROGRAMA MEDICINA DEL INTERIOR GOB)")</f>
        <v>RODRIGUEZ MAGALI DEL CARMEN (PROGRAMA MEDICINA DEL INTERIOR GOB)</v>
      </c>
      <c r="D4732" s="1" t="str">
        <f>IFERROR(__xludf.DUMMYFUNCTION("""COMPUTED_VALUE"""),"Lentes de STOCK")</f>
        <v>Lentes de STOCK</v>
      </c>
      <c r="E4732" s="1" t="str">
        <f>IFERROR(__xludf.DUMMYFUNCTION("""COMPUTED_VALUE"""),"Online ADMIN.")</f>
        <v>Online ADMIN.</v>
      </c>
      <c r="F4732" s="1" t="str">
        <f t="shared" si="1"/>
        <v>Online </v>
      </c>
      <c r="G4732" s="1" t="str">
        <f t="shared" si="2"/>
        <v>ADMIN.</v>
      </c>
      <c r="H4732" s="1" t="str">
        <f>IFERROR(__xludf.DUMMYFUNCTION("""COMPUTED_VALUE"""),"6/4/2023, 17:00:00")</f>
        <v>6/4/2023, 17:00:00</v>
      </c>
      <c r="I4732" s="1" t="str">
        <f>IFERROR(__xludf.DUMMYFUNCTION("""COMPUTED_VALUE"""),"Completado en SUCURSAL")</f>
        <v>Completado en SUCURSAL</v>
      </c>
      <c r="J4732" s="1">
        <f t="shared" si="3"/>
        <v>5</v>
      </c>
      <c r="K4732" s="1" t="str">
        <f t="shared" si="4"/>
        <v>Tus Lentes estan LISTAS PARA ENTREGAR, te esperamos.</v>
      </c>
    </row>
    <row r="4733">
      <c r="A4733" s="1">
        <f>IFERROR(__xludf.DUMMYFUNCTION("""COMPUTED_VALUE"""),89296.0)</f>
        <v>89296</v>
      </c>
      <c r="B4733" s="5">
        <f>IFERROR(__xludf.DUMMYFUNCTION("""COMPUTED_VALUE"""),45020.446537094904)</f>
        <v>45020.44654</v>
      </c>
      <c r="C4733" s="1" t="str">
        <f>IFERROR(__xludf.DUMMYFUNCTION("""COMPUTED_VALUE"""),"PERALTA QUIROGA DIANA AGOSTINA (PROGRAMA MEDICINA DEL INTERIOR GOB)")</f>
        <v>PERALTA QUIROGA DIANA AGOSTINA (PROGRAMA MEDICINA DEL INTERIOR GOB)</v>
      </c>
      <c r="D4733" s="1" t="str">
        <f>IFERROR(__xludf.DUMMYFUNCTION("""COMPUTED_VALUE"""),"Lentes de STOCK")</f>
        <v>Lentes de STOCK</v>
      </c>
      <c r="E4733" s="1" t="str">
        <f>IFERROR(__xludf.DUMMYFUNCTION("""COMPUTED_VALUE"""),"Online ADMIN.")</f>
        <v>Online ADMIN.</v>
      </c>
      <c r="F4733" s="1" t="str">
        <f t="shared" si="1"/>
        <v>Online </v>
      </c>
      <c r="G4733" s="1" t="str">
        <f t="shared" si="2"/>
        <v>ADMIN.</v>
      </c>
      <c r="H4733" s="1" t="str">
        <f>IFERROR(__xludf.DUMMYFUNCTION("""COMPUTED_VALUE"""),"6/4/2023, 17:00:00")</f>
        <v>6/4/2023, 17:00:00</v>
      </c>
      <c r="I4733" s="1" t="str">
        <f>IFERROR(__xludf.DUMMYFUNCTION("""COMPUTED_VALUE"""),"Recibido en Laboratorio")</f>
        <v>Recibido en Laboratorio</v>
      </c>
      <c r="J4733" s="1">
        <f t="shared" si="3"/>
        <v>2</v>
      </c>
      <c r="K4733" s="1" t="str">
        <f t="shared" si="4"/>
        <v>Nuestro Laboratorio esta trabajando en tus lentes, los entregaremos en la fecha acordada.</v>
      </c>
    </row>
    <row r="4734">
      <c r="A4734" s="1">
        <f>IFERROR(__xludf.DUMMYFUNCTION("""COMPUTED_VALUE"""),89297.0)</f>
        <v>89297</v>
      </c>
      <c r="B4734" s="5">
        <f>IFERROR(__xludf.DUMMYFUNCTION("""COMPUTED_VALUE"""),45020.44704077546)</f>
        <v>45020.44704</v>
      </c>
      <c r="C4734" s="1" t="str">
        <f>IFERROR(__xludf.DUMMYFUNCTION("""COMPUTED_VALUE"""),"MUÑOZ CARINA ALEJANDRA (PROGRAMA MEDICINA DEL INTERIOR GOB)")</f>
        <v>MUÑOZ CARINA ALEJANDRA (PROGRAMA MEDICINA DEL INTERIOR GOB)</v>
      </c>
      <c r="D4734" s="1" t="str">
        <f>IFERROR(__xludf.DUMMYFUNCTION("""COMPUTED_VALUE"""),"Lentes de STOCK")</f>
        <v>Lentes de STOCK</v>
      </c>
      <c r="E4734" s="1" t="str">
        <f>IFERROR(__xludf.DUMMYFUNCTION("""COMPUTED_VALUE"""),"Online ADMIN.")</f>
        <v>Online ADMIN.</v>
      </c>
      <c r="F4734" s="1" t="str">
        <f t="shared" si="1"/>
        <v>Online </v>
      </c>
      <c r="G4734" s="1" t="str">
        <f t="shared" si="2"/>
        <v>ADMIN.</v>
      </c>
      <c r="H4734" s="1" t="str">
        <f>IFERROR(__xludf.DUMMYFUNCTION("""COMPUTED_VALUE"""),"6/4/2023, 17:00:00")</f>
        <v>6/4/2023, 17:00:00</v>
      </c>
      <c r="I4734" s="1" t="str">
        <f>IFERROR(__xludf.DUMMYFUNCTION("""COMPUTED_VALUE"""),"Completado en SUCURSAL")</f>
        <v>Completado en SUCURSAL</v>
      </c>
      <c r="J4734" s="1">
        <f t="shared" si="3"/>
        <v>5</v>
      </c>
      <c r="K4734" s="1" t="str">
        <f t="shared" si="4"/>
        <v>Tus Lentes estan LISTAS PARA ENTREGAR, te esperamos.</v>
      </c>
    </row>
    <row r="4735">
      <c r="A4735" s="1">
        <f>IFERROR(__xludf.DUMMYFUNCTION("""COMPUTED_VALUE"""),89298.0)</f>
        <v>89298</v>
      </c>
      <c r="B4735" s="5">
        <f>IFERROR(__xludf.DUMMYFUNCTION("""COMPUTED_VALUE"""),45020.44782056713)</f>
        <v>45020.44782</v>
      </c>
      <c r="C4735" s="1" t="str">
        <f>IFERROR(__xludf.DUMMYFUNCTION("""COMPUTED_VALUE"""),"AMMAN OLGA")</f>
        <v>AMMAN OLGA</v>
      </c>
      <c r="D4735" s="1" t="str">
        <f>IFERROR(__xludf.DUMMYFUNCTION("""COMPUTED_VALUE"""),"Reparaciones/Otros")</f>
        <v>Reparaciones/Otros</v>
      </c>
      <c r="E4735" s="1" t="str">
        <f>IFERROR(__xludf.DUMMYFUNCTION("""COMPUTED_VALUE"""),"RIVADAVIA Christian C.")</f>
        <v>RIVADAVIA Christian C.</v>
      </c>
      <c r="F4735" s="1" t="str">
        <f t="shared" si="1"/>
        <v>RIVADAVIA </v>
      </c>
      <c r="G4735" s="1" t="str">
        <f t="shared" si="2"/>
        <v>Christian C.</v>
      </c>
      <c r="H4735" s="1" t="str">
        <f>IFERROR(__xludf.DUMMYFUNCTION("""COMPUTED_VALUE"""),"5/4/2023, 17:00:00")</f>
        <v>5/4/2023, 17:00:00</v>
      </c>
      <c r="I4735" s="1" t="str">
        <f>IFERROR(__xludf.DUMMYFUNCTION("""COMPUTED_VALUE"""),"Completado en SUCURSAL")</f>
        <v>Completado en SUCURSAL</v>
      </c>
      <c r="J4735" s="1">
        <f t="shared" si="3"/>
        <v>5</v>
      </c>
      <c r="K4735" s="1" t="str">
        <f t="shared" si="4"/>
        <v>Tus Lentes estan LISTAS PARA ENTREGAR, te esperamos.</v>
      </c>
    </row>
    <row r="4736">
      <c r="A4736" s="1">
        <f>IFERROR(__xludf.DUMMYFUNCTION("""COMPUTED_VALUE"""),89299.0)</f>
        <v>89299</v>
      </c>
      <c r="B4736" s="5">
        <f>IFERROR(__xludf.DUMMYFUNCTION("""COMPUTED_VALUE"""),45020.45006831019)</f>
        <v>45020.45007</v>
      </c>
      <c r="C4736" s="1" t="str">
        <f>IFERROR(__xludf.DUMMYFUNCTION("""COMPUTED_VALUE"""),"MONTAÑA DAIANA MARLENE (PROGRAMA MEDICINA DEL INTERIOR GOB)")</f>
        <v>MONTAÑA DAIANA MARLENE (PROGRAMA MEDICINA DEL INTERIOR GOB)</v>
      </c>
      <c r="D4736" s="1" t="str">
        <f>IFERROR(__xludf.DUMMYFUNCTION("""COMPUTED_VALUE"""),"Lentes de LABORATORIO")</f>
        <v>Lentes de LABORATORIO</v>
      </c>
      <c r="E4736" s="1" t="str">
        <f>IFERROR(__xludf.DUMMYFUNCTION("""COMPUTED_VALUE"""),"Online ADMIN.")</f>
        <v>Online ADMIN.</v>
      </c>
      <c r="F4736" s="1" t="str">
        <f t="shared" si="1"/>
        <v>Online </v>
      </c>
      <c r="G4736" s="1" t="str">
        <f t="shared" si="2"/>
        <v>ADMIN.</v>
      </c>
      <c r="H4736" s="1" t="str">
        <f>IFERROR(__xludf.DUMMYFUNCTION("""COMPUTED_VALUE"""),"11/4/2023, 17:00:00")</f>
        <v>11/4/2023, 17:00:00</v>
      </c>
      <c r="I4736" s="1" t="str">
        <f>IFERROR(__xludf.DUMMYFUNCTION("""COMPUTED_VALUE"""),"Recibido en Laboratorio")</f>
        <v>Recibido en Laboratorio</v>
      </c>
      <c r="J4736" s="1">
        <f t="shared" si="3"/>
        <v>2</v>
      </c>
      <c r="K4736" s="1" t="str">
        <f t="shared" si="4"/>
        <v>Nuestro Laboratorio esta trabajando en tus lentes, los entregaremos en la fecha acordada.</v>
      </c>
    </row>
    <row r="4737">
      <c r="A4737" s="1">
        <f>IFERROR(__xludf.DUMMYFUNCTION("""COMPUTED_VALUE"""),89300.0)</f>
        <v>89300</v>
      </c>
      <c r="B4737" s="5">
        <f>IFERROR(__xludf.DUMMYFUNCTION("""COMPUTED_VALUE"""),45020.45092357638)</f>
        <v>45020.45092</v>
      </c>
      <c r="C4737" s="1" t="str">
        <f>IFERROR(__xludf.DUMMYFUNCTION("""COMPUTED_VALUE"""),"LUCERO AMERICO RAMON (PROGRAMA MEDICINA DEL INTERIOR GOB)")</f>
        <v>LUCERO AMERICO RAMON (PROGRAMA MEDICINA DEL INTERIOR GOB)</v>
      </c>
      <c r="D4737" s="1" t="str">
        <f>IFERROR(__xludf.DUMMYFUNCTION("""COMPUTED_VALUE"""),"Lentes de STOCK")</f>
        <v>Lentes de STOCK</v>
      </c>
      <c r="E4737" s="1" t="str">
        <f>IFERROR(__xludf.DUMMYFUNCTION("""COMPUTED_VALUE"""),"Online ADMIN.")</f>
        <v>Online ADMIN.</v>
      </c>
      <c r="F4737" s="1" t="str">
        <f t="shared" si="1"/>
        <v>Online </v>
      </c>
      <c r="G4737" s="1" t="str">
        <f t="shared" si="2"/>
        <v>ADMIN.</v>
      </c>
      <c r="H4737" s="1" t="str">
        <f>IFERROR(__xludf.DUMMYFUNCTION("""COMPUTED_VALUE"""),"6/4/2023, 17:00:00")</f>
        <v>6/4/2023, 17:00:00</v>
      </c>
      <c r="I4737" s="1" t="str">
        <f>IFERROR(__xludf.DUMMYFUNCTION("""COMPUTED_VALUE"""),"Completado en SUCURSAL")</f>
        <v>Completado en SUCURSAL</v>
      </c>
      <c r="J4737" s="1">
        <f t="shared" si="3"/>
        <v>5</v>
      </c>
      <c r="K4737" s="1" t="str">
        <f t="shared" si="4"/>
        <v>Tus Lentes estan LISTAS PARA ENTREGAR, te esperamos.</v>
      </c>
    </row>
    <row r="4738">
      <c r="A4738" s="1">
        <f>IFERROR(__xludf.DUMMYFUNCTION("""COMPUTED_VALUE"""),89301.0)</f>
        <v>89301</v>
      </c>
      <c r="B4738" s="5">
        <f>IFERROR(__xludf.DUMMYFUNCTION("""COMPUTED_VALUE"""),45020.451650104165)</f>
        <v>45020.45165</v>
      </c>
      <c r="C4738" s="1" t="str">
        <f>IFERROR(__xludf.DUMMYFUNCTION("""COMPUTED_VALUE"""),"FARIAS JORGE EMILIO (PROGRAMA MEDICINA DEL INTERIOR GOB)")</f>
        <v>FARIAS JORGE EMILIO (PROGRAMA MEDICINA DEL INTERIOR GOB)</v>
      </c>
      <c r="D4738" s="1" t="str">
        <f>IFERROR(__xludf.DUMMYFUNCTION("""COMPUTED_VALUE"""),"Lentes de STOCK")</f>
        <v>Lentes de STOCK</v>
      </c>
      <c r="E4738" s="1" t="str">
        <f>IFERROR(__xludf.DUMMYFUNCTION("""COMPUTED_VALUE"""),"Online ADMIN.")</f>
        <v>Online ADMIN.</v>
      </c>
      <c r="F4738" s="1" t="str">
        <f t="shared" si="1"/>
        <v>Online </v>
      </c>
      <c r="G4738" s="1" t="str">
        <f t="shared" si="2"/>
        <v>ADMIN.</v>
      </c>
      <c r="H4738" s="1" t="str">
        <f>IFERROR(__xludf.DUMMYFUNCTION("""COMPUTED_VALUE"""),"6/4/2023, 17:00:00")</f>
        <v>6/4/2023, 17:00:00</v>
      </c>
      <c r="I4738" s="1" t="str">
        <f>IFERROR(__xludf.DUMMYFUNCTION("""COMPUTED_VALUE"""),"Completado en SUCURSAL")</f>
        <v>Completado en SUCURSAL</v>
      </c>
      <c r="J4738" s="1">
        <f t="shared" si="3"/>
        <v>5</v>
      </c>
      <c r="K4738" s="1" t="str">
        <f t="shared" si="4"/>
        <v>Tus Lentes estan LISTAS PARA ENTREGAR, te esperamos.</v>
      </c>
    </row>
    <row r="4739">
      <c r="A4739" s="1">
        <f>IFERROR(__xludf.DUMMYFUNCTION("""COMPUTED_VALUE"""),89302.0)</f>
        <v>89302</v>
      </c>
      <c r="B4739" s="5">
        <f>IFERROR(__xludf.DUMMYFUNCTION("""COMPUTED_VALUE"""),45020.451718993056)</f>
        <v>45020.45172</v>
      </c>
      <c r="C4739" s="1" t="str">
        <f>IFERROR(__xludf.DUMMYFUNCTION("""COMPUTED_VALUE"""),"PAEZ MANUELA NOEMI")</f>
        <v>PAEZ MANUELA NOEMI</v>
      </c>
      <c r="D4739" s="1" t="str">
        <f>IFERROR(__xludf.DUMMYFUNCTION("""COMPUTED_VALUE"""),"Lentes BIFOCALES")</f>
        <v>Lentes BIFOCALES</v>
      </c>
      <c r="E4739" s="1" t="str">
        <f>IFERROR(__xludf.DUMMYFUNCTION("""COMPUTED_VALUE"""),"ARTIGAS Roció")</f>
        <v>ARTIGAS Roció</v>
      </c>
      <c r="F4739" s="1" t="str">
        <f t="shared" si="1"/>
        <v>ARTIGAS </v>
      </c>
      <c r="G4739" s="1" t="str">
        <f t="shared" si="2"/>
        <v>Roció</v>
      </c>
      <c r="H4739" s="1" t="str">
        <f>IFERROR(__xludf.DUMMYFUNCTION("""COMPUTED_VALUE"""),"14/4/2023, 17:00:00")</f>
        <v>14/4/2023, 17:00:00</v>
      </c>
      <c r="I4739" s="1" t="str">
        <f>IFERROR(__xludf.DUMMYFUNCTION("""COMPUTED_VALUE"""),"Completado en SUCURSAL")</f>
        <v>Completado en SUCURSAL</v>
      </c>
      <c r="J4739" s="1">
        <f t="shared" si="3"/>
        <v>5</v>
      </c>
      <c r="K4739" s="1" t="str">
        <f t="shared" si="4"/>
        <v>Tus Lentes estan LISTAS PARA ENTREGAR, te esperamos.</v>
      </c>
    </row>
    <row r="4740">
      <c r="A4740" s="1">
        <f>IFERROR(__xludf.DUMMYFUNCTION("""COMPUTED_VALUE"""),89303.0)</f>
        <v>89303</v>
      </c>
      <c r="B4740" s="5">
        <f>IFERROR(__xludf.DUMMYFUNCTION("""COMPUTED_VALUE"""),45020.45181967593)</f>
        <v>45020.45182</v>
      </c>
      <c r="C4740" s="1" t="str">
        <f>IFERROR(__xludf.DUMMYFUNCTION("""COMPUTED_VALUE"""),"frezzotti omar")</f>
        <v>frezzotti omar</v>
      </c>
      <c r="D4740" s="1" t="str">
        <f>IFERROR(__xludf.DUMMYFUNCTION("""COMPUTED_VALUE"""),"Reparaciones/Otros")</f>
        <v>Reparaciones/Otros</v>
      </c>
      <c r="E4740" s="1" t="str">
        <f>IFERROR(__xludf.DUMMYFUNCTION("""COMPUTED_VALUE"""),"RIVADAVIA Santiago LOPEZ")</f>
        <v>RIVADAVIA Santiago LOPEZ</v>
      </c>
      <c r="F4740" s="1" t="str">
        <f t="shared" si="1"/>
        <v>RIVADAVIA </v>
      </c>
      <c r="G4740" s="1" t="str">
        <f t="shared" si="2"/>
        <v>Santiago LOPEZ</v>
      </c>
      <c r="H4740" s="1" t="str">
        <f>IFERROR(__xludf.DUMMYFUNCTION("""COMPUTED_VALUE"""),"5/4/2023, 17:00:00")</f>
        <v>5/4/2023, 17:00:00</v>
      </c>
      <c r="I4740" s="1" t="str">
        <f>IFERROR(__xludf.DUMMYFUNCTION("""COMPUTED_VALUE"""),"Completado en SUCURSAL")</f>
        <v>Completado en SUCURSAL</v>
      </c>
      <c r="J4740" s="1">
        <f t="shared" si="3"/>
        <v>5</v>
      </c>
      <c r="K4740" s="1" t="str">
        <f t="shared" si="4"/>
        <v>Tus Lentes estan LISTAS PARA ENTREGAR, te esperamos.</v>
      </c>
    </row>
    <row r="4741">
      <c r="A4741" s="1">
        <f>IFERROR(__xludf.DUMMYFUNCTION("""COMPUTED_VALUE"""),89304.0)</f>
        <v>89304</v>
      </c>
      <c r="B4741" s="5">
        <f>IFERROR(__xludf.DUMMYFUNCTION("""COMPUTED_VALUE"""),45020.45238018519)</f>
        <v>45020.45238</v>
      </c>
      <c r="C4741" s="1" t="str">
        <f>IFERROR(__xludf.DUMMYFUNCTION("""COMPUTED_VALUE"""),"GARRO MARIA ROSA (PROGRAMA MEDICINA DEL INTERIOR GOB)")</f>
        <v>GARRO MARIA ROSA (PROGRAMA MEDICINA DEL INTERIOR GOB)</v>
      </c>
      <c r="D4741" s="1" t="str">
        <f>IFERROR(__xludf.DUMMYFUNCTION("""COMPUTED_VALUE"""),"Lentes de STOCK")</f>
        <v>Lentes de STOCK</v>
      </c>
      <c r="E4741" s="1" t="str">
        <f>IFERROR(__xludf.DUMMYFUNCTION("""COMPUTED_VALUE"""),"Online ADMIN.")</f>
        <v>Online ADMIN.</v>
      </c>
      <c r="F4741" s="1" t="str">
        <f t="shared" si="1"/>
        <v>Online </v>
      </c>
      <c r="G4741" s="1" t="str">
        <f t="shared" si="2"/>
        <v>ADMIN.</v>
      </c>
      <c r="H4741" s="1" t="str">
        <f>IFERROR(__xludf.DUMMYFUNCTION("""COMPUTED_VALUE"""),"6/4/2023, 17:00:00")</f>
        <v>6/4/2023, 17:00:00</v>
      </c>
      <c r="I4741" s="1" t="str">
        <f>IFERROR(__xludf.DUMMYFUNCTION("""COMPUTED_VALUE"""),"Completado en SUCURSAL")</f>
        <v>Completado en SUCURSAL</v>
      </c>
      <c r="J4741" s="1">
        <f t="shared" si="3"/>
        <v>5</v>
      </c>
      <c r="K4741" s="1" t="str">
        <f t="shared" si="4"/>
        <v>Tus Lentes estan LISTAS PARA ENTREGAR, te esperamos.</v>
      </c>
    </row>
    <row r="4742">
      <c r="A4742" s="1">
        <f>IFERROR(__xludf.DUMMYFUNCTION("""COMPUTED_VALUE"""),89305.0)</f>
        <v>89305</v>
      </c>
      <c r="B4742" s="5">
        <f>IFERROR(__xludf.DUMMYFUNCTION("""COMPUTED_VALUE"""),45020.45371069445)</f>
        <v>45020.45371</v>
      </c>
      <c r="C4742" s="1" t="str">
        <f>IFERROR(__xludf.DUMMYFUNCTION("""COMPUTED_VALUE"""),"ESCUDERO DANIELA (PROGRAMA MEDICINA DEL INTERIOR GOB)")</f>
        <v>ESCUDERO DANIELA (PROGRAMA MEDICINA DEL INTERIOR GOB)</v>
      </c>
      <c r="D4742" s="1" t="str">
        <f>IFERROR(__xludf.DUMMYFUNCTION("""COMPUTED_VALUE"""),"Lentes de STOCK")</f>
        <v>Lentes de STOCK</v>
      </c>
      <c r="E4742" s="1" t="str">
        <f>IFERROR(__xludf.DUMMYFUNCTION("""COMPUTED_VALUE"""),"Online ADMIN.")</f>
        <v>Online ADMIN.</v>
      </c>
      <c r="F4742" s="1" t="str">
        <f t="shared" si="1"/>
        <v>Online </v>
      </c>
      <c r="G4742" s="1" t="str">
        <f t="shared" si="2"/>
        <v>ADMIN.</v>
      </c>
      <c r="H4742" s="1" t="str">
        <f>IFERROR(__xludf.DUMMYFUNCTION("""COMPUTED_VALUE"""),"6/4/2023, 17:00:00")</f>
        <v>6/4/2023, 17:00:00</v>
      </c>
      <c r="I4742" s="1" t="str">
        <f>IFERROR(__xludf.DUMMYFUNCTION("""COMPUTED_VALUE"""),"Recibido en Laboratorio")</f>
        <v>Recibido en Laboratorio</v>
      </c>
      <c r="J4742" s="1">
        <f t="shared" si="3"/>
        <v>2</v>
      </c>
      <c r="K4742" s="1" t="str">
        <f t="shared" si="4"/>
        <v>Nuestro Laboratorio esta trabajando en tus lentes, los entregaremos en la fecha acordada.</v>
      </c>
    </row>
    <row r="4743">
      <c r="A4743" s="1">
        <f>IFERROR(__xludf.DUMMYFUNCTION("""COMPUTED_VALUE"""),89306.0)</f>
        <v>89306</v>
      </c>
      <c r="B4743" s="5">
        <f>IFERROR(__xludf.DUMMYFUNCTION("""COMPUTED_VALUE"""),45020.45752302083)</f>
        <v>45020.45752</v>
      </c>
      <c r="C4743" s="1" t="str">
        <f>IFERROR(__xludf.DUMMYFUNCTION("""COMPUTED_VALUE"""),"DEGASTALDI MARIANA")</f>
        <v>DEGASTALDI MARIANA</v>
      </c>
      <c r="D4743" s="1" t="str">
        <f>IFERROR(__xludf.DUMMYFUNCTION("""COMPUTED_VALUE"""),"Reparaciones/Otros")</f>
        <v>Reparaciones/Otros</v>
      </c>
      <c r="E4743" s="1" t="str">
        <f>IFERROR(__xludf.DUMMYFUNCTION("""COMPUTED_VALUE"""),"ARTIGAS Ivana P.")</f>
        <v>ARTIGAS Ivana P.</v>
      </c>
      <c r="F4743" s="1" t="str">
        <f t="shared" si="1"/>
        <v>ARTIGAS </v>
      </c>
      <c r="G4743" s="1" t="str">
        <f t="shared" si="2"/>
        <v>Ivana P.</v>
      </c>
      <c r="H4743" s="1" t="str">
        <f>IFERROR(__xludf.DUMMYFUNCTION("""COMPUTED_VALUE"""),"5/4/2023, 17:00:00")</f>
        <v>5/4/2023, 17:00:00</v>
      </c>
      <c r="I4743" s="1" t="str">
        <f>IFERROR(__xludf.DUMMYFUNCTION("""COMPUTED_VALUE"""),"Recibido en Laboratorio")</f>
        <v>Recibido en Laboratorio</v>
      </c>
      <c r="J4743" s="1">
        <f t="shared" si="3"/>
        <v>2</v>
      </c>
      <c r="K4743" s="1" t="str">
        <f t="shared" si="4"/>
        <v>Nuestro Laboratorio esta trabajando en tus lentes, los entregaremos en la fecha acordada.</v>
      </c>
    </row>
    <row r="4744">
      <c r="A4744" s="1">
        <f>IFERROR(__xludf.DUMMYFUNCTION("""COMPUTED_VALUE"""),89307.0)</f>
        <v>89307</v>
      </c>
      <c r="B4744" s="5">
        <f>IFERROR(__xludf.DUMMYFUNCTION("""COMPUTED_VALUE"""),45020.45787923611)</f>
        <v>45020.45788</v>
      </c>
      <c r="C4744" s="1" t="str">
        <f>IFERROR(__xludf.DUMMYFUNCTION("""COMPUTED_VALUE"""),"CURIVIL COLLIPAL MARIA ELENA (PROGRAMA MEDICINA DEL INTERIOR GOB)")</f>
        <v>CURIVIL COLLIPAL MARIA ELENA (PROGRAMA MEDICINA DEL INTERIOR GOB)</v>
      </c>
      <c r="D4744" s="1" t="str">
        <f>IFERROR(__xludf.DUMMYFUNCTION("""COMPUTED_VALUE"""),"Lentes de STOCK")</f>
        <v>Lentes de STOCK</v>
      </c>
      <c r="E4744" s="1" t="str">
        <f>IFERROR(__xludf.DUMMYFUNCTION("""COMPUTED_VALUE"""),"Online ADMIN.")</f>
        <v>Online ADMIN.</v>
      </c>
      <c r="F4744" s="1" t="str">
        <f t="shared" si="1"/>
        <v>Online </v>
      </c>
      <c r="G4744" s="1" t="str">
        <f t="shared" si="2"/>
        <v>ADMIN.</v>
      </c>
      <c r="H4744" s="1" t="str">
        <f>IFERROR(__xludf.DUMMYFUNCTION("""COMPUTED_VALUE"""),"6/4/2023, 17:00:00")</f>
        <v>6/4/2023, 17:00:00</v>
      </c>
      <c r="I4744" s="1" t="str">
        <f>IFERROR(__xludf.DUMMYFUNCTION("""COMPUTED_VALUE"""),"Recibido en Laboratorio")</f>
        <v>Recibido en Laboratorio</v>
      </c>
      <c r="J4744" s="1">
        <f t="shared" si="3"/>
        <v>2</v>
      </c>
      <c r="K4744" s="1" t="str">
        <f t="shared" si="4"/>
        <v>Nuestro Laboratorio esta trabajando en tus lentes, los entregaremos en la fecha acordada.</v>
      </c>
    </row>
    <row r="4745">
      <c r="A4745" s="1">
        <f>IFERROR(__xludf.DUMMYFUNCTION("""COMPUTED_VALUE"""),89308.0)</f>
        <v>89308</v>
      </c>
      <c r="B4745" s="5">
        <f>IFERROR(__xludf.DUMMYFUNCTION("""COMPUTED_VALUE"""),45020.458639398144)</f>
        <v>45020.45864</v>
      </c>
      <c r="C4745" s="1" t="str">
        <f>IFERROR(__xludf.DUMMYFUNCTION("""COMPUTED_VALUE"""),"DABOVE RICARDO JUAN ESTEBAN  (PROGRAMA MEDICINA DEL INTERIOR GOB)")</f>
        <v>DABOVE RICARDO JUAN ESTEBAN  (PROGRAMA MEDICINA DEL INTERIOR GOB)</v>
      </c>
      <c r="D4745" s="1" t="str">
        <f>IFERROR(__xludf.DUMMYFUNCTION("""COMPUTED_VALUE"""),"Lentes de STOCK")</f>
        <v>Lentes de STOCK</v>
      </c>
      <c r="E4745" s="1" t="str">
        <f>IFERROR(__xludf.DUMMYFUNCTION("""COMPUTED_VALUE"""),"Online ADMIN.")</f>
        <v>Online ADMIN.</v>
      </c>
      <c r="F4745" s="1" t="str">
        <f t="shared" si="1"/>
        <v>Online </v>
      </c>
      <c r="G4745" s="1" t="str">
        <f t="shared" si="2"/>
        <v>ADMIN.</v>
      </c>
      <c r="H4745" s="1" t="str">
        <f>IFERROR(__xludf.DUMMYFUNCTION("""COMPUTED_VALUE"""),"6/4/2023, 17:00:00")</f>
        <v>6/4/2023, 17:00:00</v>
      </c>
      <c r="I4745" s="1" t="str">
        <f>IFERROR(__xludf.DUMMYFUNCTION("""COMPUTED_VALUE"""),"Completado en SUCURSAL")</f>
        <v>Completado en SUCURSAL</v>
      </c>
      <c r="J4745" s="1">
        <f t="shared" si="3"/>
        <v>5</v>
      </c>
      <c r="K4745" s="1" t="str">
        <f t="shared" si="4"/>
        <v>Tus Lentes estan LISTAS PARA ENTREGAR, te esperamos.</v>
      </c>
    </row>
    <row r="4746">
      <c r="A4746" s="1">
        <f>IFERROR(__xludf.DUMMYFUNCTION("""COMPUTED_VALUE"""),89309.0)</f>
        <v>89309</v>
      </c>
      <c r="B4746" s="5">
        <f>IFERROR(__xludf.DUMMYFUNCTION("""COMPUTED_VALUE"""),45020.46008849537)</f>
        <v>45020.46009</v>
      </c>
      <c r="C4746" s="1" t="str">
        <f>IFERROR(__xludf.DUMMYFUNCTION("""COMPUTED_VALUE"""),"CORREA CAROLINA DEL ROSARIO (PROGRAMA MEDICINA DEL INTERIOR GOB)")</f>
        <v>CORREA CAROLINA DEL ROSARIO (PROGRAMA MEDICINA DEL INTERIOR GOB)</v>
      </c>
      <c r="D4746" s="1" t="str">
        <f>IFERROR(__xludf.DUMMYFUNCTION("""COMPUTED_VALUE"""),"Lentes de STOCK")</f>
        <v>Lentes de STOCK</v>
      </c>
      <c r="E4746" s="1" t="str">
        <f>IFERROR(__xludf.DUMMYFUNCTION("""COMPUTED_VALUE"""),"Online ADMIN.")</f>
        <v>Online ADMIN.</v>
      </c>
      <c r="F4746" s="1" t="str">
        <f t="shared" si="1"/>
        <v>Online </v>
      </c>
      <c r="G4746" s="1" t="str">
        <f t="shared" si="2"/>
        <v>ADMIN.</v>
      </c>
      <c r="H4746" s="1" t="str">
        <f>IFERROR(__xludf.DUMMYFUNCTION("""COMPUTED_VALUE"""),"6/4/2023, 17:00:00")</f>
        <v>6/4/2023, 17:00:00</v>
      </c>
      <c r="I4746" s="1" t="str">
        <f>IFERROR(__xludf.DUMMYFUNCTION("""COMPUTED_VALUE"""),"Completado en SUCURSAL")</f>
        <v>Completado en SUCURSAL</v>
      </c>
      <c r="J4746" s="1">
        <f t="shared" si="3"/>
        <v>5</v>
      </c>
      <c r="K4746" s="1" t="str">
        <f t="shared" si="4"/>
        <v>Tus Lentes estan LISTAS PARA ENTREGAR, te esperamos.</v>
      </c>
    </row>
    <row r="4747">
      <c r="A4747" s="1">
        <f>IFERROR(__xludf.DUMMYFUNCTION("""COMPUTED_VALUE"""),89310.0)</f>
        <v>89310</v>
      </c>
      <c r="B4747" s="5">
        <f>IFERROR(__xludf.DUMMYFUNCTION("""COMPUTED_VALUE"""),45020.46061173611)</f>
        <v>45020.46061</v>
      </c>
      <c r="C4747" s="1" t="str">
        <f>IFERROR(__xludf.DUMMYFUNCTION("""COMPUTED_VALUE"""),"FERNANDEZ LAUTARO")</f>
        <v>FERNANDEZ LAUTARO</v>
      </c>
      <c r="D4747" s="1" t="str">
        <f>IFERROR(__xludf.DUMMYFUNCTION("""COMPUTED_VALUE"""),"Lentes de STOCK")</f>
        <v>Lentes de STOCK</v>
      </c>
      <c r="E4747" s="1" t="str">
        <f>IFERROR(__xludf.DUMMYFUNCTION("""COMPUTED_VALUE"""),"RIVADAVIA Santiago LOPEZ")</f>
        <v>RIVADAVIA Santiago LOPEZ</v>
      </c>
      <c r="F4747" s="1" t="str">
        <f t="shared" si="1"/>
        <v>RIVADAVIA </v>
      </c>
      <c r="G4747" s="1" t="str">
        <f t="shared" si="2"/>
        <v>Santiago LOPEZ</v>
      </c>
      <c r="H4747" s="1" t="str">
        <f>IFERROR(__xludf.DUMMYFUNCTION("""COMPUTED_VALUE"""),"10/4/2023, 17:00:00")</f>
        <v>10/4/2023, 17:00:00</v>
      </c>
      <c r="I4747" s="1" t="str">
        <f>IFERROR(__xludf.DUMMYFUNCTION("""COMPUTED_VALUE"""),"Completado en SUCURSAL")</f>
        <v>Completado en SUCURSAL</v>
      </c>
      <c r="J4747" s="1">
        <f t="shared" si="3"/>
        <v>5</v>
      </c>
      <c r="K4747" s="1" t="str">
        <f t="shared" si="4"/>
        <v>Tus Lentes estan LISTAS PARA ENTREGAR, te esperamos.</v>
      </c>
    </row>
    <row r="4748">
      <c r="A4748" s="1">
        <f>IFERROR(__xludf.DUMMYFUNCTION("""COMPUTED_VALUE"""),89311.0)</f>
        <v>89311</v>
      </c>
      <c r="B4748" s="5">
        <f>IFERROR(__xludf.DUMMYFUNCTION("""COMPUTED_VALUE"""),45020.46121546296)</f>
        <v>45020.46122</v>
      </c>
      <c r="C4748" s="1" t="str">
        <f>IFERROR(__xludf.DUMMYFUNCTION("""COMPUTED_VALUE"""),"CASTRILLO MENDEZ THIAGO ARIEL (PROGRAMA MEDICINA DEL INTERIOR GOB)")</f>
        <v>CASTRILLO MENDEZ THIAGO ARIEL (PROGRAMA MEDICINA DEL INTERIOR GOB)</v>
      </c>
      <c r="D4748" s="1" t="str">
        <f>IFERROR(__xludf.DUMMYFUNCTION("""COMPUTED_VALUE"""),"Lentes de LABORATORIO")</f>
        <v>Lentes de LABORATORIO</v>
      </c>
      <c r="E4748" s="1" t="str">
        <f>IFERROR(__xludf.DUMMYFUNCTION("""COMPUTED_VALUE"""),"Online ADMIN.")</f>
        <v>Online ADMIN.</v>
      </c>
      <c r="F4748" s="1" t="str">
        <f t="shared" si="1"/>
        <v>Online </v>
      </c>
      <c r="G4748" s="1" t="str">
        <f t="shared" si="2"/>
        <v>ADMIN.</v>
      </c>
      <c r="H4748" s="1" t="str">
        <f>IFERROR(__xludf.DUMMYFUNCTION("""COMPUTED_VALUE"""),"11/4/2023, 17:00:00")</f>
        <v>11/4/2023, 17:00:00</v>
      </c>
      <c r="I4748" s="1" t="str">
        <f>IFERROR(__xludf.DUMMYFUNCTION("""COMPUTED_VALUE"""),"Completado en SUCURSAL")</f>
        <v>Completado en SUCURSAL</v>
      </c>
      <c r="J4748" s="1">
        <f t="shared" si="3"/>
        <v>5</v>
      </c>
      <c r="K4748" s="1" t="str">
        <f t="shared" si="4"/>
        <v>Tus Lentes estan LISTAS PARA ENTREGAR, te esperamos.</v>
      </c>
    </row>
    <row r="4749">
      <c r="A4749" s="1">
        <f>IFERROR(__xludf.DUMMYFUNCTION("""COMPUTED_VALUE"""),89312.0)</f>
        <v>89312</v>
      </c>
      <c r="B4749" s="5">
        <f>IFERROR(__xludf.DUMMYFUNCTION("""COMPUTED_VALUE"""),45020.46177981481)</f>
        <v>45020.46178</v>
      </c>
      <c r="C4749" s="1" t="str">
        <f>IFERROR(__xludf.DUMMYFUNCTION("""COMPUTED_VALUE"""),"CALDERON JOHANA AGUSTINA (PROGRAMA MEDICINA DEL INTERIOR GOB)")</f>
        <v>CALDERON JOHANA AGUSTINA (PROGRAMA MEDICINA DEL INTERIOR GOB)</v>
      </c>
      <c r="D4749" s="1" t="str">
        <f>IFERROR(__xludf.DUMMYFUNCTION("""COMPUTED_VALUE"""),"Lentes de STOCK")</f>
        <v>Lentes de STOCK</v>
      </c>
      <c r="E4749" s="1" t="str">
        <f>IFERROR(__xludf.DUMMYFUNCTION("""COMPUTED_VALUE"""),"Online ADMIN.")</f>
        <v>Online ADMIN.</v>
      </c>
      <c r="F4749" s="1" t="str">
        <f t="shared" si="1"/>
        <v>Online </v>
      </c>
      <c r="G4749" s="1" t="str">
        <f t="shared" si="2"/>
        <v>ADMIN.</v>
      </c>
      <c r="H4749" s="1" t="str">
        <f>IFERROR(__xludf.DUMMYFUNCTION("""COMPUTED_VALUE"""),"6/4/2023, 17:00:00")</f>
        <v>6/4/2023, 17:00:00</v>
      </c>
      <c r="I4749" s="1" t="str">
        <f>IFERROR(__xludf.DUMMYFUNCTION("""COMPUTED_VALUE"""),"Recibido en Laboratorio")</f>
        <v>Recibido en Laboratorio</v>
      </c>
      <c r="J4749" s="1">
        <f t="shared" si="3"/>
        <v>2</v>
      </c>
      <c r="K4749" s="1" t="str">
        <f t="shared" si="4"/>
        <v>Nuestro Laboratorio esta trabajando en tus lentes, los entregaremos en la fecha acordada.</v>
      </c>
    </row>
    <row r="4750">
      <c r="A4750" s="1">
        <f>IFERROR(__xludf.DUMMYFUNCTION("""COMPUTED_VALUE"""),89313.0)</f>
        <v>89313</v>
      </c>
      <c r="B4750" s="5">
        <f>IFERROR(__xludf.DUMMYFUNCTION("""COMPUTED_VALUE"""),45020.462387638894)</f>
        <v>45020.46239</v>
      </c>
      <c r="C4750" s="1" t="str">
        <f>IFERROR(__xludf.DUMMYFUNCTION("""COMPUTED_VALUE"""),"aguero lucila guadalupe (PROGRAMA MEDICINA DEL INTERIOR GOB)")</f>
        <v>aguero lucila guadalupe (PROGRAMA MEDICINA DEL INTERIOR GOB)</v>
      </c>
      <c r="D4750" s="1" t="str">
        <f>IFERROR(__xludf.DUMMYFUNCTION("""COMPUTED_VALUE"""),"Lentes de STOCK")</f>
        <v>Lentes de STOCK</v>
      </c>
      <c r="E4750" s="1" t="str">
        <f>IFERROR(__xludf.DUMMYFUNCTION("""COMPUTED_VALUE"""),"Online ADMIN.")</f>
        <v>Online ADMIN.</v>
      </c>
      <c r="F4750" s="1" t="str">
        <f t="shared" si="1"/>
        <v>Online </v>
      </c>
      <c r="G4750" s="1" t="str">
        <f t="shared" si="2"/>
        <v>ADMIN.</v>
      </c>
      <c r="H4750" s="1" t="str">
        <f>IFERROR(__xludf.DUMMYFUNCTION("""COMPUTED_VALUE"""),"6/4/2023, 17:00:00")</f>
        <v>6/4/2023, 17:00:00</v>
      </c>
      <c r="I4750" s="1" t="str">
        <f>IFERROR(__xludf.DUMMYFUNCTION("""COMPUTED_VALUE"""),"Completado en SUCURSAL")</f>
        <v>Completado en SUCURSAL</v>
      </c>
      <c r="J4750" s="1">
        <f t="shared" si="3"/>
        <v>5</v>
      </c>
      <c r="K4750" s="1" t="str">
        <f t="shared" si="4"/>
        <v>Tus Lentes estan LISTAS PARA ENTREGAR, te esperamos.</v>
      </c>
    </row>
    <row r="4751">
      <c r="A4751" s="1">
        <f>IFERROR(__xludf.DUMMYFUNCTION("""COMPUTED_VALUE"""),89314.0)</f>
        <v>89314</v>
      </c>
      <c r="B4751" s="5">
        <f>IFERROR(__xludf.DUMMYFUNCTION("""COMPUTED_VALUE"""),45020.46318873843)</f>
        <v>45020.46319</v>
      </c>
      <c r="C4751" s="1" t="str">
        <f>IFERROR(__xludf.DUMMYFUNCTION("""COMPUTED_VALUE"""),"ORTIZ MARIA LAURA")</f>
        <v>ORTIZ MARIA LAURA</v>
      </c>
      <c r="D4751" s="1" t="str">
        <f>IFERROR(__xludf.DUMMYFUNCTION("""COMPUTED_VALUE"""),"Lentes de STOCK")</f>
        <v>Lentes de STOCK</v>
      </c>
      <c r="E4751" s="1" t="str">
        <f>IFERROR(__xludf.DUMMYFUNCTION("""COMPUTED_VALUE"""),"RIVADAVIA Santiago N")</f>
        <v>RIVADAVIA Santiago N</v>
      </c>
      <c r="F4751" s="1" t="str">
        <f t="shared" si="1"/>
        <v>RIVADAVIA </v>
      </c>
      <c r="G4751" s="1" t="str">
        <f t="shared" si="2"/>
        <v>Santiago N</v>
      </c>
      <c r="H4751" s="1" t="str">
        <f>IFERROR(__xludf.DUMMYFUNCTION("""COMPUTED_VALUE"""),"6/4/2023, 17:00:00")</f>
        <v>6/4/2023, 17:00:00</v>
      </c>
      <c r="I4751" s="1" t="str">
        <f>IFERROR(__xludf.DUMMYFUNCTION("""COMPUTED_VALUE"""),"RETIRADO OK POR CLIENTE")</f>
        <v>RETIRADO OK POR CLIENTE</v>
      </c>
      <c r="J4751" s="1">
        <f t="shared" si="3"/>
        <v>6</v>
      </c>
      <c r="K4751" s="1" t="str">
        <f t="shared" si="4"/>
        <v>Entregamos tus lentes, que los disfrutes!</v>
      </c>
    </row>
    <row r="4752">
      <c r="A4752" s="1">
        <f>IFERROR(__xludf.DUMMYFUNCTION("""COMPUTED_VALUE"""),89315.0)</f>
        <v>89315</v>
      </c>
      <c r="B4752" s="5">
        <f>IFERROR(__xludf.DUMMYFUNCTION("""COMPUTED_VALUE"""),45020.47675928241)</f>
        <v>45020.47676</v>
      </c>
      <c r="C4752" s="1" t="str">
        <f>IFERROR(__xludf.DUMMYFUNCTION("""COMPUTED_VALUE"""),"SOSA ANA MARIA")</f>
        <v>SOSA ANA MARIA</v>
      </c>
      <c r="D4752" s="1" t="str">
        <f>IFERROR(__xludf.DUMMYFUNCTION("""COMPUTED_VALUE"""),"Lentes BIFOCALES")</f>
        <v>Lentes BIFOCALES</v>
      </c>
      <c r="E4752" s="1" t="str">
        <f>IFERROR(__xludf.DUMMYFUNCTION("""COMPUTED_VALUE"""),"RIVADAVIA Marcela L")</f>
        <v>RIVADAVIA Marcela L</v>
      </c>
      <c r="F4752" s="1" t="str">
        <f t="shared" si="1"/>
        <v>RIVADAVIA </v>
      </c>
      <c r="G4752" s="1" t="str">
        <f t="shared" si="2"/>
        <v>Marcela L</v>
      </c>
      <c r="H4752" s="1" t="str">
        <f>IFERROR(__xludf.DUMMYFUNCTION("""COMPUTED_VALUE"""),"11/4/2023, 17:00:00")</f>
        <v>11/4/2023, 17:00:00</v>
      </c>
      <c r="I4752" s="1" t="str">
        <f>IFERROR(__xludf.DUMMYFUNCTION("""COMPUTED_VALUE"""),"Completado en SUCURSAL")</f>
        <v>Completado en SUCURSAL</v>
      </c>
      <c r="J4752" s="1">
        <f t="shared" si="3"/>
        <v>5</v>
      </c>
      <c r="K4752" s="1" t="str">
        <f t="shared" si="4"/>
        <v>Tus Lentes estan LISTAS PARA ENTREGAR, te esperamos.</v>
      </c>
    </row>
    <row r="4753">
      <c r="A4753" s="1">
        <f>IFERROR(__xludf.DUMMYFUNCTION("""COMPUTED_VALUE"""),89316.0)</f>
        <v>89316</v>
      </c>
      <c r="B4753" s="5">
        <f>IFERROR(__xludf.DUMMYFUNCTION("""COMPUTED_VALUE"""),45020.4788121875)</f>
        <v>45020.47881</v>
      </c>
      <c r="C4753" s="1" t="str">
        <f>IFERROR(__xludf.DUMMYFUNCTION("""COMPUTED_VALUE"""),"JUAREZ FIDEL")</f>
        <v>JUAREZ FIDEL</v>
      </c>
      <c r="D4753" s="1" t="str">
        <f>IFERROR(__xludf.DUMMYFUNCTION("""COMPUTED_VALUE"""),"Lentes de LABORATORIO")</f>
        <v>Lentes de LABORATORIO</v>
      </c>
      <c r="E4753" s="1" t="str">
        <f>IFERROR(__xludf.DUMMYFUNCTION("""COMPUTED_VALUE"""),"RIVADAVIA Santiago N")</f>
        <v>RIVADAVIA Santiago N</v>
      </c>
      <c r="F4753" s="1" t="str">
        <f t="shared" si="1"/>
        <v>RIVADAVIA </v>
      </c>
      <c r="G4753" s="1" t="str">
        <f t="shared" si="2"/>
        <v>Santiago N</v>
      </c>
      <c r="H4753" s="1" t="str">
        <f>IFERROR(__xludf.DUMMYFUNCTION("""COMPUTED_VALUE"""),"19/4/2023, 17:00:00")</f>
        <v>19/4/2023, 17:00:00</v>
      </c>
      <c r="I4753" s="1" t="str">
        <f>IFERROR(__xludf.DUMMYFUNCTION("""COMPUTED_VALUE"""),"Completado en SUCURSAL")</f>
        <v>Completado en SUCURSAL</v>
      </c>
      <c r="J4753" s="1">
        <f t="shared" si="3"/>
        <v>5</v>
      </c>
      <c r="K4753" s="1" t="str">
        <f t="shared" si="4"/>
        <v>Tus Lentes estan LISTAS PARA ENTREGAR, te esperamos.</v>
      </c>
    </row>
    <row r="4754">
      <c r="A4754" s="1">
        <f>IFERROR(__xludf.DUMMYFUNCTION("""COMPUTED_VALUE"""),89317.0)</f>
        <v>89317</v>
      </c>
      <c r="B4754" s="5">
        <f>IFERROR(__xludf.DUMMYFUNCTION("""COMPUTED_VALUE"""),45020.482294745365)</f>
        <v>45020.48229</v>
      </c>
      <c r="C4754" s="1" t="str">
        <f>IFERROR(__xludf.DUMMYFUNCTION("""COMPUTED_VALUE"""),"GARAY ALEJANDRO NAPOLEON")</f>
        <v>GARAY ALEJANDRO NAPOLEON</v>
      </c>
      <c r="D4754" s="1" t="str">
        <f>IFERROR(__xludf.DUMMYFUNCTION("""COMPUTED_VALUE"""),"Lentes de STOCK")</f>
        <v>Lentes de STOCK</v>
      </c>
      <c r="E4754" s="1" t="str">
        <f>IFERROR(__xludf.DUMMYFUNCTION("""COMPUTED_VALUE"""),"RIVADAVIA Santiago N")</f>
        <v>RIVADAVIA Santiago N</v>
      </c>
      <c r="F4754" s="1" t="str">
        <f t="shared" si="1"/>
        <v>RIVADAVIA </v>
      </c>
      <c r="G4754" s="1" t="str">
        <f t="shared" si="2"/>
        <v>Santiago N</v>
      </c>
      <c r="H4754" s="1" t="str">
        <f>IFERROR(__xludf.DUMMYFUNCTION("""COMPUTED_VALUE"""),"10/4/2023, 17:00:00")</f>
        <v>10/4/2023, 17:00:00</v>
      </c>
      <c r="I4754" s="1" t="str">
        <f>IFERROR(__xludf.DUMMYFUNCTION("""COMPUTED_VALUE"""),"Completado en SUCURSAL")</f>
        <v>Completado en SUCURSAL</v>
      </c>
      <c r="J4754" s="1">
        <f t="shared" si="3"/>
        <v>5</v>
      </c>
      <c r="K4754" s="1" t="str">
        <f t="shared" si="4"/>
        <v>Tus Lentes estan LISTAS PARA ENTREGAR, te esperamos.</v>
      </c>
    </row>
    <row r="4755">
      <c r="A4755" s="1">
        <f>IFERROR(__xludf.DUMMYFUNCTION("""COMPUTED_VALUE"""),89318.0)</f>
        <v>89318</v>
      </c>
      <c r="B4755" s="5">
        <f>IFERROR(__xludf.DUMMYFUNCTION("""COMPUTED_VALUE"""),45020.48440204861)</f>
        <v>45020.4844</v>
      </c>
      <c r="C4755" s="1" t="str">
        <f>IFERROR(__xludf.DUMMYFUNCTION("""COMPUTED_VALUE"""),"MONTENEGRO MIGUEL")</f>
        <v>MONTENEGRO MIGUEL</v>
      </c>
      <c r="D4755" s="1" t="str">
        <f>IFERROR(__xludf.DUMMYFUNCTION("""COMPUTED_VALUE"""),"Lentes BIFOCALES")</f>
        <v>Lentes BIFOCALES</v>
      </c>
      <c r="E4755" s="1" t="str">
        <f>IFERROR(__xludf.DUMMYFUNCTION("""COMPUTED_VALUE"""),"ARTIGAS Ivana P.")</f>
        <v>ARTIGAS Ivana P.</v>
      </c>
      <c r="F4755" s="1" t="str">
        <f t="shared" si="1"/>
        <v>ARTIGAS </v>
      </c>
      <c r="G4755" s="1" t="str">
        <f t="shared" si="2"/>
        <v>Ivana P.</v>
      </c>
      <c r="H4755" s="1" t="str">
        <f>IFERROR(__xludf.DUMMYFUNCTION("""COMPUTED_VALUE"""),"12/4/2023, 17:00:00")</f>
        <v>12/4/2023, 17:00:00</v>
      </c>
      <c r="I4755" s="1" t="str">
        <f>IFERROR(__xludf.DUMMYFUNCTION("""COMPUTED_VALUE"""),"Recibido en Laboratorio")</f>
        <v>Recibido en Laboratorio</v>
      </c>
      <c r="J4755" s="1">
        <f t="shared" si="3"/>
        <v>2</v>
      </c>
      <c r="K4755" s="1" t="str">
        <f t="shared" si="4"/>
        <v>Nuestro Laboratorio esta trabajando en tus lentes, los entregaremos en la fecha acordada.</v>
      </c>
    </row>
    <row r="4756">
      <c r="A4756" s="1">
        <f>IFERROR(__xludf.DUMMYFUNCTION("""COMPUTED_VALUE"""),89319.0)</f>
        <v>89319</v>
      </c>
      <c r="B4756" s="5">
        <f>IFERROR(__xludf.DUMMYFUNCTION("""COMPUTED_VALUE"""),45020.48514134259)</f>
        <v>45020.48514</v>
      </c>
      <c r="C4756" s="1" t="str">
        <f>IFERROR(__xludf.DUMMYFUNCTION("""COMPUTED_VALUE"""),"ROMERO SALVADOR")</f>
        <v>ROMERO SALVADOR</v>
      </c>
      <c r="D4756" s="1" t="str">
        <f>IFERROR(__xludf.DUMMYFUNCTION("""COMPUTED_VALUE"""),"Lentes de STOCK")</f>
        <v>Lentes de STOCK</v>
      </c>
      <c r="E4756" s="1" t="str">
        <f>IFERROR(__xludf.DUMMYFUNCTION("""COMPUTED_VALUE"""),"RIVADAVIA Luciana")</f>
        <v>RIVADAVIA Luciana</v>
      </c>
      <c r="F4756" s="1" t="str">
        <f t="shared" si="1"/>
        <v>RIVADAVIA </v>
      </c>
      <c r="G4756" s="1" t="str">
        <f t="shared" si="2"/>
        <v>Luciana</v>
      </c>
      <c r="H4756" s="1" t="str">
        <f>IFERROR(__xludf.DUMMYFUNCTION("""COMPUTED_VALUE"""),"11/4/2023, 17:00:00")</f>
        <v>11/4/2023, 17:00:00</v>
      </c>
      <c r="I4756" s="1" t="str">
        <f>IFERROR(__xludf.DUMMYFUNCTION("""COMPUTED_VALUE"""),"Completado en SUCURSAL")</f>
        <v>Completado en SUCURSAL</v>
      </c>
      <c r="J4756" s="1">
        <f t="shared" si="3"/>
        <v>5</v>
      </c>
      <c r="K4756" s="1" t="str">
        <f t="shared" si="4"/>
        <v>Tus Lentes estan LISTAS PARA ENTREGAR, te esperamos.</v>
      </c>
    </row>
    <row r="4757">
      <c r="A4757" s="1">
        <f>IFERROR(__xludf.DUMMYFUNCTION("""COMPUTED_VALUE"""),89320.0)</f>
        <v>89320</v>
      </c>
      <c r="B4757" s="5">
        <f>IFERROR(__xludf.DUMMYFUNCTION("""COMPUTED_VALUE"""),45020.48715072917)</f>
        <v>45020.48715</v>
      </c>
      <c r="C4757" s="1" t="str">
        <f>IFERROR(__xludf.DUMMYFUNCTION("""COMPUTED_VALUE"""),"MONTENEGRO MIGUEL")</f>
        <v>MONTENEGRO MIGUEL</v>
      </c>
      <c r="D4757" s="1" t="str">
        <f>IFERROR(__xludf.DUMMYFUNCTION("""COMPUTED_VALUE"""),"Lentes de STOCK")</f>
        <v>Lentes de STOCK</v>
      </c>
      <c r="E4757" s="1" t="str">
        <f>IFERROR(__xludf.DUMMYFUNCTION("""COMPUTED_VALUE"""),"ARTIGAS Ivana P.")</f>
        <v>ARTIGAS Ivana P.</v>
      </c>
      <c r="F4757" s="1" t="str">
        <f t="shared" si="1"/>
        <v>ARTIGAS </v>
      </c>
      <c r="G4757" s="1" t="str">
        <f t="shared" si="2"/>
        <v>Ivana P.</v>
      </c>
      <c r="H4757" s="1" t="str">
        <f>IFERROR(__xludf.DUMMYFUNCTION("""COMPUTED_VALUE"""),"12/4/2023, 17:00:00")</f>
        <v>12/4/2023, 17:00:00</v>
      </c>
      <c r="I4757" s="1" t="str">
        <f>IFERROR(__xludf.DUMMYFUNCTION("""COMPUTED_VALUE"""),"Completado en SUCURSAL")</f>
        <v>Completado en SUCURSAL</v>
      </c>
      <c r="J4757" s="1">
        <f t="shared" si="3"/>
        <v>5</v>
      </c>
      <c r="K4757" s="1" t="str">
        <f t="shared" si="4"/>
        <v>Tus Lentes estan LISTAS PARA ENTREGAR, te esperamos.</v>
      </c>
    </row>
    <row r="4758">
      <c r="A4758" s="1">
        <f>IFERROR(__xludf.DUMMYFUNCTION("""COMPUTED_VALUE"""),89321.0)</f>
        <v>89321</v>
      </c>
      <c r="B4758" s="5">
        <f>IFERROR(__xludf.DUMMYFUNCTION("""COMPUTED_VALUE"""),45020.48781421296)</f>
        <v>45020.48781</v>
      </c>
      <c r="C4758" s="1" t="str">
        <f>IFERROR(__xludf.DUMMYFUNCTION("""COMPUTED_VALUE"""),"BARRERA LILIANA ROQUELINA")</f>
        <v>BARRERA LILIANA ROQUELINA</v>
      </c>
      <c r="D4758" s="1" t="str">
        <f>IFERROR(__xludf.DUMMYFUNCTION("""COMPUTED_VALUE"""),"Lentes de STOCK")</f>
        <v>Lentes de STOCK</v>
      </c>
      <c r="E4758" s="1" t="str">
        <f>IFERROR(__xludf.DUMMYFUNCTION("""COMPUTED_VALUE"""),"RIVADAVIA Marcela L")</f>
        <v>RIVADAVIA Marcela L</v>
      </c>
      <c r="F4758" s="1" t="str">
        <f t="shared" si="1"/>
        <v>RIVADAVIA </v>
      </c>
      <c r="G4758" s="1" t="str">
        <f t="shared" si="2"/>
        <v>Marcela L</v>
      </c>
      <c r="H4758" s="1" t="str">
        <f>IFERROR(__xludf.DUMMYFUNCTION("""COMPUTED_VALUE"""),"11/4/2023, 17:00:00")</f>
        <v>11/4/2023, 17:00:00</v>
      </c>
      <c r="I4758" s="1" t="str">
        <f>IFERROR(__xludf.DUMMYFUNCTION("""COMPUTED_VALUE"""),"Completado en SUCURSAL")</f>
        <v>Completado en SUCURSAL</v>
      </c>
      <c r="J4758" s="1">
        <f t="shared" si="3"/>
        <v>5</v>
      </c>
      <c r="K4758" s="1" t="str">
        <f t="shared" si="4"/>
        <v>Tus Lentes estan LISTAS PARA ENTREGAR, te esperamos.</v>
      </c>
    </row>
    <row r="4759">
      <c r="A4759" s="1">
        <f>IFERROR(__xludf.DUMMYFUNCTION("""COMPUTED_VALUE"""),89322.0)</f>
        <v>89322</v>
      </c>
      <c r="B4759" s="5">
        <f>IFERROR(__xludf.DUMMYFUNCTION("""COMPUTED_VALUE"""),45020.50383803241)</f>
        <v>45020.50384</v>
      </c>
      <c r="C4759" s="1" t="str">
        <f>IFERROR(__xludf.DUMMYFUNCTION("""COMPUTED_VALUE"""),"MEDINELLI DANIEL")</f>
        <v>MEDINELLI DANIEL</v>
      </c>
      <c r="D4759" s="1" t="str">
        <f>IFERROR(__xludf.DUMMYFUNCTION("""COMPUTED_VALUE"""),"Reparaciones/Otros")</f>
        <v>Reparaciones/Otros</v>
      </c>
      <c r="E4759" s="1" t="str">
        <f>IFERROR(__xludf.DUMMYFUNCTION("""COMPUTED_VALUE"""),"RIVADAVIA Marcela L")</f>
        <v>RIVADAVIA Marcela L</v>
      </c>
      <c r="F4759" s="1" t="str">
        <f t="shared" si="1"/>
        <v>RIVADAVIA </v>
      </c>
      <c r="G4759" s="1" t="str">
        <f t="shared" si="2"/>
        <v>Marcela L</v>
      </c>
      <c r="H4759" s="1" t="str">
        <f>IFERROR(__xludf.DUMMYFUNCTION("""COMPUTED_VALUE"""),"5/4/2023, 17:00:00")</f>
        <v>5/4/2023, 17:00:00</v>
      </c>
      <c r="I4759" s="1" t="str">
        <f>IFERROR(__xludf.DUMMYFUNCTION("""COMPUTED_VALUE"""),"Completado en SUCURSAL")</f>
        <v>Completado en SUCURSAL</v>
      </c>
      <c r="J4759" s="1">
        <f t="shared" si="3"/>
        <v>5</v>
      </c>
      <c r="K4759" s="1" t="str">
        <f t="shared" si="4"/>
        <v>Tus Lentes estan LISTAS PARA ENTREGAR, te esperamos.</v>
      </c>
    </row>
    <row r="4760">
      <c r="A4760" s="1">
        <f>IFERROR(__xludf.DUMMYFUNCTION("""COMPUTED_VALUE"""),89323.0)</f>
        <v>89323</v>
      </c>
      <c r="B4760" s="5">
        <f>IFERROR(__xludf.DUMMYFUNCTION("""COMPUTED_VALUE"""),45020.50901795139)</f>
        <v>45020.50902</v>
      </c>
      <c r="C4760" s="1" t="str">
        <f>IFERROR(__xludf.DUMMYFUNCTION("""COMPUTED_VALUE"""),"RUIZ ERNESTO")</f>
        <v>RUIZ ERNESTO</v>
      </c>
      <c r="D4760" s="1" t="str">
        <f>IFERROR(__xludf.DUMMYFUNCTION("""COMPUTED_VALUE"""),"Lentes de STOCK")</f>
        <v>Lentes de STOCK</v>
      </c>
      <c r="E4760" s="1" t="str">
        <f>IFERROR(__xludf.DUMMYFUNCTION("""COMPUTED_VALUE"""),"ARTIGAS Ivana P.")</f>
        <v>ARTIGAS Ivana P.</v>
      </c>
      <c r="F4760" s="1" t="str">
        <f t="shared" si="1"/>
        <v>ARTIGAS </v>
      </c>
      <c r="G4760" s="1" t="str">
        <f t="shared" si="2"/>
        <v>Ivana P.</v>
      </c>
      <c r="H4760" s="1" t="str">
        <f>IFERROR(__xludf.DUMMYFUNCTION("""COMPUTED_VALUE"""),"11/4/2023, 17:00:00")</f>
        <v>11/4/2023, 17:00:00</v>
      </c>
      <c r="I4760" s="1" t="str">
        <f>IFERROR(__xludf.DUMMYFUNCTION("""COMPUTED_VALUE"""),"Completado en SUCURSAL")</f>
        <v>Completado en SUCURSAL</v>
      </c>
      <c r="J4760" s="1">
        <f t="shared" si="3"/>
        <v>5</v>
      </c>
      <c r="K4760" s="1" t="str">
        <f t="shared" si="4"/>
        <v>Tus Lentes estan LISTAS PARA ENTREGAR, te esperamos.</v>
      </c>
    </row>
    <row r="4761">
      <c r="A4761" s="1">
        <f>IFERROR(__xludf.DUMMYFUNCTION("""COMPUTED_VALUE"""),89324.0)</f>
        <v>89324</v>
      </c>
      <c r="B4761" s="5">
        <f>IFERROR(__xludf.DUMMYFUNCTION("""COMPUTED_VALUE"""),45020.512085891205)</f>
        <v>45020.51209</v>
      </c>
      <c r="C4761" s="1" t="str">
        <f>IFERROR(__xludf.DUMMYFUNCTION("""COMPUTED_VALUE"""),"VARGAS ANTONIA ROSA")</f>
        <v>VARGAS ANTONIA ROSA</v>
      </c>
      <c r="D4761" s="1" t="str">
        <f>IFERROR(__xludf.DUMMYFUNCTION("""COMPUTED_VALUE"""),"Lentes de STOCK")</f>
        <v>Lentes de STOCK</v>
      </c>
      <c r="E4761" s="1" t="str">
        <f>IFERROR(__xludf.DUMMYFUNCTION("""COMPUTED_VALUE"""),"ARTIGAS Roció")</f>
        <v>ARTIGAS Roció</v>
      </c>
      <c r="F4761" s="1" t="str">
        <f t="shared" si="1"/>
        <v>ARTIGAS </v>
      </c>
      <c r="G4761" s="1" t="str">
        <f t="shared" si="2"/>
        <v>Roció</v>
      </c>
      <c r="H4761" s="1" t="str">
        <f>IFERROR(__xludf.DUMMYFUNCTION("""COMPUTED_VALUE"""),"13/4/2023, 17:00:00")</f>
        <v>13/4/2023, 17:00:00</v>
      </c>
      <c r="I4761" s="1" t="str">
        <f>IFERROR(__xludf.DUMMYFUNCTION("""COMPUTED_VALUE"""),"Completado en SUCURSAL")</f>
        <v>Completado en SUCURSAL</v>
      </c>
      <c r="J4761" s="1">
        <f t="shared" si="3"/>
        <v>5</v>
      </c>
      <c r="K4761" s="1" t="str">
        <f t="shared" si="4"/>
        <v>Tus Lentes estan LISTAS PARA ENTREGAR, te esperamos.</v>
      </c>
    </row>
    <row r="4762">
      <c r="A4762" s="1">
        <f>IFERROR(__xludf.DUMMYFUNCTION("""COMPUTED_VALUE"""),89325.0)</f>
        <v>89325</v>
      </c>
      <c r="B4762" s="5">
        <f>IFERROR(__xludf.DUMMYFUNCTION("""COMPUTED_VALUE"""),45020.51218361111)</f>
        <v>45020.51218</v>
      </c>
      <c r="C4762" s="1" t="str">
        <f>IFERROR(__xludf.DUMMYFUNCTION("""COMPUTED_VALUE"""),"TOURANT ELIAS")</f>
        <v>TOURANT ELIAS</v>
      </c>
      <c r="D4762" s="1" t="str">
        <f>IFERROR(__xludf.DUMMYFUNCTION("""COMPUTED_VALUE"""),"Lentes de STOCK")</f>
        <v>Lentes de STOCK</v>
      </c>
      <c r="E4762" s="1" t="str">
        <f>IFERROR(__xludf.DUMMYFUNCTION("""COMPUTED_VALUE"""),"RIVADAVIA Luciana")</f>
        <v>RIVADAVIA Luciana</v>
      </c>
      <c r="F4762" s="1" t="str">
        <f t="shared" si="1"/>
        <v>RIVADAVIA </v>
      </c>
      <c r="G4762" s="1" t="str">
        <f t="shared" si="2"/>
        <v>Luciana</v>
      </c>
      <c r="H4762" s="1" t="str">
        <f>IFERROR(__xludf.DUMMYFUNCTION("""COMPUTED_VALUE"""),"11/4/2023, 17:00:00")</f>
        <v>11/4/2023, 17:00:00</v>
      </c>
      <c r="I4762" s="1" t="str">
        <f>IFERROR(__xludf.DUMMYFUNCTION("""COMPUTED_VALUE"""),"Completado en SUCURSAL")</f>
        <v>Completado en SUCURSAL</v>
      </c>
      <c r="J4762" s="1">
        <f t="shared" si="3"/>
        <v>5</v>
      </c>
      <c r="K4762" s="1" t="str">
        <f t="shared" si="4"/>
        <v>Tus Lentes estan LISTAS PARA ENTREGAR, te esperamos.</v>
      </c>
    </row>
    <row r="4763">
      <c r="A4763" s="1">
        <f>IFERROR(__xludf.DUMMYFUNCTION("""COMPUTED_VALUE"""),89326.0)</f>
        <v>89326</v>
      </c>
      <c r="B4763" s="5">
        <f>IFERROR(__xludf.DUMMYFUNCTION("""COMPUTED_VALUE"""),45020.51536888889)</f>
        <v>45020.51537</v>
      </c>
      <c r="C4763" s="1" t="str">
        <f>IFERROR(__xludf.DUMMYFUNCTION("""COMPUTED_VALUE"""),"ZELIKSON ANDREA SUSANA")</f>
        <v>ZELIKSON ANDREA SUSANA</v>
      </c>
      <c r="D4763" s="1" t="str">
        <f>IFERROR(__xludf.DUMMYFUNCTION("""COMPUTED_VALUE"""),"Reparaciones/Otros")</f>
        <v>Reparaciones/Otros</v>
      </c>
      <c r="E4763" s="1" t="str">
        <f>IFERROR(__xludf.DUMMYFUNCTION("""COMPUTED_VALUE"""),"RIVADAVIA Marcela L")</f>
        <v>RIVADAVIA Marcela L</v>
      </c>
      <c r="F4763" s="1" t="str">
        <f t="shared" si="1"/>
        <v>RIVADAVIA </v>
      </c>
      <c r="G4763" s="1" t="str">
        <f t="shared" si="2"/>
        <v>Marcela L</v>
      </c>
      <c r="H4763" s="1" t="str">
        <f>IFERROR(__xludf.DUMMYFUNCTION("""COMPUTED_VALUE"""),"5/4/2023, 17:00:00")</f>
        <v>5/4/2023, 17:00:00</v>
      </c>
      <c r="I4763" s="1" t="str">
        <f>IFERROR(__xludf.DUMMYFUNCTION("""COMPUTED_VALUE"""),"Completado en SUCURSAL")</f>
        <v>Completado en SUCURSAL</v>
      </c>
      <c r="J4763" s="1">
        <f t="shared" si="3"/>
        <v>5</v>
      </c>
      <c r="K4763" s="1" t="str">
        <f t="shared" si="4"/>
        <v>Tus Lentes estan LISTAS PARA ENTREGAR, te esperamos.</v>
      </c>
    </row>
    <row r="4764">
      <c r="A4764" s="1">
        <f>IFERROR(__xludf.DUMMYFUNCTION("""COMPUTED_VALUE"""),89327.0)</f>
        <v>89327</v>
      </c>
      <c r="B4764" s="5">
        <f>IFERROR(__xludf.DUMMYFUNCTION("""COMPUTED_VALUE"""),45020.51793625)</f>
        <v>45020.51794</v>
      </c>
      <c r="C4764" s="1" t="str">
        <f>IFERROR(__xludf.DUMMYFUNCTION("""COMPUTED_VALUE"""),"Arnold Danilo")</f>
        <v>Arnold Danilo</v>
      </c>
      <c r="D4764" s="1" t="str">
        <f>IFERROR(__xludf.DUMMYFUNCTION("""COMPUTED_VALUE"""),"Reparaciones/Otros")</f>
        <v>Reparaciones/Otros</v>
      </c>
      <c r="E4764" s="1" t="str">
        <f>IFERROR(__xludf.DUMMYFUNCTION("""COMPUTED_VALUE"""),"ARTIGAS Sandra G")</f>
        <v>ARTIGAS Sandra G</v>
      </c>
      <c r="F4764" s="1" t="str">
        <f t="shared" si="1"/>
        <v>ARTIGAS </v>
      </c>
      <c r="G4764" s="1" t="str">
        <f t="shared" si="2"/>
        <v>Sandra G</v>
      </c>
      <c r="H4764" s="1" t="str">
        <f>IFERROR(__xludf.DUMMYFUNCTION("""COMPUTED_VALUE"""),"5/4/2023, 17:00:00")</f>
        <v>5/4/2023, 17:00:00</v>
      </c>
      <c r="I4764" s="1" t="str">
        <f>IFERROR(__xludf.DUMMYFUNCTION("""COMPUTED_VALUE"""),"Completado en SUCURSAL")</f>
        <v>Completado en SUCURSAL</v>
      </c>
      <c r="J4764" s="1">
        <f t="shared" si="3"/>
        <v>5</v>
      </c>
      <c r="K4764" s="1" t="str">
        <f t="shared" si="4"/>
        <v>Tus Lentes estan LISTAS PARA ENTREGAR, te esperamos.</v>
      </c>
    </row>
    <row r="4765">
      <c r="A4765" s="1">
        <f>IFERROR(__xludf.DUMMYFUNCTION("""COMPUTED_VALUE"""),89328.0)</f>
        <v>89328</v>
      </c>
      <c r="B4765" s="5">
        <f>IFERROR(__xludf.DUMMYFUNCTION("""COMPUTED_VALUE"""),45020.51903273148)</f>
        <v>45020.51903</v>
      </c>
      <c r="C4765" s="1" t="str">
        <f>IFERROR(__xludf.DUMMYFUNCTION("""COMPUTED_VALUE"""),"YACCARINI RAMON")</f>
        <v>YACCARINI RAMON</v>
      </c>
      <c r="D4765" s="1" t="str">
        <f>IFERROR(__xludf.DUMMYFUNCTION("""COMPUTED_VALUE"""),"Lentes de STOCK")</f>
        <v>Lentes de STOCK</v>
      </c>
      <c r="E4765" s="1" t="str">
        <f>IFERROR(__xludf.DUMMYFUNCTION("""COMPUTED_VALUE"""),"ARTIGAS Roció")</f>
        <v>ARTIGAS Roció</v>
      </c>
      <c r="F4765" s="1" t="str">
        <f t="shared" si="1"/>
        <v>ARTIGAS </v>
      </c>
      <c r="G4765" s="1" t="str">
        <f t="shared" si="2"/>
        <v>Roció</v>
      </c>
      <c r="H4765" s="1" t="str">
        <f>IFERROR(__xludf.DUMMYFUNCTION("""COMPUTED_VALUE"""),"13/4/2023, 17:00:00")</f>
        <v>13/4/2023, 17:00:00</v>
      </c>
      <c r="I4765" s="1" t="str">
        <f>IFERROR(__xludf.DUMMYFUNCTION("""COMPUTED_VALUE"""),"Completado en SUCURSAL")</f>
        <v>Completado en SUCURSAL</v>
      </c>
      <c r="J4765" s="1">
        <f t="shared" si="3"/>
        <v>5</v>
      </c>
      <c r="K4765" s="1" t="str">
        <f t="shared" si="4"/>
        <v>Tus Lentes estan LISTAS PARA ENTREGAR, te esperamos.</v>
      </c>
    </row>
    <row r="4766">
      <c r="A4766" s="1">
        <f>IFERROR(__xludf.DUMMYFUNCTION("""COMPUTED_VALUE"""),89329.0)</f>
        <v>89329</v>
      </c>
      <c r="B4766" s="5">
        <f>IFERROR(__xludf.DUMMYFUNCTION("""COMPUTED_VALUE"""),45020.52136601852)</f>
        <v>45020.52137</v>
      </c>
      <c r="C4766" s="1" t="str">
        <f>IFERROR(__xludf.DUMMYFUNCTION("""COMPUTED_VALUE"""),"PEREZ MARISA")</f>
        <v>PEREZ MARISA</v>
      </c>
      <c r="D4766" s="1" t="str">
        <f>IFERROR(__xludf.DUMMYFUNCTION("""COMPUTED_VALUE"""),"Lentes MULTIFOCALES")</f>
        <v>Lentes MULTIFOCALES</v>
      </c>
      <c r="E4766" s="1" t="str">
        <f>IFERROR(__xludf.DUMMYFUNCTION("""COMPUTED_VALUE"""),"ARTIGAS Ivana P.")</f>
        <v>ARTIGAS Ivana P.</v>
      </c>
      <c r="F4766" s="1" t="str">
        <f t="shared" si="1"/>
        <v>ARTIGAS </v>
      </c>
      <c r="G4766" s="1" t="str">
        <f t="shared" si="2"/>
        <v>Ivana P.</v>
      </c>
      <c r="H4766" s="1" t="str">
        <f>IFERROR(__xludf.DUMMYFUNCTION("""COMPUTED_VALUE"""),"12/4/2023, 17:00:00")</f>
        <v>12/4/2023, 17:00:00</v>
      </c>
      <c r="I4766" s="1" t="str">
        <f>IFERROR(__xludf.DUMMYFUNCTION("""COMPUTED_VALUE"""),"Completado en SUCURSAL")</f>
        <v>Completado en SUCURSAL</v>
      </c>
      <c r="J4766" s="1">
        <f t="shared" si="3"/>
        <v>5</v>
      </c>
      <c r="K4766" s="1" t="str">
        <f t="shared" si="4"/>
        <v>Tus Lentes estan LISTAS PARA ENTREGAR, te esperamos.</v>
      </c>
    </row>
    <row r="4767">
      <c r="A4767" s="1">
        <f>IFERROR(__xludf.DUMMYFUNCTION("""COMPUTED_VALUE"""),89330.0)</f>
        <v>89330</v>
      </c>
      <c r="B4767" s="5">
        <f>IFERROR(__xludf.DUMMYFUNCTION("""COMPUTED_VALUE"""),45020.541725462965)</f>
        <v>45020.54173</v>
      </c>
      <c r="C4767" s="1" t="str">
        <f>IFERROR(__xludf.DUMMYFUNCTION("""COMPUTED_VALUE"""),"MORALES AGUSTINA")</f>
        <v>MORALES AGUSTINA</v>
      </c>
      <c r="D4767" s="1" t="str">
        <f>IFERROR(__xludf.DUMMYFUNCTION("""COMPUTED_VALUE"""),"Reparaciones/Otros")</f>
        <v>Reparaciones/Otros</v>
      </c>
      <c r="E4767" s="1" t="str">
        <f>IFERROR(__xludf.DUMMYFUNCTION("""COMPUTED_VALUE"""),"RIVADAVIA Christian C.")</f>
        <v>RIVADAVIA Christian C.</v>
      </c>
      <c r="F4767" s="1" t="str">
        <f t="shared" si="1"/>
        <v>RIVADAVIA </v>
      </c>
      <c r="G4767" s="1" t="str">
        <f t="shared" si="2"/>
        <v>Christian C.</v>
      </c>
      <c r="H4767" s="1" t="str">
        <f>IFERROR(__xludf.DUMMYFUNCTION("""COMPUTED_VALUE"""),"6/4/2023, 17:00:00")</f>
        <v>6/4/2023, 17:00:00</v>
      </c>
      <c r="I4767" s="1" t="str">
        <f>IFERROR(__xludf.DUMMYFUNCTION("""COMPUTED_VALUE"""),"Completado en SUCURSAL")</f>
        <v>Completado en SUCURSAL</v>
      </c>
      <c r="J4767" s="1">
        <f t="shared" si="3"/>
        <v>5</v>
      </c>
      <c r="K4767" s="1" t="str">
        <f t="shared" si="4"/>
        <v>Tus Lentes estan LISTAS PARA ENTREGAR, te esperamos.</v>
      </c>
    </row>
    <row r="4768">
      <c r="A4768" s="1">
        <f>IFERROR(__xludf.DUMMYFUNCTION("""COMPUTED_VALUE"""),89331.0)</f>
        <v>89331</v>
      </c>
      <c r="B4768" s="5">
        <f>IFERROR(__xludf.DUMMYFUNCTION("""COMPUTED_VALUE"""),45020.54925861111)</f>
        <v>45020.54926</v>
      </c>
      <c r="C4768" s="1" t="str">
        <f>IFERROR(__xludf.DUMMYFUNCTION("""COMPUTED_VALUE"""),"CORIA ALICIA NOEMI")</f>
        <v>CORIA ALICIA NOEMI</v>
      </c>
      <c r="D4768" s="1" t="str">
        <f>IFERROR(__xludf.DUMMYFUNCTION("""COMPUTED_VALUE"""),"Lentes de STOCK")</f>
        <v>Lentes de STOCK</v>
      </c>
      <c r="E4768" s="1" t="str">
        <f>IFERROR(__xludf.DUMMYFUNCTION("""COMPUTED_VALUE"""),"ARTIGAS Roció")</f>
        <v>ARTIGAS Roció</v>
      </c>
      <c r="F4768" s="1" t="str">
        <f t="shared" si="1"/>
        <v>ARTIGAS </v>
      </c>
      <c r="G4768" s="1" t="str">
        <f t="shared" si="2"/>
        <v>Roció</v>
      </c>
      <c r="H4768" s="1" t="str">
        <f>IFERROR(__xludf.DUMMYFUNCTION("""COMPUTED_VALUE"""),"14/4/2023, 17:00:00")</f>
        <v>14/4/2023, 17:00:00</v>
      </c>
      <c r="I4768" s="1" t="str">
        <f>IFERROR(__xludf.DUMMYFUNCTION("""COMPUTED_VALUE"""),"Completado en SUCURSAL")</f>
        <v>Completado en SUCURSAL</v>
      </c>
      <c r="J4768" s="1">
        <f t="shared" si="3"/>
        <v>5</v>
      </c>
      <c r="K4768" s="1" t="str">
        <f t="shared" si="4"/>
        <v>Tus Lentes estan LISTAS PARA ENTREGAR, te esperamos.</v>
      </c>
    </row>
    <row r="4769">
      <c r="A4769" s="1">
        <f>IFERROR(__xludf.DUMMYFUNCTION("""COMPUTED_VALUE"""),89332.0)</f>
        <v>89332</v>
      </c>
      <c r="B4769" s="5">
        <f>IFERROR(__xludf.DUMMYFUNCTION("""COMPUTED_VALUE"""),45020.560838460646)</f>
        <v>45020.56084</v>
      </c>
      <c r="C4769" s="1" t="str">
        <f>IFERROR(__xludf.DUMMYFUNCTION("""COMPUTED_VALUE"""),"GIMENEZ MERCEDES")</f>
        <v>GIMENEZ MERCEDES</v>
      </c>
      <c r="D4769" s="1" t="str">
        <f>IFERROR(__xludf.DUMMYFUNCTION("""COMPUTED_VALUE"""),"Lentes MULTIFOCALES")</f>
        <v>Lentes MULTIFOCALES</v>
      </c>
      <c r="E4769" s="1" t="str">
        <f>IFERROR(__xludf.DUMMYFUNCTION("""COMPUTED_VALUE"""),"RIVADAVIA Christian C.")</f>
        <v>RIVADAVIA Christian C.</v>
      </c>
      <c r="F4769" s="1" t="str">
        <f t="shared" si="1"/>
        <v>RIVADAVIA </v>
      </c>
      <c r="G4769" s="1" t="str">
        <f t="shared" si="2"/>
        <v>Christian C.</v>
      </c>
      <c r="H4769" s="1" t="str">
        <f>IFERROR(__xludf.DUMMYFUNCTION("""COMPUTED_VALUE"""),"19/4/2023, 17:00:00")</f>
        <v>19/4/2023, 17:00:00</v>
      </c>
      <c r="I4769" s="1" t="str">
        <f>IFERROR(__xludf.DUMMYFUNCTION("""COMPUTED_VALUE"""),"Completado en SUCURSAL")</f>
        <v>Completado en SUCURSAL</v>
      </c>
      <c r="J4769" s="1">
        <f t="shared" si="3"/>
        <v>5</v>
      </c>
      <c r="K4769" s="1" t="str">
        <f t="shared" si="4"/>
        <v>Tus Lentes estan LISTAS PARA ENTREGAR, te esperamos.</v>
      </c>
    </row>
    <row r="4770">
      <c r="A4770" s="1">
        <f>IFERROR(__xludf.DUMMYFUNCTION("""COMPUTED_VALUE"""),89333.0)</f>
        <v>89333</v>
      </c>
      <c r="B4770" s="5">
        <f>IFERROR(__xludf.DUMMYFUNCTION("""COMPUTED_VALUE"""),45020.701466805556)</f>
        <v>45020.70147</v>
      </c>
      <c r="C4770" s="1" t="str">
        <f>IFERROR(__xludf.DUMMYFUNCTION("""COMPUTED_VALUE"""),"BUSTOS FARA MARCELA")</f>
        <v>BUSTOS FARA MARCELA</v>
      </c>
      <c r="D4770" s="1" t="str">
        <f>IFERROR(__xludf.DUMMYFUNCTION("""COMPUTED_VALUE"""),"Reparaciones/Otros")</f>
        <v>Reparaciones/Otros</v>
      </c>
      <c r="E4770" s="1" t="str">
        <f>IFERROR(__xludf.DUMMYFUNCTION("""COMPUTED_VALUE"""),"RIVADAVIA Daniel CM")</f>
        <v>RIVADAVIA Daniel CM</v>
      </c>
      <c r="F4770" s="1" t="str">
        <f t="shared" si="1"/>
        <v>RIVADAVIA </v>
      </c>
      <c r="G4770" s="1" t="str">
        <f t="shared" si="2"/>
        <v>Daniel CM</v>
      </c>
      <c r="H4770" s="1" t="str">
        <f>IFERROR(__xludf.DUMMYFUNCTION("""COMPUTED_VALUE"""),"5/4/2023, 17:00:00")</f>
        <v>5/4/2023, 17:00:00</v>
      </c>
      <c r="I4770" s="1" t="str">
        <f>IFERROR(__xludf.DUMMYFUNCTION("""COMPUTED_VALUE"""),"Completado en SUCURSAL")</f>
        <v>Completado en SUCURSAL</v>
      </c>
      <c r="J4770" s="1">
        <f t="shared" si="3"/>
        <v>5</v>
      </c>
      <c r="K4770" s="1" t="str">
        <f t="shared" si="4"/>
        <v>Tus Lentes estan LISTAS PARA ENTREGAR, te esperamos.</v>
      </c>
    </row>
    <row r="4771">
      <c r="A4771" s="1">
        <f>IFERROR(__xludf.DUMMYFUNCTION("""COMPUTED_VALUE"""),89334.0)</f>
        <v>89334</v>
      </c>
      <c r="B4771" s="5">
        <f>IFERROR(__xludf.DUMMYFUNCTION("""COMPUTED_VALUE"""),45020.70479259259)</f>
        <v>45020.70479</v>
      </c>
      <c r="C4771" s="1" t="str">
        <f>IFERROR(__xludf.DUMMYFUNCTION("""COMPUTED_VALUE"""),"HERRADO LORENA")</f>
        <v>HERRADO LORENA</v>
      </c>
      <c r="D4771" s="1" t="str">
        <f>IFERROR(__xludf.DUMMYFUNCTION("""COMPUTED_VALUE"""),"Lentes de STOCK")</f>
        <v>Lentes de STOCK</v>
      </c>
      <c r="E4771" s="1" t="str">
        <f>IFERROR(__xludf.DUMMYFUNCTION("""COMPUTED_VALUE"""),"ARTIGAS Ivana P.")</f>
        <v>ARTIGAS Ivana P.</v>
      </c>
      <c r="F4771" s="1" t="str">
        <f t="shared" si="1"/>
        <v>ARTIGAS </v>
      </c>
      <c r="G4771" s="1" t="str">
        <f t="shared" si="2"/>
        <v>Ivana P.</v>
      </c>
      <c r="H4771" s="1" t="str">
        <f>IFERROR(__xludf.DUMMYFUNCTION("""COMPUTED_VALUE"""),"12/4/2023, 17:00:00")</f>
        <v>12/4/2023, 17:00:00</v>
      </c>
      <c r="I4771" s="1" t="str">
        <f>IFERROR(__xludf.DUMMYFUNCTION("""COMPUTED_VALUE"""),"Completado en SUCURSAL")</f>
        <v>Completado en SUCURSAL</v>
      </c>
      <c r="J4771" s="1">
        <f t="shared" si="3"/>
        <v>5</v>
      </c>
      <c r="K4771" s="1" t="str">
        <f t="shared" si="4"/>
        <v>Tus Lentes estan LISTAS PARA ENTREGAR, te esperamos.</v>
      </c>
    </row>
    <row r="4772">
      <c r="A4772" s="1">
        <f>IFERROR(__xludf.DUMMYFUNCTION("""COMPUTED_VALUE"""),89335.0)</f>
        <v>89335</v>
      </c>
      <c r="B4772" s="5">
        <f>IFERROR(__xludf.DUMMYFUNCTION("""COMPUTED_VALUE"""),45020.70887190972)</f>
        <v>45020.70887</v>
      </c>
      <c r="C4772" s="1" t="str">
        <f>IFERROR(__xludf.DUMMYFUNCTION("""COMPUTED_VALUE"""),"PETS CAGNINA SANTIAGO")</f>
        <v>PETS CAGNINA SANTIAGO</v>
      </c>
      <c r="D4772" s="1" t="str">
        <f>IFERROR(__xludf.DUMMYFUNCTION("""COMPUTED_VALUE"""),"Lentes de STOCK")</f>
        <v>Lentes de STOCK</v>
      </c>
      <c r="E4772" s="1" t="str">
        <f>IFERROR(__xludf.DUMMYFUNCTION("""COMPUTED_VALUE"""),"RIVADAVIA Santiago LOPEZ")</f>
        <v>RIVADAVIA Santiago LOPEZ</v>
      </c>
      <c r="F4772" s="1" t="str">
        <f t="shared" si="1"/>
        <v>RIVADAVIA </v>
      </c>
      <c r="G4772" s="1" t="str">
        <f t="shared" si="2"/>
        <v>Santiago LOPEZ</v>
      </c>
      <c r="H4772" s="1" t="str">
        <f>IFERROR(__xludf.DUMMYFUNCTION("""COMPUTED_VALUE"""),"11/4/2023, 17:00:00")</f>
        <v>11/4/2023, 17:00:00</v>
      </c>
      <c r="I4772" s="1" t="str">
        <f>IFERROR(__xludf.DUMMYFUNCTION("""COMPUTED_VALUE"""),"Completado en SUCURSAL")</f>
        <v>Completado en SUCURSAL</v>
      </c>
      <c r="J4772" s="1">
        <f t="shared" si="3"/>
        <v>5</v>
      </c>
      <c r="K4772" s="1" t="str">
        <f t="shared" si="4"/>
        <v>Tus Lentes estan LISTAS PARA ENTREGAR, te esperamos.</v>
      </c>
    </row>
    <row r="4773">
      <c r="A4773" s="1">
        <f>IFERROR(__xludf.DUMMYFUNCTION("""COMPUTED_VALUE"""),89336.0)</f>
        <v>89336</v>
      </c>
      <c r="B4773" s="5">
        <f>IFERROR(__xludf.DUMMYFUNCTION("""COMPUTED_VALUE"""),45020.71685453704)</f>
        <v>45020.71685</v>
      </c>
      <c r="C4773" s="1" t="str">
        <f>IFERROR(__xludf.DUMMYFUNCTION("""COMPUTED_VALUE"""),"MIRANDA CAROLINA")</f>
        <v>MIRANDA CAROLINA</v>
      </c>
      <c r="D4773" s="1" t="str">
        <f>IFERROR(__xludf.DUMMYFUNCTION("""COMPUTED_VALUE"""),"Lentes de STOCK")</f>
        <v>Lentes de STOCK</v>
      </c>
      <c r="E4773" s="1" t="str">
        <f>IFERROR(__xludf.DUMMYFUNCTION("""COMPUTED_VALUE"""),"ARTIGAS Roció")</f>
        <v>ARTIGAS Roció</v>
      </c>
      <c r="F4773" s="1" t="str">
        <f t="shared" si="1"/>
        <v>ARTIGAS </v>
      </c>
      <c r="G4773" s="1" t="str">
        <f t="shared" si="2"/>
        <v>Roció</v>
      </c>
      <c r="H4773" s="1" t="str">
        <f>IFERROR(__xludf.DUMMYFUNCTION("""COMPUTED_VALUE"""),"14/4/2023, 17:00:00")</f>
        <v>14/4/2023, 17:00:00</v>
      </c>
      <c r="I4773" s="1" t="str">
        <f>IFERROR(__xludf.DUMMYFUNCTION("""COMPUTED_VALUE"""),"Recibido en Laboratorio")</f>
        <v>Recibido en Laboratorio</v>
      </c>
      <c r="J4773" s="1">
        <f t="shared" si="3"/>
        <v>2</v>
      </c>
      <c r="K4773" s="1" t="str">
        <f t="shared" si="4"/>
        <v>Nuestro Laboratorio esta trabajando en tus lentes, los entregaremos en la fecha acordada.</v>
      </c>
    </row>
    <row r="4774">
      <c r="A4774" s="1">
        <f>IFERROR(__xludf.DUMMYFUNCTION("""COMPUTED_VALUE"""),89337.0)</f>
        <v>89337</v>
      </c>
      <c r="B4774" s="5">
        <f>IFERROR(__xludf.DUMMYFUNCTION("""COMPUTED_VALUE"""),45020.726997777776)</f>
        <v>45020.727</v>
      </c>
      <c r="C4774" s="1" t="str">
        <f>IFERROR(__xludf.DUMMYFUNCTION("""COMPUTED_VALUE"""),"GROSELIE AGUSTINA")</f>
        <v>GROSELIE AGUSTINA</v>
      </c>
      <c r="D4774" s="1" t="str">
        <f>IFERROR(__xludf.DUMMYFUNCTION("""COMPUTED_VALUE"""),"Lentes de STOCK")</f>
        <v>Lentes de STOCK</v>
      </c>
      <c r="E4774" s="1" t="str">
        <f>IFERROR(__xludf.DUMMYFUNCTION("""COMPUTED_VALUE"""),"RIVADAVIA Javier")</f>
        <v>RIVADAVIA Javier</v>
      </c>
      <c r="F4774" s="1" t="str">
        <f t="shared" si="1"/>
        <v>RIVADAVIA </v>
      </c>
      <c r="G4774" s="1" t="str">
        <f t="shared" si="2"/>
        <v>Javier</v>
      </c>
      <c r="H4774" s="1" t="str">
        <f>IFERROR(__xludf.DUMMYFUNCTION("""COMPUTED_VALUE"""),"10/4/2023, 17:00:00")</f>
        <v>10/4/2023, 17:00:00</v>
      </c>
      <c r="I4774" s="1" t="str">
        <f>IFERROR(__xludf.DUMMYFUNCTION("""COMPUTED_VALUE"""),"Completado en SUCURSAL")</f>
        <v>Completado en SUCURSAL</v>
      </c>
      <c r="J4774" s="1">
        <f t="shared" si="3"/>
        <v>5</v>
      </c>
      <c r="K4774" s="1" t="str">
        <f t="shared" si="4"/>
        <v>Tus Lentes estan LISTAS PARA ENTREGAR, te esperamos.</v>
      </c>
    </row>
    <row r="4775">
      <c r="A4775" s="1">
        <f>IFERROR(__xludf.DUMMYFUNCTION("""COMPUTED_VALUE"""),89338.0)</f>
        <v>89338</v>
      </c>
      <c r="B4775" s="5">
        <f>IFERROR(__xludf.DUMMYFUNCTION("""COMPUTED_VALUE"""),45020.72941482639)</f>
        <v>45020.72941</v>
      </c>
      <c r="C4775" s="1" t="str">
        <f>IFERROR(__xludf.DUMMYFUNCTION("""COMPUTED_VALUE"""),"MORENO GONZALO ")</f>
        <v>MORENO GONZALO </v>
      </c>
      <c r="D4775" s="1" t="str">
        <f>IFERROR(__xludf.DUMMYFUNCTION("""COMPUTED_VALUE"""),"Lentes de LABORATORIO")</f>
        <v>Lentes de LABORATORIO</v>
      </c>
      <c r="E4775" s="1" t="str">
        <f>IFERROR(__xludf.DUMMYFUNCTION("""COMPUTED_VALUE"""),"RIVADAVIA Christian C.")</f>
        <v>RIVADAVIA Christian C.</v>
      </c>
      <c r="F4775" s="1" t="str">
        <f t="shared" si="1"/>
        <v>RIVADAVIA </v>
      </c>
      <c r="G4775" s="1" t="str">
        <f t="shared" si="2"/>
        <v>Christian C.</v>
      </c>
      <c r="H4775" s="1" t="str">
        <f>IFERROR(__xludf.DUMMYFUNCTION("""COMPUTED_VALUE"""),"17/4/2023, 17:00:00")</f>
        <v>17/4/2023, 17:00:00</v>
      </c>
      <c r="I4775" s="1" t="str">
        <f>IFERROR(__xludf.DUMMYFUNCTION("""COMPUTED_VALUE"""),"Completado en SUCURSAL")</f>
        <v>Completado en SUCURSAL</v>
      </c>
      <c r="J4775" s="1">
        <f t="shared" si="3"/>
        <v>5</v>
      </c>
      <c r="K4775" s="1" t="str">
        <f t="shared" si="4"/>
        <v>Tus Lentes estan LISTAS PARA ENTREGAR, te esperamos.</v>
      </c>
    </row>
    <row r="4776">
      <c r="A4776" s="1">
        <f>IFERROR(__xludf.DUMMYFUNCTION("""COMPUTED_VALUE"""),89339.0)</f>
        <v>89339</v>
      </c>
      <c r="B4776" s="5">
        <f>IFERROR(__xludf.DUMMYFUNCTION("""COMPUTED_VALUE"""),45020.73966313657)</f>
        <v>45020.73966</v>
      </c>
      <c r="C4776" s="1" t="str">
        <f>IFERROR(__xludf.DUMMYFUNCTION("""COMPUTED_VALUE"""),"MUÑOZ GUSTAVO")</f>
        <v>MUÑOZ GUSTAVO</v>
      </c>
      <c r="D4776" s="1" t="str">
        <f>IFERROR(__xludf.DUMMYFUNCTION("""COMPUTED_VALUE"""),"Lentes MULTIFOCALES")</f>
        <v>Lentes MULTIFOCALES</v>
      </c>
      <c r="E4776" s="1" t="str">
        <f>IFERROR(__xludf.DUMMYFUNCTION("""COMPUTED_VALUE"""),"RIVADAVIA Christian C.")</f>
        <v>RIVADAVIA Christian C.</v>
      </c>
      <c r="F4776" s="1" t="str">
        <f t="shared" si="1"/>
        <v>RIVADAVIA </v>
      </c>
      <c r="G4776" s="1" t="str">
        <f t="shared" si="2"/>
        <v>Christian C.</v>
      </c>
      <c r="H4776" s="1" t="str">
        <f>IFERROR(__xludf.DUMMYFUNCTION("""COMPUTED_VALUE"""),"20/4/2023, 17:00:00")</f>
        <v>20/4/2023, 17:00:00</v>
      </c>
      <c r="I4776" s="1" t="str">
        <f>IFERROR(__xludf.DUMMYFUNCTION("""COMPUTED_VALUE"""),"DEMORADO")</f>
        <v>DEMORADO</v>
      </c>
      <c r="J4776" s="1" t="str">
        <f t="shared" si="3"/>
        <v/>
      </c>
      <c r="K4776" s="1" t="str">
        <f t="shared" si="4"/>
        <v>Tuvimos una demora con tus lentes y no podremos entregarlo en las fecha acordada, estamos trabajando para terminarlos cuanto antes, te mantendremos al tanto, si es necesario contactanos via whatsapp.</v>
      </c>
    </row>
    <row r="4777">
      <c r="A4777" s="1">
        <f>IFERROR(__xludf.DUMMYFUNCTION("""COMPUTED_VALUE"""),89340.0)</f>
        <v>89340</v>
      </c>
      <c r="B4777" s="5">
        <f>IFERROR(__xludf.DUMMYFUNCTION("""COMPUTED_VALUE"""),45020.740992719904)</f>
        <v>45020.74099</v>
      </c>
      <c r="C4777" s="1" t="str">
        <f>IFERROR(__xludf.DUMMYFUNCTION("""COMPUTED_VALUE"""),"GIMENEZ DIANA")</f>
        <v>GIMENEZ DIANA</v>
      </c>
      <c r="D4777" s="1" t="str">
        <f>IFERROR(__xludf.DUMMYFUNCTION("""COMPUTED_VALUE"""),"Lentes de STOCK")</f>
        <v>Lentes de STOCK</v>
      </c>
      <c r="E4777" s="1" t="str">
        <f>IFERROR(__xludf.DUMMYFUNCTION("""COMPUTED_VALUE"""),"ARTIGAS Roció")</f>
        <v>ARTIGAS Roció</v>
      </c>
      <c r="F4777" s="1" t="str">
        <f t="shared" si="1"/>
        <v>ARTIGAS </v>
      </c>
      <c r="G4777" s="1" t="str">
        <f t="shared" si="2"/>
        <v>Roció</v>
      </c>
      <c r="H4777" s="1" t="str">
        <f>IFERROR(__xludf.DUMMYFUNCTION("""COMPUTED_VALUE"""),"11/4/2023, 17:00:00")</f>
        <v>11/4/2023, 17:00:00</v>
      </c>
      <c r="I4777" s="1" t="str">
        <f>IFERROR(__xludf.DUMMYFUNCTION("""COMPUTED_VALUE"""),"Completado en SUCURSAL")</f>
        <v>Completado en SUCURSAL</v>
      </c>
      <c r="J4777" s="1">
        <f t="shared" si="3"/>
        <v>5</v>
      </c>
      <c r="K4777" s="1" t="str">
        <f t="shared" si="4"/>
        <v>Tus Lentes estan LISTAS PARA ENTREGAR, te esperamos.</v>
      </c>
    </row>
    <row r="4778">
      <c r="A4778" s="1">
        <f>IFERROR(__xludf.DUMMYFUNCTION("""COMPUTED_VALUE"""),89341.0)</f>
        <v>89341</v>
      </c>
      <c r="B4778" s="5">
        <f>IFERROR(__xludf.DUMMYFUNCTION("""COMPUTED_VALUE"""),45020.76317800926)</f>
        <v>45020.76318</v>
      </c>
      <c r="C4778" s="1" t="str">
        <f>IFERROR(__xludf.DUMMYFUNCTION("""COMPUTED_VALUE"""),"MADERO JOHANA")</f>
        <v>MADERO JOHANA</v>
      </c>
      <c r="D4778" s="1" t="str">
        <f>IFERROR(__xludf.DUMMYFUNCTION("""COMPUTED_VALUE"""),"Lentes de STOCK")</f>
        <v>Lentes de STOCK</v>
      </c>
      <c r="E4778" s="1" t="str">
        <f>IFERROR(__xludf.DUMMYFUNCTION("""COMPUTED_VALUE"""),"ARTIGAS Ivana P.")</f>
        <v>ARTIGAS Ivana P.</v>
      </c>
      <c r="F4778" s="1" t="str">
        <f t="shared" si="1"/>
        <v>ARTIGAS </v>
      </c>
      <c r="G4778" s="1" t="str">
        <f t="shared" si="2"/>
        <v>Ivana P.</v>
      </c>
      <c r="H4778" s="1" t="str">
        <f>IFERROR(__xludf.DUMMYFUNCTION("""COMPUTED_VALUE"""),"11/4/2023, 17:00:00")</f>
        <v>11/4/2023, 17:00:00</v>
      </c>
      <c r="I4778" s="1" t="str">
        <f>IFERROR(__xludf.DUMMYFUNCTION("""COMPUTED_VALUE"""),"Completado en SUCURSAL")</f>
        <v>Completado en SUCURSAL</v>
      </c>
      <c r="J4778" s="1">
        <f t="shared" si="3"/>
        <v>5</v>
      </c>
      <c r="K4778" s="1" t="str">
        <f t="shared" si="4"/>
        <v>Tus Lentes estan LISTAS PARA ENTREGAR, te esperamos.</v>
      </c>
    </row>
    <row r="4779">
      <c r="A4779" s="1">
        <f>IFERROR(__xludf.DUMMYFUNCTION("""COMPUTED_VALUE"""),89342.0)</f>
        <v>89342</v>
      </c>
      <c r="B4779" s="5">
        <f>IFERROR(__xludf.DUMMYFUNCTION("""COMPUTED_VALUE"""),45020.76415585648)</f>
        <v>45020.76416</v>
      </c>
      <c r="C4779" s="1" t="str">
        <f>IFERROR(__xludf.DUMMYFUNCTION("""COMPUTED_VALUE"""),"CASTILLO ROCIO")</f>
        <v>CASTILLO ROCIO</v>
      </c>
      <c r="D4779" s="1" t="str">
        <f>IFERROR(__xludf.DUMMYFUNCTION("""COMPUTED_VALUE"""),"Lentes de STOCK")</f>
        <v>Lentes de STOCK</v>
      </c>
      <c r="E4779" s="1" t="str">
        <f>IFERROR(__xludf.DUMMYFUNCTION("""COMPUTED_VALUE"""),"RIVADAVIA Daniel CM")</f>
        <v>RIVADAVIA Daniel CM</v>
      </c>
      <c r="F4779" s="1" t="str">
        <f t="shared" si="1"/>
        <v>RIVADAVIA </v>
      </c>
      <c r="G4779" s="1" t="str">
        <f t="shared" si="2"/>
        <v>Daniel CM</v>
      </c>
      <c r="H4779" s="1" t="str">
        <f>IFERROR(__xludf.DUMMYFUNCTION("""COMPUTED_VALUE"""),"10/4/2023, 17:00:00")</f>
        <v>10/4/2023, 17:00:00</v>
      </c>
      <c r="I4779" s="1" t="str">
        <f>IFERROR(__xludf.DUMMYFUNCTION("""COMPUTED_VALUE"""),"Completado en SUCURSAL")</f>
        <v>Completado en SUCURSAL</v>
      </c>
      <c r="J4779" s="1">
        <f t="shared" si="3"/>
        <v>5</v>
      </c>
      <c r="K4779" s="1" t="str">
        <f t="shared" si="4"/>
        <v>Tus Lentes estan LISTAS PARA ENTREGAR, te esperamos.</v>
      </c>
    </row>
    <row r="4780">
      <c r="A4780" s="1">
        <f>IFERROR(__xludf.DUMMYFUNCTION("""COMPUTED_VALUE"""),89343.0)</f>
        <v>89343</v>
      </c>
      <c r="B4780" s="5">
        <f>IFERROR(__xludf.DUMMYFUNCTION("""COMPUTED_VALUE"""),45020.765433252316)</f>
        <v>45020.76543</v>
      </c>
      <c r="C4780" s="1" t="str">
        <f>IFERROR(__xludf.DUMMYFUNCTION("""COMPUTED_VALUE"""),"VILLAGRA NAHUEL")</f>
        <v>VILLAGRA NAHUEL</v>
      </c>
      <c r="D4780" s="1" t="str">
        <f>IFERROR(__xludf.DUMMYFUNCTION("""COMPUTED_VALUE"""),"Lentes de STOCK")</f>
        <v>Lentes de STOCK</v>
      </c>
      <c r="E4780" s="1" t="str">
        <f>IFERROR(__xludf.DUMMYFUNCTION("""COMPUTED_VALUE"""),"ARTIGAS Ivana P.")</f>
        <v>ARTIGAS Ivana P.</v>
      </c>
      <c r="F4780" s="1" t="str">
        <f t="shared" si="1"/>
        <v>ARTIGAS </v>
      </c>
      <c r="G4780" s="1" t="str">
        <f t="shared" si="2"/>
        <v>Ivana P.</v>
      </c>
      <c r="H4780" s="1" t="str">
        <f>IFERROR(__xludf.DUMMYFUNCTION("""COMPUTED_VALUE"""),"14/4/2023, 17:00:00")</f>
        <v>14/4/2023, 17:00:00</v>
      </c>
      <c r="I4780" s="1" t="str">
        <f>IFERROR(__xludf.DUMMYFUNCTION("""COMPUTED_VALUE"""),"Completado en SUCURSAL")</f>
        <v>Completado en SUCURSAL</v>
      </c>
      <c r="J4780" s="1">
        <f t="shared" si="3"/>
        <v>5</v>
      </c>
      <c r="K4780" s="1" t="str">
        <f t="shared" si="4"/>
        <v>Tus Lentes estan LISTAS PARA ENTREGAR, te esperamos.</v>
      </c>
    </row>
    <row r="4781">
      <c r="A4781" s="1">
        <f>IFERROR(__xludf.DUMMYFUNCTION("""COMPUTED_VALUE"""),89344.0)</f>
        <v>89344</v>
      </c>
      <c r="B4781" s="5">
        <f>IFERROR(__xludf.DUMMYFUNCTION("""COMPUTED_VALUE"""),45020.7816821875)</f>
        <v>45020.78168</v>
      </c>
      <c r="C4781" s="1" t="str">
        <f>IFERROR(__xludf.DUMMYFUNCTION("""COMPUTED_VALUE"""),"MARTINEZ NELIDA DEL ROSARIO")</f>
        <v>MARTINEZ NELIDA DEL ROSARIO</v>
      </c>
      <c r="D4781" s="1" t="str">
        <f>IFERROR(__xludf.DUMMYFUNCTION("""COMPUTED_VALUE"""),"Lentes de STOCK")</f>
        <v>Lentes de STOCK</v>
      </c>
      <c r="E4781" s="1" t="str">
        <f>IFERROR(__xludf.DUMMYFUNCTION("""COMPUTED_VALUE"""),"RIVADAVIA Santiago LOPEZ")</f>
        <v>RIVADAVIA Santiago LOPEZ</v>
      </c>
      <c r="F4781" s="1" t="str">
        <f t="shared" si="1"/>
        <v>RIVADAVIA </v>
      </c>
      <c r="G4781" s="1" t="str">
        <f t="shared" si="2"/>
        <v>Santiago LOPEZ</v>
      </c>
      <c r="H4781" s="1" t="str">
        <f>IFERROR(__xludf.DUMMYFUNCTION("""COMPUTED_VALUE"""),"10/4/2023, 17:00:00")</f>
        <v>10/4/2023, 17:00:00</v>
      </c>
      <c r="I4781" s="1" t="str">
        <f>IFERROR(__xludf.DUMMYFUNCTION("""COMPUTED_VALUE"""),"Completado en SUCURSAL")</f>
        <v>Completado en SUCURSAL</v>
      </c>
      <c r="J4781" s="1">
        <f t="shared" si="3"/>
        <v>5</v>
      </c>
      <c r="K4781" s="1" t="str">
        <f t="shared" si="4"/>
        <v>Tus Lentes estan LISTAS PARA ENTREGAR, te esperamos.</v>
      </c>
    </row>
    <row r="4782">
      <c r="A4782" s="1">
        <f>IFERROR(__xludf.DUMMYFUNCTION("""COMPUTED_VALUE"""),89345.0)</f>
        <v>89345</v>
      </c>
      <c r="B4782" s="5">
        <f>IFERROR(__xludf.DUMMYFUNCTION("""COMPUTED_VALUE"""),45020.78837974537)</f>
        <v>45020.78838</v>
      </c>
      <c r="C4782" s="1" t="str">
        <f>IFERROR(__xludf.DUMMYFUNCTION("""COMPUTED_VALUE"""),"Alaniz Alejandro ")</f>
        <v>Alaniz Alejandro </v>
      </c>
      <c r="D4782" s="1" t="str">
        <f>IFERROR(__xludf.DUMMYFUNCTION("""COMPUTED_VALUE"""),"Reparaciones/Otros")</f>
        <v>Reparaciones/Otros</v>
      </c>
      <c r="E4782" s="1" t="str">
        <f>IFERROR(__xludf.DUMMYFUNCTION("""COMPUTED_VALUE"""),"ARTIGAS Micaela")</f>
        <v>ARTIGAS Micaela</v>
      </c>
      <c r="F4782" s="1" t="str">
        <f t="shared" si="1"/>
        <v>ARTIGAS </v>
      </c>
      <c r="G4782" s="1" t="str">
        <f t="shared" si="2"/>
        <v>Micaela</v>
      </c>
      <c r="H4782" s="1" t="str">
        <f>IFERROR(__xludf.DUMMYFUNCTION("""COMPUTED_VALUE"""),"5/4/2023, 17:00:00")</f>
        <v>5/4/2023, 17:00:00</v>
      </c>
      <c r="I4782" s="1" t="str">
        <f>IFERROR(__xludf.DUMMYFUNCTION("""COMPUTED_VALUE"""),"Completado en SUCURSAL")</f>
        <v>Completado en SUCURSAL</v>
      </c>
      <c r="J4782" s="1">
        <f t="shared" si="3"/>
        <v>5</v>
      </c>
      <c r="K4782" s="1" t="str">
        <f t="shared" si="4"/>
        <v>Tus Lentes estan LISTAS PARA ENTREGAR, te esperamos.</v>
      </c>
    </row>
    <row r="4783">
      <c r="A4783" s="1">
        <f>IFERROR(__xludf.DUMMYFUNCTION("""COMPUTED_VALUE"""),89346.0)</f>
        <v>89346</v>
      </c>
      <c r="B4783" s="5">
        <f>IFERROR(__xludf.DUMMYFUNCTION("""COMPUTED_VALUE"""),45020.79115872685)</f>
        <v>45020.79116</v>
      </c>
      <c r="C4783" s="1" t="str">
        <f>IFERROR(__xludf.DUMMYFUNCTION("""COMPUTED_VALUE"""),"BENITEZ SUAREZ MARCOS RODRIGO")</f>
        <v>BENITEZ SUAREZ MARCOS RODRIGO</v>
      </c>
      <c r="D4783" s="1" t="str">
        <f>IFERROR(__xludf.DUMMYFUNCTION("""COMPUTED_VALUE"""),"Lentes de STOCK")</f>
        <v>Lentes de STOCK</v>
      </c>
      <c r="E4783" s="1" t="str">
        <f>IFERROR(__xludf.DUMMYFUNCTION("""COMPUTED_VALUE"""),"RIVADAVIA Christian C.")</f>
        <v>RIVADAVIA Christian C.</v>
      </c>
      <c r="F4783" s="1" t="str">
        <f t="shared" si="1"/>
        <v>RIVADAVIA </v>
      </c>
      <c r="G4783" s="1" t="str">
        <f t="shared" si="2"/>
        <v>Christian C.</v>
      </c>
      <c r="H4783" s="1" t="str">
        <f>IFERROR(__xludf.DUMMYFUNCTION("""COMPUTED_VALUE"""),"12/4/2023, 17:00:00")</f>
        <v>12/4/2023, 17:00:00</v>
      </c>
      <c r="I4783" s="1" t="str">
        <f>IFERROR(__xludf.DUMMYFUNCTION("""COMPUTED_VALUE"""),"Completado en SUCURSAL")</f>
        <v>Completado en SUCURSAL</v>
      </c>
      <c r="J4783" s="1">
        <f t="shared" si="3"/>
        <v>5</v>
      </c>
      <c r="K4783" s="1" t="str">
        <f t="shared" si="4"/>
        <v>Tus Lentes estan LISTAS PARA ENTREGAR, te esperamos.</v>
      </c>
    </row>
    <row r="4784">
      <c r="A4784" s="1">
        <f>IFERROR(__xludf.DUMMYFUNCTION("""COMPUTED_VALUE"""),89347.0)</f>
        <v>89347</v>
      </c>
      <c r="B4784" s="5">
        <f>IFERROR(__xludf.DUMMYFUNCTION("""COMPUTED_VALUE"""),45020.79354144676)</f>
        <v>45020.79354</v>
      </c>
      <c r="C4784" s="1" t="str">
        <f>IFERROR(__xludf.DUMMYFUNCTION("""COMPUTED_VALUE"""),"QUIROGA EDUARDO ESCRIBANO")</f>
        <v>QUIROGA EDUARDO ESCRIBANO</v>
      </c>
      <c r="D4784" s="1" t="str">
        <f>IFERROR(__xludf.DUMMYFUNCTION("""COMPUTED_VALUE"""),"Reparaciones/Otros")</f>
        <v>Reparaciones/Otros</v>
      </c>
      <c r="E4784" s="1" t="str">
        <f>IFERROR(__xludf.DUMMYFUNCTION("""COMPUTED_VALUE"""),"RIVADAVIA Santiago N")</f>
        <v>RIVADAVIA Santiago N</v>
      </c>
      <c r="F4784" s="1" t="str">
        <f t="shared" si="1"/>
        <v>RIVADAVIA </v>
      </c>
      <c r="G4784" s="1" t="str">
        <f t="shared" si="2"/>
        <v>Santiago N</v>
      </c>
      <c r="H4784" s="1" t="str">
        <f>IFERROR(__xludf.DUMMYFUNCTION("""COMPUTED_VALUE"""),"5/4/2023, 17:00:00")</f>
        <v>5/4/2023, 17:00:00</v>
      </c>
      <c r="I4784" s="1" t="str">
        <f>IFERROR(__xludf.DUMMYFUNCTION("""COMPUTED_VALUE"""),"Completado en SUCURSAL")</f>
        <v>Completado en SUCURSAL</v>
      </c>
      <c r="J4784" s="1">
        <f t="shared" si="3"/>
        <v>5</v>
      </c>
      <c r="K4784" s="1" t="str">
        <f t="shared" si="4"/>
        <v>Tus Lentes estan LISTAS PARA ENTREGAR, te esperamos.</v>
      </c>
    </row>
    <row r="4785">
      <c r="A4785" s="1">
        <f>IFERROR(__xludf.DUMMYFUNCTION("""COMPUTED_VALUE"""),89348.0)</f>
        <v>89348</v>
      </c>
      <c r="B4785" s="5">
        <f>IFERROR(__xludf.DUMMYFUNCTION("""COMPUTED_VALUE"""),45020.80460454861)</f>
        <v>45020.8046</v>
      </c>
      <c r="C4785" s="1" t="str">
        <f>IFERROR(__xludf.DUMMYFUNCTION("""COMPUTED_VALUE"""),"PAISIO MARIA ISABEL")</f>
        <v>PAISIO MARIA ISABEL</v>
      </c>
      <c r="D4785" s="1" t="str">
        <f>IFERROR(__xludf.DUMMYFUNCTION("""COMPUTED_VALUE"""),"Lentes MULTIFOCALES")</f>
        <v>Lentes MULTIFOCALES</v>
      </c>
      <c r="E4785" s="1" t="str">
        <f>IFERROR(__xludf.DUMMYFUNCTION("""COMPUTED_VALUE"""),"ARTIGAS Roció")</f>
        <v>ARTIGAS Roció</v>
      </c>
      <c r="F4785" s="1" t="str">
        <f t="shared" si="1"/>
        <v>ARTIGAS </v>
      </c>
      <c r="G4785" s="1" t="str">
        <f t="shared" si="2"/>
        <v>Roció</v>
      </c>
      <c r="H4785" s="1" t="str">
        <f>IFERROR(__xludf.DUMMYFUNCTION("""COMPUTED_VALUE"""),"17/4/2023, 17:00:00")</f>
        <v>17/4/2023, 17:00:00</v>
      </c>
      <c r="I4785" s="1" t="str">
        <f>IFERROR(__xludf.DUMMYFUNCTION("""COMPUTED_VALUE"""),"Completado en SUCURSAL")</f>
        <v>Completado en SUCURSAL</v>
      </c>
      <c r="J4785" s="1">
        <f t="shared" si="3"/>
        <v>5</v>
      </c>
      <c r="K4785" s="1" t="str">
        <f t="shared" si="4"/>
        <v>Tus Lentes estan LISTAS PARA ENTREGAR, te esperamos.</v>
      </c>
    </row>
    <row r="4786">
      <c r="A4786" s="1">
        <f>IFERROR(__xludf.DUMMYFUNCTION("""COMPUTED_VALUE"""),89349.0)</f>
        <v>89349</v>
      </c>
      <c r="B4786" s="5">
        <f>IFERROR(__xludf.DUMMYFUNCTION("""COMPUTED_VALUE"""),45020.805456331014)</f>
        <v>45020.80546</v>
      </c>
      <c r="C4786" s="1" t="str">
        <f>IFERROR(__xludf.DUMMYFUNCTION("""COMPUTED_VALUE"""),"RODRIGUEZ IAN")</f>
        <v>RODRIGUEZ IAN</v>
      </c>
      <c r="D4786" s="1" t="str">
        <f>IFERROR(__xludf.DUMMYFUNCTION("""COMPUTED_VALUE"""),"Lentes de STOCK")</f>
        <v>Lentes de STOCK</v>
      </c>
      <c r="E4786" s="1" t="str">
        <f>IFERROR(__xludf.DUMMYFUNCTION("""COMPUTED_VALUE"""),"RIVADAVIA Santiago LOPEZ")</f>
        <v>RIVADAVIA Santiago LOPEZ</v>
      </c>
      <c r="F4786" s="1" t="str">
        <f t="shared" si="1"/>
        <v>RIVADAVIA </v>
      </c>
      <c r="G4786" s="1" t="str">
        <f t="shared" si="2"/>
        <v>Santiago LOPEZ</v>
      </c>
      <c r="H4786" s="1" t="str">
        <f>IFERROR(__xludf.DUMMYFUNCTION("""COMPUTED_VALUE"""),"10/4/2023, 17:00:00")</f>
        <v>10/4/2023, 17:00:00</v>
      </c>
      <c r="I4786" s="1" t="str">
        <f>IFERROR(__xludf.DUMMYFUNCTION("""COMPUTED_VALUE"""),"RETIRADO OK POR CLIENTE")</f>
        <v>RETIRADO OK POR CLIENTE</v>
      </c>
      <c r="J4786" s="1">
        <f t="shared" si="3"/>
        <v>6</v>
      </c>
      <c r="K4786" s="1" t="str">
        <f t="shared" si="4"/>
        <v>Entregamos tus lentes, que los disfrutes!</v>
      </c>
    </row>
    <row r="4787">
      <c r="A4787" s="1">
        <f>IFERROR(__xludf.DUMMYFUNCTION("""COMPUTED_VALUE"""),89350.0)</f>
        <v>89350</v>
      </c>
      <c r="B4787" s="5">
        <f>IFERROR(__xludf.DUMMYFUNCTION("""COMPUTED_VALUE"""),45020.807010625)</f>
        <v>45020.80701</v>
      </c>
      <c r="C4787" s="1" t="str">
        <f>IFERROR(__xludf.DUMMYFUNCTION("""COMPUTED_VALUE"""),"CARMONA GERVASIO")</f>
        <v>CARMONA GERVASIO</v>
      </c>
      <c r="D4787" s="1" t="str">
        <f>IFERROR(__xludf.DUMMYFUNCTION("""COMPUTED_VALUE"""),"Lentes de STOCK")</f>
        <v>Lentes de STOCK</v>
      </c>
      <c r="E4787" s="1" t="str">
        <f>IFERROR(__xludf.DUMMYFUNCTION("""COMPUTED_VALUE"""),"RIVADAVIA Javier")</f>
        <v>RIVADAVIA Javier</v>
      </c>
      <c r="F4787" s="1" t="str">
        <f t="shared" si="1"/>
        <v>RIVADAVIA </v>
      </c>
      <c r="G4787" s="1" t="str">
        <f t="shared" si="2"/>
        <v>Javier</v>
      </c>
      <c r="H4787" s="1" t="str">
        <f>IFERROR(__xludf.DUMMYFUNCTION("""COMPUTED_VALUE"""),"13/4/2023, 17:00:00")</f>
        <v>13/4/2023, 17:00:00</v>
      </c>
      <c r="I4787" s="1" t="str">
        <f>IFERROR(__xludf.DUMMYFUNCTION("""COMPUTED_VALUE"""),"Completado en SUCURSAL")</f>
        <v>Completado en SUCURSAL</v>
      </c>
      <c r="J4787" s="1">
        <f t="shared" si="3"/>
        <v>5</v>
      </c>
      <c r="K4787" s="1" t="str">
        <f t="shared" si="4"/>
        <v>Tus Lentes estan LISTAS PARA ENTREGAR, te esperamos.</v>
      </c>
    </row>
    <row r="4788">
      <c r="A4788" s="1">
        <f>IFERROR(__xludf.DUMMYFUNCTION("""COMPUTED_VALUE"""),89351.0)</f>
        <v>89351</v>
      </c>
      <c r="B4788" s="5">
        <f>IFERROR(__xludf.DUMMYFUNCTION("""COMPUTED_VALUE"""),45020.813607199074)</f>
        <v>45020.81361</v>
      </c>
      <c r="C4788" s="1" t="str">
        <f>IFERROR(__xludf.DUMMYFUNCTION("""COMPUTED_VALUE"""),"D'AMICO BERTA ROSA")</f>
        <v>D'AMICO BERTA ROSA</v>
      </c>
      <c r="D4788" s="1" t="str">
        <f>IFERROR(__xludf.DUMMYFUNCTION("""COMPUTED_VALUE"""),"Lentes de STOCK")</f>
        <v>Lentes de STOCK</v>
      </c>
      <c r="E4788" s="1" t="str">
        <f>IFERROR(__xludf.DUMMYFUNCTION("""COMPUTED_VALUE"""),"RIVADAVIA Santiago LOPEZ")</f>
        <v>RIVADAVIA Santiago LOPEZ</v>
      </c>
      <c r="F4788" s="1" t="str">
        <f t="shared" si="1"/>
        <v>RIVADAVIA </v>
      </c>
      <c r="G4788" s="1" t="str">
        <f t="shared" si="2"/>
        <v>Santiago LOPEZ</v>
      </c>
      <c r="H4788" s="1" t="str">
        <f>IFERROR(__xludf.DUMMYFUNCTION("""COMPUTED_VALUE"""),"6/4/2023, 17:00:00")</f>
        <v>6/4/2023, 17:00:00</v>
      </c>
      <c r="I4788" s="1" t="str">
        <f>IFERROR(__xludf.DUMMYFUNCTION("""COMPUTED_VALUE"""),"RETIRADO OK POR CLIENTE")</f>
        <v>RETIRADO OK POR CLIENTE</v>
      </c>
      <c r="J4788" s="1">
        <f t="shared" si="3"/>
        <v>6</v>
      </c>
      <c r="K4788" s="1" t="str">
        <f t="shared" si="4"/>
        <v>Entregamos tus lentes, que los disfrutes!</v>
      </c>
    </row>
    <row r="4789">
      <c r="A4789" s="1">
        <f>IFERROR(__xludf.DUMMYFUNCTION("""COMPUTED_VALUE"""),89352.0)</f>
        <v>89352</v>
      </c>
      <c r="B4789" s="5">
        <f>IFERROR(__xludf.DUMMYFUNCTION("""COMPUTED_VALUE"""),45020.8159778125)</f>
        <v>45020.81598</v>
      </c>
      <c r="C4789" s="1" t="str">
        <f>IFERROR(__xludf.DUMMYFUNCTION("""COMPUTED_VALUE"""),"BAIGORRIA SILVIA")</f>
        <v>BAIGORRIA SILVIA</v>
      </c>
      <c r="D4789" s="1" t="str">
        <f>IFERROR(__xludf.DUMMYFUNCTION("""COMPUTED_VALUE"""),"Lentes de STOCK")</f>
        <v>Lentes de STOCK</v>
      </c>
      <c r="E4789" s="1" t="str">
        <f>IFERROR(__xludf.DUMMYFUNCTION("""COMPUTED_VALUE"""),"ARTIGAS Ivana P.")</f>
        <v>ARTIGAS Ivana P.</v>
      </c>
      <c r="F4789" s="1" t="str">
        <f t="shared" si="1"/>
        <v>ARTIGAS </v>
      </c>
      <c r="G4789" s="1" t="str">
        <f t="shared" si="2"/>
        <v>Ivana P.</v>
      </c>
      <c r="H4789" s="1" t="str">
        <f>IFERROR(__xludf.DUMMYFUNCTION("""COMPUTED_VALUE"""),"12/4/2023, 17:00:00")</f>
        <v>12/4/2023, 17:00:00</v>
      </c>
      <c r="I4789" s="1" t="str">
        <f>IFERROR(__xludf.DUMMYFUNCTION("""COMPUTED_VALUE"""),"Completado en SUCURSAL")</f>
        <v>Completado en SUCURSAL</v>
      </c>
      <c r="J4789" s="1">
        <f t="shared" si="3"/>
        <v>5</v>
      </c>
      <c r="K4789" s="1" t="str">
        <f t="shared" si="4"/>
        <v>Tus Lentes estan LISTAS PARA ENTREGAR, te esperamos.</v>
      </c>
    </row>
    <row r="4790">
      <c r="A4790" s="1">
        <f>IFERROR(__xludf.DUMMYFUNCTION("""COMPUTED_VALUE"""),89353.0)</f>
        <v>89353</v>
      </c>
      <c r="B4790" s="5">
        <f>IFERROR(__xludf.DUMMYFUNCTION("""COMPUTED_VALUE"""),45020.81954146991)</f>
        <v>45020.81954</v>
      </c>
      <c r="C4790" s="1" t="str">
        <f>IFERROR(__xludf.DUMMYFUNCTION("""COMPUTED_VALUE"""),"HEREDIA MARIA ANGELICA")</f>
        <v>HEREDIA MARIA ANGELICA</v>
      </c>
      <c r="D4790" s="1" t="str">
        <f>IFERROR(__xludf.DUMMYFUNCTION("""COMPUTED_VALUE"""),"Lentes de LABORATORIO")</f>
        <v>Lentes de LABORATORIO</v>
      </c>
      <c r="E4790" s="1" t="str">
        <f>IFERROR(__xludf.DUMMYFUNCTION("""COMPUTED_VALUE"""),"RIVADAVIA Christian C.")</f>
        <v>RIVADAVIA Christian C.</v>
      </c>
      <c r="F4790" s="1" t="str">
        <f t="shared" si="1"/>
        <v>RIVADAVIA </v>
      </c>
      <c r="G4790" s="1" t="str">
        <f t="shared" si="2"/>
        <v>Christian C.</v>
      </c>
      <c r="H4790" s="1" t="str">
        <f>IFERROR(__xludf.DUMMYFUNCTION("""COMPUTED_VALUE"""),"11/4/2023, 17:00:00")</f>
        <v>11/4/2023, 17:00:00</v>
      </c>
      <c r="I4790" s="1"/>
      <c r="J4790" s="1">
        <f t="shared" si="3"/>
        <v>0</v>
      </c>
      <c r="K4790" s="1" t="str">
        <f t="shared" si="4"/>
        <v/>
      </c>
    </row>
    <row r="4791">
      <c r="A4791" s="1">
        <f>IFERROR(__xludf.DUMMYFUNCTION("""COMPUTED_VALUE"""),89354.0)</f>
        <v>89354</v>
      </c>
      <c r="B4791" s="5">
        <f>IFERROR(__xludf.DUMMYFUNCTION("""COMPUTED_VALUE"""),45020.82852915509)</f>
        <v>45020.82853</v>
      </c>
      <c r="C4791" s="1" t="str">
        <f>IFERROR(__xludf.DUMMYFUNCTION("""COMPUTED_VALUE"""),"LEYES FRANCISCO")</f>
        <v>LEYES FRANCISCO</v>
      </c>
      <c r="D4791" s="1" t="str">
        <f>IFERROR(__xludf.DUMMYFUNCTION("""COMPUTED_VALUE"""),"Lentes de STOCK")</f>
        <v>Lentes de STOCK</v>
      </c>
      <c r="E4791" s="1" t="str">
        <f>IFERROR(__xludf.DUMMYFUNCTION("""COMPUTED_VALUE"""),"ARTIGAS Ivana P.")</f>
        <v>ARTIGAS Ivana P.</v>
      </c>
      <c r="F4791" s="1" t="str">
        <f t="shared" si="1"/>
        <v>ARTIGAS </v>
      </c>
      <c r="G4791" s="1" t="str">
        <f t="shared" si="2"/>
        <v>Ivana P.</v>
      </c>
      <c r="H4791" s="1" t="str">
        <f>IFERROR(__xludf.DUMMYFUNCTION("""COMPUTED_VALUE"""),"12/4/2023, 17:00:00")</f>
        <v>12/4/2023, 17:00:00</v>
      </c>
      <c r="I4791" s="1" t="str">
        <f>IFERROR(__xludf.DUMMYFUNCTION("""COMPUTED_VALUE"""),"Completado en SUCURSAL")</f>
        <v>Completado en SUCURSAL</v>
      </c>
      <c r="J4791" s="1">
        <f t="shared" si="3"/>
        <v>5</v>
      </c>
      <c r="K4791" s="1" t="str">
        <f t="shared" si="4"/>
        <v>Tus Lentes estan LISTAS PARA ENTREGAR, te esperamos.</v>
      </c>
    </row>
    <row r="4792">
      <c r="A4792" s="1">
        <f>IFERROR(__xludf.DUMMYFUNCTION("""COMPUTED_VALUE"""),89355.0)</f>
        <v>89355</v>
      </c>
      <c r="B4792" s="5">
        <f>IFERROR(__xludf.DUMMYFUNCTION("""COMPUTED_VALUE"""),45020.84453072917)</f>
        <v>45020.84453</v>
      </c>
      <c r="C4792" s="1" t="str">
        <f>IFERROR(__xludf.DUMMYFUNCTION("""COMPUTED_VALUE"""),"HEREDIA, AIDA ALICIA")</f>
        <v>HEREDIA, AIDA ALICIA</v>
      </c>
      <c r="D4792" s="1" t="str">
        <f>IFERROR(__xludf.DUMMYFUNCTION("""COMPUTED_VALUE"""),"Lentes de STOCK")</f>
        <v>Lentes de STOCK</v>
      </c>
      <c r="E4792" s="1" t="str">
        <f>IFERROR(__xludf.DUMMYFUNCTION("""COMPUTED_VALUE"""),"RIVADAVIA Christian C.")</f>
        <v>RIVADAVIA Christian C.</v>
      </c>
      <c r="F4792" s="1" t="str">
        <f t="shared" si="1"/>
        <v>RIVADAVIA </v>
      </c>
      <c r="G4792" s="1" t="str">
        <f t="shared" si="2"/>
        <v>Christian C.</v>
      </c>
      <c r="H4792" s="1" t="str">
        <f>IFERROR(__xludf.DUMMYFUNCTION("""COMPUTED_VALUE"""),"13/4/2023, 17:00:00")</f>
        <v>13/4/2023, 17:00:00</v>
      </c>
      <c r="I4792" s="1" t="str">
        <f>IFERROR(__xludf.DUMMYFUNCTION("""COMPUTED_VALUE"""),"Completado en SUCURSAL")</f>
        <v>Completado en SUCURSAL</v>
      </c>
      <c r="J4792" s="1">
        <f t="shared" si="3"/>
        <v>5</v>
      </c>
      <c r="K4792" s="1" t="str">
        <f t="shared" si="4"/>
        <v>Tus Lentes estan LISTAS PARA ENTREGAR, te esperamos.</v>
      </c>
    </row>
    <row r="4793">
      <c r="A4793" s="1">
        <f>IFERROR(__xludf.DUMMYFUNCTION("""COMPUTED_VALUE"""),89356.0)</f>
        <v>89356</v>
      </c>
      <c r="B4793" s="5">
        <f>IFERROR(__xludf.DUMMYFUNCTION("""COMPUTED_VALUE"""),45021.3738065625)</f>
        <v>45021.37381</v>
      </c>
      <c r="C4793" s="1" t="str">
        <f>IFERROR(__xludf.DUMMYFUNCTION("""COMPUTED_VALUE"""),"FERNANDEZ VALENTINA ROXANA (PROGRAMA MEDICINA DEL INTERIOR GOB)")</f>
        <v>FERNANDEZ VALENTINA ROXANA (PROGRAMA MEDICINA DEL INTERIOR GOB)</v>
      </c>
      <c r="D4793" s="1" t="str">
        <f>IFERROR(__xludf.DUMMYFUNCTION("""COMPUTED_VALUE"""),"Lentes de STOCK")</f>
        <v>Lentes de STOCK</v>
      </c>
      <c r="E4793" s="1" t="str">
        <f>IFERROR(__xludf.DUMMYFUNCTION("""COMPUTED_VALUE"""),"Online ADMIN.")</f>
        <v>Online ADMIN.</v>
      </c>
      <c r="F4793" s="1" t="str">
        <f t="shared" si="1"/>
        <v>Online </v>
      </c>
      <c r="G4793" s="1" t="str">
        <f t="shared" si="2"/>
        <v>ADMIN.</v>
      </c>
      <c r="H4793" s="1" t="str">
        <f>IFERROR(__xludf.DUMMYFUNCTION("""COMPUTED_VALUE"""),"10/4/2023, 17:00:00")</f>
        <v>10/4/2023, 17:00:00</v>
      </c>
      <c r="I4793" s="1" t="str">
        <f>IFERROR(__xludf.DUMMYFUNCTION("""COMPUTED_VALUE"""),"Recibido en Laboratorio")</f>
        <v>Recibido en Laboratorio</v>
      </c>
      <c r="J4793" s="1">
        <f t="shared" si="3"/>
        <v>2</v>
      </c>
      <c r="K4793" s="1" t="str">
        <f t="shared" si="4"/>
        <v>Nuestro Laboratorio esta trabajando en tus lentes, los entregaremos en la fecha acordada.</v>
      </c>
    </row>
    <row r="4794">
      <c r="A4794" s="1">
        <f>IFERROR(__xludf.DUMMYFUNCTION("""COMPUTED_VALUE"""),89357.0)</f>
        <v>89357</v>
      </c>
      <c r="B4794" s="5">
        <f>IFERROR(__xludf.DUMMYFUNCTION("""COMPUTED_VALUE"""),45021.37442766204)</f>
        <v>45021.37443</v>
      </c>
      <c r="C4794" s="1" t="str">
        <f>IFERROR(__xludf.DUMMYFUNCTION("""COMPUTED_VALUE"""),"GATICA PATRICIA (PROGRAMA MEDICINA DEL INTERIOR GOB)")</f>
        <v>GATICA PATRICIA (PROGRAMA MEDICINA DEL INTERIOR GOB)</v>
      </c>
      <c r="D4794" s="1" t="str">
        <f>IFERROR(__xludf.DUMMYFUNCTION("""COMPUTED_VALUE"""),"Lentes de STOCK")</f>
        <v>Lentes de STOCK</v>
      </c>
      <c r="E4794" s="1" t="str">
        <f>IFERROR(__xludf.DUMMYFUNCTION("""COMPUTED_VALUE"""),"Online ADMIN.")</f>
        <v>Online ADMIN.</v>
      </c>
      <c r="F4794" s="1" t="str">
        <f t="shared" si="1"/>
        <v>Online </v>
      </c>
      <c r="G4794" s="1" t="str">
        <f t="shared" si="2"/>
        <v>ADMIN.</v>
      </c>
      <c r="H4794" s="1" t="str">
        <f>IFERROR(__xludf.DUMMYFUNCTION("""COMPUTED_VALUE"""),"10/4/2023, 17:00:00")</f>
        <v>10/4/2023, 17:00:00</v>
      </c>
      <c r="I4794" s="1" t="str">
        <f>IFERROR(__xludf.DUMMYFUNCTION("""COMPUTED_VALUE"""),"Recibido en Laboratorio")</f>
        <v>Recibido en Laboratorio</v>
      </c>
      <c r="J4794" s="1">
        <f t="shared" si="3"/>
        <v>2</v>
      </c>
      <c r="K4794" s="1" t="str">
        <f t="shared" si="4"/>
        <v>Nuestro Laboratorio esta trabajando en tus lentes, los entregaremos en la fecha acordada.</v>
      </c>
    </row>
    <row r="4795">
      <c r="A4795" s="1">
        <f>IFERROR(__xludf.DUMMYFUNCTION("""COMPUTED_VALUE"""),89358.0)</f>
        <v>89358</v>
      </c>
      <c r="B4795" s="5">
        <f>IFERROR(__xludf.DUMMYFUNCTION("""COMPUTED_VALUE"""),45021.375065740736)</f>
        <v>45021.37507</v>
      </c>
      <c r="C4795" s="1" t="str">
        <f>IFERROR(__xludf.DUMMYFUNCTION("""COMPUTED_VALUE"""),"DELUIGI ANDREA LOURDES (PROGRAMA MEDICINA DEL INTERIOR GOB)")</f>
        <v>DELUIGI ANDREA LOURDES (PROGRAMA MEDICINA DEL INTERIOR GOB)</v>
      </c>
      <c r="D4795" s="1" t="str">
        <f>IFERROR(__xludf.DUMMYFUNCTION("""COMPUTED_VALUE"""),"Lentes de LABORATORIO")</f>
        <v>Lentes de LABORATORIO</v>
      </c>
      <c r="E4795" s="1" t="str">
        <f>IFERROR(__xludf.DUMMYFUNCTION("""COMPUTED_VALUE"""),"Online ADMIN.")</f>
        <v>Online ADMIN.</v>
      </c>
      <c r="F4795" s="1" t="str">
        <f t="shared" si="1"/>
        <v>Online </v>
      </c>
      <c r="G4795" s="1" t="str">
        <f t="shared" si="2"/>
        <v>ADMIN.</v>
      </c>
      <c r="H4795" s="1" t="str">
        <f>IFERROR(__xludf.DUMMYFUNCTION("""COMPUTED_VALUE"""),"12/4/2023, 17:00:00")</f>
        <v>12/4/2023, 17:00:00</v>
      </c>
      <c r="I4795" s="1" t="str">
        <f>IFERROR(__xludf.DUMMYFUNCTION("""COMPUTED_VALUE"""),"Recibido en Laboratorio")</f>
        <v>Recibido en Laboratorio</v>
      </c>
      <c r="J4795" s="1">
        <f t="shared" si="3"/>
        <v>2</v>
      </c>
      <c r="K4795" s="1" t="str">
        <f t="shared" si="4"/>
        <v>Nuestro Laboratorio esta trabajando en tus lentes, los entregaremos en la fecha acordada.</v>
      </c>
    </row>
    <row r="4796">
      <c r="A4796" s="1">
        <f>IFERROR(__xludf.DUMMYFUNCTION("""COMPUTED_VALUE"""),89359.0)</f>
        <v>89359</v>
      </c>
      <c r="B4796" s="5">
        <f>IFERROR(__xludf.DUMMYFUNCTION("""COMPUTED_VALUE"""),45021.375729374995)</f>
        <v>45021.37573</v>
      </c>
      <c r="C4796" s="1" t="str">
        <f>IFERROR(__xludf.DUMMYFUNCTION("""COMPUTED_VALUE"""),"ANTUNEZ HEREDIA LUCIA JAZMIN (PROGRAMA MEDICINA DEL INTERIOR GOB)")</f>
        <v>ANTUNEZ HEREDIA LUCIA JAZMIN (PROGRAMA MEDICINA DEL INTERIOR GOB)</v>
      </c>
      <c r="D4796" s="1" t="str">
        <f>IFERROR(__xludf.DUMMYFUNCTION("""COMPUTED_VALUE"""),"Lentes de STOCK")</f>
        <v>Lentes de STOCK</v>
      </c>
      <c r="E4796" s="1" t="str">
        <f>IFERROR(__xludf.DUMMYFUNCTION("""COMPUTED_VALUE"""),"Online ADMIN.")</f>
        <v>Online ADMIN.</v>
      </c>
      <c r="F4796" s="1" t="str">
        <f t="shared" si="1"/>
        <v>Online </v>
      </c>
      <c r="G4796" s="1" t="str">
        <f t="shared" si="2"/>
        <v>ADMIN.</v>
      </c>
      <c r="H4796" s="1" t="str">
        <f>IFERROR(__xludf.DUMMYFUNCTION("""COMPUTED_VALUE"""),"10/4/2023, 17:00:00")</f>
        <v>10/4/2023, 17:00:00</v>
      </c>
      <c r="I4796" s="1" t="str">
        <f>IFERROR(__xludf.DUMMYFUNCTION("""COMPUTED_VALUE"""),"Recibido en Laboratorio")</f>
        <v>Recibido en Laboratorio</v>
      </c>
      <c r="J4796" s="1">
        <f t="shared" si="3"/>
        <v>2</v>
      </c>
      <c r="K4796" s="1" t="str">
        <f t="shared" si="4"/>
        <v>Nuestro Laboratorio esta trabajando en tus lentes, los entregaremos en la fecha acordada.</v>
      </c>
    </row>
    <row r="4797">
      <c r="A4797" s="1">
        <f>IFERROR(__xludf.DUMMYFUNCTION("""COMPUTED_VALUE"""),89360.0)</f>
        <v>89360</v>
      </c>
      <c r="B4797" s="5">
        <f>IFERROR(__xludf.DUMMYFUNCTION("""COMPUTED_VALUE"""),45021.376255104165)</f>
        <v>45021.37626</v>
      </c>
      <c r="C4797" s="1" t="str">
        <f>IFERROR(__xludf.DUMMYFUNCTION("""COMPUTED_VALUE"""),"CASTRO LIDIA SUSANA (PROGRAMA MEDICINA DEL INTERIOR GOB)")</f>
        <v>CASTRO LIDIA SUSANA (PROGRAMA MEDICINA DEL INTERIOR GOB)</v>
      </c>
      <c r="D4797" s="1" t="str">
        <f>IFERROR(__xludf.DUMMYFUNCTION("""COMPUTED_VALUE"""),"Lentes de STOCK")</f>
        <v>Lentes de STOCK</v>
      </c>
      <c r="E4797" s="1" t="str">
        <f>IFERROR(__xludf.DUMMYFUNCTION("""COMPUTED_VALUE"""),"Online ADMIN.")</f>
        <v>Online ADMIN.</v>
      </c>
      <c r="F4797" s="1" t="str">
        <f t="shared" si="1"/>
        <v>Online </v>
      </c>
      <c r="G4797" s="1" t="str">
        <f t="shared" si="2"/>
        <v>ADMIN.</v>
      </c>
      <c r="H4797" s="1" t="str">
        <f>IFERROR(__xludf.DUMMYFUNCTION("""COMPUTED_VALUE"""),"10/4/2023, 17:00:00")</f>
        <v>10/4/2023, 17:00:00</v>
      </c>
      <c r="I4797" s="1" t="str">
        <f>IFERROR(__xludf.DUMMYFUNCTION("""COMPUTED_VALUE"""),"Recibido en Laboratorio")</f>
        <v>Recibido en Laboratorio</v>
      </c>
      <c r="J4797" s="1">
        <f t="shared" si="3"/>
        <v>2</v>
      </c>
      <c r="K4797" s="1" t="str">
        <f t="shared" si="4"/>
        <v>Nuestro Laboratorio esta trabajando en tus lentes, los entregaremos en la fecha acordada.</v>
      </c>
    </row>
    <row r="4798">
      <c r="A4798" s="1">
        <f>IFERROR(__xludf.DUMMYFUNCTION("""COMPUTED_VALUE"""),89361.0)</f>
        <v>89361</v>
      </c>
      <c r="B4798" s="5">
        <f>IFERROR(__xludf.DUMMYFUNCTION("""COMPUTED_VALUE"""),45021.376877002316)</f>
        <v>45021.37688</v>
      </c>
      <c r="C4798" s="1" t="str">
        <f>IFERROR(__xludf.DUMMYFUNCTION("""COMPUTED_VALUE"""),"ALCARAZ ROSALINDA (PROGRAMA MEDICINA DEL INTERIOR GOB)")</f>
        <v>ALCARAZ ROSALINDA (PROGRAMA MEDICINA DEL INTERIOR GOB)</v>
      </c>
      <c r="D4798" s="1" t="str">
        <f>IFERROR(__xludf.DUMMYFUNCTION("""COMPUTED_VALUE"""),"Lentes de STOCK")</f>
        <v>Lentes de STOCK</v>
      </c>
      <c r="E4798" s="1" t="str">
        <f>IFERROR(__xludf.DUMMYFUNCTION("""COMPUTED_VALUE"""),"Online ADMIN.")</f>
        <v>Online ADMIN.</v>
      </c>
      <c r="F4798" s="1" t="str">
        <f t="shared" si="1"/>
        <v>Online </v>
      </c>
      <c r="G4798" s="1" t="str">
        <f t="shared" si="2"/>
        <v>ADMIN.</v>
      </c>
      <c r="H4798" s="1" t="str">
        <f>IFERROR(__xludf.DUMMYFUNCTION("""COMPUTED_VALUE"""),"10/4/2023, 17:00:00")</f>
        <v>10/4/2023, 17:00:00</v>
      </c>
      <c r="I4798" s="1" t="str">
        <f>IFERROR(__xludf.DUMMYFUNCTION("""COMPUTED_VALUE"""),"Recibido en Laboratorio")</f>
        <v>Recibido en Laboratorio</v>
      </c>
      <c r="J4798" s="1">
        <f t="shared" si="3"/>
        <v>2</v>
      </c>
      <c r="K4798" s="1" t="str">
        <f t="shared" si="4"/>
        <v>Nuestro Laboratorio esta trabajando en tus lentes, los entregaremos en la fecha acordada.</v>
      </c>
    </row>
    <row r="4799">
      <c r="A4799" s="1">
        <f>IFERROR(__xludf.DUMMYFUNCTION("""COMPUTED_VALUE"""),89362.0)</f>
        <v>89362</v>
      </c>
      <c r="B4799" s="5">
        <f>IFERROR(__xludf.DUMMYFUNCTION("""COMPUTED_VALUE"""),45021.377442372686)</f>
        <v>45021.37744</v>
      </c>
      <c r="C4799" s="1" t="str">
        <f>IFERROR(__xludf.DUMMYFUNCTION("""COMPUTED_VALUE"""),"ALCARAS MORALES MIA VALENTINA (PROGRAMA MEDICINA DEL INTERIOR GOB)")</f>
        <v>ALCARAS MORALES MIA VALENTINA (PROGRAMA MEDICINA DEL INTERIOR GOB)</v>
      </c>
      <c r="D4799" s="1" t="str">
        <f>IFERROR(__xludf.DUMMYFUNCTION("""COMPUTED_VALUE"""),"Lentes de LABORATORIO")</f>
        <v>Lentes de LABORATORIO</v>
      </c>
      <c r="E4799" s="1" t="str">
        <f>IFERROR(__xludf.DUMMYFUNCTION("""COMPUTED_VALUE"""),"Online ADMIN.")</f>
        <v>Online ADMIN.</v>
      </c>
      <c r="F4799" s="1" t="str">
        <f t="shared" si="1"/>
        <v>Online </v>
      </c>
      <c r="G4799" s="1" t="str">
        <f t="shared" si="2"/>
        <v>ADMIN.</v>
      </c>
      <c r="H4799" s="1" t="str">
        <f>IFERROR(__xludf.DUMMYFUNCTION("""COMPUTED_VALUE"""),"12/4/2023, 17:00:00")</f>
        <v>12/4/2023, 17:00:00</v>
      </c>
      <c r="I4799" s="1" t="str">
        <f>IFERROR(__xludf.DUMMYFUNCTION("""COMPUTED_VALUE"""),"Recibido en Laboratorio")</f>
        <v>Recibido en Laboratorio</v>
      </c>
      <c r="J4799" s="1">
        <f t="shared" si="3"/>
        <v>2</v>
      </c>
      <c r="K4799" s="1" t="str">
        <f t="shared" si="4"/>
        <v>Nuestro Laboratorio esta trabajando en tus lentes, los entregaremos en la fecha acordada.</v>
      </c>
    </row>
    <row r="4800">
      <c r="A4800" s="1">
        <f>IFERROR(__xludf.DUMMYFUNCTION("""COMPUTED_VALUE"""),89363.0)</f>
        <v>89363</v>
      </c>
      <c r="B4800" s="5">
        <f>IFERROR(__xludf.DUMMYFUNCTION("""COMPUTED_VALUE"""),45021.37979208333)</f>
        <v>45021.37979</v>
      </c>
      <c r="C4800" s="1" t="str">
        <f>IFERROR(__xludf.DUMMYFUNCTION("""COMPUTED_VALUE"""),"TORRES MATIAS NICOLAS (PROGRAMA MEDICINA DEL INTERIOR GOB)")</f>
        <v>TORRES MATIAS NICOLAS (PROGRAMA MEDICINA DEL INTERIOR GOB)</v>
      </c>
      <c r="D4800" s="1" t="str">
        <f>IFERROR(__xludf.DUMMYFUNCTION("""COMPUTED_VALUE"""),"Lentes de STOCK")</f>
        <v>Lentes de STOCK</v>
      </c>
      <c r="E4800" s="1" t="str">
        <f>IFERROR(__xludf.DUMMYFUNCTION("""COMPUTED_VALUE"""),"Online ADMIN.")</f>
        <v>Online ADMIN.</v>
      </c>
      <c r="F4800" s="1" t="str">
        <f t="shared" si="1"/>
        <v>Online </v>
      </c>
      <c r="G4800" s="1" t="str">
        <f t="shared" si="2"/>
        <v>ADMIN.</v>
      </c>
      <c r="H4800" s="1" t="str">
        <f>IFERROR(__xludf.DUMMYFUNCTION("""COMPUTED_VALUE"""),"10/4/2023, 17:00:00")</f>
        <v>10/4/2023, 17:00:00</v>
      </c>
      <c r="I4800" s="1" t="str">
        <f>IFERROR(__xludf.DUMMYFUNCTION("""COMPUTED_VALUE"""),"Recibido en Laboratorio")</f>
        <v>Recibido en Laboratorio</v>
      </c>
      <c r="J4800" s="1">
        <f t="shared" si="3"/>
        <v>2</v>
      </c>
      <c r="K4800" s="1" t="str">
        <f t="shared" si="4"/>
        <v>Nuestro Laboratorio esta trabajando en tus lentes, los entregaremos en la fecha acordada.</v>
      </c>
    </row>
    <row r="4801">
      <c r="A4801" s="1">
        <f>IFERROR(__xludf.DUMMYFUNCTION("""COMPUTED_VALUE"""),89364.0)</f>
        <v>89364</v>
      </c>
      <c r="B4801" s="5">
        <f>IFERROR(__xludf.DUMMYFUNCTION("""COMPUTED_VALUE"""),45021.38053769676)</f>
        <v>45021.38054</v>
      </c>
      <c r="C4801" s="1" t="str">
        <f>IFERROR(__xludf.DUMMYFUNCTION("""COMPUTED_VALUE"""),"ZALAZAR JADE (PROGRAMA MEDICINA DEL INTERIOR GOB)")</f>
        <v>ZALAZAR JADE (PROGRAMA MEDICINA DEL INTERIOR GOB)</v>
      </c>
      <c r="D4801" s="1" t="str">
        <f>IFERROR(__xludf.DUMMYFUNCTION("""COMPUTED_VALUE"""),"Lentes de LABORATORIO")</f>
        <v>Lentes de LABORATORIO</v>
      </c>
      <c r="E4801" s="1" t="str">
        <f>IFERROR(__xludf.DUMMYFUNCTION("""COMPUTED_VALUE"""),"Online ADMIN.")</f>
        <v>Online ADMIN.</v>
      </c>
      <c r="F4801" s="1" t="str">
        <f t="shared" si="1"/>
        <v>Online </v>
      </c>
      <c r="G4801" s="1" t="str">
        <f t="shared" si="2"/>
        <v>ADMIN.</v>
      </c>
      <c r="H4801" s="1" t="str">
        <f>IFERROR(__xludf.DUMMYFUNCTION("""COMPUTED_VALUE"""),"12/4/2023, 17:00:00")</f>
        <v>12/4/2023, 17:00:00</v>
      </c>
      <c r="I4801" s="1" t="str">
        <f>IFERROR(__xludf.DUMMYFUNCTION("""COMPUTED_VALUE"""),"Recibido en Laboratorio")</f>
        <v>Recibido en Laboratorio</v>
      </c>
      <c r="J4801" s="1">
        <f t="shared" si="3"/>
        <v>2</v>
      </c>
      <c r="K4801" s="1" t="str">
        <f t="shared" si="4"/>
        <v>Nuestro Laboratorio esta trabajando en tus lentes, los entregaremos en la fecha acordada.</v>
      </c>
    </row>
    <row r="4802">
      <c r="A4802" s="1">
        <f>IFERROR(__xludf.DUMMYFUNCTION("""COMPUTED_VALUE"""),89365.0)</f>
        <v>89365</v>
      </c>
      <c r="B4802" s="5">
        <f>IFERROR(__xludf.DUMMYFUNCTION("""COMPUTED_VALUE"""),45021.38076905093)</f>
        <v>45021.38077</v>
      </c>
      <c r="C4802" s="1" t="str">
        <f>IFERROR(__xludf.DUMMYFUNCTION("""COMPUTED_VALUE"""),"arellano brenda")</f>
        <v>arellano brenda</v>
      </c>
      <c r="D4802" s="1" t="str">
        <f>IFERROR(__xludf.DUMMYFUNCTION("""COMPUTED_VALUE"""),"Lentes de STOCK")</f>
        <v>Lentes de STOCK</v>
      </c>
      <c r="E4802" s="1" t="str">
        <f>IFERROR(__xludf.DUMMYFUNCTION("""COMPUTED_VALUE"""),"RIVADAVIA Santiago N")</f>
        <v>RIVADAVIA Santiago N</v>
      </c>
      <c r="F4802" s="1" t="str">
        <f t="shared" si="1"/>
        <v>RIVADAVIA </v>
      </c>
      <c r="G4802" s="1" t="str">
        <f t="shared" si="2"/>
        <v>Santiago N</v>
      </c>
      <c r="H4802" s="1" t="str">
        <f>IFERROR(__xludf.DUMMYFUNCTION("""COMPUTED_VALUE"""),"10/4/2023, 17:00:00")</f>
        <v>10/4/2023, 17:00:00</v>
      </c>
      <c r="I4802" s="1" t="str">
        <f>IFERROR(__xludf.DUMMYFUNCTION("""COMPUTED_VALUE"""),"Completado en SUCURSAL")</f>
        <v>Completado en SUCURSAL</v>
      </c>
      <c r="J4802" s="1">
        <f t="shared" si="3"/>
        <v>5</v>
      </c>
      <c r="K4802" s="1" t="str">
        <f t="shared" si="4"/>
        <v>Tus Lentes estan LISTAS PARA ENTREGAR, te esperamos.</v>
      </c>
    </row>
    <row r="4803">
      <c r="A4803" s="1">
        <f>IFERROR(__xludf.DUMMYFUNCTION("""COMPUTED_VALUE"""),89366.0)</f>
        <v>89366</v>
      </c>
      <c r="B4803" s="5">
        <f>IFERROR(__xludf.DUMMYFUNCTION("""COMPUTED_VALUE"""),45021.381084849534)</f>
        <v>45021.38108</v>
      </c>
      <c r="C4803" s="1" t="str">
        <f>IFERROR(__xludf.DUMMYFUNCTION("""COMPUTED_VALUE"""),"ROSALES MIGUEL ANGEL EDUARDO (PROGRAMA MEDICINA DEL INTERIOR GOB)")</f>
        <v>ROSALES MIGUEL ANGEL EDUARDO (PROGRAMA MEDICINA DEL INTERIOR GOB)</v>
      </c>
      <c r="D4803" s="1" t="str">
        <f>IFERROR(__xludf.DUMMYFUNCTION("""COMPUTED_VALUE"""),"Lentes de STOCK")</f>
        <v>Lentes de STOCK</v>
      </c>
      <c r="E4803" s="1" t="str">
        <f>IFERROR(__xludf.DUMMYFUNCTION("""COMPUTED_VALUE"""),"Online ADMIN.")</f>
        <v>Online ADMIN.</v>
      </c>
      <c r="F4803" s="1" t="str">
        <f t="shared" si="1"/>
        <v>Online </v>
      </c>
      <c r="G4803" s="1" t="str">
        <f t="shared" si="2"/>
        <v>ADMIN.</v>
      </c>
      <c r="H4803" s="1" t="str">
        <f>IFERROR(__xludf.DUMMYFUNCTION("""COMPUTED_VALUE"""),"10/4/2023, 17:00:00")</f>
        <v>10/4/2023, 17:00:00</v>
      </c>
      <c r="I4803" s="1" t="str">
        <f>IFERROR(__xludf.DUMMYFUNCTION("""COMPUTED_VALUE"""),"Recibido en Laboratorio")</f>
        <v>Recibido en Laboratorio</v>
      </c>
      <c r="J4803" s="1">
        <f t="shared" si="3"/>
        <v>2</v>
      </c>
      <c r="K4803" s="1" t="str">
        <f t="shared" si="4"/>
        <v>Nuestro Laboratorio esta trabajando en tus lentes, los entregaremos en la fecha acordada.</v>
      </c>
    </row>
    <row r="4804">
      <c r="A4804" s="1">
        <f>IFERROR(__xludf.DUMMYFUNCTION("""COMPUTED_VALUE"""),89367.0)</f>
        <v>89367</v>
      </c>
      <c r="B4804" s="5">
        <f>IFERROR(__xludf.DUMMYFUNCTION("""COMPUTED_VALUE"""),45021.38150743056)</f>
        <v>45021.38151</v>
      </c>
      <c r="C4804" s="1" t="str">
        <f>IFERROR(__xludf.DUMMYFUNCTION("""COMPUTED_VALUE"""),"FERRUS MARIA")</f>
        <v>FERRUS MARIA</v>
      </c>
      <c r="D4804" s="1" t="str">
        <f>IFERROR(__xludf.DUMMYFUNCTION("""COMPUTED_VALUE"""),"Lentes de STOCK")</f>
        <v>Lentes de STOCK</v>
      </c>
      <c r="E4804" s="1" t="str">
        <f>IFERROR(__xludf.DUMMYFUNCTION("""COMPUTED_VALUE"""),"ARTIGAS Ivana P.")</f>
        <v>ARTIGAS Ivana P.</v>
      </c>
      <c r="F4804" s="1" t="str">
        <f t="shared" si="1"/>
        <v>ARTIGAS </v>
      </c>
      <c r="G4804" s="1" t="str">
        <f t="shared" si="2"/>
        <v>Ivana P.</v>
      </c>
      <c r="H4804" s="1" t="str">
        <f>IFERROR(__xludf.DUMMYFUNCTION("""COMPUTED_VALUE"""),"13/4/2023, 17:00:00")</f>
        <v>13/4/2023, 17:00:00</v>
      </c>
      <c r="I4804" s="1" t="str">
        <f>IFERROR(__xludf.DUMMYFUNCTION("""COMPUTED_VALUE"""),"Recibido en Laboratorio")</f>
        <v>Recibido en Laboratorio</v>
      </c>
      <c r="J4804" s="1">
        <f t="shared" si="3"/>
        <v>2</v>
      </c>
      <c r="K4804" s="1" t="str">
        <f t="shared" si="4"/>
        <v>Nuestro Laboratorio esta trabajando en tus lentes, los entregaremos en la fecha acordada.</v>
      </c>
    </row>
    <row r="4805">
      <c r="A4805" s="1">
        <f>IFERROR(__xludf.DUMMYFUNCTION("""COMPUTED_VALUE"""),89368.0)</f>
        <v>89368</v>
      </c>
      <c r="B4805" s="5">
        <f>IFERROR(__xludf.DUMMYFUNCTION("""COMPUTED_VALUE"""),45021.38178273148)</f>
        <v>45021.38178</v>
      </c>
      <c r="C4805" s="1" t="str">
        <f>IFERROR(__xludf.DUMMYFUNCTION("""COMPUTED_VALUE"""),"ROSALES FLORENCIA ALEXANDRA CRISTINA (PROGRAMA MEDICINA DEL INTERIOR GOB)")</f>
        <v>ROSALES FLORENCIA ALEXANDRA CRISTINA (PROGRAMA MEDICINA DEL INTERIOR GOB)</v>
      </c>
      <c r="D4805" s="1" t="str">
        <f>IFERROR(__xludf.DUMMYFUNCTION("""COMPUTED_VALUE"""),"Lentes de STOCK")</f>
        <v>Lentes de STOCK</v>
      </c>
      <c r="E4805" s="1" t="str">
        <f>IFERROR(__xludf.DUMMYFUNCTION("""COMPUTED_VALUE"""),"Online ADMIN.")</f>
        <v>Online ADMIN.</v>
      </c>
      <c r="F4805" s="1" t="str">
        <f t="shared" si="1"/>
        <v>Online </v>
      </c>
      <c r="G4805" s="1" t="str">
        <f t="shared" si="2"/>
        <v>ADMIN.</v>
      </c>
      <c r="H4805" s="1" t="str">
        <f>IFERROR(__xludf.DUMMYFUNCTION("""COMPUTED_VALUE"""),"10/4/2023, 17:00:00")</f>
        <v>10/4/2023, 17:00:00</v>
      </c>
      <c r="I4805" s="1" t="str">
        <f>IFERROR(__xludf.DUMMYFUNCTION("""COMPUTED_VALUE"""),"Recibido en Laboratorio")</f>
        <v>Recibido en Laboratorio</v>
      </c>
      <c r="J4805" s="1">
        <f t="shared" si="3"/>
        <v>2</v>
      </c>
      <c r="K4805" s="1" t="str">
        <f t="shared" si="4"/>
        <v>Nuestro Laboratorio esta trabajando en tus lentes, los entregaremos en la fecha acordada.</v>
      </c>
    </row>
    <row r="4806">
      <c r="A4806" s="1">
        <f>IFERROR(__xludf.DUMMYFUNCTION("""COMPUTED_VALUE"""),89369.0)</f>
        <v>89369</v>
      </c>
      <c r="B4806" s="5">
        <f>IFERROR(__xludf.DUMMYFUNCTION("""COMPUTED_VALUE"""),45021.38248866898)</f>
        <v>45021.38249</v>
      </c>
      <c r="C4806" s="1" t="str">
        <f>IFERROR(__xludf.DUMMYFUNCTION("""COMPUTED_VALUE"""),"PEREZ RAMON (PROGRAMA MEDICINA DEL INTERIOR GOB)")</f>
        <v>PEREZ RAMON (PROGRAMA MEDICINA DEL INTERIOR GOB)</v>
      </c>
      <c r="D4806" s="1" t="str">
        <f>IFERROR(__xludf.DUMMYFUNCTION("""COMPUTED_VALUE"""),"Lentes de STOCK")</f>
        <v>Lentes de STOCK</v>
      </c>
      <c r="E4806" s="1" t="str">
        <f>IFERROR(__xludf.DUMMYFUNCTION("""COMPUTED_VALUE"""),"Online ADMIN.")</f>
        <v>Online ADMIN.</v>
      </c>
      <c r="F4806" s="1" t="str">
        <f t="shared" si="1"/>
        <v>Online </v>
      </c>
      <c r="G4806" s="1" t="str">
        <f t="shared" si="2"/>
        <v>ADMIN.</v>
      </c>
      <c r="H4806" s="1" t="str">
        <f>IFERROR(__xludf.DUMMYFUNCTION("""COMPUTED_VALUE"""),"10/4/2023, 17:00:00")</f>
        <v>10/4/2023, 17:00:00</v>
      </c>
      <c r="I4806" s="1" t="str">
        <f>IFERROR(__xludf.DUMMYFUNCTION("""COMPUTED_VALUE"""),"Recibido en Laboratorio")</f>
        <v>Recibido en Laboratorio</v>
      </c>
      <c r="J4806" s="1">
        <f t="shared" si="3"/>
        <v>2</v>
      </c>
      <c r="K4806" s="1" t="str">
        <f t="shared" si="4"/>
        <v>Nuestro Laboratorio esta trabajando en tus lentes, los entregaremos en la fecha acordada.</v>
      </c>
    </row>
    <row r="4807">
      <c r="A4807" s="1">
        <f>IFERROR(__xludf.DUMMYFUNCTION("""COMPUTED_VALUE"""),89370.0)</f>
        <v>89370</v>
      </c>
      <c r="B4807" s="5">
        <f>IFERROR(__xludf.DUMMYFUNCTION("""COMPUTED_VALUE"""),45021.38314802083)</f>
        <v>45021.38315</v>
      </c>
      <c r="C4807" s="1" t="str">
        <f>IFERROR(__xludf.DUMMYFUNCTION("""COMPUTED_VALUE"""),"QUEVEDO LILIANA BEATRIZ (PROGRAMA MEDICINA DEL INTERIOR GOB)")</f>
        <v>QUEVEDO LILIANA BEATRIZ (PROGRAMA MEDICINA DEL INTERIOR GOB)</v>
      </c>
      <c r="D4807" s="1" t="str">
        <f>IFERROR(__xludf.DUMMYFUNCTION("""COMPUTED_VALUE"""),"Lentes de STOCK")</f>
        <v>Lentes de STOCK</v>
      </c>
      <c r="E4807" s="1" t="str">
        <f>IFERROR(__xludf.DUMMYFUNCTION("""COMPUTED_VALUE"""),"Online ADMIN.")</f>
        <v>Online ADMIN.</v>
      </c>
      <c r="F4807" s="1" t="str">
        <f t="shared" si="1"/>
        <v>Online </v>
      </c>
      <c r="G4807" s="1" t="str">
        <f t="shared" si="2"/>
        <v>ADMIN.</v>
      </c>
      <c r="H4807" s="1" t="str">
        <f>IFERROR(__xludf.DUMMYFUNCTION("""COMPUTED_VALUE"""),"10/4/2023, 17:00:00")</f>
        <v>10/4/2023, 17:00:00</v>
      </c>
      <c r="I4807" s="1" t="str">
        <f>IFERROR(__xludf.DUMMYFUNCTION("""COMPUTED_VALUE"""),"Recibido en Laboratorio")</f>
        <v>Recibido en Laboratorio</v>
      </c>
      <c r="J4807" s="1">
        <f t="shared" si="3"/>
        <v>2</v>
      </c>
      <c r="K4807" s="1" t="str">
        <f t="shared" si="4"/>
        <v>Nuestro Laboratorio esta trabajando en tus lentes, los entregaremos en la fecha acordada.</v>
      </c>
    </row>
    <row r="4808">
      <c r="A4808" s="1">
        <f>IFERROR(__xludf.DUMMYFUNCTION("""COMPUTED_VALUE"""),89371.0)</f>
        <v>89371</v>
      </c>
      <c r="B4808" s="5">
        <f>IFERROR(__xludf.DUMMYFUNCTION("""COMPUTED_VALUE"""),45021.3838972338)</f>
        <v>45021.3839</v>
      </c>
      <c r="C4808" s="1" t="str">
        <f>IFERROR(__xludf.DUMMYFUNCTION("""COMPUTED_VALUE"""),"OVIEDO RAMONA ZULEMA (PROGRAMA MEDICINA DEL INTERIOR GOB)")</f>
        <v>OVIEDO RAMONA ZULEMA (PROGRAMA MEDICINA DEL INTERIOR GOB)</v>
      </c>
      <c r="D4808" s="1" t="str">
        <f>IFERROR(__xludf.DUMMYFUNCTION("""COMPUTED_VALUE"""),"Lentes de STOCK")</f>
        <v>Lentes de STOCK</v>
      </c>
      <c r="E4808" s="1" t="str">
        <f>IFERROR(__xludf.DUMMYFUNCTION("""COMPUTED_VALUE"""),"Online ADMIN.")</f>
        <v>Online ADMIN.</v>
      </c>
      <c r="F4808" s="1" t="str">
        <f t="shared" si="1"/>
        <v>Online </v>
      </c>
      <c r="G4808" s="1" t="str">
        <f t="shared" si="2"/>
        <v>ADMIN.</v>
      </c>
      <c r="H4808" s="1" t="str">
        <f>IFERROR(__xludf.DUMMYFUNCTION("""COMPUTED_VALUE"""),"10/4/2023, 17:00:00")</f>
        <v>10/4/2023, 17:00:00</v>
      </c>
      <c r="I4808" s="1" t="str">
        <f>IFERROR(__xludf.DUMMYFUNCTION("""COMPUTED_VALUE"""),"Recibido en Laboratorio")</f>
        <v>Recibido en Laboratorio</v>
      </c>
      <c r="J4808" s="1">
        <f t="shared" si="3"/>
        <v>2</v>
      </c>
      <c r="K4808" s="1" t="str">
        <f t="shared" si="4"/>
        <v>Nuestro Laboratorio esta trabajando en tus lentes, los entregaremos en la fecha acordada.</v>
      </c>
    </row>
    <row r="4809">
      <c r="A4809" s="1">
        <f>IFERROR(__xludf.DUMMYFUNCTION("""COMPUTED_VALUE"""),89372.0)</f>
        <v>89372</v>
      </c>
      <c r="B4809" s="5">
        <f>IFERROR(__xludf.DUMMYFUNCTION("""COMPUTED_VALUE"""),45021.38430178241)</f>
        <v>45021.3843</v>
      </c>
      <c r="C4809" s="1" t="str">
        <f>IFERROR(__xludf.DUMMYFUNCTION("""COMPUTED_VALUE"""),"JANSSEN REBECA YAMILE (PROGRAMA MEDICINA DEL INTERIOR GOB)")</f>
        <v>JANSSEN REBECA YAMILE (PROGRAMA MEDICINA DEL INTERIOR GOB)</v>
      </c>
      <c r="D4809" s="1" t="str">
        <f>IFERROR(__xludf.DUMMYFUNCTION("""COMPUTED_VALUE"""),"Lentes de STOCK")</f>
        <v>Lentes de STOCK</v>
      </c>
      <c r="E4809" s="1" t="str">
        <f>IFERROR(__xludf.DUMMYFUNCTION("""COMPUTED_VALUE"""),"Online ADMIN.")</f>
        <v>Online ADMIN.</v>
      </c>
      <c r="F4809" s="1" t="str">
        <f t="shared" si="1"/>
        <v>Online </v>
      </c>
      <c r="G4809" s="1" t="str">
        <f t="shared" si="2"/>
        <v>ADMIN.</v>
      </c>
      <c r="H4809" s="1" t="str">
        <f>IFERROR(__xludf.DUMMYFUNCTION("""COMPUTED_VALUE"""),"10/4/2023, 17:00:00")</f>
        <v>10/4/2023, 17:00:00</v>
      </c>
      <c r="I4809" s="1" t="str">
        <f>IFERROR(__xludf.DUMMYFUNCTION("""COMPUTED_VALUE"""),"Recibido en Laboratorio")</f>
        <v>Recibido en Laboratorio</v>
      </c>
      <c r="J4809" s="1">
        <f t="shared" si="3"/>
        <v>2</v>
      </c>
      <c r="K4809" s="1" t="str">
        <f t="shared" si="4"/>
        <v>Nuestro Laboratorio esta trabajando en tus lentes, los entregaremos en la fecha acordada.</v>
      </c>
    </row>
    <row r="4810">
      <c r="A4810" s="1">
        <f>IFERROR(__xludf.DUMMYFUNCTION("""COMPUTED_VALUE"""),89373.0)</f>
        <v>89373</v>
      </c>
      <c r="B4810" s="5">
        <f>IFERROR(__xludf.DUMMYFUNCTION("""COMPUTED_VALUE"""),45021.38484194444)</f>
        <v>45021.38484</v>
      </c>
      <c r="C4810" s="1" t="str">
        <f>IFERROR(__xludf.DUMMYFUNCTION("""COMPUTED_VALUE"""),"BRANZO GUILLERMINA LUJAN")</f>
        <v>BRANZO GUILLERMINA LUJAN</v>
      </c>
      <c r="D4810" s="1" t="str">
        <f>IFERROR(__xludf.DUMMYFUNCTION("""COMPUTED_VALUE"""),"Lentes de STOCK")</f>
        <v>Lentes de STOCK</v>
      </c>
      <c r="E4810" s="1" t="str">
        <f>IFERROR(__xludf.DUMMYFUNCTION("""COMPUTED_VALUE"""),"RIVADAVIA Javier")</f>
        <v>RIVADAVIA Javier</v>
      </c>
      <c r="F4810" s="1" t="str">
        <f t="shared" si="1"/>
        <v>RIVADAVIA </v>
      </c>
      <c r="G4810" s="1" t="str">
        <f t="shared" si="2"/>
        <v>Javier</v>
      </c>
      <c r="H4810" s="1" t="str">
        <f>IFERROR(__xludf.DUMMYFUNCTION("""COMPUTED_VALUE"""),"10/4/2023, 17:00:00")</f>
        <v>10/4/2023, 17:00:00</v>
      </c>
      <c r="I4810" s="1"/>
      <c r="J4810" s="1">
        <f t="shared" si="3"/>
        <v>0</v>
      </c>
      <c r="K4810" s="1" t="str">
        <f t="shared" si="4"/>
        <v/>
      </c>
    </row>
    <row r="4811">
      <c r="A4811" s="1">
        <f>IFERROR(__xludf.DUMMYFUNCTION("""COMPUTED_VALUE"""),89374.0)</f>
        <v>89374</v>
      </c>
      <c r="B4811" s="5">
        <f>IFERROR(__xludf.DUMMYFUNCTION("""COMPUTED_VALUE"""),45021.38485443287)</f>
        <v>45021.38485</v>
      </c>
      <c r="C4811" s="1" t="str">
        <f>IFERROR(__xludf.DUMMYFUNCTION("""COMPUTED_VALUE"""),"JANSSEN LIZBETH NAOMI (PROGRAMA MEDICINA DEL INTERIOR GOB)")</f>
        <v>JANSSEN LIZBETH NAOMI (PROGRAMA MEDICINA DEL INTERIOR GOB)</v>
      </c>
      <c r="D4811" s="1" t="str">
        <f>IFERROR(__xludf.DUMMYFUNCTION("""COMPUTED_VALUE"""),"Lentes de STOCK")</f>
        <v>Lentes de STOCK</v>
      </c>
      <c r="E4811" s="1" t="str">
        <f>IFERROR(__xludf.DUMMYFUNCTION("""COMPUTED_VALUE"""),"Online ADMIN.")</f>
        <v>Online ADMIN.</v>
      </c>
      <c r="F4811" s="1" t="str">
        <f t="shared" si="1"/>
        <v>Online </v>
      </c>
      <c r="G4811" s="1" t="str">
        <f t="shared" si="2"/>
        <v>ADMIN.</v>
      </c>
      <c r="H4811" s="1" t="str">
        <f>IFERROR(__xludf.DUMMYFUNCTION("""COMPUTED_VALUE"""),"10/4/2023, 17:00:00")</f>
        <v>10/4/2023, 17:00:00</v>
      </c>
      <c r="I4811" s="1" t="str">
        <f>IFERROR(__xludf.DUMMYFUNCTION("""COMPUTED_VALUE"""),"Recibido en Laboratorio")</f>
        <v>Recibido en Laboratorio</v>
      </c>
      <c r="J4811" s="1">
        <f t="shared" si="3"/>
        <v>2</v>
      </c>
      <c r="K4811" s="1" t="str">
        <f t="shared" si="4"/>
        <v>Nuestro Laboratorio esta trabajando en tus lentes, los entregaremos en la fecha acordada.</v>
      </c>
    </row>
    <row r="4812">
      <c r="A4812" s="1">
        <f>IFERROR(__xludf.DUMMYFUNCTION("""COMPUTED_VALUE"""),89375.0)</f>
        <v>89375</v>
      </c>
      <c r="B4812" s="5">
        <f>IFERROR(__xludf.DUMMYFUNCTION("""COMPUTED_VALUE"""),45021.38575261574)</f>
        <v>45021.38575</v>
      </c>
      <c r="C4812" s="1" t="str">
        <f>IFERROR(__xludf.DUMMYFUNCTION("""COMPUTED_VALUE"""),"HERRERA VILLAR GRACIELA (PROGRAMA MEDICINA DEL INTERIOR GOB)")</f>
        <v>HERRERA VILLAR GRACIELA (PROGRAMA MEDICINA DEL INTERIOR GOB)</v>
      </c>
      <c r="D4812" s="1" t="str">
        <f>IFERROR(__xludf.DUMMYFUNCTION("""COMPUTED_VALUE"""),"Lentes de STOCK")</f>
        <v>Lentes de STOCK</v>
      </c>
      <c r="E4812" s="1" t="str">
        <f>IFERROR(__xludf.DUMMYFUNCTION("""COMPUTED_VALUE"""),"Online ADMIN.")</f>
        <v>Online ADMIN.</v>
      </c>
      <c r="F4812" s="1" t="str">
        <f t="shared" si="1"/>
        <v>Online </v>
      </c>
      <c r="G4812" s="1" t="str">
        <f t="shared" si="2"/>
        <v>ADMIN.</v>
      </c>
      <c r="H4812" s="1" t="str">
        <f>IFERROR(__xludf.DUMMYFUNCTION("""COMPUTED_VALUE"""),"10/4/2023, 17:00:00")</f>
        <v>10/4/2023, 17:00:00</v>
      </c>
      <c r="I4812" s="1" t="str">
        <f>IFERROR(__xludf.DUMMYFUNCTION("""COMPUTED_VALUE"""),"Recibido en Laboratorio")</f>
        <v>Recibido en Laboratorio</v>
      </c>
      <c r="J4812" s="1">
        <f t="shared" si="3"/>
        <v>2</v>
      </c>
      <c r="K4812" s="1" t="str">
        <f t="shared" si="4"/>
        <v>Nuestro Laboratorio esta trabajando en tus lentes, los entregaremos en la fecha acordada.</v>
      </c>
    </row>
    <row r="4813">
      <c r="A4813" s="1">
        <f>IFERROR(__xludf.DUMMYFUNCTION("""COMPUTED_VALUE"""),89376.0)</f>
        <v>89376</v>
      </c>
      <c r="B4813" s="5">
        <f>IFERROR(__xludf.DUMMYFUNCTION("""COMPUTED_VALUE"""),45021.386383310186)</f>
        <v>45021.38638</v>
      </c>
      <c r="C4813" s="1" t="str">
        <f>IFERROR(__xludf.DUMMYFUNCTION("""COMPUTED_VALUE"""),"GUZMAN ALBORNOZ LUISANA JAZMIN (PROGRAMA MEDICINA DEL INTERIOR GOB)")</f>
        <v>GUZMAN ALBORNOZ LUISANA JAZMIN (PROGRAMA MEDICINA DEL INTERIOR GOB)</v>
      </c>
      <c r="D4813" s="1" t="str">
        <f>IFERROR(__xludf.DUMMYFUNCTION("""COMPUTED_VALUE"""),"Lentes de LABORATORIO")</f>
        <v>Lentes de LABORATORIO</v>
      </c>
      <c r="E4813" s="1" t="str">
        <f>IFERROR(__xludf.DUMMYFUNCTION("""COMPUTED_VALUE"""),"Online ADMIN.")</f>
        <v>Online ADMIN.</v>
      </c>
      <c r="F4813" s="1" t="str">
        <f t="shared" si="1"/>
        <v>Online </v>
      </c>
      <c r="G4813" s="1" t="str">
        <f t="shared" si="2"/>
        <v>ADMIN.</v>
      </c>
      <c r="H4813" s="1" t="str">
        <f>IFERROR(__xludf.DUMMYFUNCTION("""COMPUTED_VALUE"""),"12/4/2023, 17:00:00")</f>
        <v>12/4/2023, 17:00:00</v>
      </c>
      <c r="I4813" s="1" t="str">
        <f>IFERROR(__xludf.DUMMYFUNCTION("""COMPUTED_VALUE"""),"Recibido en Laboratorio")</f>
        <v>Recibido en Laboratorio</v>
      </c>
      <c r="J4813" s="1">
        <f t="shared" si="3"/>
        <v>2</v>
      </c>
      <c r="K4813" s="1" t="str">
        <f t="shared" si="4"/>
        <v>Nuestro Laboratorio esta trabajando en tus lentes, los entregaremos en la fecha acordada.</v>
      </c>
    </row>
    <row r="4814">
      <c r="A4814" s="1">
        <f>IFERROR(__xludf.DUMMYFUNCTION("""COMPUTED_VALUE"""),89377.0)</f>
        <v>89377</v>
      </c>
      <c r="B4814" s="5">
        <f>IFERROR(__xludf.DUMMYFUNCTION("""COMPUTED_VALUE"""),45021.388568333336)</f>
        <v>45021.38857</v>
      </c>
      <c r="C4814" s="1" t="str">
        <f>IFERROR(__xludf.DUMMYFUNCTION("""COMPUTED_VALUE"""),"gomez juan ramon")</f>
        <v>gomez juan ramon</v>
      </c>
      <c r="D4814" s="1" t="str">
        <f>IFERROR(__xludf.DUMMYFUNCTION("""COMPUTED_VALUE"""),"Lentes de STOCK")</f>
        <v>Lentes de STOCK</v>
      </c>
      <c r="E4814" s="1" t="str">
        <f>IFERROR(__xludf.DUMMYFUNCTION("""COMPUTED_VALUE"""),"RIVADAVIA Santiago N")</f>
        <v>RIVADAVIA Santiago N</v>
      </c>
      <c r="F4814" s="1" t="str">
        <f t="shared" si="1"/>
        <v>RIVADAVIA </v>
      </c>
      <c r="G4814" s="1" t="str">
        <f t="shared" si="2"/>
        <v>Santiago N</v>
      </c>
      <c r="H4814" s="1" t="str">
        <f>IFERROR(__xludf.DUMMYFUNCTION("""COMPUTED_VALUE"""),"10/4/2023, 17:00:00")</f>
        <v>10/4/2023, 17:00:00</v>
      </c>
      <c r="I4814" s="1"/>
      <c r="J4814" s="1">
        <f t="shared" si="3"/>
        <v>0</v>
      </c>
      <c r="K4814" s="1" t="str">
        <f t="shared" si="4"/>
        <v/>
      </c>
    </row>
    <row r="4815">
      <c r="A4815" s="1">
        <f>IFERROR(__xludf.DUMMYFUNCTION("""COMPUTED_VALUE"""),89378.0)</f>
        <v>89378</v>
      </c>
      <c r="B4815" s="5">
        <f>IFERROR(__xludf.DUMMYFUNCTION("""COMPUTED_VALUE"""),45021.389460798615)</f>
        <v>45021.38946</v>
      </c>
      <c r="C4815" s="1" t="str">
        <f>IFERROR(__xludf.DUMMYFUNCTION("""COMPUTED_VALUE"""),"ARIAS RAMONA")</f>
        <v>ARIAS RAMONA</v>
      </c>
      <c r="D4815" s="1" t="str">
        <f>IFERROR(__xludf.DUMMYFUNCTION("""COMPUTED_VALUE"""),"Lentes MULTIFOCALES")</f>
        <v>Lentes MULTIFOCALES</v>
      </c>
      <c r="E4815" s="1" t="str">
        <f>IFERROR(__xludf.DUMMYFUNCTION("""COMPUTED_VALUE"""),"RIVADAVIA Santiago LOPEZ")</f>
        <v>RIVADAVIA Santiago LOPEZ</v>
      </c>
      <c r="F4815" s="1" t="str">
        <f t="shared" si="1"/>
        <v>RIVADAVIA </v>
      </c>
      <c r="G4815" s="1" t="str">
        <f t="shared" si="2"/>
        <v>Santiago LOPEZ</v>
      </c>
      <c r="H4815" s="1" t="str">
        <f>IFERROR(__xludf.DUMMYFUNCTION("""COMPUTED_VALUE"""),"12/4/2023, 17:00:00")</f>
        <v>12/4/2023, 17:00:00</v>
      </c>
      <c r="I4815" s="1"/>
      <c r="J4815" s="1">
        <f t="shared" si="3"/>
        <v>0</v>
      </c>
      <c r="K4815" s="1" t="str">
        <f t="shared" si="4"/>
        <v/>
      </c>
    </row>
    <row r="4816">
      <c r="A4816" s="1">
        <f>IFERROR(__xludf.DUMMYFUNCTION("""COMPUTED_VALUE"""),89379.0)</f>
        <v>89379</v>
      </c>
      <c r="B4816" s="5">
        <f>IFERROR(__xludf.DUMMYFUNCTION("""COMPUTED_VALUE"""),45021.391499606485)</f>
        <v>45021.3915</v>
      </c>
      <c r="C4816" s="1" t="str">
        <f>IFERROR(__xludf.DUMMYFUNCTION("""COMPUTED_VALUE"""),"gomez juan ramon")</f>
        <v>gomez juan ramon</v>
      </c>
      <c r="D4816" s="1" t="str">
        <f>IFERROR(__xludf.DUMMYFUNCTION("""COMPUTED_VALUE"""),"Lentes de STOCK")</f>
        <v>Lentes de STOCK</v>
      </c>
      <c r="E4816" s="1" t="str">
        <f>IFERROR(__xludf.DUMMYFUNCTION("""COMPUTED_VALUE"""),"RIVADAVIA Santiago N")</f>
        <v>RIVADAVIA Santiago N</v>
      </c>
      <c r="F4816" s="1" t="str">
        <f t="shared" si="1"/>
        <v>RIVADAVIA </v>
      </c>
      <c r="G4816" s="1" t="str">
        <f t="shared" si="2"/>
        <v>Santiago N</v>
      </c>
      <c r="H4816" s="1" t="str">
        <f>IFERROR(__xludf.DUMMYFUNCTION("""COMPUTED_VALUE"""),"10/4/2023, 17:00:00")</f>
        <v>10/4/2023, 17:00:00</v>
      </c>
      <c r="I4816" s="1" t="str">
        <f>IFERROR(__xludf.DUMMYFUNCTION("""COMPUTED_VALUE"""),"RETIRADO OK POR CLIENTE")</f>
        <v>RETIRADO OK POR CLIENTE</v>
      </c>
      <c r="J4816" s="1">
        <f t="shared" si="3"/>
        <v>6</v>
      </c>
      <c r="K4816" s="1" t="str">
        <f t="shared" si="4"/>
        <v>Entregamos tus lentes, que los disfrutes!</v>
      </c>
    </row>
    <row r="4817">
      <c r="A4817" s="1">
        <f>IFERROR(__xludf.DUMMYFUNCTION("""COMPUTED_VALUE"""),89380.0)</f>
        <v>89380</v>
      </c>
      <c r="B4817" s="5">
        <f>IFERROR(__xludf.DUMMYFUNCTION("""COMPUTED_VALUE"""),45021.3970994213)</f>
        <v>45021.3971</v>
      </c>
      <c r="C4817" s="1" t="str">
        <f>IFERROR(__xludf.DUMMYFUNCTION("""COMPUTED_VALUE"""),"DOLDAN LAUREANO")</f>
        <v>DOLDAN LAUREANO</v>
      </c>
      <c r="D4817" s="1" t="str">
        <f>IFERROR(__xludf.DUMMYFUNCTION("""COMPUTED_VALUE"""),"Lentes de STOCK")</f>
        <v>Lentes de STOCK</v>
      </c>
      <c r="E4817" s="1" t="str">
        <f>IFERROR(__xludf.DUMMYFUNCTION("""COMPUTED_VALUE"""),"RIVADAVIA Santiago N")</f>
        <v>RIVADAVIA Santiago N</v>
      </c>
      <c r="F4817" s="1" t="str">
        <f t="shared" si="1"/>
        <v>RIVADAVIA </v>
      </c>
      <c r="G4817" s="1" t="str">
        <f t="shared" si="2"/>
        <v>Santiago N</v>
      </c>
      <c r="H4817" s="1" t="str">
        <f>IFERROR(__xludf.DUMMYFUNCTION("""COMPUTED_VALUE"""),"10/4/2023, 17:00:00")</f>
        <v>10/4/2023, 17:00:00</v>
      </c>
      <c r="I4817" s="1" t="str">
        <f>IFERROR(__xludf.DUMMYFUNCTION("""COMPUTED_VALUE"""),"Completado en SUCURSAL")</f>
        <v>Completado en SUCURSAL</v>
      </c>
      <c r="J4817" s="1">
        <f t="shared" si="3"/>
        <v>5</v>
      </c>
      <c r="K4817" s="1" t="str">
        <f t="shared" si="4"/>
        <v>Tus Lentes estan LISTAS PARA ENTREGAR, te esperamos.</v>
      </c>
    </row>
    <row r="4818">
      <c r="A4818" s="1">
        <f>IFERROR(__xludf.DUMMYFUNCTION("""COMPUTED_VALUE"""),89381.0)</f>
        <v>89381</v>
      </c>
      <c r="B4818" s="5">
        <f>IFERROR(__xludf.DUMMYFUNCTION("""COMPUTED_VALUE"""),45021.400556319444)</f>
        <v>45021.40056</v>
      </c>
      <c r="C4818" s="1" t="str">
        <f>IFERROR(__xludf.DUMMYFUNCTION("""COMPUTED_VALUE"""),"ORELLANA CUEVAS NANCY AURORA")</f>
        <v>ORELLANA CUEVAS NANCY AURORA</v>
      </c>
      <c r="D4818" s="1" t="str">
        <f>IFERROR(__xludf.DUMMYFUNCTION("""COMPUTED_VALUE"""),"Lentes BIFOCALES")</f>
        <v>Lentes BIFOCALES</v>
      </c>
      <c r="E4818" s="1" t="str">
        <f>IFERROR(__xludf.DUMMYFUNCTION("""COMPUTED_VALUE"""),"RIVADAVIA Christian C.")</f>
        <v>RIVADAVIA Christian C.</v>
      </c>
      <c r="F4818" s="1" t="str">
        <f t="shared" si="1"/>
        <v>RIVADAVIA </v>
      </c>
      <c r="G4818" s="1" t="str">
        <f t="shared" si="2"/>
        <v>Christian C.</v>
      </c>
      <c r="H4818" s="1" t="str">
        <f>IFERROR(__xludf.DUMMYFUNCTION("""COMPUTED_VALUE"""),"12/4/2023, 17:00:00")</f>
        <v>12/4/2023, 17:00:00</v>
      </c>
      <c r="I4818" s="1" t="str">
        <f>IFERROR(__xludf.DUMMYFUNCTION("""COMPUTED_VALUE"""),"Completado en SUCURSAL")</f>
        <v>Completado en SUCURSAL</v>
      </c>
      <c r="J4818" s="1">
        <f t="shared" si="3"/>
        <v>5</v>
      </c>
      <c r="K4818" s="1" t="str">
        <f t="shared" si="4"/>
        <v>Tus Lentes estan LISTAS PARA ENTREGAR, te esperamos.</v>
      </c>
    </row>
    <row r="4819">
      <c r="A4819" s="1">
        <f>IFERROR(__xludf.DUMMYFUNCTION("""COMPUTED_VALUE"""),89382.0)</f>
        <v>89382</v>
      </c>
      <c r="B4819" s="5">
        <f>IFERROR(__xludf.DUMMYFUNCTION("""COMPUTED_VALUE"""),45021.401489236116)</f>
        <v>45021.40149</v>
      </c>
      <c r="C4819" s="1" t="str">
        <f>IFERROR(__xludf.DUMMYFUNCTION("""COMPUTED_VALUE"""),"VILLEGAS SUSANA")</f>
        <v>VILLEGAS SUSANA</v>
      </c>
      <c r="D4819" s="1" t="str">
        <f>IFERROR(__xludf.DUMMYFUNCTION("""COMPUTED_VALUE"""),"Lentes de STOCK")</f>
        <v>Lentes de STOCK</v>
      </c>
      <c r="E4819" s="1" t="str">
        <f>IFERROR(__xludf.DUMMYFUNCTION("""COMPUTED_VALUE"""),"RIVADAVIA Santiago LOPEZ")</f>
        <v>RIVADAVIA Santiago LOPEZ</v>
      </c>
      <c r="F4819" s="1" t="str">
        <f t="shared" si="1"/>
        <v>RIVADAVIA </v>
      </c>
      <c r="G4819" s="1" t="str">
        <f t="shared" si="2"/>
        <v>Santiago LOPEZ</v>
      </c>
      <c r="H4819" s="1" t="str">
        <f>IFERROR(__xludf.DUMMYFUNCTION("""COMPUTED_VALUE"""),"10/4/2023, 17:00:00")</f>
        <v>10/4/2023, 17:00:00</v>
      </c>
      <c r="I4819" s="1" t="str">
        <f>IFERROR(__xludf.DUMMYFUNCTION("""COMPUTED_VALUE"""),"Completado en SUCURSAL")</f>
        <v>Completado en SUCURSAL</v>
      </c>
      <c r="J4819" s="1">
        <f t="shared" si="3"/>
        <v>5</v>
      </c>
      <c r="K4819" s="1" t="str">
        <f t="shared" si="4"/>
        <v>Tus Lentes estan LISTAS PARA ENTREGAR, te esperamos.</v>
      </c>
    </row>
    <row r="4820">
      <c r="A4820" s="1">
        <f>IFERROR(__xludf.DUMMYFUNCTION("""COMPUTED_VALUE"""),89383.0)</f>
        <v>89383</v>
      </c>
      <c r="B4820" s="5">
        <f>IFERROR(__xludf.DUMMYFUNCTION("""COMPUTED_VALUE"""),45021.40228055556)</f>
        <v>45021.40228</v>
      </c>
      <c r="C4820" s="1" t="str">
        <f>IFERROR(__xludf.DUMMYFUNCTION("""COMPUTED_VALUE"""),"MUÑOZ WALTER")</f>
        <v>MUÑOZ WALTER</v>
      </c>
      <c r="D4820" s="1" t="str">
        <f>IFERROR(__xludf.DUMMYFUNCTION("""COMPUTED_VALUE"""),"Lentes de STOCK")</f>
        <v>Lentes de STOCK</v>
      </c>
      <c r="E4820" s="1" t="str">
        <f>IFERROR(__xludf.DUMMYFUNCTION("""COMPUTED_VALUE"""),"ARTIGAS Ivana P.")</f>
        <v>ARTIGAS Ivana P.</v>
      </c>
      <c r="F4820" s="1" t="str">
        <f t="shared" si="1"/>
        <v>ARTIGAS </v>
      </c>
      <c r="G4820" s="1" t="str">
        <f t="shared" si="2"/>
        <v>Ivana P.</v>
      </c>
      <c r="H4820" s="1" t="str">
        <f>IFERROR(__xludf.DUMMYFUNCTION("""COMPUTED_VALUE"""),"13/4/2023, 17:00:00")</f>
        <v>13/4/2023, 17:00:00</v>
      </c>
      <c r="I4820" s="1" t="str">
        <f>IFERROR(__xludf.DUMMYFUNCTION("""COMPUTED_VALUE"""),"Recibido en Laboratorio")</f>
        <v>Recibido en Laboratorio</v>
      </c>
      <c r="J4820" s="1">
        <f t="shared" si="3"/>
        <v>2</v>
      </c>
      <c r="K4820" s="1" t="str">
        <f t="shared" si="4"/>
        <v>Nuestro Laboratorio esta trabajando en tus lentes, los entregaremos en la fecha acordada.</v>
      </c>
    </row>
    <row r="4821">
      <c r="A4821" s="1">
        <f>IFERROR(__xludf.DUMMYFUNCTION("""COMPUTED_VALUE"""),89384.0)</f>
        <v>89384</v>
      </c>
      <c r="B4821" s="5">
        <f>IFERROR(__xludf.DUMMYFUNCTION("""COMPUTED_VALUE"""),45021.40283248843)</f>
        <v>45021.40283</v>
      </c>
      <c r="C4821" s="1" t="str">
        <f>IFERROR(__xludf.DUMMYFUNCTION("""COMPUTED_VALUE"""),"ROTELLI HECTOR FABIO")</f>
        <v>ROTELLI HECTOR FABIO</v>
      </c>
      <c r="D4821" s="1" t="str">
        <f>IFERROR(__xludf.DUMMYFUNCTION("""COMPUTED_VALUE"""),"Lentes de STOCK")</f>
        <v>Lentes de STOCK</v>
      </c>
      <c r="E4821" s="1" t="str">
        <f>IFERROR(__xludf.DUMMYFUNCTION("""COMPUTED_VALUE"""),"RIVADAVIA Luciana")</f>
        <v>RIVADAVIA Luciana</v>
      </c>
      <c r="F4821" s="1" t="str">
        <f t="shared" si="1"/>
        <v>RIVADAVIA </v>
      </c>
      <c r="G4821" s="1" t="str">
        <f t="shared" si="2"/>
        <v>Luciana</v>
      </c>
      <c r="H4821" s="1" t="str">
        <f>IFERROR(__xludf.DUMMYFUNCTION("""COMPUTED_VALUE"""),"11/4/2023, 17:00:00")</f>
        <v>11/4/2023, 17:00:00</v>
      </c>
      <c r="I4821" s="1" t="str">
        <f>IFERROR(__xludf.DUMMYFUNCTION("""COMPUTED_VALUE"""),"Recibido en Laboratorio")</f>
        <v>Recibido en Laboratorio</v>
      </c>
      <c r="J4821" s="1">
        <f t="shared" si="3"/>
        <v>2</v>
      </c>
      <c r="K4821" s="1" t="str">
        <f t="shared" si="4"/>
        <v>Nuestro Laboratorio esta trabajando en tus lentes, los entregaremos en la fecha acordada.</v>
      </c>
    </row>
    <row r="4822">
      <c r="A4822" s="1">
        <f>IFERROR(__xludf.DUMMYFUNCTION("""COMPUTED_VALUE"""),89385.0)</f>
        <v>89385</v>
      </c>
      <c r="B4822" s="5">
        <f>IFERROR(__xludf.DUMMYFUNCTION("""COMPUTED_VALUE"""),45021.40673672454)</f>
        <v>45021.40674</v>
      </c>
      <c r="C4822" s="1" t="str">
        <f>IFERROR(__xludf.DUMMYFUNCTION("""COMPUTED_VALUE"""),"RODRIGUEZ DURAN HUMBERTO")</f>
        <v>RODRIGUEZ DURAN HUMBERTO</v>
      </c>
      <c r="D4822" s="1" t="str">
        <f>IFERROR(__xludf.DUMMYFUNCTION("""COMPUTED_VALUE"""),"Reparaciones/Otros")</f>
        <v>Reparaciones/Otros</v>
      </c>
      <c r="E4822" s="1" t="str">
        <f>IFERROR(__xludf.DUMMYFUNCTION("""COMPUTED_VALUE"""),"RIVADAVIA Santiago LOPEZ")</f>
        <v>RIVADAVIA Santiago LOPEZ</v>
      </c>
      <c r="F4822" s="1" t="str">
        <f t="shared" si="1"/>
        <v>RIVADAVIA </v>
      </c>
      <c r="G4822" s="1" t="str">
        <f t="shared" si="2"/>
        <v>Santiago LOPEZ</v>
      </c>
      <c r="H4822" s="1" t="str">
        <f>IFERROR(__xludf.DUMMYFUNCTION("""COMPUTED_VALUE"""),"6/4/2023, 17:00:00")</f>
        <v>6/4/2023, 17:00:00</v>
      </c>
      <c r="I4822" s="1" t="str">
        <f>IFERROR(__xludf.DUMMYFUNCTION("""COMPUTED_VALUE"""),"Completado en SUCURSAL")</f>
        <v>Completado en SUCURSAL</v>
      </c>
      <c r="J4822" s="1">
        <f t="shared" si="3"/>
        <v>5</v>
      </c>
      <c r="K4822" s="1" t="str">
        <f t="shared" si="4"/>
        <v>Tus Lentes estan LISTAS PARA ENTREGAR, te esperamos.</v>
      </c>
    </row>
    <row r="4823">
      <c r="A4823" s="1">
        <f>IFERROR(__xludf.DUMMYFUNCTION("""COMPUTED_VALUE"""),89386.0)</f>
        <v>89386</v>
      </c>
      <c r="B4823" s="5">
        <f>IFERROR(__xludf.DUMMYFUNCTION("""COMPUTED_VALUE"""),45021.41267814815)</f>
        <v>45021.41268</v>
      </c>
      <c r="C4823" s="1" t="str">
        <f>IFERROR(__xludf.DUMMYFUNCTION("""COMPUTED_VALUE"""),"BRANZO GUILLERMINA")</f>
        <v>BRANZO GUILLERMINA</v>
      </c>
      <c r="D4823" s="1" t="str">
        <f>IFERROR(__xludf.DUMMYFUNCTION("""COMPUTED_VALUE"""),"Lentes de STOCK")</f>
        <v>Lentes de STOCK</v>
      </c>
      <c r="E4823" s="1" t="str">
        <f>IFERROR(__xludf.DUMMYFUNCTION("""COMPUTED_VALUE"""),"ARTIGAS Ivana P.")</f>
        <v>ARTIGAS Ivana P.</v>
      </c>
      <c r="F4823" s="1" t="str">
        <f t="shared" si="1"/>
        <v>ARTIGAS </v>
      </c>
      <c r="G4823" s="1" t="str">
        <f t="shared" si="2"/>
        <v>Ivana P.</v>
      </c>
      <c r="H4823" s="1" t="str">
        <f>IFERROR(__xludf.DUMMYFUNCTION("""COMPUTED_VALUE"""),"13/4/2023, 17:00:00")</f>
        <v>13/4/2023, 17:00:00</v>
      </c>
      <c r="I4823" s="1" t="str">
        <f>IFERROR(__xludf.DUMMYFUNCTION("""COMPUTED_VALUE"""),"Completado en SUCURSAL")</f>
        <v>Completado en SUCURSAL</v>
      </c>
      <c r="J4823" s="1">
        <f t="shared" si="3"/>
        <v>5</v>
      </c>
      <c r="K4823" s="1" t="str">
        <f t="shared" si="4"/>
        <v>Tus Lentes estan LISTAS PARA ENTREGAR, te esperamos.</v>
      </c>
    </row>
    <row r="4824">
      <c r="A4824" s="1">
        <f>IFERROR(__xludf.DUMMYFUNCTION("""COMPUTED_VALUE"""),89387.0)</f>
        <v>89387</v>
      </c>
      <c r="B4824" s="5">
        <f>IFERROR(__xludf.DUMMYFUNCTION("""COMPUTED_VALUE"""),45021.41797190972)</f>
        <v>45021.41797</v>
      </c>
      <c r="C4824" s="1" t="str">
        <f>IFERROR(__xludf.DUMMYFUNCTION("""COMPUTED_VALUE"""),"ALBINO MILTON")</f>
        <v>ALBINO MILTON</v>
      </c>
      <c r="D4824" s="1" t="str">
        <f>IFERROR(__xludf.DUMMYFUNCTION("""COMPUTED_VALUE"""),"Lentes de STOCK")</f>
        <v>Lentes de STOCK</v>
      </c>
      <c r="E4824" s="1" t="str">
        <f>IFERROR(__xludf.DUMMYFUNCTION("""COMPUTED_VALUE"""),"ARTIGAS Ivana P.")</f>
        <v>ARTIGAS Ivana P.</v>
      </c>
      <c r="F4824" s="1" t="str">
        <f t="shared" si="1"/>
        <v>ARTIGAS </v>
      </c>
      <c r="G4824" s="1" t="str">
        <f t="shared" si="2"/>
        <v>Ivana P.</v>
      </c>
      <c r="H4824" s="1" t="str">
        <f>IFERROR(__xludf.DUMMYFUNCTION("""COMPUTED_VALUE"""),"13/4/2023, 17:00:00")</f>
        <v>13/4/2023, 17:00:00</v>
      </c>
      <c r="I4824" s="1" t="str">
        <f>IFERROR(__xludf.DUMMYFUNCTION("""COMPUTED_VALUE"""),"Completado en SUCURSAL")</f>
        <v>Completado en SUCURSAL</v>
      </c>
      <c r="J4824" s="1">
        <f t="shared" si="3"/>
        <v>5</v>
      </c>
      <c r="K4824" s="1" t="str">
        <f t="shared" si="4"/>
        <v>Tus Lentes estan LISTAS PARA ENTREGAR, te esperamos.</v>
      </c>
    </row>
    <row r="4825">
      <c r="A4825" s="1">
        <f>IFERROR(__xludf.DUMMYFUNCTION("""COMPUTED_VALUE"""),89388.0)</f>
        <v>89388</v>
      </c>
      <c r="B4825" s="5">
        <f>IFERROR(__xludf.DUMMYFUNCTION("""COMPUTED_VALUE"""),45021.4270352662)</f>
        <v>45021.42704</v>
      </c>
      <c r="C4825" s="1" t="str">
        <f>IFERROR(__xludf.DUMMYFUNCTION("""COMPUTED_VALUE"""),"FLORES JULIO CESAR")</f>
        <v>FLORES JULIO CESAR</v>
      </c>
      <c r="D4825" s="1" t="str">
        <f>IFERROR(__xludf.DUMMYFUNCTION("""COMPUTED_VALUE"""),"Lentes de STOCK")</f>
        <v>Lentes de STOCK</v>
      </c>
      <c r="E4825" s="1" t="str">
        <f>IFERROR(__xludf.DUMMYFUNCTION("""COMPUTED_VALUE"""),"ARTIGAS Ivana P.")</f>
        <v>ARTIGAS Ivana P.</v>
      </c>
      <c r="F4825" s="1" t="str">
        <f t="shared" si="1"/>
        <v>ARTIGAS </v>
      </c>
      <c r="G4825" s="1" t="str">
        <f t="shared" si="2"/>
        <v>Ivana P.</v>
      </c>
      <c r="H4825" s="1" t="str">
        <f>IFERROR(__xludf.DUMMYFUNCTION("""COMPUTED_VALUE"""),"13/4/2023, 17:00:00")</f>
        <v>13/4/2023, 17:00:00</v>
      </c>
      <c r="I4825" s="1" t="str">
        <f>IFERROR(__xludf.DUMMYFUNCTION("""COMPUTED_VALUE"""),"Completado en SUCURSAL")</f>
        <v>Completado en SUCURSAL</v>
      </c>
      <c r="J4825" s="1">
        <f t="shared" si="3"/>
        <v>5</v>
      </c>
      <c r="K4825" s="1" t="str">
        <f t="shared" si="4"/>
        <v>Tus Lentes estan LISTAS PARA ENTREGAR, te esperamos.</v>
      </c>
    </row>
    <row r="4826">
      <c r="A4826" s="1">
        <f>IFERROR(__xludf.DUMMYFUNCTION("""COMPUTED_VALUE"""),89389.0)</f>
        <v>89389</v>
      </c>
      <c r="B4826" s="5">
        <f>IFERROR(__xludf.DUMMYFUNCTION("""COMPUTED_VALUE"""),45021.43065601852)</f>
        <v>45021.43066</v>
      </c>
      <c r="C4826" s="1" t="str">
        <f>IFERROR(__xludf.DUMMYFUNCTION("""COMPUTED_VALUE"""),"JOFRE SONIA ")</f>
        <v>JOFRE SONIA </v>
      </c>
      <c r="D4826" s="1" t="str">
        <f>IFERROR(__xludf.DUMMYFUNCTION("""COMPUTED_VALUE"""),"Lentes de STOCK")</f>
        <v>Lentes de STOCK</v>
      </c>
      <c r="E4826" s="1" t="str">
        <f>IFERROR(__xludf.DUMMYFUNCTION("""COMPUTED_VALUE"""),"RIVADAVIA Christian C.")</f>
        <v>RIVADAVIA Christian C.</v>
      </c>
      <c r="F4826" s="1" t="str">
        <f t="shared" si="1"/>
        <v>RIVADAVIA </v>
      </c>
      <c r="G4826" s="1" t="str">
        <f t="shared" si="2"/>
        <v>Christian C.</v>
      </c>
      <c r="H4826" s="1" t="str">
        <f>IFERROR(__xludf.DUMMYFUNCTION("""COMPUTED_VALUE"""),"13/4/2023, 17:00:00")</f>
        <v>13/4/2023, 17:00:00</v>
      </c>
      <c r="I4826" s="1" t="str">
        <f>IFERROR(__xludf.DUMMYFUNCTION("""COMPUTED_VALUE"""),"Completado en SUCURSAL")</f>
        <v>Completado en SUCURSAL</v>
      </c>
      <c r="J4826" s="1">
        <f t="shared" si="3"/>
        <v>5</v>
      </c>
      <c r="K4826" s="1" t="str">
        <f t="shared" si="4"/>
        <v>Tus Lentes estan LISTAS PARA ENTREGAR, te esperamos.</v>
      </c>
    </row>
    <row r="4827">
      <c r="A4827" s="1">
        <f>IFERROR(__xludf.DUMMYFUNCTION("""COMPUTED_VALUE"""),89390.0)</f>
        <v>89390</v>
      </c>
      <c r="B4827" s="5">
        <f>IFERROR(__xludf.DUMMYFUNCTION("""COMPUTED_VALUE"""),45021.43312454861)</f>
        <v>45021.43312</v>
      </c>
      <c r="C4827" s="1" t="str">
        <f>IFERROR(__xludf.DUMMYFUNCTION("""COMPUTED_VALUE"""),"MUÑOZ JORGE ")</f>
        <v>MUÑOZ JORGE </v>
      </c>
      <c r="D4827" s="1" t="str">
        <f>IFERROR(__xludf.DUMMYFUNCTION("""COMPUTED_VALUE"""),"Lentes de STOCK")</f>
        <v>Lentes de STOCK</v>
      </c>
      <c r="E4827" s="1" t="str">
        <f>IFERROR(__xludf.DUMMYFUNCTION("""COMPUTED_VALUE"""),"RIVADAVIA Christian C.")</f>
        <v>RIVADAVIA Christian C.</v>
      </c>
      <c r="F4827" s="1" t="str">
        <f t="shared" si="1"/>
        <v>RIVADAVIA </v>
      </c>
      <c r="G4827" s="1" t="str">
        <f t="shared" si="2"/>
        <v>Christian C.</v>
      </c>
      <c r="H4827" s="1" t="str">
        <f>IFERROR(__xludf.DUMMYFUNCTION("""COMPUTED_VALUE"""),"13/4/2023, 17:00:00")</f>
        <v>13/4/2023, 17:00:00</v>
      </c>
      <c r="I4827" s="1" t="str">
        <f>IFERROR(__xludf.DUMMYFUNCTION("""COMPUTED_VALUE"""),"Completado en SUCURSAL")</f>
        <v>Completado en SUCURSAL</v>
      </c>
      <c r="J4827" s="1">
        <f t="shared" si="3"/>
        <v>5</v>
      </c>
      <c r="K4827" s="1" t="str">
        <f t="shared" si="4"/>
        <v>Tus Lentes estan LISTAS PARA ENTREGAR, te esperamos.</v>
      </c>
    </row>
    <row r="4828">
      <c r="A4828" s="1">
        <f>IFERROR(__xludf.DUMMYFUNCTION("""COMPUTED_VALUE"""),89391.0)</f>
        <v>89391</v>
      </c>
      <c r="B4828" s="5">
        <f>IFERROR(__xludf.DUMMYFUNCTION("""COMPUTED_VALUE"""),45021.43610951389)</f>
        <v>45021.43611</v>
      </c>
      <c r="C4828" s="1" t="str">
        <f>IFERROR(__xludf.DUMMYFUNCTION("""COMPUTED_VALUE"""),"GOMEZ ROSA")</f>
        <v>GOMEZ ROSA</v>
      </c>
      <c r="D4828" s="1" t="str">
        <f>IFERROR(__xludf.DUMMYFUNCTION("""COMPUTED_VALUE"""),"Lentes de STOCK")</f>
        <v>Lentes de STOCK</v>
      </c>
      <c r="E4828" s="1" t="str">
        <f>IFERROR(__xludf.DUMMYFUNCTION("""COMPUTED_VALUE"""),"ARTIGAS Ivana P.")</f>
        <v>ARTIGAS Ivana P.</v>
      </c>
      <c r="F4828" s="1" t="str">
        <f t="shared" si="1"/>
        <v>ARTIGAS </v>
      </c>
      <c r="G4828" s="1" t="str">
        <f t="shared" si="2"/>
        <v>Ivana P.</v>
      </c>
      <c r="H4828" s="1" t="str">
        <f>IFERROR(__xludf.DUMMYFUNCTION("""COMPUTED_VALUE"""),"13/4/2023, 17:00:00")</f>
        <v>13/4/2023, 17:00:00</v>
      </c>
      <c r="I4828" s="1" t="str">
        <f>IFERROR(__xludf.DUMMYFUNCTION("""COMPUTED_VALUE"""),"Completado en SUCURSAL")</f>
        <v>Completado en SUCURSAL</v>
      </c>
      <c r="J4828" s="1">
        <f t="shared" si="3"/>
        <v>5</v>
      </c>
      <c r="K4828" s="1" t="str">
        <f t="shared" si="4"/>
        <v>Tus Lentes estan LISTAS PARA ENTREGAR, te esperamos.</v>
      </c>
    </row>
    <row r="4829">
      <c r="A4829" s="1">
        <f>IFERROR(__xludf.DUMMYFUNCTION("""COMPUTED_VALUE"""),89392.0)</f>
        <v>89392</v>
      </c>
      <c r="B4829" s="5">
        <f>IFERROR(__xludf.DUMMYFUNCTION("""COMPUTED_VALUE"""),45021.43783734954)</f>
        <v>45021.43784</v>
      </c>
      <c r="C4829" s="1" t="str">
        <f>IFERROR(__xludf.DUMMYFUNCTION("""COMPUTED_VALUE"""),"SOSA HUGO ROBERTO")</f>
        <v>SOSA HUGO ROBERTO</v>
      </c>
      <c r="D4829" s="1" t="str">
        <f>IFERROR(__xludf.DUMMYFUNCTION("""COMPUTED_VALUE"""),"Lentes de STOCK")</f>
        <v>Lentes de STOCK</v>
      </c>
      <c r="E4829" s="1" t="str">
        <f>IFERROR(__xludf.DUMMYFUNCTION("""COMPUTED_VALUE"""),"RIVADAVIA Santiago LOPEZ")</f>
        <v>RIVADAVIA Santiago LOPEZ</v>
      </c>
      <c r="F4829" s="1" t="str">
        <f t="shared" si="1"/>
        <v>RIVADAVIA </v>
      </c>
      <c r="G4829" s="1" t="str">
        <f t="shared" si="2"/>
        <v>Santiago LOPEZ</v>
      </c>
      <c r="H4829" s="1" t="str">
        <f>IFERROR(__xludf.DUMMYFUNCTION("""COMPUTED_VALUE"""),"11/4/2023, 17:00:00")</f>
        <v>11/4/2023, 17:00:00</v>
      </c>
      <c r="I4829" s="1" t="str">
        <f>IFERROR(__xludf.DUMMYFUNCTION("""COMPUTED_VALUE"""),"Completado en SUCURSAL")</f>
        <v>Completado en SUCURSAL</v>
      </c>
      <c r="J4829" s="1">
        <f t="shared" si="3"/>
        <v>5</v>
      </c>
      <c r="K4829" s="1" t="str">
        <f t="shared" si="4"/>
        <v>Tus Lentes estan LISTAS PARA ENTREGAR, te esperamos.</v>
      </c>
    </row>
    <row r="4830">
      <c r="A4830" s="1">
        <f>IFERROR(__xludf.DUMMYFUNCTION("""COMPUTED_VALUE"""),89393.0)</f>
        <v>89393</v>
      </c>
      <c r="B4830" s="5">
        <f>IFERROR(__xludf.DUMMYFUNCTION("""COMPUTED_VALUE"""),45021.444314988425)</f>
        <v>45021.44431</v>
      </c>
      <c r="C4830" s="1" t="str">
        <f>IFERROR(__xludf.DUMMYFUNCTION("""COMPUTED_VALUE"""),"OCHOA MARIO BENJAMIN")</f>
        <v>OCHOA MARIO BENJAMIN</v>
      </c>
      <c r="D4830" s="1" t="str">
        <f>IFERROR(__xludf.DUMMYFUNCTION("""COMPUTED_VALUE"""),"Lentes BIFOCALES")</f>
        <v>Lentes BIFOCALES</v>
      </c>
      <c r="E4830" s="1" t="str">
        <f>IFERROR(__xludf.DUMMYFUNCTION("""COMPUTED_VALUE"""),"RIVADAVIA Javier")</f>
        <v>RIVADAVIA Javier</v>
      </c>
      <c r="F4830" s="1" t="str">
        <f t="shared" si="1"/>
        <v>RIVADAVIA </v>
      </c>
      <c r="G4830" s="1" t="str">
        <f t="shared" si="2"/>
        <v>Javier</v>
      </c>
      <c r="H4830" s="1" t="str">
        <f>IFERROR(__xludf.DUMMYFUNCTION("""COMPUTED_VALUE"""),"12/4/2023, 17:00:00")</f>
        <v>12/4/2023, 17:00:00</v>
      </c>
      <c r="I4830" s="1" t="str">
        <f>IFERROR(__xludf.DUMMYFUNCTION("""COMPUTED_VALUE"""),"Completado en SUCURSAL")</f>
        <v>Completado en SUCURSAL</v>
      </c>
      <c r="J4830" s="1">
        <f t="shared" si="3"/>
        <v>5</v>
      </c>
      <c r="K4830" s="1" t="str">
        <f t="shared" si="4"/>
        <v>Tus Lentes estan LISTAS PARA ENTREGAR, te esperamos.</v>
      </c>
    </row>
    <row r="4831">
      <c r="A4831" s="1">
        <f>IFERROR(__xludf.DUMMYFUNCTION("""COMPUTED_VALUE"""),89394.0)</f>
        <v>89394</v>
      </c>
      <c r="B4831" s="5">
        <f>IFERROR(__xludf.DUMMYFUNCTION("""COMPUTED_VALUE"""),45021.44942550926)</f>
        <v>45021.44943</v>
      </c>
      <c r="C4831" s="1" t="str">
        <f>IFERROR(__xludf.DUMMYFUNCTION("""COMPUTED_VALUE"""),"ELIZONDO FRANCO ")</f>
        <v>ELIZONDO FRANCO </v>
      </c>
      <c r="D4831" s="1" t="str">
        <f>IFERROR(__xludf.DUMMYFUNCTION("""COMPUTED_VALUE"""),"Lentes de STOCK")</f>
        <v>Lentes de STOCK</v>
      </c>
      <c r="E4831" s="1" t="str">
        <f>IFERROR(__xludf.DUMMYFUNCTION("""COMPUTED_VALUE"""),"RIVADAVIA Christian C.")</f>
        <v>RIVADAVIA Christian C.</v>
      </c>
      <c r="F4831" s="1" t="str">
        <f t="shared" si="1"/>
        <v>RIVADAVIA </v>
      </c>
      <c r="G4831" s="1" t="str">
        <f t="shared" si="2"/>
        <v>Christian C.</v>
      </c>
      <c r="H4831" s="1" t="str">
        <f>IFERROR(__xludf.DUMMYFUNCTION("""COMPUTED_VALUE"""),"12/4/2023, 17:00:00")</f>
        <v>12/4/2023, 17:00:00</v>
      </c>
      <c r="I4831" s="1" t="str">
        <f>IFERROR(__xludf.DUMMYFUNCTION("""COMPUTED_VALUE"""),"Completado en SUCURSAL")</f>
        <v>Completado en SUCURSAL</v>
      </c>
      <c r="J4831" s="1">
        <f t="shared" si="3"/>
        <v>5</v>
      </c>
      <c r="K4831" s="1" t="str">
        <f t="shared" si="4"/>
        <v>Tus Lentes estan LISTAS PARA ENTREGAR, te esperamos.</v>
      </c>
    </row>
    <row r="4832">
      <c r="A4832" s="1">
        <f>IFERROR(__xludf.DUMMYFUNCTION("""COMPUTED_VALUE"""),89395.0)</f>
        <v>89395</v>
      </c>
      <c r="B4832" s="5">
        <f>IFERROR(__xludf.DUMMYFUNCTION("""COMPUTED_VALUE"""),45021.45341552084)</f>
        <v>45021.45342</v>
      </c>
      <c r="C4832" s="1" t="str">
        <f>IFERROR(__xludf.DUMMYFUNCTION("""COMPUTED_VALUE"""),"FONSECA MARIO ERNESTO")</f>
        <v>FONSECA MARIO ERNESTO</v>
      </c>
      <c r="D4832" s="1" t="str">
        <f>IFERROR(__xludf.DUMMYFUNCTION("""COMPUTED_VALUE"""),"Lentes de STOCK")</f>
        <v>Lentes de STOCK</v>
      </c>
      <c r="E4832" s="1" t="str">
        <f>IFERROR(__xludf.DUMMYFUNCTION("""COMPUTED_VALUE"""),"RIVADAVIA Marcela L")</f>
        <v>RIVADAVIA Marcela L</v>
      </c>
      <c r="F4832" s="1" t="str">
        <f t="shared" si="1"/>
        <v>RIVADAVIA </v>
      </c>
      <c r="G4832" s="1" t="str">
        <f t="shared" si="2"/>
        <v>Marcela L</v>
      </c>
      <c r="H4832" s="1" t="str">
        <f>IFERROR(__xludf.DUMMYFUNCTION("""COMPUTED_VALUE"""),"11/4/2023, 17:00:00")</f>
        <v>11/4/2023, 17:00:00</v>
      </c>
      <c r="I4832" s="1" t="str">
        <f>IFERROR(__xludf.DUMMYFUNCTION("""COMPUTED_VALUE"""),"Completado en SUCURSAL")</f>
        <v>Completado en SUCURSAL</v>
      </c>
      <c r="J4832" s="1">
        <f t="shared" si="3"/>
        <v>5</v>
      </c>
      <c r="K4832" s="1" t="str">
        <f t="shared" si="4"/>
        <v>Tus Lentes estan LISTAS PARA ENTREGAR, te esperamos.</v>
      </c>
    </row>
    <row r="4833">
      <c r="A4833" s="1">
        <f>IFERROR(__xludf.DUMMYFUNCTION("""COMPUTED_VALUE"""),89396.0)</f>
        <v>89396</v>
      </c>
      <c r="B4833" s="5">
        <f>IFERROR(__xludf.DUMMYFUNCTION("""COMPUTED_VALUE"""),45021.4534828125)</f>
        <v>45021.45348</v>
      </c>
      <c r="C4833" s="1" t="str">
        <f>IFERROR(__xludf.DUMMYFUNCTION("""COMPUTED_VALUE"""),"PEREZ CELIA FAUSTINA")</f>
        <v>PEREZ CELIA FAUSTINA</v>
      </c>
      <c r="D4833" s="1" t="str">
        <f>IFERROR(__xludf.DUMMYFUNCTION("""COMPUTED_VALUE"""),"Lentes BIFOCALES")</f>
        <v>Lentes BIFOCALES</v>
      </c>
      <c r="E4833" s="1" t="str">
        <f>IFERROR(__xludf.DUMMYFUNCTION("""COMPUTED_VALUE"""),"Otro (LUCIANA ARTIGAS)")</f>
        <v>Otro (LUCIANA ARTIGAS)</v>
      </c>
      <c r="F4833" s="1" t="str">
        <f t="shared" si="1"/>
        <v>Otro </v>
      </c>
      <c r="G4833" s="1" t="str">
        <f t="shared" si="2"/>
        <v>(LUCIANA ARTIGAS)</v>
      </c>
      <c r="H4833" s="1" t="str">
        <f>IFERROR(__xludf.DUMMYFUNCTION("""COMPUTED_VALUE"""),"12/4/2023, 17:00:00")</f>
        <v>12/4/2023, 17:00:00</v>
      </c>
      <c r="I4833" s="1" t="str">
        <f>IFERROR(__xludf.DUMMYFUNCTION("""COMPUTED_VALUE"""),"Completado en SUCURSAL")</f>
        <v>Completado en SUCURSAL</v>
      </c>
      <c r="J4833" s="1">
        <f t="shared" si="3"/>
        <v>5</v>
      </c>
      <c r="K4833" s="1" t="str">
        <f t="shared" si="4"/>
        <v>Tus Lentes estan LISTAS PARA ENTREGAR, te esperamos.</v>
      </c>
    </row>
    <row r="4834">
      <c r="A4834" s="1">
        <f>IFERROR(__xludf.DUMMYFUNCTION("""COMPUTED_VALUE"""),89397.0)</f>
        <v>89397</v>
      </c>
      <c r="B4834" s="5">
        <f>IFERROR(__xludf.DUMMYFUNCTION("""COMPUTED_VALUE"""),45021.46171577546)</f>
        <v>45021.46172</v>
      </c>
      <c r="C4834" s="1" t="str">
        <f>IFERROR(__xludf.DUMMYFUNCTION("""COMPUTED_VALUE"""),"LUCERO EDUARDO")</f>
        <v>LUCERO EDUARDO</v>
      </c>
      <c r="D4834" s="1" t="str">
        <f>IFERROR(__xludf.DUMMYFUNCTION("""COMPUTED_VALUE"""),"Lentes de STOCK")</f>
        <v>Lentes de STOCK</v>
      </c>
      <c r="E4834" s="1" t="str">
        <f>IFERROR(__xludf.DUMMYFUNCTION("""COMPUTED_VALUE"""),"RIVADAVIA Christian C.")</f>
        <v>RIVADAVIA Christian C.</v>
      </c>
      <c r="F4834" s="1" t="str">
        <f t="shared" si="1"/>
        <v>RIVADAVIA </v>
      </c>
      <c r="G4834" s="1" t="str">
        <f t="shared" si="2"/>
        <v>Christian C.</v>
      </c>
      <c r="H4834" s="1" t="str">
        <f>IFERROR(__xludf.DUMMYFUNCTION("""COMPUTED_VALUE"""),"12/4/2023, 17:00:00")</f>
        <v>12/4/2023, 17:00:00</v>
      </c>
      <c r="I4834" s="1" t="str">
        <f>IFERROR(__xludf.DUMMYFUNCTION("""COMPUTED_VALUE"""),"Completado en SUCURSAL")</f>
        <v>Completado en SUCURSAL</v>
      </c>
      <c r="J4834" s="1">
        <f t="shared" si="3"/>
        <v>5</v>
      </c>
      <c r="K4834" s="1" t="str">
        <f t="shared" si="4"/>
        <v>Tus Lentes estan LISTAS PARA ENTREGAR, te esperamos.</v>
      </c>
    </row>
    <row r="4835">
      <c r="A4835" s="1">
        <f>IFERROR(__xludf.DUMMYFUNCTION("""COMPUTED_VALUE"""),89398.0)</f>
        <v>89398</v>
      </c>
      <c r="B4835" s="5">
        <f>IFERROR(__xludf.DUMMYFUNCTION("""COMPUTED_VALUE"""),45021.462641273145)</f>
        <v>45021.46264</v>
      </c>
      <c r="C4835" s="1" t="str">
        <f>IFERROR(__xludf.DUMMYFUNCTION("""COMPUTED_VALUE"""),"PONCE MARIA ESTHER ")</f>
        <v>PONCE MARIA ESTHER </v>
      </c>
      <c r="D4835" s="1" t="str">
        <f>IFERROR(__xludf.DUMMYFUNCTION("""COMPUTED_VALUE"""),"Reparaciones/Otros")</f>
        <v>Reparaciones/Otros</v>
      </c>
      <c r="E4835" s="1" t="str">
        <f>IFERROR(__xludf.DUMMYFUNCTION("""COMPUTED_VALUE"""),"RIVADAVIA Luciana")</f>
        <v>RIVADAVIA Luciana</v>
      </c>
      <c r="F4835" s="1" t="str">
        <f t="shared" si="1"/>
        <v>RIVADAVIA </v>
      </c>
      <c r="G4835" s="1" t="str">
        <f t="shared" si="2"/>
        <v>Luciana</v>
      </c>
      <c r="H4835" s="1" t="str">
        <f>IFERROR(__xludf.DUMMYFUNCTION("""COMPUTED_VALUE"""),"6/4/2023, 17:00:00")</f>
        <v>6/4/2023, 17:00:00</v>
      </c>
      <c r="I4835" s="1" t="str">
        <f>IFERROR(__xludf.DUMMYFUNCTION("""COMPUTED_VALUE"""),"Completado en SUCURSAL")</f>
        <v>Completado en SUCURSAL</v>
      </c>
      <c r="J4835" s="1">
        <f t="shared" si="3"/>
        <v>5</v>
      </c>
      <c r="K4835" s="1" t="str">
        <f t="shared" si="4"/>
        <v>Tus Lentes estan LISTAS PARA ENTREGAR, te esperamos.</v>
      </c>
    </row>
    <row r="4836">
      <c r="A4836" s="1">
        <f>IFERROR(__xludf.DUMMYFUNCTION("""COMPUTED_VALUE"""),89399.0)</f>
        <v>89399</v>
      </c>
      <c r="B4836" s="5">
        <f>IFERROR(__xludf.DUMMYFUNCTION("""COMPUTED_VALUE"""),45021.46302934027)</f>
        <v>45021.46303</v>
      </c>
      <c r="C4836" s="1" t="str">
        <f>IFERROR(__xludf.DUMMYFUNCTION("""COMPUTED_VALUE"""),"ORTIZ LIZIA")</f>
        <v>ORTIZ LIZIA</v>
      </c>
      <c r="D4836" s="1" t="str">
        <f>IFERROR(__xludf.DUMMYFUNCTION("""COMPUTED_VALUE"""),"Lentes de STOCK")</f>
        <v>Lentes de STOCK</v>
      </c>
      <c r="E4836" s="1" t="str">
        <f>IFERROR(__xludf.DUMMYFUNCTION("""COMPUTED_VALUE"""),"RIVADAVIA Santiago LOPEZ")</f>
        <v>RIVADAVIA Santiago LOPEZ</v>
      </c>
      <c r="F4836" s="1" t="str">
        <f t="shared" si="1"/>
        <v>RIVADAVIA </v>
      </c>
      <c r="G4836" s="1" t="str">
        <f t="shared" si="2"/>
        <v>Santiago LOPEZ</v>
      </c>
      <c r="H4836" s="1" t="str">
        <f>IFERROR(__xludf.DUMMYFUNCTION("""COMPUTED_VALUE"""),"10/4/2023, 17:00:00")</f>
        <v>10/4/2023, 17:00:00</v>
      </c>
      <c r="I4836" s="1" t="str">
        <f>IFERROR(__xludf.DUMMYFUNCTION("""COMPUTED_VALUE"""),"Completado en SUCURSAL")</f>
        <v>Completado en SUCURSAL</v>
      </c>
      <c r="J4836" s="1">
        <f t="shared" si="3"/>
        <v>5</v>
      </c>
      <c r="K4836" s="1" t="str">
        <f t="shared" si="4"/>
        <v>Tus Lentes estan LISTAS PARA ENTREGAR, te esperamos.</v>
      </c>
    </row>
    <row r="4837">
      <c r="A4837" s="1">
        <f>IFERROR(__xludf.DUMMYFUNCTION("""COMPUTED_VALUE"""),89400.0)</f>
        <v>89400</v>
      </c>
      <c r="B4837" s="5">
        <f>IFERROR(__xludf.DUMMYFUNCTION("""COMPUTED_VALUE"""),45021.46624688657)</f>
        <v>45021.46625</v>
      </c>
      <c r="C4837" s="1" t="str">
        <f>IFERROR(__xludf.DUMMYFUNCTION("""COMPUTED_VALUE"""),"MIRANDA MARIA MILAGROS")</f>
        <v>MIRANDA MARIA MILAGROS</v>
      </c>
      <c r="D4837" s="1" t="str">
        <f>IFERROR(__xludf.DUMMYFUNCTION("""COMPUTED_VALUE"""),"Lentes de STOCK")</f>
        <v>Lentes de STOCK</v>
      </c>
      <c r="E4837" s="1" t="str">
        <f>IFERROR(__xludf.DUMMYFUNCTION("""COMPUTED_VALUE"""),"RIVADAVIA Daniel CM")</f>
        <v>RIVADAVIA Daniel CM</v>
      </c>
      <c r="F4837" s="1" t="str">
        <f t="shared" si="1"/>
        <v>RIVADAVIA </v>
      </c>
      <c r="G4837" s="1" t="str">
        <f t="shared" si="2"/>
        <v>Daniel CM</v>
      </c>
      <c r="H4837" s="1" t="str">
        <f>IFERROR(__xludf.DUMMYFUNCTION("""COMPUTED_VALUE"""),"11/4/2023, 17:00:00")</f>
        <v>11/4/2023, 17:00:00</v>
      </c>
      <c r="I4837" s="1" t="str">
        <f>IFERROR(__xludf.DUMMYFUNCTION("""COMPUTED_VALUE"""),"Completado en SUCURSAL")</f>
        <v>Completado en SUCURSAL</v>
      </c>
      <c r="J4837" s="1">
        <f t="shared" si="3"/>
        <v>5</v>
      </c>
      <c r="K4837" s="1" t="str">
        <f t="shared" si="4"/>
        <v>Tus Lentes estan LISTAS PARA ENTREGAR, te esperamos.</v>
      </c>
    </row>
    <row r="4838">
      <c r="A4838" s="1">
        <f>IFERROR(__xludf.DUMMYFUNCTION("""COMPUTED_VALUE"""),89401.0)</f>
        <v>89401</v>
      </c>
      <c r="B4838" s="5">
        <f>IFERROR(__xludf.DUMMYFUNCTION("""COMPUTED_VALUE"""),45021.46656048611)</f>
        <v>45021.46656</v>
      </c>
      <c r="C4838" s="1" t="str">
        <f>IFERROR(__xludf.DUMMYFUNCTION("""COMPUTED_VALUE"""),"QUIROGA MARIA BELEN")</f>
        <v>QUIROGA MARIA BELEN</v>
      </c>
      <c r="D4838" s="1" t="str">
        <f>IFERROR(__xludf.DUMMYFUNCTION("""COMPUTED_VALUE"""),"Lentes de STOCK")</f>
        <v>Lentes de STOCK</v>
      </c>
      <c r="E4838" s="1" t="str">
        <f>IFERROR(__xludf.DUMMYFUNCTION("""COMPUTED_VALUE"""),"RIVADAVIA Javier")</f>
        <v>RIVADAVIA Javier</v>
      </c>
      <c r="F4838" s="1" t="str">
        <f t="shared" si="1"/>
        <v>RIVADAVIA </v>
      </c>
      <c r="G4838" s="1" t="str">
        <f t="shared" si="2"/>
        <v>Javier</v>
      </c>
      <c r="H4838" s="1" t="str">
        <f>IFERROR(__xludf.DUMMYFUNCTION("""COMPUTED_VALUE"""),"10/4/2023, 17:00:00")</f>
        <v>10/4/2023, 17:00:00</v>
      </c>
      <c r="I4838" s="1" t="str">
        <f>IFERROR(__xludf.DUMMYFUNCTION("""COMPUTED_VALUE"""),"Completado en SUCURSAL")</f>
        <v>Completado en SUCURSAL</v>
      </c>
      <c r="J4838" s="1">
        <f t="shared" si="3"/>
        <v>5</v>
      </c>
      <c r="K4838" s="1" t="str">
        <f t="shared" si="4"/>
        <v>Tus Lentes estan LISTAS PARA ENTREGAR, te esperamos.</v>
      </c>
    </row>
    <row r="4839" hidden="1">
      <c r="A4839" s="1">
        <f>IFERROR(__xludf.DUMMYFUNCTION("""COMPUTED_VALUE"""),89402.0)</f>
        <v>89402</v>
      </c>
      <c r="B4839" s="5">
        <f>IFERROR(__xludf.DUMMYFUNCTION("""COMPUTED_VALUE"""),45021.472588460645)</f>
        <v>45021.47259</v>
      </c>
      <c r="C4839" s="1" t="str">
        <f>IFERROR(__xludf.DUMMYFUNCTION("""COMPUTED_VALUE"""),"RUEDA PAULA")</f>
        <v>RUEDA PAULA</v>
      </c>
      <c r="D4839" s="1" t="str">
        <f>IFERROR(__xludf.DUMMYFUNCTION("""COMPUTED_VALUE"""),"Lentes MULTIFOCALES")</f>
        <v>Lentes MULTIFOCALES</v>
      </c>
      <c r="E4839" s="1" t="str">
        <f>IFERROR(__xludf.DUMMYFUNCTION("""COMPUTED_VALUE"""),"ARTIGAS Ivana P.")</f>
        <v>ARTIGAS Ivana P.</v>
      </c>
      <c r="F4839" s="1" t="str">
        <f t="shared" si="1"/>
        <v>ARTIGAS </v>
      </c>
      <c r="G4839" s="1" t="str">
        <f t="shared" si="2"/>
        <v>Ivana P.</v>
      </c>
      <c r="H4839" s="1" t="str">
        <f>IFERROR(__xludf.DUMMYFUNCTION("""COMPUTED_VALUE"""),"18/4/2023, 17:00:00")</f>
        <v>18/4/2023, 17:00:00</v>
      </c>
      <c r="I4839" s="1" t="str">
        <f>IFERROR(__xludf.DUMMYFUNCTION("""COMPUTED_VALUE"""),"DEMORADO")</f>
        <v>DEMORADO</v>
      </c>
      <c r="J4839" s="1" t="str">
        <f t="shared" si="3"/>
        <v/>
      </c>
      <c r="K4839" s="1" t="str">
        <f t="shared" si="4"/>
        <v>Tuvimos una demora con tus lentes y no podremos entregarlo en las fecha acordada, estamos trabajando para terminarlos cuanto antes, te mantendremos al tanto, si es necesario contactanos via whatsapp.</v>
      </c>
    </row>
    <row r="4840">
      <c r="A4840" s="1">
        <f>IFERROR(__xludf.DUMMYFUNCTION("""COMPUTED_VALUE"""),89403.0)</f>
        <v>89403</v>
      </c>
      <c r="B4840" s="5">
        <f>IFERROR(__xludf.DUMMYFUNCTION("""COMPUTED_VALUE"""),45021.47397388889)</f>
        <v>45021.47397</v>
      </c>
      <c r="C4840" s="1" t="str">
        <f>IFERROR(__xludf.DUMMYFUNCTION("""COMPUTED_VALUE"""),"TAMBURINI CARLOS")</f>
        <v>TAMBURINI CARLOS</v>
      </c>
      <c r="D4840" s="1" t="str">
        <f>IFERROR(__xludf.DUMMYFUNCTION("""COMPUTED_VALUE"""),"Reparaciones/Otros")</f>
        <v>Reparaciones/Otros</v>
      </c>
      <c r="E4840" s="1" t="str">
        <f>IFERROR(__xludf.DUMMYFUNCTION("""COMPUTED_VALUE"""),"RIVADAVIA Daniel CM")</f>
        <v>RIVADAVIA Daniel CM</v>
      </c>
      <c r="F4840" s="1" t="str">
        <f t="shared" si="1"/>
        <v>RIVADAVIA </v>
      </c>
      <c r="G4840" s="1" t="str">
        <f t="shared" si="2"/>
        <v>Daniel CM</v>
      </c>
      <c r="H4840" s="1" t="str">
        <f>IFERROR(__xludf.DUMMYFUNCTION("""COMPUTED_VALUE"""),"6/4/2023, 17:00:00")</f>
        <v>6/4/2023, 17:00:00</v>
      </c>
      <c r="I4840" s="1" t="str">
        <f>IFERROR(__xludf.DUMMYFUNCTION("""COMPUTED_VALUE"""),"Completado en SUCURSAL")</f>
        <v>Completado en SUCURSAL</v>
      </c>
      <c r="J4840" s="1">
        <f t="shared" si="3"/>
        <v>5</v>
      </c>
      <c r="K4840" s="1" t="str">
        <f t="shared" si="4"/>
        <v>Tus Lentes estan LISTAS PARA ENTREGAR, te esperamos.</v>
      </c>
    </row>
    <row r="4841">
      <c r="A4841" s="1">
        <f>IFERROR(__xludf.DUMMYFUNCTION("""COMPUTED_VALUE"""),89404.0)</f>
        <v>89404</v>
      </c>
      <c r="B4841" s="5">
        <f>IFERROR(__xludf.DUMMYFUNCTION("""COMPUTED_VALUE"""),45021.47806511574)</f>
        <v>45021.47807</v>
      </c>
      <c r="C4841" s="1" t="str">
        <f>IFERROR(__xludf.DUMMYFUNCTION("""COMPUTED_VALUE"""),"COCO VERONICA")</f>
        <v>COCO VERONICA</v>
      </c>
      <c r="D4841" s="1" t="str">
        <f>IFERROR(__xludf.DUMMYFUNCTION("""COMPUTED_VALUE"""),"Lentes de STOCK")</f>
        <v>Lentes de STOCK</v>
      </c>
      <c r="E4841" s="1" t="str">
        <f>IFERROR(__xludf.DUMMYFUNCTION("""COMPUTED_VALUE"""),"RIVADAVIA Santiago LOPEZ")</f>
        <v>RIVADAVIA Santiago LOPEZ</v>
      </c>
      <c r="F4841" s="1" t="str">
        <f t="shared" si="1"/>
        <v>RIVADAVIA </v>
      </c>
      <c r="G4841" s="1" t="str">
        <f t="shared" si="2"/>
        <v>Santiago LOPEZ</v>
      </c>
      <c r="H4841" s="1" t="str">
        <f>IFERROR(__xludf.DUMMYFUNCTION("""COMPUTED_VALUE"""),"10/4/2023, 17:00:00")</f>
        <v>10/4/2023, 17:00:00</v>
      </c>
      <c r="I4841" s="1" t="str">
        <f>IFERROR(__xludf.DUMMYFUNCTION("""COMPUTED_VALUE"""),"Completado en SUCURSAL")</f>
        <v>Completado en SUCURSAL</v>
      </c>
      <c r="J4841" s="1">
        <f t="shared" si="3"/>
        <v>5</v>
      </c>
      <c r="K4841" s="1" t="str">
        <f t="shared" si="4"/>
        <v>Tus Lentes estan LISTAS PARA ENTREGAR, te esperamos.</v>
      </c>
    </row>
    <row r="4842">
      <c r="A4842" s="1">
        <f>IFERROR(__xludf.DUMMYFUNCTION("""COMPUTED_VALUE"""),89405.0)</f>
        <v>89405</v>
      </c>
      <c r="B4842" s="5">
        <f>IFERROR(__xludf.DUMMYFUNCTION("""COMPUTED_VALUE"""),45021.479141041666)</f>
        <v>45021.47914</v>
      </c>
      <c r="C4842" s="1" t="str">
        <f>IFERROR(__xludf.DUMMYFUNCTION("""COMPUTED_VALUE"""),"FERNANDEZ CRISTINA")</f>
        <v>FERNANDEZ CRISTINA</v>
      </c>
      <c r="D4842" s="1" t="str">
        <f>IFERROR(__xludf.DUMMYFUNCTION("""COMPUTED_VALUE"""),"Lentes de STOCK")</f>
        <v>Lentes de STOCK</v>
      </c>
      <c r="E4842" s="1" t="str">
        <f>IFERROR(__xludf.DUMMYFUNCTION("""COMPUTED_VALUE"""),"RIVADAVIA Javier")</f>
        <v>RIVADAVIA Javier</v>
      </c>
      <c r="F4842" s="1" t="str">
        <f t="shared" si="1"/>
        <v>RIVADAVIA </v>
      </c>
      <c r="G4842" s="1" t="str">
        <f t="shared" si="2"/>
        <v>Javier</v>
      </c>
      <c r="H4842" s="1" t="str">
        <f>IFERROR(__xludf.DUMMYFUNCTION("""COMPUTED_VALUE"""),"12/4/2023, 17:00:00")</f>
        <v>12/4/2023, 17:00:00</v>
      </c>
      <c r="I4842" s="1" t="str">
        <f>IFERROR(__xludf.DUMMYFUNCTION("""COMPUTED_VALUE"""),"Completado en SUCURSAL")</f>
        <v>Completado en SUCURSAL</v>
      </c>
      <c r="J4842" s="1">
        <f t="shared" si="3"/>
        <v>5</v>
      </c>
      <c r="K4842" s="1" t="str">
        <f t="shared" si="4"/>
        <v>Tus Lentes estan LISTAS PARA ENTREGAR, te esperamos.</v>
      </c>
    </row>
    <row r="4843">
      <c r="A4843" s="1">
        <f>IFERROR(__xludf.DUMMYFUNCTION("""COMPUTED_VALUE"""),89406.0)</f>
        <v>89406</v>
      </c>
      <c r="B4843" s="5">
        <f>IFERROR(__xludf.DUMMYFUNCTION("""COMPUTED_VALUE"""),45021.48004461806)</f>
        <v>45021.48004</v>
      </c>
      <c r="C4843" s="1" t="str">
        <f>IFERROR(__xludf.DUMMYFUNCTION("""COMPUTED_VALUE"""),"COSTA MIRTA ISABEL")</f>
        <v>COSTA MIRTA ISABEL</v>
      </c>
      <c r="D4843" s="1" t="str">
        <f>IFERROR(__xludf.DUMMYFUNCTION("""COMPUTED_VALUE"""),"Lentes de STOCK")</f>
        <v>Lentes de STOCK</v>
      </c>
      <c r="E4843" s="1" t="str">
        <f>IFERROR(__xludf.DUMMYFUNCTION("""COMPUTED_VALUE"""),"RIVADAVIA Luciana")</f>
        <v>RIVADAVIA Luciana</v>
      </c>
      <c r="F4843" s="1" t="str">
        <f t="shared" si="1"/>
        <v>RIVADAVIA </v>
      </c>
      <c r="G4843" s="1" t="str">
        <f t="shared" si="2"/>
        <v>Luciana</v>
      </c>
      <c r="H4843" s="1" t="str">
        <f>IFERROR(__xludf.DUMMYFUNCTION("""COMPUTED_VALUE"""),"10/4/2023, 17:00:00")</f>
        <v>10/4/2023, 17:00:00</v>
      </c>
      <c r="I4843" s="1" t="str">
        <f>IFERROR(__xludf.DUMMYFUNCTION("""COMPUTED_VALUE"""),"Completado en SUCURSAL")</f>
        <v>Completado en SUCURSAL</v>
      </c>
      <c r="J4843" s="1">
        <f t="shared" si="3"/>
        <v>5</v>
      </c>
      <c r="K4843" s="1" t="str">
        <f t="shared" si="4"/>
        <v>Tus Lentes estan LISTAS PARA ENTREGAR, te esperamos.</v>
      </c>
    </row>
    <row r="4844">
      <c r="A4844" s="1">
        <f>IFERROR(__xludf.DUMMYFUNCTION("""COMPUTED_VALUE"""),89407.0)</f>
        <v>89407</v>
      </c>
      <c r="B4844" s="5">
        <f>IFERROR(__xludf.DUMMYFUNCTION("""COMPUTED_VALUE"""),45021.49137841435)</f>
        <v>45021.49138</v>
      </c>
      <c r="C4844" s="1" t="str">
        <f>IFERROR(__xludf.DUMMYFUNCTION("""COMPUTED_VALUE"""),"molina sofia makarena")</f>
        <v>molina sofia makarena</v>
      </c>
      <c r="D4844" s="1" t="str">
        <f>IFERROR(__xludf.DUMMYFUNCTION("""COMPUTED_VALUE"""),"Lentes de LABORATORIO")</f>
        <v>Lentes de LABORATORIO</v>
      </c>
      <c r="E4844" s="1" t="str">
        <f>IFERROR(__xludf.DUMMYFUNCTION("""COMPUTED_VALUE"""),"RIVADAVIA Daniel CM")</f>
        <v>RIVADAVIA Daniel CM</v>
      </c>
      <c r="F4844" s="1" t="str">
        <f t="shared" si="1"/>
        <v>RIVADAVIA </v>
      </c>
      <c r="G4844" s="1" t="str">
        <f t="shared" si="2"/>
        <v>Daniel CM</v>
      </c>
      <c r="H4844" s="1" t="str">
        <f>IFERROR(__xludf.DUMMYFUNCTION("""COMPUTED_VALUE"""),"13/4/2023, 17:00:00")</f>
        <v>13/4/2023, 17:00:00</v>
      </c>
      <c r="I4844" s="1" t="str">
        <f>IFERROR(__xludf.DUMMYFUNCTION("""COMPUTED_VALUE"""),"Recibido en Laboratorio")</f>
        <v>Recibido en Laboratorio</v>
      </c>
      <c r="J4844" s="1">
        <f t="shared" si="3"/>
        <v>2</v>
      </c>
      <c r="K4844" s="1" t="str">
        <f t="shared" si="4"/>
        <v>Nuestro Laboratorio esta trabajando en tus lentes, los entregaremos en la fecha acordada.</v>
      </c>
    </row>
    <row r="4845">
      <c r="A4845" s="1">
        <f>IFERROR(__xludf.DUMMYFUNCTION("""COMPUTED_VALUE"""),89408.0)</f>
        <v>89408</v>
      </c>
      <c r="B4845" s="5">
        <f>IFERROR(__xludf.DUMMYFUNCTION("""COMPUTED_VALUE"""),45021.49381144676)</f>
        <v>45021.49381</v>
      </c>
      <c r="C4845" s="1" t="str">
        <f>IFERROR(__xludf.DUMMYFUNCTION("""COMPUTED_VALUE"""),"FERRERAS RIBES PABLO VALENTINO")</f>
        <v>FERRERAS RIBES PABLO VALENTINO</v>
      </c>
      <c r="D4845" s="1" t="str">
        <f>IFERROR(__xludf.DUMMYFUNCTION("""COMPUTED_VALUE"""),"Lentes de STOCK")</f>
        <v>Lentes de STOCK</v>
      </c>
      <c r="E4845" s="1" t="str">
        <f>IFERROR(__xludf.DUMMYFUNCTION("""COMPUTED_VALUE"""),"RIVADAVIA Marcela L")</f>
        <v>RIVADAVIA Marcela L</v>
      </c>
      <c r="F4845" s="1" t="str">
        <f t="shared" si="1"/>
        <v>RIVADAVIA </v>
      </c>
      <c r="G4845" s="1" t="str">
        <f t="shared" si="2"/>
        <v>Marcela L</v>
      </c>
      <c r="H4845" s="1" t="str">
        <f>IFERROR(__xludf.DUMMYFUNCTION("""COMPUTED_VALUE"""),"11/4/2023, 17:00:00")</f>
        <v>11/4/2023, 17:00:00</v>
      </c>
      <c r="I4845" s="1" t="str">
        <f>IFERROR(__xludf.DUMMYFUNCTION("""COMPUTED_VALUE"""),"Completado en SUCURSAL")</f>
        <v>Completado en SUCURSAL</v>
      </c>
      <c r="J4845" s="1">
        <f t="shared" si="3"/>
        <v>5</v>
      </c>
      <c r="K4845" s="1" t="str">
        <f t="shared" si="4"/>
        <v>Tus Lentes estan LISTAS PARA ENTREGAR, te esperamos.</v>
      </c>
    </row>
    <row r="4846">
      <c r="A4846" s="1">
        <f>IFERROR(__xludf.DUMMYFUNCTION("""COMPUTED_VALUE"""),89409.0)</f>
        <v>89409</v>
      </c>
      <c r="B4846" s="5">
        <f>IFERROR(__xludf.DUMMYFUNCTION("""COMPUTED_VALUE"""),45021.49445342593)</f>
        <v>45021.49445</v>
      </c>
      <c r="C4846" s="1" t="str">
        <f>IFERROR(__xludf.DUMMYFUNCTION("""COMPUTED_VALUE"""),"MAURO NATALIA")</f>
        <v>MAURO NATALIA</v>
      </c>
      <c r="D4846" s="1" t="str">
        <f>IFERROR(__xludf.DUMMYFUNCTION("""COMPUTED_VALUE"""),"Lentes de STOCK")</f>
        <v>Lentes de STOCK</v>
      </c>
      <c r="E4846" s="1" t="str">
        <f>IFERROR(__xludf.DUMMYFUNCTION("""COMPUTED_VALUE"""),"ARTIGAS Ivana P.")</f>
        <v>ARTIGAS Ivana P.</v>
      </c>
      <c r="F4846" s="1" t="str">
        <f t="shared" si="1"/>
        <v>ARTIGAS </v>
      </c>
      <c r="G4846" s="1" t="str">
        <f t="shared" si="2"/>
        <v>Ivana P.</v>
      </c>
      <c r="H4846" s="1" t="str">
        <f>IFERROR(__xludf.DUMMYFUNCTION("""COMPUTED_VALUE"""),"13/4/2023, 17:00:00")</f>
        <v>13/4/2023, 17:00:00</v>
      </c>
      <c r="I4846" s="1" t="str">
        <f>IFERROR(__xludf.DUMMYFUNCTION("""COMPUTED_VALUE"""),"Completado en SUCURSAL")</f>
        <v>Completado en SUCURSAL</v>
      </c>
      <c r="J4846" s="1">
        <f t="shared" si="3"/>
        <v>5</v>
      </c>
      <c r="K4846" s="1" t="str">
        <f t="shared" si="4"/>
        <v>Tus Lentes estan LISTAS PARA ENTREGAR, te esperamos.</v>
      </c>
    </row>
    <row r="4847">
      <c r="A4847" s="1">
        <f>IFERROR(__xludf.DUMMYFUNCTION("""COMPUTED_VALUE"""),89410.0)</f>
        <v>89410</v>
      </c>
      <c r="B4847" s="5">
        <f>IFERROR(__xludf.DUMMYFUNCTION("""COMPUTED_VALUE"""),45021.4979596412)</f>
        <v>45021.49796</v>
      </c>
      <c r="C4847" s="1" t="str">
        <f>IFERROR(__xludf.DUMMYFUNCTION("""COMPUTED_VALUE"""),"MAGALLANES ELVIRA MAGDALENA")</f>
        <v>MAGALLANES ELVIRA MAGDALENA</v>
      </c>
      <c r="D4847" s="1" t="str">
        <f>IFERROR(__xludf.DUMMYFUNCTION("""COMPUTED_VALUE"""),"Lentes de STOCK")</f>
        <v>Lentes de STOCK</v>
      </c>
      <c r="E4847" s="1" t="str">
        <f>IFERROR(__xludf.DUMMYFUNCTION("""COMPUTED_VALUE"""),"RIVADAVIA Luciana")</f>
        <v>RIVADAVIA Luciana</v>
      </c>
      <c r="F4847" s="1" t="str">
        <f t="shared" si="1"/>
        <v>RIVADAVIA </v>
      </c>
      <c r="G4847" s="1" t="str">
        <f t="shared" si="2"/>
        <v>Luciana</v>
      </c>
      <c r="H4847" s="1" t="str">
        <f>IFERROR(__xludf.DUMMYFUNCTION("""COMPUTED_VALUE"""),"13/4/2023, 17:00:00")</f>
        <v>13/4/2023, 17:00:00</v>
      </c>
      <c r="I4847" s="1" t="str">
        <f>IFERROR(__xludf.DUMMYFUNCTION("""COMPUTED_VALUE"""),"Completado en SUCURSAL")</f>
        <v>Completado en SUCURSAL</v>
      </c>
      <c r="J4847" s="1">
        <f t="shared" si="3"/>
        <v>5</v>
      </c>
      <c r="K4847" s="1" t="str">
        <f t="shared" si="4"/>
        <v>Tus Lentes estan LISTAS PARA ENTREGAR, te esperamos.</v>
      </c>
    </row>
    <row r="4848">
      <c r="A4848" s="1">
        <f>IFERROR(__xludf.DUMMYFUNCTION("""COMPUTED_VALUE"""),89411.0)</f>
        <v>89411</v>
      </c>
      <c r="B4848" s="5">
        <f>IFERROR(__xludf.DUMMYFUNCTION("""COMPUTED_VALUE"""),45021.50449440972)</f>
        <v>45021.50449</v>
      </c>
      <c r="C4848" s="1" t="str">
        <f>IFERROR(__xludf.DUMMYFUNCTION("""COMPUTED_VALUE"""),"BECERRA ROSA")</f>
        <v>BECERRA ROSA</v>
      </c>
      <c r="D4848" s="1" t="str">
        <f>IFERROR(__xludf.DUMMYFUNCTION("""COMPUTED_VALUE"""),"Lentes de STOCK")</f>
        <v>Lentes de STOCK</v>
      </c>
      <c r="E4848" s="1" t="str">
        <f>IFERROR(__xludf.DUMMYFUNCTION("""COMPUTED_VALUE"""),"ARTIGAS Ivana P.")</f>
        <v>ARTIGAS Ivana P.</v>
      </c>
      <c r="F4848" s="1" t="str">
        <f t="shared" si="1"/>
        <v>ARTIGAS </v>
      </c>
      <c r="G4848" s="1" t="str">
        <f t="shared" si="2"/>
        <v>Ivana P.</v>
      </c>
      <c r="H4848" s="1" t="str">
        <f>IFERROR(__xludf.DUMMYFUNCTION("""COMPUTED_VALUE"""),"10/4/2023, 17:00:00")</f>
        <v>10/4/2023, 17:00:00</v>
      </c>
      <c r="I4848" s="1" t="str">
        <f>IFERROR(__xludf.DUMMYFUNCTION("""COMPUTED_VALUE"""),"Completado en SUCURSAL")</f>
        <v>Completado en SUCURSAL</v>
      </c>
      <c r="J4848" s="1">
        <f t="shared" si="3"/>
        <v>5</v>
      </c>
      <c r="K4848" s="1" t="str">
        <f t="shared" si="4"/>
        <v>Tus Lentes estan LISTAS PARA ENTREGAR, te esperamos.</v>
      </c>
    </row>
    <row r="4849">
      <c r="A4849" s="1">
        <f>IFERROR(__xludf.DUMMYFUNCTION("""COMPUTED_VALUE"""),89412.0)</f>
        <v>89412</v>
      </c>
      <c r="B4849" s="5">
        <f>IFERROR(__xludf.DUMMYFUNCTION("""COMPUTED_VALUE"""),45021.50770447917)</f>
        <v>45021.5077</v>
      </c>
      <c r="C4849" s="1" t="str">
        <f>IFERROR(__xludf.DUMMYFUNCTION("""COMPUTED_VALUE"""),"LOPEZ JORGE RICARDO")</f>
        <v>LOPEZ JORGE RICARDO</v>
      </c>
      <c r="D4849" s="1" t="str">
        <f>IFERROR(__xludf.DUMMYFUNCTION("""COMPUTED_VALUE"""),"Lentes de STOCK")</f>
        <v>Lentes de STOCK</v>
      </c>
      <c r="E4849" s="1" t="str">
        <f>IFERROR(__xludf.DUMMYFUNCTION("""COMPUTED_VALUE"""),"RIVADAVIA Javier")</f>
        <v>RIVADAVIA Javier</v>
      </c>
      <c r="F4849" s="1" t="str">
        <f t="shared" si="1"/>
        <v>RIVADAVIA </v>
      </c>
      <c r="G4849" s="1" t="str">
        <f t="shared" si="2"/>
        <v>Javier</v>
      </c>
      <c r="H4849" s="1" t="str">
        <f>IFERROR(__xludf.DUMMYFUNCTION("""COMPUTED_VALUE"""),"12/4/2023, 17:00:00")</f>
        <v>12/4/2023, 17:00:00</v>
      </c>
      <c r="I4849" s="1" t="str">
        <f>IFERROR(__xludf.DUMMYFUNCTION("""COMPUTED_VALUE"""),"Completado en SUCURSAL")</f>
        <v>Completado en SUCURSAL</v>
      </c>
      <c r="J4849" s="1">
        <f t="shared" si="3"/>
        <v>5</v>
      </c>
      <c r="K4849" s="1" t="str">
        <f t="shared" si="4"/>
        <v>Tus Lentes estan LISTAS PARA ENTREGAR, te esperamos.</v>
      </c>
    </row>
    <row r="4850">
      <c r="A4850" s="1">
        <f>IFERROR(__xludf.DUMMYFUNCTION("""COMPUTED_VALUE"""),89413.0)</f>
        <v>89413</v>
      </c>
      <c r="B4850" s="5">
        <f>IFERROR(__xludf.DUMMYFUNCTION("""COMPUTED_VALUE"""),45021.51395490741)</f>
        <v>45021.51395</v>
      </c>
      <c r="C4850" s="1" t="str">
        <f>IFERROR(__xludf.DUMMYFUNCTION("""COMPUTED_VALUE"""),"SALINAS WILSON YAEL")</f>
        <v>SALINAS WILSON YAEL</v>
      </c>
      <c r="D4850" s="1" t="str">
        <f>IFERROR(__xludf.DUMMYFUNCTION("""COMPUTED_VALUE"""),"Lentes de STOCK")</f>
        <v>Lentes de STOCK</v>
      </c>
      <c r="E4850" s="1" t="str">
        <f>IFERROR(__xludf.DUMMYFUNCTION("""COMPUTED_VALUE"""),"RIVADAVIA Christian C.")</f>
        <v>RIVADAVIA Christian C.</v>
      </c>
      <c r="F4850" s="1" t="str">
        <f t="shared" si="1"/>
        <v>RIVADAVIA </v>
      </c>
      <c r="G4850" s="1" t="str">
        <f t="shared" si="2"/>
        <v>Christian C.</v>
      </c>
      <c r="H4850" s="1" t="str">
        <f>IFERROR(__xludf.DUMMYFUNCTION("""COMPUTED_VALUE"""),"13/4/2023, 17:00:00")</f>
        <v>13/4/2023, 17:00:00</v>
      </c>
      <c r="I4850" s="1" t="str">
        <f>IFERROR(__xludf.DUMMYFUNCTION("""COMPUTED_VALUE"""),"Completado en SUCURSAL")</f>
        <v>Completado en SUCURSAL</v>
      </c>
      <c r="J4850" s="1">
        <f t="shared" si="3"/>
        <v>5</v>
      </c>
      <c r="K4850" s="1" t="str">
        <f t="shared" si="4"/>
        <v>Tus Lentes estan LISTAS PARA ENTREGAR, te esperamos.</v>
      </c>
    </row>
    <row r="4851">
      <c r="A4851" s="1">
        <f>IFERROR(__xludf.DUMMYFUNCTION("""COMPUTED_VALUE"""),89414.0)</f>
        <v>89414</v>
      </c>
      <c r="B4851" s="5">
        <f>IFERROR(__xludf.DUMMYFUNCTION("""COMPUTED_VALUE"""),45021.5189781713)</f>
        <v>45021.51898</v>
      </c>
      <c r="C4851" s="1" t="str">
        <f>IFERROR(__xludf.DUMMYFUNCTION("""COMPUTED_VALUE"""),"ESTUGO RAUL")</f>
        <v>ESTUGO RAUL</v>
      </c>
      <c r="D4851" s="1" t="str">
        <f>IFERROR(__xludf.DUMMYFUNCTION("""COMPUTED_VALUE"""),"Reparaciones/Otros")</f>
        <v>Reparaciones/Otros</v>
      </c>
      <c r="E4851" s="1" t="str">
        <f>IFERROR(__xludf.DUMMYFUNCTION("""COMPUTED_VALUE"""),"RIVADAVIA Luciana")</f>
        <v>RIVADAVIA Luciana</v>
      </c>
      <c r="F4851" s="1" t="str">
        <f t="shared" si="1"/>
        <v>RIVADAVIA </v>
      </c>
      <c r="G4851" s="1" t="str">
        <f t="shared" si="2"/>
        <v>Luciana</v>
      </c>
      <c r="H4851" s="1" t="str">
        <f>IFERROR(__xludf.DUMMYFUNCTION("""COMPUTED_VALUE"""),"6/4/2023, 17:00:00")</f>
        <v>6/4/2023, 17:00:00</v>
      </c>
      <c r="I4851" s="1" t="str">
        <f>IFERROR(__xludf.DUMMYFUNCTION("""COMPUTED_VALUE"""),"Recibido en Laboratorio")</f>
        <v>Recibido en Laboratorio</v>
      </c>
      <c r="J4851" s="1">
        <f t="shared" si="3"/>
        <v>2</v>
      </c>
      <c r="K4851" s="1" t="str">
        <f t="shared" si="4"/>
        <v>Nuestro Laboratorio esta trabajando en tus lentes, los entregaremos en la fecha acordada.</v>
      </c>
    </row>
    <row r="4852">
      <c r="A4852" s="1">
        <f>IFERROR(__xludf.DUMMYFUNCTION("""COMPUTED_VALUE"""),89415.0)</f>
        <v>89415</v>
      </c>
      <c r="B4852" s="5">
        <f>IFERROR(__xludf.DUMMYFUNCTION("""COMPUTED_VALUE"""),45021.52332197917)</f>
        <v>45021.52332</v>
      </c>
      <c r="C4852" s="1" t="str">
        <f>IFERROR(__xludf.DUMMYFUNCTION("""COMPUTED_VALUE"""),"ORTEGA INES DEL CARMEN")</f>
        <v>ORTEGA INES DEL CARMEN</v>
      </c>
      <c r="D4852" s="1" t="str">
        <f>IFERROR(__xludf.DUMMYFUNCTION("""COMPUTED_VALUE"""),"Lentes de STOCK")</f>
        <v>Lentes de STOCK</v>
      </c>
      <c r="E4852" s="1" t="str">
        <f>IFERROR(__xludf.DUMMYFUNCTION("""COMPUTED_VALUE"""),"RIVADAVIA Christian C.")</f>
        <v>RIVADAVIA Christian C.</v>
      </c>
      <c r="F4852" s="1" t="str">
        <f t="shared" si="1"/>
        <v>RIVADAVIA </v>
      </c>
      <c r="G4852" s="1" t="str">
        <f t="shared" si="2"/>
        <v>Christian C.</v>
      </c>
      <c r="H4852" s="1" t="str">
        <f>IFERROR(__xludf.DUMMYFUNCTION("""COMPUTED_VALUE"""),"13/4/2023, 17:00:00")</f>
        <v>13/4/2023, 17:00:00</v>
      </c>
      <c r="I4852" s="1" t="str">
        <f>IFERROR(__xludf.DUMMYFUNCTION("""COMPUTED_VALUE"""),"Completado en SUCURSAL")</f>
        <v>Completado en SUCURSAL</v>
      </c>
      <c r="J4852" s="1">
        <f t="shared" si="3"/>
        <v>5</v>
      </c>
      <c r="K4852" s="1" t="str">
        <f t="shared" si="4"/>
        <v>Tus Lentes estan LISTAS PARA ENTREGAR, te esperamos.</v>
      </c>
    </row>
    <row r="4853">
      <c r="A4853" s="1">
        <f>IFERROR(__xludf.DUMMYFUNCTION("""COMPUTED_VALUE"""),89416.0)</f>
        <v>89416</v>
      </c>
      <c r="B4853" s="5">
        <f>IFERROR(__xludf.DUMMYFUNCTION("""COMPUTED_VALUE"""),45021.52406289351)</f>
        <v>45021.52406</v>
      </c>
      <c r="C4853" s="1" t="str">
        <f>IFERROR(__xludf.DUMMYFUNCTION("""COMPUTED_VALUE"""),"pedernera silvia")</f>
        <v>pedernera silvia</v>
      </c>
      <c r="D4853" s="1" t="str">
        <f>IFERROR(__xludf.DUMMYFUNCTION("""COMPUTED_VALUE"""),"Lentes de STOCK")</f>
        <v>Lentes de STOCK</v>
      </c>
      <c r="E4853" s="1" t="str">
        <f>IFERROR(__xludf.DUMMYFUNCTION("""COMPUTED_VALUE"""),"RIVADAVIA Daniel CM")</f>
        <v>RIVADAVIA Daniel CM</v>
      </c>
      <c r="F4853" s="1" t="str">
        <f t="shared" si="1"/>
        <v>RIVADAVIA </v>
      </c>
      <c r="G4853" s="1" t="str">
        <f t="shared" si="2"/>
        <v>Daniel CM</v>
      </c>
      <c r="H4853" s="1" t="str">
        <f>IFERROR(__xludf.DUMMYFUNCTION("""COMPUTED_VALUE"""),"10/4/2023, 17:00:00")</f>
        <v>10/4/2023, 17:00:00</v>
      </c>
      <c r="I4853" s="1" t="str">
        <f>IFERROR(__xludf.DUMMYFUNCTION("""COMPUTED_VALUE"""),"Completado en SUCURSAL")</f>
        <v>Completado en SUCURSAL</v>
      </c>
      <c r="J4853" s="1">
        <f t="shared" si="3"/>
        <v>5</v>
      </c>
      <c r="K4853" s="1" t="str">
        <f t="shared" si="4"/>
        <v>Tus Lentes estan LISTAS PARA ENTREGAR, te esperamos.</v>
      </c>
    </row>
    <row r="4854">
      <c r="A4854" s="1">
        <f>IFERROR(__xludf.DUMMYFUNCTION("""COMPUTED_VALUE"""),89417.0)</f>
        <v>89417</v>
      </c>
      <c r="B4854" s="5">
        <f>IFERROR(__xludf.DUMMYFUNCTION("""COMPUTED_VALUE"""),45021.52968082176)</f>
        <v>45021.52968</v>
      </c>
      <c r="C4854" s="1" t="str">
        <f>IFERROR(__xludf.DUMMYFUNCTION("""COMPUTED_VALUE"""),"PEDERNERA ELSA NOEMI")</f>
        <v>PEDERNERA ELSA NOEMI</v>
      </c>
      <c r="D4854" s="1" t="str">
        <f>IFERROR(__xludf.DUMMYFUNCTION("""COMPUTED_VALUE"""),"Lentes BIFOCALES")</f>
        <v>Lentes BIFOCALES</v>
      </c>
      <c r="E4854" s="1" t="str">
        <f>IFERROR(__xludf.DUMMYFUNCTION("""COMPUTED_VALUE"""),"RIVADAVIA Marcela L")</f>
        <v>RIVADAVIA Marcela L</v>
      </c>
      <c r="F4854" s="1" t="str">
        <f t="shared" si="1"/>
        <v>RIVADAVIA </v>
      </c>
      <c r="G4854" s="1" t="str">
        <f t="shared" si="2"/>
        <v>Marcela L</v>
      </c>
      <c r="H4854" s="1" t="str">
        <f>IFERROR(__xludf.DUMMYFUNCTION("""COMPUTED_VALUE"""),"12/4/2023, 17:00:00")</f>
        <v>12/4/2023, 17:00:00</v>
      </c>
      <c r="I4854" s="1" t="str">
        <f>IFERROR(__xludf.DUMMYFUNCTION("""COMPUTED_VALUE"""),"Completado en SUCURSAL")</f>
        <v>Completado en SUCURSAL</v>
      </c>
      <c r="J4854" s="1">
        <f t="shared" si="3"/>
        <v>5</v>
      </c>
      <c r="K4854" s="1" t="str">
        <f t="shared" si="4"/>
        <v>Tus Lentes estan LISTAS PARA ENTREGAR, te esperamos.</v>
      </c>
    </row>
    <row r="4855">
      <c r="A4855" s="1">
        <f>IFERROR(__xludf.DUMMYFUNCTION("""COMPUTED_VALUE"""),89418.0)</f>
        <v>89418</v>
      </c>
      <c r="B4855" s="5">
        <f>IFERROR(__xludf.DUMMYFUNCTION("""COMPUTED_VALUE"""),45021.530189247685)</f>
        <v>45021.53019</v>
      </c>
      <c r="C4855" s="1" t="str">
        <f>IFERROR(__xludf.DUMMYFUNCTION("""COMPUTED_VALUE"""),"INFANTE ALBERTO")</f>
        <v>INFANTE ALBERTO</v>
      </c>
      <c r="D4855" s="1" t="str">
        <f>IFERROR(__xludf.DUMMYFUNCTION("""COMPUTED_VALUE"""),"Lentes de STOCK")</f>
        <v>Lentes de STOCK</v>
      </c>
      <c r="E4855" s="1" t="str">
        <f>IFERROR(__xludf.DUMMYFUNCTION("""COMPUTED_VALUE"""),"ARTIGAS Ivana P.")</f>
        <v>ARTIGAS Ivana P.</v>
      </c>
      <c r="F4855" s="1" t="str">
        <f t="shared" si="1"/>
        <v>ARTIGAS </v>
      </c>
      <c r="G4855" s="1" t="str">
        <f t="shared" si="2"/>
        <v>Ivana P.</v>
      </c>
      <c r="H4855" s="1" t="str">
        <f>IFERROR(__xludf.DUMMYFUNCTION("""COMPUTED_VALUE"""),"10/4/2023, 17:00:00")</f>
        <v>10/4/2023, 17:00:00</v>
      </c>
      <c r="I4855" s="1" t="str">
        <f>IFERROR(__xludf.DUMMYFUNCTION("""COMPUTED_VALUE"""),"Completado en SUCURSAL")</f>
        <v>Completado en SUCURSAL</v>
      </c>
      <c r="J4855" s="1">
        <f t="shared" si="3"/>
        <v>5</v>
      </c>
      <c r="K4855" s="1" t="str">
        <f t="shared" si="4"/>
        <v>Tus Lentes estan LISTAS PARA ENTREGAR, te esperamos.</v>
      </c>
    </row>
    <row r="4856">
      <c r="A4856" s="1">
        <f>IFERROR(__xludf.DUMMYFUNCTION("""COMPUTED_VALUE"""),89420.0)</f>
        <v>89420</v>
      </c>
      <c r="B4856" s="5">
        <f>IFERROR(__xludf.DUMMYFUNCTION("""COMPUTED_VALUE"""),45021.54186972222)</f>
        <v>45021.54187</v>
      </c>
      <c r="C4856" s="1" t="str">
        <f>IFERROR(__xludf.DUMMYFUNCTION("""COMPUTED_VALUE"""),"MIRANDA ELSA CAROLINA")</f>
        <v>MIRANDA ELSA CAROLINA</v>
      </c>
      <c r="D4856" s="1" t="str">
        <f>IFERROR(__xludf.DUMMYFUNCTION("""COMPUTED_VALUE"""),"Lentes de STOCK")</f>
        <v>Lentes de STOCK</v>
      </c>
      <c r="E4856" s="1" t="str">
        <f>IFERROR(__xludf.DUMMYFUNCTION("""COMPUTED_VALUE"""),"RIVADAVIA Marcela L")</f>
        <v>RIVADAVIA Marcela L</v>
      </c>
      <c r="F4856" s="1" t="str">
        <f t="shared" si="1"/>
        <v>RIVADAVIA </v>
      </c>
      <c r="G4856" s="1" t="str">
        <f t="shared" si="2"/>
        <v>Marcela L</v>
      </c>
      <c r="H4856" s="1" t="str">
        <f>IFERROR(__xludf.DUMMYFUNCTION("""COMPUTED_VALUE"""),"12/4/2023, 17:00:00")</f>
        <v>12/4/2023, 17:00:00</v>
      </c>
      <c r="I4856" s="1" t="str">
        <f>IFERROR(__xludf.DUMMYFUNCTION("""COMPUTED_VALUE"""),"Completado en SUCURSAL")</f>
        <v>Completado en SUCURSAL</v>
      </c>
      <c r="J4856" s="1">
        <f t="shared" si="3"/>
        <v>5</v>
      </c>
      <c r="K4856" s="1" t="str">
        <f t="shared" si="4"/>
        <v>Tus Lentes estan LISTAS PARA ENTREGAR, te esperamos.</v>
      </c>
    </row>
    <row r="4857" hidden="1">
      <c r="A4857" s="1">
        <f>IFERROR(__xludf.DUMMYFUNCTION("""COMPUTED_VALUE"""),89421.0)</f>
        <v>89421</v>
      </c>
      <c r="B4857" s="5">
        <f>IFERROR(__xludf.DUMMYFUNCTION("""COMPUTED_VALUE"""),45021.54296773148)</f>
        <v>45021.54297</v>
      </c>
      <c r="C4857" s="1" t="str">
        <f>IFERROR(__xludf.DUMMYFUNCTION("""COMPUTED_VALUE"""),"conti marcela")</f>
        <v>conti marcela</v>
      </c>
      <c r="D4857" s="1" t="str">
        <f>IFERROR(__xludf.DUMMYFUNCTION("""COMPUTED_VALUE"""),"Lentes MULTIFOCALES")</f>
        <v>Lentes MULTIFOCALES</v>
      </c>
      <c r="E4857" s="1" t="str">
        <f>IFERROR(__xludf.DUMMYFUNCTION("""COMPUTED_VALUE"""),"RIVADAVIA Santiago N")</f>
        <v>RIVADAVIA Santiago N</v>
      </c>
      <c r="F4857" s="1" t="str">
        <f t="shared" si="1"/>
        <v>RIVADAVIA </v>
      </c>
      <c r="G4857" s="1" t="str">
        <f t="shared" si="2"/>
        <v>Santiago N</v>
      </c>
      <c r="H4857" s="1" t="str">
        <f>IFERROR(__xludf.DUMMYFUNCTION("""COMPUTED_VALUE"""),"18/4/2023, 17:00:00")</f>
        <v>18/4/2023, 17:00:00</v>
      </c>
      <c r="I4857" s="1" t="str">
        <f>IFERROR(__xludf.DUMMYFUNCTION("""COMPUTED_VALUE"""),"DEMORADO")</f>
        <v>DEMORADO</v>
      </c>
      <c r="J4857" s="1" t="str">
        <f t="shared" si="3"/>
        <v/>
      </c>
      <c r="K4857" s="1" t="str">
        <f t="shared" si="4"/>
        <v>Tuvimos una demora con tus lentes y no podremos entregarlo en las fecha acordada, estamos trabajando para terminarlos cuanto antes, te mantendremos al tanto, si es necesario contactanos via whatsapp.</v>
      </c>
    </row>
    <row r="4858">
      <c r="A4858" s="1">
        <f>IFERROR(__xludf.DUMMYFUNCTION("""COMPUTED_VALUE"""),89422.0)</f>
        <v>89422</v>
      </c>
      <c r="B4858" s="5">
        <f>IFERROR(__xludf.DUMMYFUNCTION("""COMPUTED_VALUE"""),45021.547686481485)</f>
        <v>45021.54769</v>
      </c>
      <c r="C4858" s="1" t="str">
        <f>IFERROR(__xludf.DUMMYFUNCTION("""COMPUTED_VALUE"""),"QUIROGA PAOLA")</f>
        <v>QUIROGA PAOLA</v>
      </c>
      <c r="D4858" s="1" t="str">
        <f>IFERROR(__xludf.DUMMYFUNCTION("""COMPUTED_VALUE"""),"Lentes de STOCK")</f>
        <v>Lentes de STOCK</v>
      </c>
      <c r="E4858" s="1" t="str">
        <f>IFERROR(__xludf.DUMMYFUNCTION("""COMPUTED_VALUE"""),"ARTIGAS Ivana P.")</f>
        <v>ARTIGAS Ivana P.</v>
      </c>
      <c r="F4858" s="1" t="str">
        <f t="shared" si="1"/>
        <v>ARTIGAS </v>
      </c>
      <c r="G4858" s="1" t="str">
        <f t="shared" si="2"/>
        <v>Ivana P.</v>
      </c>
      <c r="H4858" s="1" t="str">
        <f>IFERROR(__xludf.DUMMYFUNCTION("""COMPUTED_VALUE"""),"12/4/2023, 17:00:00")</f>
        <v>12/4/2023, 17:00:00</v>
      </c>
      <c r="I4858" s="1" t="str">
        <f>IFERROR(__xludf.DUMMYFUNCTION("""COMPUTED_VALUE"""),"Completado en SUCURSAL")</f>
        <v>Completado en SUCURSAL</v>
      </c>
      <c r="J4858" s="1">
        <f t="shared" si="3"/>
        <v>5</v>
      </c>
      <c r="K4858" s="1" t="str">
        <f t="shared" si="4"/>
        <v>Tus Lentes estan LISTAS PARA ENTREGAR, te esperamos.</v>
      </c>
    </row>
    <row r="4859">
      <c r="A4859" s="1">
        <f>IFERROR(__xludf.DUMMYFUNCTION("""COMPUTED_VALUE"""),89423.0)</f>
        <v>89423</v>
      </c>
      <c r="B4859" s="5">
        <f>IFERROR(__xludf.DUMMYFUNCTION("""COMPUTED_VALUE"""),45021.689998912036)</f>
        <v>45021.69</v>
      </c>
      <c r="C4859" s="1" t="str">
        <f>IFERROR(__xludf.DUMMYFUNCTION("""COMPUTED_VALUE"""),"DI GENNARO GUSTAVO")</f>
        <v>DI GENNARO GUSTAVO</v>
      </c>
      <c r="D4859" s="1" t="str">
        <f>IFERROR(__xludf.DUMMYFUNCTION("""COMPUTED_VALUE"""),"Lentes MULTIFOCALES")</f>
        <v>Lentes MULTIFOCALES</v>
      </c>
      <c r="E4859" s="1" t="str">
        <f>IFERROR(__xludf.DUMMYFUNCTION("""COMPUTED_VALUE"""),"ARTIGAS Ivana P.")</f>
        <v>ARTIGAS Ivana P.</v>
      </c>
      <c r="F4859" s="1" t="str">
        <f t="shared" si="1"/>
        <v>ARTIGAS </v>
      </c>
      <c r="G4859" s="1" t="str">
        <f t="shared" si="2"/>
        <v>Ivana P.</v>
      </c>
      <c r="H4859" s="1" t="str">
        <f>IFERROR(__xludf.DUMMYFUNCTION("""COMPUTED_VALUE"""),"27/4/2023, 17:00:00")</f>
        <v>27/4/2023, 17:00:00</v>
      </c>
      <c r="I4859" s="1" t="str">
        <f>IFERROR(__xludf.DUMMYFUNCTION("""COMPUTED_VALUE"""),"Recibido en Laboratorio")</f>
        <v>Recibido en Laboratorio</v>
      </c>
      <c r="J4859" s="1">
        <f t="shared" si="3"/>
        <v>2</v>
      </c>
      <c r="K4859" s="1" t="str">
        <f t="shared" si="4"/>
        <v>Nuestro Laboratorio esta trabajando en tus lentes, los entregaremos en la fecha acordada.</v>
      </c>
    </row>
    <row r="4860">
      <c r="A4860" s="1">
        <f>IFERROR(__xludf.DUMMYFUNCTION("""COMPUTED_VALUE"""),89424.0)</f>
        <v>89424</v>
      </c>
      <c r="B4860" s="5">
        <f>IFERROR(__xludf.DUMMYFUNCTION("""COMPUTED_VALUE"""),45021.69210673611)</f>
        <v>45021.69211</v>
      </c>
      <c r="C4860" s="1" t="str">
        <f>IFERROR(__xludf.DUMMYFUNCTION("""COMPUTED_VALUE"""),"DI GENNARO GUSTAVO")</f>
        <v>DI GENNARO GUSTAVO</v>
      </c>
      <c r="D4860" s="1" t="str">
        <f>IFERROR(__xludf.DUMMYFUNCTION("""COMPUTED_VALUE"""),"Lentes de STOCK")</f>
        <v>Lentes de STOCK</v>
      </c>
      <c r="E4860" s="1" t="str">
        <f>IFERROR(__xludf.DUMMYFUNCTION("""COMPUTED_VALUE"""),"ARTIGAS Ivana P.")</f>
        <v>ARTIGAS Ivana P.</v>
      </c>
      <c r="F4860" s="1" t="str">
        <f t="shared" si="1"/>
        <v>ARTIGAS </v>
      </c>
      <c r="G4860" s="1" t="str">
        <f t="shared" si="2"/>
        <v>Ivana P.</v>
      </c>
      <c r="H4860" s="1" t="str">
        <f>IFERROR(__xludf.DUMMYFUNCTION("""COMPUTED_VALUE"""),"12/4/2023, 17:00:00")</f>
        <v>12/4/2023, 17:00:00</v>
      </c>
      <c r="I4860" s="1" t="str">
        <f>IFERROR(__xludf.DUMMYFUNCTION("""COMPUTED_VALUE"""),"Completado en SUCURSAL")</f>
        <v>Completado en SUCURSAL</v>
      </c>
      <c r="J4860" s="1">
        <f t="shared" si="3"/>
        <v>5</v>
      </c>
      <c r="K4860" s="1" t="str">
        <f t="shared" si="4"/>
        <v>Tus Lentes estan LISTAS PARA ENTREGAR, te esperamos.</v>
      </c>
    </row>
    <row r="4861" hidden="1">
      <c r="A4861" s="1">
        <f>IFERROR(__xludf.DUMMYFUNCTION("""COMPUTED_VALUE"""),89425.0)</f>
        <v>89425</v>
      </c>
      <c r="B4861" s="5">
        <f>IFERROR(__xludf.DUMMYFUNCTION("""COMPUTED_VALUE"""),45021.721589016204)</f>
        <v>45021.72159</v>
      </c>
      <c r="C4861" s="1" t="str">
        <f>IFERROR(__xludf.DUMMYFUNCTION("""COMPUTED_VALUE"""),"VILLEGAS ALEJANDRA")</f>
        <v>VILLEGAS ALEJANDRA</v>
      </c>
      <c r="D4861" s="1" t="str">
        <f>IFERROR(__xludf.DUMMYFUNCTION("""COMPUTED_VALUE"""),"Lentes MULTIFOCALES")</f>
        <v>Lentes MULTIFOCALES</v>
      </c>
      <c r="E4861" s="1" t="str">
        <f>IFERROR(__xludf.DUMMYFUNCTION("""COMPUTED_VALUE"""),"RIVADAVIA Santiago LOPEZ")</f>
        <v>RIVADAVIA Santiago LOPEZ</v>
      </c>
      <c r="F4861" s="1" t="str">
        <f t="shared" si="1"/>
        <v>RIVADAVIA </v>
      </c>
      <c r="G4861" s="1" t="str">
        <f t="shared" si="2"/>
        <v>Santiago LOPEZ</v>
      </c>
      <c r="H4861" s="1" t="str">
        <f>IFERROR(__xludf.DUMMYFUNCTION("""COMPUTED_VALUE"""),"19/4/2023, 17:00:00")</f>
        <v>19/4/2023, 17:00:00</v>
      </c>
      <c r="I4861" s="1" t="str">
        <f>IFERROR(__xludf.DUMMYFUNCTION("""COMPUTED_VALUE"""),"DEMORADO")</f>
        <v>DEMORADO</v>
      </c>
      <c r="J4861" s="1" t="str">
        <f t="shared" si="3"/>
        <v/>
      </c>
      <c r="K4861" s="1" t="str">
        <f t="shared" si="4"/>
        <v>Tuvimos una demora con tus lentes y no podremos entregarlo en las fecha acordada, estamos trabajando para terminarlos cuanto antes, te mantendremos al tanto, si es necesario contactanos via whatsapp.</v>
      </c>
    </row>
    <row r="4862">
      <c r="A4862" s="1">
        <f>IFERROR(__xludf.DUMMYFUNCTION("""COMPUTED_VALUE"""),89426.0)</f>
        <v>89426</v>
      </c>
      <c r="B4862" s="5">
        <f>IFERROR(__xludf.DUMMYFUNCTION("""COMPUTED_VALUE"""),45021.73028013889)</f>
        <v>45021.73028</v>
      </c>
      <c r="C4862" s="1" t="str">
        <f>IFERROR(__xludf.DUMMYFUNCTION("""COMPUTED_VALUE"""),"ROMERO DANIEL")</f>
        <v>ROMERO DANIEL</v>
      </c>
      <c r="D4862" s="1" t="str">
        <f>IFERROR(__xludf.DUMMYFUNCTION("""COMPUTED_VALUE"""),"Lentes MULTIFOCALES")</f>
        <v>Lentes MULTIFOCALES</v>
      </c>
      <c r="E4862" s="1" t="str">
        <f>IFERROR(__xludf.DUMMYFUNCTION("""COMPUTED_VALUE"""),"RIVADAVIA Christian C.")</f>
        <v>RIVADAVIA Christian C.</v>
      </c>
      <c r="F4862" s="1" t="str">
        <f t="shared" si="1"/>
        <v>RIVADAVIA </v>
      </c>
      <c r="G4862" s="1" t="str">
        <f t="shared" si="2"/>
        <v>Christian C.</v>
      </c>
      <c r="H4862" s="1" t="str">
        <f>IFERROR(__xludf.DUMMYFUNCTION("""COMPUTED_VALUE"""),"20/4/2023, 17:00:00")</f>
        <v>20/4/2023, 17:00:00</v>
      </c>
      <c r="I4862" s="1" t="str">
        <f>IFERROR(__xludf.DUMMYFUNCTION("""COMPUTED_VALUE"""),"Recibido en Laboratorio")</f>
        <v>Recibido en Laboratorio</v>
      </c>
      <c r="J4862" s="1">
        <f t="shared" si="3"/>
        <v>2</v>
      </c>
      <c r="K4862" s="1" t="str">
        <f t="shared" si="4"/>
        <v>Nuestro Laboratorio esta trabajando en tus lentes, los entregaremos en la fecha acordada.</v>
      </c>
    </row>
    <row r="4863">
      <c r="A4863" s="1">
        <f>IFERROR(__xludf.DUMMYFUNCTION("""COMPUTED_VALUE"""),89427.0)</f>
        <v>89427</v>
      </c>
      <c r="B4863" s="5">
        <f>IFERROR(__xludf.DUMMYFUNCTION("""COMPUTED_VALUE"""),45021.73859527778)</f>
        <v>45021.7386</v>
      </c>
      <c r="C4863" s="1" t="str">
        <f>IFERROR(__xludf.DUMMYFUNCTION("""COMPUTED_VALUE"""),"SANGRA GUSTAVO ")</f>
        <v>SANGRA GUSTAVO </v>
      </c>
      <c r="D4863" s="1" t="str">
        <f>IFERROR(__xludf.DUMMYFUNCTION("""COMPUTED_VALUE"""),"Lentes de STOCK")</f>
        <v>Lentes de STOCK</v>
      </c>
      <c r="E4863" s="1" t="str">
        <f>IFERROR(__xludf.DUMMYFUNCTION("""COMPUTED_VALUE"""),"RIVADAVIA Luciana")</f>
        <v>RIVADAVIA Luciana</v>
      </c>
      <c r="F4863" s="1" t="str">
        <f t="shared" si="1"/>
        <v>RIVADAVIA </v>
      </c>
      <c r="G4863" s="1" t="str">
        <f t="shared" si="2"/>
        <v>Luciana</v>
      </c>
      <c r="H4863" s="1" t="str">
        <f>IFERROR(__xludf.DUMMYFUNCTION("""COMPUTED_VALUE"""),"13/4/2023, 17:00:00")</f>
        <v>13/4/2023, 17:00:00</v>
      </c>
      <c r="I4863" s="1"/>
      <c r="J4863" s="1">
        <f t="shared" si="3"/>
        <v>0</v>
      </c>
      <c r="K4863" s="1" t="str">
        <f t="shared" si="4"/>
        <v/>
      </c>
    </row>
    <row r="4864">
      <c r="A4864" s="1">
        <f>IFERROR(__xludf.DUMMYFUNCTION("""COMPUTED_VALUE"""),89428.0)</f>
        <v>89428</v>
      </c>
      <c r="B4864" s="5">
        <f>IFERROR(__xludf.DUMMYFUNCTION("""COMPUTED_VALUE"""),45021.740320798606)</f>
        <v>45021.74032</v>
      </c>
      <c r="C4864" s="1" t="str">
        <f>IFERROR(__xludf.DUMMYFUNCTION("""COMPUTED_VALUE"""),"SANGRA GUSTAVO ")</f>
        <v>SANGRA GUSTAVO </v>
      </c>
      <c r="D4864" s="1" t="str">
        <f>IFERROR(__xludf.DUMMYFUNCTION("""COMPUTED_VALUE"""),"Lentes de STOCK")</f>
        <v>Lentes de STOCK</v>
      </c>
      <c r="E4864" s="1" t="str">
        <f>IFERROR(__xludf.DUMMYFUNCTION("""COMPUTED_VALUE"""),"Otro (LUCIANA ARTIGAS)")</f>
        <v>Otro (LUCIANA ARTIGAS)</v>
      </c>
      <c r="F4864" s="1" t="str">
        <f t="shared" si="1"/>
        <v>Otro </v>
      </c>
      <c r="G4864" s="1" t="str">
        <f t="shared" si="2"/>
        <v>(LUCIANA ARTIGAS)</v>
      </c>
      <c r="H4864" s="1" t="str">
        <f>IFERROR(__xludf.DUMMYFUNCTION("""COMPUTED_VALUE"""),"13/4/2023, 17:00:00")</f>
        <v>13/4/2023, 17:00:00</v>
      </c>
      <c r="I4864" s="1" t="str">
        <f>IFERROR(__xludf.DUMMYFUNCTION("""COMPUTED_VALUE"""),"Recibido en Laboratorio")</f>
        <v>Recibido en Laboratorio</v>
      </c>
      <c r="J4864" s="1">
        <f t="shared" si="3"/>
        <v>2</v>
      </c>
      <c r="K4864" s="1" t="str">
        <f t="shared" si="4"/>
        <v>Nuestro Laboratorio esta trabajando en tus lentes, los entregaremos en la fecha acordada.</v>
      </c>
    </row>
    <row r="4865">
      <c r="A4865" s="1">
        <f>IFERROR(__xludf.DUMMYFUNCTION("""COMPUTED_VALUE"""),89429.0)</f>
        <v>89429</v>
      </c>
      <c r="B4865" s="5">
        <f>IFERROR(__xludf.DUMMYFUNCTION("""COMPUTED_VALUE"""),45021.74683258102)</f>
        <v>45021.74683</v>
      </c>
      <c r="C4865" s="1" t="str">
        <f>IFERROR(__xludf.DUMMYFUNCTION("""COMPUTED_VALUE"""),"MUÑOZ ALAN TOMAS ")</f>
        <v>MUÑOZ ALAN TOMAS </v>
      </c>
      <c r="D4865" s="1" t="str">
        <f>IFERROR(__xludf.DUMMYFUNCTION("""COMPUTED_VALUE"""),"Lentes de STOCK")</f>
        <v>Lentes de STOCK</v>
      </c>
      <c r="E4865" s="1" t="str">
        <f>IFERROR(__xludf.DUMMYFUNCTION("""COMPUTED_VALUE"""),"RIVADAVIA Christian C.")</f>
        <v>RIVADAVIA Christian C.</v>
      </c>
      <c r="F4865" s="1" t="str">
        <f t="shared" si="1"/>
        <v>RIVADAVIA </v>
      </c>
      <c r="G4865" s="1" t="str">
        <f t="shared" si="2"/>
        <v>Christian C.</v>
      </c>
      <c r="H4865" s="1" t="str">
        <f>IFERROR(__xludf.DUMMYFUNCTION("""COMPUTED_VALUE"""),"14/4/2023, 17:00:00")</f>
        <v>14/4/2023, 17:00:00</v>
      </c>
      <c r="I4865" s="1" t="str">
        <f>IFERROR(__xludf.DUMMYFUNCTION("""COMPUTED_VALUE"""),"Completado en SUCURSAL")</f>
        <v>Completado en SUCURSAL</v>
      </c>
      <c r="J4865" s="1">
        <f t="shared" si="3"/>
        <v>5</v>
      </c>
      <c r="K4865" s="1" t="str">
        <f t="shared" si="4"/>
        <v>Tus Lentes estan LISTAS PARA ENTREGAR, te esperamos.</v>
      </c>
    </row>
    <row r="4866">
      <c r="A4866" s="1">
        <f>IFERROR(__xludf.DUMMYFUNCTION("""COMPUTED_VALUE"""),89430.0)</f>
        <v>89430</v>
      </c>
      <c r="B4866" s="5">
        <f>IFERROR(__xludf.DUMMYFUNCTION("""COMPUTED_VALUE"""),45021.75790971065)</f>
        <v>45021.75791</v>
      </c>
      <c r="C4866" s="1" t="str">
        <f>IFERROR(__xludf.DUMMYFUNCTION("""COMPUTED_VALUE"""),"DOMINGUEZ JOAQUIN")</f>
        <v>DOMINGUEZ JOAQUIN</v>
      </c>
      <c r="D4866" s="1" t="str">
        <f>IFERROR(__xludf.DUMMYFUNCTION("""COMPUTED_VALUE"""),"Lentes de LABORATORIO")</f>
        <v>Lentes de LABORATORIO</v>
      </c>
      <c r="E4866" s="1" t="str">
        <f>IFERROR(__xludf.DUMMYFUNCTION("""COMPUTED_VALUE"""),"RIVADAVIA Javier")</f>
        <v>RIVADAVIA Javier</v>
      </c>
      <c r="F4866" s="1" t="str">
        <f t="shared" si="1"/>
        <v>RIVADAVIA </v>
      </c>
      <c r="G4866" s="1" t="str">
        <f t="shared" si="2"/>
        <v>Javier</v>
      </c>
      <c r="H4866" s="1" t="str">
        <f>IFERROR(__xludf.DUMMYFUNCTION("""COMPUTED_VALUE"""),"13/4/2023, 17:00:00")</f>
        <v>13/4/2023, 17:00:00</v>
      </c>
      <c r="I4866" s="1" t="str">
        <f>IFERROR(__xludf.DUMMYFUNCTION("""COMPUTED_VALUE"""),"Completado en SUCURSAL")</f>
        <v>Completado en SUCURSAL</v>
      </c>
      <c r="J4866" s="1">
        <f t="shared" si="3"/>
        <v>5</v>
      </c>
      <c r="K4866" s="1" t="str">
        <f t="shared" si="4"/>
        <v>Tus Lentes estan LISTAS PARA ENTREGAR, te esperamos.</v>
      </c>
    </row>
    <row r="4867">
      <c r="A4867" s="1">
        <f>IFERROR(__xludf.DUMMYFUNCTION("""COMPUTED_VALUE"""),89431.0)</f>
        <v>89431</v>
      </c>
      <c r="B4867" s="5">
        <f>IFERROR(__xludf.DUMMYFUNCTION("""COMPUTED_VALUE"""),45021.758825729165)</f>
        <v>45021.75883</v>
      </c>
      <c r="C4867" s="1" t="str">
        <f>IFERROR(__xludf.DUMMYFUNCTION("""COMPUTED_VALUE"""),"rodriguez maria elizabeth")</f>
        <v>rodriguez maria elizabeth</v>
      </c>
      <c r="D4867" s="1" t="str">
        <f>IFERROR(__xludf.DUMMYFUNCTION("""COMPUTED_VALUE"""),"Lentes de STOCK")</f>
        <v>Lentes de STOCK</v>
      </c>
      <c r="E4867" s="1" t="str">
        <f>IFERROR(__xludf.DUMMYFUNCTION("""COMPUTED_VALUE"""),"RIVADAVIA Santiago N")</f>
        <v>RIVADAVIA Santiago N</v>
      </c>
      <c r="F4867" s="1" t="str">
        <f t="shared" si="1"/>
        <v>RIVADAVIA </v>
      </c>
      <c r="G4867" s="1" t="str">
        <f t="shared" si="2"/>
        <v>Santiago N</v>
      </c>
      <c r="H4867" s="1" t="str">
        <f>IFERROR(__xludf.DUMMYFUNCTION("""COMPUTED_VALUE"""),"11/4/2023, 17:00:00")</f>
        <v>11/4/2023, 17:00:00</v>
      </c>
      <c r="I4867" s="1" t="str">
        <f>IFERROR(__xludf.DUMMYFUNCTION("""COMPUTED_VALUE"""),"Completado en SUCURSAL")</f>
        <v>Completado en SUCURSAL</v>
      </c>
      <c r="J4867" s="1">
        <f t="shared" si="3"/>
        <v>5</v>
      </c>
      <c r="K4867" s="1" t="str">
        <f t="shared" si="4"/>
        <v>Tus Lentes estan LISTAS PARA ENTREGAR, te esperamos.</v>
      </c>
    </row>
    <row r="4868">
      <c r="A4868" s="1">
        <f>IFERROR(__xludf.DUMMYFUNCTION("""COMPUTED_VALUE"""),89432.0)</f>
        <v>89432</v>
      </c>
      <c r="B4868" s="5">
        <f>IFERROR(__xludf.DUMMYFUNCTION("""COMPUTED_VALUE"""),45021.76182798611)</f>
        <v>45021.76183</v>
      </c>
      <c r="C4868" s="1" t="str">
        <f>IFERROR(__xludf.DUMMYFUNCTION("""COMPUTED_VALUE"""),"ASTUDILLO MIRANDA TALIA")</f>
        <v>ASTUDILLO MIRANDA TALIA</v>
      </c>
      <c r="D4868" s="1" t="str">
        <f>IFERROR(__xludf.DUMMYFUNCTION("""COMPUTED_VALUE"""),"Lentes de STOCK")</f>
        <v>Lentes de STOCK</v>
      </c>
      <c r="E4868" s="1" t="str">
        <f>IFERROR(__xludf.DUMMYFUNCTION("""COMPUTED_VALUE"""),"ARTIGAS Ivana P.")</f>
        <v>ARTIGAS Ivana P.</v>
      </c>
      <c r="F4868" s="1" t="str">
        <f t="shared" si="1"/>
        <v>ARTIGAS </v>
      </c>
      <c r="G4868" s="1" t="str">
        <f t="shared" si="2"/>
        <v>Ivana P.</v>
      </c>
      <c r="H4868" s="1" t="str">
        <f>IFERROR(__xludf.DUMMYFUNCTION("""COMPUTED_VALUE"""),"10/4/2023, 17:00:00")</f>
        <v>10/4/2023, 17:00:00</v>
      </c>
      <c r="I4868" s="1" t="str">
        <f>IFERROR(__xludf.DUMMYFUNCTION("""COMPUTED_VALUE"""),"RETIRADO OK POR CLIENTE")</f>
        <v>RETIRADO OK POR CLIENTE</v>
      </c>
      <c r="J4868" s="1">
        <f t="shared" si="3"/>
        <v>6</v>
      </c>
      <c r="K4868" s="1" t="str">
        <f t="shared" si="4"/>
        <v>Entregamos tus lentes, que los disfrutes!</v>
      </c>
    </row>
    <row r="4869">
      <c r="A4869" s="1">
        <f>IFERROR(__xludf.DUMMYFUNCTION("""COMPUTED_VALUE"""),89433.0)</f>
        <v>89433</v>
      </c>
      <c r="B4869" s="5">
        <f>IFERROR(__xludf.DUMMYFUNCTION("""COMPUTED_VALUE"""),45021.77285368055)</f>
        <v>45021.77285</v>
      </c>
      <c r="C4869" s="1" t="str">
        <f>IFERROR(__xludf.DUMMYFUNCTION("""COMPUTED_VALUE"""),"TULA ANA")</f>
        <v>TULA ANA</v>
      </c>
      <c r="D4869" s="1" t="str">
        <f>IFERROR(__xludf.DUMMYFUNCTION("""COMPUTED_VALUE"""),"Reparaciones/Otros")</f>
        <v>Reparaciones/Otros</v>
      </c>
      <c r="E4869" s="1" t="str">
        <f>IFERROR(__xludf.DUMMYFUNCTION("""COMPUTED_VALUE"""),"ARTIGAS Ivana P.")</f>
        <v>ARTIGAS Ivana P.</v>
      </c>
      <c r="F4869" s="1" t="str">
        <f t="shared" si="1"/>
        <v>ARTIGAS </v>
      </c>
      <c r="G4869" s="1" t="str">
        <f t="shared" si="2"/>
        <v>Ivana P.</v>
      </c>
      <c r="H4869" s="1" t="str">
        <f>IFERROR(__xludf.DUMMYFUNCTION("""COMPUTED_VALUE"""),"6/4/2023, 17:00:00")</f>
        <v>6/4/2023, 17:00:00</v>
      </c>
      <c r="I4869" s="1" t="str">
        <f>IFERROR(__xludf.DUMMYFUNCTION("""COMPUTED_VALUE"""),"Recibido en Laboratorio")</f>
        <v>Recibido en Laboratorio</v>
      </c>
      <c r="J4869" s="1">
        <f t="shared" si="3"/>
        <v>2</v>
      </c>
      <c r="K4869" s="1" t="str">
        <f t="shared" si="4"/>
        <v>Nuestro Laboratorio esta trabajando en tus lentes, los entregaremos en la fecha acordada.</v>
      </c>
    </row>
    <row r="4870">
      <c r="A4870" s="1">
        <f>IFERROR(__xludf.DUMMYFUNCTION("""COMPUTED_VALUE"""),89434.0)</f>
        <v>89434</v>
      </c>
      <c r="B4870" s="5">
        <f>IFERROR(__xludf.DUMMYFUNCTION("""COMPUTED_VALUE"""),45021.77319775463)</f>
        <v>45021.7732</v>
      </c>
      <c r="C4870" s="1" t="str">
        <f>IFERROR(__xludf.DUMMYFUNCTION("""COMPUTED_VALUE"""),"BETULAR DORA LYDIA")</f>
        <v>BETULAR DORA LYDIA</v>
      </c>
      <c r="D4870" s="1" t="str">
        <f>IFERROR(__xludf.DUMMYFUNCTION("""COMPUTED_VALUE"""),"Reparaciones/Otros")</f>
        <v>Reparaciones/Otros</v>
      </c>
      <c r="E4870" s="1" t="str">
        <f>IFERROR(__xludf.DUMMYFUNCTION("""COMPUTED_VALUE"""),"ARTIGAS Micaela")</f>
        <v>ARTIGAS Micaela</v>
      </c>
      <c r="F4870" s="1" t="str">
        <f t="shared" si="1"/>
        <v>ARTIGAS </v>
      </c>
      <c r="G4870" s="1" t="str">
        <f t="shared" si="2"/>
        <v>Micaela</v>
      </c>
      <c r="H4870" s="1" t="str">
        <f>IFERROR(__xludf.DUMMYFUNCTION("""COMPUTED_VALUE"""),"6/4/2023, 17:00:00")</f>
        <v>6/4/2023, 17:00:00</v>
      </c>
      <c r="I4870" s="1" t="str">
        <f>IFERROR(__xludf.DUMMYFUNCTION("""COMPUTED_VALUE"""),"Recibido en Laboratorio")</f>
        <v>Recibido en Laboratorio</v>
      </c>
      <c r="J4870" s="1">
        <f t="shared" si="3"/>
        <v>2</v>
      </c>
      <c r="K4870" s="1" t="str">
        <f t="shared" si="4"/>
        <v>Nuestro Laboratorio esta trabajando en tus lentes, los entregaremos en la fecha acordada.</v>
      </c>
    </row>
    <row r="4871">
      <c r="A4871" s="1">
        <f>IFERROR(__xludf.DUMMYFUNCTION("""COMPUTED_VALUE"""),89435.0)</f>
        <v>89435</v>
      </c>
      <c r="B4871" s="5">
        <f>IFERROR(__xludf.DUMMYFUNCTION("""COMPUTED_VALUE"""),45021.77408753472)</f>
        <v>45021.77409</v>
      </c>
      <c r="C4871" s="1" t="str">
        <f>IFERROR(__xludf.DUMMYFUNCTION("""COMPUTED_VALUE"""),"FLORES MARIA")</f>
        <v>FLORES MARIA</v>
      </c>
      <c r="D4871" s="1" t="str">
        <f>IFERROR(__xludf.DUMMYFUNCTION("""COMPUTED_VALUE"""),"Lentes de STOCK")</f>
        <v>Lentes de STOCK</v>
      </c>
      <c r="E4871" s="1" t="str">
        <f>IFERROR(__xludf.DUMMYFUNCTION("""COMPUTED_VALUE"""),"Otro (LUCIANA ARTIGAS)")</f>
        <v>Otro (LUCIANA ARTIGAS)</v>
      </c>
      <c r="F4871" s="1" t="str">
        <f t="shared" si="1"/>
        <v>Otro </v>
      </c>
      <c r="G4871" s="1" t="str">
        <f t="shared" si="2"/>
        <v>(LUCIANA ARTIGAS)</v>
      </c>
      <c r="H4871" s="1" t="str">
        <f>IFERROR(__xludf.DUMMYFUNCTION("""COMPUTED_VALUE"""),"13/4/2023, 17:00:00")</f>
        <v>13/4/2023, 17:00:00</v>
      </c>
      <c r="I4871" s="1" t="str">
        <f>IFERROR(__xludf.DUMMYFUNCTION("""COMPUTED_VALUE"""),"Recibido en Laboratorio")</f>
        <v>Recibido en Laboratorio</v>
      </c>
      <c r="J4871" s="1">
        <f t="shared" si="3"/>
        <v>2</v>
      </c>
      <c r="K4871" s="1" t="str">
        <f t="shared" si="4"/>
        <v>Nuestro Laboratorio esta trabajando en tus lentes, los entregaremos en la fecha acordada.</v>
      </c>
    </row>
    <row r="4872">
      <c r="A4872" s="1">
        <f>IFERROR(__xludf.DUMMYFUNCTION("""COMPUTED_VALUE"""),89436.0)</f>
        <v>89436</v>
      </c>
      <c r="B4872" s="5">
        <f>IFERROR(__xludf.DUMMYFUNCTION("""COMPUTED_VALUE"""),45021.77938258102)</f>
        <v>45021.77938</v>
      </c>
      <c r="C4872" s="1" t="str">
        <f>IFERROR(__xludf.DUMMYFUNCTION("""COMPUTED_VALUE"""),"MENDOZA GLADIS")</f>
        <v>MENDOZA GLADIS</v>
      </c>
      <c r="D4872" s="1" t="str">
        <f>IFERROR(__xludf.DUMMYFUNCTION("""COMPUTED_VALUE"""),"Lentes de STOCK")</f>
        <v>Lentes de STOCK</v>
      </c>
      <c r="E4872" s="1" t="str">
        <f>IFERROR(__xludf.DUMMYFUNCTION("""COMPUTED_VALUE"""),"RIVADAVIA Christian C.")</f>
        <v>RIVADAVIA Christian C.</v>
      </c>
      <c r="F4872" s="1" t="str">
        <f t="shared" si="1"/>
        <v>RIVADAVIA </v>
      </c>
      <c r="G4872" s="1" t="str">
        <f t="shared" si="2"/>
        <v>Christian C.</v>
      </c>
      <c r="H4872" s="1" t="str">
        <f>IFERROR(__xludf.DUMMYFUNCTION("""COMPUTED_VALUE"""),"13/4/2023, 17:00:00")</f>
        <v>13/4/2023, 17:00:00</v>
      </c>
      <c r="I4872" s="1" t="str">
        <f>IFERROR(__xludf.DUMMYFUNCTION("""COMPUTED_VALUE"""),"Completado en SUCURSAL")</f>
        <v>Completado en SUCURSAL</v>
      </c>
      <c r="J4872" s="1">
        <f t="shared" si="3"/>
        <v>5</v>
      </c>
      <c r="K4872" s="1" t="str">
        <f t="shared" si="4"/>
        <v>Tus Lentes estan LISTAS PARA ENTREGAR, te esperamos.</v>
      </c>
    </row>
    <row r="4873">
      <c r="A4873" s="1">
        <f>IFERROR(__xludf.DUMMYFUNCTION("""COMPUTED_VALUE"""),89437.0)</f>
        <v>89437</v>
      </c>
      <c r="B4873" s="5">
        <f>IFERROR(__xludf.DUMMYFUNCTION("""COMPUTED_VALUE"""),45021.78092290509)</f>
        <v>45021.78092</v>
      </c>
      <c r="C4873" s="1" t="str">
        <f>IFERROR(__xludf.DUMMYFUNCTION("""COMPUTED_VALUE"""),"GIMENEZ JOSE")</f>
        <v>GIMENEZ JOSE</v>
      </c>
      <c r="D4873" s="1" t="str">
        <f>IFERROR(__xludf.DUMMYFUNCTION("""COMPUTED_VALUE"""),"Lentes de STOCK")</f>
        <v>Lentes de STOCK</v>
      </c>
      <c r="E4873" s="1" t="str">
        <f>IFERROR(__xludf.DUMMYFUNCTION("""COMPUTED_VALUE"""),"ARTIGAS Ivana P.")</f>
        <v>ARTIGAS Ivana P.</v>
      </c>
      <c r="F4873" s="1" t="str">
        <f t="shared" si="1"/>
        <v>ARTIGAS </v>
      </c>
      <c r="G4873" s="1" t="str">
        <f t="shared" si="2"/>
        <v>Ivana P.</v>
      </c>
      <c r="H4873" s="1" t="str">
        <f>IFERROR(__xludf.DUMMYFUNCTION("""COMPUTED_VALUE"""),"12/4/2023, 17:00:00")</f>
        <v>12/4/2023, 17:00:00</v>
      </c>
      <c r="I4873" s="1" t="str">
        <f>IFERROR(__xludf.DUMMYFUNCTION("""COMPUTED_VALUE"""),"Completado en SUCURSAL")</f>
        <v>Completado en SUCURSAL</v>
      </c>
      <c r="J4873" s="1">
        <f t="shared" si="3"/>
        <v>5</v>
      </c>
      <c r="K4873" s="1" t="str">
        <f t="shared" si="4"/>
        <v>Tus Lentes estan LISTAS PARA ENTREGAR, te esperamos.</v>
      </c>
    </row>
    <row r="4874">
      <c r="A4874" s="1">
        <f>IFERROR(__xludf.DUMMYFUNCTION("""COMPUTED_VALUE"""),89438.0)</f>
        <v>89438</v>
      </c>
      <c r="B4874" s="5">
        <f>IFERROR(__xludf.DUMMYFUNCTION("""COMPUTED_VALUE"""),45021.788612222226)</f>
        <v>45021.78861</v>
      </c>
      <c r="C4874" s="1" t="str">
        <f>IFERROR(__xludf.DUMMYFUNCTION("""COMPUTED_VALUE"""),"ARANCIVA GABRIELA")</f>
        <v>ARANCIVA GABRIELA</v>
      </c>
      <c r="D4874" s="1" t="str">
        <f>IFERROR(__xludf.DUMMYFUNCTION("""COMPUTED_VALUE"""),"Lentes de STOCK")</f>
        <v>Lentes de STOCK</v>
      </c>
      <c r="E4874" s="1" t="str">
        <f>IFERROR(__xludf.DUMMYFUNCTION("""COMPUTED_VALUE"""),"RIVADAVIA Luciana")</f>
        <v>RIVADAVIA Luciana</v>
      </c>
      <c r="F4874" s="1" t="str">
        <f t="shared" si="1"/>
        <v>RIVADAVIA </v>
      </c>
      <c r="G4874" s="1" t="str">
        <f t="shared" si="2"/>
        <v>Luciana</v>
      </c>
      <c r="H4874" s="1" t="str">
        <f>IFERROR(__xludf.DUMMYFUNCTION("""COMPUTED_VALUE"""),"13/4/2023, 17:00:00")</f>
        <v>13/4/2023, 17:00:00</v>
      </c>
      <c r="I4874" s="1" t="str">
        <f>IFERROR(__xludf.DUMMYFUNCTION("""COMPUTED_VALUE"""),"Recibido en Laboratorio")</f>
        <v>Recibido en Laboratorio</v>
      </c>
      <c r="J4874" s="1">
        <f t="shared" si="3"/>
        <v>2</v>
      </c>
      <c r="K4874" s="1" t="str">
        <f t="shared" si="4"/>
        <v>Nuestro Laboratorio esta trabajando en tus lentes, los entregaremos en la fecha acordada.</v>
      </c>
    </row>
    <row r="4875">
      <c r="A4875" s="1">
        <f>IFERROR(__xludf.DUMMYFUNCTION("""COMPUTED_VALUE"""),89439.0)</f>
        <v>89439</v>
      </c>
      <c r="B4875" s="5">
        <f>IFERROR(__xludf.DUMMYFUNCTION("""COMPUTED_VALUE"""),45021.788811782404)</f>
        <v>45021.78881</v>
      </c>
      <c r="C4875" s="1" t="str">
        <f>IFERROR(__xludf.DUMMYFUNCTION("""COMPUTED_VALUE"""),"SOSA MARIA RITA")</f>
        <v>SOSA MARIA RITA</v>
      </c>
      <c r="D4875" s="1" t="str">
        <f>IFERROR(__xludf.DUMMYFUNCTION("""COMPUTED_VALUE"""),"Lentes BIFOCALES")</f>
        <v>Lentes BIFOCALES</v>
      </c>
      <c r="E4875" s="1" t="str">
        <f>IFERROR(__xludf.DUMMYFUNCTION("""COMPUTED_VALUE"""),"RIVADAVIA Santiago LOPEZ")</f>
        <v>RIVADAVIA Santiago LOPEZ</v>
      </c>
      <c r="F4875" s="1" t="str">
        <f t="shared" si="1"/>
        <v>RIVADAVIA </v>
      </c>
      <c r="G4875" s="1" t="str">
        <f t="shared" si="2"/>
        <v>Santiago LOPEZ</v>
      </c>
      <c r="H4875" s="1" t="str">
        <f>IFERROR(__xludf.DUMMYFUNCTION("""COMPUTED_VALUE"""),"11/4/2023, 17:00:00")</f>
        <v>11/4/2023, 17:00:00</v>
      </c>
      <c r="I4875" s="1" t="str">
        <f>IFERROR(__xludf.DUMMYFUNCTION("""COMPUTED_VALUE"""),"Completado en SUCURSAL")</f>
        <v>Completado en SUCURSAL</v>
      </c>
      <c r="J4875" s="1">
        <f t="shared" si="3"/>
        <v>5</v>
      </c>
      <c r="K4875" s="1" t="str">
        <f t="shared" si="4"/>
        <v>Tus Lentes estan LISTAS PARA ENTREGAR, te esperamos.</v>
      </c>
    </row>
    <row r="4876">
      <c r="A4876" s="1">
        <f>IFERROR(__xludf.DUMMYFUNCTION("""COMPUTED_VALUE"""),89440.0)</f>
        <v>89440</v>
      </c>
      <c r="B4876" s="5">
        <f>IFERROR(__xludf.DUMMYFUNCTION("""COMPUTED_VALUE"""),45021.7958080324)</f>
        <v>45021.79581</v>
      </c>
      <c r="C4876" s="1" t="str">
        <f>IFERROR(__xludf.DUMMYFUNCTION("""COMPUTED_VALUE"""),"valenzuela claudia")</f>
        <v>valenzuela claudia</v>
      </c>
      <c r="D4876" s="1" t="str">
        <f>IFERROR(__xludf.DUMMYFUNCTION("""COMPUTED_VALUE"""),"Lentes de STOCK")</f>
        <v>Lentes de STOCK</v>
      </c>
      <c r="E4876" s="1" t="str">
        <f>IFERROR(__xludf.DUMMYFUNCTION("""COMPUTED_VALUE"""),"RIVADAVIA Santiago N")</f>
        <v>RIVADAVIA Santiago N</v>
      </c>
      <c r="F4876" s="1" t="str">
        <f t="shared" si="1"/>
        <v>RIVADAVIA </v>
      </c>
      <c r="G4876" s="1" t="str">
        <f t="shared" si="2"/>
        <v>Santiago N</v>
      </c>
      <c r="H4876" s="1" t="str">
        <f>IFERROR(__xludf.DUMMYFUNCTION("""COMPUTED_VALUE"""),"11/4/2023, 17:00:00")</f>
        <v>11/4/2023, 17:00:00</v>
      </c>
      <c r="I4876" s="1" t="str">
        <f>IFERROR(__xludf.DUMMYFUNCTION("""COMPUTED_VALUE"""),"Completado en SUCURSAL")</f>
        <v>Completado en SUCURSAL</v>
      </c>
      <c r="J4876" s="1">
        <f t="shared" si="3"/>
        <v>5</v>
      </c>
      <c r="K4876" s="1" t="str">
        <f t="shared" si="4"/>
        <v>Tus Lentes estan LISTAS PARA ENTREGAR, te esperamos.</v>
      </c>
    </row>
    <row r="4877">
      <c r="A4877" s="1">
        <f>IFERROR(__xludf.DUMMYFUNCTION("""COMPUTED_VALUE"""),89441.0)</f>
        <v>89441</v>
      </c>
      <c r="B4877" s="5">
        <f>IFERROR(__xludf.DUMMYFUNCTION("""COMPUTED_VALUE"""),45021.79993771991)</f>
        <v>45021.79994</v>
      </c>
      <c r="C4877" s="1" t="str">
        <f>IFERROR(__xludf.DUMMYFUNCTION("""COMPUTED_VALUE"""),"BUSTOS ARRIOLA BRUNO")</f>
        <v>BUSTOS ARRIOLA BRUNO</v>
      </c>
      <c r="D4877" s="1" t="str">
        <f>IFERROR(__xludf.DUMMYFUNCTION("""COMPUTED_VALUE"""),"Lentes de STOCK")</f>
        <v>Lentes de STOCK</v>
      </c>
      <c r="E4877" s="1" t="str">
        <f>IFERROR(__xludf.DUMMYFUNCTION("""COMPUTED_VALUE"""),"Otro (LUCIANA ARTIGAS)")</f>
        <v>Otro (LUCIANA ARTIGAS)</v>
      </c>
      <c r="F4877" s="1" t="str">
        <f t="shared" si="1"/>
        <v>Otro </v>
      </c>
      <c r="G4877" s="1" t="str">
        <f t="shared" si="2"/>
        <v>(LUCIANA ARTIGAS)</v>
      </c>
      <c r="H4877" s="1" t="str">
        <f>IFERROR(__xludf.DUMMYFUNCTION("""COMPUTED_VALUE"""),"13/4/2023, 17:00:00")</f>
        <v>13/4/2023, 17:00:00</v>
      </c>
      <c r="I4877" s="1" t="str">
        <f>IFERROR(__xludf.DUMMYFUNCTION("""COMPUTED_VALUE"""),"Completado en SUCURSAL")</f>
        <v>Completado en SUCURSAL</v>
      </c>
      <c r="J4877" s="1">
        <f t="shared" si="3"/>
        <v>5</v>
      </c>
      <c r="K4877" s="1" t="str">
        <f t="shared" si="4"/>
        <v>Tus Lentes estan LISTAS PARA ENTREGAR, te esperamos.</v>
      </c>
    </row>
    <row r="4878">
      <c r="A4878" s="1">
        <f>IFERROR(__xludf.DUMMYFUNCTION("""COMPUTED_VALUE"""),89442.0)</f>
        <v>89442</v>
      </c>
      <c r="B4878" s="5">
        <f>IFERROR(__xludf.DUMMYFUNCTION("""COMPUTED_VALUE"""),45021.8001280787)</f>
        <v>45021.80013</v>
      </c>
      <c r="C4878" s="1" t="str">
        <f>IFERROR(__xludf.DUMMYFUNCTION("""COMPUTED_VALUE"""),"ACOSTA AGUSTINA")</f>
        <v>ACOSTA AGUSTINA</v>
      </c>
      <c r="D4878" s="1" t="str">
        <f>IFERROR(__xludf.DUMMYFUNCTION("""COMPUTED_VALUE"""),"Lentes de STOCK")</f>
        <v>Lentes de STOCK</v>
      </c>
      <c r="E4878" s="1" t="str">
        <f>IFERROR(__xludf.DUMMYFUNCTION("""COMPUTED_VALUE"""),"RIVADAVIA Santiago LOPEZ")</f>
        <v>RIVADAVIA Santiago LOPEZ</v>
      </c>
      <c r="F4878" s="1" t="str">
        <f t="shared" si="1"/>
        <v>RIVADAVIA </v>
      </c>
      <c r="G4878" s="1" t="str">
        <f t="shared" si="2"/>
        <v>Santiago LOPEZ</v>
      </c>
      <c r="H4878" s="1" t="str">
        <f>IFERROR(__xludf.DUMMYFUNCTION("""COMPUTED_VALUE"""),"10/4/2023, 17:00:00")</f>
        <v>10/4/2023, 17:00:00</v>
      </c>
      <c r="I4878" s="1" t="str">
        <f>IFERROR(__xludf.DUMMYFUNCTION("""COMPUTED_VALUE"""),"Completado en SUCURSAL")</f>
        <v>Completado en SUCURSAL</v>
      </c>
      <c r="J4878" s="1">
        <f t="shared" si="3"/>
        <v>5</v>
      </c>
      <c r="K4878" s="1" t="str">
        <f t="shared" si="4"/>
        <v>Tus Lentes estan LISTAS PARA ENTREGAR, te esperamos.</v>
      </c>
    </row>
    <row r="4879">
      <c r="A4879" s="1">
        <f>IFERROR(__xludf.DUMMYFUNCTION("""COMPUTED_VALUE"""),89443.0)</f>
        <v>89443</v>
      </c>
      <c r="B4879" s="5">
        <f>IFERROR(__xludf.DUMMYFUNCTION("""COMPUTED_VALUE"""),45021.80116563657)</f>
        <v>45021.80117</v>
      </c>
      <c r="C4879" s="1" t="str">
        <f>IFERROR(__xludf.DUMMYFUNCTION("""COMPUTED_VALUE"""),"QUIROGA GABRIELA")</f>
        <v>QUIROGA GABRIELA</v>
      </c>
      <c r="D4879" s="1" t="str">
        <f>IFERROR(__xludf.DUMMYFUNCTION("""COMPUTED_VALUE"""),"Lentes de STOCK")</f>
        <v>Lentes de STOCK</v>
      </c>
      <c r="E4879" s="1" t="str">
        <f>IFERROR(__xludf.DUMMYFUNCTION("""COMPUTED_VALUE"""),"RIVADAVIA Javier")</f>
        <v>RIVADAVIA Javier</v>
      </c>
      <c r="F4879" s="1" t="str">
        <f t="shared" si="1"/>
        <v>RIVADAVIA </v>
      </c>
      <c r="G4879" s="1" t="str">
        <f t="shared" si="2"/>
        <v>Javier</v>
      </c>
      <c r="H4879" s="1" t="str">
        <f>IFERROR(__xludf.DUMMYFUNCTION("""COMPUTED_VALUE"""),"12/4/2023, 17:00:00")</f>
        <v>12/4/2023, 17:00:00</v>
      </c>
      <c r="I4879" s="1" t="str">
        <f>IFERROR(__xludf.DUMMYFUNCTION("""COMPUTED_VALUE"""),"Completado en SUCURSAL")</f>
        <v>Completado en SUCURSAL</v>
      </c>
      <c r="J4879" s="1">
        <f t="shared" si="3"/>
        <v>5</v>
      </c>
      <c r="K4879" s="1" t="str">
        <f t="shared" si="4"/>
        <v>Tus Lentes estan LISTAS PARA ENTREGAR, te esperamos.</v>
      </c>
    </row>
    <row r="4880">
      <c r="A4880" s="1">
        <f>IFERROR(__xludf.DUMMYFUNCTION("""COMPUTED_VALUE"""),89444.0)</f>
        <v>89444</v>
      </c>
      <c r="B4880" s="5">
        <f>IFERROR(__xludf.DUMMYFUNCTION("""COMPUTED_VALUE"""),45021.80949231482)</f>
        <v>45021.80949</v>
      </c>
      <c r="C4880" s="1" t="str">
        <f>IFERROR(__xludf.DUMMYFUNCTION("""COMPUTED_VALUE"""),"MARTINEZ DAIANA")</f>
        <v>MARTINEZ DAIANA</v>
      </c>
      <c r="D4880" s="1" t="str">
        <f>IFERROR(__xludf.DUMMYFUNCTION("""COMPUTED_VALUE"""),"Lentes de STOCK")</f>
        <v>Lentes de STOCK</v>
      </c>
      <c r="E4880" s="1" t="str">
        <f>IFERROR(__xludf.DUMMYFUNCTION("""COMPUTED_VALUE"""),"ARTIGAS Ivana P.")</f>
        <v>ARTIGAS Ivana P.</v>
      </c>
      <c r="F4880" s="1" t="str">
        <f t="shared" si="1"/>
        <v>ARTIGAS </v>
      </c>
      <c r="G4880" s="1" t="str">
        <f t="shared" si="2"/>
        <v>Ivana P.</v>
      </c>
      <c r="H4880" s="1" t="str">
        <f>IFERROR(__xludf.DUMMYFUNCTION("""COMPUTED_VALUE"""),"10/4/2023, 17:00:00")</f>
        <v>10/4/2023, 17:00:00</v>
      </c>
      <c r="I4880" s="1" t="str">
        <f>IFERROR(__xludf.DUMMYFUNCTION("""COMPUTED_VALUE"""),"RETIRADO OK POR CLIENTE")</f>
        <v>RETIRADO OK POR CLIENTE</v>
      </c>
      <c r="J4880" s="1">
        <f t="shared" si="3"/>
        <v>6</v>
      </c>
      <c r="K4880" s="1" t="str">
        <f t="shared" si="4"/>
        <v>Entregamos tus lentes, que los disfrutes!</v>
      </c>
    </row>
    <row r="4881">
      <c r="A4881" s="1">
        <f>IFERROR(__xludf.DUMMYFUNCTION("""COMPUTED_VALUE"""),89445.0)</f>
        <v>89445</v>
      </c>
      <c r="B4881" s="5">
        <f>IFERROR(__xludf.DUMMYFUNCTION("""COMPUTED_VALUE"""),45021.81628008102)</f>
        <v>45021.81628</v>
      </c>
      <c r="C4881" s="1" t="str">
        <f>IFERROR(__xludf.DUMMYFUNCTION("""COMPUTED_VALUE"""),"SUAREZ TEODORA")</f>
        <v>SUAREZ TEODORA</v>
      </c>
      <c r="D4881" s="1" t="str">
        <f>IFERROR(__xludf.DUMMYFUNCTION("""COMPUTED_VALUE"""),"Lentes de STOCK")</f>
        <v>Lentes de STOCK</v>
      </c>
      <c r="E4881" s="1" t="str">
        <f>IFERROR(__xludf.DUMMYFUNCTION("""COMPUTED_VALUE"""),"Otro (LUCIANA ARTIGAS)")</f>
        <v>Otro (LUCIANA ARTIGAS)</v>
      </c>
      <c r="F4881" s="1" t="str">
        <f t="shared" si="1"/>
        <v>Otro </v>
      </c>
      <c r="G4881" s="1" t="str">
        <f t="shared" si="2"/>
        <v>(LUCIANA ARTIGAS)</v>
      </c>
      <c r="H4881" s="1" t="str">
        <f>IFERROR(__xludf.DUMMYFUNCTION("""COMPUTED_VALUE"""),"13/4/2023, 17:00:00")</f>
        <v>13/4/2023, 17:00:00</v>
      </c>
      <c r="I4881" s="1" t="str">
        <f>IFERROR(__xludf.DUMMYFUNCTION("""COMPUTED_VALUE"""),"Completado en SUCURSAL")</f>
        <v>Completado en SUCURSAL</v>
      </c>
      <c r="J4881" s="1">
        <f t="shared" si="3"/>
        <v>5</v>
      </c>
      <c r="K4881" s="1" t="str">
        <f t="shared" si="4"/>
        <v>Tus Lentes estan LISTAS PARA ENTREGAR, te esperamos.</v>
      </c>
    </row>
    <row r="4882">
      <c r="A4882" s="1">
        <f>IFERROR(__xludf.DUMMYFUNCTION("""COMPUTED_VALUE"""),89446.0)</f>
        <v>89446</v>
      </c>
      <c r="B4882" s="5">
        <f>IFERROR(__xludf.DUMMYFUNCTION("""COMPUTED_VALUE"""),45021.818271261574)</f>
        <v>45021.81827</v>
      </c>
      <c r="C4882" s="1" t="str">
        <f>IFERROR(__xludf.DUMMYFUNCTION("""COMPUTED_VALUE"""),"PEÑALOZA LUZMILA ")</f>
        <v>PEÑALOZA LUZMILA </v>
      </c>
      <c r="D4882" s="1" t="str">
        <f>IFERROR(__xludf.DUMMYFUNCTION("""COMPUTED_VALUE"""),"Reparaciones/Otros")</f>
        <v>Reparaciones/Otros</v>
      </c>
      <c r="E4882" s="1" t="str">
        <f>IFERROR(__xludf.DUMMYFUNCTION("""COMPUTED_VALUE"""),"ARTIGAS Micaela")</f>
        <v>ARTIGAS Micaela</v>
      </c>
      <c r="F4882" s="1" t="str">
        <f t="shared" si="1"/>
        <v>ARTIGAS </v>
      </c>
      <c r="G4882" s="1" t="str">
        <f t="shared" si="2"/>
        <v>Micaela</v>
      </c>
      <c r="H4882" s="1" t="str">
        <f>IFERROR(__xludf.DUMMYFUNCTION("""COMPUTED_VALUE"""),"6/4/2023, 17:00:00")</f>
        <v>6/4/2023, 17:00:00</v>
      </c>
      <c r="I4882" s="1" t="str">
        <f>IFERROR(__xludf.DUMMYFUNCTION("""COMPUTED_VALUE"""),"Completado en SUCURSAL")</f>
        <v>Completado en SUCURSAL</v>
      </c>
      <c r="J4882" s="1">
        <f t="shared" si="3"/>
        <v>5</v>
      </c>
      <c r="K4882" s="1" t="str">
        <f t="shared" si="4"/>
        <v>Tus Lentes estan LISTAS PARA ENTREGAR, te esperamos.</v>
      </c>
    </row>
    <row r="4883">
      <c r="A4883" s="1">
        <f>IFERROR(__xludf.DUMMYFUNCTION("""COMPUTED_VALUE"""),89447.0)</f>
        <v>89447</v>
      </c>
      <c r="B4883" s="5">
        <f>IFERROR(__xludf.DUMMYFUNCTION("""COMPUTED_VALUE"""),45021.821366909724)</f>
        <v>45021.82137</v>
      </c>
      <c r="C4883" s="1" t="str">
        <f>IFERROR(__xludf.DUMMYFUNCTION("""COMPUTED_VALUE"""),"CORTINEZ SERBA ")</f>
        <v>CORTINEZ SERBA </v>
      </c>
      <c r="D4883" s="1" t="str">
        <f>IFERROR(__xludf.DUMMYFUNCTION("""COMPUTED_VALUE"""),"Reparaciones/Otros")</f>
        <v>Reparaciones/Otros</v>
      </c>
      <c r="E4883" s="1" t="str">
        <f>IFERROR(__xludf.DUMMYFUNCTION("""COMPUTED_VALUE"""),"ARTIGAS Micaela")</f>
        <v>ARTIGAS Micaela</v>
      </c>
      <c r="F4883" s="1" t="str">
        <f t="shared" si="1"/>
        <v>ARTIGAS </v>
      </c>
      <c r="G4883" s="1" t="str">
        <f t="shared" si="2"/>
        <v>Micaela</v>
      </c>
      <c r="H4883" s="1" t="str">
        <f>IFERROR(__xludf.DUMMYFUNCTION("""COMPUTED_VALUE"""),"10/4/2023, 17:00:00")</f>
        <v>10/4/2023, 17:00:00</v>
      </c>
      <c r="I4883" s="1" t="str">
        <f>IFERROR(__xludf.DUMMYFUNCTION("""COMPUTED_VALUE"""),"Completado en SUCURSAL")</f>
        <v>Completado en SUCURSAL</v>
      </c>
      <c r="J4883" s="1">
        <f t="shared" si="3"/>
        <v>5</v>
      </c>
      <c r="K4883" s="1" t="str">
        <f t="shared" si="4"/>
        <v>Tus Lentes estan LISTAS PARA ENTREGAR, te esperamos.</v>
      </c>
    </row>
    <row r="4884">
      <c r="A4884" s="1">
        <f>IFERROR(__xludf.DUMMYFUNCTION("""COMPUTED_VALUE"""),89448.0)</f>
        <v>89448</v>
      </c>
      <c r="B4884" s="5">
        <f>IFERROR(__xludf.DUMMYFUNCTION("""COMPUTED_VALUE"""),45021.82436868055)</f>
        <v>45021.82437</v>
      </c>
      <c r="C4884" s="1" t="str">
        <f>IFERROR(__xludf.DUMMYFUNCTION("""COMPUTED_VALUE"""),"AGUERO MELISA")</f>
        <v>AGUERO MELISA</v>
      </c>
      <c r="D4884" s="1" t="str">
        <f>IFERROR(__xludf.DUMMYFUNCTION("""COMPUTED_VALUE"""),"Lentes de STOCK")</f>
        <v>Lentes de STOCK</v>
      </c>
      <c r="E4884" s="1" t="str">
        <f>IFERROR(__xludf.DUMMYFUNCTION("""COMPUTED_VALUE"""),"Otro (LUCIANA ARTIGAS)")</f>
        <v>Otro (LUCIANA ARTIGAS)</v>
      </c>
      <c r="F4884" s="1" t="str">
        <f t="shared" si="1"/>
        <v>Otro </v>
      </c>
      <c r="G4884" s="1" t="str">
        <f t="shared" si="2"/>
        <v>(LUCIANA ARTIGAS)</v>
      </c>
      <c r="H4884" s="1" t="str">
        <f>IFERROR(__xludf.DUMMYFUNCTION("""COMPUTED_VALUE"""),"13/4/2023, 17:00:00")</f>
        <v>13/4/2023, 17:00:00</v>
      </c>
      <c r="I4884" s="1" t="str">
        <f>IFERROR(__xludf.DUMMYFUNCTION("""COMPUTED_VALUE"""),"Completado en SUCURSAL")</f>
        <v>Completado en SUCURSAL</v>
      </c>
      <c r="J4884" s="1">
        <f t="shared" si="3"/>
        <v>5</v>
      </c>
      <c r="K4884" s="1" t="str">
        <f t="shared" si="4"/>
        <v>Tus Lentes estan LISTAS PARA ENTREGAR, te esperamos.</v>
      </c>
    </row>
    <row r="4885">
      <c r="A4885" s="1">
        <f>IFERROR(__xludf.DUMMYFUNCTION("""COMPUTED_VALUE"""),89449.0)</f>
        <v>89449</v>
      </c>
      <c r="B4885" s="5">
        <f>IFERROR(__xludf.DUMMYFUNCTION("""COMPUTED_VALUE"""),45021.826349571755)</f>
        <v>45021.82635</v>
      </c>
      <c r="C4885" s="1" t="str">
        <f>IFERROR(__xludf.DUMMYFUNCTION("""COMPUTED_VALUE"""),"PEREYRA MARIZA CRISTINA")</f>
        <v>PEREYRA MARIZA CRISTINA</v>
      </c>
      <c r="D4885" s="1" t="str">
        <f>IFERROR(__xludf.DUMMYFUNCTION("""COMPUTED_VALUE"""),"Lentes de STOCK")</f>
        <v>Lentes de STOCK</v>
      </c>
      <c r="E4885" s="1" t="str">
        <f>IFERROR(__xludf.DUMMYFUNCTION("""COMPUTED_VALUE"""),"ARTIGAS Ivana P.")</f>
        <v>ARTIGAS Ivana P.</v>
      </c>
      <c r="F4885" s="1" t="str">
        <f t="shared" si="1"/>
        <v>ARTIGAS </v>
      </c>
      <c r="G4885" s="1" t="str">
        <f t="shared" si="2"/>
        <v>Ivana P.</v>
      </c>
      <c r="H4885" s="1" t="str">
        <f>IFERROR(__xludf.DUMMYFUNCTION("""COMPUTED_VALUE"""),"11/4/2023, 17:00:00")</f>
        <v>11/4/2023, 17:00:00</v>
      </c>
      <c r="I4885" s="1" t="str">
        <f>IFERROR(__xludf.DUMMYFUNCTION("""COMPUTED_VALUE"""),"Completado en SUCURSAL")</f>
        <v>Completado en SUCURSAL</v>
      </c>
      <c r="J4885" s="1">
        <f t="shared" si="3"/>
        <v>5</v>
      </c>
      <c r="K4885" s="1" t="str">
        <f t="shared" si="4"/>
        <v>Tus Lentes estan LISTAS PARA ENTREGAR, te esperamos.</v>
      </c>
    </row>
    <row r="4886">
      <c r="A4886" s="1">
        <f>IFERROR(__xludf.DUMMYFUNCTION("""COMPUTED_VALUE"""),89450.0)</f>
        <v>89450</v>
      </c>
      <c r="B4886" s="5">
        <f>IFERROR(__xludf.DUMMYFUNCTION("""COMPUTED_VALUE"""),45021.83565412037)</f>
        <v>45021.83565</v>
      </c>
      <c r="C4886" s="1" t="str">
        <f>IFERROR(__xludf.DUMMYFUNCTION("""COMPUTED_VALUE"""),"BENITEZ MAURICIO")</f>
        <v>BENITEZ MAURICIO</v>
      </c>
      <c r="D4886" s="1" t="str">
        <f>IFERROR(__xludf.DUMMYFUNCTION("""COMPUTED_VALUE"""),"Lentes de LABORATORIO")</f>
        <v>Lentes de LABORATORIO</v>
      </c>
      <c r="E4886" s="1" t="str">
        <f>IFERROR(__xludf.DUMMYFUNCTION("""COMPUTED_VALUE"""),"ARTIGAS Ivana P.")</f>
        <v>ARTIGAS Ivana P.</v>
      </c>
      <c r="F4886" s="1" t="str">
        <f t="shared" si="1"/>
        <v>ARTIGAS </v>
      </c>
      <c r="G4886" s="1" t="str">
        <f t="shared" si="2"/>
        <v>Ivana P.</v>
      </c>
      <c r="H4886" s="1" t="str">
        <f>IFERROR(__xludf.DUMMYFUNCTION("""COMPUTED_VALUE"""),"15/4/2023, 17:00:00")</f>
        <v>15/4/2023, 17:00:00</v>
      </c>
      <c r="I4886" s="1" t="str">
        <f>IFERROR(__xludf.DUMMYFUNCTION("""COMPUTED_VALUE"""),"Completado en SUCURSAL")</f>
        <v>Completado en SUCURSAL</v>
      </c>
      <c r="J4886" s="1">
        <f t="shared" si="3"/>
        <v>5</v>
      </c>
      <c r="K4886" s="1" t="str">
        <f t="shared" si="4"/>
        <v>Tus Lentes estan LISTAS PARA ENTREGAR, te esperamos.</v>
      </c>
    </row>
    <row r="4887">
      <c r="A4887" s="1">
        <f>IFERROR(__xludf.DUMMYFUNCTION("""COMPUTED_VALUE"""),89451.0)</f>
        <v>89451</v>
      </c>
      <c r="B4887" s="5">
        <f>IFERROR(__xludf.DUMMYFUNCTION("""COMPUTED_VALUE"""),45021.83745091435)</f>
        <v>45021.83745</v>
      </c>
      <c r="C4887" s="1" t="str">
        <f>IFERROR(__xludf.DUMMYFUNCTION("""COMPUTED_VALUE"""),"MOYANO OSCAR ")</f>
        <v>MOYANO OSCAR </v>
      </c>
      <c r="D4887" s="1" t="str">
        <f>IFERROR(__xludf.DUMMYFUNCTION("""COMPUTED_VALUE"""),"Lentes de STOCK")</f>
        <v>Lentes de STOCK</v>
      </c>
      <c r="E4887" s="1" t="str">
        <f>IFERROR(__xludf.DUMMYFUNCTION("""COMPUTED_VALUE"""),"RIVADAVIA Luciana")</f>
        <v>RIVADAVIA Luciana</v>
      </c>
      <c r="F4887" s="1" t="str">
        <f t="shared" si="1"/>
        <v>RIVADAVIA </v>
      </c>
      <c r="G4887" s="1" t="str">
        <f t="shared" si="2"/>
        <v>Luciana</v>
      </c>
      <c r="H4887" s="1" t="str">
        <f>IFERROR(__xludf.DUMMYFUNCTION("""COMPUTED_VALUE"""),"13/4/2023, 17:00:00")</f>
        <v>13/4/2023, 17:00:00</v>
      </c>
      <c r="I4887" s="1" t="str">
        <f>IFERROR(__xludf.DUMMYFUNCTION("""COMPUTED_VALUE"""),"Completado en SUCURSAL")</f>
        <v>Completado en SUCURSAL</v>
      </c>
      <c r="J4887" s="1">
        <f t="shared" si="3"/>
        <v>5</v>
      </c>
      <c r="K4887" s="1" t="str">
        <f t="shared" si="4"/>
        <v>Tus Lentes estan LISTAS PARA ENTREGAR, te esperamos.</v>
      </c>
    </row>
    <row r="4888">
      <c r="A4888" s="1">
        <f>IFERROR(__xludf.DUMMYFUNCTION("""COMPUTED_VALUE"""),89452.0)</f>
        <v>89452</v>
      </c>
      <c r="B4888" s="5">
        <f>IFERROR(__xludf.DUMMYFUNCTION("""COMPUTED_VALUE"""),45021.839751273146)</f>
        <v>45021.83975</v>
      </c>
      <c r="C4888" s="1" t="str">
        <f>IFERROR(__xludf.DUMMYFUNCTION("""COMPUTED_VALUE"""),"VILLEGAS MARIELA")</f>
        <v>VILLEGAS MARIELA</v>
      </c>
      <c r="D4888" s="1" t="str">
        <f>IFERROR(__xludf.DUMMYFUNCTION("""COMPUTED_VALUE"""),"Lentes de STOCK")</f>
        <v>Lentes de STOCK</v>
      </c>
      <c r="E4888" s="1" t="str">
        <f>IFERROR(__xludf.DUMMYFUNCTION("""COMPUTED_VALUE"""),"RIVADAVIA Christian C.")</f>
        <v>RIVADAVIA Christian C.</v>
      </c>
      <c r="F4888" s="1" t="str">
        <f t="shared" si="1"/>
        <v>RIVADAVIA </v>
      </c>
      <c r="G4888" s="1" t="str">
        <f t="shared" si="2"/>
        <v>Christian C.</v>
      </c>
      <c r="H4888" s="1" t="str">
        <f>IFERROR(__xludf.DUMMYFUNCTION("""COMPUTED_VALUE"""),"14/4/2023, 17:00:00")</f>
        <v>14/4/2023, 17:00:00</v>
      </c>
      <c r="I4888" s="1" t="str">
        <f>IFERROR(__xludf.DUMMYFUNCTION("""COMPUTED_VALUE"""),"Completado en SUCURSAL")</f>
        <v>Completado en SUCURSAL</v>
      </c>
      <c r="J4888" s="1">
        <f t="shared" si="3"/>
        <v>5</v>
      </c>
      <c r="K4888" s="1" t="str">
        <f t="shared" si="4"/>
        <v>Tus Lentes estan LISTAS PARA ENTREGAR, te esperamos.</v>
      </c>
    </row>
    <row r="4889">
      <c r="A4889" s="1">
        <f>IFERROR(__xludf.DUMMYFUNCTION("""COMPUTED_VALUE"""),89453.0)</f>
        <v>89453</v>
      </c>
      <c r="B4889" s="5">
        <f>IFERROR(__xludf.DUMMYFUNCTION("""COMPUTED_VALUE"""),45021.84062017361)</f>
        <v>45021.84062</v>
      </c>
      <c r="C4889" s="1" t="str">
        <f>IFERROR(__xludf.DUMMYFUNCTION("""COMPUTED_VALUE"""),"LUCERO FLORENCIA")</f>
        <v>LUCERO FLORENCIA</v>
      </c>
      <c r="D4889" s="1" t="str">
        <f>IFERROR(__xludf.DUMMYFUNCTION("""COMPUTED_VALUE"""),"Reparaciones/Otros")</f>
        <v>Reparaciones/Otros</v>
      </c>
      <c r="E4889" s="1" t="str">
        <f>IFERROR(__xludf.DUMMYFUNCTION("""COMPUTED_VALUE"""),"RIVADAVIA Daniel CM")</f>
        <v>RIVADAVIA Daniel CM</v>
      </c>
      <c r="F4889" s="1" t="str">
        <f t="shared" si="1"/>
        <v>RIVADAVIA </v>
      </c>
      <c r="G4889" s="1" t="str">
        <f t="shared" si="2"/>
        <v>Daniel CM</v>
      </c>
      <c r="H4889" s="1" t="str">
        <f>IFERROR(__xludf.DUMMYFUNCTION("""COMPUTED_VALUE"""),"6/4/2023, 17:00:00")</f>
        <v>6/4/2023, 17:00:00</v>
      </c>
      <c r="I4889" s="1" t="str">
        <f>IFERROR(__xludf.DUMMYFUNCTION("""COMPUTED_VALUE"""),"Completado en SUCURSAL")</f>
        <v>Completado en SUCURSAL</v>
      </c>
      <c r="J4889" s="1">
        <f t="shared" si="3"/>
        <v>5</v>
      </c>
      <c r="K4889" s="1" t="str">
        <f t="shared" si="4"/>
        <v>Tus Lentes estan LISTAS PARA ENTREGAR, te esperamos.</v>
      </c>
    </row>
    <row r="4890">
      <c r="A4890" s="1">
        <f>IFERROR(__xludf.DUMMYFUNCTION("""COMPUTED_VALUE"""),89454.0)</f>
        <v>89454</v>
      </c>
      <c r="B4890" s="5">
        <f>IFERROR(__xludf.DUMMYFUNCTION("""COMPUTED_VALUE"""),45021.84607071759)</f>
        <v>45021.84607</v>
      </c>
      <c r="C4890" s="1" t="str">
        <f>IFERROR(__xludf.DUMMYFUNCTION("""COMPUTED_VALUE"""),"CHWESIUK FABIAN")</f>
        <v>CHWESIUK FABIAN</v>
      </c>
      <c r="D4890" s="1" t="str">
        <f>IFERROR(__xludf.DUMMYFUNCTION("""COMPUTED_VALUE"""),"Reparaciones/Otros")</f>
        <v>Reparaciones/Otros</v>
      </c>
      <c r="E4890" s="1" t="str">
        <f>IFERROR(__xludf.DUMMYFUNCTION("""COMPUTED_VALUE"""),"RIVADAVIA Santiago LOPEZ")</f>
        <v>RIVADAVIA Santiago LOPEZ</v>
      </c>
      <c r="F4890" s="1" t="str">
        <f t="shared" si="1"/>
        <v>RIVADAVIA </v>
      </c>
      <c r="G4890" s="1" t="str">
        <f t="shared" si="2"/>
        <v>Santiago LOPEZ</v>
      </c>
      <c r="H4890" s="1" t="str">
        <f>IFERROR(__xludf.DUMMYFUNCTION("""COMPUTED_VALUE"""),"6/4/2023, 17:00:00")</f>
        <v>6/4/2023, 17:00:00</v>
      </c>
      <c r="I4890" s="1"/>
      <c r="J4890" s="1">
        <f t="shared" si="3"/>
        <v>0</v>
      </c>
      <c r="K4890" s="1" t="str">
        <f t="shared" si="4"/>
        <v/>
      </c>
    </row>
    <row r="4891">
      <c r="A4891" s="1">
        <f>IFERROR(__xludf.DUMMYFUNCTION("""COMPUTED_VALUE"""),89455.0)</f>
        <v>89455</v>
      </c>
      <c r="B4891" s="5">
        <f>IFERROR(__xludf.DUMMYFUNCTION("""COMPUTED_VALUE"""),45022.40544541666)</f>
        <v>45022.40545</v>
      </c>
      <c r="C4891" s="1" t="str">
        <f>IFERROR(__xludf.DUMMYFUNCTION("""COMPUTED_VALUE"""),"MORALES ELBA ")</f>
        <v>MORALES ELBA </v>
      </c>
      <c r="D4891" s="1" t="str">
        <f>IFERROR(__xludf.DUMMYFUNCTION("""COMPUTED_VALUE"""),"Lentes de STOCK")</f>
        <v>Lentes de STOCK</v>
      </c>
      <c r="E4891" s="1" t="str">
        <f>IFERROR(__xludf.DUMMYFUNCTION("""COMPUTED_VALUE"""),"Otro (LUCIANA ARTIGAS)")</f>
        <v>Otro (LUCIANA ARTIGAS)</v>
      </c>
      <c r="F4891" s="1" t="str">
        <f t="shared" si="1"/>
        <v>Otro </v>
      </c>
      <c r="G4891" s="1" t="str">
        <f t="shared" si="2"/>
        <v>(LUCIANA ARTIGAS)</v>
      </c>
      <c r="H4891" s="1" t="str">
        <f>IFERROR(__xludf.DUMMYFUNCTION("""COMPUTED_VALUE"""),"13/4/2023, 17:00:00")</f>
        <v>13/4/2023, 17:00:00</v>
      </c>
      <c r="I4891" s="1" t="str">
        <f>IFERROR(__xludf.DUMMYFUNCTION("""COMPUTED_VALUE"""),"Completado en SUCURSAL")</f>
        <v>Completado en SUCURSAL</v>
      </c>
      <c r="J4891" s="1">
        <f t="shared" si="3"/>
        <v>5</v>
      </c>
      <c r="K4891" s="1" t="str">
        <f t="shared" si="4"/>
        <v>Tus Lentes estan LISTAS PARA ENTREGAR, te esperamos.</v>
      </c>
    </row>
    <row r="4892">
      <c r="A4892" s="1">
        <f>IFERROR(__xludf.DUMMYFUNCTION("""COMPUTED_VALUE"""),89456.0)</f>
        <v>89456</v>
      </c>
      <c r="B4892" s="5">
        <f>IFERROR(__xludf.DUMMYFUNCTION("""COMPUTED_VALUE"""),45022.407548449075)</f>
        <v>45022.40755</v>
      </c>
      <c r="C4892" s="1" t="str">
        <f>IFERROR(__xludf.DUMMYFUNCTION("""COMPUTED_VALUE"""),"MARTINEZ CLAUDIA")</f>
        <v>MARTINEZ CLAUDIA</v>
      </c>
      <c r="D4892" s="1" t="str">
        <f>IFERROR(__xludf.DUMMYFUNCTION("""COMPUTED_VALUE"""),"Reparaciones/Otros")</f>
        <v>Reparaciones/Otros</v>
      </c>
      <c r="E4892" s="1" t="str">
        <f>IFERROR(__xludf.DUMMYFUNCTION("""COMPUTED_VALUE"""),"RIVADAVIA Marcela L")</f>
        <v>RIVADAVIA Marcela L</v>
      </c>
      <c r="F4892" s="1" t="str">
        <f t="shared" si="1"/>
        <v>RIVADAVIA </v>
      </c>
      <c r="G4892" s="1" t="str">
        <f t="shared" si="2"/>
        <v>Marcela L</v>
      </c>
      <c r="H4892" s="1" t="str">
        <f>IFERROR(__xludf.DUMMYFUNCTION("""COMPUTED_VALUE"""),"10/4/2023, 17:00:00")</f>
        <v>10/4/2023, 17:00:00</v>
      </c>
      <c r="I4892" s="1" t="str">
        <f>IFERROR(__xludf.DUMMYFUNCTION("""COMPUTED_VALUE"""),"Recibido en Laboratorio")</f>
        <v>Recibido en Laboratorio</v>
      </c>
      <c r="J4892" s="1">
        <f t="shared" si="3"/>
        <v>2</v>
      </c>
      <c r="K4892" s="1" t="str">
        <f t="shared" si="4"/>
        <v>Nuestro Laboratorio esta trabajando en tus lentes, los entregaremos en la fecha acordada.</v>
      </c>
    </row>
    <row r="4893">
      <c r="A4893" s="1">
        <f>IFERROR(__xludf.DUMMYFUNCTION("""COMPUTED_VALUE"""),89457.0)</f>
        <v>89457</v>
      </c>
      <c r="B4893" s="5">
        <f>IFERROR(__xludf.DUMMYFUNCTION("""COMPUTED_VALUE"""),45022.40873265047)</f>
        <v>45022.40873</v>
      </c>
      <c r="C4893" s="1" t="str">
        <f>IFERROR(__xludf.DUMMYFUNCTION("""COMPUTED_VALUE"""),"GIMENEZ VALENTINA")</f>
        <v>GIMENEZ VALENTINA</v>
      </c>
      <c r="D4893" s="1" t="str">
        <f>IFERROR(__xludf.DUMMYFUNCTION("""COMPUTED_VALUE"""),"Lentes de LABORATORIO")</f>
        <v>Lentes de LABORATORIO</v>
      </c>
      <c r="E4893" s="1" t="str">
        <f>IFERROR(__xludf.DUMMYFUNCTION("""COMPUTED_VALUE"""),"ARTIGAS Ivana P.")</f>
        <v>ARTIGAS Ivana P.</v>
      </c>
      <c r="F4893" s="1" t="str">
        <f t="shared" si="1"/>
        <v>ARTIGAS </v>
      </c>
      <c r="G4893" s="1" t="str">
        <f t="shared" si="2"/>
        <v>Ivana P.</v>
      </c>
      <c r="H4893" s="1" t="str">
        <f>IFERROR(__xludf.DUMMYFUNCTION("""COMPUTED_VALUE"""),"17/4/2023, 17:00:00")</f>
        <v>17/4/2023, 17:00:00</v>
      </c>
      <c r="I4893" s="1" t="str">
        <f>IFERROR(__xludf.DUMMYFUNCTION("""COMPUTED_VALUE"""),"Completado en SUCURSAL")</f>
        <v>Completado en SUCURSAL</v>
      </c>
      <c r="J4893" s="1">
        <f t="shared" si="3"/>
        <v>5</v>
      </c>
      <c r="K4893" s="1" t="str">
        <f t="shared" si="4"/>
        <v>Tus Lentes estan LISTAS PARA ENTREGAR, te esperamos.</v>
      </c>
    </row>
    <row r="4894">
      <c r="A4894" s="1">
        <f>IFERROR(__xludf.DUMMYFUNCTION("""COMPUTED_VALUE"""),89458.0)</f>
        <v>89458</v>
      </c>
      <c r="B4894" s="5">
        <f>IFERROR(__xludf.DUMMYFUNCTION("""COMPUTED_VALUE"""),45022.41566303241)</f>
        <v>45022.41566</v>
      </c>
      <c r="C4894" s="1" t="str">
        <f>IFERROR(__xludf.DUMMYFUNCTION("""COMPUTED_VALUE"""),"REINOSO MARIA MARTA")</f>
        <v>REINOSO MARIA MARTA</v>
      </c>
      <c r="D4894" s="1" t="str">
        <f>IFERROR(__xludf.DUMMYFUNCTION("""COMPUTED_VALUE"""),"Lentes de STOCK")</f>
        <v>Lentes de STOCK</v>
      </c>
      <c r="E4894" s="1" t="str">
        <f>IFERROR(__xludf.DUMMYFUNCTION("""COMPUTED_VALUE"""),"RIVADAVIA Javier")</f>
        <v>RIVADAVIA Javier</v>
      </c>
      <c r="F4894" s="1" t="str">
        <f t="shared" si="1"/>
        <v>RIVADAVIA </v>
      </c>
      <c r="G4894" s="1" t="str">
        <f t="shared" si="2"/>
        <v>Javier</v>
      </c>
      <c r="H4894" s="1" t="str">
        <f>IFERROR(__xludf.DUMMYFUNCTION("""COMPUTED_VALUE"""),"12/4/2023, 17:00:00")</f>
        <v>12/4/2023, 17:00:00</v>
      </c>
      <c r="I4894" s="1" t="str">
        <f>IFERROR(__xludf.DUMMYFUNCTION("""COMPUTED_VALUE"""),"Completado en SUCURSAL")</f>
        <v>Completado en SUCURSAL</v>
      </c>
      <c r="J4894" s="1">
        <f t="shared" si="3"/>
        <v>5</v>
      </c>
      <c r="K4894" s="1" t="str">
        <f t="shared" si="4"/>
        <v>Tus Lentes estan LISTAS PARA ENTREGAR, te esperamos.</v>
      </c>
    </row>
    <row r="4895">
      <c r="A4895" s="1">
        <f>IFERROR(__xludf.DUMMYFUNCTION("""COMPUTED_VALUE"""),89459.0)</f>
        <v>89459</v>
      </c>
      <c r="B4895" s="5">
        <f>IFERROR(__xludf.DUMMYFUNCTION("""COMPUTED_VALUE"""),45022.42375631945)</f>
        <v>45022.42376</v>
      </c>
      <c r="C4895" s="1" t="str">
        <f>IFERROR(__xludf.DUMMYFUNCTION("""COMPUTED_VALUE"""),"GATICA DOMINGA")</f>
        <v>GATICA DOMINGA</v>
      </c>
      <c r="D4895" s="1" t="str">
        <f>IFERROR(__xludf.DUMMYFUNCTION("""COMPUTED_VALUE"""),"Lentes de STOCK")</f>
        <v>Lentes de STOCK</v>
      </c>
      <c r="E4895" s="1" t="str">
        <f>IFERROR(__xludf.DUMMYFUNCTION("""COMPUTED_VALUE"""),"RIVADAVIA Santiago LOPEZ")</f>
        <v>RIVADAVIA Santiago LOPEZ</v>
      </c>
      <c r="F4895" s="1" t="str">
        <f t="shared" si="1"/>
        <v>RIVADAVIA </v>
      </c>
      <c r="G4895" s="1" t="str">
        <f t="shared" si="2"/>
        <v>Santiago LOPEZ</v>
      </c>
      <c r="H4895" s="1" t="str">
        <f>IFERROR(__xludf.DUMMYFUNCTION("""COMPUTED_VALUE"""),"10/4/2023, 17:00:00")</f>
        <v>10/4/2023, 17:00:00</v>
      </c>
      <c r="I4895" s="1" t="str">
        <f>IFERROR(__xludf.DUMMYFUNCTION("""COMPUTED_VALUE"""),"Completado en SUCURSAL")</f>
        <v>Completado en SUCURSAL</v>
      </c>
      <c r="J4895" s="1">
        <f t="shared" si="3"/>
        <v>5</v>
      </c>
      <c r="K4895" s="1" t="str">
        <f t="shared" si="4"/>
        <v>Tus Lentes estan LISTAS PARA ENTREGAR, te esperamos.</v>
      </c>
    </row>
    <row r="4896" hidden="1">
      <c r="A4896" s="1">
        <f>IFERROR(__xludf.DUMMYFUNCTION("""COMPUTED_VALUE"""),89460.0)</f>
        <v>89460</v>
      </c>
      <c r="B4896" s="5">
        <f>IFERROR(__xludf.DUMMYFUNCTION("""COMPUTED_VALUE"""),45022.439318680554)</f>
        <v>45022.43932</v>
      </c>
      <c r="C4896" s="1" t="str">
        <f>IFERROR(__xludf.DUMMYFUNCTION("""COMPUTED_VALUE"""),"DETTONI NELSON")</f>
        <v>DETTONI NELSON</v>
      </c>
      <c r="D4896" s="1" t="str">
        <f>IFERROR(__xludf.DUMMYFUNCTION("""COMPUTED_VALUE"""),"Lentes MULTIFOCALES")</f>
        <v>Lentes MULTIFOCALES</v>
      </c>
      <c r="E4896" s="1" t="str">
        <f>IFERROR(__xludf.DUMMYFUNCTION("""COMPUTED_VALUE"""),"RIVADAVIA Javier")</f>
        <v>RIVADAVIA Javier</v>
      </c>
      <c r="F4896" s="1" t="str">
        <f t="shared" si="1"/>
        <v>RIVADAVIA </v>
      </c>
      <c r="G4896" s="1" t="str">
        <f t="shared" si="2"/>
        <v>Javier</v>
      </c>
      <c r="H4896" s="1" t="str">
        <f>IFERROR(__xludf.DUMMYFUNCTION("""COMPUTED_VALUE"""),"19/4/2023, 17:00:00")</f>
        <v>19/4/2023, 17:00:00</v>
      </c>
      <c r="I4896" s="1" t="str">
        <f>IFERROR(__xludf.DUMMYFUNCTION("""COMPUTED_VALUE"""),"DEMORADO")</f>
        <v>DEMORADO</v>
      </c>
      <c r="J4896" s="1" t="str">
        <f t="shared" si="3"/>
        <v/>
      </c>
      <c r="K4896" s="1" t="str">
        <f t="shared" si="4"/>
        <v>Tuvimos una demora con tus lentes y no podremos entregarlo en las fecha acordada, estamos trabajando para terminarlos cuanto antes, te mantendremos al tanto, si es necesario contactanos via whatsapp.</v>
      </c>
    </row>
    <row r="4897">
      <c r="A4897" s="1">
        <f>IFERROR(__xludf.DUMMYFUNCTION("""COMPUTED_VALUE"""),89461.0)</f>
        <v>89461</v>
      </c>
      <c r="B4897" s="5">
        <f>IFERROR(__xludf.DUMMYFUNCTION("""COMPUTED_VALUE"""),45022.445816736115)</f>
        <v>45022.44582</v>
      </c>
      <c r="C4897" s="1" t="str">
        <f>IFERROR(__xludf.DUMMYFUNCTION("""COMPUTED_VALUE"""),"VILLEGAS ESTELA MARIS")</f>
        <v>VILLEGAS ESTELA MARIS</v>
      </c>
      <c r="D4897" s="1" t="str">
        <f>IFERROR(__xludf.DUMMYFUNCTION("""COMPUTED_VALUE"""),"Lentes MULTIFOCALES")</f>
        <v>Lentes MULTIFOCALES</v>
      </c>
      <c r="E4897" s="1" t="str">
        <f>IFERROR(__xludf.DUMMYFUNCTION("""COMPUTED_VALUE"""),"RIVADAVIA Marcela L")</f>
        <v>RIVADAVIA Marcela L</v>
      </c>
      <c r="F4897" s="1" t="str">
        <f t="shared" si="1"/>
        <v>RIVADAVIA </v>
      </c>
      <c r="G4897" s="1" t="str">
        <f t="shared" si="2"/>
        <v>Marcela L</v>
      </c>
      <c r="H4897" s="1" t="str">
        <f>IFERROR(__xludf.DUMMYFUNCTION("""COMPUTED_VALUE"""),"21/4/2023, 17:00:00")</f>
        <v>21/4/2023, 17:00:00</v>
      </c>
      <c r="I4897" s="1" t="str">
        <f>IFERROR(__xludf.DUMMYFUNCTION("""COMPUTED_VALUE"""),"Recibido en Laboratorio")</f>
        <v>Recibido en Laboratorio</v>
      </c>
      <c r="J4897" s="1">
        <f t="shared" si="3"/>
        <v>2</v>
      </c>
      <c r="K4897" s="1" t="str">
        <f t="shared" si="4"/>
        <v>Nuestro Laboratorio esta trabajando en tus lentes, los entregaremos en la fecha acordada.</v>
      </c>
    </row>
    <row r="4898" hidden="1">
      <c r="A4898" s="1">
        <f>IFERROR(__xludf.DUMMYFUNCTION("""COMPUTED_VALUE"""),89462.0)</f>
        <v>89462</v>
      </c>
      <c r="B4898" s="5">
        <f>IFERROR(__xludf.DUMMYFUNCTION("""COMPUTED_VALUE"""),45022.44819243056)</f>
        <v>45022.44819</v>
      </c>
      <c r="C4898" s="1" t="str">
        <f>IFERROR(__xludf.DUMMYFUNCTION("""COMPUTED_VALUE"""),"alric silvia")</f>
        <v>alric silvia</v>
      </c>
      <c r="D4898" s="1" t="str">
        <f>IFERROR(__xludf.DUMMYFUNCTION("""COMPUTED_VALUE"""),"Lentes MULTIFOCALES")</f>
        <v>Lentes MULTIFOCALES</v>
      </c>
      <c r="E4898" s="1" t="str">
        <f>IFERROR(__xludf.DUMMYFUNCTION("""COMPUTED_VALUE"""),"RIVADAVIA Santiago N")</f>
        <v>RIVADAVIA Santiago N</v>
      </c>
      <c r="F4898" s="1" t="str">
        <f t="shared" si="1"/>
        <v>RIVADAVIA </v>
      </c>
      <c r="G4898" s="1" t="str">
        <f t="shared" si="2"/>
        <v>Santiago N</v>
      </c>
      <c r="H4898" s="1" t="str">
        <f>IFERROR(__xludf.DUMMYFUNCTION("""COMPUTED_VALUE"""),"19/4/2023, 17:00:00")</f>
        <v>19/4/2023, 17:00:00</v>
      </c>
      <c r="I4898" s="1" t="str">
        <f>IFERROR(__xludf.DUMMYFUNCTION("""COMPUTED_VALUE"""),"DEMORADO")</f>
        <v>DEMORADO</v>
      </c>
      <c r="J4898" s="1" t="str">
        <f t="shared" si="3"/>
        <v/>
      </c>
      <c r="K4898" s="1" t="str">
        <f t="shared" si="4"/>
        <v>Tuvimos una demora con tus lentes y no podremos entregarlo en las fecha acordada, estamos trabajando para terminarlos cuanto antes, te mantendremos al tanto, si es necesario contactanos via whatsapp.</v>
      </c>
    </row>
    <row r="4899">
      <c r="A4899" s="1">
        <f>IFERROR(__xludf.DUMMYFUNCTION("""COMPUTED_VALUE"""),89463.0)</f>
        <v>89463</v>
      </c>
      <c r="B4899" s="5">
        <f>IFERROR(__xludf.DUMMYFUNCTION("""COMPUTED_VALUE"""),45022.450104710646)</f>
        <v>45022.4501</v>
      </c>
      <c r="C4899" s="1" t="str">
        <f>IFERROR(__xludf.DUMMYFUNCTION("""COMPUTED_VALUE"""),"cisnero ludmila")</f>
        <v>cisnero ludmila</v>
      </c>
      <c r="D4899" s="1" t="str">
        <f>IFERROR(__xludf.DUMMYFUNCTION("""COMPUTED_VALUE"""),"Lentes de STOCK")</f>
        <v>Lentes de STOCK</v>
      </c>
      <c r="E4899" s="1" t="str">
        <f>IFERROR(__xludf.DUMMYFUNCTION("""COMPUTED_VALUE"""),"RIVADAVIA Santiago N")</f>
        <v>RIVADAVIA Santiago N</v>
      </c>
      <c r="F4899" s="1" t="str">
        <f t="shared" si="1"/>
        <v>RIVADAVIA </v>
      </c>
      <c r="G4899" s="1" t="str">
        <f t="shared" si="2"/>
        <v>Santiago N</v>
      </c>
      <c r="H4899" s="1" t="str">
        <f>IFERROR(__xludf.DUMMYFUNCTION("""COMPUTED_VALUE"""),"10/4/2023, 17:00:00")</f>
        <v>10/4/2023, 17:00:00</v>
      </c>
      <c r="I4899" s="1" t="str">
        <f>IFERROR(__xludf.DUMMYFUNCTION("""COMPUTED_VALUE"""),"Completado en SUCURSAL")</f>
        <v>Completado en SUCURSAL</v>
      </c>
      <c r="J4899" s="1">
        <f t="shared" si="3"/>
        <v>5</v>
      </c>
      <c r="K4899" s="1" t="str">
        <f t="shared" si="4"/>
        <v>Tus Lentes estan LISTAS PARA ENTREGAR, te esperamos.</v>
      </c>
    </row>
    <row r="4900" hidden="1">
      <c r="A4900" s="1">
        <f>IFERROR(__xludf.DUMMYFUNCTION("""COMPUTED_VALUE"""),89464.0)</f>
        <v>89464</v>
      </c>
      <c r="B4900" s="5">
        <f>IFERROR(__xludf.DUMMYFUNCTION("""COMPUTED_VALUE"""),45022.45093210648)</f>
        <v>45022.45093</v>
      </c>
      <c r="C4900" s="1" t="str">
        <f>IFERROR(__xludf.DUMMYFUNCTION("""COMPUTED_VALUE"""),"TRACEY JUAN")</f>
        <v>TRACEY JUAN</v>
      </c>
      <c r="D4900" s="1" t="str">
        <f>IFERROR(__xludf.DUMMYFUNCTION("""COMPUTED_VALUE"""),"Lentes de STOCK")</f>
        <v>Lentes de STOCK</v>
      </c>
      <c r="E4900" s="1" t="str">
        <f>IFERROR(__xludf.DUMMYFUNCTION("""COMPUTED_VALUE"""),"RIVADAVIA Daniel CM")</f>
        <v>RIVADAVIA Daniel CM</v>
      </c>
      <c r="F4900" s="1" t="str">
        <f t="shared" si="1"/>
        <v>RIVADAVIA </v>
      </c>
      <c r="G4900" s="1" t="str">
        <f t="shared" si="2"/>
        <v>Daniel CM</v>
      </c>
      <c r="H4900" s="1" t="str">
        <f>IFERROR(__xludf.DUMMYFUNCTION("""COMPUTED_VALUE"""),"13/4/2023, 17:00:00")</f>
        <v>13/4/2023, 17:00:00</v>
      </c>
      <c r="I4900" s="1" t="str">
        <f>IFERROR(__xludf.DUMMYFUNCTION("""COMPUTED_VALUE"""),"Completado en SUCURSAL")</f>
        <v>Completado en SUCURSAL</v>
      </c>
      <c r="J4900" s="1">
        <f t="shared" si="3"/>
        <v>5</v>
      </c>
      <c r="K4900" s="1" t="str">
        <f t="shared" si="4"/>
        <v>Tus Lentes estan LISTAS PARA ENTREGAR, te esperamos.</v>
      </c>
    </row>
    <row r="4901">
      <c r="A4901" s="1">
        <f>IFERROR(__xludf.DUMMYFUNCTION("""COMPUTED_VALUE"""),89465.0)</f>
        <v>89465</v>
      </c>
      <c r="B4901" s="5">
        <f>IFERROR(__xludf.DUMMYFUNCTION("""COMPUTED_VALUE"""),45022.45573824074)</f>
        <v>45022.45574</v>
      </c>
      <c r="C4901" s="1" t="str">
        <f>IFERROR(__xludf.DUMMYFUNCTION("""COMPUTED_VALUE"""),"QUIROGA ORLANDO")</f>
        <v>QUIROGA ORLANDO</v>
      </c>
      <c r="D4901" s="1" t="str">
        <f>IFERROR(__xludf.DUMMYFUNCTION("""COMPUTED_VALUE"""),"Lentes MULTIFOCALES")</f>
        <v>Lentes MULTIFOCALES</v>
      </c>
      <c r="E4901" s="1" t="str">
        <f>IFERROR(__xludf.DUMMYFUNCTION("""COMPUTED_VALUE"""),"RIVADAVIA Luciana")</f>
        <v>RIVADAVIA Luciana</v>
      </c>
      <c r="F4901" s="1" t="str">
        <f t="shared" si="1"/>
        <v>RIVADAVIA </v>
      </c>
      <c r="G4901" s="1" t="str">
        <f t="shared" si="2"/>
        <v>Luciana</v>
      </c>
      <c r="H4901" s="1" t="str">
        <f>IFERROR(__xludf.DUMMYFUNCTION("""COMPUTED_VALUE"""),"24/4/2023, 17:00:00")</f>
        <v>24/4/2023, 17:00:00</v>
      </c>
      <c r="I4901" s="1" t="str">
        <f>IFERROR(__xludf.DUMMYFUNCTION("""COMPUTED_VALUE"""),"Recibido en Laboratorio")</f>
        <v>Recibido en Laboratorio</v>
      </c>
      <c r="J4901" s="1">
        <f t="shared" si="3"/>
        <v>2</v>
      </c>
      <c r="K4901" s="1" t="str">
        <f t="shared" si="4"/>
        <v>Nuestro Laboratorio esta trabajando en tus lentes, los entregaremos en la fecha acordada.</v>
      </c>
    </row>
    <row r="4902">
      <c r="A4902" s="1">
        <f>IFERROR(__xludf.DUMMYFUNCTION("""COMPUTED_VALUE"""),89466.0)</f>
        <v>89466</v>
      </c>
      <c r="B4902" s="5">
        <f>IFERROR(__xludf.DUMMYFUNCTION("""COMPUTED_VALUE"""),45022.45804158565)</f>
        <v>45022.45804</v>
      </c>
      <c r="C4902" s="1" t="str">
        <f>IFERROR(__xludf.DUMMYFUNCTION("""COMPUTED_VALUE"""),"MOLINA SILVIA")</f>
        <v>MOLINA SILVIA</v>
      </c>
      <c r="D4902" s="1" t="str">
        <f>IFERROR(__xludf.DUMMYFUNCTION("""COMPUTED_VALUE"""),"Lentes de STOCK")</f>
        <v>Lentes de STOCK</v>
      </c>
      <c r="E4902" s="1" t="str">
        <f>IFERROR(__xludf.DUMMYFUNCTION("""COMPUTED_VALUE"""),"ARTIGAS Ivana P.")</f>
        <v>ARTIGAS Ivana P.</v>
      </c>
      <c r="F4902" s="1" t="str">
        <f t="shared" si="1"/>
        <v>ARTIGAS </v>
      </c>
      <c r="G4902" s="1" t="str">
        <f t="shared" si="2"/>
        <v>Ivana P.</v>
      </c>
      <c r="H4902" s="1" t="str">
        <f>IFERROR(__xludf.DUMMYFUNCTION("""COMPUTED_VALUE"""),"12/4/2023, 17:00:00")</f>
        <v>12/4/2023, 17:00:00</v>
      </c>
      <c r="I4902" s="1" t="str">
        <f>IFERROR(__xludf.DUMMYFUNCTION("""COMPUTED_VALUE"""),"Completado en SUCURSAL")</f>
        <v>Completado en SUCURSAL</v>
      </c>
      <c r="J4902" s="1">
        <f t="shared" si="3"/>
        <v>5</v>
      </c>
      <c r="K4902" s="1" t="str">
        <f t="shared" si="4"/>
        <v>Tus Lentes estan LISTAS PARA ENTREGAR, te esperamos.</v>
      </c>
    </row>
    <row r="4903">
      <c r="A4903" s="1">
        <f>IFERROR(__xludf.DUMMYFUNCTION("""COMPUTED_VALUE"""),89467.0)</f>
        <v>89467</v>
      </c>
      <c r="B4903" s="5">
        <f>IFERROR(__xludf.DUMMYFUNCTION("""COMPUTED_VALUE"""),45022.461851851855)</f>
        <v>45022.46185</v>
      </c>
      <c r="C4903" s="1" t="str">
        <f>IFERROR(__xludf.DUMMYFUNCTION("""COMPUTED_VALUE"""),"COSTANZO PEDRO")</f>
        <v>COSTANZO PEDRO</v>
      </c>
      <c r="D4903" s="1" t="str">
        <f>IFERROR(__xludf.DUMMYFUNCTION("""COMPUTED_VALUE"""),"Reparaciones/Otros")</f>
        <v>Reparaciones/Otros</v>
      </c>
      <c r="E4903" s="1" t="str">
        <f>IFERROR(__xludf.DUMMYFUNCTION("""COMPUTED_VALUE"""),"RIVADAVIA Marcela L")</f>
        <v>RIVADAVIA Marcela L</v>
      </c>
      <c r="F4903" s="1" t="str">
        <f t="shared" si="1"/>
        <v>RIVADAVIA </v>
      </c>
      <c r="G4903" s="1" t="str">
        <f t="shared" si="2"/>
        <v>Marcela L</v>
      </c>
      <c r="H4903" s="1" t="str">
        <f>IFERROR(__xludf.DUMMYFUNCTION("""COMPUTED_VALUE"""),"10/4/2023, 17:00:00")</f>
        <v>10/4/2023, 17:00:00</v>
      </c>
      <c r="I4903" s="1" t="str">
        <f>IFERROR(__xludf.DUMMYFUNCTION("""COMPUTED_VALUE"""),"Completado en SUCURSAL")</f>
        <v>Completado en SUCURSAL</v>
      </c>
      <c r="J4903" s="1">
        <f t="shared" si="3"/>
        <v>5</v>
      </c>
      <c r="K4903" s="1" t="str">
        <f t="shared" si="4"/>
        <v>Tus Lentes estan LISTAS PARA ENTREGAR, te esperamos.</v>
      </c>
    </row>
    <row r="4904">
      <c r="A4904" s="1">
        <f>IFERROR(__xludf.DUMMYFUNCTION("""COMPUTED_VALUE"""),89468.0)</f>
        <v>89468</v>
      </c>
      <c r="B4904" s="5">
        <f>IFERROR(__xludf.DUMMYFUNCTION("""COMPUTED_VALUE"""),45022.464107685184)</f>
        <v>45022.46411</v>
      </c>
      <c r="C4904" s="1" t="str">
        <f>IFERROR(__xludf.DUMMYFUNCTION("""COMPUTED_VALUE"""),"VEGA MARIA")</f>
        <v>VEGA MARIA</v>
      </c>
      <c r="D4904" s="1" t="str">
        <f>IFERROR(__xludf.DUMMYFUNCTION("""COMPUTED_VALUE"""),"Lentes de STOCK")</f>
        <v>Lentes de STOCK</v>
      </c>
      <c r="E4904" s="1" t="str">
        <f>IFERROR(__xludf.DUMMYFUNCTION("""COMPUTED_VALUE"""),"ARTIGAS Ivana P.")</f>
        <v>ARTIGAS Ivana P.</v>
      </c>
      <c r="F4904" s="1" t="str">
        <f t="shared" si="1"/>
        <v>ARTIGAS </v>
      </c>
      <c r="G4904" s="1" t="str">
        <f t="shared" si="2"/>
        <v>Ivana P.</v>
      </c>
      <c r="H4904" s="1" t="str">
        <f>IFERROR(__xludf.DUMMYFUNCTION("""COMPUTED_VALUE"""),"12/4/2023, 17:00:00")</f>
        <v>12/4/2023, 17:00:00</v>
      </c>
      <c r="I4904" s="1" t="str">
        <f>IFERROR(__xludf.DUMMYFUNCTION("""COMPUTED_VALUE"""),"Completado en SUCURSAL")</f>
        <v>Completado en SUCURSAL</v>
      </c>
      <c r="J4904" s="1">
        <f t="shared" si="3"/>
        <v>5</v>
      </c>
      <c r="K4904" s="1" t="str">
        <f t="shared" si="4"/>
        <v>Tus Lentes estan LISTAS PARA ENTREGAR, te esperamos.</v>
      </c>
    </row>
    <row r="4905">
      <c r="A4905" s="1">
        <f>IFERROR(__xludf.DUMMYFUNCTION("""COMPUTED_VALUE"""),89469.0)</f>
        <v>89469</v>
      </c>
      <c r="B4905" s="5">
        <f>IFERROR(__xludf.DUMMYFUNCTION("""COMPUTED_VALUE"""),45022.4720377662)</f>
        <v>45022.47204</v>
      </c>
      <c r="C4905" s="1" t="str">
        <f>IFERROR(__xludf.DUMMYFUNCTION("""COMPUTED_VALUE"""),"MERCAU RAMONA")</f>
        <v>MERCAU RAMONA</v>
      </c>
      <c r="D4905" s="1" t="str">
        <f>IFERROR(__xludf.DUMMYFUNCTION("""COMPUTED_VALUE"""),"Reparaciones/Otros")</f>
        <v>Reparaciones/Otros</v>
      </c>
      <c r="E4905" s="1" t="str">
        <f>IFERROR(__xludf.DUMMYFUNCTION("""COMPUTED_VALUE"""),"ARTIGAS Ivana P.")</f>
        <v>ARTIGAS Ivana P.</v>
      </c>
      <c r="F4905" s="1" t="str">
        <f t="shared" si="1"/>
        <v>ARTIGAS </v>
      </c>
      <c r="G4905" s="1" t="str">
        <f t="shared" si="2"/>
        <v>Ivana P.</v>
      </c>
      <c r="H4905" s="1" t="str">
        <f>IFERROR(__xludf.DUMMYFUNCTION("""COMPUTED_VALUE"""),"10/4/2023, 17:00:00")</f>
        <v>10/4/2023, 17:00:00</v>
      </c>
      <c r="I4905" s="1" t="str">
        <f>IFERROR(__xludf.DUMMYFUNCTION("""COMPUTED_VALUE"""),"Completado en SUCURSAL")</f>
        <v>Completado en SUCURSAL</v>
      </c>
      <c r="J4905" s="1">
        <f t="shared" si="3"/>
        <v>5</v>
      </c>
      <c r="K4905" s="1" t="str">
        <f t="shared" si="4"/>
        <v>Tus Lentes estan LISTAS PARA ENTREGAR, te esperamos.</v>
      </c>
    </row>
    <row r="4906">
      <c r="A4906" s="1">
        <f>IFERROR(__xludf.DUMMYFUNCTION("""COMPUTED_VALUE"""),89470.0)</f>
        <v>89470</v>
      </c>
      <c r="B4906" s="5">
        <f>IFERROR(__xludf.DUMMYFUNCTION("""COMPUTED_VALUE"""),45022.477329305555)</f>
        <v>45022.47733</v>
      </c>
      <c r="C4906" s="1" t="str">
        <f>IFERROR(__xludf.DUMMYFUNCTION("""COMPUTED_VALUE"""),"BERNARDO SUSANA")</f>
        <v>BERNARDO SUSANA</v>
      </c>
      <c r="D4906" s="1" t="str">
        <f>IFERROR(__xludf.DUMMYFUNCTION("""COMPUTED_VALUE"""),"Reparaciones/Otros")</f>
        <v>Reparaciones/Otros</v>
      </c>
      <c r="E4906" s="1" t="str">
        <f>IFERROR(__xludf.DUMMYFUNCTION("""COMPUTED_VALUE"""),"ARTIGAS Ivana P.")</f>
        <v>ARTIGAS Ivana P.</v>
      </c>
      <c r="F4906" s="1" t="str">
        <f t="shared" si="1"/>
        <v>ARTIGAS </v>
      </c>
      <c r="G4906" s="1" t="str">
        <f t="shared" si="2"/>
        <v>Ivana P.</v>
      </c>
      <c r="H4906" s="1" t="str">
        <f>IFERROR(__xludf.DUMMYFUNCTION("""COMPUTED_VALUE"""),"10/4/2023, 17:00:00")</f>
        <v>10/4/2023, 17:00:00</v>
      </c>
      <c r="I4906" s="1" t="str">
        <f>IFERROR(__xludf.DUMMYFUNCTION("""COMPUTED_VALUE"""),"Completado en SUCURSAL")</f>
        <v>Completado en SUCURSAL</v>
      </c>
      <c r="J4906" s="1">
        <f t="shared" si="3"/>
        <v>5</v>
      </c>
      <c r="K4906" s="1" t="str">
        <f t="shared" si="4"/>
        <v>Tus Lentes estan LISTAS PARA ENTREGAR, te esperamos.</v>
      </c>
    </row>
    <row r="4907">
      <c r="A4907" s="1">
        <f>IFERROR(__xludf.DUMMYFUNCTION("""COMPUTED_VALUE"""),89471.0)</f>
        <v>89471</v>
      </c>
      <c r="B4907" s="5">
        <f>IFERROR(__xludf.DUMMYFUNCTION("""COMPUTED_VALUE"""),45022.49193988426)</f>
        <v>45022.49194</v>
      </c>
      <c r="C4907" s="1" t="str">
        <f>IFERROR(__xludf.DUMMYFUNCTION("""COMPUTED_VALUE"""),"GIMENEZ GRACIELA")</f>
        <v>GIMENEZ GRACIELA</v>
      </c>
      <c r="D4907" s="1" t="str">
        <f>IFERROR(__xludf.DUMMYFUNCTION("""COMPUTED_VALUE"""),"Lentes de STOCK")</f>
        <v>Lentes de STOCK</v>
      </c>
      <c r="E4907" s="1" t="str">
        <f>IFERROR(__xludf.DUMMYFUNCTION("""COMPUTED_VALUE"""),"ARTIGAS Ivana P.")</f>
        <v>ARTIGAS Ivana P.</v>
      </c>
      <c r="F4907" s="1" t="str">
        <f t="shared" si="1"/>
        <v>ARTIGAS </v>
      </c>
      <c r="G4907" s="1" t="str">
        <f t="shared" si="2"/>
        <v>Ivana P.</v>
      </c>
      <c r="H4907" s="1" t="str">
        <f>IFERROR(__xludf.DUMMYFUNCTION("""COMPUTED_VALUE"""),"12/4/2023, 17:00:00")</f>
        <v>12/4/2023, 17:00:00</v>
      </c>
      <c r="I4907" s="1" t="str">
        <f>IFERROR(__xludf.DUMMYFUNCTION("""COMPUTED_VALUE"""),"Completado en SUCURSAL")</f>
        <v>Completado en SUCURSAL</v>
      </c>
      <c r="J4907" s="1">
        <f t="shared" si="3"/>
        <v>5</v>
      </c>
      <c r="K4907" s="1" t="str">
        <f t="shared" si="4"/>
        <v>Tus Lentes estan LISTAS PARA ENTREGAR, te esperamos.</v>
      </c>
    </row>
    <row r="4908">
      <c r="A4908" s="1">
        <f>IFERROR(__xludf.DUMMYFUNCTION("""COMPUTED_VALUE"""),89472.0)</f>
        <v>89472</v>
      </c>
      <c r="B4908" s="5">
        <f>IFERROR(__xludf.DUMMYFUNCTION("""COMPUTED_VALUE"""),45022.502384548614)</f>
        <v>45022.50238</v>
      </c>
      <c r="C4908" s="1" t="str">
        <f>IFERROR(__xludf.DUMMYFUNCTION("""COMPUTED_VALUE"""),"LEDESMA LEANDRO")</f>
        <v>LEDESMA LEANDRO</v>
      </c>
      <c r="D4908" s="1" t="str">
        <f>IFERROR(__xludf.DUMMYFUNCTION("""COMPUTED_VALUE"""),"Reparaciones/Otros")</f>
        <v>Reparaciones/Otros</v>
      </c>
      <c r="E4908" s="1" t="str">
        <f>IFERROR(__xludf.DUMMYFUNCTION("""COMPUTED_VALUE"""),"RIVADAVIA Daniel CM")</f>
        <v>RIVADAVIA Daniel CM</v>
      </c>
      <c r="F4908" s="1" t="str">
        <f t="shared" si="1"/>
        <v>RIVADAVIA </v>
      </c>
      <c r="G4908" s="1" t="str">
        <f t="shared" si="2"/>
        <v>Daniel CM</v>
      </c>
      <c r="H4908" s="1" t="str">
        <f>IFERROR(__xludf.DUMMYFUNCTION("""COMPUTED_VALUE"""),"10/4/2023, 17:00:00")</f>
        <v>10/4/2023, 17:00:00</v>
      </c>
      <c r="I4908" s="1" t="str">
        <f>IFERROR(__xludf.DUMMYFUNCTION("""COMPUTED_VALUE"""),"Completado en SUCURSAL")</f>
        <v>Completado en SUCURSAL</v>
      </c>
      <c r="J4908" s="1">
        <f t="shared" si="3"/>
        <v>5</v>
      </c>
      <c r="K4908" s="1" t="str">
        <f t="shared" si="4"/>
        <v>Tus Lentes estan LISTAS PARA ENTREGAR, te esperamos.</v>
      </c>
    </row>
    <row r="4909">
      <c r="A4909" s="1">
        <f>IFERROR(__xludf.DUMMYFUNCTION("""COMPUTED_VALUE"""),89473.0)</f>
        <v>89473</v>
      </c>
      <c r="B4909" s="5">
        <f>IFERROR(__xludf.DUMMYFUNCTION("""COMPUTED_VALUE"""),45022.5069790625)</f>
        <v>45022.50698</v>
      </c>
      <c r="C4909" s="1" t="str">
        <f>IFERROR(__xludf.DUMMYFUNCTION("""COMPUTED_VALUE"""),"ESCUDERO IBAR ")</f>
        <v>ESCUDERO IBAR </v>
      </c>
      <c r="D4909" s="1" t="str">
        <f>IFERROR(__xludf.DUMMYFUNCTION("""COMPUTED_VALUE"""),"Reparaciones/Otros")</f>
        <v>Reparaciones/Otros</v>
      </c>
      <c r="E4909" s="1" t="str">
        <f>IFERROR(__xludf.DUMMYFUNCTION("""COMPUTED_VALUE"""),"RIVADAVIA Daniel CM")</f>
        <v>RIVADAVIA Daniel CM</v>
      </c>
      <c r="F4909" s="1" t="str">
        <f t="shared" si="1"/>
        <v>RIVADAVIA </v>
      </c>
      <c r="G4909" s="1" t="str">
        <f t="shared" si="2"/>
        <v>Daniel CM</v>
      </c>
      <c r="H4909" s="1" t="str">
        <f>IFERROR(__xludf.DUMMYFUNCTION("""COMPUTED_VALUE"""),"10/4/2023, 17:00:00")</f>
        <v>10/4/2023, 17:00:00</v>
      </c>
      <c r="I4909" s="1" t="str">
        <f>IFERROR(__xludf.DUMMYFUNCTION("""COMPUTED_VALUE"""),"Completado en SUCURSAL")</f>
        <v>Completado en SUCURSAL</v>
      </c>
      <c r="J4909" s="1">
        <f t="shared" si="3"/>
        <v>5</v>
      </c>
      <c r="K4909" s="1" t="str">
        <f t="shared" si="4"/>
        <v>Tus Lentes estan LISTAS PARA ENTREGAR, te esperamos.</v>
      </c>
    </row>
    <row r="4910">
      <c r="A4910" s="1">
        <f>IFERROR(__xludf.DUMMYFUNCTION("""COMPUTED_VALUE"""),89474.0)</f>
        <v>89474</v>
      </c>
      <c r="B4910" s="5">
        <f>IFERROR(__xludf.DUMMYFUNCTION("""COMPUTED_VALUE"""),45022.51003619213)</f>
        <v>45022.51004</v>
      </c>
      <c r="C4910" s="1" t="str">
        <f>IFERROR(__xludf.DUMMYFUNCTION("""COMPUTED_VALUE"""),"RAMOS ENRIQUE")</f>
        <v>RAMOS ENRIQUE</v>
      </c>
      <c r="D4910" s="1" t="str">
        <f>IFERROR(__xludf.DUMMYFUNCTION("""COMPUTED_VALUE"""),"Reparaciones/Otros")</f>
        <v>Reparaciones/Otros</v>
      </c>
      <c r="E4910" s="1" t="str">
        <f>IFERROR(__xludf.DUMMYFUNCTION("""COMPUTED_VALUE"""),"Otro (LUCIANA ARTIGAS)")</f>
        <v>Otro (LUCIANA ARTIGAS)</v>
      </c>
      <c r="F4910" s="1" t="str">
        <f t="shared" si="1"/>
        <v>Otro </v>
      </c>
      <c r="G4910" s="1" t="str">
        <f t="shared" si="2"/>
        <v>(LUCIANA ARTIGAS)</v>
      </c>
      <c r="H4910" s="1" t="str">
        <f>IFERROR(__xludf.DUMMYFUNCTION("""COMPUTED_VALUE"""),"11/4/2023, 17:00:00")</f>
        <v>11/4/2023, 17:00:00</v>
      </c>
      <c r="I4910" s="1" t="str">
        <f>IFERROR(__xludf.DUMMYFUNCTION("""COMPUTED_VALUE"""),"Completado en SUCURSAL")</f>
        <v>Completado en SUCURSAL</v>
      </c>
      <c r="J4910" s="1">
        <f t="shared" si="3"/>
        <v>5</v>
      </c>
      <c r="K4910" s="1" t="str">
        <f t="shared" si="4"/>
        <v>Tus Lentes estan LISTAS PARA ENTREGAR, te esperamos.</v>
      </c>
    </row>
    <row r="4911">
      <c r="A4911" s="1">
        <f>IFERROR(__xludf.DUMMYFUNCTION("""COMPUTED_VALUE"""),89475.0)</f>
        <v>89475</v>
      </c>
      <c r="B4911" s="5">
        <f>IFERROR(__xludf.DUMMYFUNCTION("""COMPUTED_VALUE"""),45022.51732890046)</f>
        <v>45022.51733</v>
      </c>
      <c r="C4911" s="1" t="str">
        <f>IFERROR(__xludf.DUMMYFUNCTION("""COMPUTED_VALUE"""),"BRUNO FERNANDA")</f>
        <v>BRUNO FERNANDA</v>
      </c>
      <c r="D4911" s="1" t="str">
        <f>IFERROR(__xludf.DUMMYFUNCTION("""COMPUTED_VALUE"""),"Lentes de STOCK")</f>
        <v>Lentes de STOCK</v>
      </c>
      <c r="E4911" s="1" t="str">
        <f>IFERROR(__xludf.DUMMYFUNCTION("""COMPUTED_VALUE"""),"RIVADAVIA Javier")</f>
        <v>RIVADAVIA Javier</v>
      </c>
      <c r="F4911" s="1" t="str">
        <f t="shared" si="1"/>
        <v>RIVADAVIA </v>
      </c>
      <c r="G4911" s="1" t="str">
        <f t="shared" si="2"/>
        <v>Javier</v>
      </c>
      <c r="H4911" s="1" t="str">
        <f>IFERROR(__xludf.DUMMYFUNCTION("""COMPUTED_VALUE"""),"13/4/2023, 17:00:00")</f>
        <v>13/4/2023, 17:00:00</v>
      </c>
      <c r="I4911" s="1" t="str">
        <f>IFERROR(__xludf.DUMMYFUNCTION("""COMPUTED_VALUE"""),"Completado en SUCURSAL")</f>
        <v>Completado en SUCURSAL</v>
      </c>
      <c r="J4911" s="1">
        <f t="shared" si="3"/>
        <v>5</v>
      </c>
      <c r="K4911" s="1" t="str">
        <f t="shared" si="4"/>
        <v>Tus Lentes estan LISTAS PARA ENTREGAR, te esperamos.</v>
      </c>
    </row>
    <row r="4912">
      <c r="A4912" s="1">
        <f>IFERROR(__xludf.DUMMYFUNCTION("""COMPUTED_VALUE"""),89476.0)</f>
        <v>89476</v>
      </c>
      <c r="B4912" s="5">
        <f>IFERROR(__xludf.DUMMYFUNCTION("""COMPUTED_VALUE"""),45022.52666537037)</f>
        <v>45022.52667</v>
      </c>
      <c r="C4912" s="1" t="str">
        <f>IFERROR(__xludf.DUMMYFUNCTION("""COMPUTED_VALUE"""),"MENDELEVICH VERONICA")</f>
        <v>MENDELEVICH VERONICA</v>
      </c>
      <c r="D4912" s="1" t="str">
        <f>IFERROR(__xludf.DUMMYFUNCTION("""COMPUTED_VALUE"""),"Lentes de STOCK")</f>
        <v>Lentes de STOCK</v>
      </c>
      <c r="E4912" s="1" t="str">
        <f>IFERROR(__xludf.DUMMYFUNCTION("""COMPUTED_VALUE"""),"ARTIGAS Ivana P.")</f>
        <v>ARTIGAS Ivana P.</v>
      </c>
      <c r="F4912" s="1" t="str">
        <f t="shared" si="1"/>
        <v>ARTIGAS </v>
      </c>
      <c r="G4912" s="1" t="str">
        <f t="shared" si="2"/>
        <v>Ivana P.</v>
      </c>
      <c r="H4912" s="1" t="str">
        <f>IFERROR(__xludf.DUMMYFUNCTION("""COMPUTED_VALUE"""),"14/4/2023, 17:00:00")</f>
        <v>14/4/2023, 17:00:00</v>
      </c>
      <c r="I4912" s="1" t="str">
        <f>IFERROR(__xludf.DUMMYFUNCTION("""COMPUTED_VALUE"""),"Completado en SUCURSAL")</f>
        <v>Completado en SUCURSAL</v>
      </c>
      <c r="J4912" s="1">
        <f t="shared" si="3"/>
        <v>5</v>
      </c>
      <c r="K4912" s="1" t="str">
        <f t="shared" si="4"/>
        <v>Tus Lentes estan LISTAS PARA ENTREGAR, te esperamos.</v>
      </c>
    </row>
    <row r="4913">
      <c r="A4913" s="1">
        <f>IFERROR(__xludf.DUMMYFUNCTION("""COMPUTED_VALUE"""),89477.0)</f>
        <v>89477</v>
      </c>
      <c r="B4913" s="5">
        <f>IFERROR(__xludf.DUMMYFUNCTION("""COMPUTED_VALUE"""),45022.528952673616)</f>
        <v>45022.52895</v>
      </c>
      <c r="C4913" s="1" t="str">
        <f>IFERROR(__xludf.DUMMYFUNCTION("""COMPUTED_VALUE"""),"MENDELEVICH VERONICA")</f>
        <v>MENDELEVICH VERONICA</v>
      </c>
      <c r="D4913" s="1" t="str">
        <f>IFERROR(__xludf.DUMMYFUNCTION("""COMPUTED_VALUE"""),"Lentes MULTIFOCALES")</f>
        <v>Lentes MULTIFOCALES</v>
      </c>
      <c r="E4913" s="1" t="str">
        <f>IFERROR(__xludf.DUMMYFUNCTION("""COMPUTED_VALUE"""),"ARTIGAS Ivana P.")</f>
        <v>ARTIGAS Ivana P.</v>
      </c>
      <c r="F4913" s="1" t="str">
        <f t="shared" si="1"/>
        <v>ARTIGAS </v>
      </c>
      <c r="G4913" s="1" t="str">
        <f t="shared" si="2"/>
        <v>Ivana P.</v>
      </c>
      <c r="H4913" s="1" t="str">
        <f>IFERROR(__xludf.DUMMYFUNCTION("""COMPUTED_VALUE"""),"19/4/2023, 17:00:00")</f>
        <v>19/4/2023, 17:00:00</v>
      </c>
      <c r="I4913" s="1" t="str">
        <f>IFERROR(__xludf.DUMMYFUNCTION("""COMPUTED_VALUE"""),"Recibido en Laboratorio")</f>
        <v>Recibido en Laboratorio</v>
      </c>
      <c r="J4913" s="1">
        <f t="shared" si="3"/>
        <v>2</v>
      </c>
      <c r="K4913" s="1" t="str">
        <f t="shared" si="4"/>
        <v>Nuestro Laboratorio esta trabajando en tus lentes, los entregaremos en la fecha acordada.</v>
      </c>
    </row>
    <row r="4914">
      <c r="A4914" s="1">
        <f>IFERROR(__xludf.DUMMYFUNCTION("""COMPUTED_VALUE"""),89478.0)</f>
        <v>89478</v>
      </c>
      <c r="B4914" s="5">
        <f>IFERROR(__xludf.DUMMYFUNCTION("""COMPUTED_VALUE"""),45022.5304702662)</f>
        <v>45022.53047</v>
      </c>
      <c r="C4914" s="1" t="str">
        <f>IFERROR(__xludf.DUMMYFUNCTION("""COMPUTED_VALUE"""),"QUIROGA BRISA ALEXANDRA")</f>
        <v>QUIROGA BRISA ALEXANDRA</v>
      </c>
      <c r="D4914" s="1" t="str">
        <f>IFERROR(__xludf.DUMMYFUNCTION("""COMPUTED_VALUE"""),"Lentes de STOCK")</f>
        <v>Lentes de STOCK</v>
      </c>
      <c r="E4914" s="1" t="str">
        <f>IFERROR(__xludf.DUMMYFUNCTION("""COMPUTED_VALUE"""),"RIVADAVIA Christian C.")</f>
        <v>RIVADAVIA Christian C.</v>
      </c>
      <c r="F4914" s="1" t="str">
        <f t="shared" si="1"/>
        <v>RIVADAVIA </v>
      </c>
      <c r="G4914" s="1" t="str">
        <f t="shared" si="2"/>
        <v>Christian C.</v>
      </c>
      <c r="H4914" s="1" t="str">
        <f>IFERROR(__xludf.DUMMYFUNCTION("""COMPUTED_VALUE"""),"13/4/2023, 17:00:00")</f>
        <v>13/4/2023, 17:00:00</v>
      </c>
      <c r="I4914" s="1" t="str">
        <f>IFERROR(__xludf.DUMMYFUNCTION("""COMPUTED_VALUE"""),"Completado en SUCURSAL")</f>
        <v>Completado en SUCURSAL</v>
      </c>
      <c r="J4914" s="1">
        <f t="shared" si="3"/>
        <v>5</v>
      </c>
      <c r="K4914" s="1" t="str">
        <f t="shared" si="4"/>
        <v>Tus Lentes estan LISTAS PARA ENTREGAR, te esperamos.</v>
      </c>
    </row>
    <row r="4915">
      <c r="A4915" s="1">
        <f>IFERROR(__xludf.DUMMYFUNCTION("""COMPUTED_VALUE"""),89479.0)</f>
        <v>89479</v>
      </c>
      <c r="B4915" s="5">
        <f>IFERROR(__xludf.DUMMYFUNCTION("""COMPUTED_VALUE"""),45022.53494125)</f>
        <v>45022.53494</v>
      </c>
      <c r="C4915" s="1" t="str">
        <f>IFERROR(__xludf.DUMMYFUNCTION("""COMPUTED_VALUE"""),"REYNALS PAMELA")</f>
        <v>REYNALS PAMELA</v>
      </c>
      <c r="D4915" s="1" t="str">
        <f>IFERROR(__xludf.DUMMYFUNCTION("""COMPUTED_VALUE"""),"Reparaciones/Otros")</f>
        <v>Reparaciones/Otros</v>
      </c>
      <c r="E4915" s="1" t="str">
        <f>IFERROR(__xludf.DUMMYFUNCTION("""COMPUTED_VALUE"""),"ARTIGAS Ivana P.")</f>
        <v>ARTIGAS Ivana P.</v>
      </c>
      <c r="F4915" s="1" t="str">
        <f t="shared" si="1"/>
        <v>ARTIGAS </v>
      </c>
      <c r="G4915" s="1" t="str">
        <f t="shared" si="2"/>
        <v>Ivana P.</v>
      </c>
      <c r="H4915" s="1" t="str">
        <f>IFERROR(__xludf.DUMMYFUNCTION("""COMPUTED_VALUE"""),"10/4/2023, 17:00:00")</f>
        <v>10/4/2023, 17:00:00</v>
      </c>
      <c r="I4915" s="1" t="str">
        <f>IFERROR(__xludf.DUMMYFUNCTION("""COMPUTED_VALUE"""),"Completado en SUCURSAL")</f>
        <v>Completado en SUCURSAL</v>
      </c>
      <c r="J4915" s="1">
        <f t="shared" si="3"/>
        <v>5</v>
      </c>
      <c r="K4915" s="1" t="str">
        <f t="shared" si="4"/>
        <v>Tus Lentes estan LISTAS PARA ENTREGAR, te esperamos.</v>
      </c>
    </row>
    <row r="4916">
      <c r="A4916" s="1">
        <f>IFERROR(__xludf.DUMMYFUNCTION("""COMPUTED_VALUE"""),89480.0)</f>
        <v>89480</v>
      </c>
      <c r="B4916" s="5">
        <f>IFERROR(__xludf.DUMMYFUNCTION("""COMPUTED_VALUE"""),45022.53522009259)</f>
        <v>45022.53522</v>
      </c>
      <c r="C4916" s="1" t="str">
        <f>IFERROR(__xludf.DUMMYFUNCTION("""COMPUTED_VALUE"""),"MARTINEZ NANCY MARIELA")</f>
        <v>MARTINEZ NANCY MARIELA</v>
      </c>
      <c r="D4916" s="1" t="str">
        <f>IFERROR(__xludf.DUMMYFUNCTION("""COMPUTED_VALUE"""),"Lentes de STOCK")</f>
        <v>Lentes de STOCK</v>
      </c>
      <c r="E4916" s="1" t="str">
        <f>IFERROR(__xludf.DUMMYFUNCTION("""COMPUTED_VALUE"""),"RIVADAVIA Marcela L")</f>
        <v>RIVADAVIA Marcela L</v>
      </c>
      <c r="F4916" s="1" t="str">
        <f t="shared" si="1"/>
        <v>RIVADAVIA </v>
      </c>
      <c r="G4916" s="1" t="str">
        <f t="shared" si="2"/>
        <v>Marcela L</v>
      </c>
      <c r="H4916" s="1" t="str">
        <f>IFERROR(__xludf.DUMMYFUNCTION("""COMPUTED_VALUE"""),"12/4/2023, 17:00:00")</f>
        <v>12/4/2023, 17:00:00</v>
      </c>
      <c r="I4916" s="1" t="str">
        <f>IFERROR(__xludf.DUMMYFUNCTION("""COMPUTED_VALUE"""),"Completado en SUCURSAL")</f>
        <v>Completado en SUCURSAL</v>
      </c>
      <c r="J4916" s="1">
        <f t="shared" si="3"/>
        <v>5</v>
      </c>
      <c r="K4916" s="1" t="str">
        <f t="shared" si="4"/>
        <v>Tus Lentes estan LISTAS PARA ENTREGAR, te esperamos.</v>
      </c>
    </row>
    <row r="4917">
      <c r="A4917" s="1">
        <f>IFERROR(__xludf.DUMMYFUNCTION("""COMPUTED_VALUE"""),89481.0)</f>
        <v>89481</v>
      </c>
      <c r="B4917" s="5">
        <f>IFERROR(__xludf.DUMMYFUNCTION("""COMPUTED_VALUE"""),45022.55716311342)</f>
        <v>45022.55716</v>
      </c>
      <c r="C4917" s="1" t="str">
        <f>IFERROR(__xludf.DUMMYFUNCTION("""COMPUTED_VALUE"""),"OROSCO JUDITH ALEJANDRA")</f>
        <v>OROSCO JUDITH ALEJANDRA</v>
      </c>
      <c r="D4917" s="1" t="str">
        <f>IFERROR(__xludf.DUMMYFUNCTION("""COMPUTED_VALUE"""),"Lentes de STOCK")</f>
        <v>Lentes de STOCK</v>
      </c>
      <c r="E4917" s="1" t="str">
        <f>IFERROR(__xludf.DUMMYFUNCTION("""COMPUTED_VALUE"""),"RIVADAVIA Christian C.")</f>
        <v>RIVADAVIA Christian C.</v>
      </c>
      <c r="F4917" s="1" t="str">
        <f t="shared" si="1"/>
        <v>RIVADAVIA </v>
      </c>
      <c r="G4917" s="1" t="str">
        <f t="shared" si="2"/>
        <v>Christian C.</v>
      </c>
      <c r="H4917" s="1" t="str">
        <f>IFERROR(__xludf.DUMMYFUNCTION("""COMPUTED_VALUE"""),"11/4/2023, 17:00:00")</f>
        <v>11/4/2023, 17:00:00</v>
      </c>
      <c r="I4917" s="1" t="str">
        <f>IFERROR(__xludf.DUMMYFUNCTION("""COMPUTED_VALUE"""),"Completado en SUCURSAL")</f>
        <v>Completado en SUCURSAL</v>
      </c>
      <c r="J4917" s="1">
        <f t="shared" si="3"/>
        <v>5</v>
      </c>
      <c r="K4917" s="1" t="str">
        <f t="shared" si="4"/>
        <v>Tus Lentes estan LISTAS PARA ENTREGAR, te esperamos.</v>
      </c>
    </row>
    <row r="4918">
      <c r="A4918" s="1">
        <f>IFERROR(__xludf.DUMMYFUNCTION("""COMPUTED_VALUE"""),89482.0)</f>
        <v>89482</v>
      </c>
      <c r="B4918" s="5">
        <f>IFERROR(__xludf.DUMMYFUNCTION("""COMPUTED_VALUE"""),45022.60409136574)</f>
        <v>45022.60409</v>
      </c>
      <c r="C4918" s="1" t="str">
        <f>IFERROR(__xludf.DUMMYFUNCTION("""COMPUTED_VALUE"""),"SCOPPA MARCOS DANTE(PROGRAMA MEDICINA DEL INTERIOR GOB)")</f>
        <v>SCOPPA MARCOS DANTE(PROGRAMA MEDICINA DEL INTERIOR GOB)</v>
      </c>
      <c r="D4918" s="1" t="str">
        <f>IFERROR(__xludf.DUMMYFUNCTION("""COMPUTED_VALUE"""),"Lentes de STOCK")</f>
        <v>Lentes de STOCK</v>
      </c>
      <c r="E4918" s="1" t="str">
        <f>IFERROR(__xludf.DUMMYFUNCTION("""COMPUTED_VALUE"""),"Online ADMIN.")</f>
        <v>Online ADMIN.</v>
      </c>
      <c r="F4918" s="1" t="str">
        <f t="shared" si="1"/>
        <v>Online </v>
      </c>
      <c r="G4918" s="1" t="str">
        <f t="shared" si="2"/>
        <v>ADMIN.</v>
      </c>
      <c r="H4918" s="1" t="str">
        <f>IFERROR(__xludf.DUMMYFUNCTION("""COMPUTED_VALUE"""),"12/4/2023, 17:00:00")</f>
        <v>12/4/2023, 17:00:00</v>
      </c>
      <c r="I4918" s="1" t="str">
        <f>IFERROR(__xludf.DUMMYFUNCTION("""COMPUTED_VALUE"""),"Recibido en Laboratorio")</f>
        <v>Recibido en Laboratorio</v>
      </c>
      <c r="J4918" s="1">
        <f t="shared" si="3"/>
        <v>2</v>
      </c>
      <c r="K4918" s="1" t="str">
        <f t="shared" si="4"/>
        <v>Nuestro Laboratorio esta trabajando en tus lentes, los entregaremos en la fecha acordada.</v>
      </c>
    </row>
    <row r="4919">
      <c r="A4919" s="1">
        <f>IFERROR(__xludf.DUMMYFUNCTION("""COMPUTED_VALUE"""),89483.0)</f>
        <v>89483</v>
      </c>
      <c r="B4919" s="5">
        <f>IFERROR(__xludf.DUMMYFUNCTION("""COMPUTED_VALUE"""),45022.604931759255)</f>
        <v>45022.60493</v>
      </c>
      <c r="C4919" s="1" t="str">
        <f>IFERROR(__xludf.DUMMYFUNCTION("""COMPUTED_VALUE"""),"ROODRIGUEZ ANIBAL HORACIO (PROGRAMA MEDICINA DEL INTERIOR GOB)")</f>
        <v>ROODRIGUEZ ANIBAL HORACIO (PROGRAMA MEDICINA DEL INTERIOR GOB)</v>
      </c>
      <c r="D4919" s="1" t="str">
        <f>IFERROR(__xludf.DUMMYFUNCTION("""COMPUTED_VALUE"""),"Lentes de STOCK")</f>
        <v>Lentes de STOCK</v>
      </c>
      <c r="E4919" s="1" t="str">
        <f>IFERROR(__xludf.DUMMYFUNCTION("""COMPUTED_VALUE"""),"Online ADMIN.")</f>
        <v>Online ADMIN.</v>
      </c>
      <c r="F4919" s="1" t="str">
        <f t="shared" si="1"/>
        <v>Online </v>
      </c>
      <c r="G4919" s="1" t="str">
        <f t="shared" si="2"/>
        <v>ADMIN.</v>
      </c>
      <c r="H4919" s="1" t="str">
        <f>IFERROR(__xludf.DUMMYFUNCTION("""COMPUTED_VALUE"""),"10/4/2023, 17:00:00")</f>
        <v>10/4/2023, 17:00:00</v>
      </c>
      <c r="I4919" s="1" t="str">
        <f>IFERROR(__xludf.DUMMYFUNCTION("""COMPUTED_VALUE"""),"Recibido en Laboratorio")</f>
        <v>Recibido en Laboratorio</v>
      </c>
      <c r="J4919" s="1">
        <f t="shared" si="3"/>
        <v>2</v>
      </c>
      <c r="K4919" s="1" t="str">
        <f t="shared" si="4"/>
        <v>Nuestro Laboratorio esta trabajando en tus lentes, los entregaremos en la fecha acordada.</v>
      </c>
    </row>
    <row r="4920">
      <c r="A4920" s="1">
        <f>IFERROR(__xludf.DUMMYFUNCTION("""COMPUTED_VALUE"""),89484.0)</f>
        <v>89484</v>
      </c>
      <c r="B4920" s="5">
        <f>IFERROR(__xludf.DUMMYFUNCTION("""COMPUTED_VALUE"""),45022.605654259256)</f>
        <v>45022.60565</v>
      </c>
      <c r="C4920" s="1" t="str">
        <f>IFERROR(__xludf.DUMMYFUNCTION("""COMPUTED_VALUE"""),"ROLAN MARIELA (PROGRAMA MEDICINA DEL INTERIOR GOB)")</f>
        <v>ROLAN MARIELA (PROGRAMA MEDICINA DEL INTERIOR GOB)</v>
      </c>
      <c r="D4920" s="1" t="str">
        <f>IFERROR(__xludf.DUMMYFUNCTION("""COMPUTED_VALUE"""),"Lentes de STOCK")</f>
        <v>Lentes de STOCK</v>
      </c>
      <c r="E4920" s="1" t="str">
        <f>IFERROR(__xludf.DUMMYFUNCTION("""COMPUTED_VALUE"""),"Online ADMIN.")</f>
        <v>Online ADMIN.</v>
      </c>
      <c r="F4920" s="1" t="str">
        <f t="shared" si="1"/>
        <v>Online </v>
      </c>
      <c r="G4920" s="1" t="str">
        <f t="shared" si="2"/>
        <v>ADMIN.</v>
      </c>
      <c r="H4920" s="1" t="str">
        <f>IFERROR(__xludf.DUMMYFUNCTION("""COMPUTED_VALUE"""),"10/4/2023, 17:00:00")</f>
        <v>10/4/2023, 17:00:00</v>
      </c>
      <c r="I4920" s="1" t="str">
        <f>IFERROR(__xludf.DUMMYFUNCTION("""COMPUTED_VALUE"""),"Recibido en Laboratorio")</f>
        <v>Recibido en Laboratorio</v>
      </c>
      <c r="J4920" s="1">
        <f t="shared" si="3"/>
        <v>2</v>
      </c>
      <c r="K4920" s="1" t="str">
        <f t="shared" si="4"/>
        <v>Nuestro Laboratorio esta trabajando en tus lentes, los entregaremos en la fecha acordada.</v>
      </c>
    </row>
    <row r="4921">
      <c r="A4921" s="1">
        <f>IFERROR(__xludf.DUMMYFUNCTION("""COMPUTED_VALUE"""),89485.0)</f>
        <v>89485</v>
      </c>
      <c r="B4921" s="5">
        <f>IFERROR(__xludf.DUMMYFUNCTION("""COMPUTED_VALUE"""),45022.60626678241)</f>
        <v>45022.60627</v>
      </c>
      <c r="C4921" s="1" t="str">
        <f>IFERROR(__xludf.DUMMYFUNCTION("""COMPUTED_VALUE"""),"MUSRI REBECA YAMILA (PROGRAMA MEDICINA DEL INTERIOR GOB)")</f>
        <v>MUSRI REBECA YAMILA (PROGRAMA MEDICINA DEL INTERIOR GOB)</v>
      </c>
      <c r="D4921" s="1" t="str">
        <f>IFERROR(__xludf.DUMMYFUNCTION("""COMPUTED_VALUE"""),"Lentes de STOCK")</f>
        <v>Lentes de STOCK</v>
      </c>
      <c r="E4921" s="1" t="str">
        <f>IFERROR(__xludf.DUMMYFUNCTION("""COMPUTED_VALUE"""),"Online ADMIN.")</f>
        <v>Online ADMIN.</v>
      </c>
      <c r="F4921" s="1" t="str">
        <f t="shared" si="1"/>
        <v>Online </v>
      </c>
      <c r="G4921" s="1" t="str">
        <f t="shared" si="2"/>
        <v>ADMIN.</v>
      </c>
      <c r="H4921" s="1" t="str">
        <f>IFERROR(__xludf.DUMMYFUNCTION("""COMPUTED_VALUE"""),"10/4/2023, 17:00:00")</f>
        <v>10/4/2023, 17:00:00</v>
      </c>
      <c r="I4921" s="1" t="str">
        <f>IFERROR(__xludf.DUMMYFUNCTION("""COMPUTED_VALUE"""),"Recibido en Laboratorio")</f>
        <v>Recibido en Laboratorio</v>
      </c>
      <c r="J4921" s="1">
        <f t="shared" si="3"/>
        <v>2</v>
      </c>
      <c r="K4921" s="1" t="str">
        <f t="shared" si="4"/>
        <v>Nuestro Laboratorio esta trabajando en tus lentes, los entregaremos en la fecha acordada.</v>
      </c>
    </row>
    <row r="4922">
      <c r="A4922" s="1">
        <f>IFERROR(__xludf.DUMMYFUNCTION("""COMPUTED_VALUE"""),89486.0)</f>
        <v>89486</v>
      </c>
      <c r="B4922" s="5">
        <f>IFERROR(__xludf.DUMMYFUNCTION("""COMPUTED_VALUE"""),45022.60675761574)</f>
        <v>45022.60676</v>
      </c>
      <c r="C4922" s="1" t="str">
        <f>IFERROR(__xludf.DUMMYFUNCTION("""COMPUTED_VALUE"""),"MEDINA CINTHIA DEL CARMEN (PROGRAMA MEDICINA DEL INTERIOR GOB)")</f>
        <v>MEDINA CINTHIA DEL CARMEN (PROGRAMA MEDICINA DEL INTERIOR GOB)</v>
      </c>
      <c r="D4922" s="1" t="str">
        <f>IFERROR(__xludf.DUMMYFUNCTION("""COMPUTED_VALUE"""),"Lentes de STOCK")</f>
        <v>Lentes de STOCK</v>
      </c>
      <c r="E4922" s="1" t="str">
        <f>IFERROR(__xludf.DUMMYFUNCTION("""COMPUTED_VALUE"""),"Online ADMIN.")</f>
        <v>Online ADMIN.</v>
      </c>
      <c r="F4922" s="1" t="str">
        <f t="shared" si="1"/>
        <v>Online </v>
      </c>
      <c r="G4922" s="1" t="str">
        <f t="shared" si="2"/>
        <v>ADMIN.</v>
      </c>
      <c r="H4922" s="1" t="str">
        <f>IFERROR(__xludf.DUMMYFUNCTION("""COMPUTED_VALUE"""),"10/4/2023, 17:00:00")</f>
        <v>10/4/2023, 17:00:00</v>
      </c>
      <c r="I4922" s="1" t="str">
        <f>IFERROR(__xludf.DUMMYFUNCTION("""COMPUTED_VALUE"""),"Recibido en Laboratorio")</f>
        <v>Recibido en Laboratorio</v>
      </c>
      <c r="J4922" s="1">
        <f t="shared" si="3"/>
        <v>2</v>
      </c>
      <c r="K4922" s="1" t="str">
        <f t="shared" si="4"/>
        <v>Nuestro Laboratorio esta trabajando en tus lentes, los entregaremos en la fecha acordada.</v>
      </c>
    </row>
    <row r="4923">
      <c r="A4923" s="1">
        <f>IFERROR(__xludf.DUMMYFUNCTION("""COMPUTED_VALUE"""),89487.0)</f>
        <v>89487</v>
      </c>
      <c r="B4923" s="5">
        <f>IFERROR(__xludf.DUMMYFUNCTION("""COMPUTED_VALUE"""),45022.60721461805)</f>
        <v>45022.60721</v>
      </c>
      <c r="C4923" s="1" t="str">
        <f>IFERROR(__xludf.DUMMYFUNCTION("""COMPUTED_VALUE"""),"MORALES CELIA LILIANA (PROGRAMA MEDICINA DEL INTERIOR GOB)")</f>
        <v>MORALES CELIA LILIANA (PROGRAMA MEDICINA DEL INTERIOR GOB)</v>
      </c>
      <c r="D4923" s="1" t="str">
        <f>IFERROR(__xludf.DUMMYFUNCTION("""COMPUTED_VALUE"""),"Lentes de STOCK")</f>
        <v>Lentes de STOCK</v>
      </c>
      <c r="E4923" s="1" t="str">
        <f>IFERROR(__xludf.DUMMYFUNCTION("""COMPUTED_VALUE"""),"Online ADMIN.")</f>
        <v>Online ADMIN.</v>
      </c>
      <c r="F4923" s="1" t="str">
        <f t="shared" si="1"/>
        <v>Online </v>
      </c>
      <c r="G4923" s="1" t="str">
        <f t="shared" si="2"/>
        <v>ADMIN.</v>
      </c>
      <c r="H4923" s="1" t="str">
        <f>IFERROR(__xludf.DUMMYFUNCTION("""COMPUTED_VALUE"""),"10/4/2023, 17:00:00")</f>
        <v>10/4/2023, 17:00:00</v>
      </c>
      <c r="I4923" s="1" t="str">
        <f>IFERROR(__xludf.DUMMYFUNCTION("""COMPUTED_VALUE"""),"Recibido en Laboratorio")</f>
        <v>Recibido en Laboratorio</v>
      </c>
      <c r="J4923" s="1">
        <f t="shared" si="3"/>
        <v>2</v>
      </c>
      <c r="K4923" s="1" t="str">
        <f t="shared" si="4"/>
        <v>Nuestro Laboratorio esta trabajando en tus lentes, los entregaremos en la fecha acordada.</v>
      </c>
    </row>
    <row r="4924">
      <c r="A4924" s="1">
        <f>IFERROR(__xludf.DUMMYFUNCTION("""COMPUTED_VALUE"""),89488.0)</f>
        <v>89488</v>
      </c>
      <c r="B4924" s="5">
        <f>IFERROR(__xludf.DUMMYFUNCTION("""COMPUTED_VALUE"""),45022.60825721065)</f>
        <v>45022.60826</v>
      </c>
      <c r="C4924" s="1" t="str">
        <f>IFERROR(__xludf.DUMMYFUNCTION("""COMPUTED_VALUE"""),"FRIAS SILVANA LORENA (PROGRAMA MEDICINA DEL INTERIOR GOB)")</f>
        <v>FRIAS SILVANA LORENA (PROGRAMA MEDICINA DEL INTERIOR GOB)</v>
      </c>
      <c r="D4924" s="1" t="str">
        <f>IFERROR(__xludf.DUMMYFUNCTION("""COMPUTED_VALUE"""),"Lentes de STOCK")</f>
        <v>Lentes de STOCK</v>
      </c>
      <c r="E4924" s="1" t="str">
        <f>IFERROR(__xludf.DUMMYFUNCTION("""COMPUTED_VALUE"""),"Online ADMIN.")</f>
        <v>Online ADMIN.</v>
      </c>
      <c r="F4924" s="1" t="str">
        <f t="shared" si="1"/>
        <v>Online </v>
      </c>
      <c r="G4924" s="1" t="str">
        <f t="shared" si="2"/>
        <v>ADMIN.</v>
      </c>
      <c r="H4924" s="1" t="str">
        <f>IFERROR(__xludf.DUMMYFUNCTION("""COMPUTED_VALUE"""),"10/4/2023, 17:00:00")</f>
        <v>10/4/2023, 17:00:00</v>
      </c>
      <c r="I4924" s="1" t="str">
        <f>IFERROR(__xludf.DUMMYFUNCTION("""COMPUTED_VALUE"""),"Recibido en Laboratorio")</f>
        <v>Recibido en Laboratorio</v>
      </c>
      <c r="J4924" s="1">
        <f t="shared" si="3"/>
        <v>2</v>
      </c>
      <c r="K4924" s="1" t="str">
        <f t="shared" si="4"/>
        <v>Nuestro Laboratorio esta trabajando en tus lentes, los entregaremos en la fecha acordada.</v>
      </c>
    </row>
    <row r="4925">
      <c r="A4925" s="1">
        <f>IFERROR(__xludf.DUMMYFUNCTION("""COMPUTED_VALUE"""),89489.0)</f>
        <v>89489</v>
      </c>
      <c r="B4925" s="5">
        <f>IFERROR(__xludf.DUMMYFUNCTION("""COMPUTED_VALUE"""),45022.6087238426)</f>
        <v>45022.60872</v>
      </c>
      <c r="C4925" s="1" t="str">
        <f>IFERROR(__xludf.DUMMYFUNCTION("""COMPUTED_VALUE"""),"AMITRANO CARLA IRIS DAYANA (PROGRAMA MEDICINA DEL INTERIOR GOB)")</f>
        <v>AMITRANO CARLA IRIS DAYANA (PROGRAMA MEDICINA DEL INTERIOR GOB)</v>
      </c>
      <c r="D4925" s="1" t="str">
        <f>IFERROR(__xludf.DUMMYFUNCTION("""COMPUTED_VALUE"""),"Lentes de STOCK")</f>
        <v>Lentes de STOCK</v>
      </c>
      <c r="E4925" s="1" t="str">
        <f>IFERROR(__xludf.DUMMYFUNCTION("""COMPUTED_VALUE"""),"Online ADMIN.")</f>
        <v>Online ADMIN.</v>
      </c>
      <c r="F4925" s="1" t="str">
        <f t="shared" si="1"/>
        <v>Online </v>
      </c>
      <c r="G4925" s="1" t="str">
        <f t="shared" si="2"/>
        <v>ADMIN.</v>
      </c>
      <c r="H4925" s="1" t="str">
        <f>IFERROR(__xludf.DUMMYFUNCTION("""COMPUTED_VALUE"""),"10/4/2023, 17:00:00")</f>
        <v>10/4/2023, 17:00:00</v>
      </c>
      <c r="I4925" s="1" t="str">
        <f>IFERROR(__xludf.DUMMYFUNCTION("""COMPUTED_VALUE"""),"Recibido en Laboratorio")</f>
        <v>Recibido en Laboratorio</v>
      </c>
      <c r="J4925" s="1">
        <f t="shared" si="3"/>
        <v>2</v>
      </c>
      <c r="K4925" s="1" t="str">
        <f t="shared" si="4"/>
        <v>Nuestro Laboratorio esta trabajando en tus lentes, los entregaremos en la fecha acordada.</v>
      </c>
    </row>
    <row r="4926">
      <c r="A4926" s="1">
        <f>IFERROR(__xludf.DUMMYFUNCTION("""COMPUTED_VALUE"""),89490.0)</f>
        <v>89490</v>
      </c>
      <c r="B4926" s="5">
        <f>IFERROR(__xludf.DUMMYFUNCTION("""COMPUTED_VALUE"""),45022.60920958333)</f>
        <v>45022.60921</v>
      </c>
      <c r="C4926" s="1" t="str">
        <f>IFERROR(__xludf.DUMMYFUNCTION("""COMPUTED_VALUE"""),"CALDERON VANINA (PROGRAMA MEDICINA DEL INTERIOR GOB)")</f>
        <v>CALDERON VANINA (PROGRAMA MEDICINA DEL INTERIOR GOB)</v>
      </c>
      <c r="D4926" s="1" t="str">
        <f>IFERROR(__xludf.DUMMYFUNCTION("""COMPUTED_VALUE"""),"Lentes de LABORATORIO")</f>
        <v>Lentes de LABORATORIO</v>
      </c>
      <c r="E4926" s="1" t="str">
        <f>IFERROR(__xludf.DUMMYFUNCTION("""COMPUTED_VALUE"""),"Online ADMIN.")</f>
        <v>Online ADMIN.</v>
      </c>
      <c r="F4926" s="1" t="str">
        <f t="shared" si="1"/>
        <v>Online </v>
      </c>
      <c r="G4926" s="1" t="str">
        <f t="shared" si="2"/>
        <v>ADMIN.</v>
      </c>
      <c r="H4926" s="1" t="str">
        <f>IFERROR(__xludf.DUMMYFUNCTION("""COMPUTED_VALUE"""),"14/4/2023, 17:00:00")</f>
        <v>14/4/2023, 17:00:00</v>
      </c>
      <c r="I4926" s="1" t="str">
        <f>IFERROR(__xludf.DUMMYFUNCTION("""COMPUTED_VALUE"""),"Recibido en Laboratorio")</f>
        <v>Recibido en Laboratorio</v>
      </c>
      <c r="J4926" s="1">
        <f t="shared" si="3"/>
        <v>2</v>
      </c>
      <c r="K4926" s="1" t="str">
        <f t="shared" si="4"/>
        <v>Nuestro Laboratorio esta trabajando en tus lentes, los entregaremos en la fecha acordada.</v>
      </c>
    </row>
    <row r="4927">
      <c r="A4927" s="1">
        <f>IFERROR(__xludf.DUMMYFUNCTION("""COMPUTED_VALUE"""),89491.0)</f>
        <v>89491</v>
      </c>
      <c r="B4927" s="5">
        <f>IFERROR(__xludf.DUMMYFUNCTION("""COMPUTED_VALUE"""),45022.632879004625)</f>
        <v>45022.63288</v>
      </c>
      <c r="C4927" s="1" t="str">
        <f>IFERROR(__xludf.DUMMYFUNCTION("""COMPUTED_VALUE"""),"TORRES ROSA  (PROGRAMA MEDICINA DEL INTERIOR GOB)")</f>
        <v>TORRES ROSA  (PROGRAMA MEDICINA DEL INTERIOR GOB)</v>
      </c>
      <c r="D4927" s="1" t="str">
        <f>IFERROR(__xludf.DUMMYFUNCTION("""COMPUTED_VALUE"""),"Lentes de LABORATORIO")</f>
        <v>Lentes de LABORATORIO</v>
      </c>
      <c r="E4927" s="1" t="str">
        <f>IFERROR(__xludf.DUMMYFUNCTION("""COMPUTED_VALUE"""),"Online ADMIN.")</f>
        <v>Online ADMIN.</v>
      </c>
      <c r="F4927" s="1" t="str">
        <f t="shared" si="1"/>
        <v>Online </v>
      </c>
      <c r="G4927" s="1" t="str">
        <f t="shared" si="2"/>
        <v>ADMIN.</v>
      </c>
      <c r="H4927" s="1" t="str">
        <f>IFERROR(__xludf.DUMMYFUNCTION("""COMPUTED_VALUE"""),"14/4/2023, 17:00:00")</f>
        <v>14/4/2023, 17:00:00</v>
      </c>
      <c r="I4927" s="1" t="str">
        <f>IFERROR(__xludf.DUMMYFUNCTION("""COMPUTED_VALUE"""),"Recibido en Laboratorio")</f>
        <v>Recibido en Laboratorio</v>
      </c>
      <c r="J4927" s="1">
        <f t="shared" si="3"/>
        <v>2</v>
      </c>
      <c r="K4927" s="1" t="str">
        <f t="shared" si="4"/>
        <v>Nuestro Laboratorio esta trabajando en tus lentes, los entregaremos en la fecha acordada.</v>
      </c>
    </row>
    <row r="4928">
      <c r="A4928" s="1">
        <f>IFERROR(__xludf.DUMMYFUNCTION("""COMPUTED_VALUE"""),89492.0)</f>
        <v>89492</v>
      </c>
      <c r="B4928" s="5">
        <f>IFERROR(__xludf.DUMMYFUNCTION("""COMPUTED_VALUE"""),45022.63332664352)</f>
        <v>45022.63333</v>
      </c>
      <c r="C4928" s="1" t="str">
        <f>IFERROR(__xludf.DUMMYFUNCTION("""COMPUTED_VALUE"""),"soto BASILICA (PROGRAMA MEDICINA DEL INTERIOR GOB)")</f>
        <v>soto BASILICA (PROGRAMA MEDICINA DEL INTERIOR GOB)</v>
      </c>
      <c r="D4928" s="1" t="str">
        <f>IFERROR(__xludf.DUMMYFUNCTION("""COMPUTED_VALUE"""),"Lentes de STOCK")</f>
        <v>Lentes de STOCK</v>
      </c>
      <c r="E4928" s="1" t="str">
        <f>IFERROR(__xludf.DUMMYFUNCTION("""COMPUTED_VALUE"""),"Online ADMIN.")</f>
        <v>Online ADMIN.</v>
      </c>
      <c r="F4928" s="1" t="str">
        <f t="shared" si="1"/>
        <v>Online </v>
      </c>
      <c r="G4928" s="1" t="str">
        <f t="shared" si="2"/>
        <v>ADMIN.</v>
      </c>
      <c r="H4928" s="1" t="str">
        <f>IFERROR(__xludf.DUMMYFUNCTION("""COMPUTED_VALUE"""),"10/4/2023, 17:00:00")</f>
        <v>10/4/2023, 17:00:00</v>
      </c>
      <c r="I4928" s="1" t="str">
        <f>IFERROR(__xludf.DUMMYFUNCTION("""COMPUTED_VALUE"""),"Recibido en Laboratorio")</f>
        <v>Recibido en Laboratorio</v>
      </c>
      <c r="J4928" s="1">
        <f t="shared" si="3"/>
        <v>2</v>
      </c>
      <c r="K4928" s="1" t="str">
        <f t="shared" si="4"/>
        <v>Nuestro Laboratorio esta trabajando en tus lentes, los entregaremos en la fecha acordada.</v>
      </c>
    </row>
    <row r="4929">
      <c r="A4929" s="1">
        <f>IFERROR(__xludf.DUMMYFUNCTION("""COMPUTED_VALUE"""),89493.0)</f>
        <v>89493</v>
      </c>
      <c r="B4929" s="5">
        <f>IFERROR(__xludf.DUMMYFUNCTION("""COMPUTED_VALUE"""),45022.633920636574)</f>
        <v>45022.63392</v>
      </c>
      <c r="C4929" s="1" t="str">
        <f>IFERROR(__xludf.DUMMYFUNCTION("""COMPUTED_VALUE"""),"TORRES MIRTHA (PROGRAMA MEDICINA DEL INTERIOR GOB)")</f>
        <v>TORRES MIRTHA (PROGRAMA MEDICINA DEL INTERIOR GOB)</v>
      </c>
      <c r="D4929" s="1" t="str">
        <f>IFERROR(__xludf.DUMMYFUNCTION("""COMPUTED_VALUE"""),"Lentes de LABORATORIO")</f>
        <v>Lentes de LABORATORIO</v>
      </c>
      <c r="E4929" s="1" t="str">
        <f>IFERROR(__xludf.DUMMYFUNCTION("""COMPUTED_VALUE"""),"Online ADMIN.")</f>
        <v>Online ADMIN.</v>
      </c>
      <c r="F4929" s="1" t="str">
        <f t="shared" si="1"/>
        <v>Online </v>
      </c>
      <c r="G4929" s="1" t="str">
        <f t="shared" si="2"/>
        <v>ADMIN.</v>
      </c>
      <c r="H4929" s="1" t="str">
        <f>IFERROR(__xludf.DUMMYFUNCTION("""COMPUTED_VALUE"""),"14/4/2023, 17:00:00")</f>
        <v>14/4/2023, 17:00:00</v>
      </c>
      <c r="I4929" s="1" t="str">
        <f>IFERROR(__xludf.DUMMYFUNCTION("""COMPUTED_VALUE"""),"Recibido en Laboratorio")</f>
        <v>Recibido en Laboratorio</v>
      </c>
      <c r="J4929" s="1">
        <f t="shared" si="3"/>
        <v>2</v>
      </c>
      <c r="K4929" s="1" t="str">
        <f t="shared" si="4"/>
        <v>Nuestro Laboratorio esta trabajando en tus lentes, los entregaremos en la fecha acordada.</v>
      </c>
    </row>
    <row r="4930">
      <c r="A4930" s="1">
        <f>IFERROR(__xludf.DUMMYFUNCTION("""COMPUTED_VALUE"""),89494.0)</f>
        <v>89494</v>
      </c>
      <c r="B4930" s="5">
        <f>IFERROR(__xludf.DUMMYFUNCTION("""COMPUTED_VALUE"""),45022.634546562505)</f>
        <v>45022.63455</v>
      </c>
      <c r="C4930" s="1" t="str">
        <f>IFERROR(__xludf.DUMMYFUNCTION("""COMPUTED_VALUE"""),"SOSA ROCIO TAMARA (PROGRAMA MEDICINA DEL INTERIOR GOB)")</f>
        <v>SOSA ROCIO TAMARA (PROGRAMA MEDICINA DEL INTERIOR GOB)</v>
      </c>
      <c r="D4930" s="1" t="str">
        <f>IFERROR(__xludf.DUMMYFUNCTION("""COMPUTED_VALUE"""),"Lentes de LABORATORIO")</f>
        <v>Lentes de LABORATORIO</v>
      </c>
      <c r="E4930" s="1" t="str">
        <f>IFERROR(__xludf.DUMMYFUNCTION("""COMPUTED_VALUE"""),"Online ADMIN.")</f>
        <v>Online ADMIN.</v>
      </c>
      <c r="F4930" s="1" t="str">
        <f t="shared" si="1"/>
        <v>Online </v>
      </c>
      <c r="G4930" s="1" t="str">
        <f t="shared" si="2"/>
        <v>ADMIN.</v>
      </c>
      <c r="H4930" s="1" t="str">
        <f>IFERROR(__xludf.DUMMYFUNCTION("""COMPUTED_VALUE"""),"14/4/2023, 17:00:00")</f>
        <v>14/4/2023, 17:00:00</v>
      </c>
      <c r="I4930" s="1" t="str">
        <f>IFERROR(__xludf.DUMMYFUNCTION("""COMPUTED_VALUE"""),"Recibido en Laboratorio")</f>
        <v>Recibido en Laboratorio</v>
      </c>
      <c r="J4930" s="1">
        <f t="shared" si="3"/>
        <v>2</v>
      </c>
      <c r="K4930" s="1" t="str">
        <f t="shared" si="4"/>
        <v>Nuestro Laboratorio esta trabajando en tus lentes, los entregaremos en la fecha acordada.</v>
      </c>
    </row>
    <row r="4931">
      <c r="A4931" s="1">
        <f>IFERROR(__xludf.DUMMYFUNCTION("""COMPUTED_VALUE"""),89495.0)</f>
        <v>89495</v>
      </c>
      <c r="B4931" s="5">
        <f>IFERROR(__xludf.DUMMYFUNCTION("""COMPUTED_VALUE"""),45022.63499741898)</f>
        <v>45022.635</v>
      </c>
      <c r="C4931" s="1" t="str">
        <f>IFERROR(__xludf.DUMMYFUNCTION("""COMPUTED_VALUE"""),"SANCHEZ LUDMILA (PROGRAMA MEDICINA DEL INTERIOR GOB)")</f>
        <v>SANCHEZ LUDMILA (PROGRAMA MEDICINA DEL INTERIOR GOB)</v>
      </c>
      <c r="D4931" s="1" t="str">
        <f>IFERROR(__xludf.DUMMYFUNCTION("""COMPUTED_VALUE"""),"Lentes de LABORATORIO")</f>
        <v>Lentes de LABORATORIO</v>
      </c>
      <c r="E4931" s="1" t="str">
        <f>IFERROR(__xludf.DUMMYFUNCTION("""COMPUTED_VALUE"""),"Online ADMIN.")</f>
        <v>Online ADMIN.</v>
      </c>
      <c r="F4931" s="1" t="str">
        <f t="shared" si="1"/>
        <v>Online </v>
      </c>
      <c r="G4931" s="1" t="str">
        <f t="shared" si="2"/>
        <v>ADMIN.</v>
      </c>
      <c r="H4931" s="1" t="str">
        <f>IFERROR(__xludf.DUMMYFUNCTION("""COMPUTED_VALUE"""),"14/4/2023, 17:00:00")</f>
        <v>14/4/2023, 17:00:00</v>
      </c>
      <c r="I4931" s="1" t="str">
        <f>IFERROR(__xludf.DUMMYFUNCTION("""COMPUTED_VALUE"""),"Recibido en Laboratorio")</f>
        <v>Recibido en Laboratorio</v>
      </c>
      <c r="J4931" s="1">
        <f t="shared" si="3"/>
        <v>2</v>
      </c>
      <c r="K4931" s="1" t="str">
        <f t="shared" si="4"/>
        <v>Nuestro Laboratorio esta trabajando en tus lentes, los entregaremos en la fecha acordada.</v>
      </c>
    </row>
    <row r="4932">
      <c r="A4932" s="1">
        <f>IFERROR(__xludf.DUMMYFUNCTION("""COMPUTED_VALUE"""),89496.0)</f>
        <v>89496</v>
      </c>
      <c r="B4932" s="5">
        <f>IFERROR(__xludf.DUMMYFUNCTION("""COMPUTED_VALUE"""),45022.63581636574)</f>
        <v>45022.63582</v>
      </c>
      <c r="C4932" s="1" t="str">
        <f>IFERROR(__xludf.DUMMYFUNCTION("""COMPUTED_VALUE"""),"RUA FLORENCIA (PROGRAMA MEDICINA DEL INTERIOR GOB)")</f>
        <v>RUA FLORENCIA (PROGRAMA MEDICINA DEL INTERIOR GOB)</v>
      </c>
      <c r="D4932" s="1" t="str">
        <f>IFERROR(__xludf.DUMMYFUNCTION("""COMPUTED_VALUE"""),"Lentes de STOCK")</f>
        <v>Lentes de STOCK</v>
      </c>
      <c r="E4932" s="1" t="str">
        <f>IFERROR(__xludf.DUMMYFUNCTION("""COMPUTED_VALUE"""),"Online ADMIN.")</f>
        <v>Online ADMIN.</v>
      </c>
      <c r="F4932" s="1" t="str">
        <f t="shared" si="1"/>
        <v>Online </v>
      </c>
      <c r="G4932" s="1" t="str">
        <f t="shared" si="2"/>
        <v>ADMIN.</v>
      </c>
      <c r="H4932" s="1" t="str">
        <f>IFERROR(__xludf.DUMMYFUNCTION("""COMPUTED_VALUE"""),"10/4/2023, 17:00:00")</f>
        <v>10/4/2023, 17:00:00</v>
      </c>
      <c r="I4932" s="1" t="str">
        <f>IFERROR(__xludf.DUMMYFUNCTION("""COMPUTED_VALUE"""),"Recibido en Laboratorio")</f>
        <v>Recibido en Laboratorio</v>
      </c>
      <c r="J4932" s="1">
        <f t="shared" si="3"/>
        <v>2</v>
      </c>
      <c r="K4932" s="1" t="str">
        <f t="shared" si="4"/>
        <v>Nuestro Laboratorio esta trabajando en tus lentes, los entregaremos en la fecha acordada.</v>
      </c>
    </row>
    <row r="4933">
      <c r="A4933" s="1">
        <f>IFERROR(__xludf.DUMMYFUNCTION("""COMPUTED_VALUE"""),89497.0)</f>
        <v>89497</v>
      </c>
      <c r="B4933" s="5">
        <f>IFERROR(__xludf.DUMMYFUNCTION("""COMPUTED_VALUE"""),45022.636184918985)</f>
        <v>45022.63618</v>
      </c>
      <c r="C4933" s="1" t="str">
        <f>IFERROR(__xludf.DUMMYFUNCTION("""COMPUTED_VALUE"""),"ROCCA CARLOS (PROGRAMA MEDICINA DEL INTERIOR GOB)")</f>
        <v>ROCCA CARLOS (PROGRAMA MEDICINA DEL INTERIOR GOB)</v>
      </c>
      <c r="D4933" s="1" t="str">
        <f>IFERROR(__xludf.DUMMYFUNCTION("""COMPUTED_VALUE"""),"Lentes de STOCK")</f>
        <v>Lentes de STOCK</v>
      </c>
      <c r="E4933" s="1" t="str">
        <f>IFERROR(__xludf.DUMMYFUNCTION("""COMPUTED_VALUE"""),"Online ADMIN.")</f>
        <v>Online ADMIN.</v>
      </c>
      <c r="F4933" s="1" t="str">
        <f t="shared" si="1"/>
        <v>Online </v>
      </c>
      <c r="G4933" s="1" t="str">
        <f t="shared" si="2"/>
        <v>ADMIN.</v>
      </c>
      <c r="H4933" s="1" t="str">
        <f>IFERROR(__xludf.DUMMYFUNCTION("""COMPUTED_VALUE"""),"10/4/2023, 17:00:00")</f>
        <v>10/4/2023, 17:00:00</v>
      </c>
      <c r="I4933" s="1" t="str">
        <f>IFERROR(__xludf.DUMMYFUNCTION("""COMPUTED_VALUE"""),"Recibido en Laboratorio")</f>
        <v>Recibido en Laboratorio</v>
      </c>
      <c r="J4933" s="1">
        <f t="shared" si="3"/>
        <v>2</v>
      </c>
      <c r="K4933" s="1" t="str">
        <f t="shared" si="4"/>
        <v>Nuestro Laboratorio esta trabajando en tus lentes, los entregaremos en la fecha acordada.</v>
      </c>
    </row>
    <row r="4934">
      <c r="A4934" s="1">
        <f>IFERROR(__xludf.DUMMYFUNCTION("""COMPUTED_VALUE"""),89498.0)</f>
        <v>89498</v>
      </c>
      <c r="B4934" s="5">
        <f>IFERROR(__xludf.DUMMYFUNCTION("""COMPUTED_VALUE"""),45022.63683831018)</f>
        <v>45022.63684</v>
      </c>
      <c r="C4934" s="1" t="str">
        <f>IFERROR(__xludf.DUMMYFUNCTION("""COMPUTED_VALUE"""),"QUINTERO ANYI CARLA TALIA (PROGRAMA MEDICINA DEL INTERIOR GOB)")</f>
        <v>QUINTERO ANYI CARLA TALIA (PROGRAMA MEDICINA DEL INTERIOR GOB)</v>
      </c>
      <c r="D4934" s="1" t="str">
        <f>IFERROR(__xludf.DUMMYFUNCTION("""COMPUTED_VALUE"""),"Lentes de LABORATORIO")</f>
        <v>Lentes de LABORATORIO</v>
      </c>
      <c r="E4934" s="1" t="str">
        <f>IFERROR(__xludf.DUMMYFUNCTION("""COMPUTED_VALUE"""),"Online ADMIN.")</f>
        <v>Online ADMIN.</v>
      </c>
      <c r="F4934" s="1" t="str">
        <f t="shared" si="1"/>
        <v>Online </v>
      </c>
      <c r="G4934" s="1" t="str">
        <f t="shared" si="2"/>
        <v>ADMIN.</v>
      </c>
      <c r="H4934" s="1" t="str">
        <f>IFERROR(__xludf.DUMMYFUNCTION("""COMPUTED_VALUE"""),"14/4/2023, 17:00:00")</f>
        <v>14/4/2023, 17:00:00</v>
      </c>
      <c r="I4934" s="1" t="str">
        <f>IFERROR(__xludf.DUMMYFUNCTION("""COMPUTED_VALUE"""),"Recibido en Laboratorio")</f>
        <v>Recibido en Laboratorio</v>
      </c>
      <c r="J4934" s="1">
        <f t="shared" si="3"/>
        <v>2</v>
      </c>
      <c r="K4934" s="1" t="str">
        <f t="shared" si="4"/>
        <v>Nuestro Laboratorio esta trabajando en tus lentes, los entregaremos en la fecha acordada.</v>
      </c>
    </row>
    <row r="4935">
      <c r="A4935" s="1">
        <f>IFERROR(__xludf.DUMMYFUNCTION("""COMPUTED_VALUE"""),89499.0)</f>
        <v>89499</v>
      </c>
      <c r="B4935" s="5">
        <f>IFERROR(__xludf.DUMMYFUNCTION("""COMPUTED_VALUE"""),45022.6374587037)</f>
        <v>45022.63746</v>
      </c>
      <c r="C4935" s="1" t="str">
        <f>IFERROR(__xludf.DUMMYFUNCTION("""COMPUTED_VALUE"""),"QUINTERO MARCELO (PROGRAMA MEDICINA DEL INTERIOR GOB)")</f>
        <v>QUINTERO MARCELO (PROGRAMA MEDICINA DEL INTERIOR GOB)</v>
      </c>
      <c r="D4935" s="1" t="str">
        <f>IFERROR(__xludf.DUMMYFUNCTION("""COMPUTED_VALUE"""),"Lentes de LABORATORIO")</f>
        <v>Lentes de LABORATORIO</v>
      </c>
      <c r="E4935" s="1" t="str">
        <f>IFERROR(__xludf.DUMMYFUNCTION("""COMPUTED_VALUE"""),"Online ADMIN.")</f>
        <v>Online ADMIN.</v>
      </c>
      <c r="F4935" s="1" t="str">
        <f t="shared" si="1"/>
        <v>Online </v>
      </c>
      <c r="G4935" s="1" t="str">
        <f t="shared" si="2"/>
        <v>ADMIN.</v>
      </c>
      <c r="H4935" s="1" t="str">
        <f>IFERROR(__xludf.DUMMYFUNCTION("""COMPUTED_VALUE"""),"14/4/2023, 17:00:00")</f>
        <v>14/4/2023, 17:00:00</v>
      </c>
      <c r="I4935" s="1" t="str">
        <f>IFERROR(__xludf.DUMMYFUNCTION("""COMPUTED_VALUE"""),"Recibido en Laboratorio")</f>
        <v>Recibido en Laboratorio</v>
      </c>
      <c r="J4935" s="1">
        <f t="shared" si="3"/>
        <v>2</v>
      </c>
      <c r="K4935" s="1" t="str">
        <f t="shared" si="4"/>
        <v>Nuestro Laboratorio esta trabajando en tus lentes, los entregaremos en la fecha acordada.</v>
      </c>
    </row>
    <row r="4936">
      <c r="A4936" s="1">
        <f>IFERROR(__xludf.DUMMYFUNCTION("""COMPUTED_VALUE"""),89500.0)</f>
        <v>89500</v>
      </c>
      <c r="B4936" s="5">
        <f>IFERROR(__xludf.DUMMYFUNCTION("""COMPUTED_VALUE"""),45022.63800868056)</f>
        <v>45022.63801</v>
      </c>
      <c r="C4936" s="1" t="str">
        <f>IFERROR(__xludf.DUMMYFUNCTION("""COMPUTED_VALUE"""),"PEREYRA AIDE (PROGRAMA MEDICINA DEL INTERIOR GOB)")</f>
        <v>PEREYRA AIDE (PROGRAMA MEDICINA DEL INTERIOR GOB)</v>
      </c>
      <c r="D4936" s="1" t="str">
        <f>IFERROR(__xludf.DUMMYFUNCTION("""COMPUTED_VALUE"""),"Lentes de STOCK")</f>
        <v>Lentes de STOCK</v>
      </c>
      <c r="E4936" s="1" t="str">
        <f>IFERROR(__xludf.DUMMYFUNCTION("""COMPUTED_VALUE"""),"Online ADMIN.")</f>
        <v>Online ADMIN.</v>
      </c>
      <c r="F4936" s="1" t="str">
        <f t="shared" si="1"/>
        <v>Online </v>
      </c>
      <c r="G4936" s="1" t="str">
        <f t="shared" si="2"/>
        <v>ADMIN.</v>
      </c>
      <c r="H4936" s="1" t="str">
        <f>IFERROR(__xludf.DUMMYFUNCTION("""COMPUTED_VALUE"""),"10/4/2023, 17:00:00")</f>
        <v>10/4/2023, 17:00:00</v>
      </c>
      <c r="I4936" s="1" t="str">
        <f>IFERROR(__xludf.DUMMYFUNCTION("""COMPUTED_VALUE"""),"Recibido en Laboratorio")</f>
        <v>Recibido en Laboratorio</v>
      </c>
      <c r="J4936" s="1">
        <f t="shared" si="3"/>
        <v>2</v>
      </c>
      <c r="K4936" s="1" t="str">
        <f t="shared" si="4"/>
        <v>Nuestro Laboratorio esta trabajando en tus lentes, los entregaremos en la fecha acordada.</v>
      </c>
    </row>
    <row r="4937">
      <c r="A4937" s="1">
        <f>IFERROR(__xludf.DUMMYFUNCTION("""COMPUTED_VALUE"""),89501.0)</f>
        <v>89501</v>
      </c>
      <c r="B4937" s="5">
        <f>IFERROR(__xludf.DUMMYFUNCTION("""COMPUTED_VALUE"""),45022.638699884264)</f>
        <v>45022.6387</v>
      </c>
      <c r="C4937" s="1" t="str">
        <f>IFERROR(__xludf.DUMMYFUNCTION("""COMPUTED_VALUE"""),"pelliza ana graciela (PROGRAMA MEDICINA DEL INTERIOR GOB)")</f>
        <v>pelliza ana graciela (PROGRAMA MEDICINA DEL INTERIOR GOB)</v>
      </c>
      <c r="D4937" s="1" t="str">
        <f>IFERROR(__xludf.DUMMYFUNCTION("""COMPUTED_VALUE"""),"Lentes de STOCK")</f>
        <v>Lentes de STOCK</v>
      </c>
      <c r="E4937" s="1" t="str">
        <f>IFERROR(__xludf.DUMMYFUNCTION("""COMPUTED_VALUE"""),"Online ADMIN.")</f>
        <v>Online ADMIN.</v>
      </c>
      <c r="F4937" s="1" t="str">
        <f t="shared" si="1"/>
        <v>Online </v>
      </c>
      <c r="G4937" s="1" t="str">
        <f t="shared" si="2"/>
        <v>ADMIN.</v>
      </c>
      <c r="H4937" s="1" t="str">
        <f>IFERROR(__xludf.DUMMYFUNCTION("""COMPUTED_VALUE"""),"10/4/2023, 17:00:00")</f>
        <v>10/4/2023, 17:00:00</v>
      </c>
      <c r="I4937" s="1" t="str">
        <f>IFERROR(__xludf.DUMMYFUNCTION("""COMPUTED_VALUE"""),"Recibido en Laboratorio")</f>
        <v>Recibido en Laboratorio</v>
      </c>
      <c r="J4937" s="1">
        <f t="shared" si="3"/>
        <v>2</v>
      </c>
      <c r="K4937" s="1" t="str">
        <f t="shared" si="4"/>
        <v>Nuestro Laboratorio esta trabajando en tus lentes, los entregaremos en la fecha acordada.</v>
      </c>
    </row>
    <row r="4938">
      <c r="A4938" s="1">
        <f>IFERROR(__xludf.DUMMYFUNCTION("""COMPUTED_VALUE"""),89502.0)</f>
        <v>89502</v>
      </c>
      <c r="B4938" s="5">
        <f>IFERROR(__xludf.DUMMYFUNCTION("""COMPUTED_VALUE"""),45022.6394070949)</f>
        <v>45022.63941</v>
      </c>
      <c r="C4938" s="1" t="str">
        <f>IFERROR(__xludf.DUMMYFUNCTION("""COMPUTED_VALUE"""),"NAVEA MONTENEGRO BELEN (PROGRAMA MEDICINA DEL INTERIOR GOB)")</f>
        <v>NAVEA MONTENEGRO BELEN (PROGRAMA MEDICINA DEL INTERIOR GOB)</v>
      </c>
      <c r="D4938" s="1" t="str">
        <f>IFERROR(__xludf.DUMMYFUNCTION("""COMPUTED_VALUE"""),"Lentes de STOCK")</f>
        <v>Lentes de STOCK</v>
      </c>
      <c r="E4938" s="1" t="str">
        <f>IFERROR(__xludf.DUMMYFUNCTION("""COMPUTED_VALUE"""),"Online ADMIN.")</f>
        <v>Online ADMIN.</v>
      </c>
      <c r="F4938" s="1" t="str">
        <f t="shared" si="1"/>
        <v>Online </v>
      </c>
      <c r="G4938" s="1" t="str">
        <f t="shared" si="2"/>
        <v>ADMIN.</v>
      </c>
      <c r="H4938" s="1" t="str">
        <f>IFERROR(__xludf.DUMMYFUNCTION("""COMPUTED_VALUE"""),"10/4/2023, 17:00:00")</f>
        <v>10/4/2023, 17:00:00</v>
      </c>
      <c r="I4938" s="1" t="str">
        <f>IFERROR(__xludf.DUMMYFUNCTION("""COMPUTED_VALUE"""),"Recibido en Laboratorio")</f>
        <v>Recibido en Laboratorio</v>
      </c>
      <c r="J4938" s="1">
        <f t="shared" si="3"/>
        <v>2</v>
      </c>
      <c r="K4938" s="1" t="str">
        <f t="shared" si="4"/>
        <v>Nuestro Laboratorio esta trabajando en tus lentes, los entregaremos en la fecha acordada.</v>
      </c>
    </row>
    <row r="4939">
      <c r="A4939" s="1">
        <f>IFERROR(__xludf.DUMMYFUNCTION("""COMPUTED_VALUE"""),89503.0)</f>
        <v>89503</v>
      </c>
      <c r="B4939" s="5">
        <f>IFERROR(__xludf.DUMMYFUNCTION("""COMPUTED_VALUE"""),45022.6401028588)</f>
        <v>45022.6401</v>
      </c>
      <c r="C4939" s="1" t="str">
        <f>IFERROR(__xludf.DUMMYFUNCTION("""COMPUTED_VALUE"""),"MIRANDA ALDALLA AYLEN STEFANIA (PROGRAMA MEDICINA DEL INTERIOR GOB)")</f>
        <v>MIRANDA ALDALLA AYLEN STEFANIA (PROGRAMA MEDICINA DEL INTERIOR GOB)</v>
      </c>
      <c r="D4939" s="1" t="str">
        <f>IFERROR(__xludf.DUMMYFUNCTION("""COMPUTED_VALUE"""),"Lentes de LABORATORIO")</f>
        <v>Lentes de LABORATORIO</v>
      </c>
      <c r="E4939" s="1" t="str">
        <f>IFERROR(__xludf.DUMMYFUNCTION("""COMPUTED_VALUE"""),"Online ADMIN.")</f>
        <v>Online ADMIN.</v>
      </c>
      <c r="F4939" s="1" t="str">
        <f t="shared" si="1"/>
        <v>Online </v>
      </c>
      <c r="G4939" s="1" t="str">
        <f t="shared" si="2"/>
        <v>ADMIN.</v>
      </c>
      <c r="H4939" s="1" t="str">
        <f>IFERROR(__xludf.DUMMYFUNCTION("""COMPUTED_VALUE"""),"14/4/2023, 17:00:00")</f>
        <v>14/4/2023, 17:00:00</v>
      </c>
      <c r="I4939" s="1" t="str">
        <f>IFERROR(__xludf.DUMMYFUNCTION("""COMPUTED_VALUE"""),"Recibido en Laboratorio")</f>
        <v>Recibido en Laboratorio</v>
      </c>
      <c r="J4939" s="1">
        <f t="shared" si="3"/>
        <v>2</v>
      </c>
      <c r="K4939" s="1" t="str">
        <f t="shared" si="4"/>
        <v>Nuestro Laboratorio esta trabajando en tus lentes, los entregaremos en la fecha acordada.</v>
      </c>
    </row>
    <row r="4940">
      <c r="A4940" s="1">
        <f>IFERROR(__xludf.DUMMYFUNCTION("""COMPUTED_VALUE"""),89504.0)</f>
        <v>89504</v>
      </c>
      <c r="B4940" s="5">
        <f>IFERROR(__xludf.DUMMYFUNCTION("""COMPUTED_VALUE"""),45022.64091538194)</f>
        <v>45022.64092</v>
      </c>
      <c r="C4940" s="1" t="str">
        <f>IFERROR(__xludf.DUMMYFUNCTION("""COMPUTED_VALUE"""),"JOFRE GLADYS NOEMI (PROGRAMA MEDICINA DEL INTERIOR GOB)")</f>
        <v>JOFRE GLADYS NOEMI (PROGRAMA MEDICINA DEL INTERIOR GOB)</v>
      </c>
      <c r="D4940" s="1" t="str">
        <f>IFERROR(__xludf.DUMMYFUNCTION("""COMPUTED_VALUE"""),"Lentes de STOCK")</f>
        <v>Lentes de STOCK</v>
      </c>
      <c r="E4940" s="1" t="str">
        <f>IFERROR(__xludf.DUMMYFUNCTION("""COMPUTED_VALUE"""),"Online ADMIN.")</f>
        <v>Online ADMIN.</v>
      </c>
      <c r="F4940" s="1" t="str">
        <f t="shared" si="1"/>
        <v>Online </v>
      </c>
      <c r="G4940" s="1" t="str">
        <f t="shared" si="2"/>
        <v>ADMIN.</v>
      </c>
      <c r="H4940" s="1" t="str">
        <f>IFERROR(__xludf.DUMMYFUNCTION("""COMPUTED_VALUE"""),"10/4/2023, 17:00:00")</f>
        <v>10/4/2023, 17:00:00</v>
      </c>
      <c r="I4940" s="1" t="str">
        <f>IFERROR(__xludf.DUMMYFUNCTION("""COMPUTED_VALUE"""),"Recibido en Laboratorio")</f>
        <v>Recibido en Laboratorio</v>
      </c>
      <c r="J4940" s="1">
        <f t="shared" si="3"/>
        <v>2</v>
      </c>
      <c r="K4940" s="1" t="str">
        <f t="shared" si="4"/>
        <v>Nuestro Laboratorio esta trabajando en tus lentes, los entregaremos en la fecha acordada.</v>
      </c>
    </row>
    <row r="4941">
      <c r="A4941" s="1">
        <f>IFERROR(__xludf.DUMMYFUNCTION("""COMPUTED_VALUE"""),89505.0)</f>
        <v>89505</v>
      </c>
      <c r="B4941" s="5">
        <f>IFERROR(__xludf.DUMMYFUNCTION("""COMPUTED_VALUE"""),45022.64164101852)</f>
        <v>45022.64164</v>
      </c>
      <c r="C4941" s="1" t="str">
        <f>IFERROR(__xludf.DUMMYFUNCTION("""COMPUTED_VALUE"""),"MANSILLA MORCON JULIAN ALEJANDRO (PROGRAMA MEDICINA DEL INTERIOR GOB)")</f>
        <v>MANSILLA MORCON JULIAN ALEJANDRO (PROGRAMA MEDICINA DEL INTERIOR GOB)</v>
      </c>
      <c r="D4941" s="1" t="str">
        <f>IFERROR(__xludf.DUMMYFUNCTION("""COMPUTED_VALUE"""),"Lentes de LABORATORIO")</f>
        <v>Lentes de LABORATORIO</v>
      </c>
      <c r="E4941" s="1" t="str">
        <f>IFERROR(__xludf.DUMMYFUNCTION("""COMPUTED_VALUE"""),"Online ADMIN.")</f>
        <v>Online ADMIN.</v>
      </c>
      <c r="F4941" s="1" t="str">
        <f t="shared" si="1"/>
        <v>Online </v>
      </c>
      <c r="G4941" s="1" t="str">
        <f t="shared" si="2"/>
        <v>ADMIN.</v>
      </c>
      <c r="H4941" s="1" t="str">
        <f>IFERROR(__xludf.DUMMYFUNCTION("""COMPUTED_VALUE"""),"21/4/2023, 17:00:00")</f>
        <v>21/4/2023, 17:00:00</v>
      </c>
      <c r="I4941" s="1" t="str">
        <f>IFERROR(__xludf.DUMMYFUNCTION("""COMPUTED_VALUE"""),"Recibido en Laboratorio")</f>
        <v>Recibido en Laboratorio</v>
      </c>
      <c r="J4941" s="1">
        <f t="shared" si="3"/>
        <v>2</v>
      </c>
      <c r="K4941" s="1" t="str">
        <f t="shared" si="4"/>
        <v>Nuestro Laboratorio esta trabajando en tus lentes, los entregaremos en la fecha acordada.</v>
      </c>
    </row>
    <row r="4942">
      <c r="A4942" s="1">
        <f>IFERROR(__xludf.DUMMYFUNCTION("""COMPUTED_VALUE"""),89506.0)</f>
        <v>89506</v>
      </c>
      <c r="B4942" s="5">
        <f>IFERROR(__xludf.DUMMYFUNCTION("""COMPUTED_VALUE"""),45022.64204748842)</f>
        <v>45022.64205</v>
      </c>
      <c r="C4942" s="1" t="str">
        <f>IFERROR(__xludf.DUMMYFUNCTION("""COMPUTED_VALUE"""),"FUNES GISEL ANTONELLA (PROGRAMA MEDICINA DEL INTERIOR GOB)")</f>
        <v>FUNES GISEL ANTONELLA (PROGRAMA MEDICINA DEL INTERIOR GOB)</v>
      </c>
      <c r="D4942" s="1" t="str">
        <f>IFERROR(__xludf.DUMMYFUNCTION("""COMPUTED_VALUE"""),"Lentes de STOCK")</f>
        <v>Lentes de STOCK</v>
      </c>
      <c r="E4942" s="1" t="str">
        <f>IFERROR(__xludf.DUMMYFUNCTION("""COMPUTED_VALUE"""),"Online ADMIN.")</f>
        <v>Online ADMIN.</v>
      </c>
      <c r="F4942" s="1" t="str">
        <f t="shared" si="1"/>
        <v>Online </v>
      </c>
      <c r="G4942" s="1" t="str">
        <f t="shared" si="2"/>
        <v>ADMIN.</v>
      </c>
      <c r="H4942" s="1" t="str">
        <f>IFERROR(__xludf.DUMMYFUNCTION("""COMPUTED_VALUE"""),"10/4/2023, 17:00:00")</f>
        <v>10/4/2023, 17:00:00</v>
      </c>
      <c r="I4942" s="1" t="str">
        <f>IFERROR(__xludf.DUMMYFUNCTION("""COMPUTED_VALUE"""),"Recibido en Laboratorio")</f>
        <v>Recibido en Laboratorio</v>
      </c>
      <c r="J4942" s="1">
        <f t="shared" si="3"/>
        <v>2</v>
      </c>
      <c r="K4942" s="1" t="str">
        <f t="shared" si="4"/>
        <v>Nuestro Laboratorio esta trabajando en tus lentes, los entregaremos en la fecha acordada.</v>
      </c>
    </row>
    <row r="4943">
      <c r="A4943" s="1">
        <f>IFERROR(__xludf.DUMMYFUNCTION("""COMPUTED_VALUE"""),89507.0)</f>
        <v>89507</v>
      </c>
      <c r="B4943" s="5">
        <f>IFERROR(__xludf.DUMMYFUNCTION("""COMPUTED_VALUE"""),45022.64254178241)</f>
        <v>45022.64254</v>
      </c>
      <c r="C4943" s="1" t="str">
        <f>IFERROR(__xludf.DUMMYFUNCTION("""COMPUTED_VALUE"""),"DEL CASTILLO MARCELO (PROGRAMA MEDICINA DEL INTERIOR GOB)")</f>
        <v>DEL CASTILLO MARCELO (PROGRAMA MEDICINA DEL INTERIOR GOB)</v>
      </c>
      <c r="D4943" s="1" t="str">
        <f>IFERROR(__xludf.DUMMYFUNCTION("""COMPUTED_VALUE"""),"Lentes de STOCK")</f>
        <v>Lentes de STOCK</v>
      </c>
      <c r="E4943" s="1" t="str">
        <f>IFERROR(__xludf.DUMMYFUNCTION("""COMPUTED_VALUE"""),"Online ADMIN.")</f>
        <v>Online ADMIN.</v>
      </c>
      <c r="F4943" s="1" t="str">
        <f t="shared" si="1"/>
        <v>Online </v>
      </c>
      <c r="G4943" s="1" t="str">
        <f t="shared" si="2"/>
        <v>ADMIN.</v>
      </c>
      <c r="H4943" s="1" t="str">
        <f>IFERROR(__xludf.DUMMYFUNCTION("""COMPUTED_VALUE"""),"10/4/2023, 17:00:00")</f>
        <v>10/4/2023, 17:00:00</v>
      </c>
      <c r="I4943" s="1" t="str">
        <f>IFERROR(__xludf.DUMMYFUNCTION("""COMPUTED_VALUE"""),"Recibido en Laboratorio")</f>
        <v>Recibido en Laboratorio</v>
      </c>
      <c r="J4943" s="1">
        <f t="shared" si="3"/>
        <v>2</v>
      </c>
      <c r="K4943" s="1" t="str">
        <f t="shared" si="4"/>
        <v>Nuestro Laboratorio esta trabajando en tus lentes, los entregaremos en la fecha acordada.</v>
      </c>
    </row>
    <row r="4944">
      <c r="A4944" s="1">
        <f>IFERROR(__xludf.DUMMYFUNCTION("""COMPUTED_VALUE"""),89508.0)</f>
        <v>89508</v>
      </c>
      <c r="B4944" s="5">
        <f>IFERROR(__xludf.DUMMYFUNCTION("""COMPUTED_VALUE"""),45022.6434)</f>
        <v>45022.6434</v>
      </c>
      <c r="C4944" s="1" t="str">
        <f>IFERROR(__xludf.DUMMYFUNCTION("""COMPUTED_VALUE"""),"CORTEZ GLADYS MARGARITA (PROGRAMA MEDICINA DEL INTERIOR GOB)")</f>
        <v>CORTEZ GLADYS MARGARITA (PROGRAMA MEDICINA DEL INTERIOR GOB)</v>
      </c>
      <c r="D4944" s="1" t="str">
        <f>IFERROR(__xludf.DUMMYFUNCTION("""COMPUTED_VALUE"""),"Lentes de STOCK")</f>
        <v>Lentes de STOCK</v>
      </c>
      <c r="E4944" s="1" t="str">
        <f>IFERROR(__xludf.DUMMYFUNCTION("""COMPUTED_VALUE"""),"Online ADMIN.")</f>
        <v>Online ADMIN.</v>
      </c>
      <c r="F4944" s="1" t="str">
        <f t="shared" si="1"/>
        <v>Online </v>
      </c>
      <c r="G4944" s="1" t="str">
        <f t="shared" si="2"/>
        <v>ADMIN.</v>
      </c>
      <c r="H4944" s="1" t="str">
        <f>IFERROR(__xludf.DUMMYFUNCTION("""COMPUTED_VALUE"""),"10/4/2023, 17:00:00")</f>
        <v>10/4/2023, 17:00:00</v>
      </c>
      <c r="I4944" s="1" t="str">
        <f>IFERROR(__xludf.DUMMYFUNCTION("""COMPUTED_VALUE"""),"Recibido en Laboratorio")</f>
        <v>Recibido en Laboratorio</v>
      </c>
      <c r="J4944" s="1">
        <f t="shared" si="3"/>
        <v>2</v>
      </c>
      <c r="K4944" s="1" t="str">
        <f t="shared" si="4"/>
        <v>Nuestro Laboratorio esta trabajando en tus lentes, los entregaremos en la fecha acordada.</v>
      </c>
    </row>
    <row r="4945">
      <c r="A4945" s="1">
        <f>IFERROR(__xludf.DUMMYFUNCTION("""COMPUTED_VALUE"""),89509.0)</f>
        <v>89509</v>
      </c>
      <c r="B4945" s="5">
        <f>IFERROR(__xludf.DUMMYFUNCTION("""COMPUTED_VALUE"""),45022.644217361114)</f>
        <v>45022.64422</v>
      </c>
      <c r="C4945" s="1" t="str">
        <f>IFERROR(__xludf.DUMMYFUNCTION("""COMPUTED_VALUE"""),"CORREA SILVINA VALERIA (PROGRAMA MEDICINA DEL INTERIOR GOB)")</f>
        <v>CORREA SILVINA VALERIA (PROGRAMA MEDICINA DEL INTERIOR GOB)</v>
      </c>
      <c r="D4945" s="1" t="str">
        <f>IFERROR(__xludf.DUMMYFUNCTION("""COMPUTED_VALUE"""),"Lentes de STOCK")</f>
        <v>Lentes de STOCK</v>
      </c>
      <c r="E4945" s="1" t="str">
        <f>IFERROR(__xludf.DUMMYFUNCTION("""COMPUTED_VALUE"""),"Online ADMIN.")</f>
        <v>Online ADMIN.</v>
      </c>
      <c r="F4945" s="1" t="str">
        <f t="shared" si="1"/>
        <v>Online </v>
      </c>
      <c r="G4945" s="1" t="str">
        <f t="shared" si="2"/>
        <v>ADMIN.</v>
      </c>
      <c r="H4945" s="1" t="str">
        <f>IFERROR(__xludf.DUMMYFUNCTION("""COMPUTED_VALUE"""),"10/4/2023, 17:00:00")</f>
        <v>10/4/2023, 17:00:00</v>
      </c>
      <c r="I4945" s="1"/>
      <c r="J4945" s="1">
        <f t="shared" si="3"/>
        <v>0</v>
      </c>
      <c r="K4945" s="1" t="str">
        <f t="shared" si="4"/>
        <v/>
      </c>
    </row>
    <row r="4946">
      <c r="A4946" s="1">
        <f>IFERROR(__xludf.DUMMYFUNCTION("""COMPUTED_VALUE"""),89510.0)</f>
        <v>89510</v>
      </c>
      <c r="B4946" s="5">
        <f>IFERROR(__xludf.DUMMYFUNCTION("""COMPUTED_VALUE"""),45022.645091087965)</f>
        <v>45022.64509</v>
      </c>
      <c r="C4946" s="1" t="str">
        <f>IFERROR(__xludf.DUMMYFUNCTION("""COMPUTED_VALUE"""),"CELIZ MARCELA DEL VALLE (PROGRAMA MEDICINA DEL INTERIOR GOB)")</f>
        <v>CELIZ MARCELA DEL VALLE (PROGRAMA MEDICINA DEL INTERIOR GOB)</v>
      </c>
      <c r="D4946" s="1" t="str">
        <f>IFERROR(__xludf.DUMMYFUNCTION("""COMPUTED_VALUE"""),"Lentes de STOCK")</f>
        <v>Lentes de STOCK</v>
      </c>
      <c r="E4946" s="1" t="str">
        <f>IFERROR(__xludf.DUMMYFUNCTION("""COMPUTED_VALUE"""),"Online ADMIN.")</f>
        <v>Online ADMIN.</v>
      </c>
      <c r="F4946" s="1" t="str">
        <f t="shared" si="1"/>
        <v>Online </v>
      </c>
      <c r="G4946" s="1" t="str">
        <f t="shared" si="2"/>
        <v>ADMIN.</v>
      </c>
      <c r="H4946" s="1" t="str">
        <f>IFERROR(__xludf.DUMMYFUNCTION("""COMPUTED_VALUE"""),"10/4/2023, 17:00:00")</f>
        <v>10/4/2023, 17:00:00</v>
      </c>
      <c r="I4946" s="1" t="str">
        <f>IFERROR(__xludf.DUMMYFUNCTION("""COMPUTED_VALUE"""),"Recibido en Laboratorio")</f>
        <v>Recibido en Laboratorio</v>
      </c>
      <c r="J4946" s="1">
        <f t="shared" si="3"/>
        <v>2</v>
      </c>
      <c r="K4946" s="1" t="str">
        <f t="shared" si="4"/>
        <v>Nuestro Laboratorio esta trabajando en tus lentes, los entregaremos en la fecha acordada.</v>
      </c>
    </row>
    <row r="4947">
      <c r="A4947" s="1">
        <f>IFERROR(__xludf.DUMMYFUNCTION("""COMPUTED_VALUE"""),89511.0)</f>
        <v>89511</v>
      </c>
      <c r="B4947" s="5">
        <f>IFERROR(__xludf.DUMMYFUNCTION("""COMPUTED_VALUE"""),45022.64566815972)</f>
        <v>45022.64567</v>
      </c>
      <c r="C4947" s="1" t="str">
        <f>IFERROR(__xludf.DUMMYFUNCTION("""COMPUTED_VALUE"""),"CASTRO NILDA ESTHER (PROGRAMA MEDICINA DEL INTERIOR GOB)")</f>
        <v>CASTRO NILDA ESTHER (PROGRAMA MEDICINA DEL INTERIOR GOB)</v>
      </c>
      <c r="D4947" s="1" t="str">
        <f>IFERROR(__xludf.DUMMYFUNCTION("""COMPUTED_VALUE"""),"Lentes de STOCK")</f>
        <v>Lentes de STOCK</v>
      </c>
      <c r="E4947" s="1" t="str">
        <f>IFERROR(__xludf.DUMMYFUNCTION("""COMPUTED_VALUE"""),"Online ADMIN.")</f>
        <v>Online ADMIN.</v>
      </c>
      <c r="F4947" s="1" t="str">
        <f t="shared" si="1"/>
        <v>Online </v>
      </c>
      <c r="G4947" s="1" t="str">
        <f t="shared" si="2"/>
        <v>ADMIN.</v>
      </c>
      <c r="H4947" s="1" t="str">
        <f>IFERROR(__xludf.DUMMYFUNCTION("""COMPUTED_VALUE"""),"10/4/2023, 17:00:00")</f>
        <v>10/4/2023, 17:00:00</v>
      </c>
      <c r="I4947" s="1" t="str">
        <f>IFERROR(__xludf.DUMMYFUNCTION("""COMPUTED_VALUE"""),"Recibido en Laboratorio")</f>
        <v>Recibido en Laboratorio</v>
      </c>
      <c r="J4947" s="1">
        <f t="shared" si="3"/>
        <v>2</v>
      </c>
      <c r="K4947" s="1" t="str">
        <f t="shared" si="4"/>
        <v>Nuestro Laboratorio esta trabajando en tus lentes, los entregaremos en la fecha acordada.</v>
      </c>
    </row>
    <row r="4948">
      <c r="A4948" s="1">
        <f>IFERROR(__xludf.DUMMYFUNCTION("""COMPUTED_VALUE"""),89512.0)</f>
        <v>89512</v>
      </c>
      <c r="B4948" s="5">
        <f>IFERROR(__xludf.DUMMYFUNCTION("""COMPUTED_VALUE"""),45022.64652956018)</f>
        <v>45022.64653</v>
      </c>
      <c r="C4948" s="1" t="str">
        <f>IFERROR(__xludf.DUMMYFUNCTION("""COMPUTED_VALUE"""),"CATALA NORMA ALICIA (PROGRAMA MEDICINA DEL INTERIOR GOB)")</f>
        <v>CATALA NORMA ALICIA (PROGRAMA MEDICINA DEL INTERIOR GOB)</v>
      </c>
      <c r="D4948" s="1" t="str">
        <f>IFERROR(__xludf.DUMMYFUNCTION("""COMPUTED_VALUE"""),"Lentes de LABORATORIO")</f>
        <v>Lentes de LABORATORIO</v>
      </c>
      <c r="E4948" s="1" t="str">
        <f>IFERROR(__xludf.DUMMYFUNCTION("""COMPUTED_VALUE"""),"Online ADMIN.")</f>
        <v>Online ADMIN.</v>
      </c>
      <c r="F4948" s="1" t="str">
        <f t="shared" si="1"/>
        <v>Online </v>
      </c>
      <c r="G4948" s="1" t="str">
        <f t="shared" si="2"/>
        <v>ADMIN.</v>
      </c>
      <c r="H4948" s="1" t="str">
        <f>IFERROR(__xludf.DUMMYFUNCTION("""COMPUTED_VALUE"""),"14/4/2023, 17:00:00")</f>
        <v>14/4/2023, 17:00:00</v>
      </c>
      <c r="I4948" s="1" t="str">
        <f>IFERROR(__xludf.DUMMYFUNCTION("""COMPUTED_VALUE"""),"Completado en SUCURSAL")</f>
        <v>Completado en SUCURSAL</v>
      </c>
      <c r="J4948" s="1">
        <f t="shared" si="3"/>
        <v>5</v>
      </c>
      <c r="K4948" s="1" t="str">
        <f t="shared" si="4"/>
        <v>Tus Lentes estan LISTAS PARA ENTREGAR, te esperamos.</v>
      </c>
    </row>
    <row r="4949">
      <c r="A4949" s="1">
        <f>IFERROR(__xludf.DUMMYFUNCTION("""COMPUTED_VALUE"""),89513.0)</f>
        <v>89513</v>
      </c>
      <c r="B4949" s="5">
        <f>IFERROR(__xludf.DUMMYFUNCTION("""COMPUTED_VALUE"""),45022.646898032406)</f>
        <v>45022.6469</v>
      </c>
      <c r="C4949" s="1" t="str">
        <f>IFERROR(__xludf.DUMMYFUNCTION("""COMPUTED_VALUE"""),"BUSTOS LOURDES PATRICIA (PROGRAMA MEDICINA DEL INTERIOR GOB)")</f>
        <v>BUSTOS LOURDES PATRICIA (PROGRAMA MEDICINA DEL INTERIOR GOB)</v>
      </c>
      <c r="D4949" s="1" t="str">
        <f>IFERROR(__xludf.DUMMYFUNCTION("""COMPUTED_VALUE"""),"Lentes de STOCK")</f>
        <v>Lentes de STOCK</v>
      </c>
      <c r="E4949" s="1" t="str">
        <f>IFERROR(__xludf.DUMMYFUNCTION("""COMPUTED_VALUE"""),"Online ADMIN.")</f>
        <v>Online ADMIN.</v>
      </c>
      <c r="F4949" s="1" t="str">
        <f t="shared" si="1"/>
        <v>Online </v>
      </c>
      <c r="G4949" s="1" t="str">
        <f t="shared" si="2"/>
        <v>ADMIN.</v>
      </c>
      <c r="H4949" s="1" t="str">
        <f>IFERROR(__xludf.DUMMYFUNCTION("""COMPUTED_VALUE"""),"10/4/2023, 17:00:00")</f>
        <v>10/4/2023, 17:00:00</v>
      </c>
      <c r="I4949" s="1" t="str">
        <f>IFERROR(__xludf.DUMMYFUNCTION("""COMPUTED_VALUE"""),"Recibido en Laboratorio")</f>
        <v>Recibido en Laboratorio</v>
      </c>
      <c r="J4949" s="1">
        <f t="shared" si="3"/>
        <v>2</v>
      </c>
      <c r="K4949" s="1" t="str">
        <f t="shared" si="4"/>
        <v>Nuestro Laboratorio esta trabajando en tus lentes, los entregaremos en la fecha acordada.</v>
      </c>
    </row>
    <row r="4950">
      <c r="A4950" s="1">
        <f>IFERROR(__xludf.DUMMYFUNCTION("""COMPUTED_VALUE"""),89514.0)</f>
        <v>89514</v>
      </c>
      <c r="B4950" s="5">
        <f>IFERROR(__xludf.DUMMYFUNCTION("""COMPUTED_VALUE"""),45022.64754561342)</f>
        <v>45022.64755</v>
      </c>
      <c r="C4950" s="1" t="str">
        <f>IFERROR(__xludf.DUMMYFUNCTION("""COMPUTED_VALUE"""),"BENITEZ JUAN CARLOS (PROGRAMA MEDICINA DEL INTERIOR GOB)")</f>
        <v>BENITEZ JUAN CARLOS (PROGRAMA MEDICINA DEL INTERIOR GOB)</v>
      </c>
      <c r="D4950" s="1" t="str">
        <f>IFERROR(__xludf.DUMMYFUNCTION("""COMPUTED_VALUE"""),"Lentes de STOCK")</f>
        <v>Lentes de STOCK</v>
      </c>
      <c r="E4950" s="1" t="str">
        <f>IFERROR(__xludf.DUMMYFUNCTION("""COMPUTED_VALUE"""),"Online ADMIN.")</f>
        <v>Online ADMIN.</v>
      </c>
      <c r="F4950" s="1" t="str">
        <f t="shared" si="1"/>
        <v>Online </v>
      </c>
      <c r="G4950" s="1" t="str">
        <f t="shared" si="2"/>
        <v>ADMIN.</v>
      </c>
      <c r="H4950" s="1" t="str">
        <f>IFERROR(__xludf.DUMMYFUNCTION("""COMPUTED_VALUE"""),"10/4/2023, 17:00:00")</f>
        <v>10/4/2023, 17:00:00</v>
      </c>
      <c r="I4950" s="1" t="str">
        <f>IFERROR(__xludf.DUMMYFUNCTION("""COMPUTED_VALUE"""),"Recibido en Laboratorio")</f>
        <v>Recibido en Laboratorio</v>
      </c>
      <c r="J4950" s="1">
        <f t="shared" si="3"/>
        <v>2</v>
      </c>
      <c r="K4950" s="1" t="str">
        <f t="shared" si="4"/>
        <v>Nuestro Laboratorio esta trabajando en tus lentes, los entregaremos en la fecha acordada.</v>
      </c>
    </row>
    <row r="4951">
      <c r="A4951" s="1">
        <f>IFERROR(__xludf.DUMMYFUNCTION("""COMPUTED_VALUE"""),89515.0)</f>
        <v>89515</v>
      </c>
      <c r="B4951" s="5">
        <f>IFERROR(__xludf.DUMMYFUNCTION("""COMPUTED_VALUE"""),45022.6484862963)</f>
        <v>45022.64849</v>
      </c>
      <c r="C4951" s="1" t="str">
        <f>IFERROR(__xludf.DUMMYFUNCTION("""COMPUTED_VALUE"""),"CAMARGO MIRTHA ESTHER (PROGRAMA MEDICINA DEL INTERIOR GOB)")</f>
        <v>CAMARGO MIRTHA ESTHER (PROGRAMA MEDICINA DEL INTERIOR GOB)</v>
      </c>
      <c r="D4951" s="1" t="str">
        <f>IFERROR(__xludf.DUMMYFUNCTION("""COMPUTED_VALUE"""),"Lentes de STOCK")</f>
        <v>Lentes de STOCK</v>
      </c>
      <c r="E4951" s="1" t="str">
        <f>IFERROR(__xludf.DUMMYFUNCTION("""COMPUTED_VALUE"""),"Online ADMIN.")</f>
        <v>Online ADMIN.</v>
      </c>
      <c r="F4951" s="1" t="str">
        <f t="shared" si="1"/>
        <v>Online </v>
      </c>
      <c r="G4951" s="1" t="str">
        <f t="shared" si="2"/>
        <v>ADMIN.</v>
      </c>
      <c r="H4951" s="1" t="str">
        <f>IFERROR(__xludf.DUMMYFUNCTION("""COMPUTED_VALUE"""),"10/4/2023, 17:00:00")</f>
        <v>10/4/2023, 17:00:00</v>
      </c>
      <c r="I4951" s="1" t="str">
        <f>IFERROR(__xludf.DUMMYFUNCTION("""COMPUTED_VALUE"""),"Recibido en Laboratorio")</f>
        <v>Recibido en Laboratorio</v>
      </c>
      <c r="J4951" s="1">
        <f t="shared" si="3"/>
        <v>2</v>
      </c>
      <c r="K4951" s="1" t="str">
        <f t="shared" si="4"/>
        <v>Nuestro Laboratorio esta trabajando en tus lentes, los entregaremos en la fecha acordada.</v>
      </c>
    </row>
    <row r="4952">
      <c r="A4952" s="1">
        <f>IFERROR(__xludf.DUMMYFUNCTION("""COMPUTED_VALUE"""),89516.0)</f>
        <v>89516</v>
      </c>
      <c r="B4952" s="5">
        <f>IFERROR(__xludf.DUMMYFUNCTION("""COMPUTED_VALUE"""),45022.649355393514)</f>
        <v>45022.64936</v>
      </c>
      <c r="C4952" s="1" t="str">
        <f>IFERROR(__xludf.DUMMYFUNCTION("""COMPUTED_VALUE"""),"BECERRA ROSA (PROGRAMA MEDICINA DEL INTERIOR GOB)")</f>
        <v>BECERRA ROSA (PROGRAMA MEDICINA DEL INTERIOR GOB)</v>
      </c>
      <c r="D4952" s="1" t="str">
        <f>IFERROR(__xludf.DUMMYFUNCTION("""COMPUTED_VALUE"""),"Lentes de STOCK")</f>
        <v>Lentes de STOCK</v>
      </c>
      <c r="E4952" s="1" t="str">
        <f>IFERROR(__xludf.DUMMYFUNCTION("""COMPUTED_VALUE"""),"Online ADMIN.")</f>
        <v>Online ADMIN.</v>
      </c>
      <c r="F4952" s="1" t="str">
        <f t="shared" si="1"/>
        <v>Online </v>
      </c>
      <c r="G4952" s="1" t="str">
        <f t="shared" si="2"/>
        <v>ADMIN.</v>
      </c>
      <c r="H4952" s="1" t="str">
        <f>IFERROR(__xludf.DUMMYFUNCTION("""COMPUTED_VALUE"""),"10/4/2023, 17:00:00")</f>
        <v>10/4/2023, 17:00:00</v>
      </c>
      <c r="I4952" s="1" t="str">
        <f>IFERROR(__xludf.DUMMYFUNCTION("""COMPUTED_VALUE"""),"Recibido en Laboratorio")</f>
        <v>Recibido en Laboratorio</v>
      </c>
      <c r="J4952" s="1">
        <f t="shared" si="3"/>
        <v>2</v>
      </c>
      <c r="K4952" s="1" t="str">
        <f t="shared" si="4"/>
        <v>Nuestro Laboratorio esta trabajando en tus lentes, los entregaremos en la fecha acordada.</v>
      </c>
    </row>
    <row r="4953">
      <c r="A4953" s="1">
        <f>IFERROR(__xludf.DUMMYFUNCTION("""COMPUTED_VALUE"""),89517.0)</f>
        <v>89517</v>
      </c>
      <c r="B4953" s="5">
        <f>IFERROR(__xludf.DUMMYFUNCTION("""COMPUTED_VALUE"""),45022.64983436343)</f>
        <v>45022.64983</v>
      </c>
      <c r="C4953" s="1" t="str">
        <f>IFERROR(__xludf.DUMMYFUNCTION("""COMPUTED_VALUE"""),"ARIAS LILIANA DE LOURDES (PROGRAMA MEDICINA DEL INTERIOR GOB)")</f>
        <v>ARIAS LILIANA DE LOURDES (PROGRAMA MEDICINA DEL INTERIOR GOB)</v>
      </c>
      <c r="D4953" s="1" t="str">
        <f>IFERROR(__xludf.DUMMYFUNCTION("""COMPUTED_VALUE"""),"Lentes de STOCK")</f>
        <v>Lentes de STOCK</v>
      </c>
      <c r="E4953" s="1" t="str">
        <f>IFERROR(__xludf.DUMMYFUNCTION("""COMPUTED_VALUE"""),"Online ADMIN.")</f>
        <v>Online ADMIN.</v>
      </c>
      <c r="F4953" s="1" t="str">
        <f t="shared" si="1"/>
        <v>Online </v>
      </c>
      <c r="G4953" s="1" t="str">
        <f t="shared" si="2"/>
        <v>ADMIN.</v>
      </c>
      <c r="H4953" s="1" t="str">
        <f>IFERROR(__xludf.DUMMYFUNCTION("""COMPUTED_VALUE"""),"10/4/2023, 17:00:00")</f>
        <v>10/4/2023, 17:00:00</v>
      </c>
      <c r="I4953" s="1" t="str">
        <f>IFERROR(__xludf.DUMMYFUNCTION("""COMPUTED_VALUE"""),"Recibido en Laboratorio")</f>
        <v>Recibido en Laboratorio</v>
      </c>
      <c r="J4953" s="1">
        <f t="shared" si="3"/>
        <v>2</v>
      </c>
      <c r="K4953" s="1" t="str">
        <f t="shared" si="4"/>
        <v>Nuestro Laboratorio esta trabajando en tus lentes, los entregaremos en la fecha acordada.</v>
      </c>
    </row>
    <row r="4954">
      <c r="A4954" s="1">
        <f>IFERROR(__xludf.DUMMYFUNCTION("""COMPUTED_VALUE"""),89518.0)</f>
        <v>89518</v>
      </c>
      <c r="B4954" s="5">
        <f>IFERROR(__xludf.DUMMYFUNCTION("""COMPUTED_VALUE"""),45022.65037991898)</f>
        <v>45022.65038</v>
      </c>
      <c r="C4954" s="1" t="str">
        <f>IFERROR(__xludf.DUMMYFUNCTION("""COMPUTED_VALUE"""),"ARRIOLA NAVEA LUCAS LAUTARO (PROGRAMA MEDICINA DEL INTERIOR GOB)")</f>
        <v>ARRIOLA NAVEA LUCAS LAUTARO (PROGRAMA MEDICINA DEL INTERIOR GOB)</v>
      </c>
      <c r="D4954" s="1" t="str">
        <f>IFERROR(__xludf.DUMMYFUNCTION("""COMPUTED_VALUE"""),"Lentes de STOCK")</f>
        <v>Lentes de STOCK</v>
      </c>
      <c r="E4954" s="1" t="str">
        <f>IFERROR(__xludf.DUMMYFUNCTION("""COMPUTED_VALUE"""),"Online ADMIN.")</f>
        <v>Online ADMIN.</v>
      </c>
      <c r="F4954" s="1" t="str">
        <f t="shared" si="1"/>
        <v>Online </v>
      </c>
      <c r="G4954" s="1" t="str">
        <f t="shared" si="2"/>
        <v>ADMIN.</v>
      </c>
      <c r="H4954" s="1" t="str">
        <f>IFERROR(__xludf.DUMMYFUNCTION("""COMPUTED_VALUE"""),"10/4/2023, 17:00:00")</f>
        <v>10/4/2023, 17:00:00</v>
      </c>
      <c r="I4954" s="1" t="str">
        <f>IFERROR(__xludf.DUMMYFUNCTION("""COMPUTED_VALUE"""),"Recibido en Laboratorio")</f>
        <v>Recibido en Laboratorio</v>
      </c>
      <c r="J4954" s="1">
        <f t="shared" si="3"/>
        <v>2</v>
      </c>
      <c r="K4954" s="1" t="str">
        <f t="shared" si="4"/>
        <v>Nuestro Laboratorio esta trabajando en tus lentes, los entregaremos en la fecha acordada.</v>
      </c>
    </row>
    <row r="4955">
      <c r="A4955" s="1">
        <f>IFERROR(__xludf.DUMMYFUNCTION("""COMPUTED_VALUE"""),89519.0)</f>
        <v>89519</v>
      </c>
      <c r="B4955" s="5">
        <f>IFERROR(__xludf.DUMMYFUNCTION("""COMPUTED_VALUE"""),45022.651113472224)</f>
        <v>45022.65111</v>
      </c>
      <c r="C4955" s="1" t="str">
        <f>IFERROR(__xludf.DUMMYFUNCTION("""COMPUTED_VALUE"""),"ALFARO MARCOS (PROGRAMA MEDICINA DEL INTERIOR GOB)")</f>
        <v>ALFARO MARCOS (PROGRAMA MEDICINA DEL INTERIOR GOB)</v>
      </c>
      <c r="D4955" s="1" t="str">
        <f>IFERROR(__xludf.DUMMYFUNCTION("""COMPUTED_VALUE"""),"Lentes de LABORATORIO")</f>
        <v>Lentes de LABORATORIO</v>
      </c>
      <c r="E4955" s="1" t="str">
        <f>IFERROR(__xludf.DUMMYFUNCTION("""COMPUTED_VALUE"""),"Online ADMIN.")</f>
        <v>Online ADMIN.</v>
      </c>
      <c r="F4955" s="1" t="str">
        <f t="shared" si="1"/>
        <v>Online </v>
      </c>
      <c r="G4955" s="1" t="str">
        <f t="shared" si="2"/>
        <v>ADMIN.</v>
      </c>
      <c r="H4955" s="1" t="str">
        <f>IFERROR(__xludf.DUMMYFUNCTION("""COMPUTED_VALUE"""),"14/4/2023, 17:00:00")</f>
        <v>14/4/2023, 17:00:00</v>
      </c>
      <c r="I4955" s="1" t="str">
        <f>IFERROR(__xludf.DUMMYFUNCTION("""COMPUTED_VALUE"""),"Recibido en Laboratorio")</f>
        <v>Recibido en Laboratorio</v>
      </c>
      <c r="J4955" s="1">
        <f t="shared" si="3"/>
        <v>2</v>
      </c>
      <c r="K4955" s="1" t="str">
        <f t="shared" si="4"/>
        <v>Nuestro Laboratorio esta trabajando en tus lentes, los entregaremos en la fecha acordada.</v>
      </c>
    </row>
    <row r="4956">
      <c r="A4956" s="1">
        <f>IFERROR(__xludf.DUMMYFUNCTION("""COMPUTED_VALUE"""),89520.0)</f>
        <v>89520</v>
      </c>
      <c r="B4956" s="5">
        <f>IFERROR(__xludf.DUMMYFUNCTION("""COMPUTED_VALUE"""),45022.65217568287)</f>
        <v>45022.65218</v>
      </c>
      <c r="C4956" s="1" t="str">
        <f>IFERROR(__xludf.DUMMYFUNCTION("""COMPUTED_VALUE"""),"ALFARO JULIO CESAR (PROGRAMA MEDICINA DEL INTERIOR GOB)")</f>
        <v>ALFARO JULIO CESAR (PROGRAMA MEDICINA DEL INTERIOR GOB)</v>
      </c>
      <c r="D4956" s="1" t="str">
        <f>IFERROR(__xludf.DUMMYFUNCTION("""COMPUTED_VALUE"""),"Lentes de STOCK")</f>
        <v>Lentes de STOCK</v>
      </c>
      <c r="E4956" s="1" t="str">
        <f>IFERROR(__xludf.DUMMYFUNCTION("""COMPUTED_VALUE"""),"Online ADMIN.")</f>
        <v>Online ADMIN.</v>
      </c>
      <c r="F4956" s="1" t="str">
        <f t="shared" si="1"/>
        <v>Online </v>
      </c>
      <c r="G4956" s="1" t="str">
        <f t="shared" si="2"/>
        <v>ADMIN.</v>
      </c>
      <c r="H4956" s="1" t="str">
        <f>IFERROR(__xludf.DUMMYFUNCTION("""COMPUTED_VALUE"""),"10/4/2023, 17:00:00")</f>
        <v>10/4/2023, 17:00:00</v>
      </c>
      <c r="I4956" s="1" t="str">
        <f>IFERROR(__xludf.DUMMYFUNCTION("""COMPUTED_VALUE"""),"Recibido en Laboratorio")</f>
        <v>Recibido en Laboratorio</v>
      </c>
      <c r="J4956" s="1">
        <f t="shared" si="3"/>
        <v>2</v>
      </c>
      <c r="K4956" s="1" t="str">
        <f t="shared" si="4"/>
        <v>Nuestro Laboratorio esta trabajando en tus lentes, los entregaremos en la fecha acordada.</v>
      </c>
    </row>
    <row r="4957">
      <c r="A4957" s="1">
        <f>IFERROR(__xludf.DUMMYFUNCTION("""COMPUTED_VALUE"""),89521.0)</f>
        <v>89521</v>
      </c>
      <c r="B4957" s="5">
        <f>IFERROR(__xludf.DUMMYFUNCTION("""COMPUTED_VALUE"""),45022.65318072916)</f>
        <v>45022.65318</v>
      </c>
      <c r="C4957" s="1" t="str">
        <f>IFERROR(__xludf.DUMMYFUNCTION("""COMPUTED_VALUE"""),"VAZQUEZ DOMINGO ALBERTO (PROGRAMA MEDICINA DEL INTERIOR GOB)")</f>
        <v>VAZQUEZ DOMINGO ALBERTO (PROGRAMA MEDICINA DEL INTERIOR GOB)</v>
      </c>
      <c r="D4957" s="1" t="str">
        <f>IFERROR(__xludf.DUMMYFUNCTION("""COMPUTED_VALUE"""),"Lentes de STOCK")</f>
        <v>Lentes de STOCK</v>
      </c>
      <c r="E4957" s="1" t="str">
        <f>IFERROR(__xludf.DUMMYFUNCTION("""COMPUTED_VALUE"""),"Online ADMIN.")</f>
        <v>Online ADMIN.</v>
      </c>
      <c r="F4957" s="1" t="str">
        <f t="shared" si="1"/>
        <v>Online </v>
      </c>
      <c r="G4957" s="1" t="str">
        <f t="shared" si="2"/>
        <v>ADMIN.</v>
      </c>
      <c r="H4957" s="1" t="str">
        <f>IFERROR(__xludf.DUMMYFUNCTION("""COMPUTED_VALUE"""),"10/4/2023, 17:00:00")</f>
        <v>10/4/2023, 17:00:00</v>
      </c>
      <c r="I4957" s="1" t="str">
        <f>IFERROR(__xludf.DUMMYFUNCTION("""COMPUTED_VALUE"""),"Recibido en Laboratorio")</f>
        <v>Recibido en Laboratorio</v>
      </c>
      <c r="J4957" s="1">
        <f t="shared" si="3"/>
        <v>2</v>
      </c>
      <c r="K4957" s="1" t="str">
        <f t="shared" si="4"/>
        <v>Nuestro Laboratorio esta trabajando en tus lentes, los entregaremos en la fecha acordada.</v>
      </c>
    </row>
    <row r="4958">
      <c r="A4958" s="1">
        <f>IFERROR(__xludf.DUMMYFUNCTION("""COMPUTED_VALUE"""),89522.0)</f>
        <v>89522</v>
      </c>
      <c r="B4958" s="5">
        <f>IFERROR(__xludf.DUMMYFUNCTION("""COMPUTED_VALUE"""),45022.65398300926)</f>
        <v>45022.65398</v>
      </c>
      <c r="C4958" s="1" t="str">
        <f>IFERROR(__xludf.DUMMYFUNCTION("""COMPUTED_VALUE"""),"TOMAS NORA (PROGRAMA MEDICINA DEL INTERIOR GOB)")</f>
        <v>TOMAS NORA (PROGRAMA MEDICINA DEL INTERIOR GOB)</v>
      </c>
      <c r="D4958" s="1" t="str">
        <f>IFERROR(__xludf.DUMMYFUNCTION("""COMPUTED_VALUE"""),"Lentes de STOCK")</f>
        <v>Lentes de STOCK</v>
      </c>
      <c r="E4958" s="1" t="str">
        <f>IFERROR(__xludf.DUMMYFUNCTION("""COMPUTED_VALUE"""),"Online ADMIN.")</f>
        <v>Online ADMIN.</v>
      </c>
      <c r="F4958" s="1" t="str">
        <f t="shared" si="1"/>
        <v>Online </v>
      </c>
      <c r="G4958" s="1" t="str">
        <f t="shared" si="2"/>
        <v>ADMIN.</v>
      </c>
      <c r="H4958" s="1" t="str">
        <f>IFERROR(__xludf.DUMMYFUNCTION("""COMPUTED_VALUE"""),"10/4/2023, 17:00:00")</f>
        <v>10/4/2023, 17:00:00</v>
      </c>
      <c r="I4958" s="1" t="str">
        <f>IFERROR(__xludf.DUMMYFUNCTION("""COMPUTED_VALUE"""),"Recibido en Laboratorio")</f>
        <v>Recibido en Laboratorio</v>
      </c>
      <c r="J4958" s="1">
        <f t="shared" si="3"/>
        <v>2</v>
      </c>
      <c r="K4958" s="1" t="str">
        <f t="shared" si="4"/>
        <v>Nuestro Laboratorio esta trabajando en tus lentes, los entregaremos en la fecha acordada.</v>
      </c>
    </row>
    <row r="4959">
      <c r="A4959" s="1">
        <f>IFERROR(__xludf.DUMMYFUNCTION("""COMPUTED_VALUE"""),89523.0)</f>
        <v>89523</v>
      </c>
      <c r="B4959" s="5">
        <f>IFERROR(__xludf.DUMMYFUNCTION("""COMPUTED_VALUE"""),45022.65524054398)</f>
        <v>45022.65524</v>
      </c>
      <c r="C4959" s="1" t="str">
        <f>IFERROR(__xludf.DUMMYFUNCTION("""COMPUTED_VALUE"""),"TORO SANTOS DORALIZA (PROGRAMA MEDICINA DEL INTERIOR GOB)")</f>
        <v>TORO SANTOS DORALIZA (PROGRAMA MEDICINA DEL INTERIOR GOB)</v>
      </c>
      <c r="D4959" s="1" t="str">
        <f>IFERROR(__xludf.DUMMYFUNCTION("""COMPUTED_VALUE"""),"Lentes de STOCK")</f>
        <v>Lentes de STOCK</v>
      </c>
      <c r="E4959" s="1" t="str">
        <f>IFERROR(__xludf.DUMMYFUNCTION("""COMPUTED_VALUE"""),"Online ADMIN.")</f>
        <v>Online ADMIN.</v>
      </c>
      <c r="F4959" s="1" t="str">
        <f t="shared" si="1"/>
        <v>Online </v>
      </c>
      <c r="G4959" s="1" t="str">
        <f t="shared" si="2"/>
        <v>ADMIN.</v>
      </c>
      <c r="H4959" s="1" t="str">
        <f>IFERROR(__xludf.DUMMYFUNCTION("""COMPUTED_VALUE"""),"10/4/2023, 17:00:00")</f>
        <v>10/4/2023, 17:00:00</v>
      </c>
      <c r="I4959" s="1" t="str">
        <f>IFERROR(__xludf.DUMMYFUNCTION("""COMPUTED_VALUE"""),"Recibido en Laboratorio")</f>
        <v>Recibido en Laboratorio</v>
      </c>
      <c r="J4959" s="1">
        <f t="shared" si="3"/>
        <v>2</v>
      </c>
      <c r="K4959" s="1" t="str">
        <f t="shared" si="4"/>
        <v>Nuestro Laboratorio esta trabajando en tus lentes, los entregaremos en la fecha acordada.</v>
      </c>
    </row>
    <row r="4960">
      <c r="A4960" s="1">
        <f>IFERROR(__xludf.DUMMYFUNCTION("""COMPUTED_VALUE"""),89524.0)</f>
        <v>89524</v>
      </c>
      <c r="B4960" s="5">
        <f>IFERROR(__xludf.DUMMYFUNCTION("""COMPUTED_VALUE"""),45022.656558310184)</f>
        <v>45022.65656</v>
      </c>
      <c r="C4960" s="1" t="str">
        <f>IFERROR(__xludf.DUMMYFUNCTION("""COMPUTED_VALUE"""),"SEGUEL DEL VALLE FRANCISCO (PROGRAMA MEDICINA DEL INTERIOR GOB)")</f>
        <v>SEGUEL DEL VALLE FRANCISCO (PROGRAMA MEDICINA DEL INTERIOR GOB)</v>
      </c>
      <c r="D4960" s="1" t="str">
        <f>IFERROR(__xludf.DUMMYFUNCTION("""COMPUTED_VALUE"""),"Lentes de STOCK")</f>
        <v>Lentes de STOCK</v>
      </c>
      <c r="E4960" s="1" t="str">
        <f>IFERROR(__xludf.DUMMYFUNCTION("""COMPUTED_VALUE"""),"Online ADMIN.")</f>
        <v>Online ADMIN.</v>
      </c>
      <c r="F4960" s="1" t="str">
        <f t="shared" si="1"/>
        <v>Online </v>
      </c>
      <c r="G4960" s="1" t="str">
        <f t="shared" si="2"/>
        <v>ADMIN.</v>
      </c>
      <c r="H4960" s="1" t="str">
        <f>IFERROR(__xludf.DUMMYFUNCTION("""COMPUTED_VALUE"""),"10/4/2023, 17:00:00")</f>
        <v>10/4/2023, 17:00:00</v>
      </c>
      <c r="I4960" s="1" t="str">
        <f>IFERROR(__xludf.DUMMYFUNCTION("""COMPUTED_VALUE"""),"Recibido en Laboratorio")</f>
        <v>Recibido en Laboratorio</v>
      </c>
      <c r="J4960" s="1">
        <f t="shared" si="3"/>
        <v>2</v>
      </c>
      <c r="K4960" s="1" t="str">
        <f t="shared" si="4"/>
        <v>Nuestro Laboratorio esta trabajando en tus lentes, los entregaremos en la fecha acordada.</v>
      </c>
    </row>
    <row r="4961">
      <c r="A4961" s="1">
        <f>IFERROR(__xludf.DUMMYFUNCTION("""COMPUTED_VALUE"""),89525.0)</f>
        <v>89525</v>
      </c>
      <c r="B4961" s="5">
        <f>IFERROR(__xludf.DUMMYFUNCTION("""COMPUTED_VALUE"""),45022.657595)</f>
        <v>45022.6576</v>
      </c>
      <c r="C4961" s="1" t="str">
        <f>IFERROR(__xludf.DUMMYFUNCTION("""COMPUTED_VALUE"""),"SOSA VICTOR LUIS (PROGRAMA MEDICINA DEL INTERIOR GOB) (rep)")</f>
        <v>SOSA VICTOR LUIS (PROGRAMA MEDICINA DEL INTERIOR GOB) (rep)</v>
      </c>
      <c r="D4961" s="1" t="str">
        <f>IFERROR(__xludf.DUMMYFUNCTION("""COMPUTED_VALUE"""),"Lentes de STOCK")</f>
        <v>Lentes de STOCK</v>
      </c>
      <c r="E4961" s="1" t="str">
        <f>IFERROR(__xludf.DUMMYFUNCTION("""COMPUTED_VALUE"""),"Online ADMIN.")</f>
        <v>Online ADMIN.</v>
      </c>
      <c r="F4961" s="1" t="str">
        <f t="shared" si="1"/>
        <v>Online </v>
      </c>
      <c r="G4961" s="1" t="str">
        <f t="shared" si="2"/>
        <v>ADMIN.</v>
      </c>
      <c r="H4961" s="1" t="str">
        <f>IFERROR(__xludf.DUMMYFUNCTION("""COMPUTED_VALUE"""),"10/4/2023, 17:00:00")</f>
        <v>10/4/2023, 17:00:00</v>
      </c>
      <c r="I4961" s="1"/>
      <c r="J4961" s="1">
        <f t="shared" si="3"/>
        <v>0</v>
      </c>
      <c r="K4961" s="1" t="str">
        <f t="shared" si="4"/>
        <v/>
      </c>
    </row>
    <row r="4962">
      <c r="A4962" s="1">
        <f>IFERROR(__xludf.DUMMYFUNCTION("""COMPUTED_VALUE"""),89526.0)</f>
        <v>89526</v>
      </c>
      <c r="B4962" s="5">
        <f>IFERROR(__xludf.DUMMYFUNCTION("""COMPUTED_VALUE"""),45022.6582178588)</f>
        <v>45022.65822</v>
      </c>
      <c r="C4962" s="1" t="str">
        <f>IFERROR(__xludf.DUMMYFUNCTION("""COMPUTED_VALUE"""),"RODRIGUEZ CRISTINA NOEMI (PROGRAMA MEDICINA DEL INTERIOR GOB)")</f>
        <v>RODRIGUEZ CRISTINA NOEMI (PROGRAMA MEDICINA DEL INTERIOR GOB)</v>
      </c>
      <c r="D4962" s="1" t="str">
        <f>IFERROR(__xludf.DUMMYFUNCTION("""COMPUTED_VALUE"""),"Lentes de STOCK")</f>
        <v>Lentes de STOCK</v>
      </c>
      <c r="E4962" s="1" t="str">
        <f>IFERROR(__xludf.DUMMYFUNCTION("""COMPUTED_VALUE"""),"Online ADMIN.")</f>
        <v>Online ADMIN.</v>
      </c>
      <c r="F4962" s="1" t="str">
        <f t="shared" si="1"/>
        <v>Online </v>
      </c>
      <c r="G4962" s="1" t="str">
        <f t="shared" si="2"/>
        <v>ADMIN.</v>
      </c>
      <c r="H4962" s="1" t="str">
        <f>IFERROR(__xludf.DUMMYFUNCTION("""COMPUTED_VALUE"""),"10/4/2023, 17:00:00")</f>
        <v>10/4/2023, 17:00:00</v>
      </c>
      <c r="I4962" s="1" t="str">
        <f>IFERROR(__xludf.DUMMYFUNCTION("""COMPUTED_VALUE"""),"Recibido en Laboratorio")</f>
        <v>Recibido en Laboratorio</v>
      </c>
      <c r="J4962" s="1">
        <f t="shared" si="3"/>
        <v>2</v>
      </c>
      <c r="K4962" s="1" t="str">
        <f t="shared" si="4"/>
        <v>Nuestro Laboratorio esta trabajando en tus lentes, los entregaremos en la fecha acordada.</v>
      </c>
    </row>
    <row r="4963">
      <c r="A4963" s="1">
        <f>IFERROR(__xludf.DUMMYFUNCTION("""COMPUTED_VALUE"""),89527.0)</f>
        <v>89527</v>
      </c>
      <c r="B4963" s="5">
        <f>IFERROR(__xludf.DUMMYFUNCTION("""COMPUTED_VALUE"""),45022.65876133102)</f>
        <v>45022.65876</v>
      </c>
      <c r="C4963" s="1" t="str">
        <f>IFERROR(__xludf.DUMMYFUNCTION("""COMPUTED_VALUE"""),"PONCE ANTONELLA (PROGRAMA MEDICINA DEL INTERIOR GOB)")</f>
        <v>PONCE ANTONELLA (PROGRAMA MEDICINA DEL INTERIOR GOB)</v>
      </c>
      <c r="D4963" s="1" t="str">
        <f>IFERROR(__xludf.DUMMYFUNCTION("""COMPUTED_VALUE"""),"Lentes de LABORATORIO")</f>
        <v>Lentes de LABORATORIO</v>
      </c>
      <c r="E4963" s="1" t="str">
        <f>IFERROR(__xludf.DUMMYFUNCTION("""COMPUTED_VALUE"""),"Online ADMIN.")</f>
        <v>Online ADMIN.</v>
      </c>
      <c r="F4963" s="1" t="str">
        <f t="shared" si="1"/>
        <v>Online </v>
      </c>
      <c r="G4963" s="1" t="str">
        <f t="shared" si="2"/>
        <v>ADMIN.</v>
      </c>
      <c r="H4963" s="1" t="str">
        <f>IFERROR(__xludf.DUMMYFUNCTION("""COMPUTED_VALUE"""),"14/4/2023, 17:00:00")</f>
        <v>14/4/2023, 17:00:00</v>
      </c>
      <c r="I4963" s="1" t="str">
        <f>IFERROR(__xludf.DUMMYFUNCTION("""COMPUTED_VALUE"""),"Recibido en Laboratorio")</f>
        <v>Recibido en Laboratorio</v>
      </c>
      <c r="J4963" s="1">
        <f t="shared" si="3"/>
        <v>2</v>
      </c>
      <c r="K4963" s="1" t="str">
        <f t="shared" si="4"/>
        <v>Nuestro Laboratorio esta trabajando en tus lentes, los entregaremos en la fecha acordada.</v>
      </c>
    </row>
    <row r="4964">
      <c r="A4964" s="1">
        <f>IFERROR(__xludf.DUMMYFUNCTION("""COMPUTED_VALUE"""),89528.0)</f>
        <v>89528</v>
      </c>
      <c r="B4964" s="5">
        <f>IFERROR(__xludf.DUMMYFUNCTION("""COMPUTED_VALUE"""),45022.65925966435)</f>
        <v>45022.65926</v>
      </c>
      <c r="C4964" s="1" t="str">
        <f>IFERROR(__xludf.DUMMYFUNCTION("""COMPUTED_VALUE"""),"REYES ALEJANDRO (PROGRAMA MEDICINA DEL INTERIOR GOB)")</f>
        <v>REYES ALEJANDRO (PROGRAMA MEDICINA DEL INTERIOR GOB)</v>
      </c>
      <c r="D4964" s="1" t="str">
        <f>IFERROR(__xludf.DUMMYFUNCTION("""COMPUTED_VALUE"""),"Lentes de STOCK")</f>
        <v>Lentes de STOCK</v>
      </c>
      <c r="E4964" s="1" t="str">
        <f>IFERROR(__xludf.DUMMYFUNCTION("""COMPUTED_VALUE"""),"Online ADMIN.")</f>
        <v>Online ADMIN.</v>
      </c>
      <c r="F4964" s="1" t="str">
        <f t="shared" si="1"/>
        <v>Online </v>
      </c>
      <c r="G4964" s="1" t="str">
        <f t="shared" si="2"/>
        <v>ADMIN.</v>
      </c>
      <c r="H4964" s="1" t="str">
        <f>IFERROR(__xludf.DUMMYFUNCTION("""COMPUTED_VALUE"""),"10/4/2023, 17:00:00")</f>
        <v>10/4/2023, 17:00:00</v>
      </c>
      <c r="I4964" s="1" t="str">
        <f>IFERROR(__xludf.DUMMYFUNCTION("""COMPUTED_VALUE"""),"Completado en SUCURSAL")</f>
        <v>Completado en SUCURSAL</v>
      </c>
      <c r="J4964" s="1">
        <f t="shared" si="3"/>
        <v>5</v>
      </c>
      <c r="K4964" s="1" t="str">
        <f t="shared" si="4"/>
        <v>Tus Lentes estan LISTAS PARA ENTREGAR, te esperamos.</v>
      </c>
    </row>
    <row r="4965">
      <c r="A4965" s="1">
        <f>IFERROR(__xludf.DUMMYFUNCTION("""COMPUTED_VALUE"""),89529.0)</f>
        <v>89529</v>
      </c>
      <c r="B4965" s="5">
        <f>IFERROR(__xludf.DUMMYFUNCTION("""COMPUTED_VALUE"""),45022.65972505787)</f>
        <v>45022.65973</v>
      </c>
      <c r="C4965" s="1" t="str">
        <f>IFERROR(__xludf.DUMMYFUNCTION("""COMPUTED_VALUE"""),"PAEZ LOANA (PROGRAMA MEDICINA DEL INTERIOR GOB)")</f>
        <v>PAEZ LOANA (PROGRAMA MEDICINA DEL INTERIOR GOB)</v>
      </c>
      <c r="D4965" s="1" t="str">
        <f>IFERROR(__xludf.DUMMYFUNCTION("""COMPUTED_VALUE"""),"Lentes de STOCK")</f>
        <v>Lentes de STOCK</v>
      </c>
      <c r="E4965" s="1" t="str">
        <f>IFERROR(__xludf.DUMMYFUNCTION("""COMPUTED_VALUE"""),"Online ADMIN.")</f>
        <v>Online ADMIN.</v>
      </c>
      <c r="F4965" s="1" t="str">
        <f t="shared" si="1"/>
        <v>Online </v>
      </c>
      <c r="G4965" s="1" t="str">
        <f t="shared" si="2"/>
        <v>ADMIN.</v>
      </c>
      <c r="H4965" s="1" t="str">
        <f>IFERROR(__xludf.DUMMYFUNCTION("""COMPUTED_VALUE"""),"10/4/2023, 17:00:00")</f>
        <v>10/4/2023, 17:00:00</v>
      </c>
      <c r="I4965" s="1" t="str">
        <f>IFERROR(__xludf.DUMMYFUNCTION("""COMPUTED_VALUE"""),"Recibido en Laboratorio")</f>
        <v>Recibido en Laboratorio</v>
      </c>
      <c r="J4965" s="1">
        <f t="shared" si="3"/>
        <v>2</v>
      </c>
      <c r="K4965" s="1" t="str">
        <f t="shared" si="4"/>
        <v>Nuestro Laboratorio esta trabajando en tus lentes, los entregaremos en la fecha acordada.</v>
      </c>
    </row>
    <row r="4966">
      <c r="A4966" s="1">
        <f>IFERROR(__xludf.DUMMYFUNCTION("""COMPUTED_VALUE"""),89530.0)</f>
        <v>89530</v>
      </c>
      <c r="B4966" s="5">
        <f>IFERROR(__xludf.DUMMYFUNCTION("""COMPUTED_VALUE"""),45022.6610521875)</f>
        <v>45022.66105</v>
      </c>
      <c r="C4966" s="1" t="str">
        <f>IFERROR(__xludf.DUMMYFUNCTION("""COMPUTED_VALUE"""),"PLEITEL WALTER FERNANDO (PROGRAMA MEDICINA DEL INTERIOR GOB)")</f>
        <v>PLEITEL WALTER FERNANDO (PROGRAMA MEDICINA DEL INTERIOR GOB)</v>
      </c>
      <c r="D4966" s="1" t="str">
        <f>IFERROR(__xludf.DUMMYFUNCTION("""COMPUTED_VALUE"""),"Lentes de STOCK")</f>
        <v>Lentes de STOCK</v>
      </c>
      <c r="E4966" s="1" t="str">
        <f>IFERROR(__xludf.DUMMYFUNCTION("""COMPUTED_VALUE"""),"Online ADMIN.")</f>
        <v>Online ADMIN.</v>
      </c>
      <c r="F4966" s="1" t="str">
        <f t="shared" si="1"/>
        <v>Online </v>
      </c>
      <c r="G4966" s="1" t="str">
        <f t="shared" si="2"/>
        <v>ADMIN.</v>
      </c>
      <c r="H4966" s="1" t="str">
        <f>IFERROR(__xludf.DUMMYFUNCTION("""COMPUTED_VALUE"""),"10/4/2023, 17:00:00")</f>
        <v>10/4/2023, 17:00:00</v>
      </c>
      <c r="I4966" s="1" t="str">
        <f>IFERROR(__xludf.DUMMYFUNCTION("""COMPUTED_VALUE"""),"Recibido en Laboratorio")</f>
        <v>Recibido en Laboratorio</v>
      </c>
      <c r="J4966" s="1">
        <f t="shared" si="3"/>
        <v>2</v>
      </c>
      <c r="K4966" s="1" t="str">
        <f t="shared" si="4"/>
        <v>Nuestro Laboratorio esta trabajando en tus lentes, los entregaremos en la fecha acordada.</v>
      </c>
    </row>
    <row r="4967">
      <c r="A4967" s="1">
        <f>IFERROR(__xludf.DUMMYFUNCTION("""COMPUTED_VALUE"""),89531.0)</f>
        <v>89531</v>
      </c>
      <c r="B4967" s="5">
        <f>IFERROR(__xludf.DUMMYFUNCTION("""COMPUTED_VALUE"""),45022.66189556713)</f>
        <v>45022.6619</v>
      </c>
      <c r="C4967" s="1" t="str">
        <f>IFERROR(__xludf.DUMMYFUNCTION("""COMPUTED_VALUE"""),"OVIEDO JANET ALDANA (PROGRAMA MEDICINA DEL INTERIOR GOB)")</f>
        <v>OVIEDO JANET ALDANA (PROGRAMA MEDICINA DEL INTERIOR GOB)</v>
      </c>
      <c r="D4967" s="1" t="str">
        <f>IFERROR(__xludf.DUMMYFUNCTION("""COMPUTED_VALUE"""),"Reparaciones/Otros")</f>
        <v>Reparaciones/Otros</v>
      </c>
      <c r="E4967" s="1" t="str">
        <f>IFERROR(__xludf.DUMMYFUNCTION("""COMPUTED_VALUE"""),"Online ADMIN.")</f>
        <v>Online ADMIN.</v>
      </c>
      <c r="F4967" s="1" t="str">
        <f t="shared" si="1"/>
        <v>Online </v>
      </c>
      <c r="G4967" s="1" t="str">
        <f t="shared" si="2"/>
        <v>ADMIN.</v>
      </c>
      <c r="H4967" s="1" t="str">
        <f>IFERROR(__xludf.DUMMYFUNCTION("""COMPUTED_VALUE"""),"10/4/2023, 17:00:00")</f>
        <v>10/4/2023, 17:00:00</v>
      </c>
      <c r="I4967" s="1"/>
      <c r="J4967" s="1">
        <f t="shared" si="3"/>
        <v>0</v>
      </c>
      <c r="K4967" s="1" t="str">
        <f t="shared" si="4"/>
        <v/>
      </c>
    </row>
    <row r="4968">
      <c r="A4968" s="1">
        <f>IFERROR(__xludf.DUMMYFUNCTION("""COMPUTED_VALUE"""),89532.0)</f>
        <v>89532</v>
      </c>
      <c r="B4968" s="5">
        <f>IFERROR(__xludf.DUMMYFUNCTION("""COMPUTED_VALUE"""),45022.66257465278)</f>
        <v>45022.66257</v>
      </c>
      <c r="C4968" s="1" t="str">
        <f>IFERROR(__xludf.DUMMYFUNCTION("""COMPUTED_VALUE"""),"OROZCO GLORIA (PROGRAMA MEDICINA DEL INTERIOR GOB)")</f>
        <v>OROZCO GLORIA (PROGRAMA MEDICINA DEL INTERIOR GOB)</v>
      </c>
      <c r="D4968" s="1" t="str">
        <f>IFERROR(__xludf.DUMMYFUNCTION("""COMPUTED_VALUE"""),"Lentes de STOCK")</f>
        <v>Lentes de STOCK</v>
      </c>
      <c r="E4968" s="1" t="str">
        <f>IFERROR(__xludf.DUMMYFUNCTION("""COMPUTED_VALUE"""),"Online ADMIN.")</f>
        <v>Online ADMIN.</v>
      </c>
      <c r="F4968" s="1" t="str">
        <f t="shared" si="1"/>
        <v>Online </v>
      </c>
      <c r="G4968" s="1" t="str">
        <f t="shared" si="2"/>
        <v>ADMIN.</v>
      </c>
      <c r="H4968" s="1" t="str">
        <f>IFERROR(__xludf.DUMMYFUNCTION("""COMPUTED_VALUE"""),"10/4/2023, 17:00:00")</f>
        <v>10/4/2023, 17:00:00</v>
      </c>
      <c r="I4968" s="1" t="str">
        <f>IFERROR(__xludf.DUMMYFUNCTION("""COMPUTED_VALUE"""),"Recibido en Laboratorio")</f>
        <v>Recibido en Laboratorio</v>
      </c>
      <c r="J4968" s="1">
        <f t="shared" si="3"/>
        <v>2</v>
      </c>
      <c r="K4968" s="1" t="str">
        <f t="shared" si="4"/>
        <v>Nuestro Laboratorio esta trabajando en tus lentes, los entregaremos en la fecha acordada.</v>
      </c>
    </row>
    <row r="4969">
      <c r="A4969" s="1">
        <f>IFERROR(__xludf.DUMMYFUNCTION("""COMPUTED_VALUE"""),89533.0)</f>
        <v>89533</v>
      </c>
      <c r="B4969" s="5">
        <f>IFERROR(__xludf.DUMMYFUNCTION("""COMPUTED_VALUE"""),45022.66315712963)</f>
        <v>45022.66316</v>
      </c>
      <c r="C4969" s="1" t="str">
        <f>IFERROR(__xludf.DUMMYFUNCTION("""COMPUTED_VALUE"""),"MUÑOZ VAZQUEZ IGNACIO (PROGRAMA MEDICINA DEL INTERIOR GOB)")</f>
        <v>MUÑOZ VAZQUEZ IGNACIO (PROGRAMA MEDICINA DEL INTERIOR GOB)</v>
      </c>
      <c r="D4969" s="1" t="str">
        <f>IFERROR(__xludf.DUMMYFUNCTION("""COMPUTED_VALUE"""),"Lentes de STOCK")</f>
        <v>Lentes de STOCK</v>
      </c>
      <c r="E4969" s="1" t="str">
        <f>IFERROR(__xludf.DUMMYFUNCTION("""COMPUTED_VALUE"""),"Online ADMIN.")</f>
        <v>Online ADMIN.</v>
      </c>
      <c r="F4969" s="1" t="str">
        <f t="shared" si="1"/>
        <v>Online </v>
      </c>
      <c r="G4969" s="1" t="str">
        <f t="shared" si="2"/>
        <v>ADMIN.</v>
      </c>
      <c r="H4969" s="1" t="str">
        <f>IFERROR(__xludf.DUMMYFUNCTION("""COMPUTED_VALUE"""),"10/4/2023, 17:00:00")</f>
        <v>10/4/2023, 17:00:00</v>
      </c>
      <c r="I4969" s="1" t="str">
        <f>IFERROR(__xludf.DUMMYFUNCTION("""COMPUTED_VALUE"""),"Recibido en Laboratorio")</f>
        <v>Recibido en Laboratorio</v>
      </c>
      <c r="J4969" s="1">
        <f t="shared" si="3"/>
        <v>2</v>
      </c>
      <c r="K4969" s="1" t="str">
        <f t="shared" si="4"/>
        <v>Nuestro Laboratorio esta trabajando en tus lentes, los entregaremos en la fecha acordada.</v>
      </c>
    </row>
    <row r="4970">
      <c r="A4970" s="1">
        <f>IFERROR(__xludf.DUMMYFUNCTION("""COMPUTED_VALUE"""),89534.0)</f>
        <v>89534</v>
      </c>
      <c r="B4970" s="5">
        <f>IFERROR(__xludf.DUMMYFUNCTION("""COMPUTED_VALUE"""),45022.66378940972)</f>
        <v>45022.66379</v>
      </c>
      <c r="C4970" s="1" t="str">
        <f>IFERROR(__xludf.DUMMYFUNCTION("""COMPUTED_VALUE"""),"OLMOS NORMA ISABEL (PROGRAMA MEDICINA DEL INTERIOR GOB)")</f>
        <v>OLMOS NORMA ISABEL (PROGRAMA MEDICINA DEL INTERIOR GOB)</v>
      </c>
      <c r="D4970" s="1" t="str">
        <f>IFERROR(__xludf.DUMMYFUNCTION("""COMPUTED_VALUE"""),"Lentes de STOCK")</f>
        <v>Lentes de STOCK</v>
      </c>
      <c r="E4970" s="1" t="str">
        <f>IFERROR(__xludf.DUMMYFUNCTION("""COMPUTED_VALUE"""),"Online ADMIN.")</f>
        <v>Online ADMIN.</v>
      </c>
      <c r="F4970" s="1" t="str">
        <f t="shared" si="1"/>
        <v>Online </v>
      </c>
      <c r="G4970" s="1" t="str">
        <f t="shared" si="2"/>
        <v>ADMIN.</v>
      </c>
      <c r="H4970" s="1" t="str">
        <f>IFERROR(__xludf.DUMMYFUNCTION("""COMPUTED_VALUE"""),"10/4/2023, 17:00:00")</f>
        <v>10/4/2023, 17:00:00</v>
      </c>
      <c r="I4970" s="1" t="str">
        <f>IFERROR(__xludf.DUMMYFUNCTION("""COMPUTED_VALUE"""),"Recibido en Laboratorio")</f>
        <v>Recibido en Laboratorio</v>
      </c>
      <c r="J4970" s="1">
        <f t="shared" si="3"/>
        <v>2</v>
      </c>
      <c r="K4970" s="1" t="str">
        <f t="shared" si="4"/>
        <v>Nuestro Laboratorio esta trabajando en tus lentes, los entregaremos en la fecha acordada.</v>
      </c>
    </row>
    <row r="4971">
      <c r="A4971" s="1">
        <f>IFERROR(__xludf.DUMMYFUNCTION("""COMPUTED_VALUE"""),89535.0)</f>
        <v>89535</v>
      </c>
      <c r="B4971" s="5">
        <f>IFERROR(__xludf.DUMMYFUNCTION("""COMPUTED_VALUE"""),45022.66462070602)</f>
        <v>45022.66462</v>
      </c>
      <c r="C4971" s="1" t="str">
        <f>IFERROR(__xludf.DUMMYFUNCTION("""COMPUTED_VALUE"""),"MONTENEGRO FELIBERTO BELINDO (PROGRAMA MEDICINA DEL INTERIOR GOB)")</f>
        <v>MONTENEGRO FELIBERTO BELINDO (PROGRAMA MEDICINA DEL INTERIOR GOB)</v>
      </c>
      <c r="D4971" s="1" t="str">
        <f>IFERROR(__xludf.DUMMYFUNCTION("""COMPUTED_VALUE"""),"Lentes de STOCK")</f>
        <v>Lentes de STOCK</v>
      </c>
      <c r="E4971" s="1" t="str">
        <f>IFERROR(__xludf.DUMMYFUNCTION("""COMPUTED_VALUE"""),"Online ADMIN.")</f>
        <v>Online ADMIN.</v>
      </c>
      <c r="F4971" s="1" t="str">
        <f t="shared" si="1"/>
        <v>Online </v>
      </c>
      <c r="G4971" s="1" t="str">
        <f t="shared" si="2"/>
        <v>ADMIN.</v>
      </c>
      <c r="H4971" s="1" t="str">
        <f>IFERROR(__xludf.DUMMYFUNCTION("""COMPUTED_VALUE"""),"10/4/2023, 17:00:00")</f>
        <v>10/4/2023, 17:00:00</v>
      </c>
      <c r="I4971" s="1" t="str">
        <f>IFERROR(__xludf.DUMMYFUNCTION("""COMPUTED_VALUE"""),"Recibido en Laboratorio")</f>
        <v>Recibido en Laboratorio</v>
      </c>
      <c r="J4971" s="1">
        <f t="shared" si="3"/>
        <v>2</v>
      </c>
      <c r="K4971" s="1" t="str">
        <f t="shared" si="4"/>
        <v>Nuestro Laboratorio esta trabajando en tus lentes, los entregaremos en la fecha acordada.</v>
      </c>
    </row>
    <row r="4972">
      <c r="A4972" s="1">
        <f>IFERROR(__xludf.DUMMYFUNCTION("""COMPUTED_VALUE"""),89537.0)</f>
        <v>89537</v>
      </c>
      <c r="B4972" s="5">
        <f>IFERROR(__xludf.DUMMYFUNCTION("""COMPUTED_VALUE"""),45022.66571042824)</f>
        <v>45022.66571</v>
      </c>
      <c r="C4972" s="1" t="str">
        <f>IFERROR(__xludf.DUMMYFUNCTION("""COMPUTED_VALUE"""),"MARTIN MARCELO DAVID  (PROGRAMA MEDICINA DEL INTERIOR GOB)")</f>
        <v>MARTIN MARCELO DAVID  (PROGRAMA MEDICINA DEL INTERIOR GOB)</v>
      </c>
      <c r="D4972" s="1" t="str">
        <f>IFERROR(__xludf.DUMMYFUNCTION("""COMPUTED_VALUE"""),"Lentes de STOCK")</f>
        <v>Lentes de STOCK</v>
      </c>
      <c r="E4972" s="1" t="str">
        <f>IFERROR(__xludf.DUMMYFUNCTION("""COMPUTED_VALUE"""),"Online ADMIN.")</f>
        <v>Online ADMIN.</v>
      </c>
      <c r="F4972" s="1" t="str">
        <f t="shared" si="1"/>
        <v>Online </v>
      </c>
      <c r="G4972" s="1" t="str">
        <f t="shared" si="2"/>
        <v>ADMIN.</v>
      </c>
      <c r="H4972" s="1" t="str">
        <f>IFERROR(__xludf.DUMMYFUNCTION("""COMPUTED_VALUE"""),"10/4/2023, 17:00:00")</f>
        <v>10/4/2023, 17:00:00</v>
      </c>
      <c r="I4972" s="1" t="str">
        <f>IFERROR(__xludf.DUMMYFUNCTION("""COMPUTED_VALUE"""),"Recibido en Laboratorio")</f>
        <v>Recibido en Laboratorio</v>
      </c>
      <c r="J4972" s="1">
        <f t="shared" si="3"/>
        <v>2</v>
      </c>
      <c r="K4972" s="1" t="str">
        <f t="shared" si="4"/>
        <v>Nuestro Laboratorio esta trabajando en tus lentes, los entregaremos en la fecha acordada.</v>
      </c>
    </row>
    <row r="4973">
      <c r="A4973" s="1">
        <f>IFERROR(__xludf.DUMMYFUNCTION("""COMPUTED_VALUE"""),89538.0)</f>
        <v>89538</v>
      </c>
      <c r="B4973" s="5">
        <f>IFERROR(__xludf.DUMMYFUNCTION("""COMPUTED_VALUE"""),45022.66631291667)</f>
        <v>45022.66631</v>
      </c>
      <c r="C4973" s="1" t="str">
        <f>IFERROR(__xludf.DUMMYFUNCTION("""COMPUTED_VALUE"""),"LUCERO DAIANA (PROGRAMA MEDICINA DEL INTERIOR GOB)")</f>
        <v>LUCERO DAIANA (PROGRAMA MEDICINA DEL INTERIOR GOB)</v>
      </c>
      <c r="D4973" s="1" t="str">
        <f>IFERROR(__xludf.DUMMYFUNCTION("""COMPUTED_VALUE"""),"Lentes de LABORATORIO")</f>
        <v>Lentes de LABORATORIO</v>
      </c>
      <c r="E4973" s="1" t="str">
        <f>IFERROR(__xludf.DUMMYFUNCTION("""COMPUTED_VALUE"""),"Online ADMIN.")</f>
        <v>Online ADMIN.</v>
      </c>
      <c r="F4973" s="1" t="str">
        <f t="shared" si="1"/>
        <v>Online </v>
      </c>
      <c r="G4973" s="1" t="str">
        <f t="shared" si="2"/>
        <v>ADMIN.</v>
      </c>
      <c r="H4973" s="1" t="str">
        <f>IFERROR(__xludf.DUMMYFUNCTION("""COMPUTED_VALUE"""),"14/4/2023, 17:00:00")</f>
        <v>14/4/2023, 17:00:00</v>
      </c>
      <c r="I4973" s="1" t="str">
        <f>IFERROR(__xludf.DUMMYFUNCTION("""COMPUTED_VALUE"""),"Recibido en Laboratorio")</f>
        <v>Recibido en Laboratorio</v>
      </c>
      <c r="J4973" s="1">
        <f t="shared" si="3"/>
        <v>2</v>
      </c>
      <c r="K4973" s="1" t="str">
        <f t="shared" si="4"/>
        <v>Nuestro Laboratorio esta trabajando en tus lentes, los entregaremos en la fecha acordada.</v>
      </c>
    </row>
    <row r="4974">
      <c r="A4974" s="1">
        <f>IFERROR(__xludf.DUMMYFUNCTION("""COMPUTED_VALUE"""),89539.0)</f>
        <v>89539</v>
      </c>
      <c r="B4974" s="5">
        <f>IFERROR(__xludf.DUMMYFUNCTION("""COMPUTED_VALUE"""),45022.6668909838)</f>
        <v>45022.66689</v>
      </c>
      <c r="C4974" s="1" t="str">
        <f>IFERROR(__xludf.DUMMYFUNCTION("""COMPUTED_VALUE"""),"JIMENEZ SOL (PROGRAMA MEDICINA DEL INTERIOR GOB)")</f>
        <v>JIMENEZ SOL (PROGRAMA MEDICINA DEL INTERIOR GOB)</v>
      </c>
      <c r="D4974" s="1" t="str">
        <f>IFERROR(__xludf.DUMMYFUNCTION("""COMPUTED_VALUE"""),"Lentes de STOCK")</f>
        <v>Lentes de STOCK</v>
      </c>
      <c r="E4974" s="1" t="str">
        <f>IFERROR(__xludf.DUMMYFUNCTION("""COMPUTED_VALUE"""),"Online ADMIN.")</f>
        <v>Online ADMIN.</v>
      </c>
      <c r="F4974" s="1" t="str">
        <f t="shared" si="1"/>
        <v>Online </v>
      </c>
      <c r="G4974" s="1" t="str">
        <f t="shared" si="2"/>
        <v>ADMIN.</v>
      </c>
      <c r="H4974" s="1" t="str">
        <f>IFERROR(__xludf.DUMMYFUNCTION("""COMPUTED_VALUE"""),"10/4/2023, 17:00:00")</f>
        <v>10/4/2023, 17:00:00</v>
      </c>
      <c r="I4974" s="1" t="str">
        <f>IFERROR(__xludf.DUMMYFUNCTION("""COMPUTED_VALUE"""),"Recibido en Laboratorio")</f>
        <v>Recibido en Laboratorio</v>
      </c>
      <c r="J4974" s="1">
        <f t="shared" si="3"/>
        <v>2</v>
      </c>
      <c r="K4974" s="1" t="str">
        <f t="shared" si="4"/>
        <v>Nuestro Laboratorio esta trabajando en tus lentes, los entregaremos en la fecha acordada.</v>
      </c>
    </row>
    <row r="4975">
      <c r="A4975" s="1">
        <f>IFERROR(__xludf.DUMMYFUNCTION("""COMPUTED_VALUE"""),89540.0)</f>
        <v>89540</v>
      </c>
      <c r="B4975" s="5">
        <f>IFERROR(__xludf.DUMMYFUNCTION("""COMPUTED_VALUE"""),45022.66741440972)</f>
        <v>45022.66741</v>
      </c>
      <c r="C4975" s="1" t="str">
        <f>IFERROR(__xludf.DUMMYFUNCTION("""COMPUTED_VALUE"""),"JANSSEN DEBORA (PROGRAMA MEDICINA DEL INTERIOR GOB)")</f>
        <v>JANSSEN DEBORA (PROGRAMA MEDICINA DEL INTERIOR GOB)</v>
      </c>
      <c r="D4975" s="1" t="str">
        <f>IFERROR(__xludf.DUMMYFUNCTION("""COMPUTED_VALUE"""),"Lentes de STOCK")</f>
        <v>Lentes de STOCK</v>
      </c>
      <c r="E4975" s="1" t="str">
        <f>IFERROR(__xludf.DUMMYFUNCTION("""COMPUTED_VALUE"""),"Online ADMIN.")</f>
        <v>Online ADMIN.</v>
      </c>
      <c r="F4975" s="1" t="str">
        <f t="shared" si="1"/>
        <v>Online </v>
      </c>
      <c r="G4975" s="1" t="str">
        <f t="shared" si="2"/>
        <v>ADMIN.</v>
      </c>
      <c r="H4975" s="1" t="str">
        <f>IFERROR(__xludf.DUMMYFUNCTION("""COMPUTED_VALUE"""),"10/4/2023, 17:00:00")</f>
        <v>10/4/2023, 17:00:00</v>
      </c>
      <c r="I4975" s="1" t="str">
        <f>IFERROR(__xludf.DUMMYFUNCTION("""COMPUTED_VALUE"""),"Recibido en Laboratorio")</f>
        <v>Recibido en Laboratorio</v>
      </c>
      <c r="J4975" s="1">
        <f t="shared" si="3"/>
        <v>2</v>
      </c>
      <c r="K4975" s="1" t="str">
        <f t="shared" si="4"/>
        <v>Nuestro Laboratorio esta trabajando en tus lentes, los entregaremos en la fecha acordada.</v>
      </c>
    </row>
    <row r="4976">
      <c r="A4976" s="1">
        <f>IFERROR(__xludf.DUMMYFUNCTION("""COMPUTED_VALUE"""),89541.0)</f>
        <v>89541</v>
      </c>
      <c r="B4976" s="5">
        <f>IFERROR(__xludf.DUMMYFUNCTION("""COMPUTED_VALUE"""),45022.66805912037)</f>
        <v>45022.66806</v>
      </c>
      <c r="C4976" s="1" t="str">
        <f>IFERROR(__xludf.DUMMYFUNCTION("""COMPUTED_VALUE"""),"HERNANDEZ PAOLA ALEJANDRA (PROGRAMA MEDICINA DEL INTERIOR GOB)")</f>
        <v>HERNANDEZ PAOLA ALEJANDRA (PROGRAMA MEDICINA DEL INTERIOR GOB)</v>
      </c>
      <c r="D4976" s="1" t="str">
        <f>IFERROR(__xludf.DUMMYFUNCTION("""COMPUTED_VALUE"""),"Lentes de STOCK")</f>
        <v>Lentes de STOCK</v>
      </c>
      <c r="E4976" s="1" t="str">
        <f>IFERROR(__xludf.DUMMYFUNCTION("""COMPUTED_VALUE"""),"Online ADMIN.")</f>
        <v>Online ADMIN.</v>
      </c>
      <c r="F4976" s="1" t="str">
        <f t="shared" si="1"/>
        <v>Online </v>
      </c>
      <c r="G4976" s="1" t="str">
        <f t="shared" si="2"/>
        <v>ADMIN.</v>
      </c>
      <c r="H4976" s="1" t="str">
        <f>IFERROR(__xludf.DUMMYFUNCTION("""COMPUTED_VALUE"""),"10/4/2023, 17:00:00")</f>
        <v>10/4/2023, 17:00:00</v>
      </c>
      <c r="I4976" s="1" t="str">
        <f>IFERROR(__xludf.DUMMYFUNCTION("""COMPUTED_VALUE"""),"Recibido en Laboratorio")</f>
        <v>Recibido en Laboratorio</v>
      </c>
      <c r="J4976" s="1">
        <f t="shared" si="3"/>
        <v>2</v>
      </c>
      <c r="K4976" s="1" t="str">
        <f t="shared" si="4"/>
        <v>Nuestro Laboratorio esta trabajando en tus lentes, los entregaremos en la fecha acordada.</v>
      </c>
    </row>
    <row r="4977">
      <c r="A4977" s="1">
        <f>IFERROR(__xludf.DUMMYFUNCTION("""COMPUTED_VALUE"""),89542.0)</f>
        <v>89542</v>
      </c>
      <c r="B4977" s="5">
        <f>IFERROR(__xludf.DUMMYFUNCTION("""COMPUTED_VALUE"""),45022.66855958333)</f>
        <v>45022.66856</v>
      </c>
      <c r="C4977" s="1" t="str">
        <f>IFERROR(__xludf.DUMMYFUNCTION("""COMPUTED_VALUE"""),"FREDIKSSON ANA (PROGRAMA MEDICINA DEL INTERIOR GOB)")</f>
        <v>FREDIKSSON ANA (PROGRAMA MEDICINA DEL INTERIOR GOB)</v>
      </c>
      <c r="D4977" s="1" t="str">
        <f>IFERROR(__xludf.DUMMYFUNCTION("""COMPUTED_VALUE"""),"Lentes de STOCK")</f>
        <v>Lentes de STOCK</v>
      </c>
      <c r="E4977" s="1" t="str">
        <f>IFERROR(__xludf.DUMMYFUNCTION("""COMPUTED_VALUE"""),"Online ADMIN.")</f>
        <v>Online ADMIN.</v>
      </c>
      <c r="F4977" s="1" t="str">
        <f t="shared" si="1"/>
        <v>Online </v>
      </c>
      <c r="G4977" s="1" t="str">
        <f t="shared" si="2"/>
        <v>ADMIN.</v>
      </c>
      <c r="H4977" s="1" t="str">
        <f>IFERROR(__xludf.DUMMYFUNCTION("""COMPUTED_VALUE"""),"10/4/2023, 17:00:00")</f>
        <v>10/4/2023, 17:00:00</v>
      </c>
      <c r="I4977" s="1" t="str">
        <f>IFERROR(__xludf.DUMMYFUNCTION("""COMPUTED_VALUE""")," ")</f>
        <v> </v>
      </c>
      <c r="J4977" s="1">
        <f t="shared" si="3"/>
        <v>0</v>
      </c>
      <c r="K4977" s="1" t="str">
        <f t="shared" si="4"/>
        <v/>
      </c>
    </row>
    <row r="4978">
      <c r="A4978" s="1">
        <f>IFERROR(__xludf.DUMMYFUNCTION("""COMPUTED_VALUE"""),89543.0)</f>
        <v>89543</v>
      </c>
      <c r="B4978" s="5">
        <f>IFERROR(__xludf.DUMMYFUNCTION("""COMPUTED_VALUE"""),45022.669004571755)</f>
        <v>45022.669</v>
      </c>
      <c r="C4978" s="1" t="str">
        <f>IFERROR(__xludf.DUMMYFUNCTION("""COMPUTED_VALUE"""),"HEREDIA ADOLFO (PROGRAMA MEDICINA DEL INTERIOR GOB)")</f>
        <v>HEREDIA ADOLFO (PROGRAMA MEDICINA DEL INTERIOR GOB)</v>
      </c>
      <c r="D4978" s="1" t="str">
        <f>IFERROR(__xludf.DUMMYFUNCTION("""COMPUTED_VALUE"""),"Lentes de STOCK")</f>
        <v>Lentes de STOCK</v>
      </c>
      <c r="E4978" s="1" t="str">
        <f>IFERROR(__xludf.DUMMYFUNCTION("""COMPUTED_VALUE"""),"Online ADMIN.")</f>
        <v>Online ADMIN.</v>
      </c>
      <c r="F4978" s="1" t="str">
        <f t="shared" si="1"/>
        <v>Online </v>
      </c>
      <c r="G4978" s="1" t="str">
        <f t="shared" si="2"/>
        <v>ADMIN.</v>
      </c>
      <c r="H4978" s="1" t="str">
        <f>IFERROR(__xludf.DUMMYFUNCTION("""COMPUTED_VALUE"""),"10/4/2023, 17:00:00")</f>
        <v>10/4/2023, 17:00:00</v>
      </c>
      <c r="I4978" s="1" t="str">
        <f>IFERROR(__xludf.DUMMYFUNCTION("""COMPUTED_VALUE"""),"Recibido en Laboratorio")</f>
        <v>Recibido en Laboratorio</v>
      </c>
      <c r="J4978" s="1">
        <f t="shared" si="3"/>
        <v>2</v>
      </c>
      <c r="K4978" s="1" t="str">
        <f t="shared" si="4"/>
        <v>Nuestro Laboratorio esta trabajando en tus lentes, los entregaremos en la fecha acordada.</v>
      </c>
    </row>
    <row r="4979">
      <c r="A4979" s="1">
        <f>IFERROR(__xludf.DUMMYFUNCTION("""COMPUTED_VALUE"""),89544.0)</f>
        <v>89544</v>
      </c>
      <c r="B4979" s="5">
        <f>IFERROR(__xludf.DUMMYFUNCTION("""COMPUTED_VALUE"""),45022.66959362269)</f>
        <v>45022.66959</v>
      </c>
      <c r="C4979" s="1" t="str">
        <f>IFERROR(__xludf.DUMMYFUNCTION("""COMPUTED_VALUE"""),"DURIO JORGE (PROGRAMA MEDICINA DEL INTERIOR GOB)")</f>
        <v>DURIO JORGE (PROGRAMA MEDICINA DEL INTERIOR GOB)</v>
      </c>
      <c r="D4979" s="1" t="str">
        <f>IFERROR(__xludf.DUMMYFUNCTION("""COMPUTED_VALUE"""),"Lentes de STOCK")</f>
        <v>Lentes de STOCK</v>
      </c>
      <c r="E4979" s="1" t="str">
        <f>IFERROR(__xludf.DUMMYFUNCTION("""COMPUTED_VALUE"""),"Online ADMIN.")</f>
        <v>Online ADMIN.</v>
      </c>
      <c r="F4979" s="1" t="str">
        <f t="shared" si="1"/>
        <v>Online </v>
      </c>
      <c r="G4979" s="1" t="str">
        <f t="shared" si="2"/>
        <v>ADMIN.</v>
      </c>
      <c r="H4979" s="1" t="str">
        <f>IFERROR(__xludf.DUMMYFUNCTION("""COMPUTED_VALUE"""),"10/4/2023, 17:00:00")</f>
        <v>10/4/2023, 17:00:00</v>
      </c>
      <c r="I4979" s="1" t="str">
        <f>IFERROR(__xludf.DUMMYFUNCTION("""COMPUTED_VALUE"""),"Recibido en Laboratorio")</f>
        <v>Recibido en Laboratorio</v>
      </c>
      <c r="J4979" s="1">
        <f t="shared" si="3"/>
        <v>2</v>
      </c>
      <c r="K4979" s="1" t="str">
        <f t="shared" si="4"/>
        <v>Nuestro Laboratorio esta trabajando en tus lentes, los entregaremos en la fecha acordada.</v>
      </c>
    </row>
    <row r="4980">
      <c r="A4980" s="1">
        <f>IFERROR(__xludf.DUMMYFUNCTION("""COMPUTED_VALUE"""),89545.0)</f>
        <v>89545</v>
      </c>
      <c r="B4980" s="5">
        <f>IFERROR(__xludf.DUMMYFUNCTION("""COMPUTED_VALUE"""),45022.671553796295)</f>
        <v>45022.67155</v>
      </c>
      <c r="C4980" s="1" t="str">
        <f>IFERROR(__xludf.DUMMYFUNCTION("""COMPUTED_VALUE"""),"FARIAS LAUTARO BENJAMIN (PROGRAMA MEDICINA DEL INTERIOR GOB)")</f>
        <v>FARIAS LAUTARO BENJAMIN (PROGRAMA MEDICINA DEL INTERIOR GOB)</v>
      </c>
      <c r="D4980" s="1" t="str">
        <f>IFERROR(__xludf.DUMMYFUNCTION("""COMPUTED_VALUE"""),"Lentes de STOCK")</f>
        <v>Lentes de STOCK</v>
      </c>
      <c r="E4980" s="1" t="str">
        <f>IFERROR(__xludf.DUMMYFUNCTION("""COMPUTED_VALUE"""),"Online ADMIN.")</f>
        <v>Online ADMIN.</v>
      </c>
      <c r="F4980" s="1" t="str">
        <f t="shared" si="1"/>
        <v>Online </v>
      </c>
      <c r="G4980" s="1" t="str">
        <f t="shared" si="2"/>
        <v>ADMIN.</v>
      </c>
      <c r="H4980" s="1" t="str">
        <f>IFERROR(__xludf.DUMMYFUNCTION("""COMPUTED_VALUE"""),"10/4/2023, 17:00:00")</f>
        <v>10/4/2023, 17:00:00</v>
      </c>
      <c r="I4980" s="1" t="str">
        <f>IFERROR(__xludf.DUMMYFUNCTION("""COMPUTED_VALUE"""),"Recibido en Laboratorio")</f>
        <v>Recibido en Laboratorio</v>
      </c>
      <c r="J4980" s="1">
        <f t="shared" si="3"/>
        <v>2</v>
      </c>
      <c r="K4980" s="1" t="str">
        <f t="shared" si="4"/>
        <v>Nuestro Laboratorio esta trabajando en tus lentes, los entregaremos en la fecha acordada.</v>
      </c>
    </row>
    <row r="4981">
      <c r="A4981" s="1">
        <f>IFERROR(__xludf.DUMMYFUNCTION("""COMPUTED_VALUE"""),89546.0)</f>
        <v>89546</v>
      </c>
      <c r="B4981" s="5">
        <f>IFERROR(__xludf.DUMMYFUNCTION("""COMPUTED_VALUE"""),45022.67219820602)</f>
        <v>45022.6722</v>
      </c>
      <c r="C4981" s="1" t="str">
        <f>IFERROR(__xludf.DUMMYFUNCTION("""COMPUTED_VALUE"""),"DITANI INES (PROGRAMA MEDICINA DEL INTERIOR GOB)")</f>
        <v>DITANI INES (PROGRAMA MEDICINA DEL INTERIOR GOB)</v>
      </c>
      <c r="D4981" s="1" t="str">
        <f>IFERROR(__xludf.DUMMYFUNCTION("""COMPUTED_VALUE"""),"Lentes de STOCK")</f>
        <v>Lentes de STOCK</v>
      </c>
      <c r="E4981" s="1" t="str">
        <f>IFERROR(__xludf.DUMMYFUNCTION("""COMPUTED_VALUE"""),"Online ADMIN.")</f>
        <v>Online ADMIN.</v>
      </c>
      <c r="F4981" s="1" t="str">
        <f t="shared" si="1"/>
        <v>Online </v>
      </c>
      <c r="G4981" s="1" t="str">
        <f t="shared" si="2"/>
        <v>ADMIN.</v>
      </c>
      <c r="H4981" s="1" t="str">
        <f>IFERROR(__xludf.DUMMYFUNCTION("""COMPUTED_VALUE"""),"10/4/2023, 17:00:00")</f>
        <v>10/4/2023, 17:00:00</v>
      </c>
      <c r="I4981" s="1" t="str">
        <f>IFERROR(__xludf.DUMMYFUNCTION("""COMPUTED_VALUE"""),"Recibido en Laboratorio")</f>
        <v>Recibido en Laboratorio</v>
      </c>
      <c r="J4981" s="1">
        <f t="shared" si="3"/>
        <v>2</v>
      </c>
      <c r="K4981" s="1" t="str">
        <f t="shared" si="4"/>
        <v>Nuestro Laboratorio esta trabajando en tus lentes, los entregaremos en la fecha acordada.</v>
      </c>
    </row>
    <row r="4982">
      <c r="A4982" s="1">
        <f>IFERROR(__xludf.DUMMYFUNCTION("""COMPUTED_VALUE"""),89547.0)</f>
        <v>89547</v>
      </c>
      <c r="B4982" s="5">
        <f>IFERROR(__xludf.DUMMYFUNCTION("""COMPUTED_VALUE"""),45022.67320013889)</f>
        <v>45022.6732</v>
      </c>
      <c r="C4982" s="1" t="str">
        <f>IFERROR(__xludf.DUMMYFUNCTION("""COMPUTED_VALUE"""),"CORIA URIEL (PROGRAMA MEDICINA DEL INTERIOR GOB)")</f>
        <v>CORIA URIEL (PROGRAMA MEDICINA DEL INTERIOR GOB)</v>
      </c>
      <c r="D4982" s="1" t="str">
        <f>IFERROR(__xludf.DUMMYFUNCTION("""COMPUTED_VALUE"""),"Lentes de LABORATORIO")</f>
        <v>Lentes de LABORATORIO</v>
      </c>
      <c r="E4982" s="1" t="str">
        <f>IFERROR(__xludf.DUMMYFUNCTION("""COMPUTED_VALUE"""),"Online ADMIN.")</f>
        <v>Online ADMIN.</v>
      </c>
      <c r="F4982" s="1" t="str">
        <f t="shared" si="1"/>
        <v>Online </v>
      </c>
      <c r="G4982" s="1" t="str">
        <f t="shared" si="2"/>
        <v>ADMIN.</v>
      </c>
      <c r="H4982" s="1" t="str">
        <f>IFERROR(__xludf.DUMMYFUNCTION("""COMPUTED_VALUE"""),"14/4/2023, 17:00:00")</f>
        <v>14/4/2023, 17:00:00</v>
      </c>
      <c r="I4982" s="1" t="str">
        <f>IFERROR(__xludf.DUMMYFUNCTION("""COMPUTED_VALUE"""),"Recibido en Laboratorio")</f>
        <v>Recibido en Laboratorio</v>
      </c>
      <c r="J4982" s="1">
        <f t="shared" si="3"/>
        <v>2</v>
      </c>
      <c r="K4982" s="1" t="str">
        <f t="shared" si="4"/>
        <v>Nuestro Laboratorio esta trabajando en tus lentes, los entregaremos en la fecha acordada.</v>
      </c>
    </row>
    <row r="4983">
      <c r="A4983" s="1">
        <f>IFERROR(__xludf.DUMMYFUNCTION("""COMPUTED_VALUE"""),89548.0)</f>
        <v>89548</v>
      </c>
      <c r="B4983" s="5">
        <f>IFERROR(__xludf.DUMMYFUNCTION("""COMPUTED_VALUE"""),45022.673824537036)</f>
        <v>45022.67382</v>
      </c>
      <c r="C4983" s="1" t="str">
        <f>IFERROR(__xludf.DUMMYFUNCTION("""COMPUTED_VALUE"""),"CEBALLOS SANDRA 0(PROGRAMA MEDICINA DEL INTERIOR GOB)")</f>
        <v>CEBALLOS SANDRA 0(PROGRAMA MEDICINA DEL INTERIOR GOB)</v>
      </c>
      <c r="D4983" s="1" t="str">
        <f>IFERROR(__xludf.DUMMYFUNCTION("""COMPUTED_VALUE"""),"Lentes de STOCK")</f>
        <v>Lentes de STOCK</v>
      </c>
      <c r="E4983" s="1" t="str">
        <f>IFERROR(__xludf.DUMMYFUNCTION("""COMPUTED_VALUE"""),"Online ADMIN.")</f>
        <v>Online ADMIN.</v>
      </c>
      <c r="F4983" s="1" t="str">
        <f t="shared" si="1"/>
        <v>Online </v>
      </c>
      <c r="G4983" s="1" t="str">
        <f t="shared" si="2"/>
        <v>ADMIN.</v>
      </c>
      <c r="H4983" s="1" t="str">
        <f>IFERROR(__xludf.DUMMYFUNCTION("""COMPUTED_VALUE"""),"10/4/2023, 17:00:00")</f>
        <v>10/4/2023, 17:00:00</v>
      </c>
      <c r="I4983" s="1" t="str">
        <f>IFERROR(__xludf.DUMMYFUNCTION("""COMPUTED_VALUE"""),"Recibido en Laboratorio")</f>
        <v>Recibido en Laboratorio</v>
      </c>
      <c r="J4983" s="1">
        <f t="shared" si="3"/>
        <v>2</v>
      </c>
      <c r="K4983" s="1" t="str">
        <f t="shared" si="4"/>
        <v>Nuestro Laboratorio esta trabajando en tus lentes, los entregaremos en la fecha acordada.</v>
      </c>
    </row>
    <row r="4984">
      <c r="A4984" s="1">
        <f>IFERROR(__xludf.DUMMYFUNCTION("""COMPUTED_VALUE"""),89549.0)</f>
        <v>89549</v>
      </c>
      <c r="B4984" s="5">
        <f>IFERROR(__xludf.DUMMYFUNCTION("""COMPUTED_VALUE"""),45022.67434149305)</f>
        <v>45022.67434</v>
      </c>
      <c r="C4984" s="1" t="str">
        <f>IFERROR(__xludf.DUMMYFUNCTION("""COMPUTED_VALUE"""),"BECERRA NADIA SOLEDAD (PROGRAMA MEDICINA DEL INTERIOR GOB)")</f>
        <v>BECERRA NADIA SOLEDAD (PROGRAMA MEDICINA DEL INTERIOR GOB)</v>
      </c>
      <c r="D4984" s="1" t="str">
        <f>IFERROR(__xludf.DUMMYFUNCTION("""COMPUTED_VALUE"""),"Lentes de LABORATORIO")</f>
        <v>Lentes de LABORATORIO</v>
      </c>
      <c r="E4984" s="1" t="str">
        <f>IFERROR(__xludf.DUMMYFUNCTION("""COMPUTED_VALUE"""),"Online ADMIN.")</f>
        <v>Online ADMIN.</v>
      </c>
      <c r="F4984" s="1" t="str">
        <f t="shared" si="1"/>
        <v>Online </v>
      </c>
      <c r="G4984" s="1" t="str">
        <f t="shared" si="2"/>
        <v>ADMIN.</v>
      </c>
      <c r="H4984" s="1" t="str">
        <f>IFERROR(__xludf.DUMMYFUNCTION("""COMPUTED_VALUE"""),"14/4/2023, 17:00:00")</f>
        <v>14/4/2023, 17:00:00</v>
      </c>
      <c r="I4984" s="1" t="str">
        <f>IFERROR(__xludf.DUMMYFUNCTION("""COMPUTED_VALUE"""),"Recibido en Laboratorio")</f>
        <v>Recibido en Laboratorio</v>
      </c>
      <c r="J4984" s="1">
        <f t="shared" si="3"/>
        <v>2</v>
      </c>
      <c r="K4984" s="1" t="str">
        <f t="shared" si="4"/>
        <v>Nuestro Laboratorio esta trabajando en tus lentes, los entregaremos en la fecha acordada.</v>
      </c>
    </row>
    <row r="4985">
      <c r="A4985" s="1">
        <f>IFERROR(__xludf.DUMMYFUNCTION("""COMPUTED_VALUE"""),89550.0)</f>
        <v>89550</v>
      </c>
      <c r="B4985" s="5">
        <f>IFERROR(__xludf.DUMMYFUNCTION("""COMPUTED_VALUE"""),45022.67504239583)</f>
        <v>45022.67504</v>
      </c>
      <c r="C4985" s="1" t="str">
        <f>IFERROR(__xludf.DUMMYFUNCTION("""COMPUTED_VALUE"""),"AMAYA ROLDAN SAM (PROGRAMA MEDICINA DEL INTERIOR GOB)")</f>
        <v>AMAYA ROLDAN SAM (PROGRAMA MEDICINA DEL INTERIOR GOB)</v>
      </c>
      <c r="D4985" s="1" t="str">
        <f>IFERROR(__xludf.DUMMYFUNCTION("""COMPUTED_VALUE"""),"Lentes de STOCK")</f>
        <v>Lentes de STOCK</v>
      </c>
      <c r="E4985" s="1" t="str">
        <f>IFERROR(__xludf.DUMMYFUNCTION("""COMPUTED_VALUE"""),"Online ADMIN.")</f>
        <v>Online ADMIN.</v>
      </c>
      <c r="F4985" s="1" t="str">
        <f t="shared" si="1"/>
        <v>Online </v>
      </c>
      <c r="G4985" s="1" t="str">
        <f t="shared" si="2"/>
        <v>ADMIN.</v>
      </c>
      <c r="H4985" s="1" t="str">
        <f>IFERROR(__xludf.DUMMYFUNCTION("""COMPUTED_VALUE"""),"10/4/2023, 17:00:00")</f>
        <v>10/4/2023, 17:00:00</v>
      </c>
      <c r="I4985" s="1" t="str">
        <f>IFERROR(__xludf.DUMMYFUNCTION("""COMPUTED_VALUE"""),"Recibido en Laboratorio")</f>
        <v>Recibido en Laboratorio</v>
      </c>
      <c r="J4985" s="1">
        <f t="shared" si="3"/>
        <v>2</v>
      </c>
      <c r="K4985" s="1" t="str">
        <f t="shared" si="4"/>
        <v>Nuestro Laboratorio esta trabajando en tus lentes, los entregaremos en la fecha acordada.</v>
      </c>
    </row>
    <row r="4986">
      <c r="A4986" s="1">
        <f>IFERROR(__xludf.DUMMYFUNCTION("""COMPUTED_VALUE"""),89551.0)</f>
        <v>89551</v>
      </c>
      <c r="B4986" s="5">
        <f>IFERROR(__xludf.DUMMYFUNCTION("""COMPUTED_VALUE"""),45022.6786366088)</f>
        <v>45022.67864</v>
      </c>
      <c r="C4986" s="1" t="str">
        <f>IFERROR(__xludf.DUMMYFUNCTION("""COMPUTED_VALUE"""),"MARTIN PANTANO JOHN DAVID (PROGRAMA MEDICINA DEL INTERIOR GOB)")</f>
        <v>MARTIN PANTANO JOHN DAVID (PROGRAMA MEDICINA DEL INTERIOR GOB)</v>
      </c>
      <c r="D4986" s="1" t="str">
        <f>IFERROR(__xludf.DUMMYFUNCTION("""COMPUTED_VALUE"""),"Lentes de LABORATORIO")</f>
        <v>Lentes de LABORATORIO</v>
      </c>
      <c r="E4986" s="1" t="str">
        <f>IFERROR(__xludf.DUMMYFUNCTION("""COMPUTED_VALUE"""),"Online ADMIN.")</f>
        <v>Online ADMIN.</v>
      </c>
      <c r="F4986" s="1" t="str">
        <f t="shared" si="1"/>
        <v>Online </v>
      </c>
      <c r="G4986" s="1" t="str">
        <f t="shared" si="2"/>
        <v>ADMIN.</v>
      </c>
      <c r="H4986" s="1" t="str">
        <f>IFERROR(__xludf.DUMMYFUNCTION("""COMPUTED_VALUE"""),"14/4/2023, 17:00:00")</f>
        <v>14/4/2023, 17:00:00</v>
      </c>
      <c r="I4986" s="1" t="str">
        <f>IFERROR(__xludf.DUMMYFUNCTION("""COMPUTED_VALUE"""),"Recibido en Laboratorio")</f>
        <v>Recibido en Laboratorio</v>
      </c>
      <c r="J4986" s="1">
        <f t="shared" si="3"/>
        <v>2</v>
      </c>
      <c r="K4986" s="1" t="str">
        <f t="shared" si="4"/>
        <v>Nuestro Laboratorio esta trabajando en tus lentes, los entregaremos en la fecha acordada.</v>
      </c>
    </row>
    <row r="4987">
      <c r="A4987" s="1">
        <f>IFERROR(__xludf.DUMMYFUNCTION("""COMPUTED_VALUE"""),89552.0)</f>
        <v>89552</v>
      </c>
      <c r="B4987" s="5">
        <f>IFERROR(__xludf.DUMMYFUNCTION("""COMPUTED_VALUE"""),45022.755164988426)</f>
        <v>45022.75516</v>
      </c>
      <c r="C4987" s="1" t="str">
        <f>IFERROR(__xludf.DUMMYFUNCTION("""COMPUTED_VALUE"""),"BENTOLILA MATIAS AGUSTIN")</f>
        <v>BENTOLILA MATIAS AGUSTIN</v>
      </c>
      <c r="D4987" s="1" t="str">
        <f>IFERROR(__xludf.DUMMYFUNCTION("""COMPUTED_VALUE"""),"Lentes de STOCK")</f>
        <v>Lentes de STOCK</v>
      </c>
      <c r="E4987" s="1" t="str">
        <f>IFERROR(__xludf.DUMMYFUNCTION("""COMPUTED_VALUE"""),"RIVADAVIA Javier")</f>
        <v>RIVADAVIA Javier</v>
      </c>
      <c r="F4987" s="1" t="str">
        <f t="shared" si="1"/>
        <v>RIVADAVIA </v>
      </c>
      <c r="G4987" s="1" t="str">
        <f t="shared" si="2"/>
        <v>Javier</v>
      </c>
      <c r="H4987" s="1" t="str">
        <f>IFERROR(__xludf.DUMMYFUNCTION("""COMPUTED_VALUE"""),"12/4/2023, 17:00:00")</f>
        <v>12/4/2023, 17:00:00</v>
      </c>
      <c r="I4987" s="1" t="str">
        <f>IFERROR(__xludf.DUMMYFUNCTION("""COMPUTED_VALUE"""),"Completado en SUCURSAL")</f>
        <v>Completado en SUCURSAL</v>
      </c>
      <c r="J4987" s="1">
        <f t="shared" si="3"/>
        <v>5</v>
      </c>
      <c r="K4987" s="1" t="str">
        <f t="shared" si="4"/>
        <v>Tus Lentes estan LISTAS PARA ENTREGAR, te esperamos.</v>
      </c>
    </row>
    <row r="4988">
      <c r="A4988" s="1">
        <f>IFERROR(__xludf.DUMMYFUNCTION("""COMPUTED_VALUE"""),89553.0)</f>
        <v>89553</v>
      </c>
      <c r="B4988" s="5">
        <f>IFERROR(__xludf.DUMMYFUNCTION("""COMPUTED_VALUE"""),45022.759884768515)</f>
        <v>45022.75988</v>
      </c>
      <c r="C4988" s="1" t="str">
        <f>IFERROR(__xludf.DUMMYFUNCTION("""COMPUTED_VALUE"""),"MACIAS GABRIEL")</f>
        <v>MACIAS GABRIEL</v>
      </c>
      <c r="D4988" s="1" t="str">
        <f>IFERROR(__xludf.DUMMYFUNCTION("""COMPUTED_VALUE"""),"Lentes de STOCK")</f>
        <v>Lentes de STOCK</v>
      </c>
      <c r="E4988" s="1" t="str">
        <f>IFERROR(__xludf.DUMMYFUNCTION("""COMPUTED_VALUE"""),"RIVADAVIA Santiago LOPEZ")</f>
        <v>RIVADAVIA Santiago LOPEZ</v>
      </c>
      <c r="F4988" s="1" t="str">
        <f t="shared" si="1"/>
        <v>RIVADAVIA </v>
      </c>
      <c r="G4988" s="1" t="str">
        <f t="shared" si="2"/>
        <v>Santiago LOPEZ</v>
      </c>
      <c r="H4988" s="1" t="str">
        <f>IFERROR(__xludf.DUMMYFUNCTION("""COMPUTED_VALUE"""),"10/4/2023, 17:00:00")</f>
        <v>10/4/2023, 17:00:00</v>
      </c>
      <c r="I4988" s="1" t="str">
        <f>IFERROR(__xludf.DUMMYFUNCTION("""COMPUTED_VALUE"""),"Completado en SUCURSAL")</f>
        <v>Completado en SUCURSAL</v>
      </c>
      <c r="J4988" s="1">
        <f t="shared" si="3"/>
        <v>5</v>
      </c>
      <c r="K4988" s="1" t="str">
        <f t="shared" si="4"/>
        <v>Tus Lentes estan LISTAS PARA ENTREGAR, te esperamos.</v>
      </c>
    </row>
    <row r="4989">
      <c r="A4989" s="1">
        <f>IFERROR(__xludf.DUMMYFUNCTION("""COMPUTED_VALUE"""),89554.0)</f>
        <v>89554</v>
      </c>
      <c r="B4989" s="5">
        <f>IFERROR(__xludf.DUMMYFUNCTION("""COMPUTED_VALUE"""),45022.77341844907)</f>
        <v>45022.77342</v>
      </c>
      <c r="C4989" s="1" t="str">
        <f>IFERROR(__xludf.DUMMYFUNCTION("""COMPUTED_VALUE"""),"neiro maria soledad")</f>
        <v>neiro maria soledad</v>
      </c>
      <c r="D4989" s="1" t="str">
        <f>IFERROR(__xludf.DUMMYFUNCTION("""COMPUTED_VALUE"""),"Lentes de STOCK")</f>
        <v>Lentes de STOCK</v>
      </c>
      <c r="E4989" s="1" t="str">
        <f>IFERROR(__xludf.DUMMYFUNCTION("""COMPUTED_VALUE"""),"RIVADAVIA Santiago N")</f>
        <v>RIVADAVIA Santiago N</v>
      </c>
      <c r="F4989" s="1" t="str">
        <f t="shared" si="1"/>
        <v>RIVADAVIA </v>
      </c>
      <c r="G4989" s="1" t="str">
        <f t="shared" si="2"/>
        <v>Santiago N</v>
      </c>
      <c r="H4989" s="1" t="str">
        <f>IFERROR(__xludf.DUMMYFUNCTION("""COMPUTED_VALUE"""),"11/4/2023, 17:00:00")</f>
        <v>11/4/2023, 17:00:00</v>
      </c>
      <c r="I4989" s="1"/>
      <c r="J4989" s="1">
        <f t="shared" si="3"/>
        <v>0</v>
      </c>
      <c r="K4989" s="1" t="str">
        <f t="shared" si="4"/>
        <v/>
      </c>
    </row>
    <row r="4990">
      <c r="A4990" s="1">
        <f>IFERROR(__xludf.DUMMYFUNCTION("""COMPUTED_VALUE"""),89555.0)</f>
        <v>89555</v>
      </c>
      <c r="B4990" s="5">
        <f>IFERROR(__xludf.DUMMYFUNCTION("""COMPUTED_VALUE"""),45022.77928236111)</f>
        <v>45022.77928</v>
      </c>
      <c r="C4990" s="1" t="str">
        <f>IFERROR(__xludf.DUMMYFUNCTION("""COMPUTED_VALUE"""),"ocampos pilar")</f>
        <v>ocampos pilar</v>
      </c>
      <c r="D4990" s="1" t="str">
        <f>IFERROR(__xludf.DUMMYFUNCTION("""COMPUTED_VALUE"""),"Lentes de STOCK")</f>
        <v>Lentes de STOCK</v>
      </c>
      <c r="E4990" s="1" t="str">
        <f>IFERROR(__xludf.DUMMYFUNCTION("""COMPUTED_VALUE"""),"RIVADAVIA Santiago N")</f>
        <v>RIVADAVIA Santiago N</v>
      </c>
      <c r="F4990" s="1" t="str">
        <f t="shared" si="1"/>
        <v>RIVADAVIA </v>
      </c>
      <c r="G4990" s="1" t="str">
        <f t="shared" si="2"/>
        <v>Santiago N</v>
      </c>
      <c r="H4990" s="1" t="str">
        <f>IFERROR(__xludf.DUMMYFUNCTION("""COMPUTED_VALUE"""),"10/4/2023, 17:00:00")</f>
        <v>10/4/2023, 17:00:00</v>
      </c>
      <c r="I4990" s="1" t="str">
        <f>IFERROR(__xludf.DUMMYFUNCTION("""COMPUTED_VALUE"""),"Completado en SUCURSAL")</f>
        <v>Completado en SUCURSAL</v>
      </c>
      <c r="J4990" s="1">
        <f t="shared" si="3"/>
        <v>5</v>
      </c>
      <c r="K4990" s="1" t="str">
        <f t="shared" si="4"/>
        <v>Tus Lentes estan LISTAS PARA ENTREGAR, te esperamos.</v>
      </c>
    </row>
    <row r="4991">
      <c r="A4991" s="1">
        <f>IFERROR(__xludf.DUMMYFUNCTION("""COMPUTED_VALUE"""),89556.0)</f>
        <v>89556</v>
      </c>
      <c r="B4991" s="5">
        <f>IFERROR(__xludf.DUMMYFUNCTION("""COMPUTED_VALUE"""),45022.78612414352)</f>
        <v>45022.78612</v>
      </c>
      <c r="C4991" s="1" t="str">
        <f>IFERROR(__xludf.DUMMYFUNCTION("""COMPUTED_VALUE"""),"VALLEJOS JUAN EMILIO")</f>
        <v>VALLEJOS JUAN EMILIO</v>
      </c>
      <c r="D4991" s="1" t="str">
        <f>IFERROR(__xludf.DUMMYFUNCTION("""COMPUTED_VALUE"""),"Lentes de STOCK")</f>
        <v>Lentes de STOCK</v>
      </c>
      <c r="E4991" s="1" t="str">
        <f>IFERROR(__xludf.DUMMYFUNCTION("""COMPUTED_VALUE"""),"RIVADAVIA Javier")</f>
        <v>RIVADAVIA Javier</v>
      </c>
      <c r="F4991" s="1" t="str">
        <f t="shared" si="1"/>
        <v>RIVADAVIA </v>
      </c>
      <c r="G4991" s="1" t="str">
        <f t="shared" si="2"/>
        <v>Javier</v>
      </c>
      <c r="H4991" s="1" t="str">
        <f>IFERROR(__xludf.DUMMYFUNCTION("""COMPUTED_VALUE"""),"12/4/2023, 17:00:00")</f>
        <v>12/4/2023, 17:00:00</v>
      </c>
      <c r="I4991" s="1" t="str">
        <f>IFERROR(__xludf.DUMMYFUNCTION("""COMPUTED_VALUE"""),"Completado en SUCURSAL")</f>
        <v>Completado en SUCURSAL</v>
      </c>
      <c r="J4991" s="1">
        <f t="shared" si="3"/>
        <v>5</v>
      </c>
      <c r="K4991" s="1" t="str">
        <f t="shared" si="4"/>
        <v>Tus Lentes estan LISTAS PARA ENTREGAR, te esperamos.</v>
      </c>
    </row>
    <row r="4992">
      <c r="A4992" s="1">
        <f>IFERROR(__xludf.DUMMYFUNCTION("""COMPUTED_VALUE"""),89557.0)</f>
        <v>89557</v>
      </c>
      <c r="B4992" s="5">
        <f>IFERROR(__xludf.DUMMYFUNCTION("""COMPUTED_VALUE"""),45022.8008419213)</f>
        <v>45022.80084</v>
      </c>
      <c r="C4992" s="1" t="str">
        <f>IFERROR(__xludf.DUMMYFUNCTION("""COMPUTED_VALUE"""),"IANELLO MARGARITA GRACIELA")</f>
        <v>IANELLO MARGARITA GRACIELA</v>
      </c>
      <c r="D4992" s="1" t="str">
        <f>IFERROR(__xludf.DUMMYFUNCTION("""COMPUTED_VALUE"""),"Lentes de STOCK")</f>
        <v>Lentes de STOCK</v>
      </c>
      <c r="E4992" s="1" t="str">
        <f>IFERROR(__xludf.DUMMYFUNCTION("""COMPUTED_VALUE"""),"RIVADAVIA Christian C.")</f>
        <v>RIVADAVIA Christian C.</v>
      </c>
      <c r="F4992" s="1" t="str">
        <f t="shared" si="1"/>
        <v>RIVADAVIA </v>
      </c>
      <c r="G4992" s="1" t="str">
        <f t="shared" si="2"/>
        <v>Christian C.</v>
      </c>
      <c r="H4992" s="1" t="str">
        <f>IFERROR(__xludf.DUMMYFUNCTION("""COMPUTED_VALUE"""),"12/4/2023, 17:00:00")</f>
        <v>12/4/2023, 17:00:00</v>
      </c>
      <c r="I4992" s="1"/>
      <c r="J4992" s="1">
        <f t="shared" si="3"/>
        <v>0</v>
      </c>
      <c r="K4992" s="1" t="str">
        <f t="shared" si="4"/>
        <v/>
      </c>
    </row>
    <row r="4993">
      <c r="A4993" s="1">
        <f>IFERROR(__xludf.DUMMYFUNCTION("""COMPUTED_VALUE"""),89558.0)</f>
        <v>89558</v>
      </c>
      <c r="B4993" s="5">
        <f>IFERROR(__xludf.DUMMYFUNCTION("""COMPUTED_VALUE"""),45022.816527546296)</f>
        <v>45022.81653</v>
      </c>
      <c r="C4993" s="1" t="str">
        <f>IFERROR(__xludf.DUMMYFUNCTION("""COMPUTED_VALUE"""),"BUSTOS PABLO ")</f>
        <v>BUSTOS PABLO </v>
      </c>
      <c r="D4993" s="1" t="str">
        <f>IFERROR(__xludf.DUMMYFUNCTION("""COMPUTED_VALUE"""),"Lentes de STOCK")</f>
        <v>Lentes de STOCK</v>
      </c>
      <c r="E4993" s="1" t="str">
        <f>IFERROR(__xludf.DUMMYFUNCTION("""COMPUTED_VALUE"""),"RIVADAVIA Santiago N")</f>
        <v>RIVADAVIA Santiago N</v>
      </c>
      <c r="F4993" s="1" t="str">
        <f t="shared" si="1"/>
        <v>RIVADAVIA </v>
      </c>
      <c r="G4993" s="1" t="str">
        <f t="shared" si="2"/>
        <v>Santiago N</v>
      </c>
      <c r="H4993" s="1" t="str">
        <f>IFERROR(__xludf.DUMMYFUNCTION("""COMPUTED_VALUE"""),"10/4/2023, 17:00:00")</f>
        <v>10/4/2023, 17:00:00</v>
      </c>
      <c r="I4993" s="1" t="str">
        <f>IFERROR(__xludf.DUMMYFUNCTION("""COMPUTED_VALUE"""),"Completado en SUCURSAL")</f>
        <v>Completado en SUCURSAL</v>
      </c>
      <c r="J4993" s="1">
        <f t="shared" si="3"/>
        <v>5</v>
      </c>
      <c r="K4993" s="1" t="str">
        <f t="shared" si="4"/>
        <v>Tus Lentes estan LISTAS PARA ENTREGAR, te esperamos.</v>
      </c>
    </row>
    <row r="4994">
      <c r="A4994" s="1">
        <f>IFERROR(__xludf.DUMMYFUNCTION("""COMPUTED_VALUE"""),89559.0)</f>
        <v>89559</v>
      </c>
      <c r="B4994" s="5">
        <f>IFERROR(__xludf.DUMMYFUNCTION("""COMPUTED_VALUE"""),45022.83392034722)</f>
        <v>45022.83392</v>
      </c>
      <c r="C4994" s="1" t="str">
        <f>IFERROR(__xludf.DUMMYFUNCTION("""COMPUTED_VALUE"""),"RIVERO JIMENA")</f>
        <v>RIVERO JIMENA</v>
      </c>
      <c r="D4994" s="1" t="str">
        <f>IFERROR(__xludf.DUMMYFUNCTION("""COMPUTED_VALUE"""),"Lentes de STOCK")</f>
        <v>Lentes de STOCK</v>
      </c>
      <c r="E4994" s="1" t="str">
        <f>IFERROR(__xludf.DUMMYFUNCTION("""COMPUTED_VALUE"""),"RIVADAVIA Christian C.")</f>
        <v>RIVADAVIA Christian C.</v>
      </c>
      <c r="F4994" s="1" t="str">
        <f t="shared" si="1"/>
        <v>RIVADAVIA </v>
      </c>
      <c r="G4994" s="1" t="str">
        <f t="shared" si="2"/>
        <v>Christian C.</v>
      </c>
      <c r="H4994" s="1" t="str">
        <f>IFERROR(__xludf.DUMMYFUNCTION("""COMPUTED_VALUE"""),"17/4/2023, 17:00:00")</f>
        <v>17/4/2023, 17:00:00</v>
      </c>
      <c r="I4994" s="1" t="str">
        <f>IFERROR(__xludf.DUMMYFUNCTION("""COMPUTED_VALUE"""),"Completado en SUCURSAL")</f>
        <v>Completado en SUCURSAL</v>
      </c>
      <c r="J4994" s="1">
        <f t="shared" si="3"/>
        <v>5</v>
      </c>
      <c r="K4994" s="1" t="str">
        <f t="shared" si="4"/>
        <v>Tus Lentes estan LISTAS PARA ENTREGAR, te esperamos.</v>
      </c>
    </row>
    <row r="4995">
      <c r="A4995" s="1">
        <f>IFERROR(__xludf.DUMMYFUNCTION("""COMPUTED_VALUE"""),89560.0)</f>
        <v>89560</v>
      </c>
      <c r="B4995" s="5">
        <f>IFERROR(__xludf.DUMMYFUNCTION("""COMPUTED_VALUE"""),45024.38143318287)</f>
        <v>45024.38143</v>
      </c>
      <c r="C4995" s="1" t="str">
        <f>IFERROR(__xludf.DUMMYFUNCTION("""COMPUTED_VALUE"""),"VILCHEZ HUGO")</f>
        <v>VILCHEZ HUGO</v>
      </c>
      <c r="D4995" s="1" t="str">
        <f>IFERROR(__xludf.DUMMYFUNCTION("""COMPUTED_VALUE"""),"Reparaciones/Otros")</f>
        <v>Reparaciones/Otros</v>
      </c>
      <c r="E4995" s="1" t="str">
        <f>IFERROR(__xludf.DUMMYFUNCTION("""COMPUTED_VALUE"""),"ARTIGAS Ivana P.")</f>
        <v>ARTIGAS Ivana P.</v>
      </c>
      <c r="F4995" s="1" t="str">
        <f t="shared" si="1"/>
        <v>ARTIGAS </v>
      </c>
      <c r="G4995" s="1" t="str">
        <f t="shared" si="2"/>
        <v>Ivana P.</v>
      </c>
      <c r="H4995" s="1" t="str">
        <f>IFERROR(__xludf.DUMMYFUNCTION("""COMPUTED_VALUE"""),"10/4/2023, 17:00:00")</f>
        <v>10/4/2023, 17:00:00</v>
      </c>
      <c r="I4995" s="1" t="str">
        <f>IFERROR(__xludf.DUMMYFUNCTION("""COMPUTED_VALUE"""),"Recibido en Laboratorio")</f>
        <v>Recibido en Laboratorio</v>
      </c>
      <c r="J4995" s="1">
        <f t="shared" si="3"/>
        <v>2</v>
      </c>
      <c r="K4995" s="1" t="str">
        <f t="shared" si="4"/>
        <v>Nuestro Laboratorio esta trabajando en tus lentes, los entregaremos en la fecha acordada.</v>
      </c>
    </row>
    <row r="4996">
      <c r="A4996" s="1">
        <f>IFERROR(__xludf.DUMMYFUNCTION("""COMPUTED_VALUE"""),89561.0)</f>
        <v>89561</v>
      </c>
      <c r="B4996" s="5">
        <f>IFERROR(__xludf.DUMMYFUNCTION("""COMPUTED_VALUE"""),45024.387347199074)</f>
        <v>45024.38735</v>
      </c>
      <c r="C4996" s="1" t="str">
        <f>IFERROR(__xludf.DUMMYFUNCTION("""COMPUTED_VALUE"""),"VILCHEZ HUGO")</f>
        <v>VILCHEZ HUGO</v>
      </c>
      <c r="D4996" s="1" t="str">
        <f>IFERROR(__xludf.DUMMYFUNCTION("""COMPUTED_VALUE"""),"Lentes de STOCK")</f>
        <v>Lentes de STOCK</v>
      </c>
      <c r="E4996" s="1" t="str">
        <f>IFERROR(__xludf.DUMMYFUNCTION("""COMPUTED_VALUE"""),"ARTIGAS Ivana P.")</f>
        <v>ARTIGAS Ivana P.</v>
      </c>
      <c r="F4996" s="1" t="str">
        <f t="shared" si="1"/>
        <v>ARTIGAS </v>
      </c>
      <c r="G4996" s="1" t="str">
        <f t="shared" si="2"/>
        <v>Ivana P.</v>
      </c>
      <c r="H4996" s="1" t="str">
        <f>IFERROR(__xludf.DUMMYFUNCTION("""COMPUTED_VALUE"""),"11/4/2023, 17:00:00")</f>
        <v>11/4/2023, 17:00:00</v>
      </c>
      <c r="I4996" s="1" t="str">
        <f>IFERROR(__xludf.DUMMYFUNCTION("""COMPUTED_VALUE"""),"Completado en SUCURSAL")</f>
        <v>Completado en SUCURSAL</v>
      </c>
      <c r="J4996" s="1">
        <f t="shared" si="3"/>
        <v>5</v>
      </c>
      <c r="K4996" s="1" t="str">
        <f t="shared" si="4"/>
        <v>Tus Lentes estan LISTAS PARA ENTREGAR, te esperamos.</v>
      </c>
    </row>
    <row r="4997">
      <c r="A4997" s="1">
        <f>IFERROR(__xludf.DUMMYFUNCTION("""COMPUTED_VALUE"""),89562.0)</f>
        <v>89562</v>
      </c>
      <c r="B4997" s="5">
        <f>IFERROR(__xludf.DUMMYFUNCTION("""COMPUTED_VALUE"""),45024.393156666665)</f>
        <v>45024.39316</v>
      </c>
      <c r="C4997" s="1" t="str">
        <f>IFERROR(__xludf.DUMMYFUNCTION("""COMPUTED_VALUE"""),"CUSSATTI GRACIELA")</f>
        <v>CUSSATTI GRACIELA</v>
      </c>
      <c r="D4997" s="1" t="str">
        <f>IFERROR(__xludf.DUMMYFUNCTION("""COMPUTED_VALUE"""),"Lentes MULTIFOCALES")</f>
        <v>Lentes MULTIFOCALES</v>
      </c>
      <c r="E4997" s="1" t="str">
        <f>IFERROR(__xludf.DUMMYFUNCTION("""COMPUTED_VALUE"""),"ARTIGAS Ivana P.")</f>
        <v>ARTIGAS Ivana P.</v>
      </c>
      <c r="F4997" s="1" t="str">
        <f t="shared" si="1"/>
        <v>ARTIGAS </v>
      </c>
      <c r="G4997" s="1" t="str">
        <f t="shared" si="2"/>
        <v>Ivana P.</v>
      </c>
      <c r="H4997" s="1" t="str">
        <f>IFERROR(__xludf.DUMMYFUNCTION("""COMPUTED_VALUE"""),"21/4/2023, 17:00:00")</f>
        <v>21/4/2023, 17:00:00</v>
      </c>
      <c r="I4997" s="1" t="str">
        <f>IFERROR(__xludf.DUMMYFUNCTION("""COMPUTED_VALUE"""),"Recibido en Laboratorio")</f>
        <v>Recibido en Laboratorio</v>
      </c>
      <c r="J4997" s="1">
        <f t="shared" si="3"/>
        <v>2</v>
      </c>
      <c r="K4997" s="1" t="str">
        <f t="shared" si="4"/>
        <v>Nuestro Laboratorio esta trabajando en tus lentes, los entregaremos en la fecha acordada.</v>
      </c>
    </row>
    <row r="4998">
      <c r="A4998" s="1">
        <f>IFERROR(__xludf.DUMMYFUNCTION("""COMPUTED_VALUE"""),89563.0)</f>
        <v>89563</v>
      </c>
      <c r="B4998" s="5">
        <f>IFERROR(__xludf.DUMMYFUNCTION("""COMPUTED_VALUE"""),45024.398887152776)</f>
        <v>45024.39889</v>
      </c>
      <c r="C4998" s="1" t="str">
        <f>IFERROR(__xludf.DUMMYFUNCTION("""COMPUTED_VALUE"""),"ESCUDERO MIGUEL")</f>
        <v>ESCUDERO MIGUEL</v>
      </c>
      <c r="D4998" s="1" t="str">
        <f>IFERROR(__xludf.DUMMYFUNCTION("""COMPUTED_VALUE"""),"Lentes de STOCK")</f>
        <v>Lentes de STOCK</v>
      </c>
      <c r="E4998" s="1" t="str">
        <f>IFERROR(__xludf.DUMMYFUNCTION("""COMPUTED_VALUE"""),"RIVADAVIA Santiago LOPEZ")</f>
        <v>RIVADAVIA Santiago LOPEZ</v>
      </c>
      <c r="F4998" s="1" t="str">
        <f t="shared" si="1"/>
        <v>RIVADAVIA </v>
      </c>
      <c r="G4998" s="1" t="str">
        <f t="shared" si="2"/>
        <v>Santiago LOPEZ</v>
      </c>
      <c r="H4998" s="1" t="str">
        <f>IFERROR(__xludf.DUMMYFUNCTION("""COMPUTED_VALUE"""),"10/4/2023, 17:00:00")</f>
        <v>10/4/2023, 17:00:00</v>
      </c>
      <c r="I4998" s="1" t="str">
        <f>IFERROR(__xludf.DUMMYFUNCTION("""COMPUTED_VALUE"""),"RETIRADO OK POR CLIENTE")</f>
        <v>RETIRADO OK POR CLIENTE</v>
      </c>
      <c r="J4998" s="1">
        <f t="shared" si="3"/>
        <v>6</v>
      </c>
      <c r="K4998" s="1" t="str">
        <f t="shared" si="4"/>
        <v>Entregamos tus lentes, que los disfrutes!</v>
      </c>
    </row>
    <row r="4999">
      <c r="A4999" s="1">
        <f>IFERROR(__xludf.DUMMYFUNCTION("""COMPUTED_VALUE"""),89564.0)</f>
        <v>89564</v>
      </c>
      <c r="B4999" s="5">
        <f>IFERROR(__xludf.DUMMYFUNCTION("""COMPUTED_VALUE"""),45024.409793391205)</f>
        <v>45024.40979</v>
      </c>
      <c r="C4999" s="1" t="str">
        <f>IFERROR(__xludf.DUMMYFUNCTION("""COMPUTED_VALUE"""),"SOSA WALTER / DOS ANCLAS")</f>
        <v>SOSA WALTER / DOS ANCLAS</v>
      </c>
      <c r="D4999" s="1" t="str">
        <f>IFERROR(__xludf.DUMMYFUNCTION("""COMPUTED_VALUE"""),"Lentes MULTIFOCALES")</f>
        <v>Lentes MULTIFOCALES</v>
      </c>
      <c r="E4999" s="1" t="str">
        <f>IFERROR(__xludf.DUMMYFUNCTION("""COMPUTED_VALUE"""),"ARTIGAS Ivana P.")</f>
        <v>ARTIGAS Ivana P.</v>
      </c>
      <c r="F4999" s="1" t="str">
        <f t="shared" si="1"/>
        <v>ARTIGAS </v>
      </c>
      <c r="G4999" s="1" t="str">
        <f t="shared" si="2"/>
        <v>Ivana P.</v>
      </c>
      <c r="H4999" s="1" t="str">
        <f>IFERROR(__xludf.DUMMYFUNCTION("""COMPUTED_VALUE"""),"21/4/2023, 17:00:00")</f>
        <v>21/4/2023, 17:00:00</v>
      </c>
      <c r="I4999" s="1" t="str">
        <f>IFERROR(__xludf.DUMMYFUNCTION("""COMPUTED_VALUE"""),"Recibido en Laboratorio")</f>
        <v>Recibido en Laboratorio</v>
      </c>
      <c r="J4999" s="1">
        <f t="shared" si="3"/>
        <v>2</v>
      </c>
      <c r="K4999" s="1" t="str">
        <f t="shared" si="4"/>
        <v>Nuestro Laboratorio esta trabajando en tus lentes, los entregaremos en la fecha acordada.</v>
      </c>
    </row>
    <row r="5000">
      <c r="A5000" s="1">
        <f>IFERROR(__xludf.DUMMYFUNCTION("""COMPUTED_VALUE"""),89565.0)</f>
        <v>89565</v>
      </c>
      <c r="B5000" s="5">
        <f>IFERROR(__xludf.DUMMYFUNCTION("""COMPUTED_VALUE"""),45024.42872383102)</f>
        <v>45024.42872</v>
      </c>
      <c r="C5000" s="1" t="str">
        <f>IFERROR(__xludf.DUMMYFUNCTION("""COMPUTED_VALUE"""),"INGOLINGO PEDRO")</f>
        <v>INGOLINGO PEDRO</v>
      </c>
      <c r="D5000" s="1" t="str">
        <f>IFERROR(__xludf.DUMMYFUNCTION("""COMPUTED_VALUE"""),"Lentes MULTIFOCALES")</f>
        <v>Lentes MULTIFOCALES</v>
      </c>
      <c r="E5000" s="1" t="str">
        <f>IFERROR(__xludf.DUMMYFUNCTION("""COMPUTED_VALUE"""),"RIVADAVIA Javier")</f>
        <v>RIVADAVIA Javier</v>
      </c>
      <c r="F5000" s="1" t="str">
        <f t="shared" si="1"/>
        <v>RIVADAVIA </v>
      </c>
      <c r="G5000" s="1" t="str">
        <f t="shared" si="2"/>
        <v>Javier</v>
      </c>
      <c r="H5000" s="1" t="str">
        <f>IFERROR(__xludf.DUMMYFUNCTION("""COMPUTED_VALUE"""),"21/4/2023, 17:00:00")</f>
        <v>21/4/2023, 17:00:00</v>
      </c>
      <c r="I5000" s="1" t="str">
        <f>IFERROR(__xludf.DUMMYFUNCTION("""COMPUTED_VALUE"""),"Recibido en Laboratorio")</f>
        <v>Recibido en Laboratorio</v>
      </c>
      <c r="J5000" s="1">
        <f t="shared" si="3"/>
        <v>2</v>
      </c>
      <c r="K5000" s="1" t="str">
        <f t="shared" si="4"/>
        <v>Nuestro Laboratorio esta trabajando en tus lentes, los entregaremos en la fecha acordada.</v>
      </c>
    </row>
    <row r="5001">
      <c r="A5001" s="1">
        <f>IFERROR(__xludf.DUMMYFUNCTION("""COMPUTED_VALUE"""),89566.0)</f>
        <v>89566</v>
      </c>
      <c r="B5001" s="5">
        <f>IFERROR(__xludf.DUMMYFUNCTION("""COMPUTED_VALUE"""),45024.43585958333)</f>
        <v>45024.43586</v>
      </c>
      <c r="C5001" s="1" t="str">
        <f>IFERROR(__xludf.DUMMYFUNCTION("""COMPUTED_VALUE"""),"MIRANDA CRUZ")</f>
        <v>MIRANDA CRUZ</v>
      </c>
      <c r="D5001" s="1" t="str">
        <f>IFERROR(__xludf.DUMMYFUNCTION("""COMPUTED_VALUE"""),"Lentes de STOCK")</f>
        <v>Lentes de STOCK</v>
      </c>
      <c r="E5001" s="1" t="str">
        <f>IFERROR(__xludf.DUMMYFUNCTION("""COMPUTED_VALUE"""),"RIVADAVIA Daniel CM")</f>
        <v>RIVADAVIA Daniel CM</v>
      </c>
      <c r="F5001" s="1" t="str">
        <f t="shared" si="1"/>
        <v>RIVADAVIA </v>
      </c>
      <c r="G5001" s="1" t="str">
        <f t="shared" si="2"/>
        <v>Daniel CM</v>
      </c>
      <c r="H5001" s="1" t="str">
        <f>IFERROR(__xludf.DUMMYFUNCTION("""COMPUTED_VALUE"""),"12/4/2023, 17:00:00")</f>
        <v>12/4/2023, 17:00:00</v>
      </c>
      <c r="I5001" s="1" t="str">
        <f>IFERROR(__xludf.DUMMYFUNCTION("""COMPUTED_VALUE"""),"Recibido en Laboratorio")</f>
        <v>Recibido en Laboratorio</v>
      </c>
      <c r="J5001" s="1">
        <f t="shared" si="3"/>
        <v>2</v>
      </c>
      <c r="K5001" s="1" t="str">
        <f t="shared" si="4"/>
        <v>Nuestro Laboratorio esta trabajando en tus lentes, los entregaremos en la fecha acordada.</v>
      </c>
    </row>
    <row r="5002">
      <c r="A5002" s="1">
        <f>IFERROR(__xludf.DUMMYFUNCTION("""COMPUTED_VALUE"""),89567.0)</f>
        <v>89567</v>
      </c>
      <c r="B5002" s="5">
        <f>IFERROR(__xludf.DUMMYFUNCTION("""COMPUTED_VALUE"""),45024.43866832176)</f>
        <v>45024.43867</v>
      </c>
      <c r="C5002" s="1" t="str">
        <f>IFERROR(__xludf.DUMMYFUNCTION("""COMPUTED_VALUE"""),"LUCERO EDITH ")</f>
        <v>LUCERO EDITH </v>
      </c>
      <c r="D5002" s="1" t="str">
        <f>IFERROR(__xludf.DUMMYFUNCTION("""COMPUTED_VALUE"""),"Lentes de STOCK")</f>
        <v>Lentes de STOCK</v>
      </c>
      <c r="E5002" s="1" t="str">
        <f>IFERROR(__xludf.DUMMYFUNCTION("""COMPUTED_VALUE"""),"RIVADAVIA Christian C.")</f>
        <v>RIVADAVIA Christian C.</v>
      </c>
      <c r="F5002" s="1" t="str">
        <f t="shared" si="1"/>
        <v>RIVADAVIA </v>
      </c>
      <c r="G5002" s="1" t="str">
        <f t="shared" si="2"/>
        <v>Christian C.</v>
      </c>
      <c r="H5002" s="1" t="str">
        <f>IFERROR(__xludf.DUMMYFUNCTION("""COMPUTED_VALUE"""),"14/4/2023, 17:00:00")</f>
        <v>14/4/2023, 17:00:00</v>
      </c>
      <c r="I5002" s="1" t="str">
        <f>IFERROR(__xludf.DUMMYFUNCTION("""COMPUTED_VALUE"""),"Completado en SUCURSAL")</f>
        <v>Completado en SUCURSAL</v>
      </c>
      <c r="J5002" s="1">
        <f t="shared" si="3"/>
        <v>5</v>
      </c>
      <c r="K5002" s="1" t="str">
        <f t="shared" si="4"/>
        <v>Tus Lentes estan LISTAS PARA ENTREGAR, te esperamos.</v>
      </c>
    </row>
    <row r="5003">
      <c r="A5003" s="1">
        <f>IFERROR(__xludf.DUMMYFUNCTION("""COMPUTED_VALUE"""),89568.0)</f>
        <v>89568</v>
      </c>
      <c r="B5003" s="5">
        <f>IFERROR(__xludf.DUMMYFUNCTION("""COMPUTED_VALUE"""),45024.43896071759)</f>
        <v>45024.43896</v>
      </c>
      <c r="C5003" s="1" t="str">
        <f>IFERROR(__xludf.DUMMYFUNCTION("""COMPUTED_VALUE"""),"LUCERO ANA PATRICIA")</f>
        <v>LUCERO ANA PATRICIA</v>
      </c>
      <c r="D5003" s="1" t="str">
        <f>IFERROR(__xludf.DUMMYFUNCTION("""COMPUTED_VALUE"""),"Lentes de STOCK")</f>
        <v>Lentes de STOCK</v>
      </c>
      <c r="E5003" s="1" t="str">
        <f>IFERROR(__xludf.DUMMYFUNCTION("""COMPUTED_VALUE"""),"RIVADAVIA Daniel CM")</f>
        <v>RIVADAVIA Daniel CM</v>
      </c>
      <c r="F5003" s="1" t="str">
        <f t="shared" si="1"/>
        <v>RIVADAVIA </v>
      </c>
      <c r="G5003" s="1" t="str">
        <f t="shared" si="2"/>
        <v>Daniel CM</v>
      </c>
      <c r="H5003" s="1" t="str">
        <f>IFERROR(__xludf.DUMMYFUNCTION("""COMPUTED_VALUE"""),"12/4/2023, 17:00:00")</f>
        <v>12/4/2023, 17:00:00</v>
      </c>
      <c r="I5003" s="1" t="str">
        <f>IFERROR(__xludf.DUMMYFUNCTION("""COMPUTED_VALUE"""),"Recibido en Laboratorio")</f>
        <v>Recibido en Laboratorio</v>
      </c>
      <c r="J5003" s="1">
        <f t="shared" si="3"/>
        <v>2</v>
      </c>
      <c r="K5003" s="1" t="str">
        <f t="shared" si="4"/>
        <v>Nuestro Laboratorio esta trabajando en tus lentes, los entregaremos en la fecha acordada.</v>
      </c>
    </row>
    <row r="5004">
      <c r="A5004" s="1">
        <f>IFERROR(__xludf.DUMMYFUNCTION("""COMPUTED_VALUE"""),89569.0)</f>
        <v>89569</v>
      </c>
      <c r="B5004" s="5">
        <f>IFERROR(__xludf.DUMMYFUNCTION("""COMPUTED_VALUE"""),45024.44824408565)</f>
        <v>45024.44824</v>
      </c>
      <c r="C5004" s="1" t="str">
        <f>IFERROR(__xludf.DUMMYFUNCTION("""COMPUTED_VALUE"""),"QUIROGA CRUZ")</f>
        <v>QUIROGA CRUZ</v>
      </c>
      <c r="D5004" s="1" t="str">
        <f>IFERROR(__xludf.DUMMYFUNCTION("""COMPUTED_VALUE"""),"Lentes de STOCK")</f>
        <v>Lentes de STOCK</v>
      </c>
      <c r="E5004" s="1" t="str">
        <f>IFERROR(__xludf.DUMMYFUNCTION("""COMPUTED_VALUE"""),"ARTIGAS Ivana P.")</f>
        <v>ARTIGAS Ivana P.</v>
      </c>
      <c r="F5004" s="1" t="str">
        <f t="shared" si="1"/>
        <v>ARTIGAS </v>
      </c>
      <c r="G5004" s="1" t="str">
        <f t="shared" si="2"/>
        <v>Ivana P.</v>
      </c>
      <c r="H5004" s="1" t="str">
        <f>IFERROR(__xludf.DUMMYFUNCTION("""COMPUTED_VALUE"""),"10/4/2023, 17:00:00")</f>
        <v>10/4/2023, 17:00:00</v>
      </c>
      <c r="I5004" s="1" t="str">
        <f>IFERROR(__xludf.DUMMYFUNCTION("""COMPUTED_VALUE"""),"Completado en SUCURSAL")</f>
        <v>Completado en SUCURSAL</v>
      </c>
      <c r="J5004" s="1">
        <f t="shared" si="3"/>
        <v>5</v>
      </c>
      <c r="K5004" s="1" t="str">
        <f t="shared" si="4"/>
        <v>Tus Lentes estan LISTAS PARA ENTREGAR, te esperamos.</v>
      </c>
    </row>
    <row r="5005">
      <c r="A5005" s="1">
        <f>IFERROR(__xludf.DUMMYFUNCTION("""COMPUTED_VALUE"""),89570.0)</f>
        <v>89570</v>
      </c>
      <c r="B5005" s="5">
        <f>IFERROR(__xludf.DUMMYFUNCTION("""COMPUTED_VALUE"""),45024.45452849537)</f>
        <v>45024.45453</v>
      </c>
      <c r="C5005" s="1" t="str">
        <f>IFERROR(__xludf.DUMMYFUNCTION("""COMPUTED_VALUE"""),"BUSTO MARIANO")</f>
        <v>BUSTO MARIANO</v>
      </c>
      <c r="D5005" s="1" t="str">
        <f>IFERROR(__xludf.DUMMYFUNCTION("""COMPUTED_VALUE"""),"Lentes de STOCK")</f>
        <v>Lentes de STOCK</v>
      </c>
      <c r="E5005" s="1" t="str">
        <f>IFERROR(__xludf.DUMMYFUNCTION("""COMPUTED_VALUE"""),"ARTIGAS Ivana P.")</f>
        <v>ARTIGAS Ivana P.</v>
      </c>
      <c r="F5005" s="1" t="str">
        <f t="shared" si="1"/>
        <v>ARTIGAS </v>
      </c>
      <c r="G5005" s="1" t="str">
        <f t="shared" si="2"/>
        <v>Ivana P.</v>
      </c>
      <c r="H5005" s="1" t="str">
        <f>IFERROR(__xludf.DUMMYFUNCTION("""COMPUTED_VALUE"""),"12/4/2023, 17:00:00")</f>
        <v>12/4/2023, 17:00:00</v>
      </c>
      <c r="I5005" s="1" t="str">
        <f>IFERROR(__xludf.DUMMYFUNCTION("""COMPUTED_VALUE"""),"Completado en SUCURSAL")</f>
        <v>Completado en SUCURSAL</v>
      </c>
      <c r="J5005" s="1">
        <f t="shared" si="3"/>
        <v>5</v>
      </c>
      <c r="K5005" s="1" t="str">
        <f t="shared" si="4"/>
        <v>Tus Lentes estan LISTAS PARA ENTREGAR, te esperamos.</v>
      </c>
    </row>
    <row r="5006">
      <c r="A5006" s="1">
        <f>IFERROR(__xludf.DUMMYFUNCTION("""COMPUTED_VALUE"""),89571.0)</f>
        <v>89571</v>
      </c>
      <c r="B5006" s="5">
        <f>IFERROR(__xludf.DUMMYFUNCTION("""COMPUTED_VALUE"""),45024.468643472224)</f>
        <v>45024.46864</v>
      </c>
      <c r="C5006" s="1" t="str">
        <f>IFERROR(__xludf.DUMMYFUNCTION("""COMPUTED_VALUE"""),"ECHEVERRIA MARIELA")</f>
        <v>ECHEVERRIA MARIELA</v>
      </c>
      <c r="D5006" s="1" t="str">
        <f>IFERROR(__xludf.DUMMYFUNCTION("""COMPUTED_VALUE"""),"Reparaciones/Otros")</f>
        <v>Reparaciones/Otros</v>
      </c>
      <c r="E5006" s="1" t="str">
        <f>IFERROR(__xludf.DUMMYFUNCTION("""COMPUTED_VALUE"""),"RIVADAVIA Daniel CM")</f>
        <v>RIVADAVIA Daniel CM</v>
      </c>
      <c r="F5006" s="1" t="str">
        <f t="shared" si="1"/>
        <v>RIVADAVIA </v>
      </c>
      <c r="G5006" s="1" t="str">
        <f t="shared" si="2"/>
        <v>Daniel CM</v>
      </c>
      <c r="H5006" s="1" t="str">
        <f>IFERROR(__xludf.DUMMYFUNCTION("""COMPUTED_VALUE"""),"10/4/2023, 17:00:00")</f>
        <v>10/4/2023, 17:00:00</v>
      </c>
      <c r="I5006" s="1" t="str">
        <f>IFERROR(__xludf.DUMMYFUNCTION("""COMPUTED_VALUE"""),"Completado en SUCURSAL")</f>
        <v>Completado en SUCURSAL</v>
      </c>
      <c r="J5006" s="1">
        <f t="shared" si="3"/>
        <v>5</v>
      </c>
      <c r="K5006" s="1" t="str">
        <f t="shared" si="4"/>
        <v>Tus Lentes estan LISTAS PARA ENTREGAR, te esperamos.</v>
      </c>
    </row>
    <row r="5007">
      <c r="A5007" s="1">
        <f>IFERROR(__xludf.DUMMYFUNCTION("""COMPUTED_VALUE"""),89572.0)</f>
        <v>89572</v>
      </c>
      <c r="B5007" s="5">
        <f>IFERROR(__xludf.DUMMYFUNCTION("""COMPUTED_VALUE"""),45024.488327025465)</f>
        <v>45024.48833</v>
      </c>
      <c r="C5007" s="1" t="str">
        <f>IFERROR(__xludf.DUMMYFUNCTION("""COMPUTED_VALUE"""),"MUÑOZ ALEX")</f>
        <v>MUÑOZ ALEX</v>
      </c>
      <c r="D5007" s="1" t="str">
        <f>IFERROR(__xludf.DUMMYFUNCTION("""COMPUTED_VALUE"""),"Lentes de STOCK")</f>
        <v>Lentes de STOCK</v>
      </c>
      <c r="E5007" s="1" t="str">
        <f>IFERROR(__xludf.DUMMYFUNCTION("""COMPUTED_VALUE"""),"ARTIGAS Ivana P.")</f>
        <v>ARTIGAS Ivana P.</v>
      </c>
      <c r="F5007" s="1" t="str">
        <f t="shared" si="1"/>
        <v>ARTIGAS </v>
      </c>
      <c r="G5007" s="1" t="str">
        <f t="shared" si="2"/>
        <v>Ivana P.</v>
      </c>
      <c r="H5007" s="1" t="str">
        <f>IFERROR(__xludf.DUMMYFUNCTION("""COMPUTED_VALUE"""),"14/4/2023, 17:00:00")</f>
        <v>14/4/2023, 17:00:00</v>
      </c>
      <c r="I5007" s="1" t="str">
        <f>IFERROR(__xludf.DUMMYFUNCTION("""COMPUTED_VALUE"""),"Completado en SUCURSAL")</f>
        <v>Completado en SUCURSAL</v>
      </c>
      <c r="J5007" s="1">
        <f t="shared" si="3"/>
        <v>5</v>
      </c>
      <c r="K5007" s="1" t="str">
        <f t="shared" si="4"/>
        <v>Tus Lentes estan LISTAS PARA ENTREGAR, te esperamos.</v>
      </c>
    </row>
    <row r="5008">
      <c r="A5008" s="1">
        <f>IFERROR(__xludf.DUMMYFUNCTION("""COMPUTED_VALUE"""),89573.0)</f>
        <v>89573</v>
      </c>
      <c r="B5008" s="5">
        <f>IFERROR(__xludf.DUMMYFUNCTION("""COMPUTED_VALUE"""),45024.49254196759)</f>
        <v>45024.49254</v>
      </c>
      <c r="C5008" s="1" t="str">
        <f>IFERROR(__xludf.DUMMYFUNCTION("""COMPUTED_VALUE"""),"MUÑOZ THIAGO")</f>
        <v>MUÑOZ THIAGO</v>
      </c>
      <c r="D5008" s="1" t="str">
        <f>IFERROR(__xludf.DUMMYFUNCTION("""COMPUTED_VALUE"""),"Lentes de STOCK")</f>
        <v>Lentes de STOCK</v>
      </c>
      <c r="E5008" s="1" t="str">
        <f>IFERROR(__xludf.DUMMYFUNCTION("""COMPUTED_VALUE"""),"ARTIGAS Ivana P.")</f>
        <v>ARTIGAS Ivana P.</v>
      </c>
      <c r="F5008" s="1" t="str">
        <f t="shared" si="1"/>
        <v>ARTIGAS </v>
      </c>
      <c r="G5008" s="1" t="str">
        <f t="shared" si="2"/>
        <v>Ivana P.</v>
      </c>
      <c r="H5008" s="1" t="str">
        <f>IFERROR(__xludf.DUMMYFUNCTION("""COMPUTED_VALUE"""),"14/4/2023, 17:00:00")</f>
        <v>14/4/2023, 17:00:00</v>
      </c>
      <c r="I5008" s="1" t="str">
        <f>IFERROR(__xludf.DUMMYFUNCTION("""COMPUTED_VALUE"""),"Completado en SUCURSAL")</f>
        <v>Completado en SUCURSAL</v>
      </c>
      <c r="J5008" s="1">
        <f t="shared" si="3"/>
        <v>5</v>
      </c>
      <c r="K5008" s="1" t="str">
        <f t="shared" si="4"/>
        <v>Tus Lentes estan LISTAS PARA ENTREGAR, te esperamos.</v>
      </c>
    </row>
    <row r="5009">
      <c r="A5009" s="1">
        <f>IFERROR(__xludf.DUMMYFUNCTION("""COMPUTED_VALUE"""),89574.0)</f>
        <v>89574</v>
      </c>
      <c r="B5009" s="5">
        <f>IFERROR(__xludf.DUMMYFUNCTION("""COMPUTED_VALUE"""),45024.494362349535)</f>
        <v>45024.49436</v>
      </c>
      <c r="C5009" s="1" t="str">
        <f>IFERROR(__xludf.DUMMYFUNCTION("""COMPUTED_VALUE"""),"ABDELAHAD MONICA NOEMI")</f>
        <v>ABDELAHAD MONICA NOEMI</v>
      </c>
      <c r="D5009" s="1" t="str">
        <f>IFERROR(__xludf.DUMMYFUNCTION("""COMPUTED_VALUE"""),"Reparaciones/Otros")</f>
        <v>Reparaciones/Otros</v>
      </c>
      <c r="E5009" s="1" t="str">
        <f>IFERROR(__xludf.DUMMYFUNCTION("""COMPUTED_VALUE"""),"RIVADAVIA Christian C.")</f>
        <v>RIVADAVIA Christian C.</v>
      </c>
      <c r="F5009" s="1" t="str">
        <f t="shared" si="1"/>
        <v>RIVADAVIA </v>
      </c>
      <c r="G5009" s="1" t="str">
        <f t="shared" si="2"/>
        <v>Christian C.</v>
      </c>
      <c r="H5009" s="1" t="str">
        <f>IFERROR(__xludf.DUMMYFUNCTION("""COMPUTED_VALUE"""),"11/4/2023, 17:00:00")</f>
        <v>11/4/2023, 17:00:00</v>
      </c>
      <c r="I5009" s="1" t="str">
        <f>IFERROR(__xludf.DUMMYFUNCTION("""COMPUTED_VALUE"""),"Completado en SUCURSAL")</f>
        <v>Completado en SUCURSAL</v>
      </c>
      <c r="J5009" s="1">
        <f t="shared" si="3"/>
        <v>5</v>
      </c>
      <c r="K5009" s="1" t="str">
        <f t="shared" si="4"/>
        <v>Tus Lentes estan LISTAS PARA ENTREGAR, te esperamos.</v>
      </c>
    </row>
    <row r="5010">
      <c r="A5010" s="1">
        <f>IFERROR(__xludf.DUMMYFUNCTION("""COMPUTED_VALUE"""),89575.0)</f>
        <v>89575</v>
      </c>
      <c r="B5010" s="5">
        <f>IFERROR(__xludf.DUMMYFUNCTION("""COMPUTED_VALUE"""),45024.49835274306)</f>
        <v>45024.49835</v>
      </c>
      <c r="C5010" s="1" t="str">
        <f>IFERROR(__xludf.DUMMYFUNCTION("""COMPUTED_VALUE"""),"Castro Santino")</f>
        <v>Castro Santino</v>
      </c>
      <c r="D5010" s="1" t="str">
        <f>IFERROR(__xludf.DUMMYFUNCTION("""COMPUTED_VALUE"""),"Reparaciones/Otros")</f>
        <v>Reparaciones/Otros</v>
      </c>
      <c r="E5010" s="1" t="str">
        <f>IFERROR(__xludf.DUMMYFUNCTION("""COMPUTED_VALUE"""),"RIVADAVIA Christian C.")</f>
        <v>RIVADAVIA Christian C.</v>
      </c>
      <c r="F5010" s="1" t="str">
        <f t="shared" si="1"/>
        <v>RIVADAVIA </v>
      </c>
      <c r="G5010" s="1" t="str">
        <f t="shared" si="2"/>
        <v>Christian C.</v>
      </c>
      <c r="H5010" s="1" t="str">
        <f>IFERROR(__xludf.DUMMYFUNCTION("""COMPUTED_VALUE"""),"11/4/2023, 17:00:00")</f>
        <v>11/4/2023, 17:00:00</v>
      </c>
      <c r="I5010" s="1" t="str">
        <f>IFERROR(__xludf.DUMMYFUNCTION("""COMPUTED_VALUE"""),"Completado en SUCURSAL")</f>
        <v>Completado en SUCURSAL</v>
      </c>
      <c r="J5010" s="1">
        <f t="shared" si="3"/>
        <v>5</v>
      </c>
      <c r="K5010" s="1" t="str">
        <f t="shared" si="4"/>
        <v>Tus Lentes estan LISTAS PARA ENTREGAR, te esperamos.</v>
      </c>
    </row>
    <row r="5011">
      <c r="A5011" s="1">
        <f>IFERROR(__xludf.DUMMYFUNCTION("""COMPUTED_VALUE"""),89576.0)</f>
        <v>89576</v>
      </c>
      <c r="B5011" s="5">
        <f>IFERROR(__xludf.DUMMYFUNCTION("""COMPUTED_VALUE"""),45024.50168306713)</f>
        <v>45024.50168</v>
      </c>
      <c r="C5011" s="1" t="str">
        <f>IFERROR(__xludf.DUMMYFUNCTION("""COMPUTED_VALUE"""),"GONZALEZ MARIA SOLEDAD")</f>
        <v>GONZALEZ MARIA SOLEDAD</v>
      </c>
      <c r="D5011" s="1" t="str">
        <f>IFERROR(__xludf.DUMMYFUNCTION("""COMPUTED_VALUE"""),"Lentes de STOCK")</f>
        <v>Lentes de STOCK</v>
      </c>
      <c r="E5011" s="1" t="str">
        <f>IFERROR(__xludf.DUMMYFUNCTION("""COMPUTED_VALUE"""),"RIVADAVIA Luciana")</f>
        <v>RIVADAVIA Luciana</v>
      </c>
      <c r="F5011" s="1" t="str">
        <f t="shared" si="1"/>
        <v>RIVADAVIA </v>
      </c>
      <c r="G5011" s="1" t="str">
        <f t="shared" si="2"/>
        <v>Luciana</v>
      </c>
      <c r="H5011" s="1" t="str">
        <f>IFERROR(__xludf.DUMMYFUNCTION("""COMPUTED_VALUE"""),"14/4/2023, 17:00:00")</f>
        <v>14/4/2023, 17:00:00</v>
      </c>
      <c r="I5011" s="1"/>
      <c r="J5011" s="1">
        <f t="shared" si="3"/>
        <v>0</v>
      </c>
      <c r="K5011" s="1" t="str">
        <f t="shared" si="4"/>
        <v/>
      </c>
    </row>
    <row r="5012">
      <c r="A5012" s="1">
        <f>IFERROR(__xludf.DUMMYFUNCTION("""COMPUTED_VALUE"""),89577.0)</f>
        <v>89577</v>
      </c>
      <c r="B5012" s="5">
        <f>IFERROR(__xludf.DUMMYFUNCTION("""COMPUTED_VALUE"""),45024.50381712963)</f>
        <v>45024.50382</v>
      </c>
      <c r="C5012" s="1" t="str">
        <f>IFERROR(__xludf.DUMMYFUNCTION("""COMPUTED_VALUE"""),"GONZALEZ MARIA SOLEDAD")</f>
        <v>GONZALEZ MARIA SOLEDAD</v>
      </c>
      <c r="D5012" s="1" t="str">
        <f>IFERROR(__xludf.DUMMYFUNCTION("""COMPUTED_VALUE"""),"Lentes de STOCK")</f>
        <v>Lentes de STOCK</v>
      </c>
      <c r="E5012" s="1" t="str">
        <f>IFERROR(__xludf.DUMMYFUNCTION("""COMPUTED_VALUE"""),"Otro (LUCIANA ARTIGAS)")</f>
        <v>Otro (LUCIANA ARTIGAS)</v>
      </c>
      <c r="F5012" s="1" t="str">
        <f t="shared" si="1"/>
        <v>Otro </v>
      </c>
      <c r="G5012" s="1" t="str">
        <f t="shared" si="2"/>
        <v>(LUCIANA ARTIGAS)</v>
      </c>
      <c r="H5012" s="1" t="str">
        <f>IFERROR(__xludf.DUMMYFUNCTION("""COMPUTED_VALUE"""),"14/4/2023, 17:00:00")</f>
        <v>14/4/2023, 17:00:00</v>
      </c>
      <c r="I5012" s="1" t="str">
        <f>IFERROR(__xludf.DUMMYFUNCTION("""COMPUTED_VALUE"""),"Completado en SUCURSAL")</f>
        <v>Completado en SUCURSAL</v>
      </c>
      <c r="J5012" s="1">
        <f t="shared" si="3"/>
        <v>5</v>
      </c>
      <c r="K5012" s="1" t="str">
        <f t="shared" si="4"/>
        <v>Tus Lentes estan LISTAS PARA ENTREGAR, te esperamos.</v>
      </c>
    </row>
    <row r="5013">
      <c r="A5013" s="1">
        <f>IFERROR(__xludf.DUMMYFUNCTION("""COMPUTED_VALUE"""),89578.0)</f>
        <v>89578</v>
      </c>
      <c r="B5013" s="5">
        <f>IFERROR(__xludf.DUMMYFUNCTION("""COMPUTED_VALUE"""),45024.51168627315)</f>
        <v>45024.51169</v>
      </c>
      <c r="C5013" s="1" t="str">
        <f>IFERROR(__xludf.DUMMYFUNCTION("""COMPUTED_VALUE"""),"FAVIER MARIA GABRIELA")</f>
        <v>FAVIER MARIA GABRIELA</v>
      </c>
      <c r="D5013" s="1" t="str">
        <f>IFERROR(__xludf.DUMMYFUNCTION("""COMPUTED_VALUE"""),"Lentes de STOCK")</f>
        <v>Lentes de STOCK</v>
      </c>
      <c r="E5013" s="1" t="str">
        <f>IFERROR(__xludf.DUMMYFUNCTION("""COMPUTED_VALUE"""),"RIVADAVIA Christian C.")</f>
        <v>RIVADAVIA Christian C.</v>
      </c>
      <c r="F5013" s="1" t="str">
        <f t="shared" si="1"/>
        <v>RIVADAVIA </v>
      </c>
      <c r="G5013" s="1" t="str">
        <f t="shared" si="2"/>
        <v>Christian C.</v>
      </c>
      <c r="H5013" s="1" t="str">
        <f>IFERROR(__xludf.DUMMYFUNCTION("""COMPUTED_VALUE"""),"14/4/2023, 17:00:00")</f>
        <v>14/4/2023, 17:00:00</v>
      </c>
      <c r="I5013" s="1" t="str">
        <f>IFERROR(__xludf.DUMMYFUNCTION("""COMPUTED_VALUE"""),"Completado en SUCURSAL")</f>
        <v>Completado en SUCURSAL</v>
      </c>
      <c r="J5013" s="1">
        <f t="shared" si="3"/>
        <v>5</v>
      </c>
      <c r="K5013" s="1" t="str">
        <f t="shared" si="4"/>
        <v>Tus Lentes estan LISTAS PARA ENTREGAR, te esperamos.</v>
      </c>
    </row>
    <row r="5014">
      <c r="A5014" s="1">
        <f>IFERROR(__xludf.DUMMYFUNCTION("""COMPUTED_VALUE"""),89579.0)</f>
        <v>89579</v>
      </c>
      <c r="B5014" s="5">
        <f>IFERROR(__xludf.DUMMYFUNCTION("""COMPUTED_VALUE"""),45024.51477195602)</f>
        <v>45024.51477</v>
      </c>
      <c r="C5014" s="1" t="str">
        <f>IFERROR(__xludf.DUMMYFUNCTION("""COMPUTED_VALUE"""),"QUIROGA HECTOR")</f>
        <v>QUIROGA HECTOR</v>
      </c>
      <c r="D5014" s="1" t="str">
        <f>IFERROR(__xludf.DUMMYFUNCTION("""COMPUTED_VALUE"""),"Lentes de STOCK")</f>
        <v>Lentes de STOCK</v>
      </c>
      <c r="E5014" s="1" t="str">
        <f>IFERROR(__xludf.DUMMYFUNCTION("""COMPUTED_VALUE"""),"ARTIGAS Ivana P.")</f>
        <v>ARTIGAS Ivana P.</v>
      </c>
      <c r="F5014" s="1" t="str">
        <f t="shared" si="1"/>
        <v>ARTIGAS </v>
      </c>
      <c r="G5014" s="1" t="str">
        <f t="shared" si="2"/>
        <v>Ivana P.</v>
      </c>
      <c r="H5014" s="1" t="str">
        <f>IFERROR(__xludf.DUMMYFUNCTION("""COMPUTED_VALUE"""),"14/4/2023, 17:00:00")</f>
        <v>14/4/2023, 17:00:00</v>
      </c>
      <c r="I5014" s="1" t="str">
        <f>IFERROR(__xludf.DUMMYFUNCTION("""COMPUTED_VALUE"""),"Completado en SUCURSAL")</f>
        <v>Completado en SUCURSAL</v>
      </c>
      <c r="J5014" s="1">
        <f t="shared" si="3"/>
        <v>5</v>
      </c>
      <c r="K5014" s="1" t="str">
        <f t="shared" si="4"/>
        <v>Tus Lentes estan LISTAS PARA ENTREGAR, te esperamos.</v>
      </c>
    </row>
    <row r="5015">
      <c r="A5015" s="1">
        <f>IFERROR(__xludf.DUMMYFUNCTION("""COMPUTED_VALUE"""),89580.0)</f>
        <v>89580</v>
      </c>
      <c r="B5015" s="5">
        <f>IFERROR(__xludf.DUMMYFUNCTION("""COMPUTED_VALUE"""),45024.521421990736)</f>
        <v>45024.52142</v>
      </c>
      <c r="C5015" s="1" t="str">
        <f>IFERROR(__xludf.DUMMYFUNCTION("""COMPUTED_VALUE"""),"BERTOLA MAURICIO")</f>
        <v>BERTOLA MAURICIO</v>
      </c>
      <c r="D5015" s="1" t="str">
        <f>IFERROR(__xludf.DUMMYFUNCTION("""COMPUTED_VALUE"""),"Lentes de STOCK")</f>
        <v>Lentes de STOCK</v>
      </c>
      <c r="E5015" s="1" t="str">
        <f>IFERROR(__xludf.DUMMYFUNCTION("""COMPUTED_VALUE"""),"RIVADAVIA Santiago LOPEZ")</f>
        <v>RIVADAVIA Santiago LOPEZ</v>
      </c>
      <c r="F5015" s="1" t="str">
        <f t="shared" si="1"/>
        <v>RIVADAVIA </v>
      </c>
      <c r="G5015" s="1" t="str">
        <f t="shared" si="2"/>
        <v>Santiago LOPEZ</v>
      </c>
      <c r="H5015" s="1" t="str">
        <f>IFERROR(__xludf.DUMMYFUNCTION("""COMPUTED_VALUE"""),"12/4/2023, 17:00:00")</f>
        <v>12/4/2023, 17:00:00</v>
      </c>
      <c r="I5015" s="1" t="str">
        <f>IFERROR(__xludf.DUMMYFUNCTION("""COMPUTED_VALUE"""),"Completado en SUCURSAL")</f>
        <v>Completado en SUCURSAL</v>
      </c>
      <c r="J5015" s="1">
        <f t="shared" si="3"/>
        <v>5</v>
      </c>
      <c r="K5015" s="1" t="str">
        <f t="shared" si="4"/>
        <v>Tus Lentes estan LISTAS PARA ENTREGAR, te esperamos.</v>
      </c>
    </row>
    <row r="5016">
      <c r="A5016" s="1">
        <f>IFERROR(__xludf.DUMMYFUNCTION("""COMPUTED_VALUE"""),89581.0)</f>
        <v>89581</v>
      </c>
      <c r="B5016" s="5">
        <f>IFERROR(__xludf.DUMMYFUNCTION("""COMPUTED_VALUE"""),45024.52507016204)</f>
        <v>45024.52507</v>
      </c>
      <c r="C5016" s="1" t="str">
        <f>IFERROR(__xludf.DUMMYFUNCTION("""COMPUTED_VALUE"""),"ACHOUR JONATHAN")</f>
        <v>ACHOUR JONATHAN</v>
      </c>
      <c r="D5016" s="1" t="str">
        <f>IFERROR(__xludf.DUMMYFUNCTION("""COMPUTED_VALUE"""),"Lentes de STOCK")</f>
        <v>Lentes de STOCK</v>
      </c>
      <c r="E5016" s="1" t="str">
        <f>IFERROR(__xludf.DUMMYFUNCTION("""COMPUTED_VALUE"""),"ARTIGAS Ivana P.")</f>
        <v>ARTIGAS Ivana P.</v>
      </c>
      <c r="F5016" s="1" t="str">
        <f t="shared" si="1"/>
        <v>ARTIGAS </v>
      </c>
      <c r="G5016" s="1" t="str">
        <f t="shared" si="2"/>
        <v>Ivana P.</v>
      </c>
      <c r="H5016" s="1" t="str">
        <f>IFERROR(__xludf.DUMMYFUNCTION("""COMPUTED_VALUE"""),"14/4/2023, 17:00:00")</f>
        <v>14/4/2023, 17:00:00</v>
      </c>
      <c r="I5016" s="1" t="str">
        <f>IFERROR(__xludf.DUMMYFUNCTION("""COMPUTED_VALUE"""),"Completado en SUCURSAL")</f>
        <v>Completado en SUCURSAL</v>
      </c>
      <c r="J5016" s="1">
        <f t="shared" si="3"/>
        <v>5</v>
      </c>
      <c r="K5016" s="1" t="str">
        <f t="shared" si="4"/>
        <v>Tus Lentes estan LISTAS PARA ENTREGAR, te esperamos.</v>
      </c>
    </row>
    <row r="5017">
      <c r="A5017" s="1">
        <f>IFERROR(__xludf.DUMMYFUNCTION("""COMPUTED_VALUE"""),89582.0)</f>
        <v>89582</v>
      </c>
      <c r="B5017" s="5">
        <f>IFERROR(__xludf.DUMMYFUNCTION("""COMPUTED_VALUE"""),45024.527024490744)</f>
        <v>45024.52702</v>
      </c>
      <c r="C5017" s="1" t="str">
        <f>IFERROR(__xludf.DUMMYFUNCTION("""COMPUTED_VALUE"""),"CURAY CRIOLLO MARIA DEL PILAR")</f>
        <v>CURAY CRIOLLO MARIA DEL PILAR</v>
      </c>
      <c r="D5017" s="1" t="str">
        <f>IFERROR(__xludf.DUMMYFUNCTION("""COMPUTED_VALUE"""),"Lentes BIFOCALES")</f>
        <v>Lentes BIFOCALES</v>
      </c>
      <c r="E5017" s="1" t="str">
        <f>IFERROR(__xludf.DUMMYFUNCTION("""COMPUTED_VALUE"""),"RIVADAVIA Javier")</f>
        <v>RIVADAVIA Javier</v>
      </c>
      <c r="F5017" s="1" t="str">
        <f t="shared" si="1"/>
        <v>RIVADAVIA </v>
      </c>
      <c r="G5017" s="1" t="str">
        <f t="shared" si="2"/>
        <v>Javier</v>
      </c>
      <c r="H5017" s="1" t="str">
        <f>IFERROR(__xludf.DUMMYFUNCTION("""COMPUTED_VALUE"""),"14/4/2023, 17:00:00")</f>
        <v>14/4/2023, 17:00:00</v>
      </c>
      <c r="I5017" s="1" t="str">
        <f>IFERROR(__xludf.DUMMYFUNCTION("""COMPUTED_VALUE"""),"Completado en SUCURSAL")</f>
        <v>Completado en SUCURSAL</v>
      </c>
      <c r="J5017" s="1">
        <f t="shared" si="3"/>
        <v>5</v>
      </c>
      <c r="K5017" s="1" t="str">
        <f t="shared" si="4"/>
        <v>Tus Lentes estan LISTAS PARA ENTREGAR, te esperamos.</v>
      </c>
    </row>
    <row r="5018">
      <c r="A5018" s="1">
        <f>IFERROR(__xludf.DUMMYFUNCTION("""COMPUTED_VALUE"""),89583.0)</f>
        <v>89583</v>
      </c>
      <c r="B5018" s="5">
        <f>IFERROR(__xludf.DUMMYFUNCTION("""COMPUTED_VALUE"""),45024.536593680554)</f>
        <v>45024.53659</v>
      </c>
      <c r="C5018" s="1" t="str">
        <f>IFERROR(__xludf.DUMMYFUNCTION("""COMPUTED_VALUE"""),"LUNA CURAY MARIA TOMASA")</f>
        <v>LUNA CURAY MARIA TOMASA</v>
      </c>
      <c r="D5018" s="1" t="str">
        <f>IFERROR(__xludf.DUMMYFUNCTION("""COMPUTED_VALUE"""),"Lentes de STOCK")</f>
        <v>Lentes de STOCK</v>
      </c>
      <c r="E5018" s="1" t="str">
        <f>IFERROR(__xludf.DUMMYFUNCTION("""COMPUTED_VALUE"""),"RIVADAVIA Javier")</f>
        <v>RIVADAVIA Javier</v>
      </c>
      <c r="F5018" s="1" t="str">
        <f t="shared" si="1"/>
        <v>RIVADAVIA </v>
      </c>
      <c r="G5018" s="1" t="str">
        <f t="shared" si="2"/>
        <v>Javier</v>
      </c>
      <c r="H5018" s="1" t="str">
        <f>IFERROR(__xludf.DUMMYFUNCTION("""COMPUTED_VALUE"""),"14/4/2023, 17:00:00")</f>
        <v>14/4/2023, 17:00:00</v>
      </c>
      <c r="I5018" s="1" t="str">
        <f>IFERROR(__xludf.DUMMYFUNCTION("""COMPUTED_VALUE"""),"Completado en SUCURSAL")</f>
        <v>Completado en SUCURSAL</v>
      </c>
      <c r="J5018" s="1">
        <f t="shared" si="3"/>
        <v>5</v>
      </c>
      <c r="K5018" s="1" t="str">
        <f t="shared" si="4"/>
        <v>Tus Lentes estan LISTAS PARA ENTREGAR, te esperamos.</v>
      </c>
    </row>
    <row r="5019">
      <c r="A5019" s="1">
        <f>IFERROR(__xludf.DUMMYFUNCTION("""COMPUTED_VALUE"""),89584.0)</f>
        <v>89584</v>
      </c>
      <c r="B5019" s="5">
        <f>IFERROR(__xludf.DUMMYFUNCTION("""COMPUTED_VALUE"""),45024.53862935185)</f>
        <v>45024.53863</v>
      </c>
      <c r="C5019" s="1" t="str">
        <f>IFERROR(__xludf.DUMMYFUNCTION("""COMPUTED_VALUE"""),"ALCARAZ CARLOS")</f>
        <v>ALCARAZ CARLOS</v>
      </c>
      <c r="D5019" s="1" t="str">
        <f>IFERROR(__xludf.DUMMYFUNCTION("""COMPUTED_VALUE"""),"Lentes de STOCK")</f>
        <v>Lentes de STOCK</v>
      </c>
      <c r="E5019" s="1" t="str">
        <f>IFERROR(__xludf.DUMMYFUNCTION("""COMPUTED_VALUE"""),"ARTIGAS Ivana P.")</f>
        <v>ARTIGAS Ivana P.</v>
      </c>
      <c r="F5019" s="1" t="str">
        <f t="shared" si="1"/>
        <v>ARTIGAS </v>
      </c>
      <c r="G5019" s="1" t="str">
        <f t="shared" si="2"/>
        <v>Ivana P.</v>
      </c>
      <c r="H5019" s="1" t="str">
        <f>IFERROR(__xludf.DUMMYFUNCTION("""COMPUTED_VALUE"""),"14/4/2023, 17:00:00")</f>
        <v>14/4/2023, 17:00:00</v>
      </c>
      <c r="I5019" s="1"/>
      <c r="J5019" s="1">
        <f t="shared" si="3"/>
        <v>0</v>
      </c>
      <c r="K5019" s="1" t="str">
        <f t="shared" si="4"/>
        <v/>
      </c>
    </row>
    <row r="5020">
      <c r="A5020" s="1">
        <f>IFERROR(__xludf.DUMMYFUNCTION("""COMPUTED_VALUE"""),89585.0)</f>
        <v>89585</v>
      </c>
      <c r="B5020" s="5">
        <f>IFERROR(__xludf.DUMMYFUNCTION("""COMPUTED_VALUE"""),45024.54414802083)</f>
        <v>45024.54415</v>
      </c>
      <c r="C5020" s="1" t="str">
        <f>IFERROR(__xludf.DUMMYFUNCTION("""COMPUTED_VALUE"""),"CIRIO FACUNDO ")</f>
        <v>CIRIO FACUNDO </v>
      </c>
      <c r="D5020" s="1" t="str">
        <f>IFERROR(__xludf.DUMMYFUNCTION("""COMPUTED_VALUE"""),"Lentes de STOCK")</f>
        <v>Lentes de STOCK</v>
      </c>
      <c r="E5020" s="1" t="str">
        <f>IFERROR(__xludf.DUMMYFUNCTION("""COMPUTED_VALUE"""),"RIVADAVIA Christian C.")</f>
        <v>RIVADAVIA Christian C.</v>
      </c>
      <c r="F5020" s="1" t="str">
        <f t="shared" si="1"/>
        <v>RIVADAVIA </v>
      </c>
      <c r="G5020" s="1" t="str">
        <f t="shared" si="2"/>
        <v>Christian C.</v>
      </c>
      <c r="H5020" s="1" t="str">
        <f>IFERROR(__xludf.DUMMYFUNCTION("""COMPUTED_VALUE"""),"12/4/2023, 17:00:00")</f>
        <v>12/4/2023, 17:00:00</v>
      </c>
      <c r="I5020" s="1" t="str">
        <f>IFERROR(__xludf.DUMMYFUNCTION("""COMPUTED_VALUE"""),"Completado en SUCURSAL")</f>
        <v>Completado en SUCURSAL</v>
      </c>
      <c r="J5020" s="1">
        <f t="shared" si="3"/>
        <v>5</v>
      </c>
      <c r="K5020" s="1" t="str">
        <f t="shared" si="4"/>
        <v>Tus Lentes estan LISTAS PARA ENTREGAR, te esperamos.</v>
      </c>
    </row>
    <row r="5021">
      <c r="A5021" s="1">
        <f>IFERROR(__xludf.DUMMYFUNCTION("""COMPUTED_VALUE"""),89586.0)</f>
        <v>89586</v>
      </c>
      <c r="B5021" s="5">
        <f>IFERROR(__xludf.DUMMYFUNCTION("""COMPUTED_VALUE"""),45026.383591053236)</f>
        <v>45026.38359</v>
      </c>
      <c r="C5021" s="1" t="str">
        <f>IFERROR(__xludf.DUMMYFUNCTION("""COMPUTED_VALUE"""),"GARCIA ANTONIO")</f>
        <v>GARCIA ANTONIO</v>
      </c>
      <c r="D5021" s="1" t="str">
        <f>IFERROR(__xludf.DUMMYFUNCTION("""COMPUTED_VALUE"""),"Lentes de STOCK")</f>
        <v>Lentes de STOCK</v>
      </c>
      <c r="E5021" s="1" t="str">
        <f>IFERROR(__xludf.DUMMYFUNCTION("""COMPUTED_VALUE"""),"Otro (LUCIANA ARTIGAS)")</f>
        <v>Otro (LUCIANA ARTIGAS)</v>
      </c>
      <c r="F5021" s="1" t="str">
        <f t="shared" si="1"/>
        <v>Otro </v>
      </c>
      <c r="G5021" s="1" t="str">
        <f t="shared" si="2"/>
        <v>(LUCIANA ARTIGAS)</v>
      </c>
      <c r="H5021" s="1" t="str">
        <f>IFERROR(__xludf.DUMMYFUNCTION("""COMPUTED_VALUE"""),"14/4/2023, 17:00:00")</f>
        <v>14/4/2023, 17:00:00</v>
      </c>
      <c r="I5021" s="1" t="str">
        <f>IFERROR(__xludf.DUMMYFUNCTION("""COMPUTED_VALUE"""),"Completado en SUCURSAL")</f>
        <v>Completado en SUCURSAL</v>
      </c>
      <c r="J5021" s="1">
        <f t="shared" si="3"/>
        <v>5</v>
      </c>
      <c r="K5021" s="1" t="str">
        <f t="shared" si="4"/>
        <v>Tus Lentes estan LISTAS PARA ENTREGAR, te esperamos.</v>
      </c>
    </row>
    <row r="5022">
      <c r="A5022" s="1">
        <f>IFERROR(__xludf.DUMMYFUNCTION("""COMPUTED_VALUE"""),89587.0)</f>
        <v>89587</v>
      </c>
      <c r="B5022" s="5">
        <f>IFERROR(__xludf.DUMMYFUNCTION("""COMPUTED_VALUE"""),45026.38373771991)</f>
        <v>45026.38374</v>
      </c>
      <c r="C5022" s="1" t="str">
        <f>IFERROR(__xludf.DUMMYFUNCTION("""COMPUTED_VALUE"""),"FLORES MARIANO ABELINO")</f>
        <v>FLORES MARIANO ABELINO</v>
      </c>
      <c r="D5022" s="1" t="str">
        <f>IFERROR(__xludf.DUMMYFUNCTION("""COMPUTED_VALUE"""),"Lentes de STOCK")</f>
        <v>Lentes de STOCK</v>
      </c>
      <c r="E5022" s="1" t="str">
        <f>IFERROR(__xludf.DUMMYFUNCTION("""COMPUTED_VALUE"""),"RIVADAVIA Marcela L")</f>
        <v>RIVADAVIA Marcela L</v>
      </c>
      <c r="F5022" s="1" t="str">
        <f t="shared" si="1"/>
        <v>RIVADAVIA </v>
      </c>
      <c r="G5022" s="1" t="str">
        <f t="shared" si="2"/>
        <v>Marcela L</v>
      </c>
      <c r="H5022" s="1" t="str">
        <f>IFERROR(__xludf.DUMMYFUNCTION("""COMPUTED_VALUE"""),"12/4/2023, 17:00:00")</f>
        <v>12/4/2023, 17:00:00</v>
      </c>
      <c r="I5022" s="1" t="str">
        <f>IFERROR(__xludf.DUMMYFUNCTION("""COMPUTED_VALUE"""),"Completado en SUCURSAL")</f>
        <v>Completado en SUCURSAL</v>
      </c>
      <c r="J5022" s="1">
        <f t="shared" si="3"/>
        <v>5</v>
      </c>
      <c r="K5022" s="1" t="str">
        <f t="shared" si="4"/>
        <v>Tus Lentes estan LISTAS PARA ENTREGAR, te esperamos.</v>
      </c>
    </row>
    <row r="5023">
      <c r="A5023" s="1">
        <f>IFERROR(__xludf.DUMMYFUNCTION("""COMPUTED_VALUE"""),89588.0)</f>
        <v>89588</v>
      </c>
      <c r="B5023" s="5">
        <f>IFERROR(__xludf.DUMMYFUNCTION("""COMPUTED_VALUE"""),45026.39121386574)</f>
        <v>45026.39121</v>
      </c>
      <c r="C5023" s="1" t="str">
        <f>IFERROR(__xludf.DUMMYFUNCTION("""COMPUTED_VALUE"""),"Aguilera  Vicente")</f>
        <v>Aguilera  Vicente</v>
      </c>
      <c r="D5023" s="1" t="str">
        <f>IFERROR(__xludf.DUMMYFUNCTION("""COMPUTED_VALUE"""),"Reparaciones/Otros")</f>
        <v>Reparaciones/Otros</v>
      </c>
      <c r="E5023" s="1" t="str">
        <f>IFERROR(__xludf.DUMMYFUNCTION("""COMPUTED_VALUE"""),"ARTIGAS Sandra G")</f>
        <v>ARTIGAS Sandra G</v>
      </c>
      <c r="F5023" s="1" t="str">
        <f t="shared" si="1"/>
        <v>ARTIGAS </v>
      </c>
      <c r="G5023" s="1" t="str">
        <f t="shared" si="2"/>
        <v>Sandra G</v>
      </c>
      <c r="H5023" s="1" t="str">
        <f>IFERROR(__xludf.DUMMYFUNCTION("""COMPUTED_VALUE"""),"11/4/2023, 17:00:00")</f>
        <v>11/4/2023, 17:00:00</v>
      </c>
      <c r="I5023" s="1"/>
      <c r="J5023" s="1">
        <f t="shared" si="3"/>
        <v>0</v>
      </c>
      <c r="K5023" s="1" t="str">
        <f t="shared" si="4"/>
        <v/>
      </c>
    </row>
    <row r="5024">
      <c r="A5024" s="1">
        <f>IFERROR(__xludf.DUMMYFUNCTION("""COMPUTED_VALUE"""),89589.0)</f>
        <v>89589</v>
      </c>
      <c r="B5024" s="5">
        <f>IFERROR(__xludf.DUMMYFUNCTION("""COMPUTED_VALUE"""),45026.39481675926)</f>
        <v>45026.39482</v>
      </c>
      <c r="C5024" s="1" t="str">
        <f>IFERROR(__xludf.DUMMYFUNCTION("""COMPUTED_VALUE"""),"AGUERO WALTER ROBERTO")</f>
        <v>AGUERO WALTER ROBERTO</v>
      </c>
      <c r="D5024" s="1" t="str">
        <f>IFERROR(__xludf.DUMMYFUNCTION("""COMPUTED_VALUE"""),"Lentes de STOCK")</f>
        <v>Lentes de STOCK</v>
      </c>
      <c r="E5024" s="1" t="str">
        <f>IFERROR(__xludf.DUMMYFUNCTION("""COMPUTED_VALUE"""),"RIVADAVIA Christian C.")</f>
        <v>RIVADAVIA Christian C.</v>
      </c>
      <c r="F5024" s="1" t="str">
        <f t="shared" si="1"/>
        <v>RIVADAVIA </v>
      </c>
      <c r="G5024" s="1" t="str">
        <f t="shared" si="2"/>
        <v>Christian C.</v>
      </c>
      <c r="H5024" s="1" t="str">
        <f>IFERROR(__xludf.DUMMYFUNCTION("""COMPUTED_VALUE"""),"17/4/2023, 17:00:00")</f>
        <v>17/4/2023, 17:00:00</v>
      </c>
      <c r="I5024" s="1" t="str">
        <f>IFERROR(__xludf.DUMMYFUNCTION("""COMPUTED_VALUE"""),"Completado en SUCURSAL")</f>
        <v>Completado en SUCURSAL</v>
      </c>
      <c r="J5024" s="1">
        <f t="shared" si="3"/>
        <v>5</v>
      </c>
      <c r="K5024" s="1" t="str">
        <f t="shared" si="4"/>
        <v>Tus Lentes estan LISTAS PARA ENTREGAR, te esperamos.</v>
      </c>
    </row>
    <row r="5025">
      <c r="A5025" s="1">
        <f>IFERROR(__xludf.DUMMYFUNCTION("""COMPUTED_VALUE"""),89590.0)</f>
        <v>89590</v>
      </c>
      <c r="B5025" s="5">
        <f>IFERROR(__xludf.DUMMYFUNCTION("""COMPUTED_VALUE"""),45026.402815775466)</f>
        <v>45026.40282</v>
      </c>
      <c r="C5025" s="1" t="str">
        <f>IFERROR(__xludf.DUMMYFUNCTION("""COMPUTED_VALUE"""),"BIONDI AGUSTINA")</f>
        <v>BIONDI AGUSTINA</v>
      </c>
      <c r="D5025" s="1" t="str">
        <f>IFERROR(__xludf.DUMMYFUNCTION("""COMPUTED_VALUE"""),"Lentes de STOCK")</f>
        <v>Lentes de STOCK</v>
      </c>
      <c r="E5025" s="1" t="str">
        <f>IFERROR(__xludf.DUMMYFUNCTION("""COMPUTED_VALUE"""),"RIVADAVIA Christian C.")</f>
        <v>RIVADAVIA Christian C.</v>
      </c>
      <c r="F5025" s="1" t="str">
        <f t="shared" si="1"/>
        <v>RIVADAVIA </v>
      </c>
      <c r="G5025" s="1" t="str">
        <f t="shared" si="2"/>
        <v>Christian C.</v>
      </c>
      <c r="H5025" s="1" t="str">
        <f>IFERROR(__xludf.DUMMYFUNCTION("""COMPUTED_VALUE"""),"18/4/2023, 17:00:00")</f>
        <v>18/4/2023, 17:00:00</v>
      </c>
      <c r="I5025" s="1" t="str">
        <f>IFERROR(__xludf.DUMMYFUNCTION("""COMPUTED_VALUE"""),"Completado en SUCURSAL")</f>
        <v>Completado en SUCURSAL</v>
      </c>
      <c r="J5025" s="1">
        <f t="shared" si="3"/>
        <v>5</v>
      </c>
      <c r="K5025" s="1" t="str">
        <f t="shared" si="4"/>
        <v>Tus Lentes estan LISTAS PARA ENTREGAR, te esperamos.</v>
      </c>
    </row>
    <row r="5026">
      <c r="A5026" s="1">
        <f>IFERROR(__xludf.DUMMYFUNCTION("""COMPUTED_VALUE"""),89591.0)</f>
        <v>89591</v>
      </c>
      <c r="B5026" s="5">
        <f>IFERROR(__xludf.DUMMYFUNCTION("""COMPUTED_VALUE"""),45026.403596018514)</f>
        <v>45026.4036</v>
      </c>
      <c r="C5026" s="1" t="str">
        <f>IFERROR(__xludf.DUMMYFUNCTION("""COMPUTED_VALUE"""),"NUÑEZ ARIEL")</f>
        <v>NUÑEZ ARIEL</v>
      </c>
      <c r="D5026" s="1" t="str">
        <f>IFERROR(__xludf.DUMMYFUNCTION("""COMPUTED_VALUE"""),"Reparaciones/Otros")</f>
        <v>Reparaciones/Otros</v>
      </c>
      <c r="E5026" s="1" t="str">
        <f>IFERROR(__xludf.DUMMYFUNCTION("""COMPUTED_VALUE"""),"ARTIGAS Ivana P.")</f>
        <v>ARTIGAS Ivana P.</v>
      </c>
      <c r="F5026" s="1" t="str">
        <f t="shared" si="1"/>
        <v>ARTIGAS </v>
      </c>
      <c r="G5026" s="1" t="str">
        <f t="shared" si="2"/>
        <v>Ivana P.</v>
      </c>
      <c r="H5026" s="1" t="str">
        <f>IFERROR(__xludf.DUMMYFUNCTION("""COMPUTED_VALUE"""),"11/4/2023, 17:00:00")</f>
        <v>11/4/2023, 17:00:00</v>
      </c>
      <c r="I5026" s="1" t="str">
        <f>IFERROR(__xludf.DUMMYFUNCTION("""COMPUTED_VALUE"""),"Completado en SUCURSAL")</f>
        <v>Completado en SUCURSAL</v>
      </c>
      <c r="J5026" s="1">
        <f t="shared" si="3"/>
        <v>5</v>
      </c>
      <c r="K5026" s="1" t="str">
        <f t="shared" si="4"/>
        <v>Tus Lentes estan LISTAS PARA ENTREGAR, te esperamos.</v>
      </c>
    </row>
    <row r="5027">
      <c r="A5027" s="1">
        <f>IFERROR(__xludf.DUMMYFUNCTION("""COMPUTED_VALUE"""),89592.0)</f>
        <v>89592</v>
      </c>
      <c r="B5027" s="5">
        <f>IFERROR(__xludf.DUMMYFUNCTION("""COMPUTED_VALUE"""),45026.40770207176)</f>
        <v>45026.4077</v>
      </c>
      <c r="C5027" s="1" t="str">
        <f>IFERROR(__xludf.DUMMYFUNCTION("""COMPUTED_VALUE"""),"MIRANDA ZULMA ")</f>
        <v>MIRANDA ZULMA </v>
      </c>
      <c r="D5027" s="1" t="str">
        <f>IFERROR(__xludf.DUMMYFUNCTION("""COMPUTED_VALUE"""),"Lentes de STOCK")</f>
        <v>Lentes de STOCK</v>
      </c>
      <c r="E5027" s="1" t="str">
        <f>IFERROR(__xludf.DUMMYFUNCTION("""COMPUTED_VALUE"""),"Otro (LUCIANA ARTIGAS)")</f>
        <v>Otro (LUCIANA ARTIGAS)</v>
      </c>
      <c r="F5027" s="1" t="str">
        <f t="shared" si="1"/>
        <v>Otro </v>
      </c>
      <c r="G5027" s="1" t="str">
        <f t="shared" si="2"/>
        <v>(LUCIANA ARTIGAS)</v>
      </c>
      <c r="H5027" s="1" t="str">
        <f>IFERROR(__xludf.DUMMYFUNCTION("""COMPUTED_VALUE"""),"14/4/2023, 17:00:00")</f>
        <v>14/4/2023, 17:00:00</v>
      </c>
      <c r="I5027" s="1" t="str">
        <f>IFERROR(__xludf.DUMMYFUNCTION("""COMPUTED_VALUE"""),"Completado en SUCURSAL")</f>
        <v>Completado en SUCURSAL</v>
      </c>
      <c r="J5027" s="1">
        <f t="shared" si="3"/>
        <v>5</v>
      </c>
      <c r="K5027" s="1" t="str">
        <f t="shared" si="4"/>
        <v>Tus Lentes estan LISTAS PARA ENTREGAR, te esperamos.</v>
      </c>
    </row>
    <row r="5028">
      <c r="A5028" s="1">
        <f>IFERROR(__xludf.DUMMYFUNCTION("""COMPUTED_VALUE"""),89593.0)</f>
        <v>89593</v>
      </c>
      <c r="B5028" s="5">
        <f>IFERROR(__xludf.DUMMYFUNCTION("""COMPUTED_VALUE"""),45026.413897245366)</f>
        <v>45026.4139</v>
      </c>
      <c r="C5028" s="1" t="str">
        <f>IFERROR(__xludf.DUMMYFUNCTION("""COMPUTED_VALUE"""),"CORREA SILVINA VALERIA (PROGRAMA DEL INTERIOR GOB)")</f>
        <v>CORREA SILVINA VALERIA (PROGRAMA DEL INTERIOR GOB)</v>
      </c>
      <c r="D5028" s="1" t="str">
        <f>IFERROR(__xludf.DUMMYFUNCTION("""COMPUTED_VALUE"""),"Lentes de STOCK")</f>
        <v>Lentes de STOCK</v>
      </c>
      <c r="E5028" s="1" t="str">
        <f>IFERROR(__xludf.DUMMYFUNCTION("""COMPUTED_VALUE"""),"Online ADMIN.")</f>
        <v>Online ADMIN.</v>
      </c>
      <c r="F5028" s="1" t="str">
        <f t="shared" si="1"/>
        <v>Online </v>
      </c>
      <c r="G5028" s="1" t="str">
        <f t="shared" si="2"/>
        <v>ADMIN.</v>
      </c>
      <c r="H5028" s="1" t="str">
        <f>IFERROR(__xludf.DUMMYFUNCTION("""COMPUTED_VALUE"""),"12/4/2023, 17:00:00")</f>
        <v>12/4/2023, 17:00:00</v>
      </c>
      <c r="I5028" s="1" t="str">
        <f>IFERROR(__xludf.DUMMYFUNCTION("""COMPUTED_VALUE"""),"Recibido en Laboratorio")</f>
        <v>Recibido en Laboratorio</v>
      </c>
      <c r="J5028" s="1">
        <f t="shared" si="3"/>
        <v>2</v>
      </c>
      <c r="K5028" s="1" t="str">
        <f t="shared" si="4"/>
        <v>Nuestro Laboratorio esta trabajando en tus lentes, los entregaremos en la fecha acordada.</v>
      </c>
    </row>
    <row r="5029">
      <c r="A5029" s="1">
        <f>IFERROR(__xludf.DUMMYFUNCTION("""COMPUTED_VALUE"""),89594.0)</f>
        <v>89594</v>
      </c>
      <c r="B5029" s="5">
        <f>IFERROR(__xludf.DUMMYFUNCTION("""COMPUTED_VALUE"""),45026.41503380787)</f>
        <v>45026.41503</v>
      </c>
      <c r="C5029" s="1" t="str">
        <f>IFERROR(__xludf.DUMMYFUNCTION("""COMPUTED_VALUE"""),"martinez chavez iair")</f>
        <v>martinez chavez iair</v>
      </c>
      <c r="D5029" s="1" t="str">
        <f>IFERROR(__xludf.DUMMYFUNCTION("""COMPUTED_VALUE"""),"Lentes de STOCK")</f>
        <v>Lentes de STOCK</v>
      </c>
      <c r="E5029" s="1" t="str">
        <f>IFERROR(__xludf.DUMMYFUNCTION("""COMPUTED_VALUE"""),"RIVADAVIA Santiago N")</f>
        <v>RIVADAVIA Santiago N</v>
      </c>
      <c r="F5029" s="1" t="str">
        <f t="shared" si="1"/>
        <v>RIVADAVIA </v>
      </c>
      <c r="G5029" s="1" t="str">
        <f t="shared" si="2"/>
        <v>Santiago N</v>
      </c>
      <c r="H5029" s="1" t="str">
        <f>IFERROR(__xludf.DUMMYFUNCTION("""COMPUTED_VALUE"""),"15/4/2023, 17:00:00")</f>
        <v>15/4/2023, 17:00:00</v>
      </c>
      <c r="I5029" s="1" t="str">
        <f>IFERROR(__xludf.DUMMYFUNCTION("""COMPUTED_VALUE"""),"Completado en SUCURSAL")</f>
        <v>Completado en SUCURSAL</v>
      </c>
      <c r="J5029" s="1">
        <f t="shared" si="3"/>
        <v>5</v>
      </c>
      <c r="K5029" s="1" t="str">
        <f t="shared" si="4"/>
        <v>Tus Lentes estan LISTAS PARA ENTREGAR, te esperamos.</v>
      </c>
    </row>
    <row r="5030">
      <c r="A5030" s="1">
        <f>IFERROR(__xludf.DUMMYFUNCTION("""COMPUTED_VALUE"""),89595.0)</f>
        <v>89595</v>
      </c>
      <c r="B5030" s="5">
        <f>IFERROR(__xludf.DUMMYFUNCTION("""COMPUTED_VALUE"""),45026.434874513885)</f>
        <v>45026.43487</v>
      </c>
      <c r="C5030" s="1" t="str">
        <f>IFERROR(__xludf.DUMMYFUNCTION("""COMPUTED_VALUE"""),"SAJURJO ENRIQUE")</f>
        <v>SAJURJO ENRIQUE</v>
      </c>
      <c r="D5030" s="1" t="str">
        <f>IFERROR(__xludf.DUMMYFUNCTION("""COMPUTED_VALUE"""),"Lentes de STOCK")</f>
        <v>Lentes de STOCK</v>
      </c>
      <c r="E5030" s="1" t="str">
        <f>IFERROR(__xludf.DUMMYFUNCTION("""COMPUTED_VALUE"""),"ARTIGAS Ivana P.")</f>
        <v>ARTIGAS Ivana P.</v>
      </c>
      <c r="F5030" s="1" t="str">
        <f t="shared" si="1"/>
        <v>ARTIGAS </v>
      </c>
      <c r="G5030" s="1" t="str">
        <f t="shared" si="2"/>
        <v>Ivana P.</v>
      </c>
      <c r="H5030" s="1" t="str">
        <f>IFERROR(__xludf.DUMMYFUNCTION("""COMPUTED_VALUE"""),"17/4/2023, 17:00:00")</f>
        <v>17/4/2023, 17:00:00</v>
      </c>
      <c r="I5030" s="1" t="str">
        <f>IFERROR(__xludf.DUMMYFUNCTION("""COMPUTED_VALUE"""),"Completado en SUCURSAL")</f>
        <v>Completado en SUCURSAL</v>
      </c>
      <c r="J5030" s="1">
        <f t="shared" si="3"/>
        <v>5</v>
      </c>
      <c r="K5030" s="1" t="str">
        <f t="shared" si="4"/>
        <v>Tus Lentes estan LISTAS PARA ENTREGAR, te esperamos.</v>
      </c>
    </row>
    <row r="5031">
      <c r="A5031" s="1">
        <f>IFERROR(__xludf.DUMMYFUNCTION("""COMPUTED_VALUE"""),89596.0)</f>
        <v>89596</v>
      </c>
      <c r="B5031" s="5">
        <f>IFERROR(__xludf.DUMMYFUNCTION("""COMPUTED_VALUE"""),45026.435962222225)</f>
        <v>45026.43596</v>
      </c>
      <c r="C5031" s="1" t="str">
        <f>IFERROR(__xludf.DUMMYFUNCTION("""COMPUTED_VALUE"""),"lucero maria jose")</f>
        <v>lucero maria jose</v>
      </c>
      <c r="D5031" s="1" t="str">
        <f>IFERROR(__xludf.DUMMYFUNCTION("""COMPUTED_VALUE"""),"Reparaciones/Otros")</f>
        <v>Reparaciones/Otros</v>
      </c>
      <c r="E5031" s="1" t="str">
        <f>IFERROR(__xludf.DUMMYFUNCTION("""COMPUTED_VALUE"""),"RIVADAVIA Santiago LOPEZ")</f>
        <v>RIVADAVIA Santiago LOPEZ</v>
      </c>
      <c r="F5031" s="1" t="str">
        <f t="shared" si="1"/>
        <v>RIVADAVIA </v>
      </c>
      <c r="G5031" s="1" t="str">
        <f t="shared" si="2"/>
        <v>Santiago LOPEZ</v>
      </c>
      <c r="H5031" s="1" t="str">
        <f>IFERROR(__xludf.DUMMYFUNCTION("""COMPUTED_VALUE"""),"11/4/2023, 17:00:00")</f>
        <v>11/4/2023, 17:00:00</v>
      </c>
      <c r="I5031" s="1" t="str">
        <f>IFERROR(__xludf.DUMMYFUNCTION("""COMPUTED_VALUE"""),"Completado en SUCURSAL")</f>
        <v>Completado en SUCURSAL</v>
      </c>
      <c r="J5031" s="1">
        <f t="shared" si="3"/>
        <v>5</v>
      </c>
      <c r="K5031" s="1" t="str">
        <f t="shared" si="4"/>
        <v>Tus Lentes estan LISTAS PARA ENTREGAR, te esperamos.</v>
      </c>
    </row>
    <row r="5032">
      <c r="A5032" s="1">
        <f>IFERROR(__xludf.DUMMYFUNCTION("""COMPUTED_VALUE"""),89597.0)</f>
        <v>89597</v>
      </c>
      <c r="B5032" s="5">
        <f>IFERROR(__xludf.DUMMYFUNCTION("""COMPUTED_VALUE"""),45026.44280453704)</f>
        <v>45026.4428</v>
      </c>
      <c r="C5032" s="1" t="str">
        <f>IFERROR(__xludf.DUMMYFUNCTION("""COMPUTED_VALUE"""),"FUNEZ CLAUDIA")</f>
        <v>FUNEZ CLAUDIA</v>
      </c>
      <c r="D5032" s="1" t="str">
        <f>IFERROR(__xludf.DUMMYFUNCTION("""COMPUTED_VALUE"""),"Lentes de STOCK")</f>
        <v>Lentes de STOCK</v>
      </c>
      <c r="E5032" s="1" t="str">
        <f>IFERROR(__xludf.DUMMYFUNCTION("""COMPUTED_VALUE"""),"RIVADAVIA Christian C.")</f>
        <v>RIVADAVIA Christian C.</v>
      </c>
      <c r="F5032" s="1" t="str">
        <f t="shared" si="1"/>
        <v>RIVADAVIA </v>
      </c>
      <c r="G5032" s="1" t="str">
        <f t="shared" si="2"/>
        <v>Christian C.</v>
      </c>
      <c r="H5032" s="1" t="str">
        <f>IFERROR(__xludf.DUMMYFUNCTION("""COMPUTED_VALUE"""),"17/4/2023, 17:00:00")</f>
        <v>17/4/2023, 17:00:00</v>
      </c>
      <c r="I5032" s="1" t="str">
        <f>IFERROR(__xludf.DUMMYFUNCTION("""COMPUTED_VALUE"""),"Completado en SUCURSAL")</f>
        <v>Completado en SUCURSAL</v>
      </c>
      <c r="J5032" s="1">
        <f t="shared" si="3"/>
        <v>5</v>
      </c>
      <c r="K5032" s="1" t="str">
        <f t="shared" si="4"/>
        <v>Tus Lentes estan LISTAS PARA ENTREGAR, te esperamos.</v>
      </c>
    </row>
    <row r="5033">
      <c r="A5033" s="1">
        <f>IFERROR(__xludf.DUMMYFUNCTION("""COMPUTED_VALUE"""),89598.0)</f>
        <v>89598</v>
      </c>
      <c r="B5033" s="5">
        <f>IFERROR(__xludf.DUMMYFUNCTION("""COMPUTED_VALUE"""),45026.44837210648)</f>
        <v>45026.44837</v>
      </c>
      <c r="C5033" s="1" t="str">
        <f>IFERROR(__xludf.DUMMYFUNCTION("""COMPUTED_VALUE"""),"DURAN MERCEDES")</f>
        <v>DURAN MERCEDES</v>
      </c>
      <c r="D5033" s="1" t="str">
        <f>IFERROR(__xludf.DUMMYFUNCTION("""COMPUTED_VALUE"""),"Lentes de STOCK")</f>
        <v>Lentes de STOCK</v>
      </c>
      <c r="E5033" s="1" t="str">
        <f>IFERROR(__xludf.DUMMYFUNCTION("""COMPUTED_VALUE"""),"ARTIGAS Ivana P.")</f>
        <v>ARTIGAS Ivana P.</v>
      </c>
      <c r="F5033" s="1" t="str">
        <f t="shared" si="1"/>
        <v>ARTIGAS </v>
      </c>
      <c r="G5033" s="1" t="str">
        <f t="shared" si="2"/>
        <v>Ivana P.</v>
      </c>
      <c r="H5033" s="1" t="str">
        <f>IFERROR(__xludf.DUMMYFUNCTION("""COMPUTED_VALUE"""),"14/4/2023, 17:00:00")</f>
        <v>14/4/2023, 17:00:00</v>
      </c>
      <c r="I5033" s="1" t="str">
        <f>IFERROR(__xludf.DUMMYFUNCTION("""COMPUTED_VALUE"""),"Completado en SUCURSAL")</f>
        <v>Completado en SUCURSAL</v>
      </c>
      <c r="J5033" s="1">
        <f t="shared" si="3"/>
        <v>5</v>
      </c>
      <c r="K5033" s="1" t="str">
        <f t="shared" si="4"/>
        <v>Tus Lentes estan LISTAS PARA ENTREGAR, te esperamos.</v>
      </c>
    </row>
    <row r="5034">
      <c r="A5034" s="1">
        <f>IFERROR(__xludf.DUMMYFUNCTION("""COMPUTED_VALUE"""),89599.0)</f>
        <v>89599</v>
      </c>
      <c r="B5034" s="5">
        <f>IFERROR(__xludf.DUMMYFUNCTION("""COMPUTED_VALUE"""),45026.448402615744)</f>
        <v>45026.4484</v>
      </c>
      <c r="C5034" s="1" t="str">
        <f>IFERROR(__xludf.DUMMYFUNCTION("""COMPUTED_VALUE"""),"SOSA DANIEL ")</f>
        <v>SOSA DANIEL </v>
      </c>
      <c r="D5034" s="1" t="str">
        <f>IFERROR(__xludf.DUMMYFUNCTION("""COMPUTED_VALUE"""),"Reparaciones/Otros")</f>
        <v>Reparaciones/Otros</v>
      </c>
      <c r="E5034" s="1" t="str">
        <f>IFERROR(__xludf.DUMMYFUNCTION("""COMPUTED_VALUE"""),"RIVADAVIA Christian C.")</f>
        <v>RIVADAVIA Christian C.</v>
      </c>
      <c r="F5034" s="1" t="str">
        <f t="shared" si="1"/>
        <v>RIVADAVIA </v>
      </c>
      <c r="G5034" s="1" t="str">
        <f t="shared" si="2"/>
        <v>Christian C.</v>
      </c>
      <c r="H5034" s="1" t="str">
        <f>IFERROR(__xludf.DUMMYFUNCTION("""COMPUTED_VALUE"""),"12/4/2023, 17:00:00")</f>
        <v>12/4/2023, 17:00:00</v>
      </c>
      <c r="I5034" s="1" t="str">
        <f>IFERROR(__xludf.DUMMYFUNCTION("""COMPUTED_VALUE"""),"Completado en SUCURSAL")</f>
        <v>Completado en SUCURSAL</v>
      </c>
      <c r="J5034" s="1">
        <f t="shared" si="3"/>
        <v>5</v>
      </c>
      <c r="K5034" s="1" t="str">
        <f t="shared" si="4"/>
        <v>Tus Lentes estan LISTAS PARA ENTREGAR, te esperamos.</v>
      </c>
    </row>
    <row r="5035">
      <c r="A5035" s="1">
        <f>IFERROR(__xludf.DUMMYFUNCTION("""COMPUTED_VALUE"""),89600.0)</f>
        <v>89600</v>
      </c>
      <c r="B5035" s="5">
        <f>IFERROR(__xludf.DUMMYFUNCTION("""COMPUTED_VALUE"""),45026.45140465278)</f>
        <v>45026.4514</v>
      </c>
      <c r="C5035" s="1" t="str">
        <f>IFERROR(__xludf.DUMMYFUNCTION("""COMPUTED_VALUE"""),"GARRIDO BRIAN ALEXIS")</f>
        <v>GARRIDO BRIAN ALEXIS</v>
      </c>
      <c r="D5035" s="1" t="str">
        <f>IFERROR(__xludf.DUMMYFUNCTION("""COMPUTED_VALUE"""),"Lentes de STOCK")</f>
        <v>Lentes de STOCK</v>
      </c>
      <c r="E5035" s="1" t="str">
        <f>IFERROR(__xludf.DUMMYFUNCTION("""COMPUTED_VALUE"""),"RIVADAVIA Santiago LOPEZ")</f>
        <v>RIVADAVIA Santiago LOPEZ</v>
      </c>
      <c r="F5035" s="1" t="str">
        <f t="shared" si="1"/>
        <v>RIVADAVIA </v>
      </c>
      <c r="G5035" s="1" t="str">
        <f t="shared" si="2"/>
        <v>Santiago LOPEZ</v>
      </c>
      <c r="H5035" s="1" t="str">
        <f>IFERROR(__xludf.DUMMYFUNCTION("""COMPUTED_VALUE"""),"14/4/2023, 17:00:00")</f>
        <v>14/4/2023, 17:00:00</v>
      </c>
      <c r="I5035" s="1" t="str">
        <f>IFERROR(__xludf.DUMMYFUNCTION("""COMPUTED_VALUE"""),"Completado en SUCURSAL")</f>
        <v>Completado en SUCURSAL</v>
      </c>
      <c r="J5035" s="1">
        <f t="shared" si="3"/>
        <v>5</v>
      </c>
      <c r="K5035" s="1" t="str">
        <f t="shared" si="4"/>
        <v>Tus Lentes estan LISTAS PARA ENTREGAR, te esperamos.</v>
      </c>
    </row>
    <row r="5036">
      <c r="A5036" s="1">
        <f>IFERROR(__xludf.DUMMYFUNCTION("""COMPUTED_VALUE"""),89601.0)</f>
        <v>89601</v>
      </c>
      <c r="B5036" s="5">
        <f>IFERROR(__xludf.DUMMYFUNCTION("""COMPUTED_VALUE"""),45026.45165945602)</f>
        <v>45026.45166</v>
      </c>
      <c r="C5036" s="1" t="str">
        <f>IFERROR(__xludf.DUMMYFUNCTION("""COMPUTED_VALUE"""),"AGUILERA TEODORA")</f>
        <v>AGUILERA TEODORA</v>
      </c>
      <c r="D5036" s="1" t="str">
        <f>IFERROR(__xludf.DUMMYFUNCTION("""COMPUTED_VALUE"""),"Reparaciones/Otros")</f>
        <v>Reparaciones/Otros</v>
      </c>
      <c r="E5036" s="1" t="str">
        <f>IFERROR(__xludf.DUMMYFUNCTION("""COMPUTED_VALUE"""),"RIVADAVIA Javier")</f>
        <v>RIVADAVIA Javier</v>
      </c>
      <c r="F5036" s="1" t="str">
        <f t="shared" si="1"/>
        <v>RIVADAVIA </v>
      </c>
      <c r="G5036" s="1" t="str">
        <f t="shared" si="2"/>
        <v>Javier</v>
      </c>
      <c r="H5036" s="1" t="str">
        <f>IFERROR(__xludf.DUMMYFUNCTION("""COMPUTED_VALUE"""),"11/4/2023, 17:00:00")</f>
        <v>11/4/2023, 17:00:00</v>
      </c>
      <c r="I5036" s="1" t="str">
        <f>IFERROR(__xludf.DUMMYFUNCTION("""COMPUTED_VALUE"""),"Completado en SUCURSAL")</f>
        <v>Completado en SUCURSAL</v>
      </c>
      <c r="J5036" s="1">
        <f t="shared" si="3"/>
        <v>5</v>
      </c>
      <c r="K5036" s="1" t="str">
        <f t="shared" si="4"/>
        <v>Tus Lentes estan LISTAS PARA ENTREGAR, te esperamos.</v>
      </c>
    </row>
    <row r="5037">
      <c r="A5037" s="1">
        <f>IFERROR(__xludf.DUMMYFUNCTION("""COMPUTED_VALUE"""),89602.0)</f>
        <v>89602</v>
      </c>
      <c r="B5037" s="5">
        <f>IFERROR(__xludf.DUMMYFUNCTION("""COMPUTED_VALUE"""),45026.45579516204)</f>
        <v>45026.4558</v>
      </c>
      <c r="C5037" s="1" t="str">
        <f>IFERROR(__xludf.DUMMYFUNCTION("""COMPUTED_VALUE"""),"Gutierrez Rosa")</f>
        <v>Gutierrez Rosa</v>
      </c>
      <c r="D5037" s="1" t="str">
        <f>IFERROR(__xludf.DUMMYFUNCTION("""COMPUTED_VALUE"""),"Reparaciones/Otros")</f>
        <v>Reparaciones/Otros</v>
      </c>
      <c r="E5037" s="1" t="str">
        <f>IFERROR(__xludf.DUMMYFUNCTION("""COMPUTED_VALUE"""),"ARTIGAS Sandra G")</f>
        <v>ARTIGAS Sandra G</v>
      </c>
      <c r="F5037" s="1" t="str">
        <f t="shared" si="1"/>
        <v>ARTIGAS </v>
      </c>
      <c r="G5037" s="1" t="str">
        <f t="shared" si="2"/>
        <v>Sandra G</v>
      </c>
      <c r="H5037" s="1" t="str">
        <f>IFERROR(__xludf.DUMMYFUNCTION("""COMPUTED_VALUE"""),"11/4/2023, 17:00:00")</f>
        <v>11/4/2023, 17:00:00</v>
      </c>
      <c r="I5037" s="1" t="str">
        <f>IFERROR(__xludf.DUMMYFUNCTION("""COMPUTED_VALUE"""),"Completado en SUCURSAL")</f>
        <v>Completado en SUCURSAL</v>
      </c>
      <c r="J5037" s="1">
        <f t="shared" si="3"/>
        <v>5</v>
      </c>
      <c r="K5037" s="1" t="str">
        <f t="shared" si="4"/>
        <v>Tus Lentes estan LISTAS PARA ENTREGAR, te esperamos.</v>
      </c>
    </row>
    <row r="5038">
      <c r="A5038" s="1">
        <f>IFERROR(__xludf.DUMMYFUNCTION("""COMPUTED_VALUE"""),89603.0)</f>
        <v>89603</v>
      </c>
      <c r="B5038" s="5">
        <f>IFERROR(__xludf.DUMMYFUNCTION("""COMPUTED_VALUE"""),45026.460853958335)</f>
        <v>45026.46085</v>
      </c>
      <c r="C5038" s="1" t="str">
        <f>IFERROR(__xludf.DUMMYFUNCTION("""COMPUTED_VALUE"""),"FERNANDEZ LORENA")</f>
        <v>FERNANDEZ LORENA</v>
      </c>
      <c r="D5038" s="1" t="str">
        <f>IFERROR(__xludf.DUMMYFUNCTION("""COMPUTED_VALUE"""),"Reparaciones/Otros")</f>
        <v>Reparaciones/Otros</v>
      </c>
      <c r="E5038" s="1" t="str">
        <f>IFERROR(__xludf.DUMMYFUNCTION("""COMPUTED_VALUE"""),"ARTIGAS Ivana P.")</f>
        <v>ARTIGAS Ivana P.</v>
      </c>
      <c r="F5038" s="1" t="str">
        <f t="shared" si="1"/>
        <v>ARTIGAS </v>
      </c>
      <c r="G5038" s="1" t="str">
        <f t="shared" si="2"/>
        <v>Ivana P.</v>
      </c>
      <c r="H5038" s="1" t="str">
        <f>IFERROR(__xludf.DUMMYFUNCTION("""COMPUTED_VALUE"""),"11/4/2023, 17:00:00")</f>
        <v>11/4/2023, 17:00:00</v>
      </c>
      <c r="I5038" s="1" t="str">
        <f>IFERROR(__xludf.DUMMYFUNCTION("""COMPUTED_VALUE"""),"Completado en SUCURSAL")</f>
        <v>Completado en SUCURSAL</v>
      </c>
      <c r="J5038" s="1">
        <f t="shared" si="3"/>
        <v>5</v>
      </c>
      <c r="K5038" s="1" t="str">
        <f t="shared" si="4"/>
        <v>Tus Lentes estan LISTAS PARA ENTREGAR, te esperamos.</v>
      </c>
    </row>
    <row r="5039">
      <c r="A5039" s="1">
        <f>IFERROR(__xludf.DUMMYFUNCTION("""COMPUTED_VALUE"""),89604.0)</f>
        <v>89604</v>
      </c>
      <c r="B5039" s="5">
        <f>IFERROR(__xludf.DUMMYFUNCTION("""COMPUTED_VALUE"""),45026.46174467592)</f>
        <v>45026.46174</v>
      </c>
      <c r="C5039" s="1" t="str">
        <f>IFERROR(__xludf.DUMMYFUNCTION("""COMPUTED_VALUE"""),"Ojeda Hilda")</f>
        <v>Ojeda Hilda</v>
      </c>
      <c r="D5039" s="1" t="str">
        <f>IFERROR(__xludf.DUMMYFUNCTION("""COMPUTED_VALUE"""),"Reparaciones/Otros")</f>
        <v>Reparaciones/Otros</v>
      </c>
      <c r="E5039" s="1" t="str">
        <f>IFERROR(__xludf.DUMMYFUNCTION("""COMPUTED_VALUE"""),"ARTIGAS Sandra G")</f>
        <v>ARTIGAS Sandra G</v>
      </c>
      <c r="F5039" s="1" t="str">
        <f t="shared" si="1"/>
        <v>ARTIGAS </v>
      </c>
      <c r="G5039" s="1" t="str">
        <f t="shared" si="2"/>
        <v>Sandra G</v>
      </c>
      <c r="H5039" s="1" t="str">
        <f>IFERROR(__xludf.DUMMYFUNCTION("""COMPUTED_VALUE"""),"11/4/2023, 17:00:00")</f>
        <v>11/4/2023, 17:00:00</v>
      </c>
      <c r="I5039" s="1" t="str">
        <f>IFERROR(__xludf.DUMMYFUNCTION("""COMPUTED_VALUE"""),"Completado en SUCURSAL")</f>
        <v>Completado en SUCURSAL</v>
      </c>
      <c r="J5039" s="1">
        <f t="shared" si="3"/>
        <v>5</v>
      </c>
      <c r="K5039" s="1" t="str">
        <f t="shared" si="4"/>
        <v>Tus Lentes estan LISTAS PARA ENTREGAR, te esperamos.</v>
      </c>
    </row>
    <row r="5040">
      <c r="A5040" s="1">
        <f>IFERROR(__xludf.DUMMYFUNCTION("""COMPUTED_VALUE"""),89605.0)</f>
        <v>89605</v>
      </c>
      <c r="B5040" s="5">
        <f>IFERROR(__xludf.DUMMYFUNCTION("""COMPUTED_VALUE"""),45026.46191869213)</f>
        <v>45026.46192</v>
      </c>
      <c r="C5040" s="1" t="str">
        <f>IFERROR(__xludf.DUMMYFUNCTION("""COMPUTED_VALUE"""),"Salinas Carlos")</f>
        <v>Salinas Carlos</v>
      </c>
      <c r="D5040" s="1" t="str">
        <f>IFERROR(__xludf.DUMMYFUNCTION("""COMPUTED_VALUE"""),"Lentes de STOCK")</f>
        <v>Lentes de STOCK</v>
      </c>
      <c r="E5040" s="1" t="str">
        <f>IFERROR(__xludf.DUMMYFUNCTION("""COMPUTED_VALUE"""),"RIVADAVIA Santiago LOPEZ")</f>
        <v>RIVADAVIA Santiago LOPEZ</v>
      </c>
      <c r="F5040" s="1" t="str">
        <f t="shared" si="1"/>
        <v>RIVADAVIA </v>
      </c>
      <c r="G5040" s="1" t="str">
        <f t="shared" si="2"/>
        <v>Santiago LOPEZ</v>
      </c>
      <c r="H5040" s="1" t="str">
        <f>IFERROR(__xludf.DUMMYFUNCTION("""COMPUTED_VALUE"""),"12/4/2023, 17:00:00")</f>
        <v>12/4/2023, 17:00:00</v>
      </c>
      <c r="I5040" s="1" t="str">
        <f>IFERROR(__xludf.DUMMYFUNCTION("""COMPUTED_VALUE"""),"Completado en SUCURSAL")</f>
        <v>Completado en SUCURSAL</v>
      </c>
      <c r="J5040" s="1">
        <f t="shared" si="3"/>
        <v>5</v>
      </c>
      <c r="K5040" s="1" t="str">
        <f t="shared" si="4"/>
        <v>Tus Lentes estan LISTAS PARA ENTREGAR, te esperamos.</v>
      </c>
    </row>
    <row r="5041">
      <c r="A5041" s="1">
        <f>IFERROR(__xludf.DUMMYFUNCTION("""COMPUTED_VALUE"""),89606.0)</f>
        <v>89606</v>
      </c>
      <c r="B5041" s="5">
        <f>IFERROR(__xludf.DUMMYFUNCTION("""COMPUTED_VALUE"""),45026.46298037037)</f>
        <v>45026.46298</v>
      </c>
      <c r="C5041" s="1" t="str">
        <f>IFERROR(__xludf.DUMMYFUNCTION("""COMPUTED_VALUE"""),"OLIVELLA ANDREA ")</f>
        <v>OLIVELLA ANDREA </v>
      </c>
      <c r="D5041" s="1" t="str">
        <f>IFERROR(__xludf.DUMMYFUNCTION("""COMPUTED_VALUE"""),"Lentes de STOCK")</f>
        <v>Lentes de STOCK</v>
      </c>
      <c r="E5041" s="1" t="str">
        <f>IFERROR(__xludf.DUMMYFUNCTION("""COMPUTED_VALUE"""),"Otro (LUCIANA ARTIGAS)")</f>
        <v>Otro (LUCIANA ARTIGAS)</v>
      </c>
      <c r="F5041" s="1" t="str">
        <f t="shared" si="1"/>
        <v>Otro </v>
      </c>
      <c r="G5041" s="1" t="str">
        <f t="shared" si="2"/>
        <v>(LUCIANA ARTIGAS)</v>
      </c>
      <c r="H5041" s="1" t="str">
        <f>IFERROR(__xludf.DUMMYFUNCTION("""COMPUTED_VALUE"""),"14/4/2023, 17:00:00")</f>
        <v>14/4/2023, 17:00:00</v>
      </c>
      <c r="I5041" s="1" t="str">
        <f>IFERROR(__xludf.DUMMYFUNCTION("""COMPUTED_VALUE"""),"Completado en SUCURSAL")</f>
        <v>Completado en SUCURSAL</v>
      </c>
      <c r="J5041" s="1">
        <f t="shared" si="3"/>
        <v>5</v>
      </c>
      <c r="K5041" s="1" t="str">
        <f t="shared" si="4"/>
        <v>Tus Lentes estan LISTAS PARA ENTREGAR, te esperamos.</v>
      </c>
    </row>
    <row r="5042">
      <c r="A5042" s="1">
        <f>IFERROR(__xludf.DUMMYFUNCTION("""COMPUTED_VALUE"""),89607.0)</f>
        <v>89607</v>
      </c>
      <c r="B5042" s="5">
        <f>IFERROR(__xludf.DUMMYFUNCTION("""COMPUTED_VALUE"""),45026.464556516206)</f>
        <v>45026.46456</v>
      </c>
      <c r="C5042" s="1" t="str">
        <f>IFERROR(__xludf.DUMMYFUNCTION("""COMPUTED_VALUE"""),"VAROLO ALEX")</f>
        <v>VAROLO ALEX</v>
      </c>
      <c r="D5042" s="1" t="str">
        <f>IFERROR(__xludf.DUMMYFUNCTION("""COMPUTED_VALUE"""),"Lentes de STOCK")</f>
        <v>Lentes de STOCK</v>
      </c>
      <c r="E5042" s="1" t="str">
        <f>IFERROR(__xludf.DUMMYFUNCTION("""COMPUTED_VALUE"""),"RIVADAVIA Javier")</f>
        <v>RIVADAVIA Javier</v>
      </c>
      <c r="F5042" s="1" t="str">
        <f t="shared" si="1"/>
        <v>RIVADAVIA </v>
      </c>
      <c r="G5042" s="1" t="str">
        <f t="shared" si="2"/>
        <v>Javier</v>
      </c>
      <c r="H5042" s="1" t="str">
        <f>IFERROR(__xludf.DUMMYFUNCTION("""COMPUTED_VALUE"""),"14/4/2023, 17:00:00")</f>
        <v>14/4/2023, 17:00:00</v>
      </c>
      <c r="I5042" s="1" t="str">
        <f>IFERROR(__xludf.DUMMYFUNCTION("""COMPUTED_VALUE"""),"Completado en SUCURSAL")</f>
        <v>Completado en SUCURSAL</v>
      </c>
      <c r="J5042" s="1">
        <f t="shared" si="3"/>
        <v>5</v>
      </c>
      <c r="K5042" s="1" t="str">
        <f t="shared" si="4"/>
        <v>Tus Lentes estan LISTAS PARA ENTREGAR, te esperamos.</v>
      </c>
    </row>
    <row r="5043">
      <c r="A5043" s="1">
        <f>IFERROR(__xludf.DUMMYFUNCTION("""COMPUTED_VALUE"""),89608.0)</f>
        <v>89608</v>
      </c>
      <c r="B5043" s="5">
        <f>IFERROR(__xludf.DUMMYFUNCTION("""COMPUTED_VALUE"""),45026.467521956016)</f>
        <v>45026.46752</v>
      </c>
      <c r="C5043" s="1" t="str">
        <f>IFERROR(__xludf.DUMMYFUNCTION("""COMPUTED_VALUE"""),"GONZALEZ GISELA")</f>
        <v>GONZALEZ GISELA</v>
      </c>
      <c r="D5043" s="1" t="str">
        <f>IFERROR(__xludf.DUMMYFUNCTION("""COMPUTED_VALUE"""),"Lentes de STOCK")</f>
        <v>Lentes de STOCK</v>
      </c>
      <c r="E5043" s="1" t="str">
        <f>IFERROR(__xludf.DUMMYFUNCTION("""COMPUTED_VALUE"""),"ARTIGAS Ivana P.")</f>
        <v>ARTIGAS Ivana P.</v>
      </c>
      <c r="F5043" s="1" t="str">
        <f t="shared" si="1"/>
        <v>ARTIGAS </v>
      </c>
      <c r="G5043" s="1" t="str">
        <f t="shared" si="2"/>
        <v>Ivana P.</v>
      </c>
      <c r="H5043" s="1" t="str">
        <f>IFERROR(__xludf.DUMMYFUNCTION("""COMPUTED_VALUE"""),"14/4/2023, 17:00:00")</f>
        <v>14/4/2023, 17:00:00</v>
      </c>
      <c r="I5043" s="1" t="str">
        <f>IFERROR(__xludf.DUMMYFUNCTION("""COMPUTED_VALUE"""),"Completado en SUCURSAL")</f>
        <v>Completado en SUCURSAL</v>
      </c>
      <c r="J5043" s="1">
        <f t="shared" si="3"/>
        <v>5</v>
      </c>
      <c r="K5043" s="1" t="str">
        <f t="shared" si="4"/>
        <v>Tus Lentes estan LISTAS PARA ENTREGAR, te esperamos.</v>
      </c>
    </row>
    <row r="5044">
      <c r="A5044" s="1">
        <f>IFERROR(__xludf.DUMMYFUNCTION("""COMPUTED_VALUE"""),89609.0)</f>
        <v>89609</v>
      </c>
      <c r="B5044" s="5">
        <f>IFERROR(__xludf.DUMMYFUNCTION("""COMPUTED_VALUE"""),45026.47424483796)</f>
        <v>45026.47424</v>
      </c>
      <c r="C5044" s="1" t="str">
        <f>IFERROR(__xludf.DUMMYFUNCTION("""COMPUTED_VALUE"""),"OROZCO YOLANDA")</f>
        <v>OROZCO YOLANDA</v>
      </c>
      <c r="D5044" s="1" t="str">
        <f>IFERROR(__xludf.DUMMYFUNCTION("""COMPUTED_VALUE"""),"Lentes de STOCK")</f>
        <v>Lentes de STOCK</v>
      </c>
      <c r="E5044" s="1" t="str">
        <f>IFERROR(__xludf.DUMMYFUNCTION("""COMPUTED_VALUE"""),"ARTIGAS Ivana P.")</f>
        <v>ARTIGAS Ivana P.</v>
      </c>
      <c r="F5044" s="1" t="str">
        <f t="shared" si="1"/>
        <v>ARTIGAS </v>
      </c>
      <c r="G5044" s="1" t="str">
        <f t="shared" si="2"/>
        <v>Ivana P.</v>
      </c>
      <c r="H5044" s="1" t="str">
        <f>IFERROR(__xludf.DUMMYFUNCTION("""COMPUTED_VALUE"""),"14/4/2023, 17:00:00")</f>
        <v>14/4/2023, 17:00:00</v>
      </c>
      <c r="I5044" s="1" t="str">
        <f>IFERROR(__xludf.DUMMYFUNCTION("""COMPUTED_VALUE"""),"Completado en SUCURSAL")</f>
        <v>Completado en SUCURSAL</v>
      </c>
      <c r="J5044" s="1">
        <f t="shared" si="3"/>
        <v>5</v>
      </c>
      <c r="K5044" s="1" t="str">
        <f t="shared" si="4"/>
        <v>Tus Lentes estan LISTAS PARA ENTREGAR, te esperamos.</v>
      </c>
    </row>
    <row r="5045">
      <c r="A5045" s="1">
        <f>IFERROR(__xludf.DUMMYFUNCTION("""COMPUTED_VALUE"""),89610.0)</f>
        <v>89610</v>
      </c>
      <c r="B5045" s="5">
        <f>IFERROR(__xludf.DUMMYFUNCTION("""COMPUTED_VALUE"""),45026.47914896991)</f>
        <v>45026.47915</v>
      </c>
      <c r="C5045" s="1" t="str">
        <f>IFERROR(__xludf.DUMMYFUNCTION("""COMPUTED_VALUE"""),"MENDEZ IRMA")</f>
        <v>MENDEZ IRMA</v>
      </c>
      <c r="D5045" s="1" t="str">
        <f>IFERROR(__xludf.DUMMYFUNCTION("""COMPUTED_VALUE"""),"Lentes de STOCK")</f>
        <v>Lentes de STOCK</v>
      </c>
      <c r="E5045" s="1" t="str">
        <f>IFERROR(__xludf.DUMMYFUNCTION("""COMPUTED_VALUE"""),"RIVADAVIA Daniel CM")</f>
        <v>RIVADAVIA Daniel CM</v>
      </c>
      <c r="F5045" s="1" t="str">
        <f t="shared" si="1"/>
        <v>RIVADAVIA </v>
      </c>
      <c r="G5045" s="1" t="str">
        <f t="shared" si="2"/>
        <v>Daniel CM</v>
      </c>
      <c r="H5045" s="1" t="str">
        <f>IFERROR(__xludf.DUMMYFUNCTION("""COMPUTED_VALUE"""),"14/4/2023, 17:00:00")</f>
        <v>14/4/2023, 17:00:00</v>
      </c>
      <c r="I5045" s="1" t="str">
        <f>IFERROR(__xludf.DUMMYFUNCTION("""COMPUTED_VALUE"""),"Completado en SUCURSAL")</f>
        <v>Completado en SUCURSAL</v>
      </c>
      <c r="J5045" s="1">
        <f t="shared" si="3"/>
        <v>5</v>
      </c>
      <c r="K5045" s="1" t="str">
        <f t="shared" si="4"/>
        <v>Tus Lentes estan LISTAS PARA ENTREGAR, te esperamos.</v>
      </c>
    </row>
    <row r="5046">
      <c r="A5046" s="1">
        <f>IFERROR(__xludf.DUMMYFUNCTION("""COMPUTED_VALUE"""),89611.0)</f>
        <v>89611</v>
      </c>
      <c r="B5046" s="5">
        <f>IFERROR(__xludf.DUMMYFUNCTION("""COMPUTED_VALUE"""),45026.48200578704)</f>
        <v>45026.48201</v>
      </c>
      <c r="C5046" s="1" t="str">
        <f>IFERROR(__xludf.DUMMYFUNCTION("""COMPUTED_VALUE"""),"FUNES JUAN MANUEL")</f>
        <v>FUNES JUAN MANUEL</v>
      </c>
      <c r="D5046" s="1" t="str">
        <f>IFERROR(__xludf.DUMMYFUNCTION("""COMPUTED_VALUE"""),"Lentes de STOCK")</f>
        <v>Lentes de STOCK</v>
      </c>
      <c r="E5046" s="1" t="str">
        <f>IFERROR(__xludf.DUMMYFUNCTION("""COMPUTED_VALUE"""),"RIVADAVIA Marcela L")</f>
        <v>RIVADAVIA Marcela L</v>
      </c>
      <c r="F5046" s="1" t="str">
        <f t="shared" si="1"/>
        <v>RIVADAVIA </v>
      </c>
      <c r="G5046" s="1" t="str">
        <f t="shared" si="2"/>
        <v>Marcela L</v>
      </c>
      <c r="H5046" s="1" t="str">
        <f>IFERROR(__xludf.DUMMYFUNCTION("""COMPUTED_VALUE"""),"12/4/2023, 17:00:00")</f>
        <v>12/4/2023, 17:00:00</v>
      </c>
      <c r="I5046" s="1" t="str">
        <f>IFERROR(__xludf.DUMMYFUNCTION("""COMPUTED_VALUE"""),"Completado en SUCURSAL")</f>
        <v>Completado en SUCURSAL</v>
      </c>
      <c r="J5046" s="1">
        <f t="shared" si="3"/>
        <v>5</v>
      </c>
      <c r="K5046" s="1" t="str">
        <f t="shared" si="4"/>
        <v>Tus Lentes estan LISTAS PARA ENTREGAR, te esperamos.</v>
      </c>
    </row>
    <row r="5047">
      <c r="A5047" s="1">
        <f>IFERROR(__xludf.DUMMYFUNCTION("""COMPUTED_VALUE"""),89612.0)</f>
        <v>89612</v>
      </c>
      <c r="B5047" s="5">
        <f>IFERROR(__xludf.DUMMYFUNCTION("""COMPUTED_VALUE"""),45026.48233763889)</f>
        <v>45026.48234</v>
      </c>
      <c r="C5047" s="1" t="str">
        <f>IFERROR(__xludf.DUMMYFUNCTION("""COMPUTED_VALUE"""),"MOLINA VERONICA")</f>
        <v>MOLINA VERONICA</v>
      </c>
      <c r="D5047" s="1" t="str">
        <f>IFERROR(__xludf.DUMMYFUNCTION("""COMPUTED_VALUE"""),"Lentes de STOCK")</f>
        <v>Lentes de STOCK</v>
      </c>
      <c r="E5047" s="1" t="str">
        <f>IFERROR(__xludf.DUMMYFUNCTION("""COMPUTED_VALUE"""),"RIVADAVIA Javier")</f>
        <v>RIVADAVIA Javier</v>
      </c>
      <c r="F5047" s="1" t="str">
        <f t="shared" si="1"/>
        <v>RIVADAVIA </v>
      </c>
      <c r="G5047" s="1" t="str">
        <f t="shared" si="2"/>
        <v>Javier</v>
      </c>
      <c r="H5047" s="1" t="str">
        <f>IFERROR(__xludf.DUMMYFUNCTION("""COMPUTED_VALUE"""),"17/4/2023, 17:00:00")</f>
        <v>17/4/2023, 17:00:00</v>
      </c>
      <c r="I5047" s="1" t="str">
        <f>IFERROR(__xludf.DUMMYFUNCTION("""COMPUTED_VALUE"""),"Completado en SUCURSAL")</f>
        <v>Completado en SUCURSAL</v>
      </c>
      <c r="J5047" s="1">
        <f t="shared" si="3"/>
        <v>5</v>
      </c>
      <c r="K5047" s="1" t="str">
        <f t="shared" si="4"/>
        <v>Tus Lentes estan LISTAS PARA ENTREGAR, te esperamos.</v>
      </c>
    </row>
    <row r="5048">
      <c r="A5048" s="1">
        <f>IFERROR(__xludf.DUMMYFUNCTION("""COMPUTED_VALUE"""),89613.0)</f>
        <v>89613</v>
      </c>
      <c r="B5048" s="5">
        <f>IFERROR(__xludf.DUMMYFUNCTION("""COMPUTED_VALUE"""),45026.48902974537)</f>
        <v>45026.48903</v>
      </c>
      <c r="C5048" s="1" t="str">
        <f>IFERROR(__xludf.DUMMYFUNCTION("""COMPUTED_VALUE"""),"GARGLIARDI SOFIA")</f>
        <v>GARGLIARDI SOFIA</v>
      </c>
      <c r="D5048" s="1" t="str">
        <f>IFERROR(__xludf.DUMMYFUNCTION("""COMPUTED_VALUE"""),"Lentes de STOCK")</f>
        <v>Lentes de STOCK</v>
      </c>
      <c r="E5048" s="1" t="str">
        <f>IFERROR(__xludf.DUMMYFUNCTION("""COMPUTED_VALUE"""),"RIVADAVIA Santiago LOPEZ")</f>
        <v>RIVADAVIA Santiago LOPEZ</v>
      </c>
      <c r="F5048" s="1" t="str">
        <f t="shared" si="1"/>
        <v>RIVADAVIA </v>
      </c>
      <c r="G5048" s="1" t="str">
        <f t="shared" si="2"/>
        <v>Santiago LOPEZ</v>
      </c>
      <c r="H5048" s="1" t="str">
        <f>IFERROR(__xludf.DUMMYFUNCTION("""COMPUTED_VALUE"""),"14/4/2023, 17:00:00")</f>
        <v>14/4/2023, 17:00:00</v>
      </c>
      <c r="I5048" s="1" t="str">
        <f>IFERROR(__xludf.DUMMYFUNCTION("""COMPUTED_VALUE"""),"Completado en SUCURSAL")</f>
        <v>Completado en SUCURSAL</v>
      </c>
      <c r="J5048" s="1">
        <f t="shared" si="3"/>
        <v>5</v>
      </c>
      <c r="K5048" s="1" t="str">
        <f t="shared" si="4"/>
        <v>Tus Lentes estan LISTAS PARA ENTREGAR, te esperamos.</v>
      </c>
    </row>
    <row r="5049">
      <c r="A5049" s="1">
        <f>IFERROR(__xludf.DUMMYFUNCTION("""COMPUTED_VALUE"""),89614.0)</f>
        <v>89614</v>
      </c>
      <c r="B5049" s="5">
        <f>IFERROR(__xludf.DUMMYFUNCTION("""COMPUTED_VALUE"""),45026.48952962963)</f>
        <v>45026.48953</v>
      </c>
      <c r="C5049" s="1" t="str">
        <f>IFERROR(__xludf.DUMMYFUNCTION("""COMPUTED_VALUE"""),"caldera irma")</f>
        <v>caldera irma</v>
      </c>
      <c r="D5049" s="1" t="str">
        <f>IFERROR(__xludf.DUMMYFUNCTION("""COMPUTED_VALUE"""),"Lentes de STOCK")</f>
        <v>Lentes de STOCK</v>
      </c>
      <c r="E5049" s="1" t="str">
        <f>IFERROR(__xludf.DUMMYFUNCTION("""COMPUTED_VALUE"""),"RIVADAVIA Santiago N")</f>
        <v>RIVADAVIA Santiago N</v>
      </c>
      <c r="F5049" s="1" t="str">
        <f t="shared" si="1"/>
        <v>RIVADAVIA </v>
      </c>
      <c r="G5049" s="1" t="str">
        <f t="shared" si="2"/>
        <v>Santiago N</v>
      </c>
      <c r="H5049" s="1" t="str">
        <f>IFERROR(__xludf.DUMMYFUNCTION("""COMPUTED_VALUE"""),"14/4/2023, 17:00:00")</f>
        <v>14/4/2023, 17:00:00</v>
      </c>
      <c r="I5049" s="1" t="str">
        <f>IFERROR(__xludf.DUMMYFUNCTION("""COMPUTED_VALUE"""),"Completado en SUCURSAL")</f>
        <v>Completado en SUCURSAL</v>
      </c>
      <c r="J5049" s="1">
        <f t="shared" si="3"/>
        <v>5</v>
      </c>
      <c r="K5049" s="1" t="str">
        <f t="shared" si="4"/>
        <v>Tus Lentes estan LISTAS PARA ENTREGAR, te esperamos.</v>
      </c>
    </row>
    <row r="5050">
      <c r="A5050" s="1">
        <f>IFERROR(__xludf.DUMMYFUNCTION("""COMPUTED_VALUE"""),89615.0)</f>
        <v>89615</v>
      </c>
      <c r="B5050" s="5">
        <f>IFERROR(__xludf.DUMMYFUNCTION("""COMPUTED_VALUE"""),45026.49767329861)</f>
        <v>45026.49767</v>
      </c>
      <c r="C5050" s="1" t="str">
        <f>IFERROR(__xludf.DUMMYFUNCTION("""COMPUTED_VALUE"""),"GUEVARA MARTA")</f>
        <v>GUEVARA MARTA</v>
      </c>
      <c r="D5050" s="1" t="str">
        <f>IFERROR(__xludf.DUMMYFUNCTION("""COMPUTED_VALUE"""),"Lentes de STOCK")</f>
        <v>Lentes de STOCK</v>
      </c>
      <c r="E5050" s="1" t="str">
        <f>IFERROR(__xludf.DUMMYFUNCTION("""COMPUTED_VALUE"""),"Otro (LUCIANA ARTIGAS)")</f>
        <v>Otro (LUCIANA ARTIGAS)</v>
      </c>
      <c r="F5050" s="1" t="str">
        <f t="shared" si="1"/>
        <v>Otro </v>
      </c>
      <c r="G5050" s="1" t="str">
        <f t="shared" si="2"/>
        <v>(LUCIANA ARTIGAS)</v>
      </c>
      <c r="H5050" s="1" t="str">
        <f>IFERROR(__xludf.DUMMYFUNCTION("""COMPUTED_VALUE"""),"14/4/2023, 17:00:00")</f>
        <v>14/4/2023, 17:00:00</v>
      </c>
      <c r="I5050" s="1" t="str">
        <f>IFERROR(__xludf.DUMMYFUNCTION("""COMPUTED_VALUE"""),"Completado en SUCURSAL")</f>
        <v>Completado en SUCURSAL</v>
      </c>
      <c r="J5050" s="1">
        <f t="shared" si="3"/>
        <v>5</v>
      </c>
      <c r="K5050" s="1" t="str">
        <f t="shared" si="4"/>
        <v>Tus Lentes estan LISTAS PARA ENTREGAR, te esperamos.</v>
      </c>
    </row>
    <row r="5051">
      <c r="A5051" s="1">
        <f>IFERROR(__xludf.DUMMYFUNCTION("""COMPUTED_VALUE"""),89616.0)</f>
        <v>89616</v>
      </c>
      <c r="B5051" s="5">
        <f>IFERROR(__xludf.DUMMYFUNCTION("""COMPUTED_VALUE"""),45026.51283158565)</f>
        <v>45026.51283</v>
      </c>
      <c r="C5051" s="1" t="str">
        <f>IFERROR(__xludf.DUMMYFUNCTION("""COMPUTED_VALUE"""),"URQUIZA PANOCCHIA, ISSA CONSTANZA")</f>
        <v>URQUIZA PANOCCHIA, ISSA CONSTANZA</v>
      </c>
      <c r="D5051" s="1" t="str">
        <f>IFERROR(__xludf.DUMMYFUNCTION("""COMPUTED_VALUE"""),"Lentes de STOCK")</f>
        <v>Lentes de STOCK</v>
      </c>
      <c r="E5051" s="1" t="str">
        <f>IFERROR(__xludf.DUMMYFUNCTION("""COMPUTED_VALUE"""),"RIVADAVIA Christian C.")</f>
        <v>RIVADAVIA Christian C.</v>
      </c>
      <c r="F5051" s="1" t="str">
        <f t="shared" si="1"/>
        <v>RIVADAVIA </v>
      </c>
      <c r="G5051" s="1" t="str">
        <f t="shared" si="2"/>
        <v>Christian C.</v>
      </c>
      <c r="H5051" s="1" t="str">
        <f>IFERROR(__xludf.DUMMYFUNCTION("""COMPUTED_VALUE"""),"18/4/2023, 17:00:00")</f>
        <v>18/4/2023, 17:00:00</v>
      </c>
      <c r="I5051" s="1" t="str">
        <f>IFERROR(__xludf.DUMMYFUNCTION("""COMPUTED_VALUE"""),"Completado en SUCURSAL")</f>
        <v>Completado en SUCURSAL</v>
      </c>
      <c r="J5051" s="1">
        <f t="shared" si="3"/>
        <v>5</v>
      </c>
      <c r="K5051" s="1" t="str">
        <f t="shared" si="4"/>
        <v>Tus Lentes estan LISTAS PARA ENTREGAR, te esperamos.</v>
      </c>
    </row>
    <row r="5052">
      <c r="A5052" s="1">
        <f>IFERROR(__xludf.DUMMYFUNCTION("""COMPUTED_VALUE"""),89617.0)</f>
        <v>89617</v>
      </c>
      <c r="B5052" s="5">
        <f>IFERROR(__xludf.DUMMYFUNCTION("""COMPUTED_VALUE"""),45026.516267812505)</f>
        <v>45026.51627</v>
      </c>
      <c r="C5052" s="1" t="str">
        <f>IFERROR(__xludf.DUMMYFUNCTION("""COMPUTED_VALUE"""),"ZEBALLOS BENJAMIN")</f>
        <v>ZEBALLOS BENJAMIN</v>
      </c>
      <c r="D5052" s="1" t="str">
        <f>IFERROR(__xludf.DUMMYFUNCTION("""COMPUTED_VALUE"""),"Reparaciones/Otros")</f>
        <v>Reparaciones/Otros</v>
      </c>
      <c r="E5052" s="1" t="str">
        <f>IFERROR(__xludf.DUMMYFUNCTION("""COMPUTED_VALUE"""),"Otro (LUCIANA ARTIGAS)")</f>
        <v>Otro (LUCIANA ARTIGAS)</v>
      </c>
      <c r="F5052" s="1" t="str">
        <f t="shared" si="1"/>
        <v>Otro </v>
      </c>
      <c r="G5052" s="1" t="str">
        <f t="shared" si="2"/>
        <v>(LUCIANA ARTIGAS)</v>
      </c>
      <c r="H5052" s="1" t="str">
        <f>IFERROR(__xludf.DUMMYFUNCTION("""COMPUTED_VALUE"""),"11/4/2023, 17:00:00")</f>
        <v>11/4/2023, 17:00:00</v>
      </c>
      <c r="I5052" s="1" t="str">
        <f>IFERROR(__xludf.DUMMYFUNCTION("""COMPUTED_VALUE"""),"Completado en SUCURSAL")</f>
        <v>Completado en SUCURSAL</v>
      </c>
      <c r="J5052" s="1">
        <f t="shared" si="3"/>
        <v>5</v>
      </c>
      <c r="K5052" s="1" t="str">
        <f t="shared" si="4"/>
        <v>Tus Lentes estan LISTAS PARA ENTREGAR, te esperamos.</v>
      </c>
    </row>
    <row r="5053">
      <c r="A5053" s="1">
        <f>IFERROR(__xludf.DUMMYFUNCTION("""COMPUTED_VALUE"""),89618.0)</f>
        <v>89618</v>
      </c>
      <c r="B5053" s="5">
        <f>IFERROR(__xludf.DUMMYFUNCTION("""COMPUTED_VALUE"""),45026.516941458336)</f>
        <v>45026.51694</v>
      </c>
      <c r="C5053" s="1" t="str">
        <f>IFERROR(__xludf.DUMMYFUNCTION("""COMPUTED_VALUE"""),"CARRANZA ROCIO")</f>
        <v>CARRANZA ROCIO</v>
      </c>
      <c r="D5053" s="1" t="str">
        <f>IFERROR(__xludf.DUMMYFUNCTION("""COMPUTED_VALUE"""),"Lentes de STOCK")</f>
        <v>Lentes de STOCK</v>
      </c>
      <c r="E5053" s="1" t="str">
        <f>IFERROR(__xludf.DUMMYFUNCTION("""COMPUTED_VALUE"""),"ARTIGAS Ivana P.")</f>
        <v>ARTIGAS Ivana P.</v>
      </c>
      <c r="F5053" s="1" t="str">
        <f t="shared" si="1"/>
        <v>ARTIGAS </v>
      </c>
      <c r="G5053" s="1" t="str">
        <f t="shared" si="2"/>
        <v>Ivana P.</v>
      </c>
      <c r="H5053" s="1" t="str">
        <f>IFERROR(__xludf.DUMMYFUNCTION("""COMPUTED_VALUE"""),"15/4/2023, 17:00:00")</f>
        <v>15/4/2023, 17:00:00</v>
      </c>
      <c r="I5053" s="1" t="str">
        <f>IFERROR(__xludf.DUMMYFUNCTION("""COMPUTED_VALUE"""),"Completado en SUCURSAL")</f>
        <v>Completado en SUCURSAL</v>
      </c>
      <c r="J5053" s="1">
        <f t="shared" si="3"/>
        <v>5</v>
      </c>
      <c r="K5053" s="1" t="str">
        <f t="shared" si="4"/>
        <v>Tus Lentes estan LISTAS PARA ENTREGAR, te esperamos.</v>
      </c>
    </row>
    <row r="5054">
      <c r="A5054" s="1">
        <f>IFERROR(__xludf.DUMMYFUNCTION("""COMPUTED_VALUE"""),89619.0)</f>
        <v>89619</v>
      </c>
      <c r="B5054" s="5">
        <f>IFERROR(__xludf.DUMMYFUNCTION("""COMPUTED_VALUE"""),45026.51836971065)</f>
        <v>45026.51837</v>
      </c>
      <c r="C5054" s="1" t="str">
        <f>IFERROR(__xludf.DUMMYFUNCTION("""COMPUTED_VALUE"""),"CORNEJO NIDIA LILIANA")</f>
        <v>CORNEJO NIDIA LILIANA</v>
      </c>
      <c r="D5054" s="1" t="str">
        <f>IFERROR(__xludf.DUMMYFUNCTION("""COMPUTED_VALUE"""),"Lentes de STOCK")</f>
        <v>Lentes de STOCK</v>
      </c>
      <c r="E5054" s="1" t="str">
        <f>IFERROR(__xludf.DUMMYFUNCTION("""COMPUTED_VALUE"""),"RIVADAVIA Santiago LOPEZ")</f>
        <v>RIVADAVIA Santiago LOPEZ</v>
      </c>
      <c r="F5054" s="1" t="str">
        <f t="shared" si="1"/>
        <v>RIVADAVIA </v>
      </c>
      <c r="G5054" s="1" t="str">
        <f t="shared" si="2"/>
        <v>Santiago LOPEZ</v>
      </c>
      <c r="H5054" s="1" t="str">
        <f>IFERROR(__xludf.DUMMYFUNCTION("""COMPUTED_VALUE"""),"14/4/2023, 17:00:00")</f>
        <v>14/4/2023, 17:00:00</v>
      </c>
      <c r="I5054" s="1" t="str">
        <f>IFERROR(__xludf.DUMMYFUNCTION("""COMPUTED_VALUE"""),"Completado en SUCURSAL")</f>
        <v>Completado en SUCURSAL</v>
      </c>
      <c r="J5054" s="1">
        <f t="shared" si="3"/>
        <v>5</v>
      </c>
      <c r="K5054" s="1" t="str">
        <f t="shared" si="4"/>
        <v>Tus Lentes estan LISTAS PARA ENTREGAR, te esperamos.</v>
      </c>
    </row>
    <row r="5055">
      <c r="A5055" s="1">
        <f>IFERROR(__xludf.DUMMYFUNCTION("""COMPUTED_VALUE"""),89620.0)</f>
        <v>89620</v>
      </c>
      <c r="B5055" s="5">
        <f>IFERROR(__xludf.DUMMYFUNCTION("""COMPUTED_VALUE"""),45026.531860902774)</f>
        <v>45026.53186</v>
      </c>
      <c r="C5055" s="1" t="str">
        <f>IFERROR(__xludf.DUMMYFUNCTION("""COMPUTED_VALUE"""),"Escudero Jorge")</f>
        <v>Escudero Jorge</v>
      </c>
      <c r="D5055" s="1" t="str">
        <f>IFERROR(__xludf.DUMMYFUNCTION("""COMPUTED_VALUE"""),"Reparaciones/Otros")</f>
        <v>Reparaciones/Otros</v>
      </c>
      <c r="E5055" s="1" t="str">
        <f>IFERROR(__xludf.DUMMYFUNCTION("""COMPUTED_VALUE"""),"ARTIGAS Sandra G")</f>
        <v>ARTIGAS Sandra G</v>
      </c>
      <c r="F5055" s="1" t="str">
        <f t="shared" si="1"/>
        <v>ARTIGAS </v>
      </c>
      <c r="G5055" s="1" t="str">
        <f t="shared" si="2"/>
        <v>Sandra G</v>
      </c>
      <c r="H5055" s="1" t="str">
        <f>IFERROR(__xludf.DUMMYFUNCTION("""COMPUTED_VALUE"""),"11/4/2023, 17:00:00")</f>
        <v>11/4/2023, 17:00:00</v>
      </c>
      <c r="I5055" s="1" t="str">
        <f>IFERROR(__xludf.DUMMYFUNCTION("""COMPUTED_VALUE"""),"Recibido en Laboratorio")</f>
        <v>Recibido en Laboratorio</v>
      </c>
      <c r="J5055" s="1">
        <f t="shared" si="3"/>
        <v>2</v>
      </c>
      <c r="K5055" s="1" t="str">
        <f t="shared" si="4"/>
        <v>Nuestro Laboratorio esta trabajando en tus lentes, los entregaremos en la fecha acordada.</v>
      </c>
    </row>
    <row r="5056">
      <c r="A5056" s="1">
        <f>IFERROR(__xludf.DUMMYFUNCTION("""COMPUTED_VALUE"""),89621.0)</f>
        <v>89621</v>
      </c>
      <c r="B5056" s="5">
        <f>IFERROR(__xludf.DUMMYFUNCTION("""COMPUTED_VALUE"""),45026.533423182875)</f>
        <v>45026.53342</v>
      </c>
      <c r="C5056" s="1" t="str">
        <f>IFERROR(__xludf.DUMMYFUNCTION("""COMPUTED_VALUE"""),"RIVERO LUCAS RAMIRO")</f>
        <v>RIVERO LUCAS RAMIRO</v>
      </c>
      <c r="D5056" s="1" t="str">
        <f>IFERROR(__xludf.DUMMYFUNCTION("""COMPUTED_VALUE"""),"Lentes de STOCK")</f>
        <v>Lentes de STOCK</v>
      </c>
      <c r="E5056" s="1" t="str">
        <f>IFERROR(__xludf.DUMMYFUNCTION("""COMPUTED_VALUE"""),"RIVADAVIA Marcela L")</f>
        <v>RIVADAVIA Marcela L</v>
      </c>
      <c r="F5056" s="1" t="str">
        <f t="shared" si="1"/>
        <v>RIVADAVIA </v>
      </c>
      <c r="G5056" s="1" t="str">
        <f t="shared" si="2"/>
        <v>Marcela L</v>
      </c>
      <c r="H5056" s="1" t="str">
        <f>IFERROR(__xludf.DUMMYFUNCTION("""COMPUTED_VALUE"""),"14/4/2023, 17:00:00")</f>
        <v>14/4/2023, 17:00:00</v>
      </c>
      <c r="I5056" s="1" t="str">
        <f>IFERROR(__xludf.DUMMYFUNCTION("""COMPUTED_VALUE"""),"Completado en SUCURSAL")</f>
        <v>Completado en SUCURSAL</v>
      </c>
      <c r="J5056" s="1">
        <f t="shared" si="3"/>
        <v>5</v>
      </c>
      <c r="K5056" s="1" t="str">
        <f t="shared" si="4"/>
        <v>Tus Lentes estan LISTAS PARA ENTREGAR, te esperamos.</v>
      </c>
    </row>
    <row r="5057">
      <c r="A5057" s="1">
        <f>IFERROR(__xludf.DUMMYFUNCTION("""COMPUTED_VALUE"""),89622.0)</f>
        <v>89622</v>
      </c>
      <c r="B5057" s="5">
        <f>IFERROR(__xludf.DUMMYFUNCTION("""COMPUTED_VALUE"""),45026.551163738426)</f>
        <v>45026.55116</v>
      </c>
      <c r="C5057" s="1" t="str">
        <f>IFERROR(__xludf.DUMMYFUNCTION("""COMPUTED_VALUE"""),"SOSA ABRIL VALENTINA")</f>
        <v>SOSA ABRIL VALENTINA</v>
      </c>
      <c r="D5057" s="1" t="str">
        <f>IFERROR(__xludf.DUMMYFUNCTION("""COMPUTED_VALUE"""),"Lentes de STOCK")</f>
        <v>Lentes de STOCK</v>
      </c>
      <c r="E5057" s="1" t="str">
        <f>IFERROR(__xludf.DUMMYFUNCTION("""COMPUTED_VALUE"""),"RIVADAVIA Marcela L")</f>
        <v>RIVADAVIA Marcela L</v>
      </c>
      <c r="F5057" s="1" t="str">
        <f t="shared" si="1"/>
        <v>RIVADAVIA </v>
      </c>
      <c r="G5057" s="1" t="str">
        <f t="shared" si="2"/>
        <v>Marcela L</v>
      </c>
      <c r="H5057" s="1" t="str">
        <f>IFERROR(__xludf.DUMMYFUNCTION("""COMPUTED_VALUE"""),"17/4/2023, 17:00:00")</f>
        <v>17/4/2023, 17:00:00</v>
      </c>
      <c r="I5057" s="1" t="str">
        <f>IFERROR(__xludf.DUMMYFUNCTION("""COMPUTED_VALUE"""),"Completado en SUCURSAL")</f>
        <v>Completado en SUCURSAL</v>
      </c>
      <c r="J5057" s="1">
        <f t="shared" si="3"/>
        <v>5</v>
      </c>
      <c r="K5057" s="1" t="str">
        <f t="shared" si="4"/>
        <v>Tus Lentes estan LISTAS PARA ENTREGAR, te esperamos.</v>
      </c>
    </row>
    <row r="5058">
      <c r="A5058" s="1">
        <f>IFERROR(__xludf.DUMMYFUNCTION("""COMPUTED_VALUE"""),89623.0)</f>
        <v>89623</v>
      </c>
      <c r="B5058" s="5">
        <f>IFERROR(__xludf.DUMMYFUNCTION("""COMPUTED_VALUE"""),45026.553310358795)</f>
        <v>45026.55331</v>
      </c>
      <c r="C5058" s="1" t="str">
        <f>IFERROR(__xludf.DUMMYFUNCTION("""COMPUTED_VALUE"""),"QUIROGA LUCIANA")</f>
        <v>QUIROGA LUCIANA</v>
      </c>
      <c r="D5058" s="1" t="str">
        <f>IFERROR(__xludf.DUMMYFUNCTION("""COMPUTED_VALUE"""),"Lentes MULTIFOCALES")</f>
        <v>Lentes MULTIFOCALES</v>
      </c>
      <c r="E5058" s="1" t="str">
        <f>IFERROR(__xludf.DUMMYFUNCTION("""COMPUTED_VALUE"""),"ARTIGAS Ivana P.")</f>
        <v>ARTIGAS Ivana P.</v>
      </c>
      <c r="F5058" s="1" t="str">
        <f t="shared" si="1"/>
        <v>ARTIGAS </v>
      </c>
      <c r="G5058" s="1" t="str">
        <f t="shared" si="2"/>
        <v>Ivana P.</v>
      </c>
      <c r="H5058" s="1" t="str">
        <f>IFERROR(__xludf.DUMMYFUNCTION("""COMPUTED_VALUE"""),"24/4/2023, 17:00:00")</f>
        <v>24/4/2023, 17:00:00</v>
      </c>
      <c r="I5058" s="1" t="str">
        <f>IFERROR(__xludf.DUMMYFUNCTION("""COMPUTED_VALUE"""),"Recibido en Laboratorio")</f>
        <v>Recibido en Laboratorio</v>
      </c>
      <c r="J5058" s="1">
        <f t="shared" si="3"/>
        <v>2</v>
      </c>
      <c r="K5058" s="1" t="str">
        <f t="shared" si="4"/>
        <v>Nuestro Laboratorio esta trabajando en tus lentes, los entregaremos en la fecha acordada.</v>
      </c>
    </row>
    <row r="5059">
      <c r="A5059" s="1">
        <f>IFERROR(__xludf.DUMMYFUNCTION("""COMPUTED_VALUE"""),89624.0)</f>
        <v>89624</v>
      </c>
      <c r="B5059" s="5">
        <f>IFERROR(__xludf.DUMMYFUNCTION("""COMPUTED_VALUE"""),45026.59621700231)</f>
        <v>45026.59622</v>
      </c>
      <c r="C5059" s="1" t="str">
        <f>IFERROR(__xludf.DUMMYFUNCTION("""COMPUTED_VALUE"""),"MOYANO JOSE")</f>
        <v>MOYANO JOSE</v>
      </c>
      <c r="D5059" s="1" t="str">
        <f>IFERROR(__xludf.DUMMYFUNCTION("""COMPUTED_VALUE"""),"Lentes de STOCK")</f>
        <v>Lentes de STOCK</v>
      </c>
      <c r="E5059" s="1" t="str">
        <f>IFERROR(__xludf.DUMMYFUNCTION("""COMPUTED_VALUE"""),"ARTIGAS Ivana P.")</f>
        <v>ARTIGAS Ivana P.</v>
      </c>
      <c r="F5059" s="1" t="str">
        <f t="shared" si="1"/>
        <v>ARTIGAS </v>
      </c>
      <c r="G5059" s="1" t="str">
        <f t="shared" si="2"/>
        <v>Ivana P.</v>
      </c>
      <c r="H5059" s="1" t="str">
        <f>IFERROR(__xludf.DUMMYFUNCTION("""COMPUTED_VALUE"""),"17/4/2023, 17:00:00")</f>
        <v>17/4/2023, 17:00:00</v>
      </c>
      <c r="I5059" s="1" t="str">
        <f>IFERROR(__xludf.DUMMYFUNCTION("""COMPUTED_VALUE"""),"Completado en SUCURSAL")</f>
        <v>Completado en SUCURSAL</v>
      </c>
      <c r="J5059" s="1">
        <f t="shared" si="3"/>
        <v>5</v>
      </c>
      <c r="K5059" s="1" t="str">
        <f t="shared" si="4"/>
        <v>Tus Lentes estan LISTAS PARA ENTREGAR, te esperamos.</v>
      </c>
    </row>
    <row r="5060">
      <c r="A5060" s="1">
        <f>IFERROR(__xludf.DUMMYFUNCTION("""COMPUTED_VALUE"""),89625.0)</f>
        <v>89625</v>
      </c>
      <c r="B5060" s="5">
        <f>IFERROR(__xludf.DUMMYFUNCTION("""COMPUTED_VALUE"""),45026.70323372685)</f>
        <v>45026.70323</v>
      </c>
      <c r="C5060" s="1" t="str">
        <f>IFERROR(__xludf.DUMMYFUNCTION("""COMPUTED_VALUE"""),"ECHASSENDAGUE MICAELA")</f>
        <v>ECHASSENDAGUE MICAELA</v>
      </c>
      <c r="D5060" s="1" t="str">
        <f>IFERROR(__xludf.DUMMYFUNCTION("""COMPUTED_VALUE"""),"Lentes de STOCK")</f>
        <v>Lentes de STOCK</v>
      </c>
      <c r="E5060" s="1" t="str">
        <f>IFERROR(__xludf.DUMMYFUNCTION("""COMPUTED_VALUE"""),"ARTIGAS Ivana P.")</f>
        <v>ARTIGAS Ivana P.</v>
      </c>
      <c r="F5060" s="1" t="str">
        <f t="shared" si="1"/>
        <v>ARTIGAS </v>
      </c>
      <c r="G5060" s="1" t="str">
        <f t="shared" si="2"/>
        <v>Ivana P.</v>
      </c>
      <c r="H5060" s="1" t="str">
        <f>IFERROR(__xludf.DUMMYFUNCTION("""COMPUTED_VALUE"""),"14/4/2023, 17:00:00")</f>
        <v>14/4/2023, 17:00:00</v>
      </c>
      <c r="I5060" s="1" t="str">
        <f>IFERROR(__xludf.DUMMYFUNCTION("""COMPUTED_VALUE"""),"Completado en SUCURSAL")</f>
        <v>Completado en SUCURSAL</v>
      </c>
      <c r="J5060" s="1">
        <f t="shared" si="3"/>
        <v>5</v>
      </c>
      <c r="K5060" s="1" t="str">
        <f t="shared" si="4"/>
        <v>Tus Lentes estan LISTAS PARA ENTREGAR, te esperamos.</v>
      </c>
    </row>
    <row r="5061">
      <c r="A5061" s="1">
        <f>IFERROR(__xludf.DUMMYFUNCTION("""COMPUTED_VALUE"""),89626.0)</f>
        <v>89626</v>
      </c>
      <c r="B5061" s="5">
        <f>IFERROR(__xludf.DUMMYFUNCTION("""COMPUTED_VALUE"""),45026.708459375004)</f>
        <v>45026.70846</v>
      </c>
      <c r="C5061" s="1" t="str">
        <f>IFERROR(__xludf.DUMMYFUNCTION("""COMPUTED_VALUE"""),"MONTOYA KARINA")</f>
        <v>MONTOYA KARINA</v>
      </c>
      <c r="D5061" s="1" t="str">
        <f>IFERROR(__xludf.DUMMYFUNCTION("""COMPUTED_VALUE"""),"Lentes de STOCK")</f>
        <v>Lentes de STOCK</v>
      </c>
      <c r="E5061" s="1" t="str">
        <f>IFERROR(__xludf.DUMMYFUNCTION("""COMPUTED_VALUE"""),"RIVADAVIA Christian C.")</f>
        <v>RIVADAVIA Christian C.</v>
      </c>
      <c r="F5061" s="1" t="str">
        <f t="shared" si="1"/>
        <v>RIVADAVIA </v>
      </c>
      <c r="G5061" s="1" t="str">
        <f t="shared" si="2"/>
        <v>Christian C.</v>
      </c>
      <c r="H5061" s="1" t="str">
        <f>IFERROR(__xludf.DUMMYFUNCTION("""COMPUTED_VALUE"""),"18/4/2023, 17:00:00")</f>
        <v>18/4/2023, 17:00:00</v>
      </c>
      <c r="I5061" s="1" t="str">
        <f>IFERROR(__xludf.DUMMYFUNCTION("""COMPUTED_VALUE"""),"Completado en SUCURSAL")</f>
        <v>Completado en SUCURSAL</v>
      </c>
      <c r="J5061" s="1">
        <f t="shared" si="3"/>
        <v>5</v>
      </c>
      <c r="K5061" s="1" t="str">
        <f t="shared" si="4"/>
        <v>Tus Lentes estan LISTAS PARA ENTREGAR, te esperamos.</v>
      </c>
    </row>
    <row r="5062">
      <c r="A5062" s="1">
        <f>IFERROR(__xludf.DUMMYFUNCTION("""COMPUTED_VALUE"""),89627.0)</f>
        <v>89627</v>
      </c>
      <c r="B5062" s="5">
        <f>IFERROR(__xludf.DUMMYFUNCTION("""COMPUTED_VALUE"""),45026.71093408565)</f>
        <v>45026.71093</v>
      </c>
      <c r="C5062" s="1" t="str">
        <f>IFERROR(__xludf.DUMMYFUNCTION("""COMPUTED_VALUE"""),"GOMEZ BLANCA DEL VALLE")</f>
        <v>GOMEZ BLANCA DEL VALLE</v>
      </c>
      <c r="D5062" s="1" t="str">
        <f>IFERROR(__xludf.DUMMYFUNCTION("""COMPUTED_VALUE"""),"Lentes de STOCK")</f>
        <v>Lentes de STOCK</v>
      </c>
      <c r="E5062" s="1" t="str">
        <f>IFERROR(__xludf.DUMMYFUNCTION("""COMPUTED_VALUE"""),"RIVADAVIA Javier")</f>
        <v>RIVADAVIA Javier</v>
      </c>
      <c r="F5062" s="1" t="str">
        <f t="shared" si="1"/>
        <v>RIVADAVIA </v>
      </c>
      <c r="G5062" s="1" t="str">
        <f t="shared" si="2"/>
        <v>Javier</v>
      </c>
      <c r="H5062" s="1" t="str">
        <f>IFERROR(__xludf.DUMMYFUNCTION("""COMPUTED_VALUE"""),"14/4/2023, 17:00:00")</f>
        <v>14/4/2023, 17:00:00</v>
      </c>
      <c r="I5062" s="1" t="str">
        <f>IFERROR(__xludf.DUMMYFUNCTION("""COMPUTED_VALUE"""),"Completado en SUCURSAL")</f>
        <v>Completado en SUCURSAL</v>
      </c>
      <c r="J5062" s="1">
        <f t="shared" si="3"/>
        <v>5</v>
      </c>
      <c r="K5062" s="1" t="str">
        <f t="shared" si="4"/>
        <v>Tus Lentes estan LISTAS PARA ENTREGAR, te esperamos.</v>
      </c>
    </row>
    <row r="5063">
      <c r="A5063" s="1">
        <f>IFERROR(__xludf.DUMMYFUNCTION("""COMPUTED_VALUE"""),89628.0)</f>
        <v>89628</v>
      </c>
      <c r="B5063" s="5">
        <f>IFERROR(__xludf.DUMMYFUNCTION("""COMPUTED_VALUE"""),45026.71260215278)</f>
        <v>45026.7126</v>
      </c>
      <c r="C5063" s="1" t="str">
        <f>IFERROR(__xludf.DUMMYFUNCTION("""COMPUTED_VALUE"""),"ARCURI STEFANIA")</f>
        <v>ARCURI STEFANIA</v>
      </c>
      <c r="D5063" s="1" t="str">
        <f>IFERROR(__xludf.DUMMYFUNCTION("""COMPUTED_VALUE"""),"Lentes de STOCK")</f>
        <v>Lentes de STOCK</v>
      </c>
      <c r="E5063" s="1" t="str">
        <f>IFERROR(__xludf.DUMMYFUNCTION("""COMPUTED_VALUE"""),"RIVADAVIA Javier")</f>
        <v>RIVADAVIA Javier</v>
      </c>
      <c r="F5063" s="1" t="str">
        <f t="shared" si="1"/>
        <v>RIVADAVIA </v>
      </c>
      <c r="G5063" s="1" t="str">
        <f t="shared" si="2"/>
        <v>Javier</v>
      </c>
      <c r="H5063" s="1" t="str">
        <f>IFERROR(__xludf.DUMMYFUNCTION("""COMPUTED_VALUE"""),"14/4/2023, 17:00:00")</f>
        <v>14/4/2023, 17:00:00</v>
      </c>
      <c r="I5063" s="1" t="str">
        <f>IFERROR(__xludf.DUMMYFUNCTION("""COMPUTED_VALUE"""),"Completado en SUCURSAL")</f>
        <v>Completado en SUCURSAL</v>
      </c>
      <c r="J5063" s="1">
        <f t="shared" si="3"/>
        <v>5</v>
      </c>
      <c r="K5063" s="1" t="str">
        <f t="shared" si="4"/>
        <v>Tus Lentes estan LISTAS PARA ENTREGAR, te esperamos.</v>
      </c>
    </row>
    <row r="5064">
      <c r="A5064" s="1">
        <f>IFERROR(__xludf.DUMMYFUNCTION("""COMPUTED_VALUE"""),89629.0)</f>
        <v>89629</v>
      </c>
      <c r="B5064" s="5">
        <f>IFERROR(__xludf.DUMMYFUNCTION("""COMPUTED_VALUE"""),45026.71767644676)</f>
        <v>45026.71768</v>
      </c>
      <c r="C5064" s="1" t="str">
        <f>IFERROR(__xludf.DUMMYFUNCTION("""COMPUTED_VALUE"""),"PUERTAS SEBASTIAN ")</f>
        <v>PUERTAS SEBASTIAN </v>
      </c>
      <c r="D5064" s="1" t="str">
        <f>IFERROR(__xludf.DUMMYFUNCTION("""COMPUTED_VALUE"""),"Lentes de STOCK")</f>
        <v>Lentes de STOCK</v>
      </c>
      <c r="E5064" s="1" t="str">
        <f>IFERROR(__xludf.DUMMYFUNCTION("""COMPUTED_VALUE"""),"Otro (LUCIANA ARTIGAS)")</f>
        <v>Otro (LUCIANA ARTIGAS)</v>
      </c>
      <c r="F5064" s="1" t="str">
        <f t="shared" si="1"/>
        <v>Otro </v>
      </c>
      <c r="G5064" s="1" t="str">
        <f t="shared" si="2"/>
        <v>(LUCIANA ARTIGAS)</v>
      </c>
      <c r="H5064" s="1" t="str">
        <f>IFERROR(__xludf.DUMMYFUNCTION("""COMPUTED_VALUE"""),"17/4/2023, 17:00:00")</f>
        <v>17/4/2023, 17:00:00</v>
      </c>
      <c r="I5064" s="1" t="str">
        <f>IFERROR(__xludf.DUMMYFUNCTION("""COMPUTED_VALUE"""),"Completado en SUCURSAL")</f>
        <v>Completado en SUCURSAL</v>
      </c>
      <c r="J5064" s="1">
        <f t="shared" si="3"/>
        <v>5</v>
      </c>
      <c r="K5064" s="1" t="str">
        <f t="shared" si="4"/>
        <v>Tus Lentes estan LISTAS PARA ENTREGAR, te esperamos.</v>
      </c>
    </row>
    <row r="5065">
      <c r="A5065" s="1">
        <f>IFERROR(__xludf.DUMMYFUNCTION("""COMPUTED_VALUE"""),89630.0)</f>
        <v>89630</v>
      </c>
      <c r="B5065" s="5">
        <f>IFERROR(__xludf.DUMMYFUNCTION("""COMPUTED_VALUE"""),45026.72468771991)</f>
        <v>45026.72469</v>
      </c>
      <c r="C5065" s="1" t="str">
        <f>IFERROR(__xludf.DUMMYFUNCTION("""COMPUTED_VALUE"""),"FERNANDEZ LUCAS")</f>
        <v>FERNANDEZ LUCAS</v>
      </c>
      <c r="D5065" s="1" t="str">
        <f>IFERROR(__xludf.DUMMYFUNCTION("""COMPUTED_VALUE"""),"Reparaciones/Otros")</f>
        <v>Reparaciones/Otros</v>
      </c>
      <c r="E5065" s="1" t="str">
        <f>IFERROR(__xludf.DUMMYFUNCTION("""COMPUTED_VALUE"""),"Otro (LUCIANA ARTIGAS)")</f>
        <v>Otro (LUCIANA ARTIGAS)</v>
      </c>
      <c r="F5065" s="1" t="str">
        <f t="shared" si="1"/>
        <v>Otro </v>
      </c>
      <c r="G5065" s="1" t="str">
        <f t="shared" si="2"/>
        <v>(LUCIANA ARTIGAS)</v>
      </c>
      <c r="H5065" s="1" t="str">
        <f>IFERROR(__xludf.DUMMYFUNCTION("""COMPUTED_VALUE"""),"12/4/2023, 17:00:00")</f>
        <v>12/4/2023, 17:00:00</v>
      </c>
      <c r="I5065" s="1" t="str">
        <f>IFERROR(__xludf.DUMMYFUNCTION("""COMPUTED_VALUE"""),"Recibido en Laboratorio")</f>
        <v>Recibido en Laboratorio</v>
      </c>
      <c r="J5065" s="1">
        <f t="shared" si="3"/>
        <v>2</v>
      </c>
      <c r="K5065" s="1" t="str">
        <f t="shared" si="4"/>
        <v>Nuestro Laboratorio esta trabajando en tus lentes, los entregaremos en la fecha acordada.</v>
      </c>
    </row>
    <row r="5066">
      <c r="A5066" s="1">
        <f>IFERROR(__xludf.DUMMYFUNCTION("""COMPUTED_VALUE"""),89631.0)</f>
        <v>89631</v>
      </c>
      <c r="B5066" s="5">
        <f>IFERROR(__xludf.DUMMYFUNCTION("""COMPUTED_VALUE"""),45026.72624752315)</f>
        <v>45026.72625</v>
      </c>
      <c r="C5066" s="1" t="str">
        <f>IFERROR(__xludf.DUMMYFUNCTION("""COMPUTED_VALUE"""),"Calderon Mirta")</f>
        <v>Calderon Mirta</v>
      </c>
      <c r="D5066" s="1" t="str">
        <f>IFERROR(__xludf.DUMMYFUNCTION("""COMPUTED_VALUE"""),"Reparaciones/Otros")</f>
        <v>Reparaciones/Otros</v>
      </c>
      <c r="E5066" s="1" t="str">
        <f>IFERROR(__xludf.DUMMYFUNCTION("""COMPUTED_VALUE"""),"ARTIGAS Micaela")</f>
        <v>ARTIGAS Micaela</v>
      </c>
      <c r="F5066" s="1" t="str">
        <f t="shared" si="1"/>
        <v>ARTIGAS </v>
      </c>
      <c r="G5066" s="1" t="str">
        <f t="shared" si="2"/>
        <v>Micaela</v>
      </c>
      <c r="H5066" s="1" t="str">
        <f>IFERROR(__xludf.DUMMYFUNCTION("""COMPUTED_VALUE"""),"11/4/2023, 17:00:00")</f>
        <v>11/4/2023, 17:00:00</v>
      </c>
      <c r="I5066" s="1" t="str">
        <f>IFERROR(__xludf.DUMMYFUNCTION("""COMPUTED_VALUE"""),"Completado en SUCURSAL")</f>
        <v>Completado en SUCURSAL</v>
      </c>
      <c r="J5066" s="1">
        <f t="shared" si="3"/>
        <v>5</v>
      </c>
      <c r="K5066" s="1" t="str">
        <f t="shared" si="4"/>
        <v>Tus Lentes estan LISTAS PARA ENTREGAR, te esperamos.</v>
      </c>
    </row>
    <row r="5067">
      <c r="A5067" s="1">
        <f>IFERROR(__xludf.DUMMYFUNCTION("""COMPUTED_VALUE"""),89632.0)</f>
        <v>89632</v>
      </c>
      <c r="B5067" s="5">
        <f>IFERROR(__xludf.DUMMYFUNCTION("""COMPUTED_VALUE"""),45026.73825355324)</f>
        <v>45026.73825</v>
      </c>
      <c r="C5067" s="1" t="str">
        <f>IFERROR(__xludf.DUMMYFUNCTION("""COMPUTED_VALUE"""),"rosales nicolas")</f>
        <v>rosales nicolas</v>
      </c>
      <c r="D5067" s="1" t="str">
        <f>IFERROR(__xludf.DUMMYFUNCTION("""COMPUTED_VALUE"""),"Reparaciones/Otros")</f>
        <v>Reparaciones/Otros</v>
      </c>
      <c r="E5067" s="1" t="str">
        <f>IFERROR(__xludf.DUMMYFUNCTION("""COMPUTED_VALUE"""),"RIVADAVIA Daniel CM")</f>
        <v>RIVADAVIA Daniel CM</v>
      </c>
      <c r="F5067" s="1" t="str">
        <f t="shared" si="1"/>
        <v>RIVADAVIA </v>
      </c>
      <c r="G5067" s="1" t="str">
        <f t="shared" si="2"/>
        <v>Daniel CM</v>
      </c>
      <c r="H5067" s="1" t="str">
        <f>IFERROR(__xludf.DUMMYFUNCTION("""COMPUTED_VALUE"""),"11/4/2023, 17:00:00")</f>
        <v>11/4/2023, 17:00:00</v>
      </c>
      <c r="I5067" s="1" t="str">
        <f>IFERROR(__xludf.DUMMYFUNCTION("""COMPUTED_VALUE"""),"Completado en SUCURSAL")</f>
        <v>Completado en SUCURSAL</v>
      </c>
      <c r="J5067" s="1">
        <f t="shared" si="3"/>
        <v>5</v>
      </c>
      <c r="K5067" s="1" t="str">
        <f t="shared" si="4"/>
        <v>Tus Lentes estan LISTAS PARA ENTREGAR, te esperamos.</v>
      </c>
    </row>
    <row r="5068">
      <c r="A5068" s="1">
        <f>IFERROR(__xludf.DUMMYFUNCTION("""COMPUTED_VALUE"""),89633.0)</f>
        <v>89633</v>
      </c>
      <c r="B5068" s="5">
        <f>IFERROR(__xludf.DUMMYFUNCTION("""COMPUTED_VALUE"""),45026.73918667824)</f>
        <v>45026.73919</v>
      </c>
      <c r="C5068" s="1" t="str">
        <f>IFERROR(__xludf.DUMMYFUNCTION("""COMPUTED_VALUE"""),"Reynoso Azul")</f>
        <v>Reynoso Azul</v>
      </c>
      <c r="D5068" s="1" t="str">
        <f>IFERROR(__xludf.DUMMYFUNCTION("""COMPUTED_VALUE"""),"Reparaciones/Otros")</f>
        <v>Reparaciones/Otros</v>
      </c>
      <c r="E5068" s="1" t="str">
        <f>IFERROR(__xludf.DUMMYFUNCTION("""COMPUTED_VALUE"""),"ARTIGAS Micaela")</f>
        <v>ARTIGAS Micaela</v>
      </c>
      <c r="F5068" s="1" t="str">
        <f t="shared" si="1"/>
        <v>ARTIGAS </v>
      </c>
      <c r="G5068" s="1" t="str">
        <f t="shared" si="2"/>
        <v>Micaela</v>
      </c>
      <c r="H5068" s="1" t="str">
        <f>IFERROR(__xludf.DUMMYFUNCTION("""COMPUTED_VALUE"""),"11/4/2023, 17:00:00")</f>
        <v>11/4/2023, 17:00:00</v>
      </c>
      <c r="I5068" s="1" t="str">
        <f>IFERROR(__xludf.DUMMYFUNCTION("""COMPUTED_VALUE"""),"Completado en SUCURSAL")</f>
        <v>Completado en SUCURSAL</v>
      </c>
      <c r="J5068" s="1">
        <f t="shared" si="3"/>
        <v>5</v>
      </c>
      <c r="K5068" s="1" t="str">
        <f t="shared" si="4"/>
        <v>Tus Lentes estan LISTAS PARA ENTREGAR, te esperamos.</v>
      </c>
    </row>
    <row r="5069">
      <c r="A5069" s="1">
        <f>IFERROR(__xludf.DUMMYFUNCTION("""COMPUTED_VALUE"""),89634.0)</f>
        <v>89634</v>
      </c>
      <c r="B5069" s="5">
        <f>IFERROR(__xludf.DUMMYFUNCTION("""COMPUTED_VALUE"""),45026.74070273148)</f>
        <v>45026.7407</v>
      </c>
      <c r="C5069" s="1" t="str">
        <f>IFERROR(__xludf.DUMMYFUNCTION("""COMPUTED_VALUE"""),"ALESSINA CARLA ANTONELA")</f>
        <v>ALESSINA CARLA ANTONELA</v>
      </c>
      <c r="D5069" s="1" t="str">
        <f>IFERROR(__xludf.DUMMYFUNCTION("""COMPUTED_VALUE"""),"Lentes de STOCK")</f>
        <v>Lentes de STOCK</v>
      </c>
      <c r="E5069" s="1" t="str">
        <f>IFERROR(__xludf.DUMMYFUNCTION("""COMPUTED_VALUE"""),"RIVADAVIA Daniel CM")</f>
        <v>RIVADAVIA Daniel CM</v>
      </c>
      <c r="F5069" s="1" t="str">
        <f t="shared" si="1"/>
        <v>RIVADAVIA </v>
      </c>
      <c r="G5069" s="1" t="str">
        <f t="shared" si="2"/>
        <v>Daniel CM</v>
      </c>
      <c r="H5069" s="1" t="str">
        <f>IFERROR(__xludf.DUMMYFUNCTION("""COMPUTED_VALUE"""),"14/4/2023, 17:00:00")</f>
        <v>14/4/2023, 17:00:00</v>
      </c>
      <c r="I5069" s="1" t="str">
        <f>IFERROR(__xludf.DUMMYFUNCTION("""COMPUTED_VALUE"""),"Completado en SUCURSAL")</f>
        <v>Completado en SUCURSAL</v>
      </c>
      <c r="J5069" s="1">
        <f t="shared" si="3"/>
        <v>5</v>
      </c>
      <c r="K5069" s="1" t="str">
        <f t="shared" si="4"/>
        <v>Tus Lentes estan LISTAS PARA ENTREGAR, te esperamos.</v>
      </c>
    </row>
    <row r="5070">
      <c r="A5070" s="1">
        <f>IFERROR(__xludf.DUMMYFUNCTION("""COMPUTED_VALUE"""),89635.0)</f>
        <v>89635</v>
      </c>
      <c r="B5070" s="5">
        <f>IFERROR(__xludf.DUMMYFUNCTION("""COMPUTED_VALUE"""),45026.742917951386)</f>
        <v>45026.74292</v>
      </c>
      <c r="C5070" s="1" t="str">
        <f>IFERROR(__xludf.DUMMYFUNCTION("""COMPUTED_VALUE"""),"VAZQUEZ ALICIA")</f>
        <v>VAZQUEZ ALICIA</v>
      </c>
      <c r="D5070" s="1" t="str">
        <f>IFERROR(__xludf.DUMMYFUNCTION("""COMPUTED_VALUE"""),"Lentes de STOCK")</f>
        <v>Lentes de STOCK</v>
      </c>
      <c r="E5070" s="1" t="str">
        <f>IFERROR(__xludf.DUMMYFUNCTION("""COMPUTED_VALUE"""),"ARTIGAS Ivana P.")</f>
        <v>ARTIGAS Ivana P.</v>
      </c>
      <c r="F5070" s="1" t="str">
        <f t="shared" si="1"/>
        <v>ARTIGAS </v>
      </c>
      <c r="G5070" s="1" t="str">
        <f t="shared" si="2"/>
        <v>Ivana P.</v>
      </c>
      <c r="H5070" s="1" t="str">
        <f>IFERROR(__xludf.DUMMYFUNCTION("""COMPUTED_VALUE"""),"14/4/2023, 17:00:00")</f>
        <v>14/4/2023, 17:00:00</v>
      </c>
      <c r="I5070" s="1" t="str">
        <f>IFERROR(__xludf.DUMMYFUNCTION("""COMPUTED_VALUE"""),"Completado en SUCURSAL")</f>
        <v>Completado en SUCURSAL</v>
      </c>
      <c r="J5070" s="1">
        <f t="shared" si="3"/>
        <v>5</v>
      </c>
      <c r="K5070" s="1" t="str">
        <f t="shared" si="4"/>
        <v>Tus Lentes estan LISTAS PARA ENTREGAR, te esperamos.</v>
      </c>
    </row>
    <row r="5071">
      <c r="A5071" s="1">
        <f>IFERROR(__xludf.DUMMYFUNCTION("""COMPUTED_VALUE"""),89636.0)</f>
        <v>89636</v>
      </c>
      <c r="B5071" s="5">
        <f>IFERROR(__xludf.DUMMYFUNCTION("""COMPUTED_VALUE"""),45026.74460896991)</f>
        <v>45026.74461</v>
      </c>
      <c r="C5071" s="1" t="str">
        <f>IFERROR(__xludf.DUMMYFUNCTION("""COMPUTED_VALUE"""),"Garay Carlos ")</f>
        <v>Garay Carlos </v>
      </c>
      <c r="D5071" s="1" t="str">
        <f>IFERROR(__xludf.DUMMYFUNCTION("""COMPUTED_VALUE"""),"Reparaciones/Otros")</f>
        <v>Reparaciones/Otros</v>
      </c>
      <c r="E5071" s="1" t="str">
        <f>IFERROR(__xludf.DUMMYFUNCTION("""COMPUTED_VALUE"""),"ARTIGAS Micaela")</f>
        <v>ARTIGAS Micaela</v>
      </c>
      <c r="F5071" s="1" t="str">
        <f t="shared" si="1"/>
        <v>ARTIGAS </v>
      </c>
      <c r="G5071" s="1" t="str">
        <f t="shared" si="2"/>
        <v>Micaela</v>
      </c>
      <c r="H5071" s="1" t="str">
        <f>IFERROR(__xludf.DUMMYFUNCTION("""COMPUTED_VALUE"""),"11/4/2023, 17:00:00")</f>
        <v>11/4/2023, 17:00:00</v>
      </c>
      <c r="I5071" s="1" t="str">
        <f>IFERROR(__xludf.DUMMYFUNCTION("""COMPUTED_VALUE"""),"Recibido en Laboratorio")</f>
        <v>Recibido en Laboratorio</v>
      </c>
      <c r="J5071" s="1">
        <f t="shared" si="3"/>
        <v>2</v>
      </c>
      <c r="K5071" s="1" t="str">
        <f t="shared" si="4"/>
        <v>Nuestro Laboratorio esta trabajando en tus lentes, los entregaremos en la fecha acordada.</v>
      </c>
    </row>
    <row r="5072">
      <c r="A5072" s="1">
        <f>IFERROR(__xludf.DUMMYFUNCTION("""COMPUTED_VALUE"""),89637.0)</f>
        <v>89637</v>
      </c>
      <c r="B5072" s="5">
        <f>IFERROR(__xludf.DUMMYFUNCTION("""COMPUTED_VALUE"""),45026.74529344907)</f>
        <v>45026.74529</v>
      </c>
      <c r="C5072" s="1" t="str">
        <f>IFERROR(__xludf.DUMMYFUNCTION("""COMPUTED_VALUE"""),"CORTES LUCIA ANAHI")</f>
        <v>CORTES LUCIA ANAHI</v>
      </c>
      <c r="D5072" s="1" t="str">
        <f>IFERROR(__xludf.DUMMYFUNCTION("""COMPUTED_VALUE"""),"Lentes de STOCK")</f>
        <v>Lentes de STOCK</v>
      </c>
      <c r="E5072" s="1" t="str">
        <f>IFERROR(__xludf.DUMMYFUNCTION("""COMPUTED_VALUE"""),"Otro (LUCIANA ARTIGAS)")</f>
        <v>Otro (LUCIANA ARTIGAS)</v>
      </c>
      <c r="F5072" s="1" t="str">
        <f t="shared" si="1"/>
        <v>Otro </v>
      </c>
      <c r="G5072" s="1" t="str">
        <f t="shared" si="2"/>
        <v>(LUCIANA ARTIGAS)</v>
      </c>
      <c r="H5072" s="1" t="str">
        <f>IFERROR(__xludf.DUMMYFUNCTION("""COMPUTED_VALUE"""),"14/4/2023, 17:00:00")</f>
        <v>14/4/2023, 17:00:00</v>
      </c>
      <c r="I5072" s="1" t="str">
        <f>IFERROR(__xludf.DUMMYFUNCTION("""COMPUTED_VALUE"""),"Completado en SUCURSAL")</f>
        <v>Completado en SUCURSAL</v>
      </c>
      <c r="J5072" s="1">
        <f t="shared" si="3"/>
        <v>5</v>
      </c>
      <c r="K5072" s="1" t="str">
        <f t="shared" si="4"/>
        <v>Tus Lentes estan LISTAS PARA ENTREGAR, te esperamos.</v>
      </c>
    </row>
    <row r="5073">
      <c r="A5073" s="1">
        <f>IFERROR(__xludf.DUMMYFUNCTION("""COMPUTED_VALUE"""),89638.0)</f>
        <v>89638</v>
      </c>
      <c r="B5073" s="5">
        <f>IFERROR(__xludf.DUMMYFUNCTION("""COMPUTED_VALUE"""),45026.748968541666)</f>
        <v>45026.74897</v>
      </c>
      <c r="C5073" s="1" t="str">
        <f>IFERROR(__xludf.DUMMYFUNCTION("""COMPUTED_VALUE"""),"ZAMBRANO TOMASA")</f>
        <v>ZAMBRANO TOMASA</v>
      </c>
      <c r="D5073" s="1" t="str">
        <f>IFERROR(__xludf.DUMMYFUNCTION("""COMPUTED_VALUE"""),"Lentes de STOCK")</f>
        <v>Lentes de STOCK</v>
      </c>
      <c r="E5073" s="1" t="str">
        <f>IFERROR(__xludf.DUMMYFUNCTION("""COMPUTED_VALUE"""),"ARTIGAS Ivana P.")</f>
        <v>ARTIGAS Ivana P.</v>
      </c>
      <c r="F5073" s="1" t="str">
        <f t="shared" si="1"/>
        <v>ARTIGAS </v>
      </c>
      <c r="G5073" s="1" t="str">
        <f t="shared" si="2"/>
        <v>Ivana P.</v>
      </c>
      <c r="H5073" s="1" t="str">
        <f>IFERROR(__xludf.DUMMYFUNCTION("""COMPUTED_VALUE"""),"14/4/2023, 17:00:00")</f>
        <v>14/4/2023, 17:00:00</v>
      </c>
      <c r="I5073" s="1" t="str">
        <f>IFERROR(__xludf.DUMMYFUNCTION("""COMPUTED_VALUE"""),"Completado en SUCURSAL")</f>
        <v>Completado en SUCURSAL</v>
      </c>
      <c r="J5073" s="1">
        <f t="shared" si="3"/>
        <v>5</v>
      </c>
      <c r="K5073" s="1" t="str">
        <f t="shared" si="4"/>
        <v>Tus Lentes estan LISTAS PARA ENTREGAR, te esperamos.</v>
      </c>
    </row>
    <row r="5074">
      <c r="A5074" s="1">
        <f>IFERROR(__xludf.DUMMYFUNCTION("""COMPUTED_VALUE"""),89639.0)</f>
        <v>89639</v>
      </c>
      <c r="B5074" s="5">
        <f>IFERROR(__xludf.DUMMYFUNCTION("""COMPUTED_VALUE"""),45026.75298608796)</f>
        <v>45026.75299</v>
      </c>
      <c r="C5074" s="1" t="str">
        <f>IFERROR(__xludf.DUMMYFUNCTION("""COMPUTED_VALUE"""),"lopez florencia")</f>
        <v>lopez florencia</v>
      </c>
      <c r="D5074" s="1" t="str">
        <f>IFERROR(__xludf.DUMMYFUNCTION("""COMPUTED_VALUE"""),"Reparaciones/Otros")</f>
        <v>Reparaciones/Otros</v>
      </c>
      <c r="E5074" s="1" t="str">
        <f>IFERROR(__xludf.DUMMYFUNCTION("""COMPUTED_VALUE"""),"RIVADAVIA Daniel CM")</f>
        <v>RIVADAVIA Daniel CM</v>
      </c>
      <c r="F5074" s="1" t="str">
        <f t="shared" si="1"/>
        <v>RIVADAVIA </v>
      </c>
      <c r="G5074" s="1" t="str">
        <f t="shared" si="2"/>
        <v>Daniel CM</v>
      </c>
      <c r="H5074" s="1" t="str">
        <f>IFERROR(__xludf.DUMMYFUNCTION("""COMPUTED_VALUE"""),"11/4/2023, 17:00:00")</f>
        <v>11/4/2023, 17:00:00</v>
      </c>
      <c r="I5074" s="1" t="str">
        <f>IFERROR(__xludf.DUMMYFUNCTION("""COMPUTED_VALUE"""),"Completado en SUCURSAL")</f>
        <v>Completado en SUCURSAL</v>
      </c>
      <c r="J5074" s="1">
        <f t="shared" si="3"/>
        <v>5</v>
      </c>
      <c r="K5074" s="1" t="str">
        <f t="shared" si="4"/>
        <v>Tus Lentes estan LISTAS PARA ENTREGAR, te esperamos.</v>
      </c>
    </row>
    <row r="5075">
      <c r="A5075" s="1">
        <f>IFERROR(__xludf.DUMMYFUNCTION("""COMPUTED_VALUE"""),89640.0)</f>
        <v>89640</v>
      </c>
      <c r="B5075" s="5">
        <f>IFERROR(__xludf.DUMMYFUNCTION("""COMPUTED_VALUE"""),45026.753837662036)</f>
        <v>45026.75384</v>
      </c>
      <c r="C5075" s="1" t="str">
        <f>IFERROR(__xludf.DUMMYFUNCTION("""COMPUTED_VALUE"""),"ojdeda virginia")</f>
        <v>ojdeda virginia</v>
      </c>
      <c r="D5075" s="1" t="str">
        <f>IFERROR(__xludf.DUMMYFUNCTION("""COMPUTED_VALUE"""),"Lentes de STOCK")</f>
        <v>Lentes de STOCK</v>
      </c>
      <c r="E5075" s="1" t="str">
        <f>IFERROR(__xludf.DUMMYFUNCTION("""COMPUTED_VALUE"""),"RIVADAVIA Santiago LOPEZ")</f>
        <v>RIVADAVIA Santiago LOPEZ</v>
      </c>
      <c r="F5075" s="1" t="str">
        <f t="shared" si="1"/>
        <v>RIVADAVIA </v>
      </c>
      <c r="G5075" s="1" t="str">
        <f t="shared" si="2"/>
        <v>Santiago LOPEZ</v>
      </c>
      <c r="H5075" s="1" t="str">
        <f>IFERROR(__xludf.DUMMYFUNCTION("""COMPUTED_VALUE"""),"14/4/2023, 17:00:00")</f>
        <v>14/4/2023, 17:00:00</v>
      </c>
      <c r="I5075" s="1" t="str">
        <f>IFERROR(__xludf.DUMMYFUNCTION("""COMPUTED_VALUE"""),"Completado en SUCURSAL")</f>
        <v>Completado en SUCURSAL</v>
      </c>
      <c r="J5075" s="1">
        <f t="shared" si="3"/>
        <v>5</v>
      </c>
      <c r="K5075" s="1" t="str">
        <f t="shared" si="4"/>
        <v>Tus Lentes estan LISTAS PARA ENTREGAR, te esperamos.</v>
      </c>
    </row>
    <row r="5076">
      <c r="A5076" s="1">
        <f>IFERROR(__xludf.DUMMYFUNCTION("""COMPUTED_VALUE"""),89641.0)</f>
        <v>89641</v>
      </c>
      <c r="B5076" s="5">
        <f>IFERROR(__xludf.DUMMYFUNCTION("""COMPUTED_VALUE"""),45026.763682731485)</f>
        <v>45026.76368</v>
      </c>
      <c r="C5076" s="1" t="str">
        <f>IFERROR(__xludf.DUMMYFUNCTION("""COMPUTED_VALUE"""),"MASSARES LUIS")</f>
        <v>MASSARES LUIS</v>
      </c>
      <c r="D5076" s="1" t="str">
        <f>IFERROR(__xludf.DUMMYFUNCTION("""COMPUTED_VALUE"""),"Reparaciones/Otros")</f>
        <v>Reparaciones/Otros</v>
      </c>
      <c r="E5076" s="1" t="str">
        <f>IFERROR(__xludf.DUMMYFUNCTION("""COMPUTED_VALUE"""),"RIVADAVIA Christian C.")</f>
        <v>RIVADAVIA Christian C.</v>
      </c>
      <c r="F5076" s="1" t="str">
        <f t="shared" si="1"/>
        <v>RIVADAVIA </v>
      </c>
      <c r="G5076" s="1" t="str">
        <f t="shared" si="2"/>
        <v>Christian C.</v>
      </c>
      <c r="H5076" s="1" t="str">
        <f>IFERROR(__xludf.DUMMYFUNCTION("""COMPUTED_VALUE"""),"12/4/2023, 17:00:00")</f>
        <v>12/4/2023, 17:00:00</v>
      </c>
      <c r="I5076" s="1" t="str">
        <f>IFERROR(__xludf.DUMMYFUNCTION("""COMPUTED_VALUE"""),"Completado en SUCURSAL")</f>
        <v>Completado en SUCURSAL</v>
      </c>
      <c r="J5076" s="1">
        <f t="shared" si="3"/>
        <v>5</v>
      </c>
      <c r="K5076" s="1" t="str">
        <f t="shared" si="4"/>
        <v>Tus Lentes estan LISTAS PARA ENTREGAR, te esperamos.</v>
      </c>
    </row>
    <row r="5077">
      <c r="A5077" s="1">
        <f>IFERROR(__xludf.DUMMYFUNCTION("""COMPUTED_VALUE"""),89642.0)</f>
        <v>89642</v>
      </c>
      <c r="B5077" s="5">
        <f>IFERROR(__xludf.DUMMYFUNCTION("""COMPUTED_VALUE"""),45026.76443119213)</f>
        <v>45026.76443</v>
      </c>
      <c r="C5077" s="1" t="str">
        <f>IFERROR(__xludf.DUMMYFUNCTION("""COMPUTED_VALUE"""),"jacobsohn Andres")</f>
        <v>jacobsohn Andres</v>
      </c>
      <c r="D5077" s="1" t="str">
        <f>IFERROR(__xludf.DUMMYFUNCTION("""COMPUTED_VALUE"""),"Reparaciones/Otros")</f>
        <v>Reparaciones/Otros</v>
      </c>
      <c r="E5077" s="1" t="str">
        <f>IFERROR(__xludf.DUMMYFUNCTION("""COMPUTED_VALUE"""),"ARTIGAS Micaela")</f>
        <v>ARTIGAS Micaela</v>
      </c>
      <c r="F5077" s="1" t="str">
        <f t="shared" si="1"/>
        <v>ARTIGAS </v>
      </c>
      <c r="G5077" s="1" t="str">
        <f t="shared" si="2"/>
        <v>Micaela</v>
      </c>
      <c r="H5077" s="1" t="str">
        <f>IFERROR(__xludf.DUMMYFUNCTION("""COMPUTED_VALUE"""),"11/4/2023, 17:00:00")</f>
        <v>11/4/2023, 17:00:00</v>
      </c>
      <c r="I5077" s="1" t="str">
        <f>IFERROR(__xludf.DUMMYFUNCTION("""COMPUTED_VALUE"""),"Completado en SUCURSAL")</f>
        <v>Completado en SUCURSAL</v>
      </c>
      <c r="J5077" s="1">
        <f t="shared" si="3"/>
        <v>5</v>
      </c>
      <c r="K5077" s="1" t="str">
        <f t="shared" si="4"/>
        <v>Tus Lentes estan LISTAS PARA ENTREGAR, te esperamos.</v>
      </c>
    </row>
    <row r="5078">
      <c r="A5078" s="1">
        <f>IFERROR(__xludf.DUMMYFUNCTION("""COMPUTED_VALUE"""),89643.0)</f>
        <v>89643</v>
      </c>
      <c r="B5078" s="5">
        <f>IFERROR(__xludf.DUMMYFUNCTION("""COMPUTED_VALUE"""),45026.76773802083)</f>
        <v>45026.76774</v>
      </c>
      <c r="C5078" s="1" t="str">
        <f>IFERROR(__xludf.DUMMYFUNCTION("""COMPUTED_VALUE"""),"covis rodriguez jesus")</f>
        <v>covis rodriguez jesus</v>
      </c>
      <c r="D5078" s="1" t="str">
        <f>IFERROR(__xludf.DUMMYFUNCTION("""COMPUTED_VALUE"""),"Lentes de STOCK")</f>
        <v>Lentes de STOCK</v>
      </c>
      <c r="E5078" s="1" t="str">
        <f>IFERROR(__xludf.DUMMYFUNCTION("""COMPUTED_VALUE"""),"RIVADAVIA Santiago N")</f>
        <v>RIVADAVIA Santiago N</v>
      </c>
      <c r="F5078" s="1" t="str">
        <f t="shared" si="1"/>
        <v>RIVADAVIA </v>
      </c>
      <c r="G5078" s="1" t="str">
        <f t="shared" si="2"/>
        <v>Santiago N</v>
      </c>
      <c r="H5078" s="1" t="str">
        <f>IFERROR(__xludf.DUMMYFUNCTION("""COMPUTED_VALUE"""),"14/4/2023, 17:00:00")</f>
        <v>14/4/2023, 17:00:00</v>
      </c>
      <c r="I5078" s="1" t="str">
        <f>IFERROR(__xludf.DUMMYFUNCTION("""COMPUTED_VALUE"""),"Completado en SUCURSAL")</f>
        <v>Completado en SUCURSAL</v>
      </c>
      <c r="J5078" s="1">
        <f t="shared" si="3"/>
        <v>5</v>
      </c>
      <c r="K5078" s="1" t="str">
        <f t="shared" si="4"/>
        <v>Tus Lentes estan LISTAS PARA ENTREGAR, te esperamos.</v>
      </c>
    </row>
    <row r="5079">
      <c r="A5079" s="1">
        <f>IFERROR(__xludf.DUMMYFUNCTION("""COMPUTED_VALUE"""),89644.0)</f>
        <v>89644</v>
      </c>
      <c r="B5079" s="5">
        <f>IFERROR(__xludf.DUMMYFUNCTION("""COMPUTED_VALUE"""),45026.76912564815)</f>
        <v>45026.76913</v>
      </c>
      <c r="C5079" s="1" t="str">
        <f>IFERROR(__xludf.DUMMYFUNCTION("""COMPUTED_VALUE"""),"NEIRA RAUL SERVANDO")</f>
        <v>NEIRA RAUL SERVANDO</v>
      </c>
      <c r="D5079" s="1" t="str">
        <f>IFERROR(__xludf.DUMMYFUNCTION("""COMPUTED_VALUE"""),"Lentes de STOCK")</f>
        <v>Lentes de STOCK</v>
      </c>
      <c r="E5079" s="1" t="str">
        <f>IFERROR(__xludf.DUMMYFUNCTION("""COMPUTED_VALUE"""),"Otro (LUCIANA ARTIGAS)")</f>
        <v>Otro (LUCIANA ARTIGAS)</v>
      </c>
      <c r="F5079" s="1" t="str">
        <f t="shared" si="1"/>
        <v>Otro </v>
      </c>
      <c r="G5079" s="1" t="str">
        <f t="shared" si="2"/>
        <v>(LUCIANA ARTIGAS)</v>
      </c>
      <c r="H5079" s="1" t="str">
        <f>IFERROR(__xludf.DUMMYFUNCTION("""COMPUTED_VALUE"""),"17/4/2023, 17:00:00")</f>
        <v>17/4/2023, 17:00:00</v>
      </c>
      <c r="I5079" s="1" t="str">
        <f>IFERROR(__xludf.DUMMYFUNCTION("""COMPUTED_VALUE"""),"Completado en SUCURSAL")</f>
        <v>Completado en SUCURSAL</v>
      </c>
      <c r="J5079" s="1">
        <f t="shared" si="3"/>
        <v>5</v>
      </c>
      <c r="K5079" s="1" t="str">
        <f t="shared" si="4"/>
        <v>Tus Lentes estan LISTAS PARA ENTREGAR, te esperamos.</v>
      </c>
    </row>
    <row r="5080">
      <c r="A5080" s="1">
        <f>IFERROR(__xludf.DUMMYFUNCTION("""COMPUTED_VALUE"""),89645.0)</f>
        <v>89645</v>
      </c>
      <c r="B5080" s="5">
        <f>IFERROR(__xludf.DUMMYFUNCTION("""COMPUTED_VALUE"""),45026.77042652778)</f>
        <v>45026.77043</v>
      </c>
      <c r="C5080" s="1" t="str">
        <f>IFERROR(__xludf.DUMMYFUNCTION("""COMPUTED_VALUE"""),"RUIZ NAHIARA")</f>
        <v>RUIZ NAHIARA</v>
      </c>
      <c r="D5080" s="1" t="str">
        <f>IFERROR(__xludf.DUMMYFUNCTION("""COMPUTED_VALUE"""),"Lentes de STOCK")</f>
        <v>Lentes de STOCK</v>
      </c>
      <c r="E5080" s="1" t="str">
        <f>IFERROR(__xludf.DUMMYFUNCTION("""COMPUTED_VALUE"""),"RIVADAVIA Daniel CM")</f>
        <v>RIVADAVIA Daniel CM</v>
      </c>
      <c r="F5080" s="1" t="str">
        <f t="shared" si="1"/>
        <v>RIVADAVIA </v>
      </c>
      <c r="G5080" s="1" t="str">
        <f t="shared" si="2"/>
        <v>Daniel CM</v>
      </c>
      <c r="H5080" s="1" t="str">
        <f>IFERROR(__xludf.DUMMYFUNCTION("""COMPUTED_VALUE"""),"15/4/2023, 17:00:00")</f>
        <v>15/4/2023, 17:00:00</v>
      </c>
      <c r="I5080" s="1" t="str">
        <f>IFERROR(__xludf.DUMMYFUNCTION("""COMPUTED_VALUE"""),"Completado en SUCURSAL")</f>
        <v>Completado en SUCURSAL</v>
      </c>
      <c r="J5080" s="1">
        <f t="shared" si="3"/>
        <v>5</v>
      </c>
      <c r="K5080" s="1" t="str">
        <f t="shared" si="4"/>
        <v>Tus Lentes estan LISTAS PARA ENTREGAR, te esperamos.</v>
      </c>
    </row>
    <row r="5081">
      <c r="A5081" s="1">
        <f>IFERROR(__xludf.DUMMYFUNCTION("""COMPUTED_VALUE"""),89646.0)</f>
        <v>89646</v>
      </c>
      <c r="B5081" s="5">
        <f>IFERROR(__xludf.DUMMYFUNCTION("""COMPUTED_VALUE"""),45026.77284387732)</f>
        <v>45026.77284</v>
      </c>
      <c r="C5081" s="1" t="str">
        <f>IFERROR(__xludf.DUMMYFUNCTION("""COMPUTED_VALUE"""),"hoyos leonardo ")</f>
        <v>hoyos leonardo </v>
      </c>
      <c r="D5081" s="1" t="str">
        <f>IFERROR(__xludf.DUMMYFUNCTION("""COMPUTED_VALUE"""),"Lentes MULTIFOCALES")</f>
        <v>Lentes MULTIFOCALES</v>
      </c>
      <c r="E5081" s="1" t="str">
        <f>IFERROR(__xludf.DUMMYFUNCTION("""COMPUTED_VALUE"""),"RIVADAVIA Santiago N")</f>
        <v>RIVADAVIA Santiago N</v>
      </c>
      <c r="F5081" s="1" t="str">
        <f t="shared" si="1"/>
        <v>RIVADAVIA </v>
      </c>
      <c r="G5081" s="1" t="str">
        <f t="shared" si="2"/>
        <v>Santiago N</v>
      </c>
      <c r="H5081" s="1" t="str">
        <f>IFERROR(__xludf.DUMMYFUNCTION("""COMPUTED_VALUE"""),"24/4/2023, 17:00:00")</f>
        <v>24/4/2023, 17:00:00</v>
      </c>
      <c r="I5081" s="1" t="str">
        <f>IFERROR(__xludf.DUMMYFUNCTION("""COMPUTED_VALUE"""),"Recibido en Laboratorio")</f>
        <v>Recibido en Laboratorio</v>
      </c>
      <c r="J5081" s="1">
        <f t="shared" si="3"/>
        <v>2</v>
      </c>
      <c r="K5081" s="1" t="str">
        <f t="shared" si="4"/>
        <v>Nuestro Laboratorio esta trabajando en tus lentes, los entregaremos en la fecha acordada.</v>
      </c>
    </row>
    <row r="5082">
      <c r="A5082" s="1">
        <f>IFERROR(__xludf.DUMMYFUNCTION("""COMPUTED_VALUE"""),89647.0)</f>
        <v>89647</v>
      </c>
      <c r="B5082" s="5">
        <f>IFERROR(__xludf.DUMMYFUNCTION("""COMPUTED_VALUE"""),45026.77435741898)</f>
        <v>45026.77436</v>
      </c>
      <c r="C5082" s="1" t="str">
        <f>IFERROR(__xludf.DUMMYFUNCTION("""COMPUTED_VALUE"""),"GIAMARCHI NORMA ESTHER")</f>
        <v>GIAMARCHI NORMA ESTHER</v>
      </c>
      <c r="D5082" s="1" t="str">
        <f>IFERROR(__xludf.DUMMYFUNCTION("""COMPUTED_VALUE"""),"Lentes BIFOCALES")</f>
        <v>Lentes BIFOCALES</v>
      </c>
      <c r="E5082" s="1" t="str">
        <f>IFERROR(__xludf.DUMMYFUNCTION("""COMPUTED_VALUE"""),"RIVADAVIA Christian C.")</f>
        <v>RIVADAVIA Christian C.</v>
      </c>
      <c r="F5082" s="1" t="str">
        <f t="shared" si="1"/>
        <v>RIVADAVIA </v>
      </c>
      <c r="G5082" s="1" t="str">
        <f t="shared" si="2"/>
        <v>Christian C.</v>
      </c>
      <c r="H5082" s="1" t="str">
        <f>IFERROR(__xludf.DUMMYFUNCTION("""COMPUTED_VALUE"""),"21/4/2023, 17:00:00")</f>
        <v>21/4/2023, 17:00:00</v>
      </c>
      <c r="I5082" s="1" t="str">
        <f>IFERROR(__xludf.DUMMYFUNCTION("""COMPUTED_VALUE"""),"Recibido en Laboratorio")</f>
        <v>Recibido en Laboratorio</v>
      </c>
      <c r="J5082" s="1">
        <f t="shared" si="3"/>
        <v>2</v>
      </c>
      <c r="K5082" s="1" t="str">
        <f t="shared" si="4"/>
        <v>Nuestro Laboratorio esta trabajando en tus lentes, los entregaremos en la fecha acordada.</v>
      </c>
    </row>
    <row r="5083">
      <c r="A5083" s="1">
        <f>IFERROR(__xludf.DUMMYFUNCTION("""COMPUTED_VALUE"""),89648.0)</f>
        <v>89648</v>
      </c>
      <c r="B5083" s="5">
        <f>IFERROR(__xludf.DUMMYFUNCTION("""COMPUTED_VALUE"""),45026.77492222222)</f>
        <v>45026.77492</v>
      </c>
      <c r="C5083" s="1" t="str">
        <f>IFERROR(__xludf.DUMMYFUNCTION("""COMPUTED_VALUE"""),"Olguin Luis ")</f>
        <v>Olguin Luis </v>
      </c>
      <c r="D5083" s="1" t="str">
        <f>IFERROR(__xludf.DUMMYFUNCTION("""COMPUTED_VALUE"""),"Reparaciones/Otros")</f>
        <v>Reparaciones/Otros</v>
      </c>
      <c r="E5083" s="1" t="str">
        <f>IFERROR(__xludf.DUMMYFUNCTION("""COMPUTED_VALUE"""),"ARTIGAS Micaela")</f>
        <v>ARTIGAS Micaela</v>
      </c>
      <c r="F5083" s="1" t="str">
        <f t="shared" si="1"/>
        <v>ARTIGAS </v>
      </c>
      <c r="G5083" s="1" t="str">
        <f t="shared" si="2"/>
        <v>Micaela</v>
      </c>
      <c r="H5083" s="1" t="str">
        <f>IFERROR(__xludf.DUMMYFUNCTION("""COMPUTED_VALUE"""),"11/4/2023, 17:00:00")</f>
        <v>11/4/2023, 17:00:00</v>
      </c>
      <c r="I5083" s="1" t="str">
        <f>IFERROR(__xludf.DUMMYFUNCTION("""COMPUTED_VALUE"""),"Completado en SUCURSAL")</f>
        <v>Completado en SUCURSAL</v>
      </c>
      <c r="J5083" s="1">
        <f t="shared" si="3"/>
        <v>5</v>
      </c>
      <c r="K5083" s="1" t="str">
        <f t="shared" si="4"/>
        <v>Tus Lentes estan LISTAS PARA ENTREGAR, te esperamos.</v>
      </c>
    </row>
    <row r="5084">
      <c r="A5084" s="1">
        <f>IFERROR(__xludf.DUMMYFUNCTION("""COMPUTED_VALUE"""),89649.0)</f>
        <v>89649</v>
      </c>
      <c r="B5084" s="5">
        <f>IFERROR(__xludf.DUMMYFUNCTION("""COMPUTED_VALUE"""),45026.77612032407)</f>
        <v>45026.77612</v>
      </c>
      <c r="C5084" s="1" t="str">
        <f>IFERROR(__xludf.DUMMYFUNCTION("""COMPUTED_VALUE"""),"ORDELLAO MAGALI")</f>
        <v>ORDELLAO MAGALI</v>
      </c>
      <c r="D5084" s="1" t="str">
        <f>IFERROR(__xludf.DUMMYFUNCTION("""COMPUTED_VALUE"""),"Lentes de STOCK")</f>
        <v>Lentes de STOCK</v>
      </c>
      <c r="E5084" s="1" t="str">
        <f>IFERROR(__xludf.DUMMYFUNCTION("""COMPUTED_VALUE"""),"RIVADAVIA Santiago LOPEZ")</f>
        <v>RIVADAVIA Santiago LOPEZ</v>
      </c>
      <c r="F5084" s="1" t="str">
        <f t="shared" si="1"/>
        <v>RIVADAVIA </v>
      </c>
      <c r="G5084" s="1" t="str">
        <f t="shared" si="2"/>
        <v>Santiago LOPEZ</v>
      </c>
      <c r="H5084" s="1" t="str">
        <f>IFERROR(__xludf.DUMMYFUNCTION("""COMPUTED_VALUE"""),"14/4/2023, 17:00:00")</f>
        <v>14/4/2023, 17:00:00</v>
      </c>
      <c r="I5084" s="1" t="str">
        <f>IFERROR(__xludf.DUMMYFUNCTION("""COMPUTED_VALUE"""),"Completado en SUCURSAL")</f>
        <v>Completado en SUCURSAL</v>
      </c>
      <c r="J5084" s="1">
        <f t="shared" si="3"/>
        <v>5</v>
      </c>
      <c r="K5084" s="1" t="str">
        <f t="shared" si="4"/>
        <v>Tus Lentes estan LISTAS PARA ENTREGAR, te esperamos.</v>
      </c>
    </row>
    <row r="5085">
      <c r="A5085" s="1">
        <f>IFERROR(__xludf.DUMMYFUNCTION("""COMPUTED_VALUE"""),89650.0)</f>
        <v>89650</v>
      </c>
      <c r="B5085" s="5">
        <f>IFERROR(__xludf.DUMMYFUNCTION("""COMPUTED_VALUE"""),45026.780428784725)</f>
        <v>45026.78043</v>
      </c>
      <c r="C5085" s="1" t="str">
        <f>IFERROR(__xludf.DUMMYFUNCTION("""COMPUTED_VALUE"""),"ALESSANDRIA ELISABETH ANGELA")</f>
        <v>ALESSANDRIA ELISABETH ANGELA</v>
      </c>
      <c r="D5085" s="1" t="str">
        <f>IFERROR(__xludf.DUMMYFUNCTION("""COMPUTED_VALUE"""),"Lentes BIFOCALES")</f>
        <v>Lentes BIFOCALES</v>
      </c>
      <c r="E5085" s="1" t="str">
        <f>IFERROR(__xludf.DUMMYFUNCTION("""COMPUTED_VALUE"""),"Otro (LUCIANA ARTIGAS)")</f>
        <v>Otro (LUCIANA ARTIGAS)</v>
      </c>
      <c r="F5085" s="1" t="str">
        <f t="shared" si="1"/>
        <v>Otro </v>
      </c>
      <c r="G5085" s="1" t="str">
        <f t="shared" si="2"/>
        <v>(LUCIANA ARTIGAS)</v>
      </c>
      <c r="H5085" s="1" t="str">
        <f>IFERROR(__xludf.DUMMYFUNCTION("""COMPUTED_VALUE"""),"14/4/2023, 17:00:00")</f>
        <v>14/4/2023, 17:00:00</v>
      </c>
      <c r="I5085" s="1" t="str">
        <f>IFERROR(__xludf.DUMMYFUNCTION("""COMPUTED_VALUE"""),"Completado en SUCURSAL")</f>
        <v>Completado en SUCURSAL</v>
      </c>
      <c r="J5085" s="1">
        <f t="shared" si="3"/>
        <v>5</v>
      </c>
      <c r="K5085" s="1" t="str">
        <f t="shared" si="4"/>
        <v>Tus Lentes estan LISTAS PARA ENTREGAR, te esperamos.</v>
      </c>
    </row>
    <row r="5086">
      <c r="A5086" s="1">
        <f>IFERROR(__xludf.DUMMYFUNCTION("""COMPUTED_VALUE"""),89651.0)</f>
        <v>89651</v>
      </c>
      <c r="B5086" s="5">
        <f>IFERROR(__xludf.DUMMYFUNCTION("""COMPUTED_VALUE"""),45026.780864479166)</f>
        <v>45026.78086</v>
      </c>
      <c r="C5086" s="1" t="str">
        <f>IFERROR(__xludf.DUMMYFUNCTION("""COMPUTED_VALUE"""),"FERNANDEZ ESTEFANIA DANIELA")</f>
        <v>FERNANDEZ ESTEFANIA DANIELA</v>
      </c>
      <c r="D5086" s="1" t="str">
        <f>IFERROR(__xludf.DUMMYFUNCTION("""COMPUTED_VALUE"""),"Lentes de STOCK")</f>
        <v>Lentes de STOCK</v>
      </c>
      <c r="E5086" s="1" t="str">
        <f>IFERROR(__xludf.DUMMYFUNCTION("""COMPUTED_VALUE"""),"RIVADAVIA Javier")</f>
        <v>RIVADAVIA Javier</v>
      </c>
      <c r="F5086" s="1" t="str">
        <f t="shared" si="1"/>
        <v>RIVADAVIA </v>
      </c>
      <c r="G5086" s="1" t="str">
        <f t="shared" si="2"/>
        <v>Javier</v>
      </c>
      <c r="H5086" s="1" t="str">
        <f>IFERROR(__xludf.DUMMYFUNCTION("""COMPUTED_VALUE"""),"14/4/2023, 17:00:00")</f>
        <v>14/4/2023, 17:00:00</v>
      </c>
      <c r="I5086" s="1" t="str">
        <f>IFERROR(__xludf.DUMMYFUNCTION("""COMPUTED_VALUE"""),"Completado en SUCURSAL")</f>
        <v>Completado en SUCURSAL</v>
      </c>
      <c r="J5086" s="1">
        <f t="shared" si="3"/>
        <v>5</v>
      </c>
      <c r="K5086" s="1" t="str">
        <f t="shared" si="4"/>
        <v>Tus Lentes estan LISTAS PARA ENTREGAR, te esperamos.</v>
      </c>
    </row>
    <row r="5087">
      <c r="A5087" s="1">
        <f>IFERROR(__xludf.DUMMYFUNCTION("""COMPUTED_VALUE"""),89652.0)</f>
        <v>89652</v>
      </c>
      <c r="B5087" s="5">
        <f>IFERROR(__xludf.DUMMYFUNCTION("""COMPUTED_VALUE"""),45026.79084614583)</f>
        <v>45026.79085</v>
      </c>
      <c r="C5087" s="1" t="str">
        <f>IFERROR(__xludf.DUMMYFUNCTION("""COMPUTED_VALUE"""),"PEREZ GASTON")</f>
        <v>PEREZ GASTON</v>
      </c>
      <c r="D5087" s="1" t="str">
        <f>IFERROR(__xludf.DUMMYFUNCTION("""COMPUTED_VALUE"""),"Lentes de STOCK")</f>
        <v>Lentes de STOCK</v>
      </c>
      <c r="E5087" s="1" t="str">
        <f>IFERROR(__xludf.DUMMYFUNCTION("""COMPUTED_VALUE"""),"ARTIGAS Ivana P.")</f>
        <v>ARTIGAS Ivana P.</v>
      </c>
      <c r="F5087" s="1" t="str">
        <f t="shared" si="1"/>
        <v>ARTIGAS </v>
      </c>
      <c r="G5087" s="1" t="str">
        <f t="shared" si="2"/>
        <v>Ivana P.</v>
      </c>
      <c r="H5087" s="1" t="str">
        <f>IFERROR(__xludf.DUMMYFUNCTION("""COMPUTED_VALUE"""),"14/4/2023, 17:00:00")</f>
        <v>14/4/2023, 17:00:00</v>
      </c>
      <c r="I5087" s="1" t="str">
        <f>IFERROR(__xludf.DUMMYFUNCTION("""COMPUTED_VALUE"""),"Completado en SUCURSAL")</f>
        <v>Completado en SUCURSAL</v>
      </c>
      <c r="J5087" s="1">
        <f t="shared" si="3"/>
        <v>5</v>
      </c>
      <c r="K5087" s="1" t="str">
        <f t="shared" si="4"/>
        <v>Tus Lentes estan LISTAS PARA ENTREGAR, te esperamos.</v>
      </c>
    </row>
    <row r="5088">
      <c r="A5088" s="1">
        <f>IFERROR(__xludf.DUMMYFUNCTION("""COMPUTED_VALUE"""),89653.0)</f>
        <v>89653</v>
      </c>
      <c r="B5088" s="5">
        <f>IFERROR(__xludf.DUMMYFUNCTION("""COMPUTED_VALUE"""),45026.79158421296)</f>
        <v>45026.79158</v>
      </c>
      <c r="C5088" s="1" t="str">
        <f>IFERROR(__xludf.DUMMYFUNCTION("""COMPUTED_VALUE"""),"HERRERA GRACIELA")</f>
        <v>HERRERA GRACIELA</v>
      </c>
      <c r="D5088" s="1" t="str">
        <f>IFERROR(__xludf.DUMMYFUNCTION("""COMPUTED_VALUE"""),"Lentes de STOCK")</f>
        <v>Lentes de STOCK</v>
      </c>
      <c r="E5088" s="1" t="str">
        <f>IFERROR(__xludf.DUMMYFUNCTION("""COMPUTED_VALUE"""),"RIVADAVIA Javier")</f>
        <v>RIVADAVIA Javier</v>
      </c>
      <c r="F5088" s="1" t="str">
        <f t="shared" si="1"/>
        <v>RIVADAVIA </v>
      </c>
      <c r="G5088" s="1" t="str">
        <f t="shared" si="2"/>
        <v>Javier</v>
      </c>
      <c r="H5088" s="1" t="str">
        <f>IFERROR(__xludf.DUMMYFUNCTION("""COMPUTED_VALUE"""),"17/4/2023, 17:00:00")</f>
        <v>17/4/2023, 17:00:00</v>
      </c>
      <c r="I5088" s="1" t="str">
        <f>IFERROR(__xludf.DUMMYFUNCTION("""COMPUTED_VALUE"""),"Completado en SUCURSAL")</f>
        <v>Completado en SUCURSAL</v>
      </c>
      <c r="J5088" s="1">
        <f t="shared" si="3"/>
        <v>5</v>
      </c>
      <c r="K5088" s="1" t="str">
        <f t="shared" si="4"/>
        <v>Tus Lentes estan LISTAS PARA ENTREGAR, te esperamos.</v>
      </c>
    </row>
    <row r="5089">
      <c r="A5089" s="1">
        <f>IFERROR(__xludf.DUMMYFUNCTION("""COMPUTED_VALUE"""),89654.0)</f>
        <v>89654</v>
      </c>
      <c r="B5089" s="5">
        <f>IFERROR(__xludf.DUMMYFUNCTION("""COMPUTED_VALUE"""),45026.79521459491)</f>
        <v>45026.79521</v>
      </c>
      <c r="C5089" s="1" t="str">
        <f>IFERROR(__xludf.DUMMYFUNCTION("""COMPUTED_VALUE"""),"millan daniela")</f>
        <v>millan daniela</v>
      </c>
      <c r="D5089" s="1" t="str">
        <f>IFERROR(__xludf.DUMMYFUNCTION("""COMPUTED_VALUE"""),"Lentes de STOCK")</f>
        <v>Lentes de STOCK</v>
      </c>
      <c r="E5089" s="1" t="str">
        <f>IFERROR(__xludf.DUMMYFUNCTION("""COMPUTED_VALUE"""),"RIVADAVIA Santiago N")</f>
        <v>RIVADAVIA Santiago N</v>
      </c>
      <c r="F5089" s="1" t="str">
        <f t="shared" si="1"/>
        <v>RIVADAVIA </v>
      </c>
      <c r="G5089" s="1" t="str">
        <f t="shared" si="2"/>
        <v>Santiago N</v>
      </c>
      <c r="H5089" s="1" t="str">
        <f>IFERROR(__xludf.DUMMYFUNCTION("""COMPUTED_VALUE"""),"14/4/2023, 17:00:00")</f>
        <v>14/4/2023, 17:00:00</v>
      </c>
      <c r="I5089" s="1" t="str">
        <f>IFERROR(__xludf.DUMMYFUNCTION("""COMPUTED_VALUE"""),"Completado en SUCURSAL")</f>
        <v>Completado en SUCURSAL</v>
      </c>
      <c r="J5089" s="1">
        <f t="shared" si="3"/>
        <v>5</v>
      </c>
      <c r="K5089" s="1" t="str">
        <f t="shared" si="4"/>
        <v>Tus Lentes estan LISTAS PARA ENTREGAR, te esperamos.</v>
      </c>
    </row>
    <row r="5090">
      <c r="A5090" s="1">
        <f>IFERROR(__xludf.DUMMYFUNCTION("""COMPUTED_VALUE"""),89655.0)</f>
        <v>89655</v>
      </c>
      <c r="B5090" s="5">
        <f>IFERROR(__xludf.DUMMYFUNCTION("""COMPUTED_VALUE"""),45026.79604616898)</f>
        <v>45026.79605</v>
      </c>
      <c r="C5090" s="1" t="str">
        <f>IFERROR(__xludf.DUMMYFUNCTION("""COMPUTED_VALUE"""),"SOSA YAMAL ")</f>
        <v>SOSA YAMAL </v>
      </c>
      <c r="D5090" s="1" t="str">
        <f>IFERROR(__xludf.DUMMYFUNCTION("""COMPUTED_VALUE"""),"Lentes de STOCK")</f>
        <v>Lentes de STOCK</v>
      </c>
      <c r="E5090" s="1" t="str">
        <f>IFERROR(__xludf.DUMMYFUNCTION("""COMPUTED_VALUE"""),"RIVADAVIA Christian C.")</f>
        <v>RIVADAVIA Christian C.</v>
      </c>
      <c r="F5090" s="1" t="str">
        <f t="shared" si="1"/>
        <v>RIVADAVIA </v>
      </c>
      <c r="G5090" s="1" t="str">
        <f t="shared" si="2"/>
        <v>Christian C.</v>
      </c>
      <c r="H5090" s="1" t="str">
        <f>IFERROR(__xludf.DUMMYFUNCTION("""COMPUTED_VALUE"""),"18/4/2023, 17:00:00")</f>
        <v>18/4/2023, 17:00:00</v>
      </c>
      <c r="I5090" s="1" t="str">
        <f>IFERROR(__xludf.DUMMYFUNCTION("""COMPUTED_VALUE"""),"Completado en SUCURSAL")</f>
        <v>Completado en SUCURSAL</v>
      </c>
      <c r="J5090" s="1">
        <f t="shared" si="3"/>
        <v>5</v>
      </c>
      <c r="K5090" s="1" t="str">
        <f t="shared" si="4"/>
        <v>Tus Lentes estan LISTAS PARA ENTREGAR, te esperamos.</v>
      </c>
    </row>
    <row r="5091">
      <c r="A5091" s="1">
        <f>IFERROR(__xludf.DUMMYFUNCTION("""COMPUTED_VALUE"""),89656.0)</f>
        <v>89656</v>
      </c>
      <c r="B5091" s="5">
        <f>IFERROR(__xludf.DUMMYFUNCTION("""COMPUTED_VALUE"""),45026.818118877316)</f>
        <v>45026.81812</v>
      </c>
      <c r="C5091" s="1" t="str">
        <f>IFERROR(__xludf.DUMMYFUNCTION("""COMPUTED_VALUE"""),"garcia marcia fernada")</f>
        <v>garcia marcia fernada</v>
      </c>
      <c r="D5091" s="1" t="str">
        <f>IFERROR(__xludf.DUMMYFUNCTION("""COMPUTED_VALUE"""),"Lentes de STOCK")</f>
        <v>Lentes de STOCK</v>
      </c>
      <c r="E5091" s="1" t="str">
        <f>IFERROR(__xludf.DUMMYFUNCTION("""COMPUTED_VALUE"""),"RIVADAVIA Santiago N")</f>
        <v>RIVADAVIA Santiago N</v>
      </c>
      <c r="F5091" s="1" t="str">
        <f t="shared" si="1"/>
        <v>RIVADAVIA </v>
      </c>
      <c r="G5091" s="1" t="str">
        <f t="shared" si="2"/>
        <v>Santiago N</v>
      </c>
      <c r="H5091" s="1" t="str">
        <f>IFERROR(__xludf.DUMMYFUNCTION("""COMPUTED_VALUE"""),"14/4/2023, 17:00:00")</f>
        <v>14/4/2023, 17:00:00</v>
      </c>
      <c r="I5091" s="1" t="str">
        <f>IFERROR(__xludf.DUMMYFUNCTION("""COMPUTED_VALUE"""),"Completado en SUCURSAL")</f>
        <v>Completado en SUCURSAL</v>
      </c>
      <c r="J5091" s="1">
        <f t="shared" si="3"/>
        <v>5</v>
      </c>
      <c r="K5091" s="1" t="str">
        <f t="shared" si="4"/>
        <v>Tus Lentes estan LISTAS PARA ENTREGAR, te esperamos.</v>
      </c>
    </row>
    <row r="5092">
      <c r="A5092" s="1">
        <f>IFERROR(__xludf.DUMMYFUNCTION("""COMPUTED_VALUE"""),89657.0)</f>
        <v>89657</v>
      </c>
      <c r="B5092" s="5">
        <f>IFERROR(__xludf.DUMMYFUNCTION("""COMPUTED_VALUE"""),45026.82247356481)</f>
        <v>45026.82247</v>
      </c>
      <c r="C5092" s="1" t="str">
        <f>IFERROR(__xludf.DUMMYFUNCTION("""COMPUTED_VALUE"""),"SUAREZ MARIA SUSANA")</f>
        <v>SUAREZ MARIA SUSANA</v>
      </c>
      <c r="D5092" s="1" t="str">
        <f>IFERROR(__xludf.DUMMYFUNCTION("""COMPUTED_VALUE"""),"Lentes de STOCK")</f>
        <v>Lentes de STOCK</v>
      </c>
      <c r="E5092" s="1" t="str">
        <f>IFERROR(__xludf.DUMMYFUNCTION("""COMPUTED_VALUE"""),"RIVADAVIA Christian C.")</f>
        <v>RIVADAVIA Christian C.</v>
      </c>
      <c r="F5092" s="1" t="str">
        <f t="shared" si="1"/>
        <v>RIVADAVIA </v>
      </c>
      <c r="G5092" s="1" t="str">
        <f t="shared" si="2"/>
        <v>Christian C.</v>
      </c>
      <c r="H5092" s="1" t="str">
        <f>IFERROR(__xludf.DUMMYFUNCTION("""COMPUTED_VALUE"""),"14/4/2023, 17:00:00")</f>
        <v>14/4/2023, 17:00:00</v>
      </c>
      <c r="I5092" s="1" t="str">
        <f>IFERROR(__xludf.DUMMYFUNCTION("""COMPUTED_VALUE"""),"Completado en SUCURSAL")</f>
        <v>Completado en SUCURSAL</v>
      </c>
      <c r="J5092" s="1">
        <f t="shared" si="3"/>
        <v>5</v>
      </c>
      <c r="K5092" s="1" t="str">
        <f t="shared" si="4"/>
        <v>Tus Lentes estan LISTAS PARA ENTREGAR, te esperamos.</v>
      </c>
    </row>
    <row r="5093">
      <c r="A5093" s="1">
        <f>IFERROR(__xludf.DUMMYFUNCTION("""COMPUTED_VALUE"""),89658.0)</f>
        <v>89658</v>
      </c>
      <c r="B5093" s="5">
        <f>IFERROR(__xludf.DUMMYFUNCTION("""COMPUTED_VALUE"""),45026.82570105324)</f>
        <v>45026.8257</v>
      </c>
      <c r="C5093" s="1" t="str">
        <f>IFERROR(__xludf.DUMMYFUNCTION("""COMPUTED_VALUE"""),"VALDIVIEZO JUDITH ")</f>
        <v>VALDIVIEZO JUDITH </v>
      </c>
      <c r="D5093" s="1" t="str">
        <f>IFERROR(__xludf.DUMMYFUNCTION("""COMPUTED_VALUE"""),"Lentes de STOCK")</f>
        <v>Lentes de STOCK</v>
      </c>
      <c r="E5093" s="1" t="str">
        <f>IFERROR(__xludf.DUMMYFUNCTION("""COMPUTED_VALUE"""),"Otro (LUCIANA ARTIGAS)")</f>
        <v>Otro (LUCIANA ARTIGAS)</v>
      </c>
      <c r="F5093" s="1" t="str">
        <f t="shared" si="1"/>
        <v>Otro </v>
      </c>
      <c r="G5093" s="1" t="str">
        <f t="shared" si="2"/>
        <v>(LUCIANA ARTIGAS)</v>
      </c>
      <c r="H5093" s="1" t="str">
        <f>IFERROR(__xludf.DUMMYFUNCTION("""COMPUTED_VALUE"""),"17/4/2023, 17:00:00")</f>
        <v>17/4/2023, 17:00:00</v>
      </c>
      <c r="I5093" s="1" t="str">
        <f>IFERROR(__xludf.DUMMYFUNCTION("""COMPUTED_VALUE"""),"Completado en SUCURSAL")</f>
        <v>Completado en SUCURSAL</v>
      </c>
      <c r="J5093" s="1">
        <f t="shared" si="3"/>
        <v>5</v>
      </c>
      <c r="K5093" s="1" t="str">
        <f t="shared" si="4"/>
        <v>Tus Lentes estan LISTAS PARA ENTREGAR, te esperamos.</v>
      </c>
    </row>
    <row r="5094">
      <c r="A5094" s="1">
        <f>IFERROR(__xludf.DUMMYFUNCTION("""COMPUTED_VALUE"""),89659.0)</f>
        <v>89659</v>
      </c>
      <c r="B5094" s="5">
        <f>IFERROR(__xludf.DUMMYFUNCTION("""COMPUTED_VALUE"""),45026.8273353588)</f>
        <v>45026.82734</v>
      </c>
      <c r="C5094" s="1" t="str">
        <f>IFERROR(__xludf.DUMMYFUNCTION("""COMPUTED_VALUE"""),"GOMEZ YANINA")</f>
        <v>GOMEZ YANINA</v>
      </c>
      <c r="D5094" s="1" t="str">
        <f>IFERROR(__xludf.DUMMYFUNCTION("""COMPUTED_VALUE"""),"Lentes de STOCK")</f>
        <v>Lentes de STOCK</v>
      </c>
      <c r="E5094" s="1" t="str">
        <f>IFERROR(__xludf.DUMMYFUNCTION("""COMPUTED_VALUE"""),"RIVADAVIA Javier")</f>
        <v>RIVADAVIA Javier</v>
      </c>
      <c r="F5094" s="1" t="str">
        <f t="shared" si="1"/>
        <v>RIVADAVIA </v>
      </c>
      <c r="G5094" s="1" t="str">
        <f t="shared" si="2"/>
        <v>Javier</v>
      </c>
      <c r="H5094" s="1" t="str">
        <f>IFERROR(__xludf.DUMMYFUNCTION("""COMPUTED_VALUE"""),"17/4/2023, 17:00:00")</f>
        <v>17/4/2023, 17:00:00</v>
      </c>
      <c r="I5094" s="1" t="str">
        <f>IFERROR(__xludf.DUMMYFUNCTION("""COMPUTED_VALUE"""),"Completado en SUCURSAL")</f>
        <v>Completado en SUCURSAL</v>
      </c>
      <c r="J5094" s="1">
        <f t="shared" si="3"/>
        <v>5</v>
      </c>
      <c r="K5094" s="1" t="str">
        <f t="shared" si="4"/>
        <v>Tus Lentes estan LISTAS PARA ENTREGAR, te esperamos.</v>
      </c>
    </row>
    <row r="5095">
      <c r="A5095" s="1">
        <f>IFERROR(__xludf.DUMMYFUNCTION("""COMPUTED_VALUE"""),89660.0)</f>
        <v>89660</v>
      </c>
      <c r="B5095" s="5">
        <f>IFERROR(__xludf.DUMMYFUNCTION("""COMPUTED_VALUE"""),45026.83613211806)</f>
        <v>45026.83613</v>
      </c>
      <c r="C5095" s="1" t="str">
        <f>IFERROR(__xludf.DUMMYFUNCTION("""COMPUTED_VALUE"""),"VALDIVIEZO JUDITH ")</f>
        <v>VALDIVIEZO JUDITH </v>
      </c>
      <c r="D5095" s="1" t="str">
        <f>IFERROR(__xludf.DUMMYFUNCTION("""COMPUTED_VALUE"""),"Lentes de STOCK")</f>
        <v>Lentes de STOCK</v>
      </c>
      <c r="E5095" s="1" t="str">
        <f>IFERROR(__xludf.DUMMYFUNCTION("""COMPUTED_VALUE"""),"Otro (LUCIANA ARTIGAS)")</f>
        <v>Otro (LUCIANA ARTIGAS)</v>
      </c>
      <c r="F5095" s="1" t="str">
        <f t="shared" si="1"/>
        <v>Otro </v>
      </c>
      <c r="G5095" s="1" t="str">
        <f t="shared" si="2"/>
        <v>(LUCIANA ARTIGAS)</v>
      </c>
      <c r="H5095" s="1" t="str">
        <f>IFERROR(__xludf.DUMMYFUNCTION("""COMPUTED_VALUE"""),"17/4/2023, 17:00:00")</f>
        <v>17/4/2023, 17:00:00</v>
      </c>
      <c r="I5095" s="1" t="str">
        <f>IFERROR(__xludf.DUMMYFUNCTION("""COMPUTED_VALUE"""),"Recibido en Laboratorio")</f>
        <v>Recibido en Laboratorio</v>
      </c>
      <c r="J5095" s="1">
        <f t="shared" si="3"/>
        <v>2</v>
      </c>
      <c r="K5095" s="1" t="str">
        <f t="shared" si="4"/>
        <v>Nuestro Laboratorio esta trabajando en tus lentes, los entregaremos en la fecha acordada.</v>
      </c>
    </row>
    <row r="5096">
      <c r="A5096" s="1">
        <f>IFERROR(__xludf.DUMMYFUNCTION("""COMPUTED_VALUE"""),89661.0)</f>
        <v>89661</v>
      </c>
      <c r="B5096" s="5">
        <f>IFERROR(__xludf.DUMMYFUNCTION("""COMPUTED_VALUE"""),45027.384219942134)</f>
        <v>45027.38422</v>
      </c>
      <c r="C5096" s="1" t="str">
        <f>IFERROR(__xludf.DUMMYFUNCTION("""COMPUTED_VALUE"""),"PAEZ RICARDO (CLINICA ITALIA)")</f>
        <v>PAEZ RICARDO (CLINICA ITALIA)</v>
      </c>
      <c r="D5096" s="1" t="str">
        <f>IFERROR(__xludf.DUMMYFUNCTION("""COMPUTED_VALUE"""),"Lentes de STOCK")</f>
        <v>Lentes de STOCK</v>
      </c>
      <c r="E5096" s="1" t="str">
        <f>IFERROR(__xludf.DUMMYFUNCTION("""COMPUTED_VALUE"""),"RIVADAVIA Marcela L")</f>
        <v>RIVADAVIA Marcela L</v>
      </c>
      <c r="F5096" s="1" t="str">
        <f t="shared" si="1"/>
        <v>RIVADAVIA </v>
      </c>
      <c r="G5096" s="1" t="str">
        <f t="shared" si="2"/>
        <v>Marcela L</v>
      </c>
      <c r="H5096" s="1" t="str">
        <f>IFERROR(__xludf.DUMMYFUNCTION("""COMPUTED_VALUE"""),"14/4/2023, 17:00:00")</f>
        <v>14/4/2023, 17:00:00</v>
      </c>
      <c r="I5096" s="1" t="str">
        <f>IFERROR(__xludf.DUMMYFUNCTION("""COMPUTED_VALUE"""),"Completado en SUCURSAL")</f>
        <v>Completado en SUCURSAL</v>
      </c>
      <c r="J5096" s="1">
        <f t="shared" si="3"/>
        <v>5</v>
      </c>
      <c r="K5096" s="1" t="str">
        <f t="shared" si="4"/>
        <v>Tus Lentes estan LISTAS PARA ENTREGAR, te esperamos.</v>
      </c>
    </row>
    <row r="5097">
      <c r="A5097" s="1">
        <f>IFERROR(__xludf.DUMMYFUNCTION("""COMPUTED_VALUE"""),89662.0)</f>
        <v>89662</v>
      </c>
      <c r="B5097" s="5">
        <f>IFERROR(__xludf.DUMMYFUNCTION("""COMPUTED_VALUE"""),45027.38704854167)</f>
        <v>45027.38705</v>
      </c>
      <c r="C5097" s="1" t="str">
        <f>IFERROR(__xludf.DUMMYFUNCTION("""COMPUTED_VALUE"""),"BENINATO SEBASTIAN BENIGNO (PROGRAMA MEDICINA DEL INTERIOR GOB)")</f>
        <v>BENINATO SEBASTIAN BENIGNO (PROGRAMA MEDICINA DEL INTERIOR GOB)</v>
      </c>
      <c r="D5097" s="1" t="str">
        <f>IFERROR(__xludf.DUMMYFUNCTION("""COMPUTED_VALUE"""),"Lentes de STOCK")</f>
        <v>Lentes de STOCK</v>
      </c>
      <c r="E5097" s="1" t="str">
        <f>IFERROR(__xludf.DUMMYFUNCTION("""COMPUTED_VALUE"""),"Online ADMIN.")</f>
        <v>Online ADMIN.</v>
      </c>
      <c r="F5097" s="1" t="str">
        <f t="shared" si="1"/>
        <v>Online </v>
      </c>
      <c r="G5097" s="1" t="str">
        <f t="shared" si="2"/>
        <v>ADMIN.</v>
      </c>
      <c r="H5097" s="1" t="str">
        <f>IFERROR(__xludf.DUMMYFUNCTION("""COMPUTED_VALUE"""),"14/4/2023, 17:00:00")</f>
        <v>14/4/2023, 17:00:00</v>
      </c>
      <c r="I5097" s="1" t="str">
        <f>IFERROR(__xludf.DUMMYFUNCTION("""COMPUTED_VALUE"""),"Recibido en Laboratorio")</f>
        <v>Recibido en Laboratorio</v>
      </c>
      <c r="J5097" s="1">
        <f t="shared" si="3"/>
        <v>2</v>
      </c>
      <c r="K5097" s="1" t="str">
        <f t="shared" si="4"/>
        <v>Nuestro Laboratorio esta trabajando en tus lentes, los entregaremos en la fecha acordada.</v>
      </c>
    </row>
    <row r="5098">
      <c r="A5098" s="1">
        <f>IFERROR(__xludf.DUMMYFUNCTION("""COMPUTED_VALUE"""),89663.0)</f>
        <v>89663</v>
      </c>
      <c r="B5098" s="5">
        <f>IFERROR(__xludf.DUMMYFUNCTION("""COMPUTED_VALUE"""),45027.38771388889)</f>
        <v>45027.38771</v>
      </c>
      <c r="C5098" s="1" t="str">
        <f>IFERROR(__xludf.DUMMYFUNCTION("""COMPUTED_VALUE"""),"BRESSANI LUCIO (PROGRAMA MEDICINA DEL INTERIOR GOB)")</f>
        <v>BRESSANI LUCIO (PROGRAMA MEDICINA DEL INTERIOR GOB)</v>
      </c>
      <c r="D5098" s="1" t="str">
        <f>IFERROR(__xludf.DUMMYFUNCTION("""COMPUTED_VALUE"""),"Lentes de LABORATORIO")</f>
        <v>Lentes de LABORATORIO</v>
      </c>
      <c r="E5098" s="1" t="str">
        <f>IFERROR(__xludf.DUMMYFUNCTION("""COMPUTED_VALUE"""),"Online ADMIN.")</f>
        <v>Online ADMIN.</v>
      </c>
      <c r="F5098" s="1" t="str">
        <f t="shared" si="1"/>
        <v>Online </v>
      </c>
      <c r="G5098" s="1" t="str">
        <f t="shared" si="2"/>
        <v>ADMIN.</v>
      </c>
      <c r="H5098" s="1" t="str">
        <f>IFERROR(__xludf.DUMMYFUNCTION("""COMPUTED_VALUE"""),"18/4/2023, 17:00:00")</f>
        <v>18/4/2023, 17:00:00</v>
      </c>
      <c r="I5098" s="1" t="str">
        <f>IFERROR(__xludf.DUMMYFUNCTION("""COMPUTED_VALUE"""),"Recibido en Laboratorio")</f>
        <v>Recibido en Laboratorio</v>
      </c>
      <c r="J5098" s="1">
        <f t="shared" si="3"/>
        <v>2</v>
      </c>
      <c r="K5098" s="1" t="str">
        <f t="shared" si="4"/>
        <v>Nuestro Laboratorio esta trabajando en tus lentes, los entregaremos en la fecha acordada.</v>
      </c>
    </row>
    <row r="5099">
      <c r="A5099" s="1">
        <f>IFERROR(__xludf.DUMMYFUNCTION("""COMPUTED_VALUE"""),89664.0)</f>
        <v>89664</v>
      </c>
      <c r="B5099" s="5">
        <f>IFERROR(__xludf.DUMMYFUNCTION("""COMPUTED_VALUE"""),45027.38805112269)</f>
        <v>45027.38805</v>
      </c>
      <c r="C5099" s="1" t="str">
        <f>IFERROR(__xludf.DUMMYFUNCTION("""COMPUTED_VALUE"""),"TORRES MONICA (PROGRAMA MEDICINA DEL INTERIOR GOB)")</f>
        <v>TORRES MONICA (PROGRAMA MEDICINA DEL INTERIOR GOB)</v>
      </c>
      <c r="D5099" s="1" t="str">
        <f>IFERROR(__xludf.DUMMYFUNCTION("""COMPUTED_VALUE"""),"Reparaciones/Otros")</f>
        <v>Reparaciones/Otros</v>
      </c>
      <c r="E5099" s="1" t="str">
        <f>IFERROR(__xludf.DUMMYFUNCTION("""COMPUTED_VALUE"""),"Online ADMIN.")</f>
        <v>Online ADMIN.</v>
      </c>
      <c r="F5099" s="1" t="str">
        <f t="shared" si="1"/>
        <v>Online </v>
      </c>
      <c r="G5099" s="1" t="str">
        <f t="shared" si="2"/>
        <v>ADMIN.</v>
      </c>
      <c r="H5099" s="1" t="str">
        <f>IFERROR(__xludf.DUMMYFUNCTION("""COMPUTED_VALUE"""),"12/4/2023, 17:00:00")</f>
        <v>12/4/2023, 17:00:00</v>
      </c>
      <c r="I5099" s="1"/>
      <c r="J5099" s="1">
        <f t="shared" si="3"/>
        <v>0</v>
      </c>
      <c r="K5099" s="1" t="str">
        <f t="shared" si="4"/>
        <v/>
      </c>
    </row>
    <row r="5100">
      <c r="A5100" s="1">
        <f>IFERROR(__xludf.DUMMYFUNCTION("""COMPUTED_VALUE"""),89665.0)</f>
        <v>89665</v>
      </c>
      <c r="B5100" s="5">
        <f>IFERROR(__xludf.DUMMYFUNCTION("""COMPUTED_VALUE"""),45027.38865616899)</f>
        <v>45027.38866</v>
      </c>
      <c r="C5100" s="1" t="str">
        <f>IFERROR(__xludf.DUMMYFUNCTION("""COMPUTED_VALUE"""),"SOSA TATIANA (PROGRAMA MEDICINA DEL INTERIOR GOB)")</f>
        <v>SOSA TATIANA (PROGRAMA MEDICINA DEL INTERIOR GOB)</v>
      </c>
      <c r="D5100" s="1" t="str">
        <f>IFERROR(__xludf.DUMMYFUNCTION("""COMPUTED_VALUE"""),"Lentes de LABORATORIO")</f>
        <v>Lentes de LABORATORIO</v>
      </c>
      <c r="E5100" s="1" t="str">
        <f>IFERROR(__xludf.DUMMYFUNCTION("""COMPUTED_VALUE"""),"Online ADMIN.")</f>
        <v>Online ADMIN.</v>
      </c>
      <c r="F5100" s="1" t="str">
        <f t="shared" si="1"/>
        <v>Online </v>
      </c>
      <c r="G5100" s="1" t="str">
        <f t="shared" si="2"/>
        <v>ADMIN.</v>
      </c>
      <c r="H5100" s="1" t="str">
        <f>IFERROR(__xludf.DUMMYFUNCTION("""COMPUTED_VALUE"""),"18/4/2023, 17:00:00")</f>
        <v>18/4/2023, 17:00:00</v>
      </c>
      <c r="I5100" s="1" t="str">
        <f>IFERROR(__xludf.DUMMYFUNCTION("""COMPUTED_VALUE"""),"Completado en SUCURSAL")</f>
        <v>Completado en SUCURSAL</v>
      </c>
      <c r="J5100" s="1">
        <f t="shared" si="3"/>
        <v>5</v>
      </c>
      <c r="K5100" s="1" t="str">
        <f t="shared" si="4"/>
        <v>Tus Lentes estan LISTAS PARA ENTREGAR, te esperamos.</v>
      </c>
    </row>
    <row r="5101">
      <c r="A5101" s="1">
        <f>IFERROR(__xludf.DUMMYFUNCTION("""COMPUTED_VALUE"""),89666.0)</f>
        <v>89666</v>
      </c>
      <c r="B5101" s="5">
        <f>IFERROR(__xludf.DUMMYFUNCTION("""COMPUTED_VALUE"""),45027.3890669213)</f>
        <v>45027.38907</v>
      </c>
      <c r="C5101" s="1" t="str">
        <f>IFERROR(__xludf.DUMMYFUNCTION("""COMPUTED_VALUE"""),"SALINAS MONICA ELISABET (PROGRAMA MEDICINA DEL INTERIOR GOB)")</f>
        <v>SALINAS MONICA ELISABET (PROGRAMA MEDICINA DEL INTERIOR GOB)</v>
      </c>
      <c r="D5101" s="1" t="str">
        <f>IFERROR(__xludf.DUMMYFUNCTION("""COMPUTED_VALUE"""),"Lentes de STOCK")</f>
        <v>Lentes de STOCK</v>
      </c>
      <c r="E5101" s="1" t="str">
        <f>IFERROR(__xludf.DUMMYFUNCTION("""COMPUTED_VALUE"""),"Online ADMIN.")</f>
        <v>Online ADMIN.</v>
      </c>
      <c r="F5101" s="1" t="str">
        <f t="shared" si="1"/>
        <v>Online </v>
      </c>
      <c r="G5101" s="1" t="str">
        <f t="shared" si="2"/>
        <v>ADMIN.</v>
      </c>
      <c r="H5101" s="1" t="str">
        <f>IFERROR(__xludf.DUMMYFUNCTION("""COMPUTED_VALUE"""),"14/4/2023, 17:00:00")</f>
        <v>14/4/2023, 17:00:00</v>
      </c>
      <c r="I5101" s="1" t="str">
        <f>IFERROR(__xludf.DUMMYFUNCTION("""COMPUTED_VALUE"""),"Recibido en Laboratorio")</f>
        <v>Recibido en Laboratorio</v>
      </c>
      <c r="J5101" s="1">
        <f t="shared" si="3"/>
        <v>2</v>
      </c>
      <c r="K5101" s="1" t="str">
        <f t="shared" si="4"/>
        <v>Nuestro Laboratorio esta trabajando en tus lentes, los entregaremos en la fecha acordada.</v>
      </c>
    </row>
    <row r="5102">
      <c r="A5102" s="1">
        <f>IFERROR(__xludf.DUMMYFUNCTION("""COMPUTED_VALUE"""),89667.0)</f>
        <v>89667</v>
      </c>
      <c r="B5102" s="5">
        <f>IFERROR(__xludf.DUMMYFUNCTION("""COMPUTED_VALUE"""),45027.38984239583)</f>
        <v>45027.38984</v>
      </c>
      <c r="C5102" s="1" t="str">
        <f>IFERROR(__xludf.DUMMYFUNCTION("""COMPUTED_VALUE"""),"ROSALES MIA (PROGRAMA MEDICINA DEL INTERIOR GOB)")</f>
        <v>ROSALES MIA (PROGRAMA MEDICINA DEL INTERIOR GOB)</v>
      </c>
      <c r="D5102" s="1" t="str">
        <f>IFERROR(__xludf.DUMMYFUNCTION("""COMPUTED_VALUE"""),"Lentes de STOCK")</f>
        <v>Lentes de STOCK</v>
      </c>
      <c r="E5102" s="1" t="str">
        <f>IFERROR(__xludf.DUMMYFUNCTION("""COMPUTED_VALUE"""),"Online ADMIN.")</f>
        <v>Online ADMIN.</v>
      </c>
      <c r="F5102" s="1" t="str">
        <f t="shared" si="1"/>
        <v>Online </v>
      </c>
      <c r="G5102" s="1" t="str">
        <f t="shared" si="2"/>
        <v>ADMIN.</v>
      </c>
      <c r="H5102" s="1" t="str">
        <f>IFERROR(__xludf.DUMMYFUNCTION("""COMPUTED_VALUE"""),"14/4/2023, 17:00:00")</f>
        <v>14/4/2023, 17:00:00</v>
      </c>
      <c r="I5102" s="1" t="str">
        <f>IFERROR(__xludf.DUMMYFUNCTION("""COMPUTED_VALUE"""),"Recibido en Laboratorio")</f>
        <v>Recibido en Laboratorio</v>
      </c>
      <c r="J5102" s="1">
        <f t="shared" si="3"/>
        <v>2</v>
      </c>
      <c r="K5102" s="1" t="str">
        <f t="shared" si="4"/>
        <v>Nuestro Laboratorio esta trabajando en tus lentes, los entregaremos en la fecha acordada.</v>
      </c>
    </row>
    <row r="5103">
      <c r="A5103" s="1">
        <f>IFERROR(__xludf.DUMMYFUNCTION("""COMPUTED_VALUE"""),89668.0)</f>
        <v>89668</v>
      </c>
      <c r="B5103" s="5">
        <f>IFERROR(__xludf.DUMMYFUNCTION("""COMPUTED_VALUE"""),45027.39031974537)</f>
        <v>45027.39032</v>
      </c>
      <c r="C5103" s="1" t="str">
        <f>IFERROR(__xludf.DUMMYFUNCTION("""COMPUTED_VALUE"""),"SAA ROSA (PROGRAMA MEDICINA DEL INTERIOR GOB)")</f>
        <v>SAA ROSA (PROGRAMA MEDICINA DEL INTERIOR GOB)</v>
      </c>
      <c r="D5103" s="1" t="str">
        <f>IFERROR(__xludf.DUMMYFUNCTION("""COMPUTED_VALUE"""),"Lentes de STOCK")</f>
        <v>Lentes de STOCK</v>
      </c>
      <c r="E5103" s="1" t="str">
        <f>IFERROR(__xludf.DUMMYFUNCTION("""COMPUTED_VALUE"""),"Online ADMIN.")</f>
        <v>Online ADMIN.</v>
      </c>
      <c r="F5103" s="1" t="str">
        <f t="shared" si="1"/>
        <v>Online </v>
      </c>
      <c r="G5103" s="1" t="str">
        <f t="shared" si="2"/>
        <v>ADMIN.</v>
      </c>
      <c r="H5103" s="1" t="str">
        <f>IFERROR(__xludf.DUMMYFUNCTION("""COMPUTED_VALUE"""),"14/4/2023, 17:00:00")</f>
        <v>14/4/2023, 17:00:00</v>
      </c>
      <c r="I5103" s="1" t="str">
        <f>IFERROR(__xludf.DUMMYFUNCTION("""COMPUTED_VALUE"""),"Recibido en Laboratorio")</f>
        <v>Recibido en Laboratorio</v>
      </c>
      <c r="J5103" s="1">
        <f t="shared" si="3"/>
        <v>2</v>
      </c>
      <c r="K5103" s="1" t="str">
        <f t="shared" si="4"/>
        <v>Nuestro Laboratorio esta trabajando en tus lentes, los entregaremos en la fecha acordada.</v>
      </c>
    </row>
    <row r="5104">
      <c r="A5104" s="1">
        <f>IFERROR(__xludf.DUMMYFUNCTION("""COMPUTED_VALUE"""),89669.0)</f>
        <v>89669</v>
      </c>
      <c r="B5104" s="5">
        <f>IFERROR(__xludf.DUMMYFUNCTION("""COMPUTED_VALUE"""),45027.390838796295)</f>
        <v>45027.39084</v>
      </c>
      <c r="C5104" s="1" t="str">
        <f>IFERROR(__xludf.DUMMYFUNCTION("""COMPUTED_VALUE"""),"ROMERO DAVID (PROGRAMA MEDICINA DEL INTERIOR GOB)")</f>
        <v>ROMERO DAVID (PROGRAMA MEDICINA DEL INTERIOR GOB)</v>
      </c>
      <c r="D5104" s="1" t="str">
        <f>IFERROR(__xludf.DUMMYFUNCTION("""COMPUTED_VALUE"""),"Lentes de STOCK")</f>
        <v>Lentes de STOCK</v>
      </c>
      <c r="E5104" s="1" t="str">
        <f>IFERROR(__xludf.DUMMYFUNCTION("""COMPUTED_VALUE"""),"Online ADMIN.")</f>
        <v>Online ADMIN.</v>
      </c>
      <c r="F5104" s="1" t="str">
        <f t="shared" si="1"/>
        <v>Online </v>
      </c>
      <c r="G5104" s="1" t="str">
        <f t="shared" si="2"/>
        <v>ADMIN.</v>
      </c>
      <c r="H5104" s="1" t="str">
        <f>IFERROR(__xludf.DUMMYFUNCTION("""COMPUTED_VALUE"""),"14/4/2023, 17:00:00")</f>
        <v>14/4/2023, 17:00:00</v>
      </c>
      <c r="I5104" s="1" t="str">
        <f>IFERROR(__xludf.DUMMYFUNCTION("""COMPUTED_VALUE"""),"Recibido en Laboratorio")</f>
        <v>Recibido en Laboratorio</v>
      </c>
      <c r="J5104" s="1">
        <f t="shared" si="3"/>
        <v>2</v>
      </c>
      <c r="K5104" s="1" t="str">
        <f t="shared" si="4"/>
        <v>Nuestro Laboratorio esta trabajando en tus lentes, los entregaremos en la fecha acordada.</v>
      </c>
    </row>
    <row r="5105">
      <c r="A5105" s="1">
        <f>IFERROR(__xludf.DUMMYFUNCTION("""COMPUTED_VALUE"""),89670.0)</f>
        <v>89670</v>
      </c>
      <c r="B5105" s="5">
        <f>IFERROR(__xludf.DUMMYFUNCTION("""COMPUTED_VALUE"""),45027.39193560185)</f>
        <v>45027.39194</v>
      </c>
      <c r="C5105" s="1" t="str">
        <f>IFERROR(__xludf.DUMMYFUNCTION("""COMPUTED_VALUE"""),"ROJAS MARCELO (PROGRAMA MEDICINA DEL INTERIOR GOB)")</f>
        <v>ROJAS MARCELO (PROGRAMA MEDICINA DEL INTERIOR GOB)</v>
      </c>
      <c r="D5105" s="1" t="str">
        <f>IFERROR(__xludf.DUMMYFUNCTION("""COMPUTED_VALUE"""),"Lentes de STOCK")</f>
        <v>Lentes de STOCK</v>
      </c>
      <c r="E5105" s="1" t="str">
        <f>IFERROR(__xludf.DUMMYFUNCTION("""COMPUTED_VALUE"""),"Online ADMIN.")</f>
        <v>Online ADMIN.</v>
      </c>
      <c r="F5105" s="1" t="str">
        <f t="shared" si="1"/>
        <v>Online </v>
      </c>
      <c r="G5105" s="1" t="str">
        <f t="shared" si="2"/>
        <v>ADMIN.</v>
      </c>
      <c r="H5105" s="1" t="str">
        <f>IFERROR(__xludf.DUMMYFUNCTION("""COMPUTED_VALUE"""),"14/4/2023, 17:00:00")</f>
        <v>14/4/2023, 17:00:00</v>
      </c>
      <c r="I5105" s="1" t="str">
        <f>IFERROR(__xludf.DUMMYFUNCTION("""COMPUTED_VALUE"""),"Completado en SUCURSAL")</f>
        <v>Completado en SUCURSAL</v>
      </c>
      <c r="J5105" s="1">
        <f t="shared" si="3"/>
        <v>5</v>
      </c>
      <c r="K5105" s="1" t="str">
        <f t="shared" si="4"/>
        <v>Tus Lentes estan LISTAS PARA ENTREGAR, te esperamos.</v>
      </c>
    </row>
    <row r="5106">
      <c r="A5106" s="1">
        <f>IFERROR(__xludf.DUMMYFUNCTION("""COMPUTED_VALUE"""),89671.0)</f>
        <v>89671</v>
      </c>
      <c r="B5106" s="5">
        <f>IFERROR(__xludf.DUMMYFUNCTION("""COMPUTED_VALUE"""),45027.393853553236)</f>
        <v>45027.39385</v>
      </c>
      <c r="C5106" s="1" t="str">
        <f>IFERROR(__xludf.DUMMYFUNCTION("""COMPUTED_VALUE"""),"ROJAS JUAN MANUEL (PROGRAMA MEDICINA DEL INTERIOR GOB)")</f>
        <v>ROJAS JUAN MANUEL (PROGRAMA MEDICINA DEL INTERIOR GOB)</v>
      </c>
      <c r="D5106" s="1" t="str">
        <f>IFERROR(__xludf.DUMMYFUNCTION("""COMPUTED_VALUE"""),"Lentes de STOCK")</f>
        <v>Lentes de STOCK</v>
      </c>
      <c r="E5106" s="1" t="str">
        <f>IFERROR(__xludf.DUMMYFUNCTION("""COMPUTED_VALUE"""),"Online ADMIN.")</f>
        <v>Online ADMIN.</v>
      </c>
      <c r="F5106" s="1" t="str">
        <f t="shared" si="1"/>
        <v>Online </v>
      </c>
      <c r="G5106" s="1" t="str">
        <f t="shared" si="2"/>
        <v>ADMIN.</v>
      </c>
      <c r="H5106" s="1" t="str">
        <f>IFERROR(__xludf.DUMMYFUNCTION("""COMPUTED_VALUE"""),"14/4/2023, 17:00:00")</f>
        <v>14/4/2023, 17:00:00</v>
      </c>
      <c r="I5106" s="1" t="str">
        <f>IFERROR(__xludf.DUMMYFUNCTION("""COMPUTED_VALUE"""),"Recibido en Laboratorio")</f>
        <v>Recibido en Laboratorio</v>
      </c>
      <c r="J5106" s="1">
        <f t="shared" si="3"/>
        <v>2</v>
      </c>
      <c r="K5106" s="1" t="str">
        <f t="shared" si="4"/>
        <v>Nuestro Laboratorio esta trabajando en tus lentes, los entregaremos en la fecha acordada.</v>
      </c>
    </row>
    <row r="5107">
      <c r="A5107" s="1">
        <f>IFERROR(__xludf.DUMMYFUNCTION("""COMPUTED_VALUE"""),89672.0)</f>
        <v>89672</v>
      </c>
      <c r="B5107" s="5">
        <f>IFERROR(__xludf.DUMMYFUNCTION("""COMPUTED_VALUE"""),45027.39509362269)</f>
        <v>45027.39509</v>
      </c>
      <c r="C5107" s="1" t="str">
        <f>IFERROR(__xludf.DUMMYFUNCTION("""COMPUTED_VALUE"""),"ROJAS ROBERTO  (PROGRAMA MEDICINA DEL INTERIOR GOB)")</f>
        <v>ROJAS ROBERTO  (PROGRAMA MEDICINA DEL INTERIOR GOB)</v>
      </c>
      <c r="D5107" s="1" t="str">
        <f>IFERROR(__xludf.DUMMYFUNCTION("""COMPUTED_VALUE"""),"Lentes de STOCK")</f>
        <v>Lentes de STOCK</v>
      </c>
      <c r="E5107" s="1" t="str">
        <f>IFERROR(__xludf.DUMMYFUNCTION("""COMPUTED_VALUE"""),"Online ADMIN.")</f>
        <v>Online ADMIN.</v>
      </c>
      <c r="F5107" s="1" t="str">
        <f t="shared" si="1"/>
        <v>Online </v>
      </c>
      <c r="G5107" s="1" t="str">
        <f t="shared" si="2"/>
        <v>ADMIN.</v>
      </c>
      <c r="H5107" s="1" t="str">
        <f>IFERROR(__xludf.DUMMYFUNCTION("""COMPUTED_VALUE"""),"14/4/2023, 17:00:00")</f>
        <v>14/4/2023, 17:00:00</v>
      </c>
      <c r="I5107" s="1" t="str">
        <f>IFERROR(__xludf.DUMMYFUNCTION("""COMPUTED_VALUE"""),"Completado en SUCURSAL")</f>
        <v>Completado en SUCURSAL</v>
      </c>
      <c r="J5107" s="1">
        <f t="shared" si="3"/>
        <v>5</v>
      </c>
      <c r="K5107" s="1" t="str">
        <f t="shared" si="4"/>
        <v>Tus Lentes estan LISTAS PARA ENTREGAR, te esperamos.</v>
      </c>
    </row>
    <row r="5108">
      <c r="A5108" s="1">
        <f>IFERROR(__xludf.DUMMYFUNCTION("""COMPUTED_VALUE"""),89673.0)</f>
        <v>89673</v>
      </c>
      <c r="B5108" s="5">
        <f>IFERROR(__xludf.DUMMYFUNCTION("""COMPUTED_VALUE"""),45027.395429745375)</f>
        <v>45027.39543</v>
      </c>
      <c r="C5108" s="1" t="str">
        <f>IFERROR(__xludf.DUMMYFUNCTION("""COMPUTED_VALUE"""),"REYNOSO ESTEBAN  (PROGRAMA MEDICINA DEL INTERIOR GOB)")</f>
        <v>REYNOSO ESTEBAN  (PROGRAMA MEDICINA DEL INTERIOR GOB)</v>
      </c>
      <c r="D5108" s="1" t="str">
        <f>IFERROR(__xludf.DUMMYFUNCTION("""COMPUTED_VALUE"""),"Lentes de STOCK")</f>
        <v>Lentes de STOCK</v>
      </c>
      <c r="E5108" s="1" t="str">
        <f>IFERROR(__xludf.DUMMYFUNCTION("""COMPUTED_VALUE"""),"Online ADMIN.")</f>
        <v>Online ADMIN.</v>
      </c>
      <c r="F5108" s="1" t="str">
        <f t="shared" si="1"/>
        <v>Online </v>
      </c>
      <c r="G5108" s="1" t="str">
        <f t="shared" si="2"/>
        <v>ADMIN.</v>
      </c>
      <c r="H5108" s="1" t="str">
        <f>IFERROR(__xludf.DUMMYFUNCTION("""COMPUTED_VALUE"""),"14/4/2023, 17:00:00")</f>
        <v>14/4/2023, 17:00:00</v>
      </c>
      <c r="I5108" s="1" t="str">
        <f>IFERROR(__xludf.DUMMYFUNCTION("""COMPUTED_VALUE"""),"Recibido en Laboratorio")</f>
        <v>Recibido en Laboratorio</v>
      </c>
      <c r="J5108" s="1">
        <f t="shared" si="3"/>
        <v>2</v>
      </c>
      <c r="K5108" s="1" t="str">
        <f t="shared" si="4"/>
        <v>Nuestro Laboratorio esta trabajando en tus lentes, los entregaremos en la fecha acordada.</v>
      </c>
    </row>
    <row r="5109">
      <c r="A5109" s="1">
        <f>IFERROR(__xludf.DUMMYFUNCTION("""COMPUTED_VALUE"""),89674.0)</f>
        <v>89674</v>
      </c>
      <c r="B5109" s="5">
        <f>IFERROR(__xludf.DUMMYFUNCTION("""COMPUTED_VALUE"""),45027.39626116898)</f>
        <v>45027.39626</v>
      </c>
      <c r="C5109" s="1" t="str">
        <f>IFERROR(__xludf.DUMMYFUNCTION("""COMPUTED_VALUE"""),"PUEBLA AYLEN  (PROGRAMA MEDICINA DEL INTERIOR GOB)")</f>
        <v>PUEBLA AYLEN  (PROGRAMA MEDICINA DEL INTERIOR GOB)</v>
      </c>
      <c r="D5109" s="1" t="str">
        <f>IFERROR(__xludf.DUMMYFUNCTION("""COMPUTED_VALUE"""),"Lentes de STOCK")</f>
        <v>Lentes de STOCK</v>
      </c>
      <c r="E5109" s="1" t="str">
        <f>IFERROR(__xludf.DUMMYFUNCTION("""COMPUTED_VALUE"""),"Online ADMIN.")</f>
        <v>Online ADMIN.</v>
      </c>
      <c r="F5109" s="1" t="str">
        <f t="shared" si="1"/>
        <v>Online </v>
      </c>
      <c r="G5109" s="1" t="str">
        <f t="shared" si="2"/>
        <v>ADMIN.</v>
      </c>
      <c r="H5109" s="1" t="str">
        <f>IFERROR(__xludf.DUMMYFUNCTION("""COMPUTED_VALUE"""),"14/4/2023, 17:00:00")</f>
        <v>14/4/2023, 17:00:00</v>
      </c>
      <c r="I5109" s="1" t="str">
        <f>IFERROR(__xludf.DUMMYFUNCTION("""COMPUTED_VALUE"""),"Recibido en Laboratorio")</f>
        <v>Recibido en Laboratorio</v>
      </c>
      <c r="J5109" s="1">
        <f t="shared" si="3"/>
        <v>2</v>
      </c>
      <c r="K5109" s="1" t="str">
        <f t="shared" si="4"/>
        <v>Nuestro Laboratorio esta trabajando en tus lentes, los entregaremos en la fecha acordada.</v>
      </c>
    </row>
    <row r="5110">
      <c r="A5110" s="1">
        <f>IFERROR(__xludf.DUMMYFUNCTION("""COMPUTED_VALUE"""),89675.0)</f>
        <v>89675</v>
      </c>
      <c r="B5110" s="5">
        <f>IFERROR(__xludf.DUMMYFUNCTION("""COMPUTED_VALUE"""),45027.39780181713)</f>
        <v>45027.3978</v>
      </c>
      <c r="C5110" s="1" t="str">
        <f>IFERROR(__xludf.DUMMYFUNCTION("""COMPUTED_VALUE"""),"ALVA NELIDA DEOLINDA")</f>
        <v>ALVA NELIDA DEOLINDA</v>
      </c>
      <c r="D5110" s="1" t="str">
        <f>IFERROR(__xludf.DUMMYFUNCTION("""COMPUTED_VALUE"""),"Lentes BIFOCALES")</f>
        <v>Lentes BIFOCALES</v>
      </c>
      <c r="E5110" s="1" t="str">
        <f>IFERROR(__xludf.DUMMYFUNCTION("""COMPUTED_VALUE"""),"Otro (LUCIANA ARTIGAS)")</f>
        <v>Otro (LUCIANA ARTIGAS)</v>
      </c>
      <c r="F5110" s="1" t="str">
        <f t="shared" si="1"/>
        <v>Otro </v>
      </c>
      <c r="G5110" s="1" t="str">
        <f t="shared" si="2"/>
        <v>(LUCIANA ARTIGAS)</v>
      </c>
      <c r="H5110" s="1" t="str">
        <f>IFERROR(__xludf.DUMMYFUNCTION("""COMPUTED_VALUE"""),"17/4/2023, 17:00:00")</f>
        <v>17/4/2023, 17:00:00</v>
      </c>
      <c r="I5110" s="1" t="str">
        <f>IFERROR(__xludf.DUMMYFUNCTION("""COMPUTED_VALUE"""),"Completado en SUCURSAL")</f>
        <v>Completado en SUCURSAL</v>
      </c>
      <c r="J5110" s="1">
        <f t="shared" si="3"/>
        <v>5</v>
      </c>
      <c r="K5110" s="1" t="str">
        <f t="shared" si="4"/>
        <v>Tus Lentes estan LISTAS PARA ENTREGAR, te esperamos.</v>
      </c>
    </row>
    <row r="5111">
      <c r="A5111" s="1">
        <f>IFERROR(__xludf.DUMMYFUNCTION("""COMPUTED_VALUE"""),89676.0)</f>
        <v>89676</v>
      </c>
      <c r="B5111" s="5">
        <f>IFERROR(__xludf.DUMMYFUNCTION("""COMPUTED_VALUE"""),45027.398068553244)</f>
        <v>45027.39807</v>
      </c>
      <c r="C5111" s="1" t="str">
        <f>IFERROR(__xludf.DUMMYFUNCTION("""COMPUTED_VALUE"""),"PUEBLA AYLEN  (PROGRAMA MEDICINA DEL INTERIOR GOB)")</f>
        <v>PUEBLA AYLEN  (PROGRAMA MEDICINA DEL INTERIOR GOB)</v>
      </c>
      <c r="D5111" s="1" t="str">
        <f>IFERROR(__xludf.DUMMYFUNCTION("""COMPUTED_VALUE"""),"Lentes de STOCK")</f>
        <v>Lentes de STOCK</v>
      </c>
      <c r="E5111" s="1" t="str">
        <f>IFERROR(__xludf.DUMMYFUNCTION("""COMPUTED_VALUE"""),"Online ADMIN.")</f>
        <v>Online ADMIN.</v>
      </c>
      <c r="F5111" s="1" t="str">
        <f t="shared" si="1"/>
        <v>Online </v>
      </c>
      <c r="G5111" s="1" t="str">
        <f t="shared" si="2"/>
        <v>ADMIN.</v>
      </c>
      <c r="H5111" s="1" t="str">
        <f>IFERROR(__xludf.DUMMYFUNCTION("""COMPUTED_VALUE"""),"14/4/2023, 17:00:00")</f>
        <v>14/4/2023, 17:00:00</v>
      </c>
      <c r="I5111" s="1"/>
      <c r="J5111" s="1">
        <f t="shared" si="3"/>
        <v>0</v>
      </c>
      <c r="K5111" s="1" t="str">
        <f t="shared" si="4"/>
        <v/>
      </c>
    </row>
    <row r="5112">
      <c r="A5112" s="1">
        <f>IFERROR(__xludf.DUMMYFUNCTION("""COMPUTED_VALUE"""),89677.0)</f>
        <v>89677</v>
      </c>
      <c r="B5112" s="5">
        <f>IFERROR(__xludf.DUMMYFUNCTION("""COMPUTED_VALUE"""),45027.39894954861)</f>
        <v>45027.39895</v>
      </c>
      <c r="C5112" s="1" t="str">
        <f>IFERROR(__xludf.DUMMYFUNCTION("""COMPUTED_VALUE"""),"OLIVA MARCELO  (PROGRAMA MEDICINA DEL INTERIOR GOB)")</f>
        <v>OLIVA MARCELO  (PROGRAMA MEDICINA DEL INTERIOR GOB)</v>
      </c>
      <c r="D5112" s="1" t="str">
        <f>IFERROR(__xludf.DUMMYFUNCTION("""COMPUTED_VALUE"""),"Lentes de STOCK")</f>
        <v>Lentes de STOCK</v>
      </c>
      <c r="E5112" s="1" t="str">
        <f>IFERROR(__xludf.DUMMYFUNCTION("""COMPUTED_VALUE"""),"Online ADMIN.")</f>
        <v>Online ADMIN.</v>
      </c>
      <c r="F5112" s="1" t="str">
        <f t="shared" si="1"/>
        <v>Online </v>
      </c>
      <c r="G5112" s="1" t="str">
        <f t="shared" si="2"/>
        <v>ADMIN.</v>
      </c>
      <c r="H5112" s="1" t="str">
        <f>IFERROR(__xludf.DUMMYFUNCTION("""COMPUTED_VALUE"""),"14/4/2023, 17:00:00")</f>
        <v>14/4/2023, 17:00:00</v>
      </c>
      <c r="I5112" s="1" t="str">
        <f>IFERROR(__xludf.DUMMYFUNCTION("""COMPUTED_VALUE"""),"Recibido en Laboratorio")</f>
        <v>Recibido en Laboratorio</v>
      </c>
      <c r="J5112" s="1">
        <f t="shared" si="3"/>
        <v>2</v>
      </c>
      <c r="K5112" s="1" t="str">
        <f t="shared" si="4"/>
        <v>Nuestro Laboratorio esta trabajando en tus lentes, los entregaremos en la fecha acordada.</v>
      </c>
    </row>
    <row r="5113">
      <c r="A5113" s="1">
        <f>IFERROR(__xludf.DUMMYFUNCTION("""COMPUTED_VALUE"""),89678.0)</f>
        <v>89678</v>
      </c>
      <c r="B5113" s="5">
        <f>IFERROR(__xludf.DUMMYFUNCTION("""COMPUTED_VALUE"""),45027.39963122685)</f>
        <v>45027.39963</v>
      </c>
      <c r="C5113" s="1" t="str">
        <f>IFERROR(__xludf.DUMMYFUNCTION("""COMPUTED_VALUE"""),"OLEA NATALIA PATRICIA  (PROGRAMA MEDICINA DEL INTERIOR GOB)")</f>
        <v>OLEA NATALIA PATRICIA  (PROGRAMA MEDICINA DEL INTERIOR GOB)</v>
      </c>
      <c r="D5113" s="1" t="str">
        <f>IFERROR(__xludf.DUMMYFUNCTION("""COMPUTED_VALUE"""),"Lentes de STOCK")</f>
        <v>Lentes de STOCK</v>
      </c>
      <c r="E5113" s="1" t="str">
        <f>IFERROR(__xludf.DUMMYFUNCTION("""COMPUTED_VALUE"""),"Online ADMIN.")</f>
        <v>Online ADMIN.</v>
      </c>
      <c r="F5113" s="1" t="str">
        <f t="shared" si="1"/>
        <v>Online </v>
      </c>
      <c r="G5113" s="1" t="str">
        <f t="shared" si="2"/>
        <v>ADMIN.</v>
      </c>
      <c r="H5113" s="1" t="str">
        <f>IFERROR(__xludf.DUMMYFUNCTION("""COMPUTED_VALUE"""),"14/4/2023, 17:00:00")</f>
        <v>14/4/2023, 17:00:00</v>
      </c>
      <c r="I5113" s="1" t="str">
        <f>IFERROR(__xludf.DUMMYFUNCTION("""COMPUTED_VALUE"""),"Recibido en Laboratorio")</f>
        <v>Recibido en Laboratorio</v>
      </c>
      <c r="J5113" s="1">
        <f t="shared" si="3"/>
        <v>2</v>
      </c>
      <c r="K5113" s="1" t="str">
        <f t="shared" si="4"/>
        <v>Nuestro Laboratorio esta trabajando en tus lentes, los entregaremos en la fecha acordada.</v>
      </c>
    </row>
    <row r="5114">
      <c r="A5114" s="1">
        <f>IFERROR(__xludf.DUMMYFUNCTION("""COMPUTED_VALUE"""),89679.0)</f>
        <v>89679</v>
      </c>
      <c r="B5114" s="5">
        <f>IFERROR(__xludf.DUMMYFUNCTION("""COMPUTED_VALUE"""),45027.400050509255)</f>
        <v>45027.40005</v>
      </c>
      <c r="C5114" s="1" t="str">
        <f>IFERROR(__xludf.DUMMYFUNCTION("""COMPUTED_VALUE"""),"MIRANDA GABRIEL  (PROGRAMA MEDICINA DEL INTERIOR GOB)")</f>
        <v>MIRANDA GABRIEL  (PROGRAMA MEDICINA DEL INTERIOR GOB)</v>
      </c>
      <c r="D5114" s="1" t="str">
        <f>IFERROR(__xludf.DUMMYFUNCTION("""COMPUTED_VALUE"""),"Lentes de STOCK")</f>
        <v>Lentes de STOCK</v>
      </c>
      <c r="E5114" s="1" t="str">
        <f>IFERROR(__xludf.DUMMYFUNCTION("""COMPUTED_VALUE"""),"Online ADMIN.")</f>
        <v>Online ADMIN.</v>
      </c>
      <c r="F5114" s="1" t="str">
        <f t="shared" si="1"/>
        <v>Online </v>
      </c>
      <c r="G5114" s="1" t="str">
        <f t="shared" si="2"/>
        <v>ADMIN.</v>
      </c>
      <c r="H5114" s="1" t="str">
        <f>IFERROR(__xludf.DUMMYFUNCTION("""COMPUTED_VALUE"""),"14/4/2023, 17:00:00")</f>
        <v>14/4/2023, 17:00:00</v>
      </c>
      <c r="I5114" s="1" t="str">
        <f>IFERROR(__xludf.DUMMYFUNCTION("""COMPUTED_VALUE"""),"Recibido en Laboratorio")</f>
        <v>Recibido en Laboratorio</v>
      </c>
      <c r="J5114" s="1">
        <f t="shared" si="3"/>
        <v>2</v>
      </c>
      <c r="K5114" s="1" t="str">
        <f t="shared" si="4"/>
        <v>Nuestro Laboratorio esta trabajando en tus lentes, los entregaremos en la fecha acordada.</v>
      </c>
    </row>
    <row r="5115">
      <c r="A5115" s="1">
        <f>IFERROR(__xludf.DUMMYFUNCTION("""COMPUTED_VALUE"""),89680.0)</f>
        <v>89680</v>
      </c>
      <c r="B5115" s="5">
        <f>IFERROR(__xludf.DUMMYFUNCTION("""COMPUTED_VALUE"""),45027.40052609953)</f>
        <v>45027.40053</v>
      </c>
      <c r="C5115" s="1" t="str">
        <f>IFERROR(__xludf.DUMMYFUNCTION("""COMPUTED_VALUE"""),"MUÑOZ JORGE  (PROGRAMA MEDICINA DEL INTERIOR GOB)")</f>
        <v>MUÑOZ JORGE  (PROGRAMA MEDICINA DEL INTERIOR GOB)</v>
      </c>
      <c r="D5115" s="1" t="str">
        <f>IFERROR(__xludf.DUMMYFUNCTION("""COMPUTED_VALUE"""),"Lentes de STOCK")</f>
        <v>Lentes de STOCK</v>
      </c>
      <c r="E5115" s="1" t="str">
        <f>IFERROR(__xludf.DUMMYFUNCTION("""COMPUTED_VALUE"""),"Online ADMIN.")</f>
        <v>Online ADMIN.</v>
      </c>
      <c r="F5115" s="1" t="str">
        <f t="shared" si="1"/>
        <v>Online </v>
      </c>
      <c r="G5115" s="1" t="str">
        <f t="shared" si="2"/>
        <v>ADMIN.</v>
      </c>
      <c r="H5115" s="1" t="str">
        <f>IFERROR(__xludf.DUMMYFUNCTION("""COMPUTED_VALUE"""),"14/4/2023, 17:00:00")</f>
        <v>14/4/2023, 17:00:00</v>
      </c>
      <c r="I5115" s="1" t="str">
        <f>IFERROR(__xludf.DUMMYFUNCTION("""COMPUTED_VALUE"""),"Recibido en Laboratorio")</f>
        <v>Recibido en Laboratorio</v>
      </c>
      <c r="J5115" s="1">
        <f t="shared" si="3"/>
        <v>2</v>
      </c>
      <c r="K5115" s="1" t="str">
        <f t="shared" si="4"/>
        <v>Nuestro Laboratorio esta trabajando en tus lentes, los entregaremos en la fecha acordada.</v>
      </c>
    </row>
    <row r="5116">
      <c r="A5116" s="1">
        <f>IFERROR(__xludf.DUMMYFUNCTION("""COMPUTED_VALUE"""),89681.0)</f>
        <v>89681</v>
      </c>
      <c r="B5116" s="5">
        <f>IFERROR(__xludf.DUMMYFUNCTION("""COMPUTED_VALUE"""),45027.40124416667)</f>
        <v>45027.40124</v>
      </c>
      <c r="C5116" s="1" t="str">
        <f>IFERROR(__xludf.DUMMYFUNCTION("""COMPUTED_VALUE"""),"LUCERO THIARA  (PROGRAMA MEDICINA DEL INTERIOR GOB)")</f>
        <v>LUCERO THIARA  (PROGRAMA MEDICINA DEL INTERIOR GOB)</v>
      </c>
      <c r="D5116" s="1" t="str">
        <f>IFERROR(__xludf.DUMMYFUNCTION("""COMPUTED_VALUE"""),"Lentes de STOCK")</f>
        <v>Lentes de STOCK</v>
      </c>
      <c r="E5116" s="1" t="str">
        <f>IFERROR(__xludf.DUMMYFUNCTION("""COMPUTED_VALUE"""),"Online ADMIN.")</f>
        <v>Online ADMIN.</v>
      </c>
      <c r="F5116" s="1" t="str">
        <f t="shared" si="1"/>
        <v>Online </v>
      </c>
      <c r="G5116" s="1" t="str">
        <f t="shared" si="2"/>
        <v>ADMIN.</v>
      </c>
      <c r="H5116" s="1" t="str">
        <f>IFERROR(__xludf.DUMMYFUNCTION("""COMPUTED_VALUE"""),"14/4/2023, 17:00:00")</f>
        <v>14/4/2023, 17:00:00</v>
      </c>
      <c r="I5116" s="1" t="str">
        <f>IFERROR(__xludf.DUMMYFUNCTION("""COMPUTED_VALUE"""),"Recibido en Laboratorio")</f>
        <v>Recibido en Laboratorio</v>
      </c>
      <c r="J5116" s="1">
        <f t="shared" si="3"/>
        <v>2</v>
      </c>
      <c r="K5116" s="1" t="str">
        <f t="shared" si="4"/>
        <v>Nuestro Laboratorio esta trabajando en tus lentes, los entregaremos en la fecha acordada.</v>
      </c>
    </row>
    <row r="5117">
      <c r="A5117" s="1">
        <f>IFERROR(__xludf.DUMMYFUNCTION("""COMPUTED_VALUE"""),89682.0)</f>
        <v>89682</v>
      </c>
      <c r="B5117" s="5">
        <f>IFERROR(__xludf.DUMMYFUNCTION("""COMPUTED_VALUE"""),45027.40162956019)</f>
        <v>45027.40163</v>
      </c>
      <c r="C5117" s="1" t="str">
        <f>IFERROR(__xludf.DUMMYFUNCTION("""COMPUTED_VALUE"""),"LIMA LUCAS  (PROGRAMA MEDICINA DEL INTERIOR GOB)")</f>
        <v>LIMA LUCAS  (PROGRAMA MEDICINA DEL INTERIOR GOB)</v>
      </c>
      <c r="D5117" s="1" t="str">
        <f>IFERROR(__xludf.DUMMYFUNCTION("""COMPUTED_VALUE"""),"Lentes de STOCK")</f>
        <v>Lentes de STOCK</v>
      </c>
      <c r="E5117" s="1" t="str">
        <f>IFERROR(__xludf.DUMMYFUNCTION("""COMPUTED_VALUE"""),"Online ADMIN.")</f>
        <v>Online ADMIN.</v>
      </c>
      <c r="F5117" s="1" t="str">
        <f t="shared" si="1"/>
        <v>Online </v>
      </c>
      <c r="G5117" s="1" t="str">
        <f t="shared" si="2"/>
        <v>ADMIN.</v>
      </c>
      <c r="H5117" s="1" t="str">
        <f>IFERROR(__xludf.DUMMYFUNCTION("""COMPUTED_VALUE"""),"14/4/2023, 17:00:00")</f>
        <v>14/4/2023, 17:00:00</v>
      </c>
      <c r="I5117" s="1" t="str">
        <f>IFERROR(__xludf.DUMMYFUNCTION("""COMPUTED_VALUE"""),"Recibido en Laboratorio")</f>
        <v>Recibido en Laboratorio</v>
      </c>
      <c r="J5117" s="1">
        <f t="shared" si="3"/>
        <v>2</v>
      </c>
      <c r="K5117" s="1" t="str">
        <f t="shared" si="4"/>
        <v>Nuestro Laboratorio esta trabajando en tus lentes, los entregaremos en la fecha acordada.</v>
      </c>
    </row>
    <row r="5118">
      <c r="A5118" s="1">
        <f>IFERROR(__xludf.DUMMYFUNCTION("""COMPUTED_VALUE"""),89683.0)</f>
        <v>89683</v>
      </c>
      <c r="B5118" s="5">
        <f>IFERROR(__xludf.DUMMYFUNCTION("""COMPUTED_VALUE"""),45027.40213083333)</f>
        <v>45027.40213</v>
      </c>
      <c r="C5118" s="1" t="str">
        <f>IFERROR(__xludf.DUMMYFUNCTION("""COMPUTED_VALUE"""),"JAJOWCZYK PABLO DANIEL ")</f>
        <v>JAJOWCZYK PABLO DANIEL </v>
      </c>
      <c r="D5118" s="1" t="str">
        <f>IFERROR(__xludf.DUMMYFUNCTION("""COMPUTED_VALUE"""),"Lentes de STOCK")</f>
        <v>Lentes de STOCK</v>
      </c>
      <c r="E5118" s="1" t="str">
        <f>IFERROR(__xludf.DUMMYFUNCTION("""COMPUTED_VALUE"""),"Online ADMIN.")</f>
        <v>Online ADMIN.</v>
      </c>
      <c r="F5118" s="1" t="str">
        <f t="shared" si="1"/>
        <v>Online </v>
      </c>
      <c r="G5118" s="1" t="str">
        <f t="shared" si="2"/>
        <v>ADMIN.</v>
      </c>
      <c r="H5118" s="1" t="str">
        <f>IFERROR(__xludf.DUMMYFUNCTION("""COMPUTED_VALUE"""),"14/4/2023, 17:00:00")</f>
        <v>14/4/2023, 17:00:00</v>
      </c>
      <c r="I5118" s="1" t="str">
        <f>IFERROR(__xludf.DUMMYFUNCTION("""COMPUTED_VALUE"""),"Recibido en Laboratorio")</f>
        <v>Recibido en Laboratorio</v>
      </c>
      <c r="J5118" s="1">
        <f t="shared" si="3"/>
        <v>2</v>
      </c>
      <c r="K5118" s="1" t="str">
        <f t="shared" si="4"/>
        <v>Nuestro Laboratorio esta trabajando en tus lentes, los entregaremos en la fecha acordada.</v>
      </c>
    </row>
    <row r="5119">
      <c r="A5119" s="1">
        <f>IFERROR(__xludf.DUMMYFUNCTION("""COMPUTED_VALUE"""),89684.0)</f>
        <v>89684</v>
      </c>
      <c r="B5119" s="5">
        <f>IFERROR(__xludf.DUMMYFUNCTION("""COMPUTED_VALUE"""),45027.40261913194)</f>
        <v>45027.40262</v>
      </c>
      <c r="C5119" s="1" t="str">
        <f>IFERROR(__xludf.DUMMYFUNCTION("""COMPUTED_VALUE"""),"JAKOWCZYK PABLO DANIEL  (PROGRAMA MEDICINA DEL INTERIOR GOB)")</f>
        <v>JAKOWCZYK PABLO DANIEL  (PROGRAMA MEDICINA DEL INTERIOR GOB)</v>
      </c>
      <c r="D5119" s="1" t="str">
        <f>IFERROR(__xludf.DUMMYFUNCTION("""COMPUTED_VALUE"""),"Lentes de STOCK")</f>
        <v>Lentes de STOCK</v>
      </c>
      <c r="E5119" s="1" t="str">
        <f>IFERROR(__xludf.DUMMYFUNCTION("""COMPUTED_VALUE"""),"Online ADMIN.")</f>
        <v>Online ADMIN.</v>
      </c>
      <c r="F5119" s="1" t="str">
        <f t="shared" si="1"/>
        <v>Online </v>
      </c>
      <c r="G5119" s="1" t="str">
        <f t="shared" si="2"/>
        <v>ADMIN.</v>
      </c>
      <c r="H5119" s="1" t="str">
        <f>IFERROR(__xludf.DUMMYFUNCTION("""COMPUTED_VALUE"""),"14/4/2023, 17:00:00")</f>
        <v>14/4/2023, 17:00:00</v>
      </c>
      <c r="I5119" s="1" t="str">
        <f>IFERROR(__xludf.DUMMYFUNCTION("""COMPUTED_VALUE"""),"Recibido en Laboratorio")</f>
        <v>Recibido en Laboratorio</v>
      </c>
      <c r="J5119" s="1">
        <f t="shared" si="3"/>
        <v>2</v>
      </c>
      <c r="K5119" s="1" t="str">
        <f t="shared" si="4"/>
        <v>Nuestro Laboratorio esta trabajando en tus lentes, los entregaremos en la fecha acordada.</v>
      </c>
    </row>
    <row r="5120">
      <c r="A5120" s="1">
        <f>IFERROR(__xludf.DUMMYFUNCTION("""COMPUTED_VALUE"""),89685.0)</f>
        <v>89685</v>
      </c>
      <c r="B5120" s="5">
        <f>IFERROR(__xludf.DUMMYFUNCTION("""COMPUTED_VALUE"""),45027.40309275463)</f>
        <v>45027.40309</v>
      </c>
      <c r="C5120" s="1" t="str">
        <f>IFERROR(__xludf.DUMMYFUNCTION("""COMPUTED_VALUE"""),"LEZCANO MELISA JULIETA  (PROGRAMA MEDICINA DEL INTERIOR GOB)")</f>
        <v>LEZCANO MELISA JULIETA  (PROGRAMA MEDICINA DEL INTERIOR GOB)</v>
      </c>
      <c r="D5120" s="1" t="str">
        <f>IFERROR(__xludf.DUMMYFUNCTION("""COMPUTED_VALUE"""),"Lentes de STOCK")</f>
        <v>Lentes de STOCK</v>
      </c>
      <c r="E5120" s="1" t="str">
        <f>IFERROR(__xludf.DUMMYFUNCTION("""COMPUTED_VALUE"""),"Online ADMIN.")</f>
        <v>Online ADMIN.</v>
      </c>
      <c r="F5120" s="1" t="str">
        <f t="shared" si="1"/>
        <v>Online </v>
      </c>
      <c r="G5120" s="1" t="str">
        <f t="shared" si="2"/>
        <v>ADMIN.</v>
      </c>
      <c r="H5120" s="1" t="str">
        <f>IFERROR(__xludf.DUMMYFUNCTION("""COMPUTED_VALUE"""),"14/4/2023, 17:00:00")</f>
        <v>14/4/2023, 17:00:00</v>
      </c>
      <c r="I5120" s="1" t="str">
        <f>IFERROR(__xludf.DUMMYFUNCTION("""COMPUTED_VALUE"""),"Completado en SUCURSAL")</f>
        <v>Completado en SUCURSAL</v>
      </c>
      <c r="J5120" s="1">
        <f t="shared" si="3"/>
        <v>5</v>
      </c>
      <c r="K5120" s="1" t="str">
        <f t="shared" si="4"/>
        <v>Tus Lentes estan LISTAS PARA ENTREGAR, te esperamos.</v>
      </c>
    </row>
    <row r="5121">
      <c r="A5121" s="1">
        <f>IFERROR(__xludf.DUMMYFUNCTION("""COMPUTED_VALUE"""),89686.0)</f>
        <v>89686</v>
      </c>
      <c r="B5121" s="5">
        <f>IFERROR(__xludf.DUMMYFUNCTION("""COMPUTED_VALUE"""),45027.40371351852)</f>
        <v>45027.40371</v>
      </c>
      <c r="C5121" s="1" t="str">
        <f>IFERROR(__xludf.DUMMYFUNCTION("""COMPUTED_VALUE"""),"GUTIERREZ BRUNO  (PROGRAMA MEDICINA DEL INTERIOR GOB)")</f>
        <v>GUTIERREZ BRUNO  (PROGRAMA MEDICINA DEL INTERIOR GOB)</v>
      </c>
      <c r="D5121" s="1" t="str">
        <f>IFERROR(__xludf.DUMMYFUNCTION("""COMPUTED_VALUE"""),"Lentes de STOCK")</f>
        <v>Lentes de STOCK</v>
      </c>
      <c r="E5121" s="1" t="str">
        <f>IFERROR(__xludf.DUMMYFUNCTION("""COMPUTED_VALUE"""),"Online ADMIN.")</f>
        <v>Online ADMIN.</v>
      </c>
      <c r="F5121" s="1" t="str">
        <f t="shared" si="1"/>
        <v>Online </v>
      </c>
      <c r="G5121" s="1" t="str">
        <f t="shared" si="2"/>
        <v>ADMIN.</v>
      </c>
      <c r="H5121" s="1" t="str">
        <f>IFERROR(__xludf.DUMMYFUNCTION("""COMPUTED_VALUE"""),"14/4/2023, 17:00:00")</f>
        <v>14/4/2023, 17:00:00</v>
      </c>
      <c r="I5121" s="1" t="str">
        <f>IFERROR(__xludf.DUMMYFUNCTION("""COMPUTED_VALUE"""),"Completado en SUCURSAL")</f>
        <v>Completado en SUCURSAL</v>
      </c>
      <c r="J5121" s="1">
        <f t="shared" si="3"/>
        <v>5</v>
      </c>
      <c r="K5121" s="1" t="str">
        <f t="shared" si="4"/>
        <v>Tus Lentes estan LISTAS PARA ENTREGAR, te esperamos.</v>
      </c>
    </row>
    <row r="5122">
      <c r="A5122" s="1">
        <f>IFERROR(__xludf.DUMMYFUNCTION("""COMPUTED_VALUE"""),89687.0)</f>
        <v>89687</v>
      </c>
      <c r="B5122" s="5">
        <f>IFERROR(__xludf.DUMMYFUNCTION("""COMPUTED_VALUE"""),45027.40425825231)</f>
        <v>45027.40426</v>
      </c>
      <c r="C5122" s="1" t="str">
        <f>IFERROR(__xludf.DUMMYFUNCTION("""COMPUTED_VALUE"""),"GONZALEZ ALMA MIA  (PROGRAMA MEDICINA DEL INTERIOR GOB)")</f>
        <v>GONZALEZ ALMA MIA  (PROGRAMA MEDICINA DEL INTERIOR GOB)</v>
      </c>
      <c r="D5122" s="1" t="str">
        <f>IFERROR(__xludf.DUMMYFUNCTION("""COMPUTED_VALUE"""),"Lentes de LABORATORIO")</f>
        <v>Lentes de LABORATORIO</v>
      </c>
      <c r="E5122" s="1" t="str">
        <f>IFERROR(__xludf.DUMMYFUNCTION("""COMPUTED_VALUE"""),"Online ADMIN.")</f>
        <v>Online ADMIN.</v>
      </c>
      <c r="F5122" s="1" t="str">
        <f t="shared" si="1"/>
        <v>Online </v>
      </c>
      <c r="G5122" s="1" t="str">
        <f t="shared" si="2"/>
        <v>ADMIN.</v>
      </c>
      <c r="H5122" s="1" t="str">
        <f>IFERROR(__xludf.DUMMYFUNCTION("""COMPUTED_VALUE"""),"18/4/2023, 17:00:00")</f>
        <v>18/4/2023, 17:00:00</v>
      </c>
      <c r="I5122" s="1" t="str">
        <f>IFERROR(__xludf.DUMMYFUNCTION("""COMPUTED_VALUE"""),"Completado en SUCURSAL")</f>
        <v>Completado en SUCURSAL</v>
      </c>
      <c r="J5122" s="1">
        <f t="shared" si="3"/>
        <v>5</v>
      </c>
      <c r="K5122" s="1" t="str">
        <f t="shared" si="4"/>
        <v>Tus Lentes estan LISTAS PARA ENTREGAR, te esperamos.</v>
      </c>
    </row>
    <row r="5123">
      <c r="A5123" s="1">
        <f>IFERROR(__xludf.DUMMYFUNCTION("""COMPUTED_VALUE"""),89688.0)</f>
        <v>89688</v>
      </c>
      <c r="B5123" s="5">
        <f>IFERROR(__xludf.DUMMYFUNCTION("""COMPUTED_VALUE"""),45027.40483695602)</f>
        <v>45027.40484</v>
      </c>
      <c r="C5123" s="1" t="str">
        <f>IFERROR(__xludf.DUMMYFUNCTION("""COMPUTED_VALUE"""),"FLORES MARIA DEL ROSARIO  (PROGRAMA MEDICINA DEL INTERIOR GOB)")</f>
        <v>FLORES MARIA DEL ROSARIO  (PROGRAMA MEDICINA DEL INTERIOR GOB)</v>
      </c>
      <c r="D5123" s="1" t="str">
        <f>IFERROR(__xludf.DUMMYFUNCTION("""COMPUTED_VALUE"""),"Lentes de STOCK")</f>
        <v>Lentes de STOCK</v>
      </c>
      <c r="E5123" s="1" t="str">
        <f>IFERROR(__xludf.DUMMYFUNCTION("""COMPUTED_VALUE"""),"Online ADMIN.")</f>
        <v>Online ADMIN.</v>
      </c>
      <c r="F5123" s="1" t="str">
        <f t="shared" si="1"/>
        <v>Online </v>
      </c>
      <c r="G5123" s="1" t="str">
        <f t="shared" si="2"/>
        <v>ADMIN.</v>
      </c>
      <c r="H5123" s="1" t="str">
        <f>IFERROR(__xludf.DUMMYFUNCTION("""COMPUTED_VALUE"""),"14/4/2023, 17:00:00")</f>
        <v>14/4/2023, 17:00:00</v>
      </c>
      <c r="I5123" s="1" t="str">
        <f>IFERROR(__xludf.DUMMYFUNCTION("""COMPUTED_VALUE"""),"Recibido en Laboratorio")</f>
        <v>Recibido en Laboratorio</v>
      </c>
      <c r="J5123" s="1">
        <f t="shared" si="3"/>
        <v>2</v>
      </c>
      <c r="K5123" s="1" t="str">
        <f t="shared" si="4"/>
        <v>Nuestro Laboratorio esta trabajando en tus lentes, los entregaremos en la fecha acordada.</v>
      </c>
    </row>
    <row r="5124">
      <c r="A5124" s="1">
        <f>IFERROR(__xludf.DUMMYFUNCTION("""COMPUTED_VALUE"""),89689.0)</f>
        <v>89689</v>
      </c>
      <c r="B5124" s="5">
        <f>IFERROR(__xludf.DUMMYFUNCTION("""COMPUTED_VALUE"""),45027.405251435186)</f>
        <v>45027.40525</v>
      </c>
      <c r="C5124" s="1" t="str">
        <f>IFERROR(__xludf.DUMMYFUNCTION("""COMPUTED_VALUE"""),"FLORES MARIA  (PROGRAMA MEDICINA DEL INTERIOR GOB)")</f>
        <v>FLORES MARIA  (PROGRAMA MEDICINA DEL INTERIOR GOB)</v>
      </c>
      <c r="D5124" s="1" t="str">
        <f>IFERROR(__xludf.DUMMYFUNCTION("""COMPUTED_VALUE"""),"Lentes de STOCK")</f>
        <v>Lentes de STOCK</v>
      </c>
      <c r="E5124" s="1" t="str">
        <f>IFERROR(__xludf.DUMMYFUNCTION("""COMPUTED_VALUE"""),"Online ADMIN.")</f>
        <v>Online ADMIN.</v>
      </c>
      <c r="F5124" s="1" t="str">
        <f t="shared" si="1"/>
        <v>Online </v>
      </c>
      <c r="G5124" s="1" t="str">
        <f t="shared" si="2"/>
        <v>ADMIN.</v>
      </c>
      <c r="H5124" s="1" t="str">
        <f>IFERROR(__xludf.DUMMYFUNCTION("""COMPUTED_VALUE"""),"14/4/2023, 17:00:00")</f>
        <v>14/4/2023, 17:00:00</v>
      </c>
      <c r="I5124" s="1" t="str">
        <f>IFERROR(__xludf.DUMMYFUNCTION("""COMPUTED_VALUE"""),"Recibido en Laboratorio")</f>
        <v>Recibido en Laboratorio</v>
      </c>
      <c r="J5124" s="1">
        <f t="shared" si="3"/>
        <v>2</v>
      </c>
      <c r="K5124" s="1" t="str">
        <f t="shared" si="4"/>
        <v>Nuestro Laboratorio esta trabajando en tus lentes, los entregaremos en la fecha acordada.</v>
      </c>
    </row>
    <row r="5125">
      <c r="A5125" s="1">
        <f>IFERROR(__xludf.DUMMYFUNCTION("""COMPUTED_VALUE"""),89690.0)</f>
        <v>89690</v>
      </c>
      <c r="B5125" s="5">
        <f>IFERROR(__xludf.DUMMYFUNCTION("""COMPUTED_VALUE"""),45027.40594055556)</f>
        <v>45027.40594</v>
      </c>
      <c r="C5125" s="1" t="str">
        <f>IFERROR(__xludf.DUMMYFUNCTION("""COMPUTED_VALUE"""),"GOMEZ ELISA MARIANA  (PROGRAMA MEDICINA DEL INTERIOR GOB)")</f>
        <v>GOMEZ ELISA MARIANA  (PROGRAMA MEDICINA DEL INTERIOR GOB)</v>
      </c>
      <c r="D5125" s="1" t="str">
        <f>IFERROR(__xludf.DUMMYFUNCTION("""COMPUTED_VALUE"""),"Lentes de STOCK")</f>
        <v>Lentes de STOCK</v>
      </c>
      <c r="E5125" s="1" t="str">
        <f>IFERROR(__xludf.DUMMYFUNCTION("""COMPUTED_VALUE"""),"Online ADMIN.")</f>
        <v>Online ADMIN.</v>
      </c>
      <c r="F5125" s="1" t="str">
        <f t="shared" si="1"/>
        <v>Online </v>
      </c>
      <c r="G5125" s="1" t="str">
        <f t="shared" si="2"/>
        <v>ADMIN.</v>
      </c>
      <c r="H5125" s="1" t="str">
        <f>IFERROR(__xludf.DUMMYFUNCTION("""COMPUTED_VALUE"""),"14/4/2023, 17:00:00")</f>
        <v>14/4/2023, 17:00:00</v>
      </c>
      <c r="I5125" s="1" t="str">
        <f>IFERROR(__xludf.DUMMYFUNCTION("""COMPUTED_VALUE"""),"Recibido en Laboratorio")</f>
        <v>Recibido en Laboratorio</v>
      </c>
      <c r="J5125" s="1">
        <f t="shared" si="3"/>
        <v>2</v>
      </c>
      <c r="K5125" s="1" t="str">
        <f t="shared" si="4"/>
        <v>Nuestro Laboratorio esta trabajando en tus lentes, los entregaremos en la fecha acordada.</v>
      </c>
    </row>
    <row r="5126">
      <c r="A5126" s="1">
        <f>IFERROR(__xludf.DUMMYFUNCTION("""COMPUTED_VALUE"""),89691.0)</f>
        <v>89691</v>
      </c>
      <c r="B5126" s="5">
        <f>IFERROR(__xludf.DUMMYFUNCTION("""COMPUTED_VALUE"""),45027.406730462964)</f>
        <v>45027.40673</v>
      </c>
      <c r="C5126" s="1" t="str">
        <f>IFERROR(__xludf.DUMMYFUNCTION("""COMPUTED_VALUE"""),"ESTRADA DAMIAN  (PROGRAMA MEDICINA DEL INTERIOR GOB)")</f>
        <v>ESTRADA DAMIAN  (PROGRAMA MEDICINA DEL INTERIOR GOB)</v>
      </c>
      <c r="D5126" s="1" t="str">
        <f>IFERROR(__xludf.DUMMYFUNCTION("""COMPUTED_VALUE"""),"Lentes de STOCK")</f>
        <v>Lentes de STOCK</v>
      </c>
      <c r="E5126" s="1" t="str">
        <f>IFERROR(__xludf.DUMMYFUNCTION("""COMPUTED_VALUE"""),"Online ADMIN.")</f>
        <v>Online ADMIN.</v>
      </c>
      <c r="F5126" s="1" t="str">
        <f t="shared" si="1"/>
        <v>Online </v>
      </c>
      <c r="G5126" s="1" t="str">
        <f t="shared" si="2"/>
        <v>ADMIN.</v>
      </c>
      <c r="H5126" s="1" t="str">
        <f>IFERROR(__xludf.DUMMYFUNCTION("""COMPUTED_VALUE"""),"14/4/2023, 17:00:00")</f>
        <v>14/4/2023, 17:00:00</v>
      </c>
      <c r="I5126" s="1" t="str">
        <f>IFERROR(__xludf.DUMMYFUNCTION("""COMPUTED_VALUE"""),"Recibido en Laboratorio")</f>
        <v>Recibido en Laboratorio</v>
      </c>
      <c r="J5126" s="1">
        <f t="shared" si="3"/>
        <v>2</v>
      </c>
      <c r="K5126" s="1" t="str">
        <f t="shared" si="4"/>
        <v>Nuestro Laboratorio esta trabajando en tus lentes, los entregaremos en la fecha acordada.</v>
      </c>
    </row>
    <row r="5127">
      <c r="A5127" s="1">
        <f>IFERROR(__xludf.DUMMYFUNCTION("""COMPUTED_VALUE"""),89692.0)</f>
        <v>89692</v>
      </c>
      <c r="B5127" s="5">
        <f>IFERROR(__xludf.DUMMYFUNCTION("""COMPUTED_VALUE"""),45027.40723585648)</f>
        <v>45027.40724</v>
      </c>
      <c r="C5127" s="1" t="str">
        <f>IFERROR(__xludf.DUMMYFUNCTION("""COMPUTED_VALUE"""),"CAMBARERI PALOMA CATALINA  (PROGRAMA MEDICINA DEL INTERIOR GOB)")</f>
        <v>CAMBARERI PALOMA CATALINA  (PROGRAMA MEDICINA DEL INTERIOR GOB)</v>
      </c>
      <c r="D5127" s="1" t="str">
        <f>IFERROR(__xludf.DUMMYFUNCTION("""COMPUTED_VALUE"""),"Lentes de STOCK")</f>
        <v>Lentes de STOCK</v>
      </c>
      <c r="E5127" s="1" t="str">
        <f>IFERROR(__xludf.DUMMYFUNCTION("""COMPUTED_VALUE"""),"Online ADMIN.")</f>
        <v>Online ADMIN.</v>
      </c>
      <c r="F5127" s="1" t="str">
        <f t="shared" si="1"/>
        <v>Online </v>
      </c>
      <c r="G5127" s="1" t="str">
        <f t="shared" si="2"/>
        <v>ADMIN.</v>
      </c>
      <c r="H5127" s="1" t="str">
        <f>IFERROR(__xludf.DUMMYFUNCTION("""COMPUTED_VALUE"""),"14/4/2023, 17:00:00")</f>
        <v>14/4/2023, 17:00:00</v>
      </c>
      <c r="I5127" s="1" t="str">
        <f>IFERROR(__xludf.DUMMYFUNCTION("""COMPUTED_VALUE"""),"Recibido en Laboratorio")</f>
        <v>Recibido en Laboratorio</v>
      </c>
      <c r="J5127" s="1">
        <f t="shared" si="3"/>
        <v>2</v>
      </c>
      <c r="K5127" s="1" t="str">
        <f t="shared" si="4"/>
        <v>Nuestro Laboratorio esta trabajando en tus lentes, los entregaremos en la fecha acordada.</v>
      </c>
    </row>
    <row r="5128">
      <c r="A5128" s="1">
        <f>IFERROR(__xludf.DUMMYFUNCTION("""COMPUTED_VALUE"""),89693.0)</f>
        <v>89693</v>
      </c>
      <c r="B5128" s="5">
        <f>IFERROR(__xludf.DUMMYFUNCTION("""COMPUTED_VALUE"""),45027.408991944445)</f>
        <v>45027.40899</v>
      </c>
      <c r="C5128" s="1" t="str">
        <f>IFERROR(__xludf.DUMMYFUNCTION("""COMPUTED_VALUE"""),"CORIA PEREIRA MARIA ELENA  (PROGRAMA MEDICINA DEL INTERIOR GOB)")</f>
        <v>CORIA PEREIRA MARIA ELENA  (PROGRAMA MEDICINA DEL INTERIOR GOB)</v>
      </c>
      <c r="D5128" s="1" t="str">
        <f>IFERROR(__xludf.DUMMYFUNCTION("""COMPUTED_VALUE"""),"Lentes de LABORATORIO")</f>
        <v>Lentes de LABORATORIO</v>
      </c>
      <c r="E5128" s="1" t="str">
        <f>IFERROR(__xludf.DUMMYFUNCTION("""COMPUTED_VALUE"""),"Online ADMIN.")</f>
        <v>Online ADMIN.</v>
      </c>
      <c r="F5128" s="1" t="str">
        <f t="shared" si="1"/>
        <v>Online </v>
      </c>
      <c r="G5128" s="1" t="str">
        <f t="shared" si="2"/>
        <v>ADMIN.</v>
      </c>
      <c r="H5128" s="1" t="str">
        <f>IFERROR(__xludf.DUMMYFUNCTION("""COMPUTED_VALUE"""),"18/4/2023, 17:00:00")</f>
        <v>18/4/2023, 17:00:00</v>
      </c>
      <c r="I5128" s="1" t="str">
        <f>IFERROR(__xludf.DUMMYFUNCTION("""COMPUTED_VALUE"""),"Completado en SUCURSAL")</f>
        <v>Completado en SUCURSAL</v>
      </c>
      <c r="J5128" s="1">
        <f t="shared" si="3"/>
        <v>5</v>
      </c>
      <c r="K5128" s="1" t="str">
        <f t="shared" si="4"/>
        <v>Tus Lentes estan LISTAS PARA ENTREGAR, te esperamos.</v>
      </c>
    </row>
    <row r="5129">
      <c r="A5129" s="1">
        <f>IFERROR(__xludf.DUMMYFUNCTION("""COMPUTED_VALUE"""),89694.0)</f>
        <v>89694</v>
      </c>
      <c r="B5129" s="5">
        <f>IFERROR(__xludf.DUMMYFUNCTION("""COMPUTED_VALUE"""),45027.40969068287)</f>
        <v>45027.40969</v>
      </c>
      <c r="C5129" s="1" t="str">
        <f>IFERROR(__xludf.DUMMYFUNCTION("""COMPUTED_VALUE"""),"CADELAGO ROMERO MARCELO GABRIEL  (PROGRAMA MEDICINA DEL INTERIOR GOB)")</f>
        <v>CADELAGO ROMERO MARCELO GABRIEL  (PROGRAMA MEDICINA DEL INTERIOR GOB)</v>
      </c>
      <c r="D5129" s="1" t="str">
        <f>IFERROR(__xludf.DUMMYFUNCTION("""COMPUTED_VALUE"""),"Lentes de STOCK")</f>
        <v>Lentes de STOCK</v>
      </c>
      <c r="E5129" s="1" t="str">
        <f>IFERROR(__xludf.DUMMYFUNCTION("""COMPUTED_VALUE"""),"Online ADMIN.")</f>
        <v>Online ADMIN.</v>
      </c>
      <c r="F5129" s="1" t="str">
        <f t="shared" si="1"/>
        <v>Online </v>
      </c>
      <c r="G5129" s="1" t="str">
        <f t="shared" si="2"/>
        <v>ADMIN.</v>
      </c>
      <c r="H5129" s="1" t="str">
        <f>IFERROR(__xludf.DUMMYFUNCTION("""COMPUTED_VALUE"""),"14/4/2023, 17:00:00")</f>
        <v>14/4/2023, 17:00:00</v>
      </c>
      <c r="I5129" s="1" t="str">
        <f>IFERROR(__xludf.DUMMYFUNCTION("""COMPUTED_VALUE"""),"Recibido en Laboratorio")</f>
        <v>Recibido en Laboratorio</v>
      </c>
      <c r="J5129" s="1">
        <f t="shared" si="3"/>
        <v>2</v>
      </c>
      <c r="K5129" s="1" t="str">
        <f t="shared" si="4"/>
        <v>Nuestro Laboratorio esta trabajando en tus lentes, los entregaremos en la fecha acordada.</v>
      </c>
    </row>
    <row r="5130">
      <c r="A5130" s="1">
        <f>IFERROR(__xludf.DUMMYFUNCTION("""COMPUTED_VALUE"""),89695.0)</f>
        <v>89695</v>
      </c>
      <c r="B5130" s="5">
        <f>IFERROR(__xludf.DUMMYFUNCTION("""COMPUTED_VALUE"""),45027.41015513889)</f>
        <v>45027.41016</v>
      </c>
      <c r="C5130" s="1" t="str">
        <f>IFERROR(__xludf.DUMMYFUNCTION("""COMPUTED_VALUE"""),"CADELAGO MARIELA  (PROGRAMA MEDICINA DEL INTERIOR GOB)")</f>
        <v>CADELAGO MARIELA  (PROGRAMA MEDICINA DEL INTERIOR GOB)</v>
      </c>
      <c r="D5130" s="1" t="str">
        <f>IFERROR(__xludf.DUMMYFUNCTION("""COMPUTED_VALUE"""),"Lentes de STOCK")</f>
        <v>Lentes de STOCK</v>
      </c>
      <c r="E5130" s="1" t="str">
        <f>IFERROR(__xludf.DUMMYFUNCTION("""COMPUTED_VALUE"""),"Online ADMIN.")</f>
        <v>Online ADMIN.</v>
      </c>
      <c r="F5130" s="1" t="str">
        <f t="shared" si="1"/>
        <v>Online </v>
      </c>
      <c r="G5130" s="1" t="str">
        <f t="shared" si="2"/>
        <v>ADMIN.</v>
      </c>
      <c r="H5130" s="1" t="str">
        <f>IFERROR(__xludf.DUMMYFUNCTION("""COMPUTED_VALUE"""),"14/4/2023, 17:00:00")</f>
        <v>14/4/2023, 17:00:00</v>
      </c>
      <c r="I5130" s="1" t="str">
        <f>IFERROR(__xludf.DUMMYFUNCTION("""COMPUTED_VALUE"""),"Recibido en Laboratorio")</f>
        <v>Recibido en Laboratorio</v>
      </c>
      <c r="J5130" s="1">
        <f t="shared" si="3"/>
        <v>2</v>
      </c>
      <c r="K5130" s="1" t="str">
        <f t="shared" si="4"/>
        <v>Nuestro Laboratorio esta trabajando en tus lentes, los entregaremos en la fecha acordada.</v>
      </c>
    </row>
    <row r="5131">
      <c r="A5131" s="1">
        <f>IFERROR(__xludf.DUMMYFUNCTION("""COMPUTED_VALUE"""),89696.0)</f>
        <v>89696</v>
      </c>
      <c r="B5131" s="5">
        <f>IFERROR(__xludf.DUMMYFUNCTION("""COMPUTED_VALUE"""),45027.4104362037)</f>
        <v>45027.41044</v>
      </c>
      <c r="C5131" s="1" t="str">
        <f>IFERROR(__xludf.DUMMYFUNCTION("""COMPUTED_VALUE"""),"HIVERO BEATRIZ")</f>
        <v>HIVERO BEATRIZ</v>
      </c>
      <c r="D5131" s="1" t="str">
        <f>IFERROR(__xludf.DUMMYFUNCTION("""COMPUTED_VALUE"""),"Reparaciones/Otros")</f>
        <v>Reparaciones/Otros</v>
      </c>
      <c r="E5131" s="1" t="str">
        <f>IFERROR(__xludf.DUMMYFUNCTION("""COMPUTED_VALUE"""),"ARTIGAS Ivana P.")</f>
        <v>ARTIGAS Ivana P.</v>
      </c>
      <c r="F5131" s="1" t="str">
        <f t="shared" si="1"/>
        <v>ARTIGAS </v>
      </c>
      <c r="G5131" s="1" t="str">
        <f t="shared" si="2"/>
        <v>Ivana P.</v>
      </c>
      <c r="H5131" s="1" t="str">
        <f>IFERROR(__xludf.DUMMYFUNCTION("""COMPUTED_VALUE"""),"12/4/2023, 17:00:00")</f>
        <v>12/4/2023, 17:00:00</v>
      </c>
      <c r="I5131" s="1" t="str">
        <f>IFERROR(__xludf.DUMMYFUNCTION("""COMPUTED_VALUE"""),"Completado en SUCURSAL")</f>
        <v>Completado en SUCURSAL</v>
      </c>
      <c r="J5131" s="1">
        <f t="shared" si="3"/>
        <v>5</v>
      </c>
      <c r="K5131" s="1" t="str">
        <f t="shared" si="4"/>
        <v>Tus Lentes estan LISTAS PARA ENTREGAR, te esperamos.</v>
      </c>
    </row>
    <row r="5132">
      <c r="A5132" s="1">
        <f>IFERROR(__xludf.DUMMYFUNCTION("""COMPUTED_VALUE"""),89697.0)</f>
        <v>89697</v>
      </c>
      <c r="B5132" s="5">
        <f>IFERROR(__xludf.DUMMYFUNCTION("""COMPUTED_VALUE"""),45027.41070162037)</f>
        <v>45027.4107</v>
      </c>
      <c r="C5132" s="1" t="str">
        <f>IFERROR(__xludf.DUMMYFUNCTION("""COMPUTED_VALUE"""),"AGUIAR ELENA CLARA SOLEDAD  (PROGRAMA MEDICINA DEL INTERIOR GOB)")</f>
        <v>AGUIAR ELENA CLARA SOLEDAD  (PROGRAMA MEDICINA DEL INTERIOR GOB)</v>
      </c>
      <c r="D5132" s="1" t="str">
        <f>IFERROR(__xludf.DUMMYFUNCTION("""COMPUTED_VALUE"""),"Lentes de STOCK")</f>
        <v>Lentes de STOCK</v>
      </c>
      <c r="E5132" s="1" t="str">
        <f>IFERROR(__xludf.DUMMYFUNCTION("""COMPUTED_VALUE"""),"Online ADMIN.")</f>
        <v>Online ADMIN.</v>
      </c>
      <c r="F5132" s="1" t="str">
        <f t="shared" si="1"/>
        <v>Online </v>
      </c>
      <c r="G5132" s="1" t="str">
        <f t="shared" si="2"/>
        <v>ADMIN.</v>
      </c>
      <c r="H5132" s="1" t="str">
        <f>IFERROR(__xludf.DUMMYFUNCTION("""COMPUTED_VALUE"""),"14/4/2023, 17:00:00")</f>
        <v>14/4/2023, 17:00:00</v>
      </c>
      <c r="I5132" s="1"/>
      <c r="J5132" s="1">
        <f t="shared" si="3"/>
        <v>0</v>
      </c>
      <c r="K5132" s="1" t="str">
        <f t="shared" si="4"/>
        <v/>
      </c>
    </row>
    <row r="5133">
      <c r="A5133" s="1">
        <f>IFERROR(__xludf.DUMMYFUNCTION("""COMPUTED_VALUE"""),89698.0)</f>
        <v>89698</v>
      </c>
      <c r="B5133" s="5">
        <f>IFERROR(__xludf.DUMMYFUNCTION("""COMPUTED_VALUE"""),45027.41224420139)</f>
        <v>45027.41224</v>
      </c>
      <c r="C5133" s="1" t="str">
        <f>IFERROR(__xludf.DUMMYFUNCTION("""COMPUTED_VALUE"""),"ALARCON DIONICIA PERLA")</f>
        <v>ALARCON DIONICIA PERLA</v>
      </c>
      <c r="D5133" s="1" t="str">
        <f>IFERROR(__xludf.DUMMYFUNCTION("""COMPUTED_VALUE"""),"Lentes de STOCK")</f>
        <v>Lentes de STOCK</v>
      </c>
      <c r="E5133" s="1" t="str">
        <f>IFERROR(__xludf.DUMMYFUNCTION("""COMPUTED_VALUE"""),"ARTIGAS Sandra G")</f>
        <v>ARTIGAS Sandra G</v>
      </c>
      <c r="F5133" s="1" t="str">
        <f t="shared" si="1"/>
        <v>ARTIGAS </v>
      </c>
      <c r="G5133" s="1" t="str">
        <f t="shared" si="2"/>
        <v>Sandra G</v>
      </c>
      <c r="H5133" s="1" t="str">
        <f>IFERROR(__xludf.DUMMYFUNCTION("""COMPUTED_VALUE"""),"14/4/2023, 17:00:00")</f>
        <v>14/4/2023, 17:00:00</v>
      </c>
      <c r="I5133" s="1" t="str">
        <f>IFERROR(__xludf.DUMMYFUNCTION("""COMPUTED_VALUE"""),"Completado en SUCURSAL")</f>
        <v>Completado en SUCURSAL</v>
      </c>
      <c r="J5133" s="1">
        <f t="shared" si="3"/>
        <v>5</v>
      </c>
      <c r="K5133" s="1" t="str">
        <f t="shared" si="4"/>
        <v>Tus Lentes estan LISTAS PARA ENTREGAR, te esperamos.</v>
      </c>
    </row>
    <row r="5134">
      <c r="A5134" s="1">
        <f>IFERROR(__xludf.DUMMYFUNCTION("""COMPUTED_VALUE"""),89699.0)</f>
        <v>89699</v>
      </c>
      <c r="B5134" s="5">
        <f>IFERROR(__xludf.DUMMYFUNCTION("""COMPUTED_VALUE"""),45027.42221870371)</f>
        <v>45027.42222</v>
      </c>
      <c r="C5134" s="1" t="str">
        <f>IFERROR(__xludf.DUMMYFUNCTION("""COMPUTED_VALUE"""),"TULA MARIA ALEJANDRA")</f>
        <v>TULA MARIA ALEJANDRA</v>
      </c>
      <c r="D5134" s="1" t="str">
        <f>IFERROR(__xludf.DUMMYFUNCTION("""COMPUTED_VALUE"""),"Lentes de STOCK")</f>
        <v>Lentes de STOCK</v>
      </c>
      <c r="E5134" s="1" t="str">
        <f>IFERROR(__xludf.DUMMYFUNCTION("""COMPUTED_VALUE"""),"Otro (LUCIANA ARTIGAS)")</f>
        <v>Otro (LUCIANA ARTIGAS)</v>
      </c>
      <c r="F5134" s="1" t="str">
        <f t="shared" si="1"/>
        <v>Otro </v>
      </c>
      <c r="G5134" s="1" t="str">
        <f t="shared" si="2"/>
        <v>(LUCIANA ARTIGAS)</v>
      </c>
      <c r="H5134" s="1" t="str">
        <f>IFERROR(__xludf.DUMMYFUNCTION("""COMPUTED_VALUE"""),"18/4/2023, 17:00:00")</f>
        <v>18/4/2023, 17:00:00</v>
      </c>
      <c r="I5134" s="1" t="str">
        <f>IFERROR(__xludf.DUMMYFUNCTION("""COMPUTED_VALUE"""),"Completado en SUCURSAL")</f>
        <v>Completado en SUCURSAL</v>
      </c>
      <c r="J5134" s="1">
        <f t="shared" si="3"/>
        <v>5</v>
      </c>
      <c r="K5134" s="1" t="str">
        <f t="shared" si="4"/>
        <v>Tus Lentes estan LISTAS PARA ENTREGAR, te esperamos.</v>
      </c>
    </row>
    <row r="5135">
      <c r="A5135" s="1">
        <f>IFERROR(__xludf.DUMMYFUNCTION("""COMPUTED_VALUE"""),89700.0)</f>
        <v>89700</v>
      </c>
      <c r="B5135" s="5">
        <f>IFERROR(__xludf.DUMMYFUNCTION("""COMPUTED_VALUE"""),45027.42971011574)</f>
        <v>45027.42971</v>
      </c>
      <c r="C5135" s="1" t="str">
        <f>IFERROR(__xludf.DUMMYFUNCTION("""COMPUTED_VALUE"""),"ARCE DELIA")</f>
        <v>ARCE DELIA</v>
      </c>
      <c r="D5135" s="1" t="str">
        <f>IFERROR(__xludf.DUMMYFUNCTION("""COMPUTED_VALUE"""),"Lentes de STOCK")</f>
        <v>Lentes de STOCK</v>
      </c>
      <c r="E5135" s="1" t="str">
        <f>IFERROR(__xludf.DUMMYFUNCTION("""COMPUTED_VALUE"""),"ARTIGAS Ivana P.")</f>
        <v>ARTIGAS Ivana P.</v>
      </c>
      <c r="F5135" s="1" t="str">
        <f t="shared" si="1"/>
        <v>ARTIGAS </v>
      </c>
      <c r="G5135" s="1" t="str">
        <f t="shared" si="2"/>
        <v>Ivana P.</v>
      </c>
      <c r="H5135" s="1" t="str">
        <f>IFERROR(__xludf.DUMMYFUNCTION("""COMPUTED_VALUE"""),"17/4/2023, 17:00:00")</f>
        <v>17/4/2023, 17:00:00</v>
      </c>
      <c r="I5135" s="1" t="str">
        <f>IFERROR(__xludf.DUMMYFUNCTION("""COMPUTED_VALUE"""),"Completado en SUCURSAL")</f>
        <v>Completado en SUCURSAL</v>
      </c>
      <c r="J5135" s="1">
        <f t="shared" si="3"/>
        <v>5</v>
      </c>
      <c r="K5135" s="1" t="str">
        <f t="shared" si="4"/>
        <v>Tus Lentes estan LISTAS PARA ENTREGAR, te esperamos.</v>
      </c>
    </row>
    <row r="5136">
      <c r="A5136" s="1">
        <f>IFERROR(__xludf.DUMMYFUNCTION("""COMPUTED_VALUE"""),89701.0)</f>
        <v>89701</v>
      </c>
      <c r="B5136" s="5">
        <f>IFERROR(__xludf.DUMMYFUNCTION("""COMPUTED_VALUE"""),45027.429826064814)</f>
        <v>45027.42983</v>
      </c>
      <c r="C5136" s="1" t="str">
        <f>IFERROR(__xludf.DUMMYFUNCTION("""COMPUTED_VALUE"""),"CACERES SILVIA BEATRIZ")</f>
        <v>CACERES SILVIA BEATRIZ</v>
      </c>
      <c r="D5136" s="1" t="str">
        <f>IFERROR(__xludf.DUMMYFUNCTION("""COMPUTED_VALUE"""),"Reparaciones/Otros")</f>
        <v>Reparaciones/Otros</v>
      </c>
      <c r="E5136" s="1" t="str">
        <f>IFERROR(__xludf.DUMMYFUNCTION("""COMPUTED_VALUE"""),"Otro (LUCIANA ARTIGAS)")</f>
        <v>Otro (LUCIANA ARTIGAS)</v>
      </c>
      <c r="F5136" s="1" t="str">
        <f t="shared" si="1"/>
        <v>Otro </v>
      </c>
      <c r="G5136" s="1" t="str">
        <f t="shared" si="2"/>
        <v>(LUCIANA ARTIGAS)</v>
      </c>
      <c r="H5136" s="1" t="str">
        <f>IFERROR(__xludf.DUMMYFUNCTION("""COMPUTED_VALUE"""),"12/4/2023, 17:00:00")</f>
        <v>12/4/2023, 17:00:00</v>
      </c>
      <c r="I5136" s="1" t="str">
        <f>IFERROR(__xludf.DUMMYFUNCTION("""COMPUTED_VALUE"""),"Completado en SUCURSAL")</f>
        <v>Completado en SUCURSAL</v>
      </c>
      <c r="J5136" s="1">
        <f t="shared" si="3"/>
        <v>5</v>
      </c>
      <c r="K5136" s="1" t="str">
        <f t="shared" si="4"/>
        <v>Tus Lentes estan LISTAS PARA ENTREGAR, te esperamos.</v>
      </c>
    </row>
    <row r="5137">
      <c r="A5137" s="1">
        <f>IFERROR(__xludf.DUMMYFUNCTION("""COMPUTED_VALUE"""),89702.0)</f>
        <v>89702</v>
      </c>
      <c r="B5137" s="5">
        <f>IFERROR(__xludf.DUMMYFUNCTION("""COMPUTED_VALUE"""),45027.43037422454)</f>
        <v>45027.43037</v>
      </c>
      <c r="C5137" s="1" t="str">
        <f>IFERROR(__xludf.DUMMYFUNCTION("""COMPUTED_VALUE"""),"TOLEDANO GUBERNARLO")</f>
        <v>TOLEDANO GUBERNARLO</v>
      </c>
      <c r="D5137" s="1" t="str">
        <f>IFERROR(__xludf.DUMMYFUNCTION("""COMPUTED_VALUE"""),"Reparaciones/Otros")</f>
        <v>Reparaciones/Otros</v>
      </c>
      <c r="E5137" s="1" t="str">
        <f>IFERROR(__xludf.DUMMYFUNCTION("""COMPUTED_VALUE"""),"ARTIGAS Sandra G")</f>
        <v>ARTIGAS Sandra G</v>
      </c>
      <c r="F5137" s="1" t="str">
        <f t="shared" si="1"/>
        <v>ARTIGAS </v>
      </c>
      <c r="G5137" s="1" t="str">
        <f t="shared" si="2"/>
        <v>Sandra G</v>
      </c>
      <c r="H5137" s="1" t="str">
        <f>IFERROR(__xludf.DUMMYFUNCTION("""COMPUTED_VALUE"""),"12/4/2023, 17:00:00")</f>
        <v>12/4/2023, 17:00:00</v>
      </c>
      <c r="I5137" s="1" t="str">
        <f>IFERROR(__xludf.DUMMYFUNCTION("""COMPUTED_VALUE"""),"Completado en SUCURSAL")</f>
        <v>Completado en SUCURSAL</v>
      </c>
      <c r="J5137" s="1">
        <f t="shared" si="3"/>
        <v>5</v>
      </c>
      <c r="K5137" s="1" t="str">
        <f t="shared" si="4"/>
        <v>Tus Lentes estan LISTAS PARA ENTREGAR, te esperamos.</v>
      </c>
    </row>
    <row r="5138">
      <c r="A5138" s="1">
        <f>IFERROR(__xludf.DUMMYFUNCTION("""COMPUTED_VALUE"""),89703.0)</f>
        <v>89703</v>
      </c>
      <c r="B5138" s="5">
        <f>IFERROR(__xludf.DUMMYFUNCTION("""COMPUTED_VALUE"""),45027.437266354165)</f>
        <v>45027.43727</v>
      </c>
      <c r="C5138" s="1" t="str">
        <f>IFERROR(__xludf.DUMMYFUNCTION("""COMPUTED_VALUE"""),"MIRANDA GABRIEL RUBEN")</f>
        <v>MIRANDA GABRIEL RUBEN</v>
      </c>
      <c r="D5138" s="1" t="str">
        <f>IFERROR(__xludf.DUMMYFUNCTION("""COMPUTED_VALUE"""),"Lentes de STOCK")</f>
        <v>Lentes de STOCK</v>
      </c>
      <c r="E5138" s="1" t="str">
        <f>IFERROR(__xludf.DUMMYFUNCTION("""COMPUTED_VALUE"""),"RIVADAVIA Christian C.")</f>
        <v>RIVADAVIA Christian C.</v>
      </c>
      <c r="F5138" s="1" t="str">
        <f t="shared" si="1"/>
        <v>RIVADAVIA </v>
      </c>
      <c r="G5138" s="1" t="str">
        <f t="shared" si="2"/>
        <v>Christian C.</v>
      </c>
      <c r="H5138" s="1" t="str">
        <f>IFERROR(__xludf.DUMMYFUNCTION("""COMPUTED_VALUE"""),"18/4/2023, 17:00:00")</f>
        <v>18/4/2023, 17:00:00</v>
      </c>
      <c r="I5138" s="1" t="str">
        <f>IFERROR(__xludf.DUMMYFUNCTION("""COMPUTED_VALUE"""),"Completado en SUCURSAL")</f>
        <v>Completado en SUCURSAL</v>
      </c>
      <c r="J5138" s="1">
        <f t="shared" si="3"/>
        <v>5</v>
      </c>
      <c r="K5138" s="1" t="str">
        <f t="shared" si="4"/>
        <v>Tus Lentes estan LISTAS PARA ENTREGAR, te esperamos.</v>
      </c>
    </row>
    <row r="5139">
      <c r="A5139" s="1">
        <f>IFERROR(__xludf.DUMMYFUNCTION("""COMPUTED_VALUE"""),89704.0)</f>
        <v>89704</v>
      </c>
      <c r="B5139" s="5">
        <f>IFERROR(__xludf.DUMMYFUNCTION("""COMPUTED_VALUE"""),45027.4495469213)</f>
        <v>45027.44955</v>
      </c>
      <c r="C5139" s="1" t="str">
        <f>IFERROR(__xludf.DUMMYFUNCTION("""COMPUTED_VALUE"""),"Sosa Alicia")</f>
        <v>Sosa Alicia</v>
      </c>
      <c r="D5139" s="1" t="str">
        <f>IFERROR(__xludf.DUMMYFUNCTION("""COMPUTED_VALUE"""),"Reparaciones/Otros")</f>
        <v>Reparaciones/Otros</v>
      </c>
      <c r="E5139" s="1" t="str">
        <f>IFERROR(__xludf.DUMMYFUNCTION("""COMPUTED_VALUE"""),"ARTIGAS Sandra G")</f>
        <v>ARTIGAS Sandra G</v>
      </c>
      <c r="F5139" s="1" t="str">
        <f t="shared" si="1"/>
        <v>ARTIGAS </v>
      </c>
      <c r="G5139" s="1" t="str">
        <f t="shared" si="2"/>
        <v>Sandra G</v>
      </c>
      <c r="H5139" s="1" t="str">
        <f>IFERROR(__xludf.DUMMYFUNCTION("""COMPUTED_VALUE"""),"12/4/2023, 17:00:00")</f>
        <v>12/4/2023, 17:00:00</v>
      </c>
      <c r="I5139" s="1" t="str">
        <f>IFERROR(__xludf.DUMMYFUNCTION("""COMPUTED_VALUE"""),"Completado en SUCURSAL")</f>
        <v>Completado en SUCURSAL</v>
      </c>
      <c r="J5139" s="1">
        <f t="shared" si="3"/>
        <v>5</v>
      </c>
      <c r="K5139" s="1" t="str">
        <f t="shared" si="4"/>
        <v>Tus Lentes estan LISTAS PARA ENTREGAR, te esperamos.</v>
      </c>
    </row>
    <row r="5140">
      <c r="A5140" s="1">
        <f>IFERROR(__xludf.DUMMYFUNCTION("""COMPUTED_VALUE"""),89705.0)</f>
        <v>89705</v>
      </c>
      <c r="B5140" s="5">
        <f>IFERROR(__xludf.DUMMYFUNCTION("""COMPUTED_VALUE"""),45027.44958834491)</f>
        <v>45027.44959</v>
      </c>
      <c r="C5140" s="1" t="str">
        <f>IFERROR(__xludf.DUMMYFUNCTION("""COMPUTED_VALUE"""),"BENITEZ ZUBIN JAVIER ")</f>
        <v>BENITEZ ZUBIN JAVIER </v>
      </c>
      <c r="D5140" s="1" t="str">
        <f>IFERROR(__xludf.DUMMYFUNCTION("""COMPUTED_VALUE"""),"Lentes de STOCK")</f>
        <v>Lentes de STOCK</v>
      </c>
      <c r="E5140" s="1" t="str">
        <f>IFERROR(__xludf.DUMMYFUNCTION("""COMPUTED_VALUE"""),"RIVADAVIA Marcela L")</f>
        <v>RIVADAVIA Marcela L</v>
      </c>
      <c r="F5140" s="1" t="str">
        <f t="shared" si="1"/>
        <v>RIVADAVIA </v>
      </c>
      <c r="G5140" s="1" t="str">
        <f t="shared" si="2"/>
        <v>Marcela L</v>
      </c>
      <c r="H5140" s="1" t="str">
        <f>IFERROR(__xludf.DUMMYFUNCTION("""COMPUTED_VALUE"""),"14/4/2023, 17:00:00")</f>
        <v>14/4/2023, 17:00:00</v>
      </c>
      <c r="I5140" s="1" t="str">
        <f>IFERROR(__xludf.DUMMYFUNCTION("""COMPUTED_VALUE"""),"Completado en SUCURSAL")</f>
        <v>Completado en SUCURSAL</v>
      </c>
      <c r="J5140" s="1">
        <f t="shared" si="3"/>
        <v>5</v>
      </c>
      <c r="K5140" s="1" t="str">
        <f t="shared" si="4"/>
        <v>Tus Lentes estan LISTAS PARA ENTREGAR, te esperamos.</v>
      </c>
    </row>
    <row r="5141">
      <c r="A5141" s="1">
        <f>IFERROR(__xludf.DUMMYFUNCTION("""COMPUTED_VALUE"""),89706.0)</f>
        <v>89706</v>
      </c>
      <c r="B5141" s="5">
        <f>IFERROR(__xludf.DUMMYFUNCTION("""COMPUTED_VALUE"""),45027.44966849537)</f>
        <v>45027.44967</v>
      </c>
      <c r="C5141" s="1" t="str">
        <f>IFERROR(__xludf.DUMMYFUNCTION("""COMPUTED_VALUE"""),"ABACA CESAR")</f>
        <v>ABACA CESAR</v>
      </c>
      <c r="D5141" s="1" t="str">
        <f>IFERROR(__xludf.DUMMYFUNCTION("""COMPUTED_VALUE"""),"Lentes de STOCK")</f>
        <v>Lentes de STOCK</v>
      </c>
      <c r="E5141" s="1" t="str">
        <f>IFERROR(__xludf.DUMMYFUNCTION("""COMPUTED_VALUE"""),"ARTIGAS Ivana P.")</f>
        <v>ARTIGAS Ivana P.</v>
      </c>
      <c r="F5141" s="1" t="str">
        <f t="shared" si="1"/>
        <v>ARTIGAS </v>
      </c>
      <c r="G5141" s="1" t="str">
        <f t="shared" si="2"/>
        <v>Ivana P.</v>
      </c>
      <c r="H5141" s="1" t="str">
        <f>IFERROR(__xludf.DUMMYFUNCTION("""COMPUTED_VALUE"""),"17/4/2023, 17:00:00")</f>
        <v>17/4/2023, 17:00:00</v>
      </c>
      <c r="I5141" s="1" t="str">
        <f>IFERROR(__xludf.DUMMYFUNCTION("""COMPUTED_VALUE"""),"Completado en SUCURSAL")</f>
        <v>Completado en SUCURSAL</v>
      </c>
      <c r="J5141" s="1">
        <f t="shared" si="3"/>
        <v>5</v>
      </c>
      <c r="K5141" s="1" t="str">
        <f t="shared" si="4"/>
        <v>Tus Lentes estan LISTAS PARA ENTREGAR, te esperamos.</v>
      </c>
    </row>
    <row r="5142">
      <c r="A5142" s="1">
        <f>IFERROR(__xludf.DUMMYFUNCTION("""COMPUTED_VALUE"""),89707.0)</f>
        <v>89707</v>
      </c>
      <c r="B5142" s="5">
        <f>IFERROR(__xludf.DUMMYFUNCTION("""COMPUTED_VALUE"""),45027.454158622684)</f>
        <v>45027.45416</v>
      </c>
      <c r="C5142" s="1" t="str">
        <f>IFERROR(__xludf.DUMMYFUNCTION("""COMPUTED_VALUE"""),"DE GUISEPE MARCELO")</f>
        <v>DE GUISEPE MARCELO</v>
      </c>
      <c r="D5142" s="1" t="str">
        <f>IFERROR(__xludf.DUMMYFUNCTION("""COMPUTED_VALUE"""),"Lentes de STOCK")</f>
        <v>Lentes de STOCK</v>
      </c>
      <c r="E5142" s="1" t="str">
        <f>IFERROR(__xludf.DUMMYFUNCTION("""COMPUTED_VALUE"""),"Otro (LUCIANA ARTIGAS)")</f>
        <v>Otro (LUCIANA ARTIGAS)</v>
      </c>
      <c r="F5142" s="1" t="str">
        <f t="shared" si="1"/>
        <v>Otro </v>
      </c>
      <c r="G5142" s="1" t="str">
        <f t="shared" si="2"/>
        <v>(LUCIANA ARTIGAS)</v>
      </c>
      <c r="H5142" s="1" t="str">
        <f>IFERROR(__xludf.DUMMYFUNCTION("""COMPUTED_VALUE"""),"19/4/2023, 17:00:00")</f>
        <v>19/4/2023, 17:00:00</v>
      </c>
      <c r="I5142" s="1" t="str">
        <f>IFERROR(__xludf.DUMMYFUNCTION("""COMPUTED_VALUE"""),"Completado en SUCURSAL")</f>
        <v>Completado en SUCURSAL</v>
      </c>
      <c r="J5142" s="1">
        <f t="shared" si="3"/>
        <v>5</v>
      </c>
      <c r="K5142" s="1" t="str">
        <f t="shared" si="4"/>
        <v>Tus Lentes estan LISTAS PARA ENTREGAR, te esperamos.</v>
      </c>
    </row>
    <row r="5143">
      <c r="A5143" s="1">
        <f>IFERROR(__xludf.DUMMYFUNCTION("""COMPUTED_VALUE"""),89708.0)</f>
        <v>89708</v>
      </c>
      <c r="B5143" s="5">
        <f>IFERROR(__xludf.DUMMYFUNCTION("""COMPUTED_VALUE"""),45027.45939871528)</f>
        <v>45027.4594</v>
      </c>
      <c r="C5143" s="1" t="str">
        <f>IFERROR(__xludf.DUMMYFUNCTION("""COMPUTED_VALUE"""),"ROMERO BERTA")</f>
        <v>ROMERO BERTA</v>
      </c>
      <c r="D5143" s="1" t="str">
        <f>IFERROR(__xludf.DUMMYFUNCTION("""COMPUTED_VALUE"""),"Lentes de STOCK")</f>
        <v>Lentes de STOCK</v>
      </c>
      <c r="E5143" s="1" t="str">
        <f>IFERROR(__xludf.DUMMYFUNCTION("""COMPUTED_VALUE"""),"ARTIGAS Ivana P.")</f>
        <v>ARTIGAS Ivana P.</v>
      </c>
      <c r="F5143" s="1" t="str">
        <f t="shared" si="1"/>
        <v>ARTIGAS </v>
      </c>
      <c r="G5143" s="1" t="str">
        <f t="shared" si="2"/>
        <v>Ivana P.</v>
      </c>
      <c r="H5143" s="1" t="str">
        <f>IFERROR(__xludf.DUMMYFUNCTION("""COMPUTED_VALUE"""),"14/4/2023, 17:00:00")</f>
        <v>14/4/2023, 17:00:00</v>
      </c>
      <c r="I5143" s="1" t="str">
        <f>IFERROR(__xludf.DUMMYFUNCTION("""COMPUTED_VALUE"""),"Completado en SUCURSAL")</f>
        <v>Completado en SUCURSAL</v>
      </c>
      <c r="J5143" s="1">
        <f t="shared" si="3"/>
        <v>5</v>
      </c>
      <c r="K5143" s="1" t="str">
        <f t="shared" si="4"/>
        <v>Tus Lentes estan LISTAS PARA ENTREGAR, te esperamos.</v>
      </c>
    </row>
    <row r="5144">
      <c r="A5144" s="1">
        <f>IFERROR(__xludf.DUMMYFUNCTION("""COMPUTED_VALUE"""),89709.0)</f>
        <v>89709</v>
      </c>
      <c r="B5144" s="5">
        <f>IFERROR(__xludf.DUMMYFUNCTION("""COMPUTED_VALUE"""),45027.46836424769)</f>
        <v>45027.46836</v>
      </c>
      <c r="C5144" s="1" t="str">
        <f>IFERROR(__xludf.DUMMYFUNCTION("""COMPUTED_VALUE"""),"OCHOA MARISOL")</f>
        <v>OCHOA MARISOL</v>
      </c>
      <c r="D5144" s="1" t="str">
        <f>IFERROR(__xludf.DUMMYFUNCTION("""COMPUTED_VALUE"""),"Reparaciones/Otros")</f>
        <v>Reparaciones/Otros</v>
      </c>
      <c r="E5144" s="1" t="str">
        <f>IFERROR(__xludf.DUMMYFUNCTION("""COMPUTED_VALUE"""),"RIVADAVIA Santiago LOPEZ")</f>
        <v>RIVADAVIA Santiago LOPEZ</v>
      </c>
      <c r="F5144" s="1" t="str">
        <f t="shared" si="1"/>
        <v>RIVADAVIA </v>
      </c>
      <c r="G5144" s="1" t="str">
        <f t="shared" si="2"/>
        <v>Santiago LOPEZ</v>
      </c>
      <c r="H5144" s="1" t="str">
        <f>IFERROR(__xludf.DUMMYFUNCTION("""COMPUTED_VALUE"""),"12/4/2023, 17:00:00")</f>
        <v>12/4/2023, 17:00:00</v>
      </c>
      <c r="I5144" s="1" t="str">
        <f>IFERROR(__xludf.DUMMYFUNCTION("""COMPUTED_VALUE"""),"Completado en SUCURSAL")</f>
        <v>Completado en SUCURSAL</v>
      </c>
      <c r="J5144" s="1">
        <f t="shared" si="3"/>
        <v>5</v>
      </c>
      <c r="K5144" s="1" t="str">
        <f t="shared" si="4"/>
        <v>Tus Lentes estan LISTAS PARA ENTREGAR, te esperamos.</v>
      </c>
    </row>
    <row r="5145">
      <c r="A5145" s="1">
        <f>IFERROR(__xludf.DUMMYFUNCTION("""COMPUTED_VALUE"""),89710.0)</f>
        <v>89710</v>
      </c>
      <c r="B5145" s="5">
        <f>IFERROR(__xludf.DUMMYFUNCTION("""COMPUTED_VALUE"""),45027.46994917824)</f>
        <v>45027.46995</v>
      </c>
      <c r="C5145" s="1" t="str">
        <f>IFERROR(__xludf.DUMMYFUNCTION("""COMPUTED_VALUE"""),"GARRO GRACIELA")</f>
        <v>GARRO GRACIELA</v>
      </c>
      <c r="D5145" s="1" t="str">
        <f>IFERROR(__xludf.DUMMYFUNCTION("""COMPUTED_VALUE"""),"Lentes de STOCK")</f>
        <v>Lentes de STOCK</v>
      </c>
      <c r="E5145" s="1" t="str">
        <f>IFERROR(__xludf.DUMMYFUNCTION("""COMPUTED_VALUE"""),"RIVADAVIA Christian C.")</f>
        <v>RIVADAVIA Christian C.</v>
      </c>
      <c r="F5145" s="1" t="str">
        <f t="shared" si="1"/>
        <v>RIVADAVIA </v>
      </c>
      <c r="G5145" s="1" t="str">
        <f t="shared" si="2"/>
        <v>Christian C.</v>
      </c>
      <c r="H5145" s="1" t="str">
        <f>IFERROR(__xludf.DUMMYFUNCTION("""COMPUTED_VALUE"""),"19/4/2023, 17:00:00")</f>
        <v>19/4/2023, 17:00:00</v>
      </c>
      <c r="I5145" s="1" t="str">
        <f>IFERROR(__xludf.DUMMYFUNCTION("""COMPUTED_VALUE"""),"Completado en SUCURSAL")</f>
        <v>Completado en SUCURSAL</v>
      </c>
      <c r="J5145" s="1">
        <f t="shared" si="3"/>
        <v>5</v>
      </c>
      <c r="K5145" s="1" t="str">
        <f t="shared" si="4"/>
        <v>Tus Lentes estan LISTAS PARA ENTREGAR, te esperamos.</v>
      </c>
    </row>
    <row r="5146">
      <c r="A5146" s="1">
        <f>IFERROR(__xludf.DUMMYFUNCTION("""COMPUTED_VALUE"""),89711.0)</f>
        <v>89711</v>
      </c>
      <c r="B5146" s="5">
        <f>IFERROR(__xludf.DUMMYFUNCTION("""COMPUTED_VALUE"""),45027.47167846065)</f>
        <v>45027.47168</v>
      </c>
      <c r="C5146" s="1" t="str">
        <f>IFERROR(__xludf.DUMMYFUNCTION("""COMPUTED_VALUE"""),"MUÑOZ JORGE (PROGRAMA MEDICINA DEL INTERIOR GOB)")</f>
        <v>MUÑOZ JORGE (PROGRAMA MEDICINA DEL INTERIOR GOB)</v>
      </c>
      <c r="D5146" s="1" t="str">
        <f>IFERROR(__xludf.DUMMYFUNCTION("""COMPUTED_VALUE"""),"Lentes de STOCK")</f>
        <v>Lentes de STOCK</v>
      </c>
      <c r="E5146" s="1" t="str">
        <f>IFERROR(__xludf.DUMMYFUNCTION("""COMPUTED_VALUE"""),"Online ADMIN.")</f>
        <v>Online ADMIN.</v>
      </c>
      <c r="F5146" s="1" t="str">
        <f t="shared" si="1"/>
        <v>Online </v>
      </c>
      <c r="G5146" s="1" t="str">
        <f t="shared" si="2"/>
        <v>ADMIN.</v>
      </c>
      <c r="H5146" s="1" t="str">
        <f>IFERROR(__xludf.DUMMYFUNCTION("""COMPUTED_VALUE"""),"14/4/2023, 17:00:00")</f>
        <v>14/4/2023, 17:00:00</v>
      </c>
      <c r="I5146" s="1" t="str">
        <f>IFERROR(__xludf.DUMMYFUNCTION("""COMPUTED_VALUE"""),"Recibido en Laboratorio")</f>
        <v>Recibido en Laboratorio</v>
      </c>
      <c r="J5146" s="1">
        <f t="shared" si="3"/>
        <v>2</v>
      </c>
      <c r="K5146" s="1" t="str">
        <f t="shared" si="4"/>
        <v>Nuestro Laboratorio esta trabajando en tus lentes, los entregaremos en la fecha acordada.</v>
      </c>
    </row>
    <row r="5147">
      <c r="A5147" s="1">
        <f>IFERROR(__xludf.DUMMYFUNCTION("""COMPUTED_VALUE"""),89712.0)</f>
        <v>89712</v>
      </c>
      <c r="B5147" s="5">
        <f>IFERROR(__xludf.DUMMYFUNCTION("""COMPUTED_VALUE"""),45027.47409240741)</f>
        <v>45027.47409</v>
      </c>
      <c r="C5147" s="1" t="str">
        <f>IFERROR(__xludf.DUMMYFUNCTION("""COMPUTED_VALUE"""),"AGUIAR ELENA SOLEDAD (PROGRAMA MEDICINA DEL INTERIOR GOB)")</f>
        <v>AGUIAR ELENA SOLEDAD (PROGRAMA MEDICINA DEL INTERIOR GOB)</v>
      </c>
      <c r="D5147" s="1" t="str">
        <f>IFERROR(__xludf.DUMMYFUNCTION("""COMPUTED_VALUE"""),"Lentes de STOCK")</f>
        <v>Lentes de STOCK</v>
      </c>
      <c r="E5147" s="1" t="str">
        <f>IFERROR(__xludf.DUMMYFUNCTION("""COMPUTED_VALUE"""),"Online ADMIN.")</f>
        <v>Online ADMIN.</v>
      </c>
      <c r="F5147" s="1" t="str">
        <f t="shared" si="1"/>
        <v>Online </v>
      </c>
      <c r="G5147" s="1" t="str">
        <f t="shared" si="2"/>
        <v>ADMIN.</v>
      </c>
      <c r="H5147" s="1" t="str">
        <f>IFERROR(__xludf.DUMMYFUNCTION("""COMPUTED_VALUE"""),"14/4/2023, 17:00:00")</f>
        <v>14/4/2023, 17:00:00</v>
      </c>
      <c r="I5147" s="1" t="str">
        <f>IFERROR(__xludf.DUMMYFUNCTION("""COMPUTED_VALUE"""),"Recibido en Laboratorio")</f>
        <v>Recibido en Laboratorio</v>
      </c>
      <c r="J5147" s="1">
        <f t="shared" si="3"/>
        <v>2</v>
      </c>
      <c r="K5147" s="1" t="str">
        <f t="shared" si="4"/>
        <v>Nuestro Laboratorio esta trabajando en tus lentes, los entregaremos en la fecha acordada.</v>
      </c>
    </row>
    <row r="5148">
      <c r="A5148" s="1">
        <f>IFERROR(__xludf.DUMMYFUNCTION("""COMPUTED_VALUE"""),89713.0)</f>
        <v>89713</v>
      </c>
      <c r="B5148" s="5">
        <f>IFERROR(__xludf.DUMMYFUNCTION("""COMPUTED_VALUE"""),45027.47994877315)</f>
        <v>45027.47995</v>
      </c>
      <c r="C5148" s="1" t="str">
        <f>IFERROR(__xludf.DUMMYFUNCTION("""COMPUTED_VALUE"""),"CEJA PABLO ROLANDO")</f>
        <v>CEJA PABLO ROLANDO</v>
      </c>
      <c r="D5148" s="1" t="str">
        <f>IFERROR(__xludf.DUMMYFUNCTION("""COMPUTED_VALUE"""),"Reparaciones/Otros")</f>
        <v>Reparaciones/Otros</v>
      </c>
      <c r="E5148" s="1" t="str">
        <f>IFERROR(__xludf.DUMMYFUNCTION("""COMPUTED_VALUE"""),"RIVADAVIA Christian C.")</f>
        <v>RIVADAVIA Christian C.</v>
      </c>
      <c r="F5148" s="1" t="str">
        <f t="shared" si="1"/>
        <v>RIVADAVIA </v>
      </c>
      <c r="G5148" s="1" t="str">
        <f t="shared" si="2"/>
        <v>Christian C.</v>
      </c>
      <c r="H5148" s="1" t="str">
        <f>IFERROR(__xludf.DUMMYFUNCTION("""COMPUTED_VALUE"""),"12/4/2023, 17:00:00")</f>
        <v>12/4/2023, 17:00:00</v>
      </c>
      <c r="I5148" s="1" t="str">
        <f>IFERROR(__xludf.DUMMYFUNCTION("""COMPUTED_VALUE"""),"Completado en SUCURSAL")</f>
        <v>Completado en SUCURSAL</v>
      </c>
      <c r="J5148" s="1">
        <f t="shared" si="3"/>
        <v>5</v>
      </c>
      <c r="K5148" s="1" t="str">
        <f t="shared" si="4"/>
        <v>Tus Lentes estan LISTAS PARA ENTREGAR, te esperamos.</v>
      </c>
    </row>
    <row r="5149">
      <c r="A5149" s="1">
        <f>IFERROR(__xludf.DUMMYFUNCTION("""COMPUTED_VALUE"""),89714.0)</f>
        <v>89714</v>
      </c>
      <c r="B5149" s="5">
        <f>IFERROR(__xludf.DUMMYFUNCTION("""COMPUTED_VALUE"""),45027.480522592596)</f>
        <v>45027.48052</v>
      </c>
      <c r="C5149" s="1" t="str">
        <f>IFERROR(__xludf.DUMMYFUNCTION("""COMPUTED_VALUE"""),"SALDAÑEZ EDUARDO")</f>
        <v>SALDAÑEZ EDUARDO</v>
      </c>
      <c r="D5149" s="1" t="str">
        <f>IFERROR(__xludf.DUMMYFUNCTION("""COMPUTED_VALUE"""),"Reparaciones/Otros")</f>
        <v>Reparaciones/Otros</v>
      </c>
      <c r="E5149" s="1" t="str">
        <f>IFERROR(__xludf.DUMMYFUNCTION("""COMPUTED_VALUE"""),"Otro (LUCIANA ARTIGAS)")</f>
        <v>Otro (LUCIANA ARTIGAS)</v>
      </c>
      <c r="F5149" s="1" t="str">
        <f t="shared" si="1"/>
        <v>Otro </v>
      </c>
      <c r="G5149" s="1" t="str">
        <f t="shared" si="2"/>
        <v>(LUCIANA ARTIGAS)</v>
      </c>
      <c r="H5149" s="1" t="str">
        <f>IFERROR(__xludf.DUMMYFUNCTION("""COMPUTED_VALUE"""),"12/4/2023, 17:00:00")</f>
        <v>12/4/2023, 17:00:00</v>
      </c>
      <c r="I5149" s="1" t="str">
        <f>IFERROR(__xludf.DUMMYFUNCTION("""COMPUTED_VALUE"""),"Completado en SUCURSAL")</f>
        <v>Completado en SUCURSAL</v>
      </c>
      <c r="J5149" s="1">
        <f t="shared" si="3"/>
        <v>5</v>
      </c>
      <c r="K5149" s="1" t="str">
        <f t="shared" si="4"/>
        <v>Tus Lentes estan LISTAS PARA ENTREGAR, te esperamos.</v>
      </c>
    </row>
    <row r="5150">
      <c r="A5150" s="1">
        <f>IFERROR(__xludf.DUMMYFUNCTION("""COMPUTED_VALUE"""),89715.0)</f>
        <v>89715</v>
      </c>
      <c r="B5150" s="5">
        <f>IFERROR(__xludf.DUMMYFUNCTION("""COMPUTED_VALUE"""),45027.481069918984)</f>
        <v>45027.48107</v>
      </c>
      <c r="C5150" s="1" t="str">
        <f>IFERROR(__xludf.DUMMYFUNCTION("""COMPUTED_VALUE"""),"MOEDECE MARCELA BEARIZ")</f>
        <v>MOEDECE MARCELA BEARIZ</v>
      </c>
      <c r="D5150" s="1" t="str">
        <f>IFERROR(__xludf.DUMMYFUNCTION("""COMPUTED_VALUE"""),"Lentes MULTIFOCALES")</f>
        <v>Lentes MULTIFOCALES</v>
      </c>
      <c r="E5150" s="1" t="str">
        <f>IFERROR(__xludf.DUMMYFUNCTION("""COMPUTED_VALUE"""),"RIVADAVIA Marcela L")</f>
        <v>RIVADAVIA Marcela L</v>
      </c>
      <c r="F5150" s="1" t="str">
        <f t="shared" si="1"/>
        <v>RIVADAVIA </v>
      </c>
      <c r="G5150" s="1" t="str">
        <f t="shared" si="2"/>
        <v>Marcela L</v>
      </c>
      <c r="H5150" s="1" t="str">
        <f>IFERROR(__xludf.DUMMYFUNCTION("""COMPUTED_VALUE"""),"26/4/2023, 17:00:00")</f>
        <v>26/4/2023, 17:00:00</v>
      </c>
      <c r="I5150" s="1" t="str">
        <f>IFERROR(__xludf.DUMMYFUNCTION("""COMPUTED_VALUE"""),"Recibido en Laboratorio")</f>
        <v>Recibido en Laboratorio</v>
      </c>
      <c r="J5150" s="1">
        <f t="shared" si="3"/>
        <v>2</v>
      </c>
      <c r="K5150" s="1" t="str">
        <f t="shared" si="4"/>
        <v>Nuestro Laboratorio esta trabajando en tus lentes, los entregaremos en la fecha acordada.</v>
      </c>
    </row>
    <row r="5151">
      <c r="A5151" s="1">
        <f>IFERROR(__xludf.DUMMYFUNCTION("""COMPUTED_VALUE"""),89716.0)</f>
        <v>89716</v>
      </c>
      <c r="B5151" s="5">
        <f>IFERROR(__xludf.DUMMYFUNCTION("""COMPUTED_VALUE"""),45027.48648710648)</f>
        <v>45027.48649</v>
      </c>
      <c r="C5151" s="1" t="str">
        <f>IFERROR(__xludf.DUMMYFUNCTION("""COMPUTED_VALUE"""),"Reta maria")</f>
        <v>Reta maria</v>
      </c>
      <c r="D5151" s="1" t="str">
        <f>IFERROR(__xludf.DUMMYFUNCTION("""COMPUTED_VALUE"""),"Reparaciones/Otros")</f>
        <v>Reparaciones/Otros</v>
      </c>
      <c r="E5151" s="1" t="str">
        <f>IFERROR(__xludf.DUMMYFUNCTION("""COMPUTED_VALUE"""),"ARTIGAS Celina")</f>
        <v>ARTIGAS Celina</v>
      </c>
      <c r="F5151" s="1" t="str">
        <f t="shared" si="1"/>
        <v>ARTIGAS </v>
      </c>
      <c r="G5151" s="1" t="str">
        <f t="shared" si="2"/>
        <v>Celina</v>
      </c>
      <c r="H5151" s="1" t="str">
        <f>IFERROR(__xludf.DUMMYFUNCTION("""COMPUTED_VALUE"""),"12/4/2023, 17:00:00")</f>
        <v>12/4/2023, 17:00:00</v>
      </c>
      <c r="I5151" s="1" t="str">
        <f>IFERROR(__xludf.DUMMYFUNCTION("""COMPUTED_VALUE"""),"Completado en SUCURSAL")</f>
        <v>Completado en SUCURSAL</v>
      </c>
      <c r="J5151" s="1">
        <f t="shared" si="3"/>
        <v>5</v>
      </c>
      <c r="K5151" s="1" t="str">
        <f t="shared" si="4"/>
        <v>Tus Lentes estan LISTAS PARA ENTREGAR, te esperamos.</v>
      </c>
    </row>
    <row r="5152">
      <c r="A5152" s="1">
        <f>IFERROR(__xludf.DUMMYFUNCTION("""COMPUTED_VALUE"""),89717.0)</f>
        <v>89717</v>
      </c>
      <c r="B5152" s="5">
        <f>IFERROR(__xludf.DUMMYFUNCTION("""COMPUTED_VALUE"""),45027.49188962963)</f>
        <v>45027.49189</v>
      </c>
      <c r="C5152" s="1" t="str">
        <f>IFERROR(__xludf.DUMMYFUNCTION("""COMPUTED_VALUE"""),"morano forquera milagros")</f>
        <v>morano forquera milagros</v>
      </c>
      <c r="D5152" s="1" t="str">
        <f>IFERROR(__xludf.DUMMYFUNCTION("""COMPUTED_VALUE"""),"Lentes de LABORATORIO")</f>
        <v>Lentes de LABORATORIO</v>
      </c>
      <c r="E5152" s="1" t="str">
        <f>IFERROR(__xludf.DUMMYFUNCTION("""COMPUTED_VALUE"""),"RIVADAVIA Santiago N")</f>
        <v>RIVADAVIA Santiago N</v>
      </c>
      <c r="F5152" s="1" t="str">
        <f t="shared" si="1"/>
        <v>RIVADAVIA </v>
      </c>
      <c r="G5152" s="1" t="str">
        <f t="shared" si="2"/>
        <v>Santiago N</v>
      </c>
      <c r="H5152" s="1" t="str">
        <f>IFERROR(__xludf.DUMMYFUNCTION("""COMPUTED_VALUE"""),"18/4/2023, 17:00:00")</f>
        <v>18/4/2023, 17:00:00</v>
      </c>
      <c r="I5152" s="1" t="str">
        <f>IFERROR(__xludf.DUMMYFUNCTION("""COMPUTED_VALUE"""),"Recibido en Laboratorio")</f>
        <v>Recibido en Laboratorio</v>
      </c>
      <c r="J5152" s="1">
        <f t="shared" si="3"/>
        <v>2</v>
      </c>
      <c r="K5152" s="1" t="str">
        <f t="shared" si="4"/>
        <v>Nuestro Laboratorio esta trabajando en tus lentes, los entregaremos en la fecha acordada.</v>
      </c>
    </row>
    <row r="5153">
      <c r="A5153" s="1">
        <f>IFERROR(__xludf.DUMMYFUNCTION("""COMPUTED_VALUE"""),89718.0)</f>
        <v>89718</v>
      </c>
      <c r="B5153" s="5">
        <f>IFERROR(__xludf.DUMMYFUNCTION("""COMPUTED_VALUE"""),45027.492799768515)</f>
        <v>45027.4928</v>
      </c>
      <c r="C5153" s="1" t="str">
        <f>IFERROR(__xludf.DUMMYFUNCTION("""COMPUTED_VALUE"""),"FUNES LUGONEZ EMANUEL")</f>
        <v>FUNES LUGONEZ EMANUEL</v>
      </c>
      <c r="D5153" s="1" t="str">
        <f>IFERROR(__xludf.DUMMYFUNCTION("""COMPUTED_VALUE"""),"Lentes de STOCK")</f>
        <v>Lentes de STOCK</v>
      </c>
      <c r="E5153" s="1" t="str">
        <f>IFERROR(__xludf.DUMMYFUNCTION("""COMPUTED_VALUE"""),"RIVADAVIA Santiago LOPEZ")</f>
        <v>RIVADAVIA Santiago LOPEZ</v>
      </c>
      <c r="F5153" s="1" t="str">
        <f t="shared" si="1"/>
        <v>RIVADAVIA </v>
      </c>
      <c r="G5153" s="1" t="str">
        <f t="shared" si="2"/>
        <v>Santiago LOPEZ</v>
      </c>
      <c r="H5153" s="1" t="str">
        <f>IFERROR(__xludf.DUMMYFUNCTION("""COMPUTED_VALUE"""),"14/4/2023, 17:00:00")</f>
        <v>14/4/2023, 17:00:00</v>
      </c>
      <c r="I5153" s="1" t="str">
        <f>IFERROR(__xludf.DUMMYFUNCTION("""COMPUTED_VALUE"""),"Completado en SUCURSAL")</f>
        <v>Completado en SUCURSAL</v>
      </c>
      <c r="J5153" s="1">
        <f t="shared" si="3"/>
        <v>5</v>
      </c>
      <c r="K5153" s="1" t="str">
        <f t="shared" si="4"/>
        <v>Tus Lentes estan LISTAS PARA ENTREGAR, te esperamos.</v>
      </c>
    </row>
    <row r="5154">
      <c r="A5154" s="1">
        <f>IFERROR(__xludf.DUMMYFUNCTION("""COMPUTED_VALUE"""),89719.0)</f>
        <v>89719</v>
      </c>
      <c r="B5154" s="5">
        <f>IFERROR(__xludf.DUMMYFUNCTION("""COMPUTED_VALUE"""),45027.49410582176)</f>
        <v>45027.49411</v>
      </c>
      <c r="C5154" s="1" t="str">
        <f>IFERROR(__xludf.DUMMYFUNCTION("""COMPUTED_VALUE"""),"MEDERO MARIA DEL CARMEN")</f>
        <v>MEDERO MARIA DEL CARMEN</v>
      </c>
      <c r="D5154" s="1" t="str">
        <f>IFERROR(__xludf.DUMMYFUNCTION("""COMPUTED_VALUE"""),"Lentes de STOCK")</f>
        <v>Lentes de STOCK</v>
      </c>
      <c r="E5154" s="1" t="str">
        <f>IFERROR(__xludf.DUMMYFUNCTION("""COMPUTED_VALUE"""),"RIVADAVIA Christian C.")</f>
        <v>RIVADAVIA Christian C.</v>
      </c>
      <c r="F5154" s="1" t="str">
        <f t="shared" si="1"/>
        <v>RIVADAVIA </v>
      </c>
      <c r="G5154" s="1" t="str">
        <f t="shared" si="2"/>
        <v>Christian C.</v>
      </c>
      <c r="H5154" s="1" t="str">
        <f>IFERROR(__xludf.DUMMYFUNCTION("""COMPUTED_VALUE"""),"14/4/2023, 17:00:00")</f>
        <v>14/4/2023, 17:00:00</v>
      </c>
      <c r="I5154" s="1" t="str">
        <f>IFERROR(__xludf.DUMMYFUNCTION("""COMPUTED_VALUE"""),"Completado en SUCURSAL")</f>
        <v>Completado en SUCURSAL</v>
      </c>
      <c r="J5154" s="1">
        <f t="shared" si="3"/>
        <v>5</v>
      </c>
      <c r="K5154" s="1" t="str">
        <f t="shared" si="4"/>
        <v>Tus Lentes estan LISTAS PARA ENTREGAR, te esperamos.</v>
      </c>
    </row>
    <row r="5155">
      <c r="A5155" s="1">
        <f>IFERROR(__xludf.DUMMYFUNCTION("""COMPUTED_VALUE"""),89720.0)</f>
        <v>89720</v>
      </c>
      <c r="B5155" s="5">
        <f>IFERROR(__xludf.DUMMYFUNCTION("""COMPUTED_VALUE"""),45027.49968314815)</f>
        <v>45027.49968</v>
      </c>
      <c r="C5155" s="1" t="str">
        <f>IFERROR(__xludf.DUMMYFUNCTION("""COMPUTED_VALUE"""),"ZAVALA FRANCISCO HEC")</f>
        <v>ZAVALA FRANCISCO HEC</v>
      </c>
      <c r="D5155" s="1" t="str">
        <f>IFERROR(__xludf.DUMMYFUNCTION("""COMPUTED_VALUE"""),"Lentes de STOCK")</f>
        <v>Lentes de STOCK</v>
      </c>
      <c r="E5155" s="1" t="str">
        <f>IFERROR(__xludf.DUMMYFUNCTION("""COMPUTED_VALUE"""),"RIVADAVIA Christian C.")</f>
        <v>RIVADAVIA Christian C.</v>
      </c>
      <c r="F5155" s="1" t="str">
        <f t="shared" si="1"/>
        <v>RIVADAVIA </v>
      </c>
      <c r="G5155" s="1" t="str">
        <f t="shared" si="2"/>
        <v>Christian C.</v>
      </c>
      <c r="H5155" s="1" t="str">
        <f>IFERROR(__xludf.DUMMYFUNCTION("""COMPUTED_VALUE"""),"18/4/2023, 17:00:00")</f>
        <v>18/4/2023, 17:00:00</v>
      </c>
      <c r="I5155" s="1" t="str">
        <f>IFERROR(__xludf.DUMMYFUNCTION("""COMPUTED_VALUE"""),"Completado en SUCURSAL")</f>
        <v>Completado en SUCURSAL</v>
      </c>
      <c r="J5155" s="1">
        <f t="shared" si="3"/>
        <v>5</v>
      </c>
      <c r="K5155" s="1" t="str">
        <f t="shared" si="4"/>
        <v>Tus Lentes estan LISTAS PARA ENTREGAR, te esperamos.</v>
      </c>
    </row>
    <row r="5156">
      <c r="A5156" s="1">
        <f>IFERROR(__xludf.DUMMYFUNCTION("""COMPUTED_VALUE"""),89721.0)</f>
        <v>89721</v>
      </c>
      <c r="B5156" s="5">
        <f>IFERROR(__xludf.DUMMYFUNCTION("""COMPUTED_VALUE"""),45027.499753819444)</f>
        <v>45027.49975</v>
      </c>
      <c r="C5156" s="1" t="str">
        <f>IFERROR(__xludf.DUMMYFUNCTION("""COMPUTED_VALUE"""),"QUIROGA FANNY")</f>
        <v>QUIROGA FANNY</v>
      </c>
      <c r="D5156" s="1" t="str">
        <f>IFERROR(__xludf.DUMMYFUNCTION("""COMPUTED_VALUE"""),"Reparaciones/Otros")</f>
        <v>Reparaciones/Otros</v>
      </c>
      <c r="E5156" s="1" t="str">
        <f>IFERROR(__xludf.DUMMYFUNCTION("""COMPUTED_VALUE"""),"ARTIGAS Ivana P.")</f>
        <v>ARTIGAS Ivana P.</v>
      </c>
      <c r="F5156" s="1" t="str">
        <f t="shared" si="1"/>
        <v>ARTIGAS </v>
      </c>
      <c r="G5156" s="1" t="str">
        <f t="shared" si="2"/>
        <v>Ivana P.</v>
      </c>
      <c r="H5156" s="1" t="str">
        <f>IFERROR(__xludf.DUMMYFUNCTION("""COMPUTED_VALUE"""),"14/4/2023, 17:00:00")</f>
        <v>14/4/2023, 17:00:00</v>
      </c>
      <c r="I5156" s="1" t="str">
        <f>IFERROR(__xludf.DUMMYFUNCTION("""COMPUTED_VALUE"""),"Recibido en Laboratorio")</f>
        <v>Recibido en Laboratorio</v>
      </c>
      <c r="J5156" s="1">
        <f t="shared" si="3"/>
        <v>2</v>
      </c>
      <c r="K5156" s="1" t="str">
        <f t="shared" si="4"/>
        <v>Nuestro Laboratorio esta trabajando en tus lentes, los entregaremos en la fecha acordada.</v>
      </c>
    </row>
    <row r="5157">
      <c r="A5157" s="1">
        <f>IFERROR(__xludf.DUMMYFUNCTION("""COMPUTED_VALUE"""),89722.0)</f>
        <v>89722</v>
      </c>
      <c r="B5157" s="5">
        <f>IFERROR(__xludf.DUMMYFUNCTION("""COMPUTED_VALUE"""),45027.50069539352)</f>
        <v>45027.5007</v>
      </c>
      <c r="C5157" s="1" t="str">
        <f>IFERROR(__xludf.DUMMYFUNCTION("""COMPUTED_VALUE"""),"sola silvana")</f>
        <v>sola silvana</v>
      </c>
      <c r="D5157" s="1" t="str">
        <f>IFERROR(__xludf.DUMMYFUNCTION("""COMPUTED_VALUE"""),"Lentes de STOCK")</f>
        <v>Lentes de STOCK</v>
      </c>
      <c r="E5157" s="1" t="str">
        <f>IFERROR(__xludf.DUMMYFUNCTION("""COMPUTED_VALUE"""),"RIVADAVIA Santiago N")</f>
        <v>RIVADAVIA Santiago N</v>
      </c>
      <c r="F5157" s="1" t="str">
        <f t="shared" si="1"/>
        <v>RIVADAVIA </v>
      </c>
      <c r="G5157" s="1" t="str">
        <f t="shared" si="2"/>
        <v>Santiago N</v>
      </c>
      <c r="H5157" s="1" t="str">
        <f>IFERROR(__xludf.DUMMYFUNCTION("""COMPUTED_VALUE"""),"14/4/2023, 17:00:00")</f>
        <v>14/4/2023, 17:00:00</v>
      </c>
      <c r="I5157" s="1" t="str">
        <f>IFERROR(__xludf.DUMMYFUNCTION("""COMPUTED_VALUE"""),"Completado en SUCURSAL")</f>
        <v>Completado en SUCURSAL</v>
      </c>
      <c r="J5157" s="1">
        <f t="shared" si="3"/>
        <v>5</v>
      </c>
      <c r="K5157" s="1" t="str">
        <f t="shared" si="4"/>
        <v>Tus Lentes estan LISTAS PARA ENTREGAR, te esperamos.</v>
      </c>
    </row>
    <row r="5158">
      <c r="A5158" s="1">
        <f>IFERROR(__xludf.DUMMYFUNCTION("""COMPUTED_VALUE"""),89723.0)</f>
        <v>89723</v>
      </c>
      <c r="B5158" s="5">
        <f>IFERROR(__xludf.DUMMYFUNCTION("""COMPUTED_VALUE"""),45027.502150925924)</f>
        <v>45027.50215</v>
      </c>
      <c r="C5158" s="1" t="str">
        <f>IFERROR(__xludf.DUMMYFUNCTION("""COMPUTED_VALUE"""),"rivero liliana")</f>
        <v>rivero liliana</v>
      </c>
      <c r="D5158" s="1" t="str">
        <f>IFERROR(__xludf.DUMMYFUNCTION("""COMPUTED_VALUE"""),"Lentes de STOCK")</f>
        <v>Lentes de STOCK</v>
      </c>
      <c r="E5158" s="1" t="str">
        <f>IFERROR(__xludf.DUMMYFUNCTION("""COMPUTED_VALUE"""),"RIVADAVIA Santiago N")</f>
        <v>RIVADAVIA Santiago N</v>
      </c>
      <c r="F5158" s="1" t="str">
        <f t="shared" si="1"/>
        <v>RIVADAVIA </v>
      </c>
      <c r="G5158" s="1" t="str">
        <f t="shared" si="2"/>
        <v>Santiago N</v>
      </c>
      <c r="H5158" s="1" t="str">
        <f>IFERROR(__xludf.DUMMYFUNCTION("""COMPUTED_VALUE"""),"17/4/2023, 17:00:00")</f>
        <v>17/4/2023, 17:00:00</v>
      </c>
      <c r="I5158" s="1" t="str">
        <f>IFERROR(__xludf.DUMMYFUNCTION("""COMPUTED_VALUE"""),"Recibido en Laboratorio")</f>
        <v>Recibido en Laboratorio</v>
      </c>
      <c r="J5158" s="1">
        <f t="shared" si="3"/>
        <v>2</v>
      </c>
      <c r="K5158" s="1" t="str">
        <f t="shared" si="4"/>
        <v>Nuestro Laboratorio esta trabajando en tus lentes, los entregaremos en la fecha acordada.</v>
      </c>
    </row>
    <row r="5159">
      <c r="A5159" s="1">
        <f>IFERROR(__xludf.DUMMYFUNCTION("""COMPUTED_VALUE"""),89724.0)</f>
        <v>89724</v>
      </c>
      <c r="B5159" s="5">
        <f>IFERROR(__xludf.DUMMYFUNCTION("""COMPUTED_VALUE"""),45027.50407855324)</f>
        <v>45027.50408</v>
      </c>
      <c r="C5159" s="1" t="str">
        <f>IFERROR(__xludf.DUMMYFUNCTION("""COMPUTED_VALUE"""),"Palacios Andrea")</f>
        <v>Palacios Andrea</v>
      </c>
      <c r="D5159" s="1" t="str">
        <f>IFERROR(__xludf.DUMMYFUNCTION("""COMPUTED_VALUE"""),"Reparaciones/Otros")</f>
        <v>Reparaciones/Otros</v>
      </c>
      <c r="E5159" s="1" t="str">
        <f>IFERROR(__xludf.DUMMYFUNCTION("""COMPUTED_VALUE"""),"ARTIGAS Sandra G")</f>
        <v>ARTIGAS Sandra G</v>
      </c>
      <c r="F5159" s="1" t="str">
        <f t="shared" si="1"/>
        <v>ARTIGAS </v>
      </c>
      <c r="G5159" s="1" t="str">
        <f t="shared" si="2"/>
        <v>Sandra G</v>
      </c>
      <c r="H5159" s="1" t="str">
        <f>IFERROR(__xludf.DUMMYFUNCTION("""COMPUTED_VALUE"""),"12/4/2023, 17:00:00")</f>
        <v>12/4/2023, 17:00:00</v>
      </c>
      <c r="I5159" s="1" t="str">
        <f>IFERROR(__xludf.DUMMYFUNCTION("""COMPUTED_VALUE"""),"Completado en SUCURSAL")</f>
        <v>Completado en SUCURSAL</v>
      </c>
      <c r="J5159" s="1">
        <f t="shared" si="3"/>
        <v>5</v>
      </c>
      <c r="K5159" s="1" t="str">
        <f t="shared" si="4"/>
        <v>Tus Lentes estan LISTAS PARA ENTREGAR, te esperamos.</v>
      </c>
    </row>
    <row r="5160">
      <c r="A5160" s="1">
        <f>IFERROR(__xludf.DUMMYFUNCTION("""COMPUTED_VALUE"""),89725.0)</f>
        <v>89725</v>
      </c>
      <c r="B5160" s="5">
        <f>IFERROR(__xludf.DUMMYFUNCTION("""COMPUTED_VALUE"""),45027.51376559028)</f>
        <v>45027.51377</v>
      </c>
      <c r="C5160" s="1" t="str">
        <f>IFERROR(__xludf.DUMMYFUNCTION("""COMPUTED_VALUE"""),"LUNA BLANCA MARIA")</f>
        <v>LUNA BLANCA MARIA</v>
      </c>
      <c r="D5160" s="1" t="str">
        <f>IFERROR(__xludf.DUMMYFUNCTION("""COMPUTED_VALUE"""),"Lentes de LABORATORIO")</f>
        <v>Lentes de LABORATORIO</v>
      </c>
      <c r="E5160" s="1" t="str">
        <f>IFERROR(__xludf.DUMMYFUNCTION("""COMPUTED_VALUE"""),"RIVADAVIA Christian C.")</f>
        <v>RIVADAVIA Christian C.</v>
      </c>
      <c r="F5160" s="1" t="str">
        <f t="shared" si="1"/>
        <v>RIVADAVIA </v>
      </c>
      <c r="G5160" s="1" t="str">
        <f t="shared" si="2"/>
        <v>Christian C.</v>
      </c>
      <c r="H5160" s="1" t="str">
        <f>IFERROR(__xludf.DUMMYFUNCTION("""COMPUTED_VALUE"""),"20/4/2023, 17:00:00")</f>
        <v>20/4/2023, 17:00:00</v>
      </c>
      <c r="I5160" s="1" t="str">
        <f>IFERROR(__xludf.DUMMYFUNCTION("""COMPUTED_VALUE"""),"Completado en SUCURSAL")</f>
        <v>Completado en SUCURSAL</v>
      </c>
      <c r="J5160" s="1">
        <f t="shared" si="3"/>
        <v>5</v>
      </c>
      <c r="K5160" s="1" t="str">
        <f t="shared" si="4"/>
        <v>Tus Lentes estan LISTAS PARA ENTREGAR, te esperamos.</v>
      </c>
    </row>
    <row r="5161">
      <c r="A5161" s="1">
        <f>IFERROR(__xludf.DUMMYFUNCTION("""COMPUTED_VALUE"""),89726.0)</f>
        <v>89726</v>
      </c>
      <c r="B5161" s="5">
        <f>IFERROR(__xludf.DUMMYFUNCTION("""COMPUTED_VALUE"""),45027.51404547454)</f>
        <v>45027.51405</v>
      </c>
      <c r="C5161" s="1" t="str">
        <f>IFERROR(__xludf.DUMMYFUNCTION("""COMPUTED_VALUE"""),"VELEZ RUBEN")</f>
        <v>VELEZ RUBEN</v>
      </c>
      <c r="D5161" s="1" t="str">
        <f>IFERROR(__xludf.DUMMYFUNCTION("""COMPUTED_VALUE"""),"Lentes de STOCK")</f>
        <v>Lentes de STOCK</v>
      </c>
      <c r="E5161" s="1" t="str">
        <f>IFERROR(__xludf.DUMMYFUNCTION("""COMPUTED_VALUE"""),"ARTIGAS Ivana P.")</f>
        <v>ARTIGAS Ivana P.</v>
      </c>
      <c r="F5161" s="1" t="str">
        <f t="shared" si="1"/>
        <v>ARTIGAS </v>
      </c>
      <c r="G5161" s="1" t="str">
        <f t="shared" si="2"/>
        <v>Ivana P.</v>
      </c>
      <c r="H5161" s="1" t="str">
        <f>IFERROR(__xludf.DUMMYFUNCTION("""COMPUTED_VALUE"""),"17/4/2023, 17:00:00")</f>
        <v>17/4/2023, 17:00:00</v>
      </c>
      <c r="I5161" s="1" t="str">
        <f>IFERROR(__xludf.DUMMYFUNCTION("""COMPUTED_VALUE"""),"Completado en SUCURSAL")</f>
        <v>Completado en SUCURSAL</v>
      </c>
      <c r="J5161" s="1">
        <f t="shared" si="3"/>
        <v>5</v>
      </c>
      <c r="K5161" s="1" t="str">
        <f t="shared" si="4"/>
        <v>Tus Lentes estan LISTAS PARA ENTREGAR, te esperamos.</v>
      </c>
    </row>
    <row r="5162">
      <c r="A5162" s="1">
        <f>IFERROR(__xludf.DUMMYFUNCTION("""COMPUTED_VALUE"""),89727.0)</f>
        <v>89727</v>
      </c>
      <c r="B5162" s="5">
        <f>IFERROR(__xludf.DUMMYFUNCTION("""COMPUTED_VALUE"""),45027.51740614584)</f>
        <v>45027.51741</v>
      </c>
      <c r="C5162" s="1" t="str">
        <f>IFERROR(__xludf.DUMMYFUNCTION("""COMPUTED_VALUE"""),"FERNANDEZ LUCAS")</f>
        <v>FERNANDEZ LUCAS</v>
      </c>
      <c r="D5162" s="1" t="str">
        <f>IFERROR(__xludf.DUMMYFUNCTION("""COMPUTED_VALUE"""),"Lentes de STOCK")</f>
        <v>Lentes de STOCK</v>
      </c>
      <c r="E5162" s="1" t="str">
        <f>IFERROR(__xludf.DUMMYFUNCTION("""COMPUTED_VALUE"""),"Otro (LUCIANA ARTIGAS)")</f>
        <v>Otro (LUCIANA ARTIGAS)</v>
      </c>
      <c r="F5162" s="1" t="str">
        <f t="shared" si="1"/>
        <v>Otro </v>
      </c>
      <c r="G5162" s="1" t="str">
        <f t="shared" si="2"/>
        <v>(LUCIANA ARTIGAS)</v>
      </c>
      <c r="H5162" s="1" t="str">
        <f>IFERROR(__xludf.DUMMYFUNCTION("""COMPUTED_VALUE"""),"14/4/2023, 17:00:00")</f>
        <v>14/4/2023, 17:00:00</v>
      </c>
      <c r="I5162" s="1" t="str">
        <f>IFERROR(__xludf.DUMMYFUNCTION("""COMPUTED_VALUE"""),"Completado en SUCURSAL")</f>
        <v>Completado en SUCURSAL</v>
      </c>
      <c r="J5162" s="1">
        <f t="shared" si="3"/>
        <v>5</v>
      </c>
      <c r="K5162" s="1" t="str">
        <f t="shared" si="4"/>
        <v>Tus Lentes estan LISTAS PARA ENTREGAR, te esperamos.</v>
      </c>
    </row>
    <row r="5163">
      <c r="A5163" s="1">
        <f>IFERROR(__xludf.DUMMYFUNCTION("""COMPUTED_VALUE"""),89728.0)</f>
        <v>89728</v>
      </c>
      <c r="B5163" s="5">
        <f>IFERROR(__xludf.DUMMYFUNCTION("""COMPUTED_VALUE"""),45027.52435011574)</f>
        <v>45027.52435</v>
      </c>
      <c r="C5163" s="1" t="str">
        <f>IFERROR(__xludf.DUMMYFUNCTION("""COMPUTED_VALUE"""),"gomez nayla")</f>
        <v>gomez nayla</v>
      </c>
      <c r="D5163" s="1" t="str">
        <f>IFERROR(__xludf.DUMMYFUNCTION("""COMPUTED_VALUE"""),"Lentes de STOCK")</f>
        <v>Lentes de STOCK</v>
      </c>
      <c r="E5163" s="1" t="str">
        <f>IFERROR(__xludf.DUMMYFUNCTION("""COMPUTED_VALUE"""),"RIVADAVIA Santiago N")</f>
        <v>RIVADAVIA Santiago N</v>
      </c>
      <c r="F5163" s="1" t="str">
        <f t="shared" si="1"/>
        <v>RIVADAVIA </v>
      </c>
      <c r="G5163" s="1" t="str">
        <f t="shared" si="2"/>
        <v>Santiago N</v>
      </c>
      <c r="H5163" s="1" t="str">
        <f>IFERROR(__xludf.DUMMYFUNCTION("""COMPUTED_VALUE"""),"14/4/2023, 17:00:00")</f>
        <v>14/4/2023, 17:00:00</v>
      </c>
      <c r="I5163" s="1" t="str">
        <f>IFERROR(__xludf.DUMMYFUNCTION("""COMPUTED_VALUE"""),"Completado en SUCURSAL")</f>
        <v>Completado en SUCURSAL</v>
      </c>
      <c r="J5163" s="1">
        <f t="shared" si="3"/>
        <v>5</v>
      </c>
      <c r="K5163" s="1" t="str">
        <f t="shared" si="4"/>
        <v>Tus Lentes estan LISTAS PARA ENTREGAR, te esperamos.</v>
      </c>
    </row>
    <row r="5164">
      <c r="A5164" s="1">
        <f>IFERROR(__xludf.DUMMYFUNCTION("""COMPUTED_VALUE"""),89729.0)</f>
        <v>89729</v>
      </c>
      <c r="B5164" s="5">
        <f>IFERROR(__xludf.DUMMYFUNCTION("""COMPUTED_VALUE"""),45027.524482187495)</f>
        <v>45027.52448</v>
      </c>
      <c r="C5164" s="1" t="str">
        <f>IFERROR(__xludf.DUMMYFUNCTION("""COMPUTED_VALUE"""),"MIRANDA MARISA ")</f>
        <v>MIRANDA MARISA </v>
      </c>
      <c r="D5164" s="1" t="str">
        <f>IFERROR(__xludf.DUMMYFUNCTION("""COMPUTED_VALUE"""),"Lentes de STOCK")</f>
        <v>Lentes de STOCK</v>
      </c>
      <c r="E5164" s="1" t="str">
        <f>IFERROR(__xludf.DUMMYFUNCTION("""COMPUTED_VALUE"""),"RIVADAVIA Christian C.")</f>
        <v>RIVADAVIA Christian C.</v>
      </c>
      <c r="F5164" s="1" t="str">
        <f t="shared" si="1"/>
        <v>RIVADAVIA </v>
      </c>
      <c r="G5164" s="1" t="str">
        <f t="shared" si="2"/>
        <v>Christian C.</v>
      </c>
      <c r="H5164" s="1" t="str">
        <f>IFERROR(__xludf.DUMMYFUNCTION("""COMPUTED_VALUE"""),"vecew")</f>
        <v>vecew</v>
      </c>
      <c r="I5164" s="1" t="str">
        <f>IFERROR(__xludf.DUMMYFUNCTION("""COMPUTED_VALUE"""),"Completado en SUCURSAL")</f>
        <v>Completado en SUCURSAL</v>
      </c>
      <c r="J5164" s="1">
        <f t="shared" si="3"/>
        <v>5</v>
      </c>
      <c r="K5164" s="1" t="str">
        <f t="shared" si="4"/>
        <v>Tus Lentes estan LISTAS PARA ENTREGAR, te esperamos.</v>
      </c>
    </row>
    <row r="5165">
      <c r="A5165" s="1">
        <f>IFERROR(__xludf.DUMMYFUNCTION("""COMPUTED_VALUE"""),89730.0)</f>
        <v>89730</v>
      </c>
      <c r="B5165" s="5">
        <f>IFERROR(__xludf.DUMMYFUNCTION("""COMPUTED_VALUE"""),45027.527571053244)</f>
        <v>45027.52757</v>
      </c>
      <c r="C5165" s="1" t="str">
        <f>IFERROR(__xludf.DUMMYFUNCTION("""COMPUTED_VALUE"""),"AZCURRA YANELA")</f>
        <v>AZCURRA YANELA</v>
      </c>
      <c r="D5165" s="1" t="str">
        <f>IFERROR(__xludf.DUMMYFUNCTION("""COMPUTED_VALUE"""),"Lentes de STOCK")</f>
        <v>Lentes de STOCK</v>
      </c>
      <c r="E5165" s="1" t="str">
        <f>IFERROR(__xludf.DUMMYFUNCTION("""COMPUTED_VALUE"""),"RIVADAVIA Santiago LOPEZ")</f>
        <v>RIVADAVIA Santiago LOPEZ</v>
      </c>
      <c r="F5165" s="1" t="str">
        <f t="shared" si="1"/>
        <v>RIVADAVIA </v>
      </c>
      <c r="G5165" s="1" t="str">
        <f t="shared" si="2"/>
        <v>Santiago LOPEZ</v>
      </c>
      <c r="H5165" s="1" t="str">
        <f>IFERROR(__xludf.DUMMYFUNCTION("""COMPUTED_VALUE"""),"14/4/2023, 17:00:00")</f>
        <v>14/4/2023, 17:00:00</v>
      </c>
      <c r="I5165" s="1" t="str">
        <f>IFERROR(__xludf.DUMMYFUNCTION("""COMPUTED_VALUE"""),"Completado en SUCURSAL")</f>
        <v>Completado en SUCURSAL</v>
      </c>
      <c r="J5165" s="1">
        <f t="shared" si="3"/>
        <v>5</v>
      </c>
      <c r="K5165" s="1" t="str">
        <f t="shared" si="4"/>
        <v>Tus Lentes estan LISTAS PARA ENTREGAR, te esperamos.</v>
      </c>
    </row>
    <row r="5166">
      <c r="A5166" s="1">
        <f>IFERROR(__xludf.DUMMYFUNCTION("""COMPUTED_VALUE"""),89731.0)</f>
        <v>89731</v>
      </c>
      <c r="B5166" s="5">
        <f>IFERROR(__xludf.DUMMYFUNCTION("""COMPUTED_VALUE"""),45027.535380625)</f>
        <v>45027.53538</v>
      </c>
      <c r="C5166" s="1" t="str">
        <f>IFERROR(__xludf.DUMMYFUNCTION("""COMPUTED_VALUE"""),"CHADES PAULA DNI")</f>
        <v>CHADES PAULA DNI</v>
      </c>
      <c r="D5166" s="1" t="str">
        <f>IFERROR(__xludf.DUMMYFUNCTION("""COMPUTED_VALUE"""),"Lentes de STOCK")</f>
        <v>Lentes de STOCK</v>
      </c>
      <c r="E5166" s="1" t="str">
        <f>IFERROR(__xludf.DUMMYFUNCTION("""COMPUTED_VALUE"""),"ARTIGAS Ivana P.")</f>
        <v>ARTIGAS Ivana P.</v>
      </c>
      <c r="F5166" s="1" t="str">
        <f t="shared" si="1"/>
        <v>ARTIGAS </v>
      </c>
      <c r="G5166" s="1" t="str">
        <f t="shared" si="2"/>
        <v>Ivana P.</v>
      </c>
      <c r="H5166" s="1" t="str">
        <f>IFERROR(__xludf.DUMMYFUNCTION("""COMPUTED_VALUE"""),"14/4/2023, 17:00:00")</f>
        <v>14/4/2023, 17:00:00</v>
      </c>
      <c r="I5166" s="1" t="str">
        <f>IFERROR(__xludf.DUMMYFUNCTION("""COMPUTED_VALUE"""),"Completado en SUCURSAL")</f>
        <v>Completado en SUCURSAL</v>
      </c>
      <c r="J5166" s="1">
        <f t="shared" si="3"/>
        <v>5</v>
      </c>
      <c r="K5166" s="1" t="str">
        <f t="shared" si="4"/>
        <v>Tus Lentes estan LISTAS PARA ENTREGAR, te esperamos.</v>
      </c>
    </row>
    <row r="5167">
      <c r="A5167" s="1">
        <f>IFERROR(__xludf.DUMMYFUNCTION("""COMPUTED_VALUE"""),89732.0)</f>
        <v>89732</v>
      </c>
      <c r="B5167" s="5">
        <f>IFERROR(__xludf.DUMMYFUNCTION("""COMPUTED_VALUE"""),45027.535458541664)</f>
        <v>45027.53546</v>
      </c>
      <c r="C5167" s="1" t="str">
        <f>IFERROR(__xludf.DUMMYFUNCTION("""COMPUTED_VALUE"""),"correa facundo jose")</f>
        <v>correa facundo jose</v>
      </c>
      <c r="D5167" s="1" t="str">
        <f>IFERROR(__xludf.DUMMYFUNCTION("""COMPUTED_VALUE"""),"Lentes de STOCK")</f>
        <v>Lentes de STOCK</v>
      </c>
      <c r="E5167" s="1" t="str">
        <f>IFERROR(__xludf.DUMMYFUNCTION("""COMPUTED_VALUE"""),"RIVADAVIA Christian C.")</f>
        <v>RIVADAVIA Christian C.</v>
      </c>
      <c r="F5167" s="1" t="str">
        <f t="shared" si="1"/>
        <v>RIVADAVIA </v>
      </c>
      <c r="G5167" s="1" t="str">
        <f t="shared" si="2"/>
        <v>Christian C.</v>
      </c>
      <c r="H5167" s="1" t="str">
        <f>IFERROR(__xludf.DUMMYFUNCTION("""COMPUTED_VALUE"""),"19/4/2023, 17:00:00")</f>
        <v>19/4/2023, 17:00:00</v>
      </c>
      <c r="I5167" s="1" t="str">
        <f>IFERROR(__xludf.DUMMYFUNCTION("""COMPUTED_VALUE"""),"Completado en SUCURSAL")</f>
        <v>Completado en SUCURSAL</v>
      </c>
      <c r="J5167" s="1">
        <f t="shared" si="3"/>
        <v>5</v>
      </c>
      <c r="K5167" s="1" t="str">
        <f t="shared" si="4"/>
        <v>Tus Lentes estan LISTAS PARA ENTREGAR, te esperamos.</v>
      </c>
    </row>
    <row r="5168">
      <c r="A5168" s="1">
        <f>IFERROR(__xludf.DUMMYFUNCTION("""COMPUTED_VALUE"""),89733.0)</f>
        <v>89733</v>
      </c>
      <c r="B5168" s="5">
        <f>IFERROR(__xludf.DUMMYFUNCTION("""COMPUTED_VALUE"""),45027.53754435186)</f>
        <v>45027.53754</v>
      </c>
      <c r="C5168" s="1" t="str">
        <f>IFERROR(__xludf.DUMMYFUNCTION("""COMPUTED_VALUE"""),"ROBLES ROSANA")</f>
        <v>ROBLES ROSANA</v>
      </c>
      <c r="D5168" s="1" t="str">
        <f>IFERROR(__xludf.DUMMYFUNCTION("""COMPUTED_VALUE"""),"Lentes de STOCK")</f>
        <v>Lentes de STOCK</v>
      </c>
      <c r="E5168" s="1" t="str">
        <f>IFERROR(__xludf.DUMMYFUNCTION("""COMPUTED_VALUE"""),"Otro (LUCIANA ARTIGAS)")</f>
        <v>Otro (LUCIANA ARTIGAS)</v>
      </c>
      <c r="F5168" s="1" t="str">
        <f t="shared" si="1"/>
        <v>Otro </v>
      </c>
      <c r="G5168" s="1" t="str">
        <f t="shared" si="2"/>
        <v>(LUCIANA ARTIGAS)</v>
      </c>
      <c r="H5168" s="1" t="str">
        <f>IFERROR(__xludf.DUMMYFUNCTION("""COMPUTED_VALUE"""),"17/4/2023, 17:00:00")</f>
        <v>17/4/2023, 17:00:00</v>
      </c>
      <c r="I5168" s="1" t="str">
        <f>IFERROR(__xludf.DUMMYFUNCTION("""COMPUTED_VALUE"""),"Completado en SUCURSAL")</f>
        <v>Completado en SUCURSAL</v>
      </c>
      <c r="J5168" s="1">
        <f t="shared" si="3"/>
        <v>5</v>
      </c>
      <c r="K5168" s="1" t="str">
        <f t="shared" si="4"/>
        <v>Tus Lentes estan LISTAS PARA ENTREGAR, te esperamos.</v>
      </c>
    </row>
    <row r="5169">
      <c r="A5169" s="1">
        <f>IFERROR(__xludf.DUMMYFUNCTION("""COMPUTED_VALUE"""),89734.0)</f>
        <v>89734</v>
      </c>
      <c r="B5169" s="5">
        <f>IFERROR(__xludf.DUMMYFUNCTION("""COMPUTED_VALUE"""),45027.54019164352)</f>
        <v>45027.54019</v>
      </c>
      <c r="C5169" s="1" t="str">
        <f>IFERROR(__xludf.DUMMYFUNCTION("""COMPUTED_VALUE"""),"CASTRO KAREN ABIGAIL")</f>
        <v>CASTRO KAREN ABIGAIL</v>
      </c>
      <c r="D5169" s="1" t="str">
        <f>IFERROR(__xludf.DUMMYFUNCTION("""COMPUTED_VALUE"""),"Lentes de STOCK")</f>
        <v>Lentes de STOCK</v>
      </c>
      <c r="E5169" s="1" t="str">
        <f>IFERROR(__xludf.DUMMYFUNCTION("""COMPUTED_VALUE"""),"RIVADAVIA Santiago LOPEZ")</f>
        <v>RIVADAVIA Santiago LOPEZ</v>
      </c>
      <c r="F5169" s="1" t="str">
        <f t="shared" si="1"/>
        <v>RIVADAVIA </v>
      </c>
      <c r="G5169" s="1" t="str">
        <f t="shared" si="2"/>
        <v>Santiago LOPEZ</v>
      </c>
      <c r="H5169" s="1" t="str">
        <f>IFERROR(__xludf.DUMMYFUNCTION("""COMPUTED_VALUE"""),"14/4/2023, 17:00:00")</f>
        <v>14/4/2023, 17:00:00</v>
      </c>
      <c r="I5169" s="1" t="str">
        <f>IFERROR(__xludf.DUMMYFUNCTION("""COMPUTED_VALUE"""),"Completado en SUCURSAL")</f>
        <v>Completado en SUCURSAL</v>
      </c>
      <c r="J5169" s="1">
        <f t="shared" si="3"/>
        <v>5</v>
      </c>
      <c r="K5169" s="1" t="str">
        <f t="shared" si="4"/>
        <v>Tus Lentes estan LISTAS PARA ENTREGAR, te esperamos.</v>
      </c>
    </row>
    <row r="5170">
      <c r="A5170" s="1">
        <f>IFERROR(__xludf.DUMMYFUNCTION("""COMPUTED_VALUE"""),89735.0)</f>
        <v>89735</v>
      </c>
      <c r="B5170" s="5">
        <f>IFERROR(__xludf.DUMMYFUNCTION("""COMPUTED_VALUE"""),45027.54510649305)</f>
        <v>45027.54511</v>
      </c>
      <c r="C5170" s="1" t="str">
        <f>IFERROR(__xludf.DUMMYFUNCTION("""COMPUTED_VALUE"""),"MORAN HEBER")</f>
        <v>MORAN HEBER</v>
      </c>
      <c r="D5170" s="1" t="str">
        <f>IFERROR(__xludf.DUMMYFUNCTION("""COMPUTED_VALUE"""),"Lentes de STOCK")</f>
        <v>Lentes de STOCK</v>
      </c>
      <c r="E5170" s="1" t="str">
        <f>IFERROR(__xludf.DUMMYFUNCTION("""COMPUTED_VALUE"""),"ARTIGAS Ivana P.")</f>
        <v>ARTIGAS Ivana P.</v>
      </c>
      <c r="F5170" s="1" t="str">
        <f t="shared" si="1"/>
        <v>ARTIGAS </v>
      </c>
      <c r="G5170" s="1" t="str">
        <f t="shared" si="2"/>
        <v>Ivana P.</v>
      </c>
      <c r="H5170" s="1" t="str">
        <f>IFERROR(__xludf.DUMMYFUNCTION("""COMPUTED_VALUE"""),"14/4/2023, 17:00:00")</f>
        <v>14/4/2023, 17:00:00</v>
      </c>
      <c r="I5170" s="1" t="str">
        <f>IFERROR(__xludf.DUMMYFUNCTION("""COMPUTED_VALUE"""),"Completado en SUCURSAL")</f>
        <v>Completado en SUCURSAL</v>
      </c>
      <c r="J5170" s="1">
        <f t="shared" si="3"/>
        <v>5</v>
      </c>
      <c r="K5170" s="1" t="str">
        <f t="shared" si="4"/>
        <v>Tus Lentes estan LISTAS PARA ENTREGAR, te esperamos.</v>
      </c>
    </row>
    <row r="5171">
      <c r="A5171" s="1">
        <f>IFERROR(__xludf.DUMMYFUNCTION("""COMPUTED_VALUE"""),89736.0)</f>
        <v>89736</v>
      </c>
      <c r="B5171" s="5">
        <f>IFERROR(__xludf.DUMMYFUNCTION("""COMPUTED_VALUE"""),45027.549014212964)</f>
        <v>45027.54901</v>
      </c>
      <c r="C5171" s="1" t="str">
        <f>IFERROR(__xludf.DUMMYFUNCTION("""COMPUTED_VALUE"""),"SARMIENTO MARIA INES")</f>
        <v>SARMIENTO MARIA INES</v>
      </c>
      <c r="D5171" s="1" t="str">
        <f>IFERROR(__xludf.DUMMYFUNCTION("""COMPUTED_VALUE"""),"Lentes de STOCK")</f>
        <v>Lentes de STOCK</v>
      </c>
      <c r="E5171" s="1" t="str">
        <f>IFERROR(__xludf.DUMMYFUNCTION("""COMPUTED_VALUE"""),"Otro (LUCIANA ARTIGAS)")</f>
        <v>Otro (LUCIANA ARTIGAS)</v>
      </c>
      <c r="F5171" s="1" t="str">
        <f t="shared" si="1"/>
        <v>Otro </v>
      </c>
      <c r="G5171" s="1" t="str">
        <f t="shared" si="2"/>
        <v>(LUCIANA ARTIGAS)</v>
      </c>
      <c r="H5171" s="1" t="str">
        <f>IFERROR(__xludf.DUMMYFUNCTION("""COMPUTED_VALUE"""),"17/4/2023, 17:00:00")</f>
        <v>17/4/2023, 17:00:00</v>
      </c>
      <c r="I5171" s="1" t="str">
        <f>IFERROR(__xludf.DUMMYFUNCTION("""COMPUTED_VALUE"""),"Completado en SUCURSAL")</f>
        <v>Completado en SUCURSAL</v>
      </c>
      <c r="J5171" s="1">
        <f t="shared" si="3"/>
        <v>5</v>
      </c>
      <c r="K5171" s="1" t="str">
        <f t="shared" si="4"/>
        <v>Tus Lentes estan LISTAS PARA ENTREGAR, te esperamos.</v>
      </c>
    </row>
    <row r="5172">
      <c r="A5172" s="1">
        <f>IFERROR(__xludf.DUMMYFUNCTION("""COMPUTED_VALUE"""),89737.0)</f>
        <v>89737</v>
      </c>
      <c r="B5172" s="5">
        <f>IFERROR(__xludf.DUMMYFUNCTION("""COMPUTED_VALUE"""),45027.55028092593)</f>
        <v>45027.55028</v>
      </c>
      <c r="C5172" s="1" t="str">
        <f>IFERROR(__xludf.DUMMYFUNCTION("""COMPUTED_VALUE"""),"TAPIA RAUL")</f>
        <v>TAPIA RAUL</v>
      </c>
      <c r="D5172" s="1" t="str">
        <f>IFERROR(__xludf.DUMMYFUNCTION("""COMPUTED_VALUE"""),"Lentes de STOCK")</f>
        <v>Lentes de STOCK</v>
      </c>
      <c r="E5172" s="1" t="str">
        <f>IFERROR(__xludf.DUMMYFUNCTION("""COMPUTED_VALUE"""),"RIVADAVIA Santiago LOPEZ")</f>
        <v>RIVADAVIA Santiago LOPEZ</v>
      </c>
      <c r="F5172" s="1" t="str">
        <f t="shared" si="1"/>
        <v>RIVADAVIA </v>
      </c>
      <c r="G5172" s="1" t="str">
        <f t="shared" si="2"/>
        <v>Santiago LOPEZ</v>
      </c>
      <c r="H5172" s="1" t="str">
        <f>IFERROR(__xludf.DUMMYFUNCTION("""COMPUTED_VALUE"""),"14/4/2023, 17:00:00")</f>
        <v>14/4/2023, 17:00:00</v>
      </c>
      <c r="I5172" s="1" t="str">
        <f>IFERROR(__xludf.DUMMYFUNCTION("""COMPUTED_VALUE"""),"Recibido en Laboratorio")</f>
        <v>Recibido en Laboratorio</v>
      </c>
      <c r="J5172" s="1">
        <f t="shared" si="3"/>
        <v>2</v>
      </c>
      <c r="K5172" s="1" t="str">
        <f t="shared" si="4"/>
        <v>Nuestro Laboratorio esta trabajando en tus lentes, los entregaremos en la fecha acordada.</v>
      </c>
    </row>
    <row r="5173">
      <c r="A5173" s="1">
        <f>IFERROR(__xludf.DUMMYFUNCTION("""COMPUTED_VALUE"""),89738.0)</f>
        <v>89738</v>
      </c>
      <c r="B5173" s="5">
        <f>IFERROR(__xludf.DUMMYFUNCTION("""COMPUTED_VALUE"""),45027.554479687504)</f>
        <v>45027.55448</v>
      </c>
      <c r="C5173" s="1" t="str">
        <f>IFERROR(__xludf.DUMMYFUNCTION("""COMPUTED_VALUE"""),"SARMIENTO MARIA INES")</f>
        <v>SARMIENTO MARIA INES</v>
      </c>
      <c r="D5173" s="1" t="str">
        <f>IFERROR(__xludf.DUMMYFUNCTION("""COMPUTED_VALUE"""),"Reparaciones/Otros")</f>
        <v>Reparaciones/Otros</v>
      </c>
      <c r="E5173" s="1" t="str">
        <f>IFERROR(__xludf.DUMMYFUNCTION("""COMPUTED_VALUE"""),"Otro (LUCIANA ARTIGAS)")</f>
        <v>Otro (LUCIANA ARTIGAS)</v>
      </c>
      <c r="F5173" s="1" t="str">
        <f t="shared" si="1"/>
        <v>Otro </v>
      </c>
      <c r="G5173" s="1" t="str">
        <f t="shared" si="2"/>
        <v>(LUCIANA ARTIGAS)</v>
      </c>
      <c r="H5173" s="1" t="str">
        <f>IFERROR(__xludf.DUMMYFUNCTION("""COMPUTED_VALUE"""),"12/4/2023, 17:00:00")</f>
        <v>12/4/2023, 17:00:00</v>
      </c>
      <c r="I5173" s="1" t="str">
        <f>IFERROR(__xludf.DUMMYFUNCTION("""COMPUTED_VALUE"""),"Completado en SUCURSAL")</f>
        <v>Completado en SUCURSAL</v>
      </c>
      <c r="J5173" s="1">
        <f t="shared" si="3"/>
        <v>5</v>
      </c>
      <c r="K5173" s="1" t="str">
        <f t="shared" si="4"/>
        <v>Tus Lentes estan LISTAS PARA ENTREGAR, te esperamos.</v>
      </c>
    </row>
    <row r="5174" hidden="1">
      <c r="A5174" s="1">
        <f>IFERROR(__xludf.DUMMYFUNCTION("""COMPUTED_VALUE"""),89739.0)</f>
        <v>89739</v>
      </c>
      <c r="B5174" s="5">
        <f>IFERROR(__xludf.DUMMYFUNCTION("""COMPUTED_VALUE"""),45027.560428530094)</f>
        <v>45027.56043</v>
      </c>
      <c r="C5174" s="1" t="str">
        <f>IFERROR(__xludf.DUMMYFUNCTION("""COMPUTED_VALUE"""),"SOTO MABEL MIRELLA ")</f>
        <v>SOTO MABEL MIRELLA </v>
      </c>
      <c r="D5174" s="1" t="str">
        <f>IFERROR(__xludf.DUMMYFUNCTION("""COMPUTED_VALUE"""),"Lentes de STOCK")</f>
        <v>Lentes de STOCK</v>
      </c>
      <c r="E5174" s="1" t="str">
        <f>IFERROR(__xludf.DUMMYFUNCTION("""COMPUTED_VALUE"""),"RIVADAVIA Marcela L")</f>
        <v>RIVADAVIA Marcela L</v>
      </c>
      <c r="F5174" s="1" t="str">
        <f t="shared" si="1"/>
        <v>RIVADAVIA </v>
      </c>
      <c r="G5174" s="1" t="str">
        <f t="shared" si="2"/>
        <v>Marcela L</v>
      </c>
      <c r="H5174" s="1" t="str">
        <f>IFERROR(__xludf.DUMMYFUNCTION("""COMPUTED_VALUE"""),"17/4/2023, 17:00:00")</f>
        <v>17/4/2023, 17:00:00</v>
      </c>
      <c r="I5174" s="1" t="str">
        <f>IFERROR(__xludf.DUMMYFUNCTION("""COMPUTED_VALUE"""),"Completado en SUCURSAL")</f>
        <v>Completado en SUCURSAL</v>
      </c>
      <c r="J5174" s="1">
        <f t="shared" si="3"/>
        <v>5</v>
      </c>
      <c r="K5174" s="1" t="str">
        <f t="shared" si="4"/>
        <v>Tus Lentes estan LISTAS PARA ENTREGAR, te esperamos.</v>
      </c>
    </row>
    <row r="5175">
      <c r="A5175" s="1">
        <f>IFERROR(__xludf.DUMMYFUNCTION("""COMPUTED_VALUE"""),89740.0)</f>
        <v>89740</v>
      </c>
      <c r="B5175" s="5">
        <f>IFERROR(__xludf.DUMMYFUNCTION("""COMPUTED_VALUE"""),45027.69358516204)</f>
        <v>45027.69359</v>
      </c>
      <c r="C5175" s="1" t="str">
        <f>IFERROR(__xludf.DUMMYFUNCTION("""COMPUTED_VALUE"""),"ortaga marta")</f>
        <v>ortaga marta</v>
      </c>
      <c r="D5175" s="1" t="str">
        <f>IFERROR(__xludf.DUMMYFUNCTION("""COMPUTED_VALUE"""),"Lentes de STOCK")</f>
        <v>Lentes de STOCK</v>
      </c>
      <c r="E5175" s="1" t="str">
        <f>IFERROR(__xludf.DUMMYFUNCTION("""COMPUTED_VALUE"""),"RIVADAVIA Santiago N")</f>
        <v>RIVADAVIA Santiago N</v>
      </c>
      <c r="F5175" s="1" t="str">
        <f t="shared" si="1"/>
        <v>RIVADAVIA </v>
      </c>
      <c r="G5175" s="1" t="str">
        <f t="shared" si="2"/>
        <v>Santiago N</v>
      </c>
      <c r="H5175" s="1" t="str">
        <f>IFERROR(__xludf.DUMMYFUNCTION("""COMPUTED_VALUE"""),"14/4/2023, 17:00:00")</f>
        <v>14/4/2023, 17:00:00</v>
      </c>
      <c r="I5175" s="1" t="str">
        <f>IFERROR(__xludf.DUMMYFUNCTION("""COMPUTED_VALUE"""),"Completado en SUCURSAL")</f>
        <v>Completado en SUCURSAL</v>
      </c>
      <c r="J5175" s="1">
        <f t="shared" si="3"/>
        <v>5</v>
      </c>
      <c r="K5175" s="1" t="str">
        <f t="shared" si="4"/>
        <v>Tus Lentes estan LISTAS PARA ENTREGAR, te esperamos.</v>
      </c>
    </row>
    <row r="5176">
      <c r="A5176" s="1">
        <f>IFERROR(__xludf.DUMMYFUNCTION("""COMPUTED_VALUE"""),89741.0)</f>
        <v>89741</v>
      </c>
      <c r="B5176" s="5">
        <f>IFERROR(__xludf.DUMMYFUNCTION("""COMPUTED_VALUE"""),45027.70451292824)</f>
        <v>45027.70451</v>
      </c>
      <c r="C5176" s="1" t="str">
        <f>IFERROR(__xludf.DUMMYFUNCTION("""COMPUTED_VALUE"""),"GOMEZ CARLOS")</f>
        <v>GOMEZ CARLOS</v>
      </c>
      <c r="D5176" s="1" t="str">
        <f>IFERROR(__xludf.DUMMYFUNCTION("""COMPUTED_VALUE"""),"Lentes de STOCK")</f>
        <v>Lentes de STOCK</v>
      </c>
      <c r="E5176" s="1" t="str">
        <f>IFERROR(__xludf.DUMMYFUNCTION("""COMPUTED_VALUE"""),"ARTIGAS Ivana P.")</f>
        <v>ARTIGAS Ivana P.</v>
      </c>
      <c r="F5176" s="1" t="str">
        <f t="shared" si="1"/>
        <v>ARTIGAS </v>
      </c>
      <c r="G5176" s="1" t="str">
        <f t="shared" si="2"/>
        <v>Ivana P.</v>
      </c>
      <c r="H5176" s="1" t="str">
        <f>IFERROR(__xludf.DUMMYFUNCTION("""COMPUTED_VALUE"""),"14/4/2023, 17:00:00")</f>
        <v>14/4/2023, 17:00:00</v>
      </c>
      <c r="I5176" s="1" t="str">
        <f>IFERROR(__xludf.DUMMYFUNCTION("""COMPUTED_VALUE"""),"Completado en SUCURSAL")</f>
        <v>Completado en SUCURSAL</v>
      </c>
      <c r="J5176" s="1">
        <f t="shared" si="3"/>
        <v>5</v>
      </c>
      <c r="K5176" s="1" t="str">
        <f t="shared" si="4"/>
        <v>Tus Lentes estan LISTAS PARA ENTREGAR, te esperamos.</v>
      </c>
    </row>
    <row r="5177">
      <c r="A5177" s="1">
        <f>IFERROR(__xludf.DUMMYFUNCTION("""COMPUTED_VALUE"""),89742.0)</f>
        <v>89742</v>
      </c>
      <c r="B5177" s="5">
        <f>IFERROR(__xludf.DUMMYFUNCTION("""COMPUTED_VALUE"""),45027.712846967595)</f>
        <v>45027.71285</v>
      </c>
      <c r="C5177" s="1" t="str">
        <f>IFERROR(__xludf.DUMMYFUNCTION("""COMPUTED_VALUE"""),"temoli gaston")</f>
        <v>temoli gaston</v>
      </c>
      <c r="D5177" s="1" t="str">
        <f>IFERROR(__xludf.DUMMYFUNCTION("""COMPUTED_VALUE"""),"Lentes de STOCK")</f>
        <v>Lentes de STOCK</v>
      </c>
      <c r="E5177" s="1" t="str">
        <f>IFERROR(__xludf.DUMMYFUNCTION("""COMPUTED_VALUE"""),"RIVADAVIA Santiago N")</f>
        <v>RIVADAVIA Santiago N</v>
      </c>
      <c r="F5177" s="1" t="str">
        <f t="shared" si="1"/>
        <v>RIVADAVIA </v>
      </c>
      <c r="G5177" s="1" t="str">
        <f t="shared" si="2"/>
        <v>Santiago N</v>
      </c>
      <c r="H5177" s="1" t="str">
        <f>IFERROR(__xludf.DUMMYFUNCTION("""COMPUTED_VALUE"""),"14/4/2023, 17:00:00")</f>
        <v>14/4/2023, 17:00:00</v>
      </c>
      <c r="I5177" s="1" t="str">
        <f>IFERROR(__xludf.DUMMYFUNCTION("""COMPUTED_VALUE"""),"Completado en SUCURSAL")</f>
        <v>Completado en SUCURSAL</v>
      </c>
      <c r="J5177" s="1">
        <f t="shared" si="3"/>
        <v>5</v>
      </c>
      <c r="K5177" s="1" t="str">
        <f t="shared" si="4"/>
        <v>Tus Lentes estan LISTAS PARA ENTREGAR, te esperamos.</v>
      </c>
    </row>
    <row r="5178">
      <c r="A5178" s="1">
        <f>IFERROR(__xludf.DUMMYFUNCTION("""COMPUTED_VALUE"""),89743.0)</f>
        <v>89743</v>
      </c>
      <c r="B5178" s="5">
        <f>IFERROR(__xludf.DUMMYFUNCTION("""COMPUTED_VALUE"""),45027.72717712963)</f>
        <v>45027.72718</v>
      </c>
      <c r="C5178" s="1" t="str">
        <f>IFERROR(__xludf.DUMMYFUNCTION("""COMPUTED_VALUE"""),"TORRES GENARO ")</f>
        <v>TORRES GENARO </v>
      </c>
      <c r="D5178" s="1" t="str">
        <f>IFERROR(__xludf.DUMMYFUNCTION("""COMPUTED_VALUE"""),"Lentes de STOCK")</f>
        <v>Lentes de STOCK</v>
      </c>
      <c r="E5178" s="1" t="str">
        <f>IFERROR(__xludf.DUMMYFUNCTION("""COMPUTED_VALUE"""),"RIVADAVIA Christian C.")</f>
        <v>RIVADAVIA Christian C.</v>
      </c>
      <c r="F5178" s="1" t="str">
        <f t="shared" si="1"/>
        <v>RIVADAVIA </v>
      </c>
      <c r="G5178" s="1" t="str">
        <f t="shared" si="2"/>
        <v>Christian C.</v>
      </c>
      <c r="H5178" s="1" t="str">
        <f>IFERROR(__xludf.DUMMYFUNCTION("""COMPUTED_VALUE"""),"19/4/2023, 17:00:00")</f>
        <v>19/4/2023, 17:00:00</v>
      </c>
      <c r="I5178" s="1" t="str">
        <f>IFERROR(__xludf.DUMMYFUNCTION("""COMPUTED_VALUE"""),"Completado en SUCURSAL")</f>
        <v>Completado en SUCURSAL</v>
      </c>
      <c r="J5178" s="1">
        <f t="shared" si="3"/>
        <v>5</v>
      </c>
      <c r="K5178" s="1" t="str">
        <f t="shared" si="4"/>
        <v>Tus Lentes estan LISTAS PARA ENTREGAR, te esperamos.</v>
      </c>
    </row>
    <row r="5179">
      <c r="A5179" s="1">
        <f>IFERROR(__xludf.DUMMYFUNCTION("""COMPUTED_VALUE"""),89744.0)</f>
        <v>89744</v>
      </c>
      <c r="B5179" s="5">
        <f>IFERROR(__xludf.DUMMYFUNCTION("""COMPUTED_VALUE"""),45027.72732917824)</f>
        <v>45027.72733</v>
      </c>
      <c r="C5179" s="1" t="str">
        <f>IFERROR(__xludf.DUMMYFUNCTION("""COMPUTED_VALUE"""),"RUTA MIRTA")</f>
        <v>RUTA MIRTA</v>
      </c>
      <c r="D5179" s="1" t="str">
        <f>IFERROR(__xludf.DUMMYFUNCTION("""COMPUTED_VALUE"""),"Reparaciones/Otros")</f>
        <v>Reparaciones/Otros</v>
      </c>
      <c r="E5179" s="1" t="str">
        <f>IFERROR(__xludf.DUMMYFUNCTION("""COMPUTED_VALUE"""),"ARTIGAS Ivana P.")</f>
        <v>ARTIGAS Ivana P.</v>
      </c>
      <c r="F5179" s="1" t="str">
        <f t="shared" si="1"/>
        <v>ARTIGAS </v>
      </c>
      <c r="G5179" s="1" t="str">
        <f t="shared" si="2"/>
        <v>Ivana P.</v>
      </c>
      <c r="H5179" s="1" t="str">
        <f>IFERROR(__xludf.DUMMYFUNCTION("""COMPUTED_VALUE"""),"12/4/2023, 17:00:00")</f>
        <v>12/4/2023, 17:00:00</v>
      </c>
      <c r="I5179" s="1" t="str">
        <f>IFERROR(__xludf.DUMMYFUNCTION("""COMPUTED_VALUE"""),"Completado en SUCURSAL")</f>
        <v>Completado en SUCURSAL</v>
      </c>
      <c r="J5179" s="1">
        <f t="shared" si="3"/>
        <v>5</v>
      </c>
      <c r="K5179" s="1" t="str">
        <f t="shared" si="4"/>
        <v>Tus Lentes estan LISTAS PARA ENTREGAR, te esperamos.</v>
      </c>
    </row>
    <row r="5180">
      <c r="A5180" s="1">
        <f>IFERROR(__xludf.DUMMYFUNCTION("""COMPUTED_VALUE"""),89745.0)</f>
        <v>89745</v>
      </c>
      <c r="B5180" s="5">
        <f>IFERROR(__xludf.DUMMYFUNCTION("""COMPUTED_VALUE"""),45027.73237042824)</f>
        <v>45027.73237</v>
      </c>
      <c r="C5180" s="1" t="str">
        <f>IFERROR(__xludf.DUMMYFUNCTION("""COMPUTED_VALUE"""),"REINOSO NICOLAS")</f>
        <v>REINOSO NICOLAS</v>
      </c>
      <c r="D5180" s="1" t="str">
        <f>IFERROR(__xludf.DUMMYFUNCTION("""COMPUTED_VALUE"""),"Lentes de STOCK")</f>
        <v>Lentes de STOCK</v>
      </c>
      <c r="E5180" s="1" t="str">
        <f>IFERROR(__xludf.DUMMYFUNCTION("""COMPUTED_VALUE"""),"RIVADAVIA Christian C.")</f>
        <v>RIVADAVIA Christian C.</v>
      </c>
      <c r="F5180" s="1" t="str">
        <f t="shared" si="1"/>
        <v>RIVADAVIA </v>
      </c>
      <c r="G5180" s="1" t="str">
        <f t="shared" si="2"/>
        <v>Christian C.</v>
      </c>
      <c r="H5180" s="1" t="str">
        <f>IFERROR(__xludf.DUMMYFUNCTION("""COMPUTED_VALUE"""),"19/4/2023, 17:00:00")</f>
        <v>19/4/2023, 17:00:00</v>
      </c>
      <c r="I5180" s="1" t="str">
        <f>IFERROR(__xludf.DUMMYFUNCTION("""COMPUTED_VALUE"""),"Recibido en Laboratorio")</f>
        <v>Recibido en Laboratorio</v>
      </c>
      <c r="J5180" s="1">
        <f t="shared" si="3"/>
        <v>2</v>
      </c>
      <c r="K5180" s="1" t="str">
        <f t="shared" si="4"/>
        <v>Nuestro Laboratorio esta trabajando en tus lentes, los entregaremos en la fecha acordada.</v>
      </c>
    </row>
    <row r="5181">
      <c r="A5181" s="1">
        <f>IFERROR(__xludf.DUMMYFUNCTION("""COMPUTED_VALUE"""),89746.0)</f>
        <v>89746</v>
      </c>
      <c r="B5181" s="5">
        <f>IFERROR(__xludf.DUMMYFUNCTION("""COMPUTED_VALUE"""),45027.7422858912)</f>
        <v>45027.74229</v>
      </c>
      <c r="C5181" s="1" t="str">
        <f>IFERROR(__xludf.DUMMYFUNCTION("""COMPUTED_VALUE"""),"GERAIGES ALBERTO ANWAR ")</f>
        <v>GERAIGES ALBERTO ANWAR </v>
      </c>
      <c r="D5181" s="1" t="str">
        <f>IFERROR(__xludf.DUMMYFUNCTION("""COMPUTED_VALUE"""),"Lentes de STOCK")</f>
        <v>Lentes de STOCK</v>
      </c>
      <c r="E5181" s="1" t="str">
        <f>IFERROR(__xludf.DUMMYFUNCTION("""COMPUTED_VALUE"""),"RIVADAVIA Christian C.")</f>
        <v>RIVADAVIA Christian C.</v>
      </c>
      <c r="F5181" s="1" t="str">
        <f t="shared" si="1"/>
        <v>RIVADAVIA </v>
      </c>
      <c r="G5181" s="1" t="str">
        <f t="shared" si="2"/>
        <v>Christian C.</v>
      </c>
      <c r="H5181" s="1" t="str">
        <f>IFERROR(__xludf.DUMMYFUNCTION("""COMPUTED_VALUE"""),"19/4/2023, 17:00:00")</f>
        <v>19/4/2023, 17:00:00</v>
      </c>
      <c r="I5181" s="1" t="str">
        <f>IFERROR(__xludf.DUMMYFUNCTION("""COMPUTED_VALUE"""),"Completado en SUCURSAL")</f>
        <v>Completado en SUCURSAL</v>
      </c>
      <c r="J5181" s="1">
        <f t="shared" si="3"/>
        <v>5</v>
      </c>
      <c r="K5181" s="1" t="str">
        <f t="shared" si="4"/>
        <v>Tus Lentes estan LISTAS PARA ENTREGAR, te esperamos.</v>
      </c>
    </row>
    <row r="5182">
      <c r="A5182" s="1">
        <f>IFERROR(__xludf.DUMMYFUNCTION("""COMPUTED_VALUE"""),89747.0)</f>
        <v>89747</v>
      </c>
      <c r="B5182" s="5">
        <f>IFERROR(__xludf.DUMMYFUNCTION("""COMPUTED_VALUE"""),45027.74510112268)</f>
        <v>45027.7451</v>
      </c>
      <c r="C5182" s="1" t="str">
        <f>IFERROR(__xludf.DUMMYFUNCTION("""COMPUTED_VALUE"""),"DEL RIO JUAN")</f>
        <v>DEL RIO JUAN</v>
      </c>
      <c r="D5182" s="1" t="str">
        <f>IFERROR(__xludf.DUMMYFUNCTION("""COMPUTED_VALUE"""),"Lentes de STOCK")</f>
        <v>Lentes de STOCK</v>
      </c>
      <c r="E5182" s="1" t="str">
        <f>IFERROR(__xludf.DUMMYFUNCTION("""COMPUTED_VALUE"""),"ARTIGAS Ivana P.")</f>
        <v>ARTIGAS Ivana P.</v>
      </c>
      <c r="F5182" s="1" t="str">
        <f t="shared" si="1"/>
        <v>ARTIGAS </v>
      </c>
      <c r="G5182" s="1" t="str">
        <f t="shared" si="2"/>
        <v>Ivana P.</v>
      </c>
      <c r="H5182" s="1" t="str">
        <f>IFERROR(__xludf.DUMMYFUNCTION("""COMPUTED_VALUE"""),"17/4/2023, 17:00:00")</f>
        <v>17/4/2023, 17:00:00</v>
      </c>
      <c r="I5182" s="1" t="str">
        <f>IFERROR(__xludf.DUMMYFUNCTION("""COMPUTED_VALUE"""),"Completado en SUCURSAL")</f>
        <v>Completado en SUCURSAL</v>
      </c>
      <c r="J5182" s="1">
        <f t="shared" si="3"/>
        <v>5</v>
      </c>
      <c r="K5182" s="1" t="str">
        <f t="shared" si="4"/>
        <v>Tus Lentes estan LISTAS PARA ENTREGAR, te esperamos.</v>
      </c>
    </row>
    <row r="5183">
      <c r="A5183" s="1">
        <f>IFERROR(__xludf.DUMMYFUNCTION("""COMPUTED_VALUE"""),89748.0)</f>
        <v>89748</v>
      </c>
      <c r="B5183" s="5">
        <f>IFERROR(__xludf.DUMMYFUNCTION("""COMPUTED_VALUE"""),45027.749345185184)</f>
        <v>45027.74935</v>
      </c>
      <c r="C5183" s="1" t="str">
        <f>IFERROR(__xludf.DUMMYFUNCTION("""COMPUTED_VALUE"""),"FLORES CLAUDIA ")</f>
        <v>FLORES CLAUDIA </v>
      </c>
      <c r="D5183" s="1" t="str">
        <f>IFERROR(__xludf.DUMMYFUNCTION("""COMPUTED_VALUE"""),"Lentes de STOCK")</f>
        <v>Lentes de STOCK</v>
      </c>
      <c r="E5183" s="1" t="str">
        <f>IFERROR(__xludf.DUMMYFUNCTION("""COMPUTED_VALUE"""),"Otro (LUCIANA ARTIGAS)")</f>
        <v>Otro (LUCIANA ARTIGAS)</v>
      </c>
      <c r="F5183" s="1" t="str">
        <f t="shared" si="1"/>
        <v>Otro </v>
      </c>
      <c r="G5183" s="1" t="str">
        <f t="shared" si="2"/>
        <v>(LUCIANA ARTIGAS)</v>
      </c>
      <c r="H5183" s="1" t="str">
        <f>IFERROR(__xludf.DUMMYFUNCTION("""COMPUTED_VALUE"""),"18/4/2023, 17:00:00")</f>
        <v>18/4/2023, 17:00:00</v>
      </c>
      <c r="I5183" s="1" t="str">
        <f>IFERROR(__xludf.DUMMYFUNCTION("""COMPUTED_VALUE"""),"Completado en SUCURSAL")</f>
        <v>Completado en SUCURSAL</v>
      </c>
      <c r="J5183" s="1">
        <f t="shared" si="3"/>
        <v>5</v>
      </c>
      <c r="K5183" s="1" t="str">
        <f t="shared" si="4"/>
        <v>Tus Lentes estan LISTAS PARA ENTREGAR, te esperamos.</v>
      </c>
    </row>
    <row r="5184">
      <c r="A5184" s="1">
        <f>IFERROR(__xludf.DUMMYFUNCTION("""COMPUTED_VALUE"""),89749.0)</f>
        <v>89749</v>
      </c>
      <c r="B5184" s="5">
        <f>IFERROR(__xludf.DUMMYFUNCTION("""COMPUTED_VALUE"""),45027.75372170139)</f>
        <v>45027.75372</v>
      </c>
      <c r="C5184" s="1" t="str">
        <f>IFERROR(__xludf.DUMMYFUNCTION("""COMPUTED_VALUE"""),"AMAYA RAQUEL")</f>
        <v>AMAYA RAQUEL</v>
      </c>
      <c r="D5184" s="1" t="str">
        <f>IFERROR(__xludf.DUMMYFUNCTION("""COMPUTED_VALUE"""),"Lentes MULTIFOCALES")</f>
        <v>Lentes MULTIFOCALES</v>
      </c>
      <c r="E5184" s="1" t="str">
        <f>IFERROR(__xludf.DUMMYFUNCTION("""COMPUTED_VALUE"""),"RIVADAVIA Santiago LOPEZ")</f>
        <v>RIVADAVIA Santiago LOPEZ</v>
      </c>
      <c r="F5184" s="1" t="str">
        <f t="shared" si="1"/>
        <v>RIVADAVIA </v>
      </c>
      <c r="G5184" s="1" t="str">
        <f t="shared" si="2"/>
        <v>Santiago LOPEZ</v>
      </c>
      <c r="H5184" s="1" t="str">
        <f>IFERROR(__xludf.DUMMYFUNCTION("""COMPUTED_VALUE"""),"26/4/2023, 17:00:00")</f>
        <v>26/4/2023, 17:00:00</v>
      </c>
      <c r="I5184" s="1" t="str">
        <f>IFERROR(__xludf.DUMMYFUNCTION("""COMPUTED_VALUE"""),"Recibido en Laboratorio")</f>
        <v>Recibido en Laboratorio</v>
      </c>
      <c r="J5184" s="1">
        <f t="shared" si="3"/>
        <v>2</v>
      </c>
      <c r="K5184" s="1" t="str">
        <f t="shared" si="4"/>
        <v>Nuestro Laboratorio esta trabajando en tus lentes, los entregaremos en la fecha acordada.</v>
      </c>
    </row>
    <row r="5185">
      <c r="A5185" s="1">
        <f>IFERROR(__xludf.DUMMYFUNCTION("""COMPUTED_VALUE"""),89750.0)</f>
        <v>89750</v>
      </c>
      <c r="B5185" s="5">
        <f>IFERROR(__xludf.DUMMYFUNCTION("""COMPUTED_VALUE"""),45027.75453818287)</f>
        <v>45027.75454</v>
      </c>
      <c r="C5185" s="1" t="str">
        <f>IFERROR(__xludf.DUMMYFUNCTION("""COMPUTED_VALUE"""),"LUCERO GARRO MARISELA ALICIA")</f>
        <v>LUCERO GARRO MARISELA ALICIA</v>
      </c>
      <c r="D5185" s="1" t="str">
        <f>IFERROR(__xludf.DUMMYFUNCTION("""COMPUTED_VALUE"""),"Lentes MULTIFOCALES")</f>
        <v>Lentes MULTIFOCALES</v>
      </c>
      <c r="E5185" s="1" t="str">
        <f>IFERROR(__xludf.DUMMYFUNCTION("""COMPUTED_VALUE"""),"RIVADAVIA Christian C.")</f>
        <v>RIVADAVIA Christian C.</v>
      </c>
      <c r="F5185" s="1" t="str">
        <f t="shared" si="1"/>
        <v>RIVADAVIA </v>
      </c>
      <c r="G5185" s="1" t="str">
        <f t="shared" si="2"/>
        <v>Christian C.</v>
      </c>
      <c r="H5185" s="1" t="str">
        <f>IFERROR(__xludf.DUMMYFUNCTION("""COMPUTED_VALUE"""),"26/4/2023, 17:00:00")</f>
        <v>26/4/2023, 17:00:00</v>
      </c>
      <c r="I5185" s="1" t="str">
        <f>IFERROR(__xludf.DUMMYFUNCTION("""COMPUTED_VALUE"""),"Recibido en Laboratorio")</f>
        <v>Recibido en Laboratorio</v>
      </c>
      <c r="J5185" s="1">
        <f t="shared" si="3"/>
        <v>2</v>
      </c>
      <c r="K5185" s="1" t="str">
        <f t="shared" si="4"/>
        <v>Nuestro Laboratorio esta trabajando en tus lentes, los entregaremos en la fecha acordada.</v>
      </c>
    </row>
    <row r="5186">
      <c r="A5186" s="1">
        <f>IFERROR(__xludf.DUMMYFUNCTION("""COMPUTED_VALUE"""),89751.0)</f>
        <v>89751</v>
      </c>
      <c r="B5186" s="5">
        <f>IFERROR(__xludf.DUMMYFUNCTION("""COMPUTED_VALUE"""),45027.759626307874)</f>
        <v>45027.75963</v>
      </c>
      <c r="C5186" s="1" t="str">
        <f>IFERROR(__xludf.DUMMYFUNCTION("""COMPUTED_VALUE"""),"ESCUDERO JIMENA")</f>
        <v>ESCUDERO JIMENA</v>
      </c>
      <c r="D5186" s="1" t="str">
        <f>IFERROR(__xludf.DUMMYFUNCTION("""COMPUTED_VALUE"""),"Lentes de STOCK")</f>
        <v>Lentes de STOCK</v>
      </c>
      <c r="E5186" s="1" t="str">
        <f>IFERROR(__xludf.DUMMYFUNCTION("""COMPUTED_VALUE"""),"ARTIGAS Ivana P.")</f>
        <v>ARTIGAS Ivana P.</v>
      </c>
      <c r="F5186" s="1" t="str">
        <f t="shared" si="1"/>
        <v>ARTIGAS </v>
      </c>
      <c r="G5186" s="1" t="str">
        <f t="shared" si="2"/>
        <v>Ivana P.</v>
      </c>
      <c r="H5186" s="1" t="str">
        <f>IFERROR(__xludf.DUMMYFUNCTION("""COMPUTED_VALUE"""),"18/4/2023, 17:00:00")</f>
        <v>18/4/2023, 17:00:00</v>
      </c>
      <c r="I5186" s="1" t="str">
        <f>IFERROR(__xludf.DUMMYFUNCTION("""COMPUTED_VALUE"""),"Completado en SUCURSAL")</f>
        <v>Completado en SUCURSAL</v>
      </c>
      <c r="J5186" s="1">
        <f t="shared" si="3"/>
        <v>5</v>
      </c>
      <c r="K5186" s="1" t="str">
        <f t="shared" si="4"/>
        <v>Tus Lentes estan LISTAS PARA ENTREGAR, te esperamos.</v>
      </c>
    </row>
    <row r="5187">
      <c r="A5187" s="1">
        <f>IFERROR(__xludf.DUMMYFUNCTION("""COMPUTED_VALUE"""),89752.0)</f>
        <v>89752</v>
      </c>
      <c r="B5187" s="5">
        <f>IFERROR(__xludf.DUMMYFUNCTION("""COMPUTED_VALUE"""),45027.767327939815)</f>
        <v>45027.76733</v>
      </c>
      <c r="C5187" s="1" t="str">
        <f>IFERROR(__xludf.DUMMYFUNCTION("""COMPUTED_VALUE"""),"PEREZ LUCIA")</f>
        <v>PEREZ LUCIA</v>
      </c>
      <c r="D5187" s="1" t="str">
        <f>IFERROR(__xludf.DUMMYFUNCTION("""COMPUTED_VALUE"""),"Lentes de STOCK")</f>
        <v>Lentes de STOCK</v>
      </c>
      <c r="E5187" s="1" t="str">
        <f>IFERROR(__xludf.DUMMYFUNCTION("""COMPUTED_VALUE"""),"ARTIGAS Ivana P.")</f>
        <v>ARTIGAS Ivana P.</v>
      </c>
      <c r="F5187" s="1" t="str">
        <f t="shared" si="1"/>
        <v>ARTIGAS </v>
      </c>
      <c r="G5187" s="1" t="str">
        <f t="shared" si="2"/>
        <v>Ivana P.</v>
      </c>
      <c r="H5187" s="1" t="str">
        <f>IFERROR(__xludf.DUMMYFUNCTION("""COMPUTED_VALUE"""),"17/4/2023, 17:00:00")</f>
        <v>17/4/2023, 17:00:00</v>
      </c>
      <c r="I5187" s="1" t="str">
        <f>IFERROR(__xludf.DUMMYFUNCTION("""COMPUTED_VALUE"""),"Completado en SUCURSAL")</f>
        <v>Completado en SUCURSAL</v>
      </c>
      <c r="J5187" s="1">
        <f t="shared" si="3"/>
        <v>5</v>
      </c>
      <c r="K5187" s="1" t="str">
        <f t="shared" si="4"/>
        <v>Tus Lentes estan LISTAS PARA ENTREGAR, te esperamos.</v>
      </c>
    </row>
    <row r="5188">
      <c r="A5188" s="1">
        <f>IFERROR(__xludf.DUMMYFUNCTION("""COMPUTED_VALUE"""),89753.0)</f>
        <v>89753</v>
      </c>
      <c r="B5188" s="5">
        <f>IFERROR(__xludf.DUMMYFUNCTION("""COMPUTED_VALUE"""),45027.76945872685)</f>
        <v>45027.76946</v>
      </c>
      <c r="C5188" s="1" t="str">
        <f>IFERROR(__xludf.DUMMYFUNCTION("""COMPUTED_VALUE"""),"FRIAS DEBORA ")</f>
        <v>FRIAS DEBORA </v>
      </c>
      <c r="D5188" s="1" t="str">
        <f>IFERROR(__xludf.DUMMYFUNCTION("""COMPUTED_VALUE"""),"Lentes de STOCK")</f>
        <v>Lentes de STOCK</v>
      </c>
      <c r="E5188" s="1" t="str">
        <f>IFERROR(__xludf.DUMMYFUNCTION("""COMPUTED_VALUE"""),"Otro (LUCIANA ARTIGAS)")</f>
        <v>Otro (LUCIANA ARTIGAS)</v>
      </c>
      <c r="F5188" s="1" t="str">
        <f t="shared" si="1"/>
        <v>Otro </v>
      </c>
      <c r="G5188" s="1" t="str">
        <f t="shared" si="2"/>
        <v>(LUCIANA ARTIGAS)</v>
      </c>
      <c r="H5188" s="1" t="str">
        <f>IFERROR(__xludf.DUMMYFUNCTION("""COMPUTED_VALUE"""),"18/4/2023, 17:00:00")</f>
        <v>18/4/2023, 17:00:00</v>
      </c>
      <c r="I5188" s="1" t="str">
        <f>IFERROR(__xludf.DUMMYFUNCTION("""COMPUTED_VALUE"""),"Completado en SUCURSAL")</f>
        <v>Completado en SUCURSAL</v>
      </c>
      <c r="J5188" s="1">
        <f t="shared" si="3"/>
        <v>5</v>
      </c>
      <c r="K5188" s="1" t="str">
        <f t="shared" si="4"/>
        <v>Tus Lentes estan LISTAS PARA ENTREGAR, te esperamos.</v>
      </c>
    </row>
    <row r="5189">
      <c r="A5189" s="1">
        <f>IFERROR(__xludf.DUMMYFUNCTION("""COMPUTED_VALUE"""),89754.0)</f>
        <v>89754</v>
      </c>
      <c r="B5189" s="5">
        <f>IFERROR(__xludf.DUMMYFUNCTION("""COMPUTED_VALUE"""),45027.77157917824)</f>
        <v>45027.77158</v>
      </c>
      <c r="C5189" s="1" t="str">
        <f>IFERROR(__xludf.DUMMYFUNCTION("""COMPUTED_VALUE"""),"PEREZ ROCIO")</f>
        <v>PEREZ ROCIO</v>
      </c>
      <c r="D5189" s="1" t="str">
        <f>IFERROR(__xludf.DUMMYFUNCTION("""COMPUTED_VALUE"""),"Lentes de STOCK")</f>
        <v>Lentes de STOCK</v>
      </c>
      <c r="E5189" s="1" t="str">
        <f>IFERROR(__xludf.DUMMYFUNCTION("""COMPUTED_VALUE"""),"ARTIGAS Ivana P.")</f>
        <v>ARTIGAS Ivana P.</v>
      </c>
      <c r="F5189" s="1" t="str">
        <f t="shared" si="1"/>
        <v>ARTIGAS </v>
      </c>
      <c r="G5189" s="1" t="str">
        <f t="shared" si="2"/>
        <v>Ivana P.</v>
      </c>
      <c r="H5189" s="1" t="str">
        <f>IFERROR(__xludf.DUMMYFUNCTION("""COMPUTED_VALUE"""),"17/4/2023, 17:00:00")</f>
        <v>17/4/2023, 17:00:00</v>
      </c>
      <c r="I5189" s="1" t="str">
        <f>IFERROR(__xludf.DUMMYFUNCTION("""COMPUTED_VALUE"""),"Recibido en Laboratorio")</f>
        <v>Recibido en Laboratorio</v>
      </c>
      <c r="J5189" s="1">
        <f t="shared" si="3"/>
        <v>2</v>
      </c>
      <c r="K5189" s="1" t="str">
        <f t="shared" si="4"/>
        <v>Nuestro Laboratorio esta trabajando en tus lentes, los entregaremos en la fecha acordada.</v>
      </c>
    </row>
    <row r="5190">
      <c r="A5190" s="1">
        <f>IFERROR(__xludf.DUMMYFUNCTION("""COMPUTED_VALUE"""),89755.0)</f>
        <v>89755</v>
      </c>
      <c r="B5190" s="5">
        <f>IFERROR(__xludf.DUMMYFUNCTION("""COMPUTED_VALUE"""),45027.772841666665)</f>
        <v>45027.77284</v>
      </c>
      <c r="C5190" s="1" t="str">
        <f>IFERROR(__xludf.DUMMYFUNCTION("""COMPUTED_VALUE"""),"FLORES ROSA CRISTINA")</f>
        <v>FLORES ROSA CRISTINA</v>
      </c>
      <c r="D5190" s="1" t="str">
        <f>IFERROR(__xludf.DUMMYFUNCTION("""COMPUTED_VALUE"""),"Lentes de STOCK")</f>
        <v>Lentes de STOCK</v>
      </c>
      <c r="E5190" s="1" t="str">
        <f>IFERROR(__xludf.DUMMYFUNCTION("""COMPUTED_VALUE"""),"RIVADAVIA Marcela L")</f>
        <v>RIVADAVIA Marcela L</v>
      </c>
      <c r="F5190" s="1" t="str">
        <f t="shared" si="1"/>
        <v>RIVADAVIA </v>
      </c>
      <c r="G5190" s="1" t="str">
        <f t="shared" si="2"/>
        <v>Marcela L</v>
      </c>
      <c r="H5190" s="1" t="str">
        <f>IFERROR(__xludf.DUMMYFUNCTION("""COMPUTED_VALUE"""),"19/4/2023, 17:00:00")</f>
        <v>19/4/2023, 17:00:00</v>
      </c>
      <c r="I5190" s="1" t="str">
        <f>IFERROR(__xludf.DUMMYFUNCTION("""COMPUTED_VALUE"""),"Completado en SUCURSAL")</f>
        <v>Completado en SUCURSAL</v>
      </c>
      <c r="J5190" s="1">
        <f t="shared" si="3"/>
        <v>5</v>
      </c>
      <c r="K5190" s="1" t="str">
        <f t="shared" si="4"/>
        <v>Tus Lentes estan LISTAS PARA ENTREGAR, te esperamos.</v>
      </c>
    </row>
    <row r="5191">
      <c r="A5191" s="1">
        <f>IFERROR(__xludf.DUMMYFUNCTION("""COMPUTED_VALUE"""),89756.0)</f>
        <v>89756</v>
      </c>
      <c r="B5191" s="5">
        <f>IFERROR(__xludf.DUMMYFUNCTION("""COMPUTED_VALUE"""),45027.77694355324)</f>
        <v>45027.77694</v>
      </c>
      <c r="C5191" s="1" t="str">
        <f>IFERROR(__xludf.DUMMYFUNCTION("""COMPUTED_VALUE"""),"JOFRE GLADYS")</f>
        <v>JOFRE GLADYS</v>
      </c>
      <c r="D5191" s="1" t="str">
        <f>IFERROR(__xludf.DUMMYFUNCTION("""COMPUTED_VALUE"""),"Lentes de STOCK")</f>
        <v>Lentes de STOCK</v>
      </c>
      <c r="E5191" s="1" t="str">
        <f>IFERROR(__xludf.DUMMYFUNCTION("""COMPUTED_VALUE"""),"ARTIGAS Ivana P.")</f>
        <v>ARTIGAS Ivana P.</v>
      </c>
      <c r="F5191" s="1" t="str">
        <f t="shared" si="1"/>
        <v>ARTIGAS </v>
      </c>
      <c r="G5191" s="1" t="str">
        <f t="shared" si="2"/>
        <v>Ivana P.</v>
      </c>
      <c r="H5191" s="1" t="str">
        <f>IFERROR(__xludf.DUMMYFUNCTION("""COMPUTED_VALUE"""),"17/4/2023, 17:00:00")</f>
        <v>17/4/2023, 17:00:00</v>
      </c>
      <c r="I5191" s="1" t="str">
        <f>IFERROR(__xludf.DUMMYFUNCTION("""COMPUTED_VALUE"""),"Recibido en Laboratorio")</f>
        <v>Recibido en Laboratorio</v>
      </c>
      <c r="J5191" s="1">
        <f t="shared" si="3"/>
        <v>2</v>
      </c>
      <c r="K5191" s="1" t="str">
        <f t="shared" si="4"/>
        <v>Nuestro Laboratorio esta trabajando en tus lentes, los entregaremos en la fecha acordada.</v>
      </c>
    </row>
    <row r="5192">
      <c r="A5192" s="1">
        <f>IFERROR(__xludf.DUMMYFUNCTION("""COMPUTED_VALUE"""),89757.0)</f>
        <v>89757</v>
      </c>
      <c r="B5192" s="5">
        <f>IFERROR(__xludf.DUMMYFUNCTION("""COMPUTED_VALUE"""),45027.77726461805)</f>
        <v>45027.77726</v>
      </c>
      <c r="C5192" s="1" t="str">
        <f>IFERROR(__xludf.DUMMYFUNCTION("""COMPUTED_VALUE"""),"TOZZI CELINA")</f>
        <v>TOZZI CELINA</v>
      </c>
      <c r="D5192" s="1" t="str">
        <f>IFERROR(__xludf.DUMMYFUNCTION("""COMPUTED_VALUE"""),"Lentes de STOCK")</f>
        <v>Lentes de STOCK</v>
      </c>
      <c r="E5192" s="1" t="str">
        <f>IFERROR(__xludf.DUMMYFUNCTION("""COMPUTED_VALUE"""),"Otro (LUCIANA ARTIGAS)")</f>
        <v>Otro (LUCIANA ARTIGAS)</v>
      </c>
      <c r="F5192" s="1" t="str">
        <f t="shared" si="1"/>
        <v>Otro </v>
      </c>
      <c r="G5192" s="1" t="str">
        <f t="shared" si="2"/>
        <v>(LUCIANA ARTIGAS)</v>
      </c>
      <c r="H5192" s="1" t="str">
        <f>IFERROR(__xludf.DUMMYFUNCTION("""COMPUTED_VALUE"""),"18/4/2023, 17:00:00")</f>
        <v>18/4/2023, 17:00:00</v>
      </c>
      <c r="I5192" s="1" t="str">
        <f>IFERROR(__xludf.DUMMYFUNCTION("""COMPUTED_VALUE"""),"Completado en SUCURSAL")</f>
        <v>Completado en SUCURSAL</v>
      </c>
      <c r="J5192" s="1">
        <f t="shared" si="3"/>
        <v>5</v>
      </c>
      <c r="K5192" s="1" t="str">
        <f t="shared" si="4"/>
        <v>Tus Lentes estan LISTAS PARA ENTREGAR, te esperamos.</v>
      </c>
    </row>
    <row r="5193">
      <c r="A5193" s="1">
        <f>IFERROR(__xludf.DUMMYFUNCTION("""COMPUTED_VALUE"""),89758.0)</f>
        <v>89758</v>
      </c>
      <c r="B5193" s="5">
        <f>IFERROR(__xludf.DUMMYFUNCTION("""COMPUTED_VALUE"""),45027.77763739583)</f>
        <v>45027.77764</v>
      </c>
      <c r="C5193" s="1" t="str">
        <f>IFERROR(__xludf.DUMMYFUNCTION("""COMPUTED_VALUE"""),"ARREDONDO ALCIDES ANTONIO")</f>
        <v>ARREDONDO ALCIDES ANTONIO</v>
      </c>
      <c r="D5193" s="1" t="str">
        <f>IFERROR(__xludf.DUMMYFUNCTION("""COMPUTED_VALUE"""),"Lentes BIFOCALES")</f>
        <v>Lentes BIFOCALES</v>
      </c>
      <c r="E5193" s="1" t="str">
        <f>IFERROR(__xludf.DUMMYFUNCTION("""COMPUTED_VALUE"""),"RIVADAVIA Santiago LOPEZ")</f>
        <v>RIVADAVIA Santiago LOPEZ</v>
      </c>
      <c r="F5193" s="1" t="str">
        <f t="shared" si="1"/>
        <v>RIVADAVIA </v>
      </c>
      <c r="G5193" s="1" t="str">
        <f t="shared" si="2"/>
        <v>Santiago LOPEZ</v>
      </c>
      <c r="H5193" s="1" t="str">
        <f>IFERROR(__xludf.DUMMYFUNCTION("""COMPUTED_VALUE"""),"17/4/2023, 17:00:00")</f>
        <v>17/4/2023, 17:00:00</v>
      </c>
      <c r="I5193" s="1" t="str">
        <f>IFERROR(__xludf.DUMMYFUNCTION("""COMPUTED_VALUE"""),"Completado en SUCURSAL")</f>
        <v>Completado en SUCURSAL</v>
      </c>
      <c r="J5193" s="1">
        <f t="shared" si="3"/>
        <v>5</v>
      </c>
      <c r="K5193" s="1" t="str">
        <f t="shared" si="4"/>
        <v>Tus Lentes estan LISTAS PARA ENTREGAR, te esperamos.</v>
      </c>
    </row>
    <row r="5194">
      <c r="A5194" s="1">
        <f>IFERROR(__xludf.DUMMYFUNCTION("""COMPUTED_VALUE"""),89759.0)</f>
        <v>89759</v>
      </c>
      <c r="B5194" s="5">
        <f>IFERROR(__xludf.DUMMYFUNCTION("""COMPUTED_VALUE"""),45027.783263101854)</f>
        <v>45027.78326</v>
      </c>
      <c r="C5194" s="1" t="str">
        <f>IFERROR(__xludf.DUMMYFUNCTION("""COMPUTED_VALUE"""),"Maria Flora Palacios ")</f>
        <v>Maria Flora Palacios </v>
      </c>
      <c r="D5194" s="1" t="str">
        <f>IFERROR(__xludf.DUMMYFUNCTION("""COMPUTED_VALUE"""),"Reparaciones/Otros")</f>
        <v>Reparaciones/Otros</v>
      </c>
      <c r="E5194" s="1" t="str">
        <f>IFERROR(__xludf.DUMMYFUNCTION("""COMPUTED_VALUE"""),"ARTIGAS Micaela")</f>
        <v>ARTIGAS Micaela</v>
      </c>
      <c r="F5194" s="1" t="str">
        <f t="shared" si="1"/>
        <v>ARTIGAS </v>
      </c>
      <c r="G5194" s="1" t="str">
        <f t="shared" si="2"/>
        <v>Micaela</v>
      </c>
      <c r="H5194" s="1" t="str">
        <f>IFERROR(__xludf.DUMMYFUNCTION("""COMPUTED_VALUE"""),"12/4/2023, 17:00:00")</f>
        <v>12/4/2023, 17:00:00</v>
      </c>
      <c r="I5194" s="1" t="str">
        <f>IFERROR(__xludf.DUMMYFUNCTION("""COMPUTED_VALUE"""),"Recibido en Laboratorio")</f>
        <v>Recibido en Laboratorio</v>
      </c>
      <c r="J5194" s="1">
        <f t="shared" si="3"/>
        <v>2</v>
      </c>
      <c r="K5194" s="1" t="str">
        <f t="shared" si="4"/>
        <v>Nuestro Laboratorio esta trabajando en tus lentes, los entregaremos en la fecha acordada.</v>
      </c>
    </row>
    <row r="5195">
      <c r="A5195" s="1">
        <f>IFERROR(__xludf.DUMMYFUNCTION("""COMPUTED_VALUE"""),89760.0)</f>
        <v>89760</v>
      </c>
      <c r="B5195" s="5">
        <f>IFERROR(__xludf.DUMMYFUNCTION("""COMPUTED_VALUE"""),45027.78672802083)</f>
        <v>45027.78673</v>
      </c>
      <c r="C5195" s="1" t="str">
        <f>IFERROR(__xludf.DUMMYFUNCTION("""COMPUTED_VALUE"""),"AGUIAR MILTON")</f>
        <v>AGUIAR MILTON</v>
      </c>
      <c r="D5195" s="1" t="str">
        <f>IFERROR(__xludf.DUMMYFUNCTION("""COMPUTED_VALUE"""),"Lentes de STOCK")</f>
        <v>Lentes de STOCK</v>
      </c>
      <c r="E5195" s="1" t="str">
        <f>IFERROR(__xludf.DUMMYFUNCTION("""COMPUTED_VALUE"""),"RIVADAVIA Santiago LOPEZ")</f>
        <v>RIVADAVIA Santiago LOPEZ</v>
      </c>
      <c r="F5195" s="1" t="str">
        <f t="shared" si="1"/>
        <v>RIVADAVIA </v>
      </c>
      <c r="G5195" s="1" t="str">
        <f t="shared" si="2"/>
        <v>Santiago LOPEZ</v>
      </c>
      <c r="H5195" s="1" t="str">
        <f>IFERROR(__xludf.DUMMYFUNCTION("""COMPUTED_VALUE"""),"19/4/2023, 17:00:00")</f>
        <v>19/4/2023, 17:00:00</v>
      </c>
      <c r="I5195" s="1" t="str">
        <f>IFERROR(__xludf.DUMMYFUNCTION("""COMPUTED_VALUE"""),"Completado en SUCURSAL")</f>
        <v>Completado en SUCURSAL</v>
      </c>
      <c r="J5195" s="1">
        <f t="shared" si="3"/>
        <v>5</v>
      </c>
      <c r="K5195" s="1" t="str">
        <f t="shared" si="4"/>
        <v>Tus Lentes estan LISTAS PARA ENTREGAR, te esperamos.</v>
      </c>
    </row>
    <row r="5196">
      <c r="A5196" s="1">
        <f>IFERROR(__xludf.DUMMYFUNCTION("""COMPUTED_VALUE"""),89761.0)</f>
        <v>89761</v>
      </c>
      <c r="B5196" s="5">
        <f>IFERROR(__xludf.DUMMYFUNCTION("""COMPUTED_VALUE"""),45027.787751689815)</f>
        <v>45027.78775</v>
      </c>
      <c r="C5196" s="1" t="str">
        <f>IFERROR(__xludf.DUMMYFUNCTION("""COMPUTED_VALUE"""),"ZARATE JUANA")</f>
        <v>ZARATE JUANA</v>
      </c>
      <c r="D5196" s="1" t="str">
        <f>IFERROR(__xludf.DUMMYFUNCTION("""COMPUTED_VALUE"""),"Lentes de STOCK")</f>
        <v>Lentes de STOCK</v>
      </c>
      <c r="E5196" s="1" t="str">
        <f>IFERROR(__xludf.DUMMYFUNCTION("""COMPUTED_VALUE"""),"ARTIGAS Ivana P.")</f>
        <v>ARTIGAS Ivana P.</v>
      </c>
      <c r="F5196" s="1" t="str">
        <f t="shared" si="1"/>
        <v>ARTIGAS </v>
      </c>
      <c r="G5196" s="1" t="str">
        <f t="shared" si="2"/>
        <v>Ivana P.</v>
      </c>
      <c r="H5196" s="1" t="str">
        <f>IFERROR(__xludf.DUMMYFUNCTION("""COMPUTED_VALUE"""),"14/4/2023, 17:00:00")</f>
        <v>14/4/2023, 17:00:00</v>
      </c>
      <c r="I5196" s="1" t="str">
        <f>IFERROR(__xludf.DUMMYFUNCTION("""COMPUTED_VALUE"""),"Completado en SUCURSAL")</f>
        <v>Completado en SUCURSAL</v>
      </c>
      <c r="J5196" s="1">
        <f t="shared" si="3"/>
        <v>5</v>
      </c>
      <c r="K5196" s="1" t="str">
        <f t="shared" si="4"/>
        <v>Tus Lentes estan LISTAS PARA ENTREGAR, te esperamos.</v>
      </c>
    </row>
    <row r="5197">
      <c r="A5197" s="1">
        <f>IFERROR(__xludf.DUMMYFUNCTION("""COMPUTED_VALUE"""),89762.0)</f>
        <v>89762</v>
      </c>
      <c r="B5197" s="5">
        <f>IFERROR(__xludf.DUMMYFUNCTION("""COMPUTED_VALUE"""),45027.79109767361)</f>
        <v>45027.7911</v>
      </c>
      <c r="C5197" s="1" t="str">
        <f>IFERROR(__xludf.DUMMYFUNCTION("""COMPUTED_VALUE"""),"vega pedro lazaro")</f>
        <v>vega pedro lazaro</v>
      </c>
      <c r="D5197" s="1" t="str">
        <f>IFERROR(__xludf.DUMMYFUNCTION("""COMPUTED_VALUE"""),"Lentes de STOCK")</f>
        <v>Lentes de STOCK</v>
      </c>
      <c r="E5197" s="1" t="str">
        <f>IFERROR(__xludf.DUMMYFUNCTION("""COMPUTED_VALUE"""),"RIVADAVIA Santiago N")</f>
        <v>RIVADAVIA Santiago N</v>
      </c>
      <c r="F5197" s="1" t="str">
        <f t="shared" si="1"/>
        <v>RIVADAVIA </v>
      </c>
      <c r="G5197" s="1" t="str">
        <f t="shared" si="2"/>
        <v>Santiago N</v>
      </c>
      <c r="H5197" s="1" t="str">
        <f>IFERROR(__xludf.DUMMYFUNCTION("""COMPUTED_VALUE"""),"14/4/2023, 17:00:00")</f>
        <v>14/4/2023, 17:00:00</v>
      </c>
      <c r="I5197" s="1" t="str">
        <f>IFERROR(__xludf.DUMMYFUNCTION("""COMPUTED_VALUE"""),"Completado en SUCURSAL")</f>
        <v>Completado en SUCURSAL</v>
      </c>
      <c r="J5197" s="1">
        <f t="shared" si="3"/>
        <v>5</v>
      </c>
      <c r="K5197" s="1" t="str">
        <f t="shared" si="4"/>
        <v>Tus Lentes estan LISTAS PARA ENTREGAR, te esperamos.</v>
      </c>
    </row>
    <row r="5198">
      <c r="A5198" s="1">
        <f>IFERROR(__xludf.DUMMYFUNCTION("""COMPUTED_VALUE"""),89763.0)</f>
        <v>89763</v>
      </c>
      <c r="B5198" s="5">
        <f>IFERROR(__xludf.DUMMYFUNCTION("""COMPUTED_VALUE"""),45027.79571791667)</f>
        <v>45027.79572</v>
      </c>
      <c r="C5198" s="1" t="str">
        <f>IFERROR(__xludf.DUMMYFUNCTION("""COMPUTED_VALUE"""),"IBALO SUSANA")</f>
        <v>IBALO SUSANA</v>
      </c>
      <c r="D5198" s="1" t="str">
        <f>IFERROR(__xludf.DUMMYFUNCTION("""COMPUTED_VALUE"""),"Reparaciones/Otros")</f>
        <v>Reparaciones/Otros</v>
      </c>
      <c r="E5198" s="1" t="str">
        <f>IFERROR(__xludf.DUMMYFUNCTION("""COMPUTED_VALUE"""),"ARTIGAS Ivana P.")</f>
        <v>ARTIGAS Ivana P.</v>
      </c>
      <c r="F5198" s="1" t="str">
        <f t="shared" si="1"/>
        <v>ARTIGAS </v>
      </c>
      <c r="G5198" s="1" t="str">
        <f t="shared" si="2"/>
        <v>Ivana P.</v>
      </c>
      <c r="H5198" s="1" t="str">
        <f>IFERROR(__xludf.DUMMYFUNCTION("""COMPUTED_VALUE"""),"12/4/2023, 17:00:00")</f>
        <v>12/4/2023, 17:00:00</v>
      </c>
      <c r="I5198" s="1" t="str">
        <f>IFERROR(__xludf.DUMMYFUNCTION("""COMPUTED_VALUE"""),"Completado en SUCURSAL")</f>
        <v>Completado en SUCURSAL</v>
      </c>
      <c r="J5198" s="1">
        <f t="shared" si="3"/>
        <v>5</v>
      </c>
      <c r="K5198" s="1" t="str">
        <f t="shared" si="4"/>
        <v>Tus Lentes estan LISTAS PARA ENTREGAR, te esperamos.</v>
      </c>
    </row>
    <row r="5199">
      <c r="A5199" s="1">
        <f>IFERROR(__xludf.DUMMYFUNCTION("""COMPUTED_VALUE"""),89764.0)</f>
        <v>89764</v>
      </c>
      <c r="B5199" s="5">
        <f>IFERROR(__xludf.DUMMYFUNCTION("""COMPUTED_VALUE"""),45027.7959602662)</f>
        <v>45027.79596</v>
      </c>
      <c r="C5199" s="1" t="str">
        <f>IFERROR(__xludf.DUMMYFUNCTION("""COMPUTED_VALUE"""),"Garay Carlos")</f>
        <v>Garay Carlos</v>
      </c>
      <c r="D5199" s="1" t="str">
        <f>IFERROR(__xludf.DUMMYFUNCTION("""COMPUTED_VALUE"""),"Reparaciones/Otros")</f>
        <v>Reparaciones/Otros</v>
      </c>
      <c r="E5199" s="1" t="str">
        <f>IFERROR(__xludf.DUMMYFUNCTION("""COMPUTED_VALUE"""),"ARTIGAS Micaela")</f>
        <v>ARTIGAS Micaela</v>
      </c>
      <c r="F5199" s="1" t="str">
        <f t="shared" si="1"/>
        <v>ARTIGAS </v>
      </c>
      <c r="G5199" s="1" t="str">
        <f t="shared" si="2"/>
        <v>Micaela</v>
      </c>
      <c r="H5199" s="1" t="str">
        <f>IFERROR(__xludf.DUMMYFUNCTION("""COMPUTED_VALUE"""),"14/4/2023, 17:00:00")</f>
        <v>14/4/2023, 17:00:00</v>
      </c>
      <c r="I5199" s="1" t="str">
        <f>IFERROR(__xludf.DUMMYFUNCTION("""COMPUTED_VALUE"""),"Recibido en Laboratorio")</f>
        <v>Recibido en Laboratorio</v>
      </c>
      <c r="J5199" s="1">
        <f t="shared" si="3"/>
        <v>2</v>
      </c>
      <c r="K5199" s="1" t="str">
        <f t="shared" si="4"/>
        <v>Nuestro Laboratorio esta trabajando en tus lentes, los entregaremos en la fecha acordada.</v>
      </c>
    </row>
    <row r="5200">
      <c r="A5200" s="1">
        <f>IFERROR(__xludf.DUMMYFUNCTION("""COMPUTED_VALUE"""),89765.0)</f>
        <v>89765</v>
      </c>
      <c r="B5200" s="5">
        <f>IFERROR(__xludf.DUMMYFUNCTION("""COMPUTED_VALUE"""),45027.797103958335)</f>
        <v>45027.7971</v>
      </c>
      <c r="C5200" s="1" t="str">
        <f>IFERROR(__xludf.DUMMYFUNCTION("""COMPUTED_VALUE"""),"dominguez analia")</f>
        <v>dominguez analia</v>
      </c>
      <c r="D5200" s="1" t="str">
        <f>IFERROR(__xludf.DUMMYFUNCTION("""COMPUTED_VALUE"""),"Lentes de STOCK")</f>
        <v>Lentes de STOCK</v>
      </c>
      <c r="E5200" s="1" t="str">
        <f>IFERROR(__xludf.DUMMYFUNCTION("""COMPUTED_VALUE"""),"RIVADAVIA Santiago N")</f>
        <v>RIVADAVIA Santiago N</v>
      </c>
      <c r="F5200" s="1" t="str">
        <f t="shared" si="1"/>
        <v>RIVADAVIA </v>
      </c>
      <c r="G5200" s="1" t="str">
        <f t="shared" si="2"/>
        <v>Santiago N</v>
      </c>
      <c r="H5200" s="1" t="str">
        <f>IFERROR(__xludf.DUMMYFUNCTION("""COMPUTED_VALUE"""),"14/4/2023, 17:00:00")</f>
        <v>14/4/2023, 17:00:00</v>
      </c>
      <c r="I5200" s="1" t="str">
        <f>IFERROR(__xludf.DUMMYFUNCTION("""COMPUTED_VALUE"""),"Completado en SUCURSAL")</f>
        <v>Completado en SUCURSAL</v>
      </c>
      <c r="J5200" s="1">
        <f t="shared" si="3"/>
        <v>5</v>
      </c>
      <c r="K5200" s="1" t="str">
        <f t="shared" si="4"/>
        <v>Tus Lentes estan LISTAS PARA ENTREGAR, te esperamos.</v>
      </c>
    </row>
    <row r="5201">
      <c r="A5201" s="1">
        <f>IFERROR(__xludf.DUMMYFUNCTION("""COMPUTED_VALUE"""),89766.0)</f>
        <v>89766</v>
      </c>
      <c r="B5201" s="5">
        <f>IFERROR(__xludf.DUMMYFUNCTION("""COMPUTED_VALUE"""),45027.79763583333)</f>
        <v>45027.79764</v>
      </c>
      <c r="C5201" s="1" t="str">
        <f>IFERROR(__xludf.DUMMYFUNCTION("""COMPUTED_VALUE"""),"TIRADO REINALDO")</f>
        <v>TIRADO REINALDO</v>
      </c>
      <c r="D5201" s="1" t="str">
        <f>IFERROR(__xludf.DUMMYFUNCTION("""COMPUTED_VALUE"""),"Lentes de STOCK")</f>
        <v>Lentes de STOCK</v>
      </c>
      <c r="E5201" s="1" t="str">
        <f>IFERROR(__xludf.DUMMYFUNCTION("""COMPUTED_VALUE"""),"RIVADAVIA Javier")</f>
        <v>RIVADAVIA Javier</v>
      </c>
      <c r="F5201" s="1" t="str">
        <f t="shared" si="1"/>
        <v>RIVADAVIA </v>
      </c>
      <c r="G5201" s="1" t="str">
        <f t="shared" si="2"/>
        <v>Javier</v>
      </c>
      <c r="H5201" s="1" t="str">
        <f>IFERROR(__xludf.DUMMYFUNCTION("""COMPUTED_VALUE"""),"17/4/2023, 17:00:00")</f>
        <v>17/4/2023, 17:00:00</v>
      </c>
      <c r="I5201" s="1" t="str">
        <f>IFERROR(__xludf.DUMMYFUNCTION("""COMPUTED_VALUE"""),"Completado en SUCURSAL")</f>
        <v>Completado en SUCURSAL</v>
      </c>
      <c r="J5201" s="1">
        <f t="shared" si="3"/>
        <v>5</v>
      </c>
      <c r="K5201" s="1" t="str">
        <f t="shared" si="4"/>
        <v>Tus Lentes estan LISTAS PARA ENTREGAR, te esperamos.</v>
      </c>
    </row>
    <row r="5202">
      <c r="A5202" s="1">
        <f>IFERROR(__xludf.DUMMYFUNCTION("""COMPUTED_VALUE"""),89767.0)</f>
        <v>89767</v>
      </c>
      <c r="B5202" s="5">
        <f>IFERROR(__xludf.DUMMYFUNCTION("""COMPUTED_VALUE"""),45027.798871238425)</f>
        <v>45027.79887</v>
      </c>
      <c r="C5202" s="1" t="str">
        <f>IFERROR(__xludf.DUMMYFUNCTION("""COMPUTED_VALUE"""),"FALASCA NANCY")</f>
        <v>FALASCA NANCY</v>
      </c>
      <c r="D5202" s="1" t="str">
        <f>IFERROR(__xludf.DUMMYFUNCTION("""COMPUTED_VALUE"""),"Reparaciones/Otros")</f>
        <v>Reparaciones/Otros</v>
      </c>
      <c r="E5202" s="1" t="str">
        <f>IFERROR(__xludf.DUMMYFUNCTION("""COMPUTED_VALUE"""),"RIVADAVIA Santiago LOPEZ")</f>
        <v>RIVADAVIA Santiago LOPEZ</v>
      </c>
      <c r="F5202" s="1" t="str">
        <f t="shared" si="1"/>
        <v>RIVADAVIA </v>
      </c>
      <c r="G5202" s="1" t="str">
        <f t="shared" si="2"/>
        <v>Santiago LOPEZ</v>
      </c>
      <c r="H5202" s="1" t="str">
        <f>IFERROR(__xludf.DUMMYFUNCTION("""COMPUTED_VALUE"""),"12/4/2023, 17:00:00")</f>
        <v>12/4/2023, 17:00:00</v>
      </c>
      <c r="I5202" s="1" t="str">
        <f>IFERROR(__xludf.DUMMYFUNCTION("""COMPUTED_VALUE"""),"Completado en SUCURSAL")</f>
        <v>Completado en SUCURSAL</v>
      </c>
      <c r="J5202" s="1">
        <f t="shared" si="3"/>
        <v>5</v>
      </c>
      <c r="K5202" s="1" t="str">
        <f t="shared" si="4"/>
        <v>Tus Lentes estan LISTAS PARA ENTREGAR, te esperamos.</v>
      </c>
    </row>
    <row r="5203">
      <c r="A5203" s="1">
        <f>IFERROR(__xludf.DUMMYFUNCTION("""COMPUTED_VALUE"""),89768.0)</f>
        <v>89768</v>
      </c>
      <c r="B5203" s="5">
        <f>IFERROR(__xludf.DUMMYFUNCTION("""COMPUTED_VALUE"""),45027.80744209491)</f>
        <v>45027.80744</v>
      </c>
      <c r="C5203" s="1" t="str">
        <f>IFERROR(__xludf.DUMMYFUNCTION("""COMPUTED_VALUE"""),"DAVILA SERGIO ANDRES")</f>
        <v>DAVILA SERGIO ANDRES</v>
      </c>
      <c r="D5203" s="1" t="str">
        <f>IFERROR(__xludf.DUMMYFUNCTION("""COMPUTED_VALUE"""),"Lentes de STOCK")</f>
        <v>Lentes de STOCK</v>
      </c>
      <c r="E5203" s="1" t="str">
        <f>IFERROR(__xludf.DUMMYFUNCTION("""COMPUTED_VALUE"""),"RIVADAVIA Christian C.")</f>
        <v>RIVADAVIA Christian C.</v>
      </c>
      <c r="F5203" s="1" t="str">
        <f t="shared" si="1"/>
        <v>RIVADAVIA </v>
      </c>
      <c r="G5203" s="1" t="str">
        <f t="shared" si="2"/>
        <v>Christian C.</v>
      </c>
      <c r="H5203" s="1" t="str">
        <f>IFERROR(__xludf.DUMMYFUNCTION("""COMPUTED_VALUE"""),"18/4/2023, 17:00:00")</f>
        <v>18/4/2023, 17:00:00</v>
      </c>
      <c r="I5203" s="1" t="str">
        <f>IFERROR(__xludf.DUMMYFUNCTION("""COMPUTED_VALUE"""),"Recibido en Laboratorio")</f>
        <v>Recibido en Laboratorio</v>
      </c>
      <c r="J5203" s="1">
        <f t="shared" si="3"/>
        <v>2</v>
      </c>
      <c r="K5203" s="1" t="str">
        <f t="shared" si="4"/>
        <v>Nuestro Laboratorio esta trabajando en tus lentes, los entregaremos en la fecha acordada.</v>
      </c>
    </row>
    <row r="5204">
      <c r="A5204" s="1">
        <f>IFERROR(__xludf.DUMMYFUNCTION("""COMPUTED_VALUE"""),89769.0)</f>
        <v>89769</v>
      </c>
      <c r="B5204" s="5">
        <f>IFERROR(__xludf.DUMMYFUNCTION("""COMPUTED_VALUE"""),45027.80753427083)</f>
        <v>45027.80753</v>
      </c>
      <c r="C5204" s="1" t="str">
        <f>IFERROR(__xludf.DUMMYFUNCTION("""COMPUTED_VALUE"""),"GAUNA BILMA")</f>
        <v>GAUNA BILMA</v>
      </c>
      <c r="D5204" s="1" t="str">
        <f>IFERROR(__xludf.DUMMYFUNCTION("""COMPUTED_VALUE"""),"Lentes MULTIFOCALES")</f>
        <v>Lentes MULTIFOCALES</v>
      </c>
      <c r="E5204" s="1" t="str">
        <f>IFERROR(__xludf.DUMMYFUNCTION("""COMPUTED_VALUE"""),"ARTIGAS Ivana P.")</f>
        <v>ARTIGAS Ivana P.</v>
      </c>
      <c r="F5204" s="1" t="str">
        <f t="shared" si="1"/>
        <v>ARTIGAS </v>
      </c>
      <c r="G5204" s="1" t="str">
        <f t="shared" si="2"/>
        <v>Ivana P.</v>
      </c>
      <c r="H5204" s="1" t="str">
        <f>IFERROR(__xludf.DUMMYFUNCTION("""COMPUTED_VALUE"""),"24/4/2023, 17:00:00")</f>
        <v>24/4/2023, 17:00:00</v>
      </c>
      <c r="I5204" s="1" t="str">
        <f>IFERROR(__xludf.DUMMYFUNCTION("""COMPUTED_VALUE"""),"Recibido en Laboratorio")</f>
        <v>Recibido en Laboratorio</v>
      </c>
      <c r="J5204" s="1">
        <f t="shared" si="3"/>
        <v>2</v>
      </c>
      <c r="K5204" s="1" t="str">
        <f t="shared" si="4"/>
        <v>Nuestro Laboratorio esta trabajando en tus lentes, los entregaremos en la fecha acordada.</v>
      </c>
    </row>
    <row r="5205">
      <c r="A5205" s="1">
        <f>IFERROR(__xludf.DUMMYFUNCTION("""COMPUTED_VALUE"""),89770.0)</f>
        <v>89770</v>
      </c>
      <c r="B5205" s="5">
        <f>IFERROR(__xludf.DUMMYFUNCTION("""COMPUTED_VALUE"""),45027.80990074074)</f>
        <v>45027.8099</v>
      </c>
      <c r="C5205" s="1" t="str">
        <f>IFERROR(__xludf.DUMMYFUNCTION("""COMPUTED_VALUE"""),"MEDINA ELIZABETH")</f>
        <v>MEDINA ELIZABETH</v>
      </c>
      <c r="D5205" s="1" t="str">
        <f>IFERROR(__xludf.DUMMYFUNCTION("""COMPUTED_VALUE"""),"Lentes de STOCK")</f>
        <v>Lentes de STOCK</v>
      </c>
      <c r="E5205" s="1" t="str">
        <f>IFERROR(__xludf.DUMMYFUNCTION("""COMPUTED_VALUE"""),"Otro (LUCIANA ARTIGAS)")</f>
        <v>Otro (LUCIANA ARTIGAS)</v>
      </c>
      <c r="F5205" s="1" t="str">
        <f t="shared" si="1"/>
        <v>Otro </v>
      </c>
      <c r="G5205" s="1" t="str">
        <f t="shared" si="2"/>
        <v>(LUCIANA ARTIGAS)</v>
      </c>
      <c r="H5205" s="1" t="str">
        <f>IFERROR(__xludf.DUMMYFUNCTION("""COMPUTED_VALUE"""),"18/4/2023, 17:00:00")</f>
        <v>18/4/2023, 17:00:00</v>
      </c>
      <c r="I5205" s="1" t="str">
        <f>IFERROR(__xludf.DUMMYFUNCTION("""COMPUTED_VALUE"""),"Completado en SUCURSAL")</f>
        <v>Completado en SUCURSAL</v>
      </c>
      <c r="J5205" s="1">
        <f t="shared" si="3"/>
        <v>5</v>
      </c>
      <c r="K5205" s="1" t="str">
        <f t="shared" si="4"/>
        <v>Tus Lentes estan LISTAS PARA ENTREGAR, te esperamos.</v>
      </c>
    </row>
    <row r="5206">
      <c r="A5206" s="1">
        <f>IFERROR(__xludf.DUMMYFUNCTION("""COMPUTED_VALUE"""),89771.0)</f>
        <v>89771</v>
      </c>
      <c r="B5206" s="5">
        <f>IFERROR(__xludf.DUMMYFUNCTION("""COMPUTED_VALUE"""),45027.8143209838)</f>
        <v>45027.81432</v>
      </c>
      <c r="C5206" s="1" t="str">
        <f>IFERROR(__xludf.DUMMYFUNCTION("""COMPUTED_VALUE"""),"CARDOZO NATALIA")</f>
        <v>CARDOZO NATALIA</v>
      </c>
      <c r="D5206" s="1" t="str">
        <f>IFERROR(__xludf.DUMMYFUNCTION("""COMPUTED_VALUE"""),"Lentes de STOCK")</f>
        <v>Lentes de STOCK</v>
      </c>
      <c r="E5206" s="1" t="str">
        <f>IFERROR(__xludf.DUMMYFUNCTION("""COMPUTED_VALUE"""),"ARTIGAS Ivana P.")</f>
        <v>ARTIGAS Ivana P.</v>
      </c>
      <c r="F5206" s="1" t="str">
        <f t="shared" si="1"/>
        <v>ARTIGAS </v>
      </c>
      <c r="G5206" s="1" t="str">
        <f t="shared" si="2"/>
        <v>Ivana P.</v>
      </c>
      <c r="H5206" s="1" t="str">
        <f>IFERROR(__xludf.DUMMYFUNCTION("""COMPUTED_VALUE"""),"17/4/2023, 17:00:00")</f>
        <v>17/4/2023, 17:00:00</v>
      </c>
      <c r="I5206" s="1" t="str">
        <f>IFERROR(__xludf.DUMMYFUNCTION("""COMPUTED_VALUE"""),"Completado en SUCURSAL")</f>
        <v>Completado en SUCURSAL</v>
      </c>
      <c r="J5206" s="1">
        <f t="shared" si="3"/>
        <v>5</v>
      </c>
      <c r="K5206" s="1" t="str">
        <f t="shared" si="4"/>
        <v>Tus Lentes estan LISTAS PARA ENTREGAR, te esperamos.</v>
      </c>
    </row>
    <row r="5207">
      <c r="A5207" s="1">
        <f>IFERROR(__xludf.DUMMYFUNCTION("""COMPUTED_VALUE"""),89772.0)</f>
        <v>89772</v>
      </c>
      <c r="B5207" s="5">
        <f>IFERROR(__xludf.DUMMYFUNCTION("""COMPUTED_VALUE"""),45027.81513693287)</f>
        <v>45027.81514</v>
      </c>
      <c r="C5207" s="1" t="str">
        <f>IFERROR(__xludf.DUMMYFUNCTION("""COMPUTED_VALUE"""),"VECE ALDANA")</f>
        <v>VECE ALDANA</v>
      </c>
      <c r="D5207" s="1" t="str">
        <f>IFERROR(__xludf.DUMMYFUNCTION("""COMPUTED_VALUE"""),"Lentes de STOCK")</f>
        <v>Lentes de STOCK</v>
      </c>
      <c r="E5207" s="1" t="str">
        <f>IFERROR(__xludf.DUMMYFUNCTION("""COMPUTED_VALUE"""),"RIVADAVIA Santiago LOPEZ")</f>
        <v>RIVADAVIA Santiago LOPEZ</v>
      </c>
      <c r="F5207" s="1" t="str">
        <f t="shared" si="1"/>
        <v>RIVADAVIA </v>
      </c>
      <c r="G5207" s="1" t="str">
        <f t="shared" si="2"/>
        <v>Santiago LOPEZ</v>
      </c>
      <c r="H5207" s="1" t="str">
        <f>IFERROR(__xludf.DUMMYFUNCTION("""COMPUTED_VALUE"""),"19/4/2023, 17:00:00")</f>
        <v>19/4/2023, 17:00:00</v>
      </c>
      <c r="I5207" s="1" t="str">
        <f>IFERROR(__xludf.DUMMYFUNCTION("""COMPUTED_VALUE"""),"Completado en SUCURSAL")</f>
        <v>Completado en SUCURSAL</v>
      </c>
      <c r="J5207" s="1">
        <f t="shared" si="3"/>
        <v>5</v>
      </c>
      <c r="K5207" s="1" t="str">
        <f t="shared" si="4"/>
        <v>Tus Lentes estan LISTAS PARA ENTREGAR, te esperamos.</v>
      </c>
    </row>
    <row r="5208">
      <c r="A5208" s="1">
        <f>IFERROR(__xludf.DUMMYFUNCTION("""COMPUTED_VALUE"""),89773.0)</f>
        <v>89773</v>
      </c>
      <c r="B5208" s="5">
        <f>IFERROR(__xludf.DUMMYFUNCTION("""COMPUTED_VALUE"""),45027.82775678241)</f>
        <v>45027.82776</v>
      </c>
      <c r="C5208" s="1" t="str">
        <f>IFERROR(__xludf.DUMMYFUNCTION("""COMPUTED_VALUE"""),"SAROME, NORMA NIDIA")</f>
        <v>SAROME, NORMA NIDIA</v>
      </c>
      <c r="D5208" s="1" t="str">
        <f>IFERROR(__xludf.DUMMYFUNCTION("""COMPUTED_VALUE"""),"Lentes de STOCK")</f>
        <v>Lentes de STOCK</v>
      </c>
      <c r="E5208" s="1" t="str">
        <f>IFERROR(__xludf.DUMMYFUNCTION("""COMPUTED_VALUE"""),"RIVADAVIA Christian C.")</f>
        <v>RIVADAVIA Christian C.</v>
      </c>
      <c r="F5208" s="1" t="str">
        <f t="shared" si="1"/>
        <v>RIVADAVIA </v>
      </c>
      <c r="G5208" s="1" t="str">
        <f t="shared" si="2"/>
        <v>Christian C.</v>
      </c>
      <c r="H5208" s="1" t="str">
        <f>IFERROR(__xludf.DUMMYFUNCTION("""COMPUTED_VALUE"""),"14/4/2023, 17:00:00")</f>
        <v>14/4/2023, 17:00:00</v>
      </c>
      <c r="I5208" s="1" t="str">
        <f>IFERROR(__xludf.DUMMYFUNCTION("""COMPUTED_VALUE"""),"Completado en SUCURSAL")</f>
        <v>Completado en SUCURSAL</v>
      </c>
      <c r="J5208" s="1">
        <f t="shared" si="3"/>
        <v>5</v>
      </c>
      <c r="K5208" s="1" t="str">
        <f t="shared" si="4"/>
        <v>Tus Lentes estan LISTAS PARA ENTREGAR, te esperamos.</v>
      </c>
    </row>
    <row r="5209">
      <c r="A5209" s="1">
        <f>IFERROR(__xludf.DUMMYFUNCTION("""COMPUTED_VALUE"""),89774.0)</f>
        <v>89774</v>
      </c>
      <c r="B5209" s="5">
        <f>IFERROR(__xludf.DUMMYFUNCTION("""COMPUTED_VALUE"""),45027.83683674769)</f>
        <v>45027.83684</v>
      </c>
      <c r="C5209" s="1" t="str">
        <f>IFERROR(__xludf.DUMMYFUNCTION("""COMPUTED_VALUE"""),"QUIROGA ADRIAN")</f>
        <v>QUIROGA ADRIAN</v>
      </c>
      <c r="D5209" s="1" t="str">
        <f>IFERROR(__xludf.DUMMYFUNCTION("""COMPUTED_VALUE"""),"Lentes de STOCK")</f>
        <v>Lentes de STOCK</v>
      </c>
      <c r="E5209" s="1" t="str">
        <f>IFERROR(__xludf.DUMMYFUNCTION("""COMPUTED_VALUE"""),"ARTIGAS Ivana P.")</f>
        <v>ARTIGAS Ivana P.</v>
      </c>
      <c r="F5209" s="1" t="str">
        <f t="shared" si="1"/>
        <v>ARTIGAS </v>
      </c>
      <c r="G5209" s="1" t="str">
        <f t="shared" si="2"/>
        <v>Ivana P.</v>
      </c>
      <c r="H5209" s="1" t="str">
        <f>IFERROR(__xludf.DUMMYFUNCTION("""COMPUTED_VALUE"""),"14/4/2023, 17:00:00")</f>
        <v>14/4/2023, 17:00:00</v>
      </c>
      <c r="I5209" s="1" t="str">
        <f>IFERROR(__xludf.DUMMYFUNCTION("""COMPUTED_VALUE"""),"Completado en SUCURSAL")</f>
        <v>Completado en SUCURSAL</v>
      </c>
      <c r="J5209" s="1">
        <f t="shared" si="3"/>
        <v>5</v>
      </c>
      <c r="K5209" s="1" t="str">
        <f t="shared" si="4"/>
        <v>Tus Lentes estan LISTAS PARA ENTREGAR, te esperamos.</v>
      </c>
    </row>
    <row r="5210">
      <c r="A5210" s="1">
        <f>IFERROR(__xludf.DUMMYFUNCTION("""COMPUTED_VALUE"""),89775.0)</f>
        <v>89775</v>
      </c>
      <c r="B5210" s="5">
        <f>IFERROR(__xludf.DUMMYFUNCTION("""COMPUTED_VALUE"""),45027.83818155093)</f>
        <v>45027.83818</v>
      </c>
      <c r="C5210" s="1" t="str">
        <f>IFERROR(__xludf.DUMMYFUNCTION("""COMPUTED_VALUE"""),"OLGUIN LUIS")</f>
        <v>OLGUIN LUIS</v>
      </c>
      <c r="D5210" s="1" t="str">
        <f>IFERROR(__xludf.DUMMYFUNCTION("""COMPUTED_VALUE"""),"Lentes BIFOCALES")</f>
        <v>Lentes BIFOCALES</v>
      </c>
      <c r="E5210" s="1" t="str">
        <f>IFERROR(__xludf.DUMMYFUNCTION("""COMPUTED_VALUE"""),"Otro (LUCIANA ARTIGAS)")</f>
        <v>Otro (LUCIANA ARTIGAS)</v>
      </c>
      <c r="F5210" s="1" t="str">
        <f t="shared" si="1"/>
        <v>Otro </v>
      </c>
      <c r="G5210" s="1" t="str">
        <f t="shared" si="2"/>
        <v>(LUCIANA ARTIGAS)</v>
      </c>
      <c r="H5210" s="1" t="str">
        <f>IFERROR(__xludf.DUMMYFUNCTION("""COMPUTED_VALUE"""),"21/4/2023, 17:00:00")</f>
        <v>21/4/2023, 17:00:00</v>
      </c>
      <c r="I5210" s="1" t="str">
        <f>IFERROR(__xludf.DUMMYFUNCTION("""COMPUTED_VALUE"""),"Recibido en Laboratorio")</f>
        <v>Recibido en Laboratorio</v>
      </c>
      <c r="J5210" s="1">
        <f t="shared" si="3"/>
        <v>2</v>
      </c>
      <c r="K5210" s="1" t="str">
        <f t="shared" si="4"/>
        <v>Nuestro Laboratorio esta trabajando en tus lentes, los entregaremos en la fecha acordada.</v>
      </c>
    </row>
    <row r="5211">
      <c r="A5211" s="1">
        <f>IFERROR(__xludf.DUMMYFUNCTION("""COMPUTED_VALUE"""),89776.0)</f>
        <v>89776</v>
      </c>
      <c r="B5211" s="5">
        <f>IFERROR(__xludf.DUMMYFUNCTION("""COMPUTED_VALUE"""),45027.83840502315)</f>
        <v>45027.83841</v>
      </c>
      <c r="C5211" s="1" t="str">
        <f>IFERROR(__xludf.DUMMYFUNCTION("""COMPUTED_VALUE"""),"THOME GLADYS")</f>
        <v>THOME GLADYS</v>
      </c>
      <c r="D5211" s="1" t="str">
        <f>IFERROR(__xludf.DUMMYFUNCTION("""COMPUTED_VALUE"""),"Reparaciones/Otros")</f>
        <v>Reparaciones/Otros</v>
      </c>
      <c r="E5211" s="1" t="str">
        <f>IFERROR(__xludf.DUMMYFUNCTION("""COMPUTED_VALUE"""),"RIVADAVIA Santiago LOPEZ")</f>
        <v>RIVADAVIA Santiago LOPEZ</v>
      </c>
      <c r="F5211" s="1" t="str">
        <f t="shared" si="1"/>
        <v>RIVADAVIA </v>
      </c>
      <c r="G5211" s="1" t="str">
        <f t="shared" si="2"/>
        <v>Santiago LOPEZ</v>
      </c>
      <c r="H5211" s="1" t="str">
        <f>IFERROR(__xludf.DUMMYFUNCTION("""COMPUTED_VALUE"""),"12/4/2023, 17:00:00")</f>
        <v>12/4/2023, 17:00:00</v>
      </c>
      <c r="I5211" s="1" t="str">
        <f>IFERROR(__xludf.DUMMYFUNCTION("""COMPUTED_VALUE"""),"Completado en SUCURSAL")</f>
        <v>Completado en SUCURSAL</v>
      </c>
      <c r="J5211" s="1">
        <f t="shared" si="3"/>
        <v>5</v>
      </c>
      <c r="K5211" s="1" t="str">
        <f t="shared" si="4"/>
        <v>Tus Lentes estan LISTAS PARA ENTREGAR, te esperamos.</v>
      </c>
    </row>
    <row r="5212">
      <c r="A5212" s="1">
        <f>IFERROR(__xludf.DUMMYFUNCTION("""COMPUTED_VALUE"""),89777.0)</f>
        <v>89777</v>
      </c>
      <c r="B5212" s="5">
        <f>IFERROR(__xludf.DUMMYFUNCTION("""COMPUTED_VALUE"""),45028.37684917824)</f>
        <v>45028.37685</v>
      </c>
      <c r="C5212" s="1" t="str">
        <f>IFERROR(__xludf.DUMMYFUNCTION("""COMPUTED_VALUE"""),"vidal marcela")</f>
        <v>vidal marcela</v>
      </c>
      <c r="D5212" s="1" t="str">
        <f>IFERROR(__xludf.DUMMYFUNCTION("""COMPUTED_VALUE"""),"Lentes de STOCK")</f>
        <v>Lentes de STOCK</v>
      </c>
      <c r="E5212" s="1" t="str">
        <f>IFERROR(__xludf.DUMMYFUNCTION("""COMPUTED_VALUE"""),"RIVADAVIA Santiago N")</f>
        <v>RIVADAVIA Santiago N</v>
      </c>
      <c r="F5212" s="1" t="str">
        <f t="shared" si="1"/>
        <v>RIVADAVIA </v>
      </c>
      <c r="G5212" s="1" t="str">
        <f t="shared" si="2"/>
        <v>Santiago N</v>
      </c>
      <c r="H5212" s="1" t="str">
        <f>IFERROR(__xludf.DUMMYFUNCTION("""COMPUTED_VALUE"""),"14/4/2023, 17:00:00")</f>
        <v>14/4/2023, 17:00:00</v>
      </c>
      <c r="I5212" s="1" t="str">
        <f>IFERROR(__xludf.DUMMYFUNCTION("""COMPUTED_VALUE"""),"Completado en SUCURSAL")</f>
        <v>Completado en SUCURSAL</v>
      </c>
      <c r="J5212" s="1">
        <f t="shared" si="3"/>
        <v>5</v>
      </c>
      <c r="K5212" s="1" t="str">
        <f t="shared" si="4"/>
        <v>Tus Lentes estan LISTAS PARA ENTREGAR, te esperamos.</v>
      </c>
    </row>
    <row r="5213">
      <c r="A5213" s="1">
        <f>IFERROR(__xludf.DUMMYFUNCTION("""COMPUTED_VALUE"""),89778.0)</f>
        <v>89778</v>
      </c>
      <c r="B5213" s="5">
        <f>IFERROR(__xludf.DUMMYFUNCTION("""COMPUTED_VALUE"""),45028.379666099536)</f>
        <v>45028.37967</v>
      </c>
      <c r="C5213" s="1" t="str">
        <f>IFERROR(__xludf.DUMMYFUNCTION("""COMPUTED_VALUE"""),"giordano maria")</f>
        <v>giordano maria</v>
      </c>
      <c r="D5213" s="1" t="str">
        <f>IFERROR(__xludf.DUMMYFUNCTION("""COMPUTED_VALUE"""),"Lentes de STOCK")</f>
        <v>Lentes de STOCK</v>
      </c>
      <c r="E5213" s="1" t="str">
        <f>IFERROR(__xludf.DUMMYFUNCTION("""COMPUTED_VALUE"""),"RIVADAVIA Santiago N")</f>
        <v>RIVADAVIA Santiago N</v>
      </c>
      <c r="F5213" s="1" t="str">
        <f t="shared" si="1"/>
        <v>RIVADAVIA </v>
      </c>
      <c r="G5213" s="1" t="str">
        <f t="shared" si="2"/>
        <v>Santiago N</v>
      </c>
      <c r="H5213" s="1" t="str">
        <f>IFERROR(__xludf.DUMMYFUNCTION("""COMPUTED_VALUE"""),"15/4/2023, 17:00:00")</f>
        <v>15/4/2023, 17:00:00</v>
      </c>
      <c r="I5213" s="1" t="str">
        <f>IFERROR(__xludf.DUMMYFUNCTION("""COMPUTED_VALUE"""),"Completado en SUCURSAL")</f>
        <v>Completado en SUCURSAL</v>
      </c>
      <c r="J5213" s="1">
        <f t="shared" si="3"/>
        <v>5</v>
      </c>
      <c r="K5213" s="1" t="str">
        <f t="shared" si="4"/>
        <v>Tus Lentes estan LISTAS PARA ENTREGAR, te esperamos.</v>
      </c>
    </row>
    <row r="5214">
      <c r="A5214" s="1">
        <f>IFERROR(__xludf.DUMMYFUNCTION("""COMPUTED_VALUE"""),89779.0)</f>
        <v>89779</v>
      </c>
      <c r="B5214" s="5">
        <f>IFERROR(__xludf.DUMMYFUNCTION("""COMPUTED_VALUE"""),45028.383705775464)</f>
        <v>45028.38371</v>
      </c>
      <c r="C5214" s="1" t="str">
        <f>IFERROR(__xludf.DUMMYFUNCTION("""COMPUTED_VALUE"""),"obermeller santiago")</f>
        <v>obermeller santiago</v>
      </c>
      <c r="D5214" s="1" t="str">
        <f>IFERROR(__xludf.DUMMYFUNCTION("""COMPUTED_VALUE"""),"Reparaciones/Otros")</f>
        <v>Reparaciones/Otros</v>
      </c>
      <c r="E5214" s="1" t="str">
        <f>IFERROR(__xludf.DUMMYFUNCTION("""COMPUTED_VALUE"""),"RIVADAVIA Santiago N")</f>
        <v>RIVADAVIA Santiago N</v>
      </c>
      <c r="F5214" s="1" t="str">
        <f t="shared" si="1"/>
        <v>RIVADAVIA </v>
      </c>
      <c r="G5214" s="1" t="str">
        <f t="shared" si="2"/>
        <v>Santiago N</v>
      </c>
      <c r="H5214" s="1" t="str">
        <f>IFERROR(__xludf.DUMMYFUNCTION("""COMPUTED_VALUE"""),"14/4/2023, 17:00:00")</f>
        <v>14/4/2023, 17:00:00</v>
      </c>
      <c r="I5214" s="1" t="str">
        <f>IFERROR(__xludf.DUMMYFUNCTION("""COMPUTED_VALUE"""),"Completado en SUCURSAL")</f>
        <v>Completado en SUCURSAL</v>
      </c>
      <c r="J5214" s="1">
        <f t="shared" si="3"/>
        <v>5</v>
      </c>
      <c r="K5214" s="1" t="str">
        <f t="shared" si="4"/>
        <v>Tus Lentes estan LISTAS PARA ENTREGAR, te esperamos.</v>
      </c>
    </row>
    <row r="5215">
      <c r="A5215" s="1">
        <f>IFERROR(__xludf.DUMMYFUNCTION("""COMPUTED_VALUE"""),89780.0)</f>
        <v>89780</v>
      </c>
      <c r="B5215" s="5">
        <f>IFERROR(__xludf.DUMMYFUNCTION("""COMPUTED_VALUE"""),45028.385842523145)</f>
        <v>45028.38584</v>
      </c>
      <c r="C5215" s="1" t="str">
        <f>IFERROR(__xludf.DUMMYFUNCTION("""COMPUTED_VALUE"""),"juarez lucas ")</f>
        <v>juarez lucas </v>
      </c>
      <c r="D5215" s="1" t="str">
        <f>IFERROR(__xludf.DUMMYFUNCTION("""COMPUTED_VALUE"""),"Lentes de STOCK")</f>
        <v>Lentes de STOCK</v>
      </c>
      <c r="E5215" s="1" t="str">
        <f>IFERROR(__xludf.DUMMYFUNCTION("""COMPUTED_VALUE"""),"RIVADAVIA Santiago N")</f>
        <v>RIVADAVIA Santiago N</v>
      </c>
      <c r="F5215" s="1" t="str">
        <f t="shared" si="1"/>
        <v>RIVADAVIA </v>
      </c>
      <c r="G5215" s="1" t="str">
        <f t="shared" si="2"/>
        <v>Santiago N</v>
      </c>
      <c r="H5215" s="1" t="str">
        <f>IFERROR(__xludf.DUMMYFUNCTION("""COMPUTED_VALUE"""),"17/4/2023, 17:00:00")</f>
        <v>17/4/2023, 17:00:00</v>
      </c>
      <c r="I5215" s="1" t="str">
        <f>IFERROR(__xludf.DUMMYFUNCTION("""COMPUTED_VALUE"""),"Completado en SUCURSAL")</f>
        <v>Completado en SUCURSAL</v>
      </c>
      <c r="J5215" s="1">
        <f t="shared" si="3"/>
        <v>5</v>
      </c>
      <c r="K5215" s="1" t="str">
        <f t="shared" si="4"/>
        <v>Tus Lentes estan LISTAS PARA ENTREGAR, te esperamos.</v>
      </c>
    </row>
    <row r="5216">
      <c r="A5216" s="1">
        <f>IFERROR(__xludf.DUMMYFUNCTION("""COMPUTED_VALUE"""),89781.0)</f>
        <v>89781</v>
      </c>
      <c r="B5216" s="5">
        <f>IFERROR(__xludf.DUMMYFUNCTION("""COMPUTED_VALUE"""),45028.387857546295)</f>
        <v>45028.38786</v>
      </c>
      <c r="C5216" s="1" t="str">
        <f>IFERROR(__xludf.DUMMYFUNCTION("""COMPUTED_VALUE"""),"MONSALVA ENRIQUE MARIO")</f>
        <v>MONSALVA ENRIQUE MARIO</v>
      </c>
      <c r="D5216" s="1" t="str">
        <f>IFERROR(__xludf.DUMMYFUNCTION("""COMPUTED_VALUE"""),"Lentes de STOCK")</f>
        <v>Lentes de STOCK</v>
      </c>
      <c r="E5216" s="1" t="str">
        <f>IFERROR(__xludf.DUMMYFUNCTION("""COMPUTED_VALUE"""),"RIVADAVIA Christian C.")</f>
        <v>RIVADAVIA Christian C.</v>
      </c>
      <c r="F5216" s="1" t="str">
        <f t="shared" si="1"/>
        <v>RIVADAVIA </v>
      </c>
      <c r="G5216" s="1" t="str">
        <f t="shared" si="2"/>
        <v>Christian C.</v>
      </c>
      <c r="H5216" s="1" t="str">
        <f>IFERROR(__xludf.DUMMYFUNCTION("""COMPUTED_VALUE"""),"19/4/2023, 17:00:00")</f>
        <v>19/4/2023, 17:00:00</v>
      </c>
      <c r="I5216" s="1" t="str">
        <f>IFERROR(__xludf.DUMMYFUNCTION("""COMPUTED_VALUE"""),"Recibido en Laboratorio")</f>
        <v>Recibido en Laboratorio</v>
      </c>
      <c r="J5216" s="1">
        <f t="shared" si="3"/>
        <v>2</v>
      </c>
      <c r="K5216" s="1" t="str">
        <f t="shared" si="4"/>
        <v>Nuestro Laboratorio esta trabajando en tus lentes, los entregaremos en la fecha acordada.</v>
      </c>
    </row>
    <row r="5217">
      <c r="A5217" s="1">
        <f>IFERROR(__xludf.DUMMYFUNCTION("""COMPUTED_VALUE"""),89782.0)</f>
        <v>89782</v>
      </c>
      <c r="B5217" s="5">
        <f>IFERROR(__xludf.DUMMYFUNCTION("""COMPUTED_VALUE"""),45028.39718375)</f>
        <v>45028.39718</v>
      </c>
      <c r="C5217" s="1" t="str">
        <f>IFERROR(__xludf.DUMMYFUNCTION("""COMPUTED_VALUE"""),"BRITTO enzo")</f>
        <v>BRITTO enzo</v>
      </c>
      <c r="D5217" s="1" t="str">
        <f>IFERROR(__xludf.DUMMYFUNCTION("""COMPUTED_VALUE"""),"Reparaciones/Otros")</f>
        <v>Reparaciones/Otros</v>
      </c>
      <c r="E5217" s="1" t="str">
        <f>IFERROR(__xludf.DUMMYFUNCTION("""COMPUTED_VALUE"""),"ARTIGAS Roció")</f>
        <v>ARTIGAS Roció</v>
      </c>
      <c r="F5217" s="1" t="str">
        <f t="shared" si="1"/>
        <v>ARTIGAS </v>
      </c>
      <c r="G5217" s="1" t="str">
        <f t="shared" si="2"/>
        <v>Roció</v>
      </c>
      <c r="H5217" s="1" t="str">
        <f>IFERROR(__xludf.DUMMYFUNCTION("""COMPUTED_VALUE"""),"14/4/2023, 17:00:00")</f>
        <v>14/4/2023, 17:00:00</v>
      </c>
      <c r="I5217" s="1" t="str">
        <f>IFERROR(__xludf.DUMMYFUNCTION("""COMPUTED_VALUE"""),"Completado en SUCURSAL")</f>
        <v>Completado en SUCURSAL</v>
      </c>
      <c r="J5217" s="1">
        <f t="shared" si="3"/>
        <v>5</v>
      </c>
      <c r="K5217" s="1" t="str">
        <f t="shared" si="4"/>
        <v>Tus Lentes estan LISTAS PARA ENTREGAR, te esperamos.</v>
      </c>
    </row>
    <row r="5218">
      <c r="A5218" s="1">
        <f>IFERROR(__xludf.DUMMYFUNCTION("""COMPUTED_VALUE"""),89783.0)</f>
        <v>89783</v>
      </c>
      <c r="B5218" s="5">
        <f>IFERROR(__xludf.DUMMYFUNCTION("""COMPUTED_VALUE"""),45028.398073136574)</f>
        <v>45028.39807</v>
      </c>
      <c r="C5218" s="1" t="str">
        <f>IFERROR(__xludf.DUMMYFUNCTION("""COMPUTED_VALUE"""),"BRITO ROSALBA ")</f>
        <v>BRITO ROSALBA </v>
      </c>
      <c r="D5218" s="1" t="str">
        <f>IFERROR(__xludf.DUMMYFUNCTION("""COMPUTED_VALUE"""),"Lentes de STOCK")</f>
        <v>Lentes de STOCK</v>
      </c>
      <c r="E5218" s="1" t="str">
        <f>IFERROR(__xludf.DUMMYFUNCTION("""COMPUTED_VALUE"""),"RIVADAVIA Marcela L")</f>
        <v>RIVADAVIA Marcela L</v>
      </c>
      <c r="F5218" s="1" t="str">
        <f t="shared" si="1"/>
        <v>RIVADAVIA </v>
      </c>
      <c r="G5218" s="1" t="str">
        <f t="shared" si="2"/>
        <v>Marcela L</v>
      </c>
      <c r="H5218" s="1" t="str">
        <f>IFERROR(__xludf.DUMMYFUNCTION("""COMPUTED_VALUE"""),"17/4/2023, 17:00:00")</f>
        <v>17/4/2023, 17:00:00</v>
      </c>
      <c r="I5218" s="1" t="str">
        <f>IFERROR(__xludf.DUMMYFUNCTION("""COMPUTED_VALUE"""),"Completado en SUCURSAL")</f>
        <v>Completado en SUCURSAL</v>
      </c>
      <c r="J5218" s="1">
        <f t="shared" si="3"/>
        <v>5</v>
      </c>
      <c r="K5218" s="1" t="str">
        <f t="shared" si="4"/>
        <v>Tus Lentes estan LISTAS PARA ENTREGAR, te esperamos.</v>
      </c>
    </row>
    <row r="5219">
      <c r="A5219" s="1">
        <f>IFERROR(__xludf.DUMMYFUNCTION("""COMPUTED_VALUE"""),89784.0)</f>
        <v>89784</v>
      </c>
      <c r="B5219" s="5">
        <f>IFERROR(__xludf.DUMMYFUNCTION("""COMPUTED_VALUE"""),45028.410220694444)</f>
        <v>45028.41022</v>
      </c>
      <c r="C5219" s="1" t="str">
        <f>IFERROR(__xludf.DUMMYFUNCTION("""COMPUTED_VALUE"""),"SUAREZ RODRIGUEZ VALENTINA")</f>
        <v>SUAREZ RODRIGUEZ VALENTINA</v>
      </c>
      <c r="D5219" s="1" t="str">
        <f>IFERROR(__xludf.DUMMYFUNCTION("""COMPUTED_VALUE"""),"Lentes de STOCK")</f>
        <v>Lentes de STOCK</v>
      </c>
      <c r="E5219" s="1" t="str">
        <f>IFERROR(__xludf.DUMMYFUNCTION("""COMPUTED_VALUE"""),"ARTIGAS Roció")</f>
        <v>ARTIGAS Roció</v>
      </c>
      <c r="F5219" s="1" t="str">
        <f t="shared" si="1"/>
        <v>ARTIGAS </v>
      </c>
      <c r="G5219" s="1" t="str">
        <f t="shared" si="2"/>
        <v>Roció</v>
      </c>
      <c r="H5219" s="1" t="str">
        <f>IFERROR(__xludf.DUMMYFUNCTION("""COMPUTED_VALUE"""),"20/4/2023, 17:00:00")</f>
        <v>20/4/2023, 17:00:00</v>
      </c>
      <c r="I5219" s="1" t="str">
        <f>IFERROR(__xludf.DUMMYFUNCTION("""COMPUTED_VALUE"""),"Recibido en Laboratorio")</f>
        <v>Recibido en Laboratorio</v>
      </c>
      <c r="J5219" s="1">
        <f t="shared" si="3"/>
        <v>2</v>
      </c>
      <c r="K5219" s="1" t="str">
        <f t="shared" si="4"/>
        <v>Nuestro Laboratorio esta trabajando en tus lentes, los entregaremos en la fecha acordada.</v>
      </c>
    </row>
    <row r="5220">
      <c r="A5220" s="1">
        <f>IFERROR(__xludf.DUMMYFUNCTION("""COMPUTED_VALUE"""),89785.0)</f>
        <v>89785</v>
      </c>
      <c r="B5220" s="5">
        <f>IFERROR(__xludf.DUMMYFUNCTION("""COMPUTED_VALUE"""),45028.41296724537)</f>
        <v>45028.41297</v>
      </c>
      <c r="C5220" s="1" t="str">
        <f>IFERROR(__xludf.DUMMYFUNCTION("""COMPUTED_VALUE"""),"GUARDIA NORA OLGA")</f>
        <v>GUARDIA NORA OLGA</v>
      </c>
      <c r="D5220" s="1" t="str">
        <f>IFERROR(__xludf.DUMMYFUNCTION("""COMPUTED_VALUE"""),"Lentes BIFOCALES")</f>
        <v>Lentes BIFOCALES</v>
      </c>
      <c r="E5220" s="1" t="str">
        <f>IFERROR(__xludf.DUMMYFUNCTION("""COMPUTED_VALUE"""),"RIVADAVIA Luciana")</f>
        <v>RIVADAVIA Luciana</v>
      </c>
      <c r="F5220" s="1" t="str">
        <f t="shared" si="1"/>
        <v>RIVADAVIA </v>
      </c>
      <c r="G5220" s="1" t="str">
        <f t="shared" si="2"/>
        <v>Luciana</v>
      </c>
      <c r="H5220" s="1" t="str">
        <f>IFERROR(__xludf.DUMMYFUNCTION("""COMPUTED_VALUE"""),"24/4/2023, 17:00:00")</f>
        <v>24/4/2023, 17:00:00</v>
      </c>
      <c r="I5220" s="1" t="str">
        <f>IFERROR(__xludf.DUMMYFUNCTION("""COMPUTED_VALUE"""),"Recibido en Laboratorio")</f>
        <v>Recibido en Laboratorio</v>
      </c>
      <c r="J5220" s="1">
        <f t="shared" si="3"/>
        <v>2</v>
      </c>
      <c r="K5220" s="1" t="str">
        <f t="shared" si="4"/>
        <v>Nuestro Laboratorio esta trabajando en tus lentes, los entregaremos en la fecha acordada.</v>
      </c>
    </row>
    <row r="5221">
      <c r="A5221" s="1">
        <f>IFERROR(__xludf.DUMMYFUNCTION("""COMPUTED_VALUE"""),89786.0)</f>
        <v>89786</v>
      </c>
      <c r="B5221" s="5">
        <f>IFERROR(__xludf.DUMMYFUNCTION("""COMPUTED_VALUE"""),45028.41752545139)</f>
        <v>45028.41753</v>
      </c>
      <c r="C5221" s="1" t="str">
        <f>IFERROR(__xludf.DUMMYFUNCTION("""COMPUTED_VALUE"""),"VEGA MARIA")</f>
        <v>VEGA MARIA</v>
      </c>
      <c r="D5221" s="1" t="str">
        <f>IFERROR(__xludf.DUMMYFUNCTION("""COMPUTED_VALUE"""),"Lentes de STOCK")</f>
        <v>Lentes de STOCK</v>
      </c>
      <c r="E5221" s="1" t="str">
        <f>IFERROR(__xludf.DUMMYFUNCTION("""COMPUTED_VALUE"""),"ARTIGAS Ivana P.")</f>
        <v>ARTIGAS Ivana P.</v>
      </c>
      <c r="F5221" s="1" t="str">
        <f t="shared" si="1"/>
        <v>ARTIGAS </v>
      </c>
      <c r="G5221" s="1" t="str">
        <f t="shared" si="2"/>
        <v>Ivana P.</v>
      </c>
      <c r="H5221" s="1" t="str">
        <f>IFERROR(__xludf.DUMMYFUNCTION("""COMPUTED_VALUE"""),"17/4/2023, 17:00:00")</f>
        <v>17/4/2023, 17:00:00</v>
      </c>
      <c r="I5221" s="1" t="str">
        <f>IFERROR(__xludf.DUMMYFUNCTION("""COMPUTED_VALUE"""),"Completado en SUCURSAL")</f>
        <v>Completado en SUCURSAL</v>
      </c>
      <c r="J5221" s="1">
        <f t="shared" si="3"/>
        <v>5</v>
      </c>
      <c r="K5221" s="1" t="str">
        <f t="shared" si="4"/>
        <v>Tus Lentes estan LISTAS PARA ENTREGAR, te esperamos.</v>
      </c>
    </row>
    <row r="5222">
      <c r="A5222" s="1">
        <f>IFERROR(__xludf.DUMMYFUNCTION("""COMPUTED_VALUE"""),89787.0)</f>
        <v>89787</v>
      </c>
      <c r="B5222" s="5">
        <f>IFERROR(__xludf.DUMMYFUNCTION("""COMPUTED_VALUE"""),45028.42026721065)</f>
        <v>45028.42027</v>
      </c>
      <c r="C5222" s="1" t="str">
        <f>IFERROR(__xludf.DUMMYFUNCTION("""COMPUTED_VALUE"""),"Anastasi Fabricio")</f>
        <v>Anastasi Fabricio</v>
      </c>
      <c r="D5222" s="1" t="str">
        <f>IFERROR(__xludf.DUMMYFUNCTION("""COMPUTED_VALUE"""),"Lentes de STOCK")</f>
        <v>Lentes de STOCK</v>
      </c>
      <c r="E5222" s="1" t="str">
        <f>IFERROR(__xludf.DUMMYFUNCTION("""COMPUTED_VALUE"""),"ARTIGAS Sandra G")</f>
        <v>ARTIGAS Sandra G</v>
      </c>
      <c r="F5222" s="1" t="str">
        <f t="shared" si="1"/>
        <v>ARTIGAS </v>
      </c>
      <c r="G5222" s="1" t="str">
        <f t="shared" si="2"/>
        <v>Sandra G</v>
      </c>
      <c r="H5222" s="1" t="str">
        <f>IFERROR(__xludf.DUMMYFUNCTION("""COMPUTED_VALUE"""),"15/4/2023, 17:00:00")</f>
        <v>15/4/2023, 17:00:00</v>
      </c>
      <c r="I5222" s="1"/>
      <c r="J5222" s="1">
        <f t="shared" si="3"/>
        <v>0</v>
      </c>
      <c r="K5222" s="1" t="str">
        <f t="shared" si="4"/>
        <v/>
      </c>
    </row>
    <row r="5223">
      <c r="A5223" s="1">
        <f>IFERROR(__xludf.DUMMYFUNCTION("""COMPUTED_VALUE"""),89788.0)</f>
        <v>89788</v>
      </c>
      <c r="B5223" s="5">
        <f>IFERROR(__xludf.DUMMYFUNCTION("""COMPUTED_VALUE"""),45028.422699745366)</f>
        <v>45028.4227</v>
      </c>
      <c r="C5223" s="1" t="str">
        <f>IFERROR(__xludf.DUMMYFUNCTION("""COMPUTED_VALUE"""),"ALBA SILVINA NOEMI")</f>
        <v>ALBA SILVINA NOEMI</v>
      </c>
      <c r="D5223" s="1" t="str">
        <f>IFERROR(__xludf.DUMMYFUNCTION("""COMPUTED_VALUE"""),"Lentes de STOCK")</f>
        <v>Lentes de STOCK</v>
      </c>
      <c r="E5223" s="1" t="str">
        <f>IFERROR(__xludf.DUMMYFUNCTION("""COMPUTED_VALUE"""),"RIVADAVIA Marcela L")</f>
        <v>RIVADAVIA Marcela L</v>
      </c>
      <c r="F5223" s="1" t="str">
        <f t="shared" si="1"/>
        <v>RIVADAVIA </v>
      </c>
      <c r="G5223" s="1" t="str">
        <f t="shared" si="2"/>
        <v>Marcela L</v>
      </c>
      <c r="H5223" s="1" t="str">
        <f>IFERROR(__xludf.DUMMYFUNCTION("""COMPUTED_VALUE"""),"14/4/2023, 17:00:00")</f>
        <v>14/4/2023, 17:00:00</v>
      </c>
      <c r="I5223" s="1" t="str">
        <f>IFERROR(__xludf.DUMMYFUNCTION("""COMPUTED_VALUE"""),"Completado en SUCURSAL")</f>
        <v>Completado en SUCURSAL</v>
      </c>
      <c r="J5223" s="1">
        <f t="shared" si="3"/>
        <v>5</v>
      </c>
      <c r="K5223" s="1" t="str">
        <f t="shared" si="4"/>
        <v>Tus Lentes estan LISTAS PARA ENTREGAR, te esperamos.</v>
      </c>
    </row>
    <row r="5224">
      <c r="A5224" s="1">
        <f>IFERROR(__xludf.DUMMYFUNCTION("""COMPUTED_VALUE"""),89789.0)</f>
        <v>89789</v>
      </c>
      <c r="B5224" s="5">
        <f>IFERROR(__xludf.DUMMYFUNCTION("""COMPUTED_VALUE"""),45028.43345737268)</f>
        <v>45028.43346</v>
      </c>
      <c r="C5224" s="1" t="str">
        <f>IFERROR(__xludf.DUMMYFUNCTION("""COMPUTED_VALUE"""),"GUEVARA RAQUEL")</f>
        <v>GUEVARA RAQUEL</v>
      </c>
      <c r="D5224" s="1" t="str">
        <f>IFERROR(__xludf.DUMMYFUNCTION("""COMPUTED_VALUE"""),"Lentes de STOCK")</f>
        <v>Lentes de STOCK</v>
      </c>
      <c r="E5224" s="1" t="str">
        <f>IFERROR(__xludf.DUMMYFUNCTION("""COMPUTED_VALUE"""),"ARTIGAS Ivana P.")</f>
        <v>ARTIGAS Ivana P.</v>
      </c>
      <c r="F5224" s="1" t="str">
        <f t="shared" si="1"/>
        <v>ARTIGAS </v>
      </c>
      <c r="G5224" s="1" t="str">
        <f t="shared" si="2"/>
        <v>Ivana P.</v>
      </c>
      <c r="H5224" s="1" t="str">
        <f>IFERROR(__xludf.DUMMYFUNCTION("""COMPUTED_VALUE"""),"17/4/2023, 17:00:00")</f>
        <v>17/4/2023, 17:00:00</v>
      </c>
      <c r="I5224" s="1" t="str">
        <f>IFERROR(__xludf.DUMMYFUNCTION("""COMPUTED_VALUE"""),"Completado en SUCURSAL")</f>
        <v>Completado en SUCURSAL</v>
      </c>
      <c r="J5224" s="1">
        <f t="shared" si="3"/>
        <v>5</v>
      </c>
      <c r="K5224" s="1" t="str">
        <f t="shared" si="4"/>
        <v>Tus Lentes estan LISTAS PARA ENTREGAR, te esperamos.</v>
      </c>
    </row>
    <row r="5225">
      <c r="A5225" s="1">
        <f>IFERROR(__xludf.DUMMYFUNCTION("""COMPUTED_VALUE"""),89790.0)</f>
        <v>89790</v>
      </c>
      <c r="B5225" s="5">
        <f>IFERROR(__xludf.DUMMYFUNCTION("""COMPUTED_VALUE"""),45028.438102500004)</f>
        <v>45028.4381</v>
      </c>
      <c r="C5225" s="1" t="str">
        <f>IFERROR(__xludf.DUMMYFUNCTION("""COMPUTED_VALUE"""),"ZALAZAR MARIA GLORIA")</f>
        <v>ZALAZAR MARIA GLORIA</v>
      </c>
      <c r="D5225" s="1" t="str">
        <f>IFERROR(__xludf.DUMMYFUNCTION("""COMPUTED_VALUE"""),"Lentes de STOCK")</f>
        <v>Lentes de STOCK</v>
      </c>
      <c r="E5225" s="1" t="str">
        <f>IFERROR(__xludf.DUMMYFUNCTION("""COMPUTED_VALUE"""),"RIVADAVIA Marcela L")</f>
        <v>RIVADAVIA Marcela L</v>
      </c>
      <c r="F5225" s="1" t="str">
        <f t="shared" si="1"/>
        <v>RIVADAVIA </v>
      </c>
      <c r="G5225" s="1" t="str">
        <f t="shared" si="2"/>
        <v>Marcela L</v>
      </c>
      <c r="H5225" s="1" t="str">
        <f>IFERROR(__xludf.DUMMYFUNCTION("""COMPUTED_VALUE"""),"14/4/2023, 17:00:00")</f>
        <v>14/4/2023, 17:00:00</v>
      </c>
      <c r="I5225" s="1" t="str">
        <f>IFERROR(__xludf.DUMMYFUNCTION("""COMPUTED_VALUE"""),"Completado en SUCURSAL")</f>
        <v>Completado en SUCURSAL</v>
      </c>
      <c r="J5225" s="1">
        <f t="shared" si="3"/>
        <v>5</v>
      </c>
      <c r="K5225" s="1" t="str">
        <f t="shared" si="4"/>
        <v>Tus Lentes estan LISTAS PARA ENTREGAR, te esperamos.</v>
      </c>
    </row>
    <row r="5226">
      <c r="A5226" s="1">
        <f>IFERROR(__xludf.DUMMYFUNCTION("""COMPUTED_VALUE"""),89791.0)</f>
        <v>89791</v>
      </c>
      <c r="B5226" s="5">
        <f>IFERROR(__xludf.DUMMYFUNCTION("""COMPUTED_VALUE"""),45028.43918168981)</f>
        <v>45028.43918</v>
      </c>
      <c r="C5226" s="1" t="str">
        <f>IFERROR(__xludf.DUMMYFUNCTION("""COMPUTED_VALUE"""),"FERNANDEZ YAMIL")</f>
        <v>FERNANDEZ YAMIL</v>
      </c>
      <c r="D5226" s="1" t="str">
        <f>IFERROR(__xludf.DUMMYFUNCTION("""COMPUTED_VALUE"""),"Lentes de STOCK")</f>
        <v>Lentes de STOCK</v>
      </c>
      <c r="E5226" s="1" t="str">
        <f>IFERROR(__xludf.DUMMYFUNCTION("""COMPUTED_VALUE"""),"RIVADAVIA Santiago LOPEZ")</f>
        <v>RIVADAVIA Santiago LOPEZ</v>
      </c>
      <c r="F5226" s="1" t="str">
        <f t="shared" si="1"/>
        <v>RIVADAVIA </v>
      </c>
      <c r="G5226" s="1" t="str">
        <f t="shared" si="2"/>
        <v>Santiago LOPEZ</v>
      </c>
      <c r="H5226" s="1" t="str">
        <f>IFERROR(__xludf.DUMMYFUNCTION("""COMPUTED_VALUE"""),"15/4/2023, 17:00:00")</f>
        <v>15/4/2023, 17:00:00</v>
      </c>
      <c r="I5226" s="1" t="str">
        <f>IFERROR(__xludf.DUMMYFUNCTION("""COMPUTED_VALUE"""),"Completado en SUCURSAL")</f>
        <v>Completado en SUCURSAL</v>
      </c>
      <c r="J5226" s="1">
        <f t="shared" si="3"/>
        <v>5</v>
      </c>
      <c r="K5226" s="1" t="str">
        <f t="shared" si="4"/>
        <v>Tus Lentes estan LISTAS PARA ENTREGAR, te esperamos.</v>
      </c>
    </row>
    <row r="5227">
      <c r="A5227" s="1">
        <f>IFERROR(__xludf.DUMMYFUNCTION("""COMPUTED_VALUE"""),89792.0)</f>
        <v>89792</v>
      </c>
      <c r="B5227" s="5">
        <f>IFERROR(__xludf.DUMMYFUNCTION("""COMPUTED_VALUE"""),45028.44123340277)</f>
        <v>45028.44123</v>
      </c>
      <c r="C5227" s="1" t="str">
        <f>IFERROR(__xludf.DUMMYFUNCTION("""COMPUTED_VALUE"""),"BAEZ SAA JOSE")</f>
        <v>BAEZ SAA JOSE</v>
      </c>
      <c r="D5227" s="1" t="str">
        <f>IFERROR(__xludf.DUMMYFUNCTION("""COMPUTED_VALUE"""),"Reparaciones/Otros")</f>
        <v>Reparaciones/Otros</v>
      </c>
      <c r="E5227" s="1" t="str">
        <f>IFERROR(__xludf.DUMMYFUNCTION("""COMPUTED_VALUE"""),"RIVADAVIA Santiago LOPEZ")</f>
        <v>RIVADAVIA Santiago LOPEZ</v>
      </c>
      <c r="F5227" s="1" t="str">
        <f t="shared" si="1"/>
        <v>RIVADAVIA </v>
      </c>
      <c r="G5227" s="1" t="str">
        <f t="shared" si="2"/>
        <v>Santiago LOPEZ</v>
      </c>
      <c r="H5227" s="1" t="str">
        <f>IFERROR(__xludf.DUMMYFUNCTION("""COMPUTED_VALUE"""),"14/4/2023, 17:00:00")</f>
        <v>14/4/2023, 17:00:00</v>
      </c>
      <c r="I5227" s="1" t="str">
        <f>IFERROR(__xludf.DUMMYFUNCTION("""COMPUTED_VALUE"""),"Completado en SUCURSAL")</f>
        <v>Completado en SUCURSAL</v>
      </c>
      <c r="J5227" s="1">
        <f t="shared" si="3"/>
        <v>5</v>
      </c>
      <c r="K5227" s="1" t="str">
        <f t="shared" si="4"/>
        <v>Tus Lentes estan LISTAS PARA ENTREGAR, te esperamos.</v>
      </c>
    </row>
    <row r="5228">
      <c r="A5228" s="1">
        <f>IFERROR(__xludf.DUMMYFUNCTION("""COMPUTED_VALUE"""),89793.0)</f>
        <v>89793</v>
      </c>
      <c r="B5228" s="5">
        <f>IFERROR(__xludf.DUMMYFUNCTION("""COMPUTED_VALUE"""),45028.443249918986)</f>
        <v>45028.44325</v>
      </c>
      <c r="C5228" s="1" t="str">
        <f>IFERROR(__xludf.DUMMYFUNCTION("""COMPUTED_VALUE"""),"Rosales Andrea")</f>
        <v>Rosales Andrea</v>
      </c>
      <c r="D5228" s="1" t="str">
        <f>IFERROR(__xludf.DUMMYFUNCTION("""COMPUTED_VALUE"""),"Lentes MULTIFOCALES")</f>
        <v>Lentes MULTIFOCALES</v>
      </c>
      <c r="E5228" s="1" t="str">
        <f>IFERROR(__xludf.DUMMYFUNCTION("""COMPUTED_VALUE"""),"RIVADAVIA Santiago N")</f>
        <v>RIVADAVIA Santiago N</v>
      </c>
      <c r="F5228" s="1" t="str">
        <f t="shared" si="1"/>
        <v>RIVADAVIA </v>
      </c>
      <c r="G5228" s="1" t="str">
        <f t="shared" si="2"/>
        <v>Santiago N</v>
      </c>
      <c r="H5228" s="1" t="str">
        <f>IFERROR(__xludf.DUMMYFUNCTION("""COMPUTED_VALUE"""),"25/4/2023, 17:00:00")</f>
        <v>25/4/2023, 17:00:00</v>
      </c>
      <c r="I5228" s="1" t="str">
        <f>IFERROR(__xludf.DUMMYFUNCTION("""COMPUTED_VALUE"""),"Recibido en Laboratorio")</f>
        <v>Recibido en Laboratorio</v>
      </c>
      <c r="J5228" s="1">
        <f t="shared" si="3"/>
        <v>2</v>
      </c>
      <c r="K5228" s="1" t="str">
        <f t="shared" si="4"/>
        <v>Nuestro Laboratorio esta trabajando en tus lentes, los entregaremos en la fecha acordada.</v>
      </c>
    </row>
    <row r="5229">
      <c r="A5229" s="1">
        <f>IFERROR(__xludf.DUMMYFUNCTION("""COMPUTED_VALUE"""),89794.0)</f>
        <v>89794</v>
      </c>
      <c r="B5229" s="5">
        <f>IFERROR(__xludf.DUMMYFUNCTION("""COMPUTED_VALUE"""),45028.446040358795)</f>
        <v>45028.44604</v>
      </c>
      <c r="C5229" s="1" t="str">
        <f>IFERROR(__xludf.DUMMYFUNCTION("""COMPUTED_VALUE"""),"SERATTO EDUARDO GASTON")</f>
        <v>SERATTO EDUARDO GASTON</v>
      </c>
      <c r="D5229" s="1" t="str">
        <f>IFERROR(__xludf.DUMMYFUNCTION("""COMPUTED_VALUE"""),"Lentes de STOCK")</f>
        <v>Lentes de STOCK</v>
      </c>
      <c r="E5229" s="1" t="str">
        <f>IFERROR(__xludf.DUMMYFUNCTION("""COMPUTED_VALUE"""),"RIVADAVIA Marcela L")</f>
        <v>RIVADAVIA Marcela L</v>
      </c>
      <c r="F5229" s="1" t="str">
        <f t="shared" si="1"/>
        <v>RIVADAVIA </v>
      </c>
      <c r="G5229" s="1" t="str">
        <f t="shared" si="2"/>
        <v>Marcela L</v>
      </c>
      <c r="H5229" s="1" t="str">
        <f>IFERROR(__xludf.DUMMYFUNCTION("""COMPUTED_VALUE"""),"17/4/2023, 17:00:00")</f>
        <v>17/4/2023, 17:00:00</v>
      </c>
      <c r="I5229" s="1" t="str">
        <f>IFERROR(__xludf.DUMMYFUNCTION("""COMPUTED_VALUE"""),"Completado en SUCURSAL")</f>
        <v>Completado en SUCURSAL</v>
      </c>
      <c r="J5229" s="1">
        <f t="shared" si="3"/>
        <v>5</v>
      </c>
      <c r="K5229" s="1" t="str">
        <f t="shared" si="4"/>
        <v>Tus Lentes estan LISTAS PARA ENTREGAR, te esperamos.</v>
      </c>
    </row>
    <row r="5230">
      <c r="A5230" s="1">
        <f>IFERROR(__xludf.DUMMYFUNCTION("""COMPUTED_VALUE"""),89795.0)</f>
        <v>89795</v>
      </c>
      <c r="B5230" s="5">
        <f>IFERROR(__xludf.DUMMYFUNCTION("""COMPUTED_VALUE"""),45028.45751717592)</f>
        <v>45028.45752</v>
      </c>
      <c r="C5230" s="1" t="str">
        <f>IFERROR(__xludf.DUMMYFUNCTION("""COMPUTED_VALUE"""),"GARCIA NELLY NELVA")</f>
        <v>GARCIA NELLY NELVA</v>
      </c>
      <c r="D5230" s="1" t="str">
        <f>IFERROR(__xludf.DUMMYFUNCTION("""COMPUTED_VALUE"""),"Lentes de STOCK")</f>
        <v>Lentes de STOCK</v>
      </c>
      <c r="E5230" s="1" t="str">
        <f>IFERROR(__xludf.DUMMYFUNCTION("""COMPUTED_VALUE"""),"RIVADAVIA Santiago N")</f>
        <v>RIVADAVIA Santiago N</v>
      </c>
      <c r="F5230" s="1" t="str">
        <f t="shared" si="1"/>
        <v>RIVADAVIA </v>
      </c>
      <c r="G5230" s="1" t="str">
        <f t="shared" si="2"/>
        <v>Santiago N</v>
      </c>
      <c r="H5230" s="1" t="str">
        <f>IFERROR(__xludf.DUMMYFUNCTION("""COMPUTED_VALUE"""),"14/4/2023, 17:00:00")</f>
        <v>14/4/2023, 17:00:00</v>
      </c>
      <c r="I5230" s="1" t="str">
        <f>IFERROR(__xludf.DUMMYFUNCTION("""COMPUTED_VALUE"""),"Completado en SUCURSAL")</f>
        <v>Completado en SUCURSAL</v>
      </c>
      <c r="J5230" s="1">
        <f t="shared" si="3"/>
        <v>5</v>
      </c>
      <c r="K5230" s="1" t="str">
        <f t="shared" si="4"/>
        <v>Tus Lentes estan LISTAS PARA ENTREGAR, te esperamos.</v>
      </c>
    </row>
    <row r="5231">
      <c r="A5231" s="1">
        <f>IFERROR(__xludf.DUMMYFUNCTION("""COMPUTED_VALUE"""),89796.0)</f>
        <v>89796</v>
      </c>
      <c r="B5231" s="5">
        <f>IFERROR(__xludf.DUMMYFUNCTION("""COMPUTED_VALUE"""),45028.45976550926)</f>
        <v>45028.45977</v>
      </c>
      <c r="C5231" s="1" t="str">
        <f>IFERROR(__xludf.DUMMYFUNCTION("""COMPUTED_VALUE"""),"VILLARREAL ROSA SABRINA (PROGRAMA MEDICINA DEL INTERIOR GOB)")</f>
        <v>VILLARREAL ROSA SABRINA (PROGRAMA MEDICINA DEL INTERIOR GOB)</v>
      </c>
      <c r="D5231" s="1" t="str">
        <f>IFERROR(__xludf.DUMMYFUNCTION("""COMPUTED_VALUE"""),"Lentes de STOCK")</f>
        <v>Lentes de STOCK</v>
      </c>
      <c r="E5231" s="1" t="str">
        <f>IFERROR(__xludf.DUMMYFUNCTION("""COMPUTED_VALUE"""),"Online ADMIN.")</f>
        <v>Online ADMIN.</v>
      </c>
      <c r="F5231" s="1" t="str">
        <f t="shared" si="1"/>
        <v>Online </v>
      </c>
      <c r="G5231" s="1" t="str">
        <f t="shared" si="2"/>
        <v>ADMIN.</v>
      </c>
      <c r="H5231" s="1" t="str">
        <f>IFERROR(__xludf.DUMMYFUNCTION("""COMPUTED_VALUE"""),"14/4/2023, 17:00:00")</f>
        <v>14/4/2023, 17:00:00</v>
      </c>
      <c r="I5231" s="1" t="str">
        <f>IFERROR(__xludf.DUMMYFUNCTION("""COMPUTED_VALUE"""),"Completado en SUCURSAL")</f>
        <v>Completado en SUCURSAL</v>
      </c>
      <c r="J5231" s="1">
        <f t="shared" si="3"/>
        <v>5</v>
      </c>
      <c r="K5231" s="1" t="str">
        <f t="shared" si="4"/>
        <v>Tus Lentes estan LISTAS PARA ENTREGAR, te esperamos.</v>
      </c>
    </row>
    <row r="5232">
      <c r="A5232" s="1">
        <f>IFERROR(__xludf.DUMMYFUNCTION("""COMPUTED_VALUE"""),89797.0)</f>
        <v>89797</v>
      </c>
      <c r="B5232" s="5">
        <f>IFERROR(__xludf.DUMMYFUNCTION("""COMPUTED_VALUE"""),45028.46012040509)</f>
        <v>45028.46012</v>
      </c>
      <c r="C5232" s="1" t="str">
        <f>IFERROR(__xludf.DUMMYFUNCTION("""COMPUTED_VALUE"""),"VILLAVERDE GASTON WALTER (PROGRAMA MEDICINA DEL INTERIOR GOB)")</f>
        <v>VILLAVERDE GASTON WALTER (PROGRAMA MEDICINA DEL INTERIOR GOB)</v>
      </c>
      <c r="D5232" s="1" t="str">
        <f>IFERROR(__xludf.DUMMYFUNCTION("""COMPUTED_VALUE"""),"Lentes de STOCK")</f>
        <v>Lentes de STOCK</v>
      </c>
      <c r="E5232" s="1" t="str">
        <f>IFERROR(__xludf.DUMMYFUNCTION("""COMPUTED_VALUE"""),"Online ADMIN.")</f>
        <v>Online ADMIN.</v>
      </c>
      <c r="F5232" s="1" t="str">
        <f t="shared" si="1"/>
        <v>Online </v>
      </c>
      <c r="G5232" s="1" t="str">
        <f t="shared" si="2"/>
        <v>ADMIN.</v>
      </c>
      <c r="H5232" s="1" t="str">
        <f>IFERROR(__xludf.DUMMYFUNCTION("""COMPUTED_VALUE"""),"14/4/2023, 17:00:00")</f>
        <v>14/4/2023, 17:00:00</v>
      </c>
      <c r="I5232" s="1" t="str">
        <f>IFERROR(__xludf.DUMMYFUNCTION("""COMPUTED_VALUE"""),"Completado en SUCURSAL")</f>
        <v>Completado en SUCURSAL</v>
      </c>
      <c r="J5232" s="1">
        <f t="shared" si="3"/>
        <v>5</v>
      </c>
      <c r="K5232" s="1" t="str">
        <f t="shared" si="4"/>
        <v>Tus Lentes estan LISTAS PARA ENTREGAR, te esperamos.</v>
      </c>
    </row>
    <row r="5233">
      <c r="A5233" s="1">
        <f>IFERROR(__xludf.DUMMYFUNCTION("""COMPUTED_VALUE"""),89798.0)</f>
        <v>89798</v>
      </c>
      <c r="B5233" s="5">
        <f>IFERROR(__xludf.DUMMYFUNCTION("""COMPUTED_VALUE"""),45028.460188854166)</f>
        <v>45028.46019</v>
      </c>
      <c r="C5233" s="1" t="str">
        <f>IFERROR(__xludf.DUMMYFUNCTION("""COMPUTED_VALUE"""),"MALDONADO MABEL PAULA")</f>
        <v>MALDONADO MABEL PAULA</v>
      </c>
      <c r="D5233" s="1" t="str">
        <f>IFERROR(__xludf.DUMMYFUNCTION("""COMPUTED_VALUE"""),"Lentes de STOCK")</f>
        <v>Lentes de STOCK</v>
      </c>
      <c r="E5233" s="1" t="str">
        <f>IFERROR(__xludf.DUMMYFUNCTION("""COMPUTED_VALUE"""),"RIVADAVIA Christian C.")</f>
        <v>RIVADAVIA Christian C.</v>
      </c>
      <c r="F5233" s="1" t="str">
        <f t="shared" si="1"/>
        <v>RIVADAVIA </v>
      </c>
      <c r="G5233" s="1" t="str">
        <f t="shared" si="2"/>
        <v>Christian C.</v>
      </c>
      <c r="H5233" s="1" t="str">
        <f>IFERROR(__xludf.DUMMYFUNCTION("""COMPUTED_VALUE"""),"20/4/2023, 17:00:00")</f>
        <v>20/4/2023, 17:00:00</v>
      </c>
      <c r="I5233" s="1" t="str">
        <f>IFERROR(__xludf.DUMMYFUNCTION("""COMPUTED_VALUE"""),"Completado en SUCURSAL")</f>
        <v>Completado en SUCURSAL</v>
      </c>
      <c r="J5233" s="1">
        <f t="shared" si="3"/>
        <v>5</v>
      </c>
      <c r="K5233" s="1" t="str">
        <f t="shared" si="4"/>
        <v>Tus Lentes estan LISTAS PARA ENTREGAR, te esperamos.</v>
      </c>
    </row>
    <row r="5234">
      <c r="A5234" s="1">
        <f>IFERROR(__xludf.DUMMYFUNCTION("""COMPUTED_VALUE"""),89799.0)</f>
        <v>89799</v>
      </c>
      <c r="B5234" s="5">
        <f>IFERROR(__xludf.DUMMYFUNCTION("""COMPUTED_VALUE"""),45028.46061915509)</f>
        <v>45028.46062</v>
      </c>
      <c r="C5234" s="1" t="str">
        <f>IFERROR(__xludf.DUMMYFUNCTION("""COMPUTED_VALUE"""),"ROSALES RIHANNA (PROGRAMA MEDICINA DEL INTERIOR GOB)")</f>
        <v>ROSALES RIHANNA (PROGRAMA MEDICINA DEL INTERIOR GOB)</v>
      </c>
      <c r="D5234" s="1" t="str">
        <f>IFERROR(__xludf.DUMMYFUNCTION("""COMPUTED_VALUE"""),"Lentes de STOCK")</f>
        <v>Lentes de STOCK</v>
      </c>
      <c r="E5234" s="1" t="str">
        <f>IFERROR(__xludf.DUMMYFUNCTION("""COMPUTED_VALUE"""),"Online ADMIN.")</f>
        <v>Online ADMIN.</v>
      </c>
      <c r="F5234" s="1" t="str">
        <f t="shared" si="1"/>
        <v>Online </v>
      </c>
      <c r="G5234" s="1" t="str">
        <f t="shared" si="2"/>
        <v>ADMIN.</v>
      </c>
      <c r="H5234" s="1" t="str">
        <f>IFERROR(__xludf.DUMMYFUNCTION("""COMPUTED_VALUE"""),"14/4/2023, 17:00:00")</f>
        <v>14/4/2023, 17:00:00</v>
      </c>
      <c r="I5234" s="1" t="str">
        <f>IFERROR(__xludf.DUMMYFUNCTION("""COMPUTED_VALUE"""),"Recibido en Laboratorio")</f>
        <v>Recibido en Laboratorio</v>
      </c>
      <c r="J5234" s="1">
        <f t="shared" si="3"/>
        <v>2</v>
      </c>
      <c r="K5234" s="1" t="str">
        <f t="shared" si="4"/>
        <v>Nuestro Laboratorio esta trabajando en tus lentes, los entregaremos en la fecha acordada.</v>
      </c>
    </row>
    <row r="5235">
      <c r="A5235" s="1">
        <f>IFERROR(__xludf.DUMMYFUNCTION("""COMPUTED_VALUE"""),89800.0)</f>
        <v>89800</v>
      </c>
      <c r="B5235" s="5">
        <f>IFERROR(__xludf.DUMMYFUNCTION("""COMPUTED_VALUE"""),45028.46149559028)</f>
        <v>45028.4615</v>
      </c>
      <c r="C5235" s="1" t="str">
        <f>IFERROR(__xludf.DUMMYFUNCTION("""COMPUTED_VALUE"""),"QUIROGA GREGORIO (PROGRAMA MEDICINA DEL INTERIOR GOB)")</f>
        <v>QUIROGA GREGORIO (PROGRAMA MEDICINA DEL INTERIOR GOB)</v>
      </c>
      <c r="D5235" s="1" t="str">
        <f>IFERROR(__xludf.DUMMYFUNCTION("""COMPUTED_VALUE"""),"Lentes de STOCK")</f>
        <v>Lentes de STOCK</v>
      </c>
      <c r="E5235" s="1" t="str">
        <f>IFERROR(__xludf.DUMMYFUNCTION("""COMPUTED_VALUE"""),"Online ADMIN.")</f>
        <v>Online ADMIN.</v>
      </c>
      <c r="F5235" s="1" t="str">
        <f t="shared" si="1"/>
        <v>Online </v>
      </c>
      <c r="G5235" s="1" t="str">
        <f t="shared" si="2"/>
        <v>ADMIN.</v>
      </c>
      <c r="H5235" s="1" t="str">
        <f>IFERROR(__xludf.DUMMYFUNCTION("""COMPUTED_VALUE"""),"14/4/2023, 17:00:00")</f>
        <v>14/4/2023, 17:00:00</v>
      </c>
      <c r="I5235" s="1" t="str">
        <f>IFERROR(__xludf.DUMMYFUNCTION("""COMPUTED_VALUE"""),"Completado en SUCURSAL")</f>
        <v>Completado en SUCURSAL</v>
      </c>
      <c r="J5235" s="1">
        <f t="shared" si="3"/>
        <v>5</v>
      </c>
      <c r="K5235" s="1" t="str">
        <f t="shared" si="4"/>
        <v>Tus Lentes estan LISTAS PARA ENTREGAR, te esperamos.</v>
      </c>
    </row>
    <row r="5236">
      <c r="A5236" s="1">
        <f>IFERROR(__xludf.DUMMYFUNCTION("""COMPUTED_VALUE"""),89801.0)</f>
        <v>89801</v>
      </c>
      <c r="B5236" s="5">
        <f>IFERROR(__xludf.DUMMYFUNCTION("""COMPUTED_VALUE"""),45028.46185273148)</f>
        <v>45028.46185</v>
      </c>
      <c r="C5236" s="1" t="str">
        <f>IFERROR(__xludf.DUMMYFUNCTION("""COMPUTED_VALUE"""),"RIVERA GONZALO (PROGRAMA MEDICINA DEL INTERIOR GOB)")</f>
        <v>RIVERA GONZALO (PROGRAMA MEDICINA DEL INTERIOR GOB)</v>
      </c>
      <c r="D5236" s="1" t="str">
        <f>IFERROR(__xludf.DUMMYFUNCTION("""COMPUTED_VALUE"""),"Lentes de STOCK")</f>
        <v>Lentes de STOCK</v>
      </c>
      <c r="E5236" s="1" t="str">
        <f>IFERROR(__xludf.DUMMYFUNCTION("""COMPUTED_VALUE"""),"Online ADMIN.")</f>
        <v>Online ADMIN.</v>
      </c>
      <c r="F5236" s="1" t="str">
        <f t="shared" si="1"/>
        <v>Online </v>
      </c>
      <c r="G5236" s="1" t="str">
        <f t="shared" si="2"/>
        <v>ADMIN.</v>
      </c>
      <c r="H5236" s="1" t="str">
        <f>IFERROR(__xludf.DUMMYFUNCTION("""COMPUTED_VALUE"""),"14/4/2023, 17:00:00")</f>
        <v>14/4/2023, 17:00:00</v>
      </c>
      <c r="I5236" s="1" t="str">
        <f>IFERROR(__xludf.DUMMYFUNCTION("""COMPUTED_VALUE"""),"Completado en SUCURSAL")</f>
        <v>Completado en SUCURSAL</v>
      </c>
      <c r="J5236" s="1">
        <f t="shared" si="3"/>
        <v>5</v>
      </c>
      <c r="K5236" s="1" t="str">
        <f t="shared" si="4"/>
        <v>Tus Lentes estan LISTAS PARA ENTREGAR, te esperamos.</v>
      </c>
    </row>
    <row r="5237">
      <c r="A5237" s="1">
        <f>IFERROR(__xludf.DUMMYFUNCTION("""COMPUTED_VALUE"""),89802.0)</f>
        <v>89802</v>
      </c>
      <c r="B5237" s="5">
        <f>IFERROR(__xludf.DUMMYFUNCTION("""COMPUTED_VALUE"""),45028.462361122685)</f>
        <v>45028.46236</v>
      </c>
      <c r="C5237" s="1" t="str">
        <f>IFERROR(__xludf.DUMMYFUNCTION("""COMPUTED_VALUE"""),"PUEBLA KAREN ANTONELLA (PROGRAMA MEDICINA DEL INTERIOR GOB)")</f>
        <v>PUEBLA KAREN ANTONELLA (PROGRAMA MEDICINA DEL INTERIOR GOB)</v>
      </c>
      <c r="D5237" s="1" t="str">
        <f>IFERROR(__xludf.DUMMYFUNCTION("""COMPUTED_VALUE"""),"Lentes de STOCK")</f>
        <v>Lentes de STOCK</v>
      </c>
      <c r="E5237" s="1" t="str">
        <f>IFERROR(__xludf.DUMMYFUNCTION("""COMPUTED_VALUE"""),"Online ADMIN.")</f>
        <v>Online ADMIN.</v>
      </c>
      <c r="F5237" s="1" t="str">
        <f t="shared" si="1"/>
        <v>Online </v>
      </c>
      <c r="G5237" s="1" t="str">
        <f t="shared" si="2"/>
        <v>ADMIN.</v>
      </c>
      <c r="H5237" s="1" t="str">
        <f>IFERROR(__xludf.DUMMYFUNCTION("""COMPUTED_VALUE"""),"14/4/2023, 17:00:00")</f>
        <v>14/4/2023, 17:00:00</v>
      </c>
      <c r="I5237" s="1" t="str">
        <f>IFERROR(__xludf.DUMMYFUNCTION("""COMPUTED_VALUE"""),"Completado en SUCURSAL")</f>
        <v>Completado en SUCURSAL</v>
      </c>
      <c r="J5237" s="1">
        <f t="shared" si="3"/>
        <v>5</v>
      </c>
      <c r="K5237" s="1" t="str">
        <f t="shared" si="4"/>
        <v>Tus Lentes estan LISTAS PARA ENTREGAR, te esperamos.</v>
      </c>
    </row>
    <row r="5238">
      <c r="A5238" s="1">
        <f>IFERROR(__xludf.DUMMYFUNCTION("""COMPUTED_VALUE"""),89803.0)</f>
        <v>89803</v>
      </c>
      <c r="B5238" s="5">
        <f>IFERROR(__xludf.DUMMYFUNCTION("""COMPUTED_VALUE"""),45028.4627903125)</f>
        <v>45028.46279</v>
      </c>
      <c r="C5238" s="1" t="str">
        <f>IFERROR(__xludf.DUMMYFUNCTION("""COMPUTED_VALUE"""),"PEREYRA BETTINA (PROGRAMA MEDICINA DEL INTERIOR GOB)")</f>
        <v>PEREYRA BETTINA (PROGRAMA MEDICINA DEL INTERIOR GOB)</v>
      </c>
      <c r="D5238" s="1" t="str">
        <f>IFERROR(__xludf.DUMMYFUNCTION("""COMPUTED_VALUE"""),"Lentes de STOCK")</f>
        <v>Lentes de STOCK</v>
      </c>
      <c r="E5238" s="1" t="str">
        <f>IFERROR(__xludf.DUMMYFUNCTION("""COMPUTED_VALUE"""),"Online ADMIN.")</f>
        <v>Online ADMIN.</v>
      </c>
      <c r="F5238" s="1" t="str">
        <f t="shared" si="1"/>
        <v>Online </v>
      </c>
      <c r="G5238" s="1" t="str">
        <f t="shared" si="2"/>
        <v>ADMIN.</v>
      </c>
      <c r="H5238" s="1" t="str">
        <f>IFERROR(__xludf.DUMMYFUNCTION("""COMPUTED_VALUE"""),"14/4/2023, 17:00:00")</f>
        <v>14/4/2023, 17:00:00</v>
      </c>
      <c r="I5238" s="1" t="str">
        <f>IFERROR(__xludf.DUMMYFUNCTION("""COMPUTED_VALUE"""),"Completado en SUCURSAL")</f>
        <v>Completado en SUCURSAL</v>
      </c>
      <c r="J5238" s="1">
        <f t="shared" si="3"/>
        <v>5</v>
      </c>
      <c r="K5238" s="1" t="str">
        <f t="shared" si="4"/>
        <v>Tus Lentes estan LISTAS PARA ENTREGAR, te esperamos.</v>
      </c>
    </row>
    <row r="5239">
      <c r="A5239" s="1">
        <f>IFERROR(__xludf.DUMMYFUNCTION("""COMPUTED_VALUE"""),89804.0)</f>
        <v>89804</v>
      </c>
      <c r="B5239" s="5">
        <f>IFERROR(__xludf.DUMMYFUNCTION("""COMPUTED_VALUE"""),45028.46330270833)</f>
        <v>45028.4633</v>
      </c>
      <c r="C5239" s="1" t="str">
        <f>IFERROR(__xludf.DUMMYFUNCTION("""COMPUTED_VALUE"""),"MORALES JULIO (PROGRAMA MEDICINA DEL INTERIOR GOB)")</f>
        <v>MORALES JULIO (PROGRAMA MEDICINA DEL INTERIOR GOB)</v>
      </c>
      <c r="D5239" s="1" t="str">
        <f>IFERROR(__xludf.DUMMYFUNCTION("""COMPUTED_VALUE"""),"Lentes de STOCK")</f>
        <v>Lentes de STOCK</v>
      </c>
      <c r="E5239" s="1" t="str">
        <f>IFERROR(__xludf.DUMMYFUNCTION("""COMPUTED_VALUE"""),"Online ADMIN.")</f>
        <v>Online ADMIN.</v>
      </c>
      <c r="F5239" s="1" t="str">
        <f t="shared" si="1"/>
        <v>Online </v>
      </c>
      <c r="G5239" s="1" t="str">
        <f t="shared" si="2"/>
        <v>ADMIN.</v>
      </c>
      <c r="H5239" s="1" t="str">
        <f>IFERROR(__xludf.DUMMYFUNCTION("""COMPUTED_VALUE"""),"14/4/2023, 17:00:00")</f>
        <v>14/4/2023, 17:00:00</v>
      </c>
      <c r="I5239" s="1" t="str">
        <f>IFERROR(__xludf.DUMMYFUNCTION("""COMPUTED_VALUE"""),"Completado en SUCURSAL")</f>
        <v>Completado en SUCURSAL</v>
      </c>
      <c r="J5239" s="1">
        <f t="shared" si="3"/>
        <v>5</v>
      </c>
      <c r="K5239" s="1" t="str">
        <f t="shared" si="4"/>
        <v>Tus Lentes estan LISTAS PARA ENTREGAR, te esperamos.</v>
      </c>
    </row>
    <row r="5240">
      <c r="A5240" s="1">
        <f>IFERROR(__xludf.DUMMYFUNCTION("""COMPUTED_VALUE"""),89805.0)</f>
        <v>89805</v>
      </c>
      <c r="B5240" s="5">
        <f>IFERROR(__xludf.DUMMYFUNCTION("""COMPUTED_VALUE"""),45028.46380986111)</f>
        <v>45028.46381</v>
      </c>
      <c r="C5240" s="1" t="str">
        <f>IFERROR(__xludf.DUMMYFUNCTION("""COMPUTED_VALUE"""),"COSTA THIAGO (PROGRAMA MEDICINA DEL INTERIOR GOB)")</f>
        <v>COSTA THIAGO (PROGRAMA MEDICINA DEL INTERIOR GOB)</v>
      </c>
      <c r="D5240" s="1" t="str">
        <f>IFERROR(__xludf.DUMMYFUNCTION("""COMPUTED_VALUE"""),"Lentes de STOCK")</f>
        <v>Lentes de STOCK</v>
      </c>
      <c r="E5240" s="1" t="str">
        <f>IFERROR(__xludf.DUMMYFUNCTION("""COMPUTED_VALUE"""),"Online ADMIN.")</f>
        <v>Online ADMIN.</v>
      </c>
      <c r="F5240" s="1" t="str">
        <f t="shared" si="1"/>
        <v>Online </v>
      </c>
      <c r="G5240" s="1" t="str">
        <f t="shared" si="2"/>
        <v>ADMIN.</v>
      </c>
      <c r="H5240" s="1" t="str">
        <f>IFERROR(__xludf.DUMMYFUNCTION("""COMPUTED_VALUE"""),"14/4/2023, 17:00:00")</f>
        <v>14/4/2023, 17:00:00</v>
      </c>
      <c r="I5240" s="1" t="str">
        <f>IFERROR(__xludf.DUMMYFUNCTION("""COMPUTED_VALUE"""),"Completado en SUCURSAL")</f>
        <v>Completado en SUCURSAL</v>
      </c>
      <c r="J5240" s="1">
        <f t="shared" si="3"/>
        <v>5</v>
      </c>
      <c r="K5240" s="1" t="str">
        <f t="shared" si="4"/>
        <v>Tus Lentes estan LISTAS PARA ENTREGAR, te esperamos.</v>
      </c>
    </row>
    <row r="5241">
      <c r="A5241" s="1">
        <f>IFERROR(__xludf.DUMMYFUNCTION("""COMPUTED_VALUE"""),89806.0)</f>
        <v>89806</v>
      </c>
      <c r="B5241" s="5">
        <f>IFERROR(__xludf.DUMMYFUNCTION("""COMPUTED_VALUE"""),45028.46414011574)</f>
        <v>45028.46414</v>
      </c>
      <c r="C5241" s="1" t="str">
        <f>IFERROR(__xludf.DUMMYFUNCTION("""COMPUTED_VALUE"""),"GIL NOEMI DEL CARMEN (PROGRAMA MEDICINA DEL INTERIOR GOB)")</f>
        <v>GIL NOEMI DEL CARMEN (PROGRAMA MEDICINA DEL INTERIOR GOB)</v>
      </c>
      <c r="D5241" s="1" t="str">
        <f>IFERROR(__xludf.DUMMYFUNCTION("""COMPUTED_VALUE"""),"Lentes de STOCK")</f>
        <v>Lentes de STOCK</v>
      </c>
      <c r="E5241" s="1" t="str">
        <f>IFERROR(__xludf.DUMMYFUNCTION("""COMPUTED_VALUE"""),"Online ADMIN.")</f>
        <v>Online ADMIN.</v>
      </c>
      <c r="F5241" s="1" t="str">
        <f t="shared" si="1"/>
        <v>Online </v>
      </c>
      <c r="G5241" s="1" t="str">
        <f t="shared" si="2"/>
        <v>ADMIN.</v>
      </c>
      <c r="H5241" s="1" t="str">
        <f>IFERROR(__xludf.DUMMYFUNCTION("""COMPUTED_VALUE"""),"14/4/2023, 17:00:00")</f>
        <v>14/4/2023, 17:00:00</v>
      </c>
      <c r="I5241" s="1" t="str">
        <f>IFERROR(__xludf.DUMMYFUNCTION("""COMPUTED_VALUE"""),"Completado en SUCURSAL")</f>
        <v>Completado en SUCURSAL</v>
      </c>
      <c r="J5241" s="1">
        <f t="shared" si="3"/>
        <v>5</v>
      </c>
      <c r="K5241" s="1" t="str">
        <f t="shared" si="4"/>
        <v>Tus Lentes estan LISTAS PARA ENTREGAR, te esperamos.</v>
      </c>
    </row>
    <row r="5242">
      <c r="A5242" s="1">
        <f>IFERROR(__xludf.DUMMYFUNCTION("""COMPUTED_VALUE"""),89807.0)</f>
        <v>89807</v>
      </c>
      <c r="B5242" s="5">
        <f>IFERROR(__xludf.DUMMYFUNCTION("""COMPUTED_VALUE"""),45028.464676331016)</f>
        <v>45028.46468</v>
      </c>
      <c r="C5242" s="1" t="str">
        <f>IFERROR(__xludf.DUMMYFUNCTION("""COMPUTED_VALUE"""),"AMOROS GUILLERMO")</f>
        <v>AMOROS GUILLERMO</v>
      </c>
      <c r="D5242" s="1" t="str">
        <f>IFERROR(__xludf.DUMMYFUNCTION("""COMPUTED_VALUE"""),"Lentes MULTIFOCALES")</f>
        <v>Lentes MULTIFOCALES</v>
      </c>
      <c r="E5242" s="1" t="str">
        <f>IFERROR(__xludf.DUMMYFUNCTION("""COMPUTED_VALUE"""),"ARTIGAS Ivana P.")</f>
        <v>ARTIGAS Ivana P.</v>
      </c>
      <c r="F5242" s="1" t="str">
        <f t="shared" si="1"/>
        <v>ARTIGAS </v>
      </c>
      <c r="G5242" s="1" t="str">
        <f t="shared" si="2"/>
        <v>Ivana P.</v>
      </c>
      <c r="H5242" s="1" t="str">
        <f>IFERROR(__xludf.DUMMYFUNCTION("""COMPUTED_VALUE"""),"25/4/2023, 17:00:00")</f>
        <v>25/4/2023, 17:00:00</v>
      </c>
      <c r="I5242" s="1" t="str">
        <f>IFERROR(__xludf.DUMMYFUNCTION("""COMPUTED_VALUE"""),"Recibido en Laboratorio")</f>
        <v>Recibido en Laboratorio</v>
      </c>
      <c r="J5242" s="1">
        <f t="shared" si="3"/>
        <v>2</v>
      </c>
      <c r="K5242" s="1" t="str">
        <f t="shared" si="4"/>
        <v>Nuestro Laboratorio esta trabajando en tus lentes, los entregaremos en la fecha acordada.</v>
      </c>
    </row>
    <row r="5243">
      <c r="A5243" s="1">
        <f>IFERROR(__xludf.DUMMYFUNCTION("""COMPUTED_VALUE"""),89808.0)</f>
        <v>89808</v>
      </c>
      <c r="B5243" s="5">
        <f>IFERROR(__xludf.DUMMYFUNCTION("""COMPUTED_VALUE"""),45028.46485354166)</f>
        <v>45028.46485</v>
      </c>
      <c r="C5243" s="1" t="str">
        <f>IFERROR(__xludf.DUMMYFUNCTION("""COMPUTED_VALUE"""),"COSTA MIRTA (PROGRAMA MEDICINA DEL INTERIOR GOB)")</f>
        <v>COSTA MIRTA (PROGRAMA MEDICINA DEL INTERIOR GOB)</v>
      </c>
      <c r="D5243" s="1" t="str">
        <f>IFERROR(__xludf.DUMMYFUNCTION("""COMPUTED_VALUE"""),"Lentes de STOCK")</f>
        <v>Lentes de STOCK</v>
      </c>
      <c r="E5243" s="1" t="str">
        <f>IFERROR(__xludf.DUMMYFUNCTION("""COMPUTED_VALUE"""),"Online ADMIN.")</f>
        <v>Online ADMIN.</v>
      </c>
      <c r="F5243" s="1" t="str">
        <f t="shared" si="1"/>
        <v>Online </v>
      </c>
      <c r="G5243" s="1" t="str">
        <f t="shared" si="2"/>
        <v>ADMIN.</v>
      </c>
      <c r="H5243" s="1" t="str">
        <f>IFERROR(__xludf.DUMMYFUNCTION("""COMPUTED_VALUE"""),"14/4/2023, 17:00:00")</f>
        <v>14/4/2023, 17:00:00</v>
      </c>
      <c r="I5243" s="1" t="str">
        <f>IFERROR(__xludf.DUMMYFUNCTION("""COMPUTED_VALUE"""),"Completado en SUCURSAL")</f>
        <v>Completado en SUCURSAL</v>
      </c>
      <c r="J5243" s="1">
        <f t="shared" si="3"/>
        <v>5</v>
      </c>
      <c r="K5243" s="1" t="str">
        <f t="shared" si="4"/>
        <v>Tus Lentes estan LISTAS PARA ENTREGAR, te esperamos.</v>
      </c>
    </row>
    <row r="5244">
      <c r="A5244" s="1">
        <f>IFERROR(__xludf.DUMMYFUNCTION("""COMPUTED_VALUE"""),89809.0)</f>
        <v>89809</v>
      </c>
      <c r="B5244" s="5">
        <f>IFERROR(__xludf.DUMMYFUNCTION("""COMPUTED_VALUE"""),45028.465385081014)</f>
        <v>45028.46539</v>
      </c>
      <c r="C5244" s="1" t="str">
        <f>IFERROR(__xludf.DUMMYFUNCTION("""COMPUTED_VALUE"""),"CORREA JUANA (PROGRAMA MEDICINA DEL INTERIOR GOB)")</f>
        <v>CORREA JUANA (PROGRAMA MEDICINA DEL INTERIOR GOB)</v>
      </c>
      <c r="D5244" s="1" t="str">
        <f>IFERROR(__xludf.DUMMYFUNCTION("""COMPUTED_VALUE"""),"Lentes de STOCK")</f>
        <v>Lentes de STOCK</v>
      </c>
      <c r="E5244" s="1" t="str">
        <f>IFERROR(__xludf.DUMMYFUNCTION("""COMPUTED_VALUE"""),"Online ADMIN.")</f>
        <v>Online ADMIN.</v>
      </c>
      <c r="F5244" s="1" t="str">
        <f t="shared" si="1"/>
        <v>Online </v>
      </c>
      <c r="G5244" s="1" t="str">
        <f t="shared" si="2"/>
        <v>ADMIN.</v>
      </c>
      <c r="H5244" s="1" t="str">
        <f>IFERROR(__xludf.DUMMYFUNCTION("""COMPUTED_VALUE"""),"14/4/2023, 17:00:00")</f>
        <v>14/4/2023, 17:00:00</v>
      </c>
      <c r="I5244" s="1" t="str">
        <f>IFERROR(__xludf.DUMMYFUNCTION("""COMPUTED_VALUE"""),"Recibido en Laboratorio")</f>
        <v>Recibido en Laboratorio</v>
      </c>
      <c r="J5244" s="1">
        <f t="shared" si="3"/>
        <v>2</v>
      </c>
      <c r="K5244" s="1" t="str">
        <f t="shared" si="4"/>
        <v>Nuestro Laboratorio esta trabajando en tus lentes, los entregaremos en la fecha acordada.</v>
      </c>
    </row>
    <row r="5245">
      <c r="A5245" s="1">
        <f>IFERROR(__xludf.DUMMYFUNCTION("""COMPUTED_VALUE"""),89810.0)</f>
        <v>89810</v>
      </c>
      <c r="B5245" s="5">
        <f>IFERROR(__xludf.DUMMYFUNCTION("""COMPUTED_VALUE"""),45028.46579714121)</f>
        <v>45028.4658</v>
      </c>
      <c r="C5245" s="1" t="str">
        <f>IFERROR(__xludf.DUMMYFUNCTION("""COMPUTED_VALUE"""),"CASATTE NANCY VIVIANA (PROGRAMA MEDICINA DEL INTERIOR GOB)")</f>
        <v>CASATTE NANCY VIVIANA (PROGRAMA MEDICINA DEL INTERIOR GOB)</v>
      </c>
      <c r="D5245" s="1" t="str">
        <f>IFERROR(__xludf.DUMMYFUNCTION("""COMPUTED_VALUE"""),"Lentes de STOCK")</f>
        <v>Lentes de STOCK</v>
      </c>
      <c r="E5245" s="1" t="str">
        <f>IFERROR(__xludf.DUMMYFUNCTION("""COMPUTED_VALUE"""),"Online ADMIN.")</f>
        <v>Online ADMIN.</v>
      </c>
      <c r="F5245" s="1" t="str">
        <f t="shared" si="1"/>
        <v>Online </v>
      </c>
      <c r="G5245" s="1" t="str">
        <f t="shared" si="2"/>
        <v>ADMIN.</v>
      </c>
      <c r="H5245" s="1" t="str">
        <f>IFERROR(__xludf.DUMMYFUNCTION("""COMPUTED_VALUE"""),"14/4/2023, 17:00:00")</f>
        <v>14/4/2023, 17:00:00</v>
      </c>
      <c r="I5245" s="1" t="str">
        <f>IFERROR(__xludf.DUMMYFUNCTION("""COMPUTED_VALUE"""),"Completado en SUCURSAL")</f>
        <v>Completado en SUCURSAL</v>
      </c>
      <c r="J5245" s="1">
        <f t="shared" si="3"/>
        <v>5</v>
      </c>
      <c r="K5245" s="1" t="str">
        <f t="shared" si="4"/>
        <v>Tus Lentes estan LISTAS PARA ENTREGAR, te esperamos.</v>
      </c>
    </row>
    <row r="5246">
      <c r="A5246" s="1">
        <f>IFERROR(__xludf.DUMMYFUNCTION("""COMPUTED_VALUE"""),89811.0)</f>
        <v>89811</v>
      </c>
      <c r="B5246" s="5">
        <f>IFERROR(__xludf.DUMMYFUNCTION("""COMPUTED_VALUE"""),45028.466299594904)</f>
        <v>45028.4663</v>
      </c>
      <c r="C5246" s="1" t="str">
        <f>IFERROR(__xludf.DUMMYFUNCTION("""COMPUTED_VALUE"""),"CORRA GRACIELA (PROGRAMA MEDICINA DEL INTERIOR GOB)")</f>
        <v>CORRA GRACIELA (PROGRAMA MEDICINA DEL INTERIOR GOB)</v>
      </c>
      <c r="D5246" s="1" t="str">
        <f>IFERROR(__xludf.DUMMYFUNCTION("""COMPUTED_VALUE"""),"Lentes de STOCK")</f>
        <v>Lentes de STOCK</v>
      </c>
      <c r="E5246" s="1" t="str">
        <f>IFERROR(__xludf.DUMMYFUNCTION("""COMPUTED_VALUE"""),"Online ADMIN.")</f>
        <v>Online ADMIN.</v>
      </c>
      <c r="F5246" s="1" t="str">
        <f t="shared" si="1"/>
        <v>Online </v>
      </c>
      <c r="G5246" s="1" t="str">
        <f t="shared" si="2"/>
        <v>ADMIN.</v>
      </c>
      <c r="H5246" s="1" t="str">
        <f>IFERROR(__xludf.DUMMYFUNCTION("""COMPUTED_VALUE"""),"14/4/2023, 17:00:00")</f>
        <v>14/4/2023, 17:00:00</v>
      </c>
      <c r="I5246" s="1" t="str">
        <f>IFERROR(__xludf.DUMMYFUNCTION("""COMPUTED_VALUE"""),"Completado en SUCURSAL")</f>
        <v>Completado en SUCURSAL</v>
      </c>
      <c r="J5246" s="1">
        <f t="shared" si="3"/>
        <v>5</v>
      </c>
      <c r="K5246" s="1" t="str">
        <f t="shared" si="4"/>
        <v>Tus Lentes estan LISTAS PARA ENTREGAR, te esperamos.</v>
      </c>
    </row>
    <row r="5247">
      <c r="A5247" s="1">
        <f>IFERROR(__xludf.DUMMYFUNCTION("""COMPUTED_VALUE"""),89812.0)</f>
        <v>89812</v>
      </c>
      <c r="B5247" s="5">
        <f>IFERROR(__xludf.DUMMYFUNCTION("""COMPUTED_VALUE"""),45028.466763993056)</f>
        <v>45028.46676</v>
      </c>
      <c r="C5247" s="1" t="str">
        <f>IFERROR(__xludf.DUMMYFUNCTION("""COMPUTED_VALUE"""),"BORDON ROMERO ZAIDA LILIANA (PROGRAMA MEDICINA DEL INTERIOR GOB)")</f>
        <v>BORDON ROMERO ZAIDA LILIANA (PROGRAMA MEDICINA DEL INTERIOR GOB)</v>
      </c>
      <c r="D5247" s="1" t="str">
        <f>IFERROR(__xludf.DUMMYFUNCTION("""COMPUTED_VALUE"""),"Lentes de STOCK")</f>
        <v>Lentes de STOCK</v>
      </c>
      <c r="E5247" s="1" t="str">
        <f>IFERROR(__xludf.DUMMYFUNCTION("""COMPUTED_VALUE"""),"Online ADMIN.")</f>
        <v>Online ADMIN.</v>
      </c>
      <c r="F5247" s="1" t="str">
        <f t="shared" si="1"/>
        <v>Online </v>
      </c>
      <c r="G5247" s="1" t="str">
        <f t="shared" si="2"/>
        <v>ADMIN.</v>
      </c>
      <c r="H5247" s="1" t="str">
        <f>IFERROR(__xludf.DUMMYFUNCTION("""COMPUTED_VALUE"""),"14/4/2023, 17:00:00")</f>
        <v>14/4/2023, 17:00:00</v>
      </c>
      <c r="I5247" s="1" t="str">
        <f>IFERROR(__xludf.DUMMYFUNCTION("""COMPUTED_VALUE"""),"Completado en SUCURSAL")</f>
        <v>Completado en SUCURSAL</v>
      </c>
      <c r="J5247" s="1">
        <f t="shared" si="3"/>
        <v>5</v>
      </c>
      <c r="K5247" s="1" t="str">
        <f t="shared" si="4"/>
        <v>Tus Lentes estan LISTAS PARA ENTREGAR, te esperamos.</v>
      </c>
    </row>
    <row r="5248">
      <c r="A5248" s="1">
        <f>IFERROR(__xludf.DUMMYFUNCTION("""COMPUTED_VALUE"""),89813.0)</f>
        <v>89813</v>
      </c>
      <c r="B5248" s="5">
        <f>IFERROR(__xludf.DUMMYFUNCTION("""COMPUTED_VALUE"""),45028.46714350695)</f>
        <v>45028.46714</v>
      </c>
      <c r="C5248" s="1" t="str">
        <f>IFERROR(__xludf.DUMMYFUNCTION("""COMPUTED_VALUE"""),"AGUERO LAURA (PROGRAMA MEDICINA DEL INTERIOR GOB)")</f>
        <v>AGUERO LAURA (PROGRAMA MEDICINA DEL INTERIOR GOB)</v>
      </c>
      <c r="D5248" s="1" t="str">
        <f>IFERROR(__xludf.DUMMYFUNCTION("""COMPUTED_VALUE"""),"Lentes de STOCK")</f>
        <v>Lentes de STOCK</v>
      </c>
      <c r="E5248" s="1" t="str">
        <f>IFERROR(__xludf.DUMMYFUNCTION("""COMPUTED_VALUE"""),"Online ADMIN.")</f>
        <v>Online ADMIN.</v>
      </c>
      <c r="F5248" s="1" t="str">
        <f t="shared" si="1"/>
        <v>Online </v>
      </c>
      <c r="G5248" s="1" t="str">
        <f t="shared" si="2"/>
        <v>ADMIN.</v>
      </c>
      <c r="H5248" s="1" t="str">
        <f>IFERROR(__xludf.DUMMYFUNCTION("""COMPUTED_VALUE"""),"14/4/2023, 17:00:00")</f>
        <v>14/4/2023, 17:00:00</v>
      </c>
      <c r="I5248" s="1" t="str">
        <f>IFERROR(__xludf.DUMMYFUNCTION("""COMPUTED_VALUE"""),"Completado en SUCURSAL")</f>
        <v>Completado en SUCURSAL</v>
      </c>
      <c r="J5248" s="1">
        <f t="shared" si="3"/>
        <v>5</v>
      </c>
      <c r="K5248" s="1" t="str">
        <f t="shared" si="4"/>
        <v>Tus Lentes estan LISTAS PARA ENTREGAR, te esperamos.</v>
      </c>
    </row>
    <row r="5249">
      <c r="A5249" s="1">
        <f>IFERROR(__xludf.DUMMYFUNCTION("""COMPUTED_VALUE"""),89814.0)</f>
        <v>89814</v>
      </c>
      <c r="B5249" s="5">
        <f>IFERROR(__xludf.DUMMYFUNCTION("""COMPUTED_VALUE"""),45028.467768125)</f>
        <v>45028.46777</v>
      </c>
      <c r="C5249" s="1" t="str">
        <f>IFERROR(__xludf.DUMMYFUNCTION("""COMPUTED_VALUE"""),"ALVAREZ ADRIANA (PROGRAMA MEDICINA DEL INTERIOR GOB)")</f>
        <v>ALVAREZ ADRIANA (PROGRAMA MEDICINA DEL INTERIOR GOB)</v>
      </c>
      <c r="D5249" s="1" t="str">
        <f>IFERROR(__xludf.DUMMYFUNCTION("""COMPUTED_VALUE"""),"Lentes de STOCK")</f>
        <v>Lentes de STOCK</v>
      </c>
      <c r="E5249" s="1" t="str">
        <f>IFERROR(__xludf.DUMMYFUNCTION("""COMPUTED_VALUE"""),"Online ADMIN.")</f>
        <v>Online ADMIN.</v>
      </c>
      <c r="F5249" s="1" t="str">
        <f t="shared" si="1"/>
        <v>Online </v>
      </c>
      <c r="G5249" s="1" t="str">
        <f t="shared" si="2"/>
        <v>ADMIN.</v>
      </c>
      <c r="H5249" s="1" t="str">
        <f>IFERROR(__xludf.DUMMYFUNCTION("""COMPUTED_VALUE"""),"14/4/2023, 17:00:00")</f>
        <v>14/4/2023, 17:00:00</v>
      </c>
      <c r="I5249" s="1" t="str">
        <f>IFERROR(__xludf.DUMMYFUNCTION("""COMPUTED_VALUE"""),"Completado en SUCURSAL")</f>
        <v>Completado en SUCURSAL</v>
      </c>
      <c r="J5249" s="1">
        <f t="shared" si="3"/>
        <v>5</v>
      </c>
      <c r="K5249" s="1" t="str">
        <f t="shared" si="4"/>
        <v>Tus Lentes estan LISTAS PARA ENTREGAR, te esperamos.</v>
      </c>
    </row>
    <row r="5250">
      <c r="A5250" s="1">
        <f>IFERROR(__xludf.DUMMYFUNCTION("""COMPUTED_VALUE"""),89815.0)</f>
        <v>89815</v>
      </c>
      <c r="B5250" s="5">
        <f>IFERROR(__xludf.DUMMYFUNCTION("""COMPUTED_VALUE"""),45028.474473344904)</f>
        <v>45028.47447</v>
      </c>
      <c r="C5250" s="1" t="str">
        <f>IFERROR(__xludf.DUMMYFUNCTION("""COMPUTED_VALUE"""),"MIRANDA OSCAR ALDO")</f>
        <v>MIRANDA OSCAR ALDO</v>
      </c>
      <c r="D5250" s="1" t="str">
        <f>IFERROR(__xludf.DUMMYFUNCTION("""COMPUTED_VALUE"""),"Lentes de STOCK")</f>
        <v>Lentes de STOCK</v>
      </c>
      <c r="E5250" s="1" t="str">
        <f>IFERROR(__xludf.DUMMYFUNCTION("""COMPUTED_VALUE"""),"ARTIGAS Roció")</f>
        <v>ARTIGAS Roció</v>
      </c>
      <c r="F5250" s="1" t="str">
        <f t="shared" si="1"/>
        <v>ARTIGAS </v>
      </c>
      <c r="G5250" s="1" t="str">
        <f t="shared" si="2"/>
        <v>Roció</v>
      </c>
      <c r="H5250" s="1" t="str">
        <f>IFERROR(__xludf.DUMMYFUNCTION("""COMPUTED_VALUE"""),"19/4/2023, 17:00:00")</f>
        <v>19/4/2023, 17:00:00</v>
      </c>
      <c r="I5250" s="1" t="str">
        <f>IFERROR(__xludf.DUMMYFUNCTION("""COMPUTED_VALUE"""),"Completado en SUCURSAL")</f>
        <v>Completado en SUCURSAL</v>
      </c>
      <c r="J5250" s="1">
        <f t="shared" si="3"/>
        <v>5</v>
      </c>
      <c r="K5250" s="1" t="str">
        <f t="shared" si="4"/>
        <v>Tus Lentes estan LISTAS PARA ENTREGAR, te esperamos.</v>
      </c>
    </row>
    <row r="5251">
      <c r="A5251" s="1">
        <f>IFERROR(__xludf.DUMMYFUNCTION("""COMPUTED_VALUE"""),89816.0)</f>
        <v>89816</v>
      </c>
      <c r="B5251" s="5">
        <f>IFERROR(__xludf.DUMMYFUNCTION("""COMPUTED_VALUE"""),45028.47571305555)</f>
        <v>45028.47571</v>
      </c>
      <c r="C5251" s="1" t="str">
        <f>IFERROR(__xludf.DUMMYFUNCTION("""COMPUTED_VALUE"""),"FLORES RUFINO")</f>
        <v>FLORES RUFINO</v>
      </c>
      <c r="D5251" s="1" t="str">
        <f>IFERROR(__xludf.DUMMYFUNCTION("""COMPUTED_VALUE"""),"Lentes de STOCK")</f>
        <v>Lentes de STOCK</v>
      </c>
      <c r="E5251" s="1" t="str">
        <f>IFERROR(__xludf.DUMMYFUNCTION("""COMPUTED_VALUE"""),"ARTIGAS Ivana P.")</f>
        <v>ARTIGAS Ivana P.</v>
      </c>
      <c r="F5251" s="1" t="str">
        <f t="shared" si="1"/>
        <v>ARTIGAS </v>
      </c>
      <c r="G5251" s="1" t="str">
        <f t="shared" si="2"/>
        <v>Ivana P.</v>
      </c>
      <c r="H5251" s="1" t="str">
        <f>IFERROR(__xludf.DUMMYFUNCTION("""COMPUTED_VALUE"""),"19/4/2023, 17:00:00")</f>
        <v>19/4/2023, 17:00:00</v>
      </c>
      <c r="I5251" s="1" t="str">
        <f>IFERROR(__xludf.DUMMYFUNCTION("""COMPUTED_VALUE"""),"Completado en SUCURSAL")</f>
        <v>Completado en SUCURSAL</v>
      </c>
      <c r="J5251" s="1">
        <f t="shared" si="3"/>
        <v>5</v>
      </c>
      <c r="K5251" s="1" t="str">
        <f t="shared" si="4"/>
        <v>Tus Lentes estan LISTAS PARA ENTREGAR, te esperamos.</v>
      </c>
    </row>
    <row r="5252">
      <c r="A5252" s="1">
        <f>IFERROR(__xludf.DUMMYFUNCTION("""COMPUTED_VALUE"""),89817.0)</f>
        <v>89817</v>
      </c>
      <c r="B5252" s="5">
        <f>IFERROR(__xludf.DUMMYFUNCTION("""COMPUTED_VALUE"""),45028.47785628472)</f>
        <v>45028.47786</v>
      </c>
      <c r="C5252" s="1" t="str">
        <f>IFERROR(__xludf.DUMMYFUNCTION("""COMPUTED_VALUE"""),"INFANTE JOSE ALBERTO")</f>
        <v>INFANTE JOSE ALBERTO</v>
      </c>
      <c r="D5252" s="1" t="str">
        <f>IFERROR(__xludf.DUMMYFUNCTION("""COMPUTED_VALUE"""),"Lentes de STOCK")</f>
        <v>Lentes de STOCK</v>
      </c>
      <c r="E5252" s="1" t="str">
        <f>IFERROR(__xludf.DUMMYFUNCTION("""COMPUTED_VALUE"""),"RIVADAVIA Marcela L")</f>
        <v>RIVADAVIA Marcela L</v>
      </c>
      <c r="F5252" s="1" t="str">
        <f t="shared" si="1"/>
        <v>RIVADAVIA </v>
      </c>
      <c r="G5252" s="1" t="str">
        <f t="shared" si="2"/>
        <v>Marcela L</v>
      </c>
      <c r="H5252" s="1" t="str">
        <f>IFERROR(__xludf.DUMMYFUNCTION("""COMPUTED_VALUE"""),"21/4/2023, 17:00:00")</f>
        <v>21/4/2023, 17:00:00</v>
      </c>
      <c r="I5252" s="1" t="str">
        <f>IFERROR(__xludf.DUMMYFUNCTION("""COMPUTED_VALUE"""),"Recibido en Laboratorio")</f>
        <v>Recibido en Laboratorio</v>
      </c>
      <c r="J5252" s="1">
        <f t="shared" si="3"/>
        <v>2</v>
      </c>
      <c r="K5252" s="1" t="str">
        <f t="shared" si="4"/>
        <v>Nuestro Laboratorio esta trabajando en tus lentes, los entregaremos en la fecha acordada.</v>
      </c>
    </row>
    <row r="5253">
      <c r="A5253" s="1">
        <f>IFERROR(__xludf.DUMMYFUNCTION("""COMPUTED_VALUE"""),89818.0)</f>
        <v>89818</v>
      </c>
      <c r="B5253" s="5">
        <f>IFERROR(__xludf.DUMMYFUNCTION("""COMPUTED_VALUE"""),45028.47966030093)</f>
        <v>45028.47966</v>
      </c>
      <c r="C5253" s="1" t="str">
        <f>IFERROR(__xludf.DUMMYFUNCTION("""COMPUTED_VALUE"""),"RIVAS PATRICIA")</f>
        <v>RIVAS PATRICIA</v>
      </c>
      <c r="D5253" s="1" t="str">
        <f>IFERROR(__xludf.DUMMYFUNCTION("""COMPUTED_VALUE"""),"Lentes de STOCK")</f>
        <v>Lentes de STOCK</v>
      </c>
      <c r="E5253" s="1" t="str">
        <f>IFERROR(__xludf.DUMMYFUNCTION("""COMPUTED_VALUE"""),"RIVADAVIA Christian C.")</f>
        <v>RIVADAVIA Christian C.</v>
      </c>
      <c r="F5253" s="1" t="str">
        <f t="shared" si="1"/>
        <v>RIVADAVIA </v>
      </c>
      <c r="G5253" s="1" t="str">
        <f t="shared" si="2"/>
        <v>Christian C.</v>
      </c>
      <c r="H5253" s="1" t="str">
        <f>IFERROR(__xludf.DUMMYFUNCTION("""COMPUTED_VALUE"""),"19/4/2023, 17:00:00")</f>
        <v>19/4/2023, 17:00:00</v>
      </c>
      <c r="I5253" s="1" t="str">
        <f>IFERROR(__xludf.DUMMYFUNCTION("""COMPUTED_VALUE"""),"Recibido en Laboratorio")</f>
        <v>Recibido en Laboratorio</v>
      </c>
      <c r="J5253" s="1">
        <f t="shared" si="3"/>
        <v>2</v>
      </c>
      <c r="K5253" s="1" t="str">
        <f t="shared" si="4"/>
        <v>Nuestro Laboratorio esta trabajando en tus lentes, los entregaremos en la fecha acordada.</v>
      </c>
    </row>
    <row r="5254">
      <c r="A5254" s="1">
        <f>IFERROR(__xludf.DUMMYFUNCTION("""COMPUTED_VALUE"""),89819.0)</f>
        <v>89819</v>
      </c>
      <c r="B5254" s="5">
        <f>IFERROR(__xludf.DUMMYFUNCTION("""COMPUTED_VALUE"""),45028.48232780093)</f>
        <v>45028.48233</v>
      </c>
      <c r="C5254" s="1" t="str">
        <f>IFERROR(__xludf.DUMMYFUNCTION("""COMPUTED_VALUE"""),"MITCHELL MARGARITA CAROLINA")</f>
        <v>MITCHELL MARGARITA CAROLINA</v>
      </c>
      <c r="D5254" s="1" t="str">
        <f>IFERROR(__xludf.DUMMYFUNCTION("""COMPUTED_VALUE"""),"Lentes BIFOCALES")</f>
        <v>Lentes BIFOCALES</v>
      </c>
      <c r="E5254" s="1" t="str">
        <f>IFERROR(__xludf.DUMMYFUNCTION("""COMPUTED_VALUE"""),"RIVADAVIA Marcela L")</f>
        <v>RIVADAVIA Marcela L</v>
      </c>
      <c r="F5254" s="1" t="str">
        <f t="shared" si="1"/>
        <v>RIVADAVIA </v>
      </c>
      <c r="G5254" s="1" t="str">
        <f t="shared" si="2"/>
        <v>Marcela L</v>
      </c>
      <c r="H5254" s="1" t="str">
        <f>IFERROR(__xludf.DUMMYFUNCTION("""COMPUTED_VALUE"""),"17/4/2023, 17:00:00")</f>
        <v>17/4/2023, 17:00:00</v>
      </c>
      <c r="I5254" s="1" t="str">
        <f>IFERROR(__xludf.DUMMYFUNCTION("""COMPUTED_VALUE"""),"Recibido en Laboratorio")</f>
        <v>Recibido en Laboratorio</v>
      </c>
      <c r="J5254" s="1">
        <f t="shared" si="3"/>
        <v>2</v>
      </c>
      <c r="K5254" s="1" t="str">
        <f t="shared" si="4"/>
        <v>Nuestro Laboratorio esta trabajando en tus lentes, los entregaremos en la fecha acordada.</v>
      </c>
    </row>
    <row r="5255">
      <c r="A5255" s="1">
        <f>IFERROR(__xludf.DUMMYFUNCTION("""COMPUTED_VALUE"""),89820.0)</f>
        <v>89820</v>
      </c>
      <c r="B5255" s="5">
        <f>IFERROR(__xludf.DUMMYFUNCTION("""COMPUTED_VALUE"""),45028.48319116898)</f>
        <v>45028.48319</v>
      </c>
      <c r="C5255" s="1" t="str">
        <f>IFERROR(__xludf.DUMMYFUNCTION("""COMPUTED_VALUE"""),"perone karen ivana")</f>
        <v>perone karen ivana</v>
      </c>
      <c r="D5255" s="1" t="str">
        <f>IFERROR(__xludf.DUMMYFUNCTION("""COMPUTED_VALUE"""),"Lentes de STOCK")</f>
        <v>Lentes de STOCK</v>
      </c>
      <c r="E5255" s="1" t="str">
        <f>IFERROR(__xludf.DUMMYFUNCTION("""COMPUTED_VALUE"""),"RIVADAVIA Santiago N")</f>
        <v>RIVADAVIA Santiago N</v>
      </c>
      <c r="F5255" s="1" t="str">
        <f t="shared" si="1"/>
        <v>RIVADAVIA </v>
      </c>
      <c r="G5255" s="1" t="str">
        <f t="shared" si="2"/>
        <v>Santiago N</v>
      </c>
      <c r="H5255" s="1" t="str">
        <f>IFERROR(__xludf.DUMMYFUNCTION("""COMPUTED_VALUE"""),"14/4/2023, 17:00:00")</f>
        <v>14/4/2023, 17:00:00</v>
      </c>
      <c r="I5255" s="1" t="str">
        <f>IFERROR(__xludf.DUMMYFUNCTION("""COMPUTED_VALUE"""),"Completado en SUCURSAL")</f>
        <v>Completado en SUCURSAL</v>
      </c>
      <c r="J5255" s="1">
        <f t="shared" si="3"/>
        <v>5</v>
      </c>
      <c r="K5255" s="1" t="str">
        <f t="shared" si="4"/>
        <v>Tus Lentes estan LISTAS PARA ENTREGAR, te esperamos.</v>
      </c>
    </row>
    <row r="5256">
      <c r="A5256" s="1">
        <f>IFERROR(__xludf.DUMMYFUNCTION("""COMPUTED_VALUE"""),89821.0)</f>
        <v>89821</v>
      </c>
      <c r="B5256" s="5">
        <f>IFERROR(__xludf.DUMMYFUNCTION("""COMPUTED_VALUE"""),45028.4871341088)</f>
        <v>45028.48713</v>
      </c>
      <c r="C5256" s="1" t="str">
        <f>IFERROR(__xludf.DUMMYFUNCTION("""COMPUTED_VALUE"""),"SEREY ENRIQUE")</f>
        <v>SEREY ENRIQUE</v>
      </c>
      <c r="D5256" s="1" t="str">
        <f>IFERROR(__xludf.DUMMYFUNCTION("""COMPUTED_VALUE"""),"Lentes de STOCK")</f>
        <v>Lentes de STOCK</v>
      </c>
      <c r="E5256" s="1" t="str">
        <f>IFERROR(__xludf.DUMMYFUNCTION("""COMPUTED_VALUE"""),"ARTIGAS Roció")</f>
        <v>ARTIGAS Roció</v>
      </c>
      <c r="F5256" s="1" t="str">
        <f t="shared" si="1"/>
        <v>ARTIGAS </v>
      </c>
      <c r="G5256" s="1" t="str">
        <f t="shared" si="2"/>
        <v>Roció</v>
      </c>
      <c r="H5256" s="1" t="str">
        <f>IFERROR(__xludf.DUMMYFUNCTION("""COMPUTED_VALUE"""),"19/4/2023, 17:00:00")</f>
        <v>19/4/2023, 17:00:00</v>
      </c>
      <c r="I5256" s="1" t="str">
        <f>IFERROR(__xludf.DUMMYFUNCTION("""COMPUTED_VALUE"""),"Completado en SUCURSAL")</f>
        <v>Completado en SUCURSAL</v>
      </c>
      <c r="J5256" s="1">
        <f t="shared" si="3"/>
        <v>5</v>
      </c>
      <c r="K5256" s="1" t="str">
        <f t="shared" si="4"/>
        <v>Tus Lentes estan LISTAS PARA ENTREGAR, te esperamos.</v>
      </c>
    </row>
    <row r="5257">
      <c r="A5257" s="1">
        <f>IFERROR(__xludf.DUMMYFUNCTION("""COMPUTED_VALUE"""),89822.0)</f>
        <v>89822</v>
      </c>
      <c r="B5257" s="5">
        <f>IFERROR(__xludf.DUMMYFUNCTION("""COMPUTED_VALUE"""),45028.50141375)</f>
        <v>45028.50141</v>
      </c>
      <c r="C5257" s="1" t="str">
        <f>IFERROR(__xludf.DUMMYFUNCTION("""COMPUTED_VALUE"""),"sosa sonia")</f>
        <v>sosa sonia</v>
      </c>
      <c r="D5257" s="1" t="str">
        <f>IFERROR(__xludf.DUMMYFUNCTION("""COMPUTED_VALUE"""),"Lentes BIFOCALES")</f>
        <v>Lentes BIFOCALES</v>
      </c>
      <c r="E5257" s="1" t="str">
        <f>IFERROR(__xludf.DUMMYFUNCTION("""COMPUTED_VALUE"""),"RIVADAVIA Santiago N")</f>
        <v>RIVADAVIA Santiago N</v>
      </c>
      <c r="F5257" s="1" t="str">
        <f t="shared" si="1"/>
        <v>RIVADAVIA </v>
      </c>
      <c r="G5257" s="1" t="str">
        <f t="shared" si="2"/>
        <v>Santiago N</v>
      </c>
      <c r="H5257" s="1" t="str">
        <f>IFERROR(__xludf.DUMMYFUNCTION("""COMPUTED_VALUE"""),"15/4/2023, 17:00:00")</f>
        <v>15/4/2023, 17:00:00</v>
      </c>
      <c r="I5257" s="1" t="str">
        <f>IFERROR(__xludf.DUMMYFUNCTION("""COMPUTED_VALUE"""),"Completado en SUCURSAL")</f>
        <v>Completado en SUCURSAL</v>
      </c>
      <c r="J5257" s="1">
        <f t="shared" si="3"/>
        <v>5</v>
      </c>
      <c r="K5257" s="1" t="str">
        <f t="shared" si="4"/>
        <v>Tus Lentes estan LISTAS PARA ENTREGAR, te esperamos.</v>
      </c>
    </row>
    <row r="5258">
      <c r="A5258" s="1">
        <f>IFERROR(__xludf.DUMMYFUNCTION("""COMPUTED_VALUE"""),89823.0)</f>
        <v>89823</v>
      </c>
      <c r="B5258" s="5">
        <f>IFERROR(__xludf.DUMMYFUNCTION("""COMPUTED_VALUE"""),45028.50600122685)</f>
        <v>45028.506</v>
      </c>
      <c r="C5258" s="1" t="str">
        <f>IFERROR(__xludf.DUMMYFUNCTION("""COMPUTED_VALUE"""),"LUCERO DIAZ FEDERICO")</f>
        <v>LUCERO DIAZ FEDERICO</v>
      </c>
      <c r="D5258" s="1" t="str">
        <f>IFERROR(__xludf.DUMMYFUNCTION("""COMPUTED_VALUE"""),"Lentes de STOCK")</f>
        <v>Lentes de STOCK</v>
      </c>
      <c r="E5258" s="1" t="str">
        <f>IFERROR(__xludf.DUMMYFUNCTION("""COMPUTED_VALUE"""),"RIVADAVIA Christian C.")</f>
        <v>RIVADAVIA Christian C.</v>
      </c>
      <c r="F5258" s="1" t="str">
        <f t="shared" si="1"/>
        <v>RIVADAVIA </v>
      </c>
      <c r="G5258" s="1" t="str">
        <f t="shared" si="2"/>
        <v>Christian C.</v>
      </c>
      <c r="H5258" s="1" t="str">
        <f>IFERROR(__xludf.DUMMYFUNCTION("""COMPUTED_VALUE"""),"20/4/2023, 17:00:00")</f>
        <v>20/4/2023, 17:00:00</v>
      </c>
      <c r="I5258" s="1" t="str">
        <f>IFERROR(__xludf.DUMMYFUNCTION("""COMPUTED_VALUE"""),"Recibido en Laboratorio")</f>
        <v>Recibido en Laboratorio</v>
      </c>
      <c r="J5258" s="1">
        <f t="shared" si="3"/>
        <v>2</v>
      </c>
      <c r="K5258" s="1" t="str">
        <f t="shared" si="4"/>
        <v>Nuestro Laboratorio esta trabajando en tus lentes, los entregaremos en la fecha acordada.</v>
      </c>
    </row>
    <row r="5259">
      <c r="A5259" s="1">
        <f>IFERROR(__xludf.DUMMYFUNCTION("""COMPUTED_VALUE"""),89824.0)</f>
        <v>89824</v>
      </c>
      <c r="B5259" s="5">
        <f>IFERROR(__xludf.DUMMYFUNCTION("""COMPUTED_VALUE"""),45028.508890150464)</f>
        <v>45028.50889</v>
      </c>
      <c r="C5259" s="1" t="str">
        <f>IFERROR(__xludf.DUMMYFUNCTION("""COMPUTED_VALUE"""),"VILLALVA MARCELO")</f>
        <v>VILLALVA MARCELO</v>
      </c>
      <c r="D5259" s="1" t="str">
        <f>IFERROR(__xludf.DUMMYFUNCTION("""COMPUTED_VALUE"""),"Reparaciones/Otros")</f>
        <v>Reparaciones/Otros</v>
      </c>
      <c r="E5259" s="1" t="str">
        <f>IFERROR(__xludf.DUMMYFUNCTION("""COMPUTED_VALUE"""),"ARTIGAS Ivana P.")</f>
        <v>ARTIGAS Ivana P.</v>
      </c>
      <c r="F5259" s="1" t="str">
        <f t="shared" si="1"/>
        <v>ARTIGAS </v>
      </c>
      <c r="G5259" s="1" t="str">
        <f t="shared" si="2"/>
        <v>Ivana P.</v>
      </c>
      <c r="H5259" s="1" t="str">
        <f>IFERROR(__xludf.DUMMYFUNCTION("""COMPUTED_VALUE"""),"14/4/2023, 17:00:00")</f>
        <v>14/4/2023, 17:00:00</v>
      </c>
      <c r="I5259" s="1" t="str">
        <f>IFERROR(__xludf.DUMMYFUNCTION("""COMPUTED_VALUE"""),"Completado en SUCURSAL")</f>
        <v>Completado en SUCURSAL</v>
      </c>
      <c r="J5259" s="1">
        <f t="shared" si="3"/>
        <v>5</v>
      </c>
      <c r="K5259" s="1" t="str">
        <f t="shared" si="4"/>
        <v>Tus Lentes estan LISTAS PARA ENTREGAR, te esperamos.</v>
      </c>
    </row>
    <row r="5260">
      <c r="A5260" s="1">
        <f>IFERROR(__xludf.DUMMYFUNCTION("""COMPUTED_VALUE"""),89825.0)</f>
        <v>89825</v>
      </c>
      <c r="B5260" s="5">
        <f>IFERROR(__xludf.DUMMYFUNCTION("""COMPUTED_VALUE"""),45028.51057083333)</f>
        <v>45028.51057</v>
      </c>
      <c r="C5260" s="1" t="str">
        <f>IFERROR(__xludf.DUMMYFUNCTION("""COMPUTED_VALUE"""),"VILLALVA MARCELO")</f>
        <v>VILLALVA MARCELO</v>
      </c>
      <c r="D5260" s="1" t="str">
        <f>IFERROR(__xludf.DUMMYFUNCTION("""COMPUTED_VALUE"""),"Reparaciones/Otros")</f>
        <v>Reparaciones/Otros</v>
      </c>
      <c r="E5260" s="1" t="str">
        <f>IFERROR(__xludf.DUMMYFUNCTION("""COMPUTED_VALUE"""),"ARTIGAS Ivana P.")</f>
        <v>ARTIGAS Ivana P.</v>
      </c>
      <c r="F5260" s="1" t="str">
        <f t="shared" si="1"/>
        <v>ARTIGAS </v>
      </c>
      <c r="G5260" s="1" t="str">
        <f t="shared" si="2"/>
        <v>Ivana P.</v>
      </c>
      <c r="H5260" s="1" t="str">
        <f>IFERROR(__xludf.DUMMYFUNCTION("""COMPUTED_VALUE"""),"14/4/2023, 17:00:00")</f>
        <v>14/4/2023, 17:00:00</v>
      </c>
      <c r="I5260" s="1" t="str">
        <f>IFERROR(__xludf.DUMMYFUNCTION("""COMPUTED_VALUE"""),"Completado en SUCURSAL")</f>
        <v>Completado en SUCURSAL</v>
      </c>
      <c r="J5260" s="1">
        <f t="shared" si="3"/>
        <v>5</v>
      </c>
      <c r="K5260" s="1" t="str">
        <f t="shared" si="4"/>
        <v>Tus Lentes estan LISTAS PARA ENTREGAR, te esperamos.</v>
      </c>
    </row>
    <row r="5261">
      <c r="A5261" s="1">
        <f>IFERROR(__xludf.DUMMYFUNCTION("""COMPUTED_VALUE"""),89826.0)</f>
        <v>89826</v>
      </c>
      <c r="B5261" s="5">
        <f>IFERROR(__xludf.DUMMYFUNCTION("""COMPUTED_VALUE"""),45028.51968990741)</f>
        <v>45028.51969</v>
      </c>
      <c r="C5261" s="1" t="str">
        <f>IFERROR(__xludf.DUMMYFUNCTION("""COMPUTED_VALUE"""),"MERLO ANALIA")</f>
        <v>MERLO ANALIA</v>
      </c>
      <c r="D5261" s="1" t="str">
        <f>IFERROR(__xludf.DUMMYFUNCTION("""COMPUTED_VALUE"""),"Reparaciones/Otros")</f>
        <v>Reparaciones/Otros</v>
      </c>
      <c r="E5261" s="1" t="str">
        <f>IFERROR(__xludf.DUMMYFUNCTION("""COMPUTED_VALUE"""),"RIVADAVIA Santiago LOPEZ")</f>
        <v>RIVADAVIA Santiago LOPEZ</v>
      </c>
      <c r="F5261" s="1" t="str">
        <f t="shared" si="1"/>
        <v>RIVADAVIA </v>
      </c>
      <c r="G5261" s="1" t="str">
        <f t="shared" si="2"/>
        <v>Santiago LOPEZ</v>
      </c>
      <c r="H5261" s="1" t="str">
        <f>IFERROR(__xludf.DUMMYFUNCTION("""COMPUTED_VALUE"""),"21/4/2023, 17:00:00")</f>
        <v>21/4/2023, 17:00:00</v>
      </c>
      <c r="I5261" s="1" t="str">
        <f>IFERROR(__xludf.DUMMYFUNCTION("""COMPUTED_VALUE"""),"Recibido en Laboratorio")</f>
        <v>Recibido en Laboratorio</v>
      </c>
      <c r="J5261" s="1">
        <f t="shared" si="3"/>
        <v>2</v>
      </c>
      <c r="K5261" s="1" t="str">
        <f t="shared" si="4"/>
        <v>Nuestro Laboratorio esta trabajando en tus lentes, los entregaremos en la fecha acordada.</v>
      </c>
    </row>
    <row r="5262">
      <c r="A5262" s="1">
        <f>IFERROR(__xludf.DUMMYFUNCTION("""COMPUTED_VALUE"""),89827.0)</f>
        <v>89827</v>
      </c>
      <c r="B5262" s="5">
        <f>IFERROR(__xludf.DUMMYFUNCTION("""COMPUTED_VALUE"""),45028.52287021991)</f>
        <v>45028.52287</v>
      </c>
      <c r="C5262" s="1" t="str">
        <f>IFERROR(__xludf.DUMMYFUNCTION("""COMPUTED_VALUE"""),"BARROZO ROSA")</f>
        <v>BARROZO ROSA</v>
      </c>
      <c r="D5262" s="1" t="str">
        <f>IFERROR(__xludf.DUMMYFUNCTION("""COMPUTED_VALUE"""),"Lentes de STOCK")</f>
        <v>Lentes de STOCK</v>
      </c>
      <c r="E5262" s="1" t="str">
        <f>IFERROR(__xludf.DUMMYFUNCTION("""COMPUTED_VALUE"""),"RIVADAVIA Santiago LOPEZ")</f>
        <v>RIVADAVIA Santiago LOPEZ</v>
      </c>
      <c r="F5262" s="1" t="str">
        <f t="shared" si="1"/>
        <v>RIVADAVIA </v>
      </c>
      <c r="G5262" s="1" t="str">
        <f t="shared" si="2"/>
        <v>Santiago LOPEZ</v>
      </c>
      <c r="H5262" s="1" t="str">
        <f>IFERROR(__xludf.DUMMYFUNCTION("""COMPUTED_VALUE"""),"14/4/2023, 17:00:00")</f>
        <v>14/4/2023, 17:00:00</v>
      </c>
      <c r="I5262" s="1" t="str">
        <f>IFERROR(__xludf.DUMMYFUNCTION("""COMPUTED_VALUE"""),"Completado en SUCURSAL")</f>
        <v>Completado en SUCURSAL</v>
      </c>
      <c r="J5262" s="1">
        <f t="shared" si="3"/>
        <v>5</v>
      </c>
      <c r="K5262" s="1" t="str">
        <f t="shared" si="4"/>
        <v>Tus Lentes estan LISTAS PARA ENTREGAR, te esperamos.</v>
      </c>
    </row>
    <row r="5263">
      <c r="A5263" s="1">
        <f>IFERROR(__xludf.DUMMYFUNCTION("""COMPUTED_VALUE"""),89828.0)</f>
        <v>89828</v>
      </c>
      <c r="B5263" s="5">
        <f>IFERROR(__xludf.DUMMYFUNCTION("""COMPUTED_VALUE"""),45028.527071006945)</f>
        <v>45028.52707</v>
      </c>
      <c r="C5263" s="1" t="str">
        <f>IFERROR(__xludf.DUMMYFUNCTION("""COMPUTED_VALUE"""),"RONLY PEDRO / AMCOR")</f>
        <v>RONLY PEDRO / AMCOR</v>
      </c>
      <c r="D5263" s="1" t="str">
        <f>IFERROR(__xludf.DUMMYFUNCTION("""COMPUTED_VALUE"""),"Lentes MULTIFOCALES")</f>
        <v>Lentes MULTIFOCALES</v>
      </c>
      <c r="E5263" s="1" t="str">
        <f>IFERROR(__xludf.DUMMYFUNCTION("""COMPUTED_VALUE"""),"ARTIGAS Ivana P.")</f>
        <v>ARTIGAS Ivana P.</v>
      </c>
      <c r="F5263" s="1" t="str">
        <f t="shared" si="1"/>
        <v>ARTIGAS </v>
      </c>
      <c r="G5263" s="1" t="str">
        <f t="shared" si="2"/>
        <v>Ivana P.</v>
      </c>
      <c r="H5263" s="1" t="str">
        <f>IFERROR(__xludf.DUMMYFUNCTION("""COMPUTED_VALUE"""),"25/4/2023, 17:00:00")</f>
        <v>25/4/2023, 17:00:00</v>
      </c>
      <c r="I5263" s="1" t="str">
        <f>IFERROR(__xludf.DUMMYFUNCTION("""COMPUTED_VALUE"""),"Recibido en Laboratorio")</f>
        <v>Recibido en Laboratorio</v>
      </c>
      <c r="J5263" s="1">
        <f t="shared" si="3"/>
        <v>2</v>
      </c>
      <c r="K5263" s="1" t="str">
        <f t="shared" si="4"/>
        <v>Nuestro Laboratorio esta trabajando en tus lentes, los entregaremos en la fecha acordada.</v>
      </c>
    </row>
    <row r="5264">
      <c r="A5264" s="1">
        <f>IFERROR(__xludf.DUMMYFUNCTION("""COMPUTED_VALUE"""),89829.0)</f>
        <v>89829</v>
      </c>
      <c r="B5264" s="5">
        <f>IFERROR(__xludf.DUMMYFUNCTION("""COMPUTED_VALUE"""),45028.53503304398)</f>
        <v>45028.53503</v>
      </c>
      <c r="C5264" s="1" t="str">
        <f>IFERROR(__xludf.DUMMYFUNCTION("""COMPUTED_VALUE"""),"Alonso Susana")</f>
        <v>Alonso Susana</v>
      </c>
      <c r="D5264" s="1" t="str">
        <f>IFERROR(__xludf.DUMMYFUNCTION("""COMPUTED_VALUE"""),"Lentes de LABORATORIO")</f>
        <v>Lentes de LABORATORIO</v>
      </c>
      <c r="E5264" s="1" t="str">
        <f>IFERROR(__xludf.DUMMYFUNCTION("""COMPUTED_VALUE"""),"RIVADAVIA Santiago N")</f>
        <v>RIVADAVIA Santiago N</v>
      </c>
      <c r="F5264" s="1" t="str">
        <f t="shared" si="1"/>
        <v>RIVADAVIA </v>
      </c>
      <c r="G5264" s="1" t="str">
        <f t="shared" si="2"/>
        <v>Santiago N</v>
      </c>
      <c r="H5264" s="1" t="str">
        <f>IFERROR(__xludf.DUMMYFUNCTION("""COMPUTED_VALUE"""),"27/4/2023, 17:00:00")</f>
        <v>27/4/2023, 17:00:00</v>
      </c>
      <c r="I5264" s="1" t="str">
        <f>IFERROR(__xludf.DUMMYFUNCTION("""COMPUTED_VALUE"""),"Recibido en Laboratorio")</f>
        <v>Recibido en Laboratorio</v>
      </c>
      <c r="J5264" s="1">
        <f t="shared" si="3"/>
        <v>2</v>
      </c>
      <c r="K5264" s="1" t="str">
        <f t="shared" si="4"/>
        <v>Nuestro Laboratorio esta trabajando en tus lentes, los entregaremos en la fecha acordada.</v>
      </c>
    </row>
    <row r="5265">
      <c r="A5265" s="1">
        <f>IFERROR(__xludf.DUMMYFUNCTION("""COMPUTED_VALUE"""),89830.0)</f>
        <v>89830</v>
      </c>
      <c r="B5265" s="5">
        <f>IFERROR(__xludf.DUMMYFUNCTION("""COMPUTED_VALUE"""),45028.552936527776)</f>
        <v>45028.55294</v>
      </c>
      <c r="C5265" s="1" t="str">
        <f>IFERROR(__xludf.DUMMYFUNCTION("""COMPUTED_VALUE"""),"SALINAS VICTOR (TELEFONICA)")</f>
        <v>SALINAS VICTOR (TELEFONICA)</v>
      </c>
      <c r="D5265" s="1" t="str">
        <f>IFERROR(__xludf.DUMMYFUNCTION("""COMPUTED_VALUE"""),"Lentes de STOCK")</f>
        <v>Lentes de STOCK</v>
      </c>
      <c r="E5265" s="1" t="str">
        <f>IFERROR(__xludf.DUMMYFUNCTION("""COMPUTED_VALUE"""),"ARTIGAS Ivana P.")</f>
        <v>ARTIGAS Ivana P.</v>
      </c>
      <c r="F5265" s="1" t="str">
        <f t="shared" si="1"/>
        <v>ARTIGAS </v>
      </c>
      <c r="G5265" s="1" t="str">
        <f t="shared" si="2"/>
        <v>Ivana P.</v>
      </c>
      <c r="H5265" s="1" t="str">
        <f>IFERROR(__xludf.DUMMYFUNCTION("""COMPUTED_VALUE"""),"18/4/2023, 17:00:00")</f>
        <v>18/4/2023, 17:00:00</v>
      </c>
      <c r="I5265" s="1" t="str">
        <f>IFERROR(__xludf.DUMMYFUNCTION("""COMPUTED_VALUE"""),"Completado en SUCURSAL")</f>
        <v>Completado en SUCURSAL</v>
      </c>
      <c r="J5265" s="1">
        <f t="shared" si="3"/>
        <v>5</v>
      </c>
      <c r="K5265" s="1" t="str">
        <f t="shared" si="4"/>
        <v>Tus Lentes estan LISTAS PARA ENTREGAR, te esperamos.</v>
      </c>
    </row>
    <row r="5266">
      <c r="A5266" s="1">
        <f>IFERROR(__xludf.DUMMYFUNCTION("""COMPUTED_VALUE"""),89831.0)</f>
        <v>89831</v>
      </c>
      <c r="B5266" s="5">
        <f>IFERROR(__xludf.DUMMYFUNCTION("""COMPUTED_VALUE"""),45028.55359505787)</f>
        <v>45028.5536</v>
      </c>
      <c r="C5266" s="1" t="str">
        <f>IFERROR(__xludf.DUMMYFUNCTION("""COMPUTED_VALUE"""),"TORRES BEATRIZ")</f>
        <v>TORRES BEATRIZ</v>
      </c>
      <c r="D5266" s="1" t="str">
        <f>IFERROR(__xludf.DUMMYFUNCTION("""COMPUTED_VALUE"""),"Lentes de STOCK")</f>
        <v>Lentes de STOCK</v>
      </c>
      <c r="E5266" s="1" t="str">
        <f>IFERROR(__xludf.DUMMYFUNCTION("""COMPUTED_VALUE"""),"RIVADAVIA Santiago LOPEZ")</f>
        <v>RIVADAVIA Santiago LOPEZ</v>
      </c>
      <c r="F5266" s="1" t="str">
        <f t="shared" si="1"/>
        <v>RIVADAVIA </v>
      </c>
      <c r="G5266" s="1" t="str">
        <f t="shared" si="2"/>
        <v>Santiago LOPEZ</v>
      </c>
      <c r="H5266" s="1" t="str">
        <f>IFERROR(__xludf.DUMMYFUNCTION("""COMPUTED_VALUE"""),"18/4/2023, 17:00:00")</f>
        <v>18/4/2023, 17:00:00</v>
      </c>
      <c r="I5266" s="1" t="str">
        <f>IFERROR(__xludf.DUMMYFUNCTION("""COMPUTED_VALUE"""),"Completado en SUCURSAL")</f>
        <v>Completado en SUCURSAL</v>
      </c>
      <c r="J5266" s="1">
        <f t="shared" si="3"/>
        <v>5</v>
      </c>
      <c r="K5266" s="1" t="str">
        <f t="shared" si="4"/>
        <v>Tus Lentes estan LISTAS PARA ENTREGAR, te esperamos.</v>
      </c>
    </row>
    <row r="5267">
      <c r="A5267" s="1">
        <f>IFERROR(__xludf.DUMMYFUNCTION("""COMPUTED_VALUE"""),89832.0)</f>
        <v>89832</v>
      </c>
      <c r="B5267" s="5">
        <f>IFERROR(__xludf.DUMMYFUNCTION("""COMPUTED_VALUE"""),45028.56692091435)</f>
        <v>45028.56692</v>
      </c>
      <c r="C5267" s="1" t="str">
        <f>IFERROR(__xludf.DUMMYFUNCTION("""COMPUTED_VALUE"""),"TORRES MARCELO ")</f>
        <v>TORRES MARCELO </v>
      </c>
      <c r="D5267" s="1" t="str">
        <f>IFERROR(__xludf.DUMMYFUNCTION("""COMPUTED_VALUE"""),"Lentes de STOCK")</f>
        <v>Lentes de STOCK</v>
      </c>
      <c r="E5267" s="1" t="str">
        <f>IFERROR(__xludf.DUMMYFUNCTION("""COMPUTED_VALUE"""),"Online ADMIN.")</f>
        <v>Online ADMIN.</v>
      </c>
      <c r="F5267" s="1" t="str">
        <f t="shared" si="1"/>
        <v>Online </v>
      </c>
      <c r="G5267" s="1" t="str">
        <f t="shared" si="2"/>
        <v>ADMIN.</v>
      </c>
      <c r="H5267" s="1" t="str">
        <f>IFERROR(__xludf.DUMMYFUNCTION("""COMPUTED_VALUE"""),"18/4/2023, 17:00:00")</f>
        <v>18/4/2023, 17:00:00</v>
      </c>
      <c r="I5267" s="1" t="str">
        <f>IFERROR(__xludf.DUMMYFUNCTION("""COMPUTED_VALUE"""),"Completado en SUCURSAL")</f>
        <v>Completado en SUCURSAL</v>
      </c>
      <c r="J5267" s="1">
        <f t="shared" si="3"/>
        <v>5</v>
      </c>
      <c r="K5267" s="1" t="str">
        <f t="shared" si="4"/>
        <v>Tus Lentes estan LISTAS PARA ENTREGAR, te esperamos.</v>
      </c>
    </row>
    <row r="5268">
      <c r="A5268" s="1">
        <f>IFERROR(__xludf.DUMMYFUNCTION("""COMPUTED_VALUE"""),89833.0)</f>
        <v>89833</v>
      </c>
      <c r="B5268" s="5">
        <f>IFERROR(__xludf.DUMMYFUNCTION("""COMPUTED_VALUE"""),45028.59701172454)</f>
        <v>45028.59701</v>
      </c>
      <c r="C5268" s="1" t="str">
        <f>IFERROR(__xludf.DUMMYFUNCTION("""COMPUTED_VALUE"""),"DAVIN DANIEL / AMCOR")</f>
        <v>DAVIN DANIEL / AMCOR</v>
      </c>
      <c r="D5268" s="1" t="str">
        <f>IFERROR(__xludf.DUMMYFUNCTION("""COMPUTED_VALUE"""),"Lentes MULTIFOCALES")</f>
        <v>Lentes MULTIFOCALES</v>
      </c>
      <c r="E5268" s="1" t="str">
        <f>IFERROR(__xludf.DUMMYFUNCTION("""COMPUTED_VALUE"""),"ARTIGAS Ivana P.")</f>
        <v>ARTIGAS Ivana P.</v>
      </c>
      <c r="F5268" s="1" t="str">
        <f t="shared" si="1"/>
        <v>ARTIGAS </v>
      </c>
      <c r="G5268" s="1" t="str">
        <f t="shared" si="2"/>
        <v>Ivana P.</v>
      </c>
      <c r="H5268" s="1" t="str">
        <f>IFERROR(__xludf.DUMMYFUNCTION("""COMPUTED_VALUE"""),"25/4/2023, 17:00:00")</f>
        <v>25/4/2023, 17:00:00</v>
      </c>
      <c r="I5268" s="1" t="str">
        <f>IFERROR(__xludf.DUMMYFUNCTION("""COMPUTED_VALUE"""),"Recibido en Laboratorio")</f>
        <v>Recibido en Laboratorio</v>
      </c>
      <c r="J5268" s="1">
        <f t="shared" si="3"/>
        <v>2</v>
      </c>
      <c r="K5268" s="1" t="str">
        <f t="shared" si="4"/>
        <v>Nuestro Laboratorio esta trabajando en tus lentes, los entregaremos en la fecha acordada.</v>
      </c>
    </row>
    <row r="5269">
      <c r="A5269" s="1">
        <f>IFERROR(__xludf.DUMMYFUNCTION("""COMPUTED_VALUE"""),89834.0)</f>
        <v>89834</v>
      </c>
      <c r="B5269" s="5">
        <f>IFERROR(__xludf.DUMMYFUNCTION("""COMPUTED_VALUE"""),45028.6195693287)</f>
        <v>45028.61957</v>
      </c>
      <c r="C5269" s="1" t="str">
        <f>IFERROR(__xludf.DUMMYFUNCTION("""COMPUTED_VALUE"""),"ROMERO JUAN / PALMERO")</f>
        <v>ROMERO JUAN / PALMERO</v>
      </c>
      <c r="D5269" s="1" t="str">
        <f>IFERROR(__xludf.DUMMYFUNCTION("""COMPUTED_VALUE"""),"Lentes BIFOCALES")</f>
        <v>Lentes BIFOCALES</v>
      </c>
      <c r="E5269" s="1" t="str">
        <f>IFERROR(__xludf.DUMMYFUNCTION("""COMPUTED_VALUE"""),"ARTIGAS Ivana P.")</f>
        <v>ARTIGAS Ivana P.</v>
      </c>
      <c r="F5269" s="1" t="str">
        <f t="shared" si="1"/>
        <v>ARTIGAS </v>
      </c>
      <c r="G5269" s="1" t="str">
        <f t="shared" si="2"/>
        <v>Ivana P.</v>
      </c>
      <c r="H5269" s="1" t="str">
        <f>IFERROR(__xludf.DUMMYFUNCTION("""COMPUTED_VALUE"""),"25/4/2023, 17:00:00")</f>
        <v>25/4/2023, 17:00:00</v>
      </c>
      <c r="I5269" s="1" t="str">
        <f>IFERROR(__xludf.DUMMYFUNCTION("""COMPUTED_VALUE"""),"Recibido en Laboratorio")</f>
        <v>Recibido en Laboratorio</v>
      </c>
      <c r="J5269" s="1">
        <f t="shared" si="3"/>
        <v>2</v>
      </c>
      <c r="K5269" s="1" t="str">
        <f t="shared" si="4"/>
        <v>Nuestro Laboratorio esta trabajando en tus lentes, los entregaremos en la fecha acordada.</v>
      </c>
    </row>
    <row r="5270">
      <c r="A5270" s="1">
        <f>IFERROR(__xludf.DUMMYFUNCTION("""COMPUTED_VALUE"""),89835.0)</f>
        <v>89835</v>
      </c>
      <c r="B5270" s="5">
        <f>IFERROR(__xludf.DUMMYFUNCTION("""COMPUTED_VALUE"""),45028.65451263889)</f>
        <v>45028.65451</v>
      </c>
      <c r="C5270" s="1" t="str">
        <f>IFERROR(__xludf.DUMMYFUNCTION("""COMPUTED_VALUE"""),"ROSALES FRANCO / MILICIC")</f>
        <v>ROSALES FRANCO / MILICIC</v>
      </c>
      <c r="D5270" s="1" t="str">
        <f>IFERROR(__xludf.DUMMYFUNCTION("""COMPUTED_VALUE"""),"Lentes de LABORATORIO")</f>
        <v>Lentes de LABORATORIO</v>
      </c>
      <c r="E5270" s="1" t="str">
        <f>IFERROR(__xludf.DUMMYFUNCTION("""COMPUTED_VALUE"""),"ARTIGAS Ivana P.")</f>
        <v>ARTIGAS Ivana P.</v>
      </c>
      <c r="F5270" s="1" t="str">
        <f t="shared" si="1"/>
        <v>ARTIGAS </v>
      </c>
      <c r="G5270" s="1" t="str">
        <f t="shared" si="2"/>
        <v>Ivana P.</v>
      </c>
      <c r="H5270" s="1" t="str">
        <f>IFERROR(__xludf.DUMMYFUNCTION("""COMPUTED_VALUE"""),"22/4/2023, 17:00:00")</f>
        <v>22/4/2023, 17:00:00</v>
      </c>
      <c r="I5270" s="1" t="str">
        <f>IFERROR(__xludf.DUMMYFUNCTION("""COMPUTED_VALUE"""),"Recibido en Laboratorio")</f>
        <v>Recibido en Laboratorio</v>
      </c>
      <c r="J5270" s="1">
        <f t="shared" si="3"/>
        <v>2</v>
      </c>
      <c r="K5270" s="1" t="str">
        <f t="shared" si="4"/>
        <v>Nuestro Laboratorio esta trabajando en tus lentes, los entregaremos en la fecha acordada.</v>
      </c>
    </row>
    <row r="5271">
      <c r="A5271" s="1">
        <f>IFERROR(__xludf.DUMMYFUNCTION("""COMPUTED_VALUE"""),89836.0)</f>
        <v>89836</v>
      </c>
      <c r="B5271" s="5">
        <f>IFERROR(__xludf.DUMMYFUNCTION("""COMPUTED_VALUE"""),45028.68987364583)</f>
        <v>45028.68987</v>
      </c>
      <c r="C5271" s="1" t="str">
        <f>IFERROR(__xludf.DUMMYFUNCTION("""COMPUTED_VALUE"""),"GORRIZ / AMCOR")</f>
        <v>GORRIZ / AMCOR</v>
      </c>
      <c r="D5271" s="1" t="str">
        <f>IFERROR(__xludf.DUMMYFUNCTION("""COMPUTED_VALUE"""),"Lentes MULTIFOCALES")</f>
        <v>Lentes MULTIFOCALES</v>
      </c>
      <c r="E5271" s="1" t="str">
        <f>IFERROR(__xludf.DUMMYFUNCTION("""COMPUTED_VALUE"""),"ARTIGAS Ivana P.")</f>
        <v>ARTIGAS Ivana P.</v>
      </c>
      <c r="F5271" s="1" t="str">
        <f t="shared" si="1"/>
        <v>ARTIGAS </v>
      </c>
      <c r="G5271" s="1" t="str">
        <f t="shared" si="2"/>
        <v>Ivana P.</v>
      </c>
      <c r="H5271" s="1" t="str">
        <f>IFERROR(__xludf.DUMMYFUNCTION("""COMPUTED_VALUE"""),"25/4/2023, 17:00:00")</f>
        <v>25/4/2023, 17:00:00</v>
      </c>
      <c r="I5271" s="1" t="str">
        <f>IFERROR(__xludf.DUMMYFUNCTION("""COMPUTED_VALUE"""),"Recibido en Laboratorio")</f>
        <v>Recibido en Laboratorio</v>
      </c>
      <c r="J5271" s="1">
        <f t="shared" si="3"/>
        <v>2</v>
      </c>
      <c r="K5271" s="1" t="str">
        <f t="shared" si="4"/>
        <v>Nuestro Laboratorio esta trabajando en tus lentes, los entregaremos en la fecha acordada.</v>
      </c>
    </row>
    <row r="5272">
      <c r="A5272" s="1">
        <f>IFERROR(__xludf.DUMMYFUNCTION("""COMPUTED_VALUE"""),89837.0)</f>
        <v>89837</v>
      </c>
      <c r="B5272" s="5">
        <f>IFERROR(__xludf.DUMMYFUNCTION("""COMPUTED_VALUE"""),45028.692038368055)</f>
        <v>45028.69204</v>
      </c>
      <c r="C5272" s="1" t="str">
        <f>IFERROR(__xludf.DUMMYFUNCTION("""COMPUTED_VALUE"""),"MERCAU RAMON ANTONIO")</f>
        <v>MERCAU RAMON ANTONIO</v>
      </c>
      <c r="D5272" s="1" t="str">
        <f>IFERROR(__xludf.DUMMYFUNCTION("""COMPUTED_VALUE"""),"Lentes de STOCK")</f>
        <v>Lentes de STOCK</v>
      </c>
      <c r="E5272" s="1" t="str">
        <f>IFERROR(__xludf.DUMMYFUNCTION("""COMPUTED_VALUE"""),"ARTIGAS Roció")</f>
        <v>ARTIGAS Roció</v>
      </c>
      <c r="F5272" s="1" t="str">
        <f t="shared" si="1"/>
        <v>ARTIGAS </v>
      </c>
      <c r="G5272" s="1" t="str">
        <f t="shared" si="2"/>
        <v>Roció</v>
      </c>
      <c r="H5272" s="1" t="str">
        <f>IFERROR(__xludf.DUMMYFUNCTION("""COMPUTED_VALUE"""),"27/4/2023, 17:00:00")</f>
        <v>27/4/2023, 17:00:00</v>
      </c>
      <c r="I5272" s="1"/>
      <c r="J5272" s="1">
        <f t="shared" si="3"/>
        <v>0</v>
      </c>
      <c r="K5272" s="1" t="str">
        <f t="shared" si="4"/>
        <v/>
      </c>
    </row>
    <row r="5273">
      <c r="A5273" s="1">
        <f>IFERROR(__xludf.DUMMYFUNCTION("""COMPUTED_VALUE"""),89838.0)</f>
        <v>89838</v>
      </c>
      <c r="B5273" s="5">
        <f>IFERROR(__xludf.DUMMYFUNCTION("""COMPUTED_VALUE"""),45028.693966701394)</f>
        <v>45028.69397</v>
      </c>
      <c r="C5273" s="1" t="str">
        <f>IFERROR(__xludf.DUMMYFUNCTION("""COMPUTED_VALUE"""),"MERCAU RAMON ANTONIO")</f>
        <v>MERCAU RAMON ANTONIO</v>
      </c>
      <c r="D5273" s="1" t="str">
        <f>IFERROR(__xludf.DUMMYFUNCTION("""COMPUTED_VALUE"""),"Lentes de STOCK")</f>
        <v>Lentes de STOCK</v>
      </c>
      <c r="E5273" s="1" t="str">
        <f>IFERROR(__xludf.DUMMYFUNCTION("""COMPUTED_VALUE"""),"ARTIGAS Roció")</f>
        <v>ARTIGAS Roció</v>
      </c>
      <c r="F5273" s="1" t="str">
        <f t="shared" si="1"/>
        <v>ARTIGAS </v>
      </c>
      <c r="G5273" s="1" t="str">
        <f t="shared" si="2"/>
        <v>Roció</v>
      </c>
      <c r="H5273" s="1" t="str">
        <f>IFERROR(__xludf.DUMMYFUNCTION("""COMPUTED_VALUE"""),"21/4/2023, 17:00:00")</f>
        <v>21/4/2023, 17:00:00</v>
      </c>
      <c r="I5273" s="1" t="str">
        <f>IFERROR(__xludf.DUMMYFUNCTION("""COMPUTED_VALUE"""),"Recibido en Laboratorio")</f>
        <v>Recibido en Laboratorio</v>
      </c>
      <c r="J5273" s="1">
        <f t="shared" si="3"/>
        <v>2</v>
      </c>
      <c r="K5273" s="1" t="str">
        <f t="shared" si="4"/>
        <v>Nuestro Laboratorio esta trabajando en tus lentes, los entregaremos en la fecha acordada.</v>
      </c>
    </row>
    <row r="5274">
      <c r="A5274" s="1">
        <f>IFERROR(__xludf.DUMMYFUNCTION("""COMPUTED_VALUE"""),89839.0)</f>
        <v>89839</v>
      </c>
      <c r="B5274" s="5">
        <f>IFERROR(__xludf.DUMMYFUNCTION("""COMPUTED_VALUE"""),45028.72258552084)</f>
        <v>45028.72259</v>
      </c>
      <c r="C5274" s="1" t="str">
        <f>IFERROR(__xludf.DUMMYFUNCTION("""COMPUTED_VALUE"""),"OLGUIN LUIS")</f>
        <v>OLGUIN LUIS</v>
      </c>
      <c r="D5274" s="1" t="str">
        <f>IFERROR(__xludf.DUMMYFUNCTION("""COMPUTED_VALUE"""),"Lentes de STOCK")</f>
        <v>Lentes de STOCK</v>
      </c>
      <c r="E5274" s="1" t="str">
        <f>IFERROR(__xludf.DUMMYFUNCTION("""COMPUTED_VALUE"""),"ARTIGAS Roció")</f>
        <v>ARTIGAS Roció</v>
      </c>
      <c r="F5274" s="1" t="str">
        <f t="shared" si="1"/>
        <v>ARTIGAS </v>
      </c>
      <c r="G5274" s="1" t="str">
        <f t="shared" si="2"/>
        <v>Roció</v>
      </c>
      <c r="H5274" s="1" t="str">
        <f>IFERROR(__xludf.DUMMYFUNCTION("""COMPUTED_VALUE"""),"20/4/2023, 17:00:00")</f>
        <v>20/4/2023, 17:00:00</v>
      </c>
      <c r="I5274" s="1" t="str">
        <f>IFERROR(__xludf.DUMMYFUNCTION("""COMPUTED_VALUE"""),"Recibido en Laboratorio")</f>
        <v>Recibido en Laboratorio</v>
      </c>
      <c r="J5274" s="1">
        <f t="shared" si="3"/>
        <v>2</v>
      </c>
      <c r="K5274" s="1" t="str">
        <f t="shared" si="4"/>
        <v>Nuestro Laboratorio esta trabajando en tus lentes, los entregaremos en la fecha acordada.</v>
      </c>
    </row>
    <row r="5275">
      <c r="A5275" s="1">
        <f>IFERROR(__xludf.DUMMYFUNCTION("""COMPUTED_VALUE"""),89840.0)</f>
        <v>89840</v>
      </c>
      <c r="B5275" s="5">
        <f>IFERROR(__xludf.DUMMYFUNCTION("""COMPUTED_VALUE"""),45028.73862311343)</f>
        <v>45028.73862</v>
      </c>
      <c r="C5275" s="1" t="str">
        <f>IFERROR(__xludf.DUMMYFUNCTION("""COMPUTED_VALUE"""),"HERRERA MABEL")</f>
        <v>HERRERA MABEL</v>
      </c>
      <c r="D5275" s="1" t="str">
        <f>IFERROR(__xludf.DUMMYFUNCTION("""COMPUTED_VALUE"""),"Lentes MULTIFOCALES")</f>
        <v>Lentes MULTIFOCALES</v>
      </c>
      <c r="E5275" s="1" t="str">
        <f>IFERROR(__xludf.DUMMYFUNCTION("""COMPUTED_VALUE"""),"RIVADAVIA Christian C.")</f>
        <v>RIVADAVIA Christian C.</v>
      </c>
      <c r="F5275" s="1" t="str">
        <f t="shared" si="1"/>
        <v>RIVADAVIA </v>
      </c>
      <c r="G5275" s="1" t="str">
        <f t="shared" si="2"/>
        <v>Christian C.</v>
      </c>
      <c r="H5275" s="1" t="str">
        <f>IFERROR(__xludf.DUMMYFUNCTION("""COMPUTED_VALUE"""),"21/4/2023, 17:00:00")</f>
        <v>21/4/2023, 17:00:00</v>
      </c>
      <c r="I5275" s="1" t="str">
        <f>IFERROR(__xludf.DUMMYFUNCTION("""COMPUTED_VALUE"""),"Recibido en Laboratorio")</f>
        <v>Recibido en Laboratorio</v>
      </c>
      <c r="J5275" s="1">
        <f t="shared" si="3"/>
        <v>2</v>
      </c>
      <c r="K5275" s="1" t="str">
        <f t="shared" si="4"/>
        <v>Nuestro Laboratorio esta trabajando en tus lentes, los entregaremos en la fecha acordada.</v>
      </c>
    </row>
    <row r="5276">
      <c r="A5276" s="1">
        <f>IFERROR(__xludf.DUMMYFUNCTION("""COMPUTED_VALUE"""),89841.0)</f>
        <v>89841</v>
      </c>
      <c r="B5276" s="5">
        <f>IFERROR(__xludf.DUMMYFUNCTION("""COMPUTED_VALUE"""),45028.747163252316)</f>
        <v>45028.74716</v>
      </c>
      <c r="C5276" s="1" t="str">
        <f>IFERROR(__xludf.DUMMYFUNCTION("""COMPUTED_VALUE"""),"VELA ANGELA CANDIDA")</f>
        <v>VELA ANGELA CANDIDA</v>
      </c>
      <c r="D5276" s="1" t="str">
        <f>IFERROR(__xludf.DUMMYFUNCTION("""COMPUTED_VALUE"""),"Lentes de STOCK")</f>
        <v>Lentes de STOCK</v>
      </c>
      <c r="E5276" s="1" t="str">
        <f>IFERROR(__xludf.DUMMYFUNCTION("""COMPUTED_VALUE"""),"RIVADAVIA Santiago LOPEZ")</f>
        <v>RIVADAVIA Santiago LOPEZ</v>
      </c>
      <c r="F5276" s="1" t="str">
        <f t="shared" si="1"/>
        <v>RIVADAVIA </v>
      </c>
      <c r="G5276" s="1" t="str">
        <f t="shared" si="2"/>
        <v>Santiago LOPEZ</v>
      </c>
      <c r="H5276" s="1" t="str">
        <f>IFERROR(__xludf.DUMMYFUNCTION("""COMPUTED_VALUE"""),"18/4/2023, 17:00:00")</f>
        <v>18/4/2023, 17:00:00</v>
      </c>
      <c r="I5276" s="1" t="str">
        <f>IFERROR(__xludf.DUMMYFUNCTION("""COMPUTED_VALUE"""),"Completado en SUCURSAL")</f>
        <v>Completado en SUCURSAL</v>
      </c>
      <c r="J5276" s="1">
        <f t="shared" si="3"/>
        <v>5</v>
      </c>
      <c r="K5276" s="1" t="str">
        <f t="shared" si="4"/>
        <v>Tus Lentes estan LISTAS PARA ENTREGAR, te esperamos.</v>
      </c>
    </row>
    <row r="5277">
      <c r="A5277" s="1">
        <f>IFERROR(__xludf.DUMMYFUNCTION("""COMPUTED_VALUE"""),89842.0)</f>
        <v>89842</v>
      </c>
      <c r="B5277" s="5">
        <f>IFERROR(__xludf.DUMMYFUNCTION("""COMPUTED_VALUE"""),45028.751714074075)</f>
        <v>45028.75171</v>
      </c>
      <c r="C5277" s="1" t="str">
        <f>IFERROR(__xludf.DUMMYFUNCTION("""COMPUTED_VALUE"""),"IGLESIAS NAHUEL")</f>
        <v>IGLESIAS NAHUEL</v>
      </c>
      <c r="D5277" s="1" t="str">
        <f>IFERROR(__xludf.DUMMYFUNCTION("""COMPUTED_VALUE"""),"Reparaciones/Otros")</f>
        <v>Reparaciones/Otros</v>
      </c>
      <c r="E5277" s="1" t="str">
        <f>IFERROR(__xludf.DUMMYFUNCTION("""COMPUTED_VALUE"""),"RIVADAVIA Christian C.")</f>
        <v>RIVADAVIA Christian C.</v>
      </c>
      <c r="F5277" s="1" t="str">
        <f t="shared" si="1"/>
        <v>RIVADAVIA </v>
      </c>
      <c r="G5277" s="1" t="str">
        <f t="shared" si="2"/>
        <v>Christian C.</v>
      </c>
      <c r="H5277" s="1" t="str">
        <f>IFERROR(__xludf.DUMMYFUNCTION("""COMPUTED_VALUE"""),"20/4/2023, 17:00:00")</f>
        <v>20/4/2023, 17:00:00</v>
      </c>
      <c r="I5277" s="1" t="str">
        <f>IFERROR(__xludf.DUMMYFUNCTION("""COMPUTED_VALUE"""),"Completado en SUCURSAL")</f>
        <v>Completado en SUCURSAL</v>
      </c>
      <c r="J5277" s="1">
        <f t="shared" si="3"/>
        <v>5</v>
      </c>
      <c r="K5277" s="1" t="str">
        <f t="shared" si="4"/>
        <v>Tus Lentes estan LISTAS PARA ENTREGAR, te esperamos.</v>
      </c>
    </row>
    <row r="5278">
      <c r="A5278" s="1">
        <f>IFERROR(__xludf.DUMMYFUNCTION("""COMPUTED_VALUE"""),89843.0)</f>
        <v>89843</v>
      </c>
      <c r="B5278" s="5">
        <f>IFERROR(__xludf.DUMMYFUNCTION("""COMPUTED_VALUE"""),45028.76183758102)</f>
        <v>45028.76184</v>
      </c>
      <c r="C5278" s="1" t="str">
        <f>IFERROR(__xludf.DUMMYFUNCTION("""COMPUTED_VALUE"""),"VELAZQUEZ VILMA")</f>
        <v>VELAZQUEZ VILMA</v>
      </c>
      <c r="D5278" s="1" t="str">
        <f>IFERROR(__xludf.DUMMYFUNCTION("""COMPUTED_VALUE"""),"Lentes de STOCK")</f>
        <v>Lentes de STOCK</v>
      </c>
      <c r="E5278" s="1" t="str">
        <f>IFERROR(__xludf.DUMMYFUNCTION("""COMPUTED_VALUE"""),"ARTIGAS Ivana P.")</f>
        <v>ARTIGAS Ivana P.</v>
      </c>
      <c r="F5278" s="1" t="str">
        <f t="shared" si="1"/>
        <v>ARTIGAS </v>
      </c>
      <c r="G5278" s="1" t="str">
        <f t="shared" si="2"/>
        <v>Ivana P.</v>
      </c>
      <c r="H5278" s="1" t="str">
        <f>IFERROR(__xludf.DUMMYFUNCTION("""COMPUTED_VALUE"""),"18/4/2023, 17:00:00")</f>
        <v>18/4/2023, 17:00:00</v>
      </c>
      <c r="I5278" s="1" t="str">
        <f>IFERROR(__xludf.DUMMYFUNCTION("""COMPUTED_VALUE"""),"Completado en SUCURSAL")</f>
        <v>Completado en SUCURSAL</v>
      </c>
      <c r="J5278" s="1">
        <f t="shared" si="3"/>
        <v>5</v>
      </c>
      <c r="K5278" s="1" t="str">
        <f t="shared" si="4"/>
        <v>Tus Lentes estan LISTAS PARA ENTREGAR, te esperamos.</v>
      </c>
    </row>
    <row r="5279">
      <c r="A5279" s="1">
        <f>IFERROR(__xludf.DUMMYFUNCTION("""COMPUTED_VALUE"""),89844.0)</f>
        <v>89844</v>
      </c>
      <c r="B5279" s="5">
        <f>IFERROR(__xludf.DUMMYFUNCTION("""COMPUTED_VALUE"""),45028.77115561343)</f>
        <v>45028.77116</v>
      </c>
      <c r="C5279" s="1" t="str">
        <f>IFERROR(__xludf.DUMMYFUNCTION("""COMPUTED_VALUE"""),"ARRIETA MARIA ANTONIA")</f>
        <v>ARRIETA MARIA ANTONIA</v>
      </c>
      <c r="D5279" s="1" t="str">
        <f>IFERROR(__xludf.DUMMYFUNCTION("""COMPUTED_VALUE"""),"Lentes de STOCK")</f>
        <v>Lentes de STOCK</v>
      </c>
      <c r="E5279" s="1" t="str">
        <f>IFERROR(__xludf.DUMMYFUNCTION("""COMPUTED_VALUE"""),"RIVADAVIA Christian C.")</f>
        <v>RIVADAVIA Christian C.</v>
      </c>
      <c r="F5279" s="1" t="str">
        <f t="shared" si="1"/>
        <v>RIVADAVIA </v>
      </c>
      <c r="G5279" s="1" t="str">
        <f t="shared" si="2"/>
        <v>Christian C.</v>
      </c>
      <c r="H5279" s="1" t="str">
        <f>IFERROR(__xludf.DUMMYFUNCTION("""COMPUTED_VALUE"""),"20/4/2023, 17:00:00")</f>
        <v>20/4/2023, 17:00:00</v>
      </c>
      <c r="I5279" s="1" t="str">
        <f>IFERROR(__xludf.DUMMYFUNCTION("""COMPUTED_VALUE"""),"Recibido en Laboratorio")</f>
        <v>Recibido en Laboratorio</v>
      </c>
      <c r="J5279" s="1">
        <f t="shared" si="3"/>
        <v>2</v>
      </c>
      <c r="K5279" s="1" t="str">
        <f t="shared" si="4"/>
        <v>Nuestro Laboratorio esta trabajando en tus lentes, los entregaremos en la fecha acordada.</v>
      </c>
    </row>
    <row r="5280">
      <c r="A5280" s="1">
        <f>IFERROR(__xludf.DUMMYFUNCTION("""COMPUTED_VALUE"""),89845.0)</f>
        <v>89845</v>
      </c>
      <c r="B5280" s="5">
        <f>IFERROR(__xludf.DUMMYFUNCTION("""COMPUTED_VALUE"""),45028.775078067134)</f>
        <v>45028.77508</v>
      </c>
      <c r="C5280" s="1" t="str">
        <f>IFERROR(__xludf.DUMMYFUNCTION("""COMPUTED_VALUE"""),"BENITEZ SOSA MARTINA")</f>
        <v>BENITEZ SOSA MARTINA</v>
      </c>
      <c r="D5280" s="1" t="str">
        <f>IFERROR(__xludf.DUMMYFUNCTION("""COMPUTED_VALUE"""),"Lentes de STOCK")</f>
        <v>Lentes de STOCK</v>
      </c>
      <c r="E5280" s="1" t="str">
        <f>IFERROR(__xludf.DUMMYFUNCTION("""COMPUTED_VALUE"""),"RIVADAVIA Santiago LOPEZ")</f>
        <v>RIVADAVIA Santiago LOPEZ</v>
      </c>
      <c r="F5280" s="1" t="str">
        <f t="shared" si="1"/>
        <v>RIVADAVIA </v>
      </c>
      <c r="G5280" s="1" t="str">
        <f t="shared" si="2"/>
        <v>Santiago LOPEZ</v>
      </c>
      <c r="H5280" s="1" t="str">
        <f>IFERROR(__xludf.DUMMYFUNCTION("""COMPUTED_VALUE"""),"18/4/2023, 17:00:00")</f>
        <v>18/4/2023, 17:00:00</v>
      </c>
      <c r="I5280" s="1" t="str">
        <f>IFERROR(__xludf.DUMMYFUNCTION("""COMPUTED_VALUE"""),"Completado en SUCURSAL")</f>
        <v>Completado en SUCURSAL</v>
      </c>
      <c r="J5280" s="1">
        <f t="shared" si="3"/>
        <v>5</v>
      </c>
      <c r="K5280" s="1" t="str">
        <f t="shared" si="4"/>
        <v>Tus Lentes estan LISTAS PARA ENTREGAR, te esperamos.</v>
      </c>
    </row>
    <row r="5281">
      <c r="A5281" s="1">
        <f>IFERROR(__xludf.DUMMYFUNCTION("""COMPUTED_VALUE"""),89846.0)</f>
        <v>89846</v>
      </c>
      <c r="B5281" s="5">
        <f>IFERROR(__xludf.DUMMYFUNCTION("""COMPUTED_VALUE"""),45028.777892025464)</f>
        <v>45028.77789</v>
      </c>
      <c r="C5281" s="1" t="str">
        <f>IFERROR(__xludf.DUMMYFUNCTION("""COMPUTED_VALUE"""),"SANCHEZ ANA LUZ")</f>
        <v>SANCHEZ ANA LUZ</v>
      </c>
      <c r="D5281" s="1" t="str">
        <f>IFERROR(__xludf.DUMMYFUNCTION("""COMPUTED_VALUE"""),"Lentes de STOCK")</f>
        <v>Lentes de STOCK</v>
      </c>
      <c r="E5281" s="1" t="str">
        <f>IFERROR(__xludf.DUMMYFUNCTION("""COMPUTED_VALUE"""),"RIVADAVIA Santiago N")</f>
        <v>RIVADAVIA Santiago N</v>
      </c>
      <c r="F5281" s="1" t="str">
        <f t="shared" si="1"/>
        <v>RIVADAVIA </v>
      </c>
      <c r="G5281" s="1" t="str">
        <f t="shared" si="2"/>
        <v>Santiago N</v>
      </c>
      <c r="H5281" s="1" t="str">
        <f>IFERROR(__xludf.DUMMYFUNCTION("""COMPUTED_VALUE"""),"18/4/2023, 17:00:00")</f>
        <v>18/4/2023, 17:00:00</v>
      </c>
      <c r="I5281" s="1" t="str">
        <f>IFERROR(__xludf.DUMMYFUNCTION("""COMPUTED_VALUE"""),"Completado en SUCURSAL")</f>
        <v>Completado en SUCURSAL</v>
      </c>
      <c r="J5281" s="1">
        <f t="shared" si="3"/>
        <v>5</v>
      </c>
      <c r="K5281" s="1" t="str">
        <f t="shared" si="4"/>
        <v>Tus Lentes estan LISTAS PARA ENTREGAR, te esperamos.</v>
      </c>
    </row>
    <row r="5282">
      <c r="A5282" s="1">
        <f>IFERROR(__xludf.DUMMYFUNCTION("""COMPUTED_VALUE"""),89847.0)</f>
        <v>89847</v>
      </c>
      <c r="B5282" s="5">
        <f>IFERROR(__xludf.DUMMYFUNCTION("""COMPUTED_VALUE"""),45028.78429758102)</f>
        <v>45028.7843</v>
      </c>
      <c r="C5282" s="1" t="str">
        <f>IFERROR(__xludf.DUMMYFUNCTION("""COMPUTED_VALUE"""),"GARRO HECTOR")</f>
        <v>GARRO HECTOR</v>
      </c>
      <c r="D5282" s="1" t="str">
        <f>IFERROR(__xludf.DUMMYFUNCTION("""COMPUTED_VALUE"""),"Lentes de STOCK")</f>
        <v>Lentes de STOCK</v>
      </c>
      <c r="E5282" s="1" t="str">
        <f>IFERROR(__xludf.DUMMYFUNCTION("""COMPUTED_VALUE"""),"RIVADAVIA Santiago LOPEZ")</f>
        <v>RIVADAVIA Santiago LOPEZ</v>
      </c>
      <c r="F5282" s="1" t="str">
        <f t="shared" si="1"/>
        <v>RIVADAVIA </v>
      </c>
      <c r="G5282" s="1" t="str">
        <f t="shared" si="2"/>
        <v>Santiago LOPEZ</v>
      </c>
      <c r="H5282" s="1" t="str">
        <f>IFERROR(__xludf.DUMMYFUNCTION("""COMPUTED_VALUE"""),"18/4/2023, 17:00:00")</f>
        <v>18/4/2023, 17:00:00</v>
      </c>
      <c r="I5282" s="1" t="str">
        <f>IFERROR(__xludf.DUMMYFUNCTION("""COMPUTED_VALUE"""),"Completado en SUCURSAL")</f>
        <v>Completado en SUCURSAL</v>
      </c>
      <c r="J5282" s="1">
        <f t="shared" si="3"/>
        <v>5</v>
      </c>
      <c r="K5282" s="1" t="str">
        <f t="shared" si="4"/>
        <v>Tus Lentes estan LISTAS PARA ENTREGAR, te esperamos.</v>
      </c>
    </row>
    <row r="5283">
      <c r="A5283" s="1">
        <f>IFERROR(__xludf.DUMMYFUNCTION("""COMPUTED_VALUE"""),89848.0)</f>
        <v>89848</v>
      </c>
      <c r="B5283" s="5">
        <f>IFERROR(__xludf.DUMMYFUNCTION("""COMPUTED_VALUE"""),45028.785217488425)</f>
        <v>45028.78522</v>
      </c>
      <c r="C5283" s="1" t="str">
        <f>IFERROR(__xludf.DUMMYFUNCTION("""COMPUTED_VALUE"""),"Zarate Reina Isabel")</f>
        <v>Zarate Reina Isabel</v>
      </c>
      <c r="D5283" s="1" t="str">
        <f>IFERROR(__xludf.DUMMYFUNCTION("""COMPUTED_VALUE"""),"Lentes BIFOCALES")</f>
        <v>Lentes BIFOCALES</v>
      </c>
      <c r="E5283" s="1" t="str">
        <f>IFERROR(__xludf.DUMMYFUNCTION("""COMPUTED_VALUE"""),"ARTIGAS Roció")</f>
        <v>ARTIGAS Roció</v>
      </c>
      <c r="F5283" s="1" t="str">
        <f t="shared" si="1"/>
        <v>ARTIGAS </v>
      </c>
      <c r="G5283" s="1" t="str">
        <f t="shared" si="2"/>
        <v>Roció</v>
      </c>
      <c r="H5283" s="1" t="str">
        <f>IFERROR(__xludf.DUMMYFUNCTION("""COMPUTED_VALUE"""),"21/4/2023, 17:00:00")</f>
        <v>21/4/2023, 17:00:00</v>
      </c>
      <c r="I5283" s="1" t="str">
        <f>IFERROR(__xludf.DUMMYFUNCTION("""COMPUTED_VALUE"""),"Recibido en Laboratorio")</f>
        <v>Recibido en Laboratorio</v>
      </c>
      <c r="J5283" s="1">
        <f t="shared" si="3"/>
        <v>2</v>
      </c>
      <c r="K5283" s="1" t="str">
        <f t="shared" si="4"/>
        <v>Nuestro Laboratorio esta trabajando en tus lentes, los entregaremos en la fecha acordada.</v>
      </c>
    </row>
    <row r="5284">
      <c r="A5284" s="1">
        <f>IFERROR(__xludf.DUMMYFUNCTION("""COMPUTED_VALUE"""),89849.0)</f>
        <v>89849</v>
      </c>
      <c r="B5284" s="5">
        <f>IFERROR(__xludf.DUMMYFUNCTION("""COMPUTED_VALUE"""),45028.788136793984)</f>
        <v>45028.78814</v>
      </c>
      <c r="C5284" s="1" t="str">
        <f>IFERROR(__xludf.DUMMYFUNCTION("""COMPUTED_VALUE"""),"negretti bettina ")</f>
        <v>negretti bettina </v>
      </c>
      <c r="D5284" s="1" t="str">
        <f>IFERROR(__xludf.DUMMYFUNCTION("""COMPUTED_VALUE"""),"Lentes MULTIFOCALES")</f>
        <v>Lentes MULTIFOCALES</v>
      </c>
      <c r="E5284" s="1" t="str">
        <f>IFERROR(__xludf.DUMMYFUNCTION("""COMPUTED_VALUE"""),"RIVADAVIA Santiago N")</f>
        <v>RIVADAVIA Santiago N</v>
      </c>
      <c r="F5284" s="1" t="str">
        <f t="shared" si="1"/>
        <v>RIVADAVIA </v>
      </c>
      <c r="G5284" s="1" t="str">
        <f t="shared" si="2"/>
        <v>Santiago N</v>
      </c>
      <c r="H5284" s="1" t="str">
        <f>IFERROR(__xludf.DUMMYFUNCTION("""COMPUTED_VALUE"""),"25/4/2023, 17:00:00")</f>
        <v>25/4/2023, 17:00:00</v>
      </c>
      <c r="I5284" s="1" t="str">
        <f>IFERROR(__xludf.DUMMYFUNCTION("""COMPUTED_VALUE"""),"Recibido en Laboratorio")</f>
        <v>Recibido en Laboratorio</v>
      </c>
      <c r="J5284" s="1">
        <f t="shared" si="3"/>
        <v>2</v>
      </c>
      <c r="K5284" s="1" t="str">
        <f t="shared" si="4"/>
        <v>Nuestro Laboratorio esta trabajando en tus lentes, los entregaremos en la fecha acordada.</v>
      </c>
    </row>
    <row r="5285">
      <c r="A5285" s="1">
        <f>IFERROR(__xludf.DUMMYFUNCTION("""COMPUTED_VALUE"""),89850.0)</f>
        <v>89850</v>
      </c>
      <c r="B5285" s="5">
        <f>IFERROR(__xludf.DUMMYFUNCTION("""COMPUTED_VALUE"""),45028.79929466435)</f>
        <v>45028.79929</v>
      </c>
      <c r="C5285" s="1" t="str">
        <f>IFERROR(__xludf.DUMMYFUNCTION("""COMPUTED_VALUE"""),"Ramos Sergio")</f>
        <v>Ramos Sergio</v>
      </c>
      <c r="D5285" s="1" t="str">
        <f>IFERROR(__xludf.DUMMYFUNCTION("""COMPUTED_VALUE"""),"Lentes de STOCK")</f>
        <v>Lentes de STOCK</v>
      </c>
      <c r="E5285" s="1" t="str">
        <f>IFERROR(__xludf.DUMMYFUNCTION("""COMPUTED_VALUE"""),"RIVADAVIA Santiago LOPEZ")</f>
        <v>RIVADAVIA Santiago LOPEZ</v>
      </c>
      <c r="F5285" s="1" t="str">
        <f t="shared" si="1"/>
        <v>RIVADAVIA </v>
      </c>
      <c r="G5285" s="1" t="str">
        <f t="shared" si="2"/>
        <v>Santiago LOPEZ</v>
      </c>
      <c r="H5285" s="1" t="str">
        <f>IFERROR(__xludf.DUMMYFUNCTION("""COMPUTED_VALUE"""),"18/4/2023, 17:00:00")</f>
        <v>18/4/2023, 17:00:00</v>
      </c>
      <c r="I5285" s="1" t="str">
        <f>IFERROR(__xludf.DUMMYFUNCTION("""COMPUTED_VALUE"""),"Completado en SUCURSAL")</f>
        <v>Completado en SUCURSAL</v>
      </c>
      <c r="J5285" s="1">
        <f t="shared" si="3"/>
        <v>5</v>
      </c>
      <c r="K5285" s="1" t="str">
        <f t="shared" si="4"/>
        <v>Tus Lentes estan LISTAS PARA ENTREGAR, te esperamos.</v>
      </c>
    </row>
    <row r="5286">
      <c r="A5286" s="1">
        <f>IFERROR(__xludf.DUMMYFUNCTION("""COMPUTED_VALUE"""),89851.0)</f>
        <v>89851</v>
      </c>
      <c r="B5286" s="5">
        <f>IFERROR(__xludf.DUMMYFUNCTION("""COMPUTED_VALUE"""),45028.81855282407)</f>
        <v>45028.81855</v>
      </c>
      <c r="C5286" s="1" t="str">
        <f>IFERROR(__xludf.DUMMYFUNCTION("""COMPUTED_VALUE"""),"GUTIERREZ ALBERTO")</f>
        <v>GUTIERREZ ALBERTO</v>
      </c>
      <c r="D5286" s="1" t="str">
        <f>IFERROR(__xludf.DUMMYFUNCTION("""COMPUTED_VALUE"""),"Lentes de STOCK")</f>
        <v>Lentes de STOCK</v>
      </c>
      <c r="E5286" s="1" t="str">
        <f>IFERROR(__xludf.DUMMYFUNCTION("""COMPUTED_VALUE"""),"ARTIGAS Ivana P.")</f>
        <v>ARTIGAS Ivana P.</v>
      </c>
      <c r="F5286" s="1" t="str">
        <f t="shared" si="1"/>
        <v>ARTIGAS </v>
      </c>
      <c r="G5286" s="1" t="str">
        <f t="shared" si="2"/>
        <v>Ivana P.</v>
      </c>
      <c r="H5286" s="1" t="str">
        <f>IFERROR(__xludf.DUMMYFUNCTION("""COMPUTED_VALUE"""),"18/4/2023, 17:00:00")</f>
        <v>18/4/2023, 17:00:00</v>
      </c>
      <c r="I5286" s="1" t="str">
        <f>IFERROR(__xludf.DUMMYFUNCTION("""COMPUTED_VALUE"""),"Completado en SUCURSAL")</f>
        <v>Completado en SUCURSAL</v>
      </c>
      <c r="J5286" s="1">
        <f t="shared" si="3"/>
        <v>5</v>
      </c>
      <c r="K5286" s="1" t="str">
        <f t="shared" si="4"/>
        <v>Tus Lentes estan LISTAS PARA ENTREGAR, te esperamos.</v>
      </c>
    </row>
    <row r="5287">
      <c r="A5287" s="1">
        <f>IFERROR(__xludf.DUMMYFUNCTION("""COMPUTED_VALUE"""),89852.0)</f>
        <v>89852</v>
      </c>
      <c r="B5287" s="5">
        <f>IFERROR(__xludf.DUMMYFUNCTION("""COMPUTED_VALUE"""),45028.82751880787)</f>
        <v>45028.82752</v>
      </c>
      <c r="C5287" s="1" t="str">
        <f>IFERROR(__xludf.DUMMYFUNCTION("""COMPUTED_VALUE"""),"AGUERO PABLO")</f>
        <v>AGUERO PABLO</v>
      </c>
      <c r="D5287" s="1" t="str">
        <f>IFERROR(__xludf.DUMMYFUNCTION("""COMPUTED_VALUE"""),"Lentes de STOCK")</f>
        <v>Lentes de STOCK</v>
      </c>
      <c r="E5287" s="1" t="str">
        <f>IFERROR(__xludf.DUMMYFUNCTION("""COMPUTED_VALUE"""),"RIVADAVIA Santiago LOPEZ")</f>
        <v>RIVADAVIA Santiago LOPEZ</v>
      </c>
      <c r="F5287" s="1" t="str">
        <f t="shared" si="1"/>
        <v>RIVADAVIA </v>
      </c>
      <c r="G5287" s="1" t="str">
        <f t="shared" si="2"/>
        <v>Santiago LOPEZ</v>
      </c>
      <c r="H5287" s="1" t="str">
        <f>IFERROR(__xludf.DUMMYFUNCTION("""COMPUTED_VALUE"""),"18/4/2023, 17:00:00")</f>
        <v>18/4/2023, 17:00:00</v>
      </c>
      <c r="I5287" s="1" t="str">
        <f>IFERROR(__xludf.DUMMYFUNCTION("""COMPUTED_VALUE"""),"Completado en SUCURSAL")</f>
        <v>Completado en SUCURSAL</v>
      </c>
      <c r="J5287" s="1">
        <f t="shared" si="3"/>
        <v>5</v>
      </c>
      <c r="K5287" s="1" t="str">
        <f t="shared" si="4"/>
        <v>Tus Lentes estan LISTAS PARA ENTREGAR, te esperamos.</v>
      </c>
    </row>
    <row r="5288">
      <c r="A5288" s="1">
        <f>IFERROR(__xludf.DUMMYFUNCTION("""COMPUTED_VALUE"""),89853.0)</f>
        <v>89853</v>
      </c>
      <c r="B5288" s="5">
        <f>IFERROR(__xludf.DUMMYFUNCTION("""COMPUTED_VALUE"""),45029.4001970949)</f>
        <v>45029.4002</v>
      </c>
      <c r="C5288" s="1" t="str">
        <f>IFERROR(__xludf.DUMMYFUNCTION("""COMPUTED_VALUE"""),"LUONGO NILDA")</f>
        <v>LUONGO NILDA</v>
      </c>
      <c r="D5288" s="1" t="str">
        <f>IFERROR(__xludf.DUMMYFUNCTION("""COMPUTED_VALUE"""),"Lentes de STOCK")</f>
        <v>Lentes de STOCK</v>
      </c>
      <c r="E5288" s="1" t="str">
        <f>IFERROR(__xludf.DUMMYFUNCTION("""COMPUTED_VALUE"""),"ARTIGAS Ivana P.")</f>
        <v>ARTIGAS Ivana P.</v>
      </c>
      <c r="F5288" s="1" t="str">
        <f t="shared" si="1"/>
        <v>ARTIGAS </v>
      </c>
      <c r="G5288" s="1" t="str">
        <f t="shared" si="2"/>
        <v>Ivana P.</v>
      </c>
      <c r="H5288" s="1" t="str">
        <f>IFERROR(__xludf.DUMMYFUNCTION("""COMPUTED_VALUE"""),"18/4/2023, 17:00:00")</f>
        <v>18/4/2023, 17:00:00</v>
      </c>
      <c r="I5288" s="1" t="str">
        <f>IFERROR(__xludf.DUMMYFUNCTION("""COMPUTED_VALUE"""),"Completado en SUCURSAL")</f>
        <v>Completado en SUCURSAL</v>
      </c>
      <c r="J5288" s="1">
        <f t="shared" si="3"/>
        <v>5</v>
      </c>
      <c r="K5288" s="1" t="str">
        <f t="shared" si="4"/>
        <v>Tus Lentes estan LISTAS PARA ENTREGAR, te esperamos.</v>
      </c>
    </row>
    <row r="5289">
      <c r="A5289" s="1">
        <f>IFERROR(__xludf.DUMMYFUNCTION("""COMPUTED_VALUE"""),89854.0)</f>
        <v>89854</v>
      </c>
      <c r="B5289" s="5">
        <f>IFERROR(__xludf.DUMMYFUNCTION("""COMPUTED_VALUE"""),45029.401032650465)</f>
        <v>45029.40103</v>
      </c>
      <c r="C5289" s="1" t="str">
        <f>IFERROR(__xludf.DUMMYFUNCTION("""COMPUTED_VALUE"""),"HERRERA SABINO DAVID")</f>
        <v>HERRERA SABINO DAVID</v>
      </c>
      <c r="D5289" s="1" t="str">
        <f>IFERROR(__xludf.DUMMYFUNCTION("""COMPUTED_VALUE"""),"Lentes de STOCK")</f>
        <v>Lentes de STOCK</v>
      </c>
      <c r="E5289" s="1" t="str">
        <f>IFERROR(__xludf.DUMMYFUNCTION("""COMPUTED_VALUE"""),"RIVADAVIA Marcela L")</f>
        <v>RIVADAVIA Marcela L</v>
      </c>
      <c r="F5289" s="1" t="str">
        <f t="shared" si="1"/>
        <v>RIVADAVIA </v>
      </c>
      <c r="G5289" s="1" t="str">
        <f t="shared" si="2"/>
        <v>Marcela L</v>
      </c>
      <c r="H5289" s="1" t="str">
        <f>IFERROR(__xludf.DUMMYFUNCTION("""COMPUTED_VALUE"""),"18/4/2023, 17:00:00")</f>
        <v>18/4/2023, 17:00:00</v>
      </c>
      <c r="I5289" s="1" t="str">
        <f>IFERROR(__xludf.DUMMYFUNCTION("""COMPUTED_VALUE"""),"Completado en SUCURSAL")</f>
        <v>Completado en SUCURSAL</v>
      </c>
      <c r="J5289" s="1">
        <f t="shared" si="3"/>
        <v>5</v>
      </c>
      <c r="K5289" s="1" t="str">
        <f t="shared" si="4"/>
        <v>Tus Lentes estan LISTAS PARA ENTREGAR, te esperamos.</v>
      </c>
    </row>
    <row r="5290">
      <c r="A5290" s="1">
        <f>IFERROR(__xludf.DUMMYFUNCTION("""COMPUTED_VALUE"""),89855.0)</f>
        <v>89855</v>
      </c>
      <c r="B5290" s="5">
        <f>IFERROR(__xludf.DUMMYFUNCTION("""COMPUTED_VALUE"""),45029.401213634264)</f>
        <v>45029.40121</v>
      </c>
      <c r="C5290" s="1" t="str">
        <f>IFERROR(__xludf.DUMMYFUNCTION("""COMPUTED_VALUE"""),"VERON NAHIAKA KIMEY  (PROGRAMA MEDICINA DEL INTERIOR GOB)")</f>
        <v>VERON NAHIAKA KIMEY  (PROGRAMA MEDICINA DEL INTERIOR GOB)</v>
      </c>
      <c r="D5290" s="1" t="str">
        <f>IFERROR(__xludf.DUMMYFUNCTION("""COMPUTED_VALUE"""),"Lentes de STOCK")</f>
        <v>Lentes de STOCK</v>
      </c>
      <c r="E5290" s="1" t="str">
        <f>IFERROR(__xludf.DUMMYFUNCTION("""COMPUTED_VALUE"""),"Online ADMIN.")</f>
        <v>Online ADMIN.</v>
      </c>
      <c r="F5290" s="1" t="str">
        <f t="shared" si="1"/>
        <v>Online </v>
      </c>
      <c r="G5290" s="1" t="str">
        <f t="shared" si="2"/>
        <v>ADMIN.</v>
      </c>
      <c r="H5290" s="1" t="str">
        <f>IFERROR(__xludf.DUMMYFUNCTION("""COMPUTED_VALUE"""),"18/4/2023, 17:00:00")</f>
        <v>18/4/2023, 17:00:00</v>
      </c>
      <c r="I5290" s="1"/>
      <c r="J5290" s="1">
        <f t="shared" si="3"/>
        <v>0</v>
      </c>
      <c r="K5290" s="1" t="str">
        <f t="shared" si="4"/>
        <v/>
      </c>
    </row>
    <row r="5291">
      <c r="A5291" s="1">
        <f>IFERROR(__xludf.DUMMYFUNCTION("""COMPUTED_VALUE"""),89856.0)</f>
        <v>89856</v>
      </c>
      <c r="B5291" s="5">
        <f>IFERROR(__xludf.DUMMYFUNCTION("""COMPUTED_VALUE"""),45029.402581076385)</f>
        <v>45029.40258</v>
      </c>
      <c r="C5291" s="1" t="str">
        <f>IFERROR(__xludf.DUMMYFUNCTION("""COMPUTED_VALUE"""),"VELAZQUEZ DIAZ (PROGRAMA MEDICINA DEL INTERIOR GOB)")</f>
        <v>VELAZQUEZ DIAZ (PROGRAMA MEDICINA DEL INTERIOR GOB)</v>
      </c>
      <c r="D5291" s="1" t="str">
        <f>IFERROR(__xludf.DUMMYFUNCTION("""COMPUTED_VALUE"""),"Lentes de STOCK")</f>
        <v>Lentes de STOCK</v>
      </c>
      <c r="E5291" s="1" t="str">
        <f>IFERROR(__xludf.DUMMYFUNCTION("""COMPUTED_VALUE"""),"Online ADMIN.")</f>
        <v>Online ADMIN.</v>
      </c>
      <c r="F5291" s="1" t="str">
        <f t="shared" si="1"/>
        <v>Online </v>
      </c>
      <c r="G5291" s="1" t="str">
        <f t="shared" si="2"/>
        <v>ADMIN.</v>
      </c>
      <c r="H5291" s="1" t="str">
        <f>IFERROR(__xludf.DUMMYFUNCTION("""COMPUTED_VALUE"""),"18/4/2023, 17:00:00")</f>
        <v>18/4/2023, 17:00:00</v>
      </c>
      <c r="I5291" s="1"/>
      <c r="J5291" s="1">
        <f t="shared" si="3"/>
        <v>0</v>
      </c>
      <c r="K5291" s="1" t="str">
        <f t="shared" si="4"/>
        <v/>
      </c>
    </row>
    <row r="5292">
      <c r="A5292" s="1">
        <f>IFERROR(__xludf.DUMMYFUNCTION("""COMPUTED_VALUE"""),89857.0)</f>
        <v>89857</v>
      </c>
      <c r="B5292" s="5">
        <f>IFERROR(__xludf.DUMMYFUNCTION("""COMPUTED_VALUE"""),45029.40294255787)</f>
        <v>45029.40294</v>
      </c>
      <c r="C5292" s="1" t="str">
        <f>IFERROR(__xludf.DUMMYFUNCTION("""COMPUTED_VALUE"""),"SCHULTZ CARLOS FEDERICO (PROGRAMA MEDICINA DEL INTERIOR GOB)")</f>
        <v>SCHULTZ CARLOS FEDERICO (PROGRAMA MEDICINA DEL INTERIOR GOB)</v>
      </c>
      <c r="D5292" s="1" t="str">
        <f>IFERROR(__xludf.DUMMYFUNCTION("""COMPUTED_VALUE"""),"Lentes de STOCK")</f>
        <v>Lentes de STOCK</v>
      </c>
      <c r="E5292" s="1" t="str">
        <f>IFERROR(__xludf.DUMMYFUNCTION("""COMPUTED_VALUE"""),"Online ADMIN.")</f>
        <v>Online ADMIN.</v>
      </c>
      <c r="F5292" s="1" t="str">
        <f t="shared" si="1"/>
        <v>Online </v>
      </c>
      <c r="G5292" s="1" t="str">
        <f t="shared" si="2"/>
        <v>ADMIN.</v>
      </c>
      <c r="H5292" s="1" t="str">
        <f>IFERROR(__xludf.DUMMYFUNCTION("""COMPUTED_VALUE"""),"18/4/2023, 17:00:00")</f>
        <v>18/4/2023, 17:00:00</v>
      </c>
      <c r="I5292" s="1" t="str">
        <f>IFERROR(__xludf.DUMMYFUNCTION("""COMPUTED_VALUE"""),"Completado en SUCURSAL")</f>
        <v>Completado en SUCURSAL</v>
      </c>
      <c r="J5292" s="1">
        <f t="shared" si="3"/>
        <v>5</v>
      </c>
      <c r="K5292" s="1" t="str">
        <f t="shared" si="4"/>
        <v>Tus Lentes estan LISTAS PARA ENTREGAR, te esperamos.</v>
      </c>
    </row>
    <row r="5293">
      <c r="A5293" s="1">
        <f>IFERROR(__xludf.DUMMYFUNCTION("""COMPUTED_VALUE"""),89858.0)</f>
        <v>89858</v>
      </c>
      <c r="B5293" s="5">
        <f>IFERROR(__xludf.DUMMYFUNCTION("""COMPUTED_VALUE"""),45029.403385949074)</f>
        <v>45029.40339</v>
      </c>
      <c r="C5293" s="1" t="str">
        <f>IFERROR(__xludf.DUMMYFUNCTION("""COMPUTED_VALUE"""),"SILAS MARIO ALEJANDRO (PROGRAMA MEDICINA DEL INTERIOR GOB)")</f>
        <v>SILAS MARIO ALEJANDRO (PROGRAMA MEDICINA DEL INTERIOR GOB)</v>
      </c>
      <c r="D5293" s="1" t="str">
        <f>IFERROR(__xludf.DUMMYFUNCTION("""COMPUTED_VALUE"""),"Lentes de STOCK")</f>
        <v>Lentes de STOCK</v>
      </c>
      <c r="E5293" s="1" t="str">
        <f>IFERROR(__xludf.DUMMYFUNCTION("""COMPUTED_VALUE"""),"Online ADMIN.")</f>
        <v>Online ADMIN.</v>
      </c>
      <c r="F5293" s="1" t="str">
        <f t="shared" si="1"/>
        <v>Online </v>
      </c>
      <c r="G5293" s="1" t="str">
        <f t="shared" si="2"/>
        <v>ADMIN.</v>
      </c>
      <c r="H5293" s="1" t="str">
        <f>IFERROR(__xludf.DUMMYFUNCTION("""COMPUTED_VALUE"""),"18/4/2023, 17:00:00")</f>
        <v>18/4/2023, 17:00:00</v>
      </c>
      <c r="I5293" s="1" t="str">
        <f>IFERROR(__xludf.DUMMYFUNCTION("""COMPUTED_VALUE"""),"Completado en SUCURSAL")</f>
        <v>Completado en SUCURSAL</v>
      </c>
      <c r="J5293" s="1">
        <f t="shared" si="3"/>
        <v>5</v>
      </c>
      <c r="K5293" s="1" t="str">
        <f t="shared" si="4"/>
        <v>Tus Lentes estan LISTAS PARA ENTREGAR, te esperamos.</v>
      </c>
    </row>
    <row r="5294">
      <c r="A5294" s="1">
        <f>IFERROR(__xludf.DUMMYFUNCTION("""COMPUTED_VALUE"""),89859.0)</f>
        <v>89859</v>
      </c>
      <c r="B5294" s="5">
        <f>IFERROR(__xludf.DUMMYFUNCTION("""COMPUTED_VALUE"""),45029.40423069445)</f>
        <v>45029.40423</v>
      </c>
      <c r="C5294" s="1" t="str">
        <f>IFERROR(__xludf.DUMMYFUNCTION("""COMPUTED_VALUE"""),"PEREZ CLAUDIA (PROGRAMA MEDICINA DEL INTERIOR GOB)")</f>
        <v>PEREZ CLAUDIA (PROGRAMA MEDICINA DEL INTERIOR GOB)</v>
      </c>
      <c r="D5294" s="1" t="str">
        <f>IFERROR(__xludf.DUMMYFUNCTION("""COMPUTED_VALUE"""),"Lentes de LABORATORIO")</f>
        <v>Lentes de LABORATORIO</v>
      </c>
      <c r="E5294" s="1" t="str">
        <f>IFERROR(__xludf.DUMMYFUNCTION("""COMPUTED_VALUE"""),"Online ADMIN.")</f>
        <v>Online ADMIN.</v>
      </c>
      <c r="F5294" s="1" t="str">
        <f t="shared" si="1"/>
        <v>Online </v>
      </c>
      <c r="G5294" s="1" t="str">
        <f t="shared" si="2"/>
        <v>ADMIN.</v>
      </c>
      <c r="H5294" s="1" t="str">
        <f>IFERROR(__xludf.DUMMYFUNCTION("""COMPUTED_VALUE"""),"20/4/2023, 17:00:00")</f>
        <v>20/4/2023, 17:00:00</v>
      </c>
      <c r="I5294" s="1"/>
      <c r="J5294" s="1">
        <f t="shared" si="3"/>
        <v>0</v>
      </c>
      <c r="K5294" s="1" t="str">
        <f t="shared" si="4"/>
        <v/>
      </c>
    </row>
    <row r="5295">
      <c r="A5295" s="1">
        <f>IFERROR(__xludf.DUMMYFUNCTION("""COMPUTED_VALUE"""),89860.0)</f>
        <v>89860</v>
      </c>
      <c r="B5295" s="5">
        <f>IFERROR(__xludf.DUMMYFUNCTION("""COMPUTED_VALUE"""),45029.404927511576)</f>
        <v>45029.40493</v>
      </c>
      <c r="C5295" s="1" t="str">
        <f>IFERROR(__xludf.DUMMYFUNCTION("""COMPUTED_VALUE"""),"QUIROGA AMIEVA EMIR")</f>
        <v>QUIROGA AMIEVA EMIR</v>
      </c>
      <c r="D5295" s="1" t="str">
        <f>IFERROR(__xludf.DUMMYFUNCTION("""COMPUTED_VALUE"""),"Lentes de STOCK")</f>
        <v>Lentes de STOCK</v>
      </c>
      <c r="E5295" s="1" t="str">
        <f>IFERROR(__xludf.DUMMYFUNCTION("""COMPUTED_VALUE"""),"RIVADAVIA Luciana")</f>
        <v>RIVADAVIA Luciana</v>
      </c>
      <c r="F5295" s="1" t="str">
        <f t="shared" si="1"/>
        <v>RIVADAVIA </v>
      </c>
      <c r="G5295" s="1" t="str">
        <f t="shared" si="2"/>
        <v>Luciana</v>
      </c>
      <c r="H5295" s="1" t="str">
        <f>IFERROR(__xludf.DUMMYFUNCTION("""COMPUTED_VALUE"""),"20/4/2023, 17:00:00")</f>
        <v>20/4/2023, 17:00:00</v>
      </c>
      <c r="I5295" s="1" t="str">
        <f>IFERROR(__xludf.DUMMYFUNCTION("""COMPUTED_VALUE"""),"Completado en SUCURSAL")</f>
        <v>Completado en SUCURSAL</v>
      </c>
      <c r="J5295" s="1">
        <f t="shared" si="3"/>
        <v>5</v>
      </c>
      <c r="K5295" s="1" t="str">
        <f t="shared" si="4"/>
        <v>Tus Lentes estan LISTAS PARA ENTREGAR, te esperamos.</v>
      </c>
    </row>
    <row r="5296">
      <c r="A5296" s="1">
        <f>IFERROR(__xludf.DUMMYFUNCTION("""COMPUTED_VALUE"""),89861.0)</f>
        <v>89861</v>
      </c>
      <c r="B5296" s="5">
        <f>IFERROR(__xludf.DUMMYFUNCTION("""COMPUTED_VALUE"""),45029.405046354164)</f>
        <v>45029.40505</v>
      </c>
      <c r="C5296" s="1" t="str">
        <f>IFERROR(__xludf.DUMMYFUNCTION("""COMPUTED_VALUE"""),"PEREZ ESTELA (PROGRAMA MEDICINA DEL INTERIOR GOB)")</f>
        <v>PEREZ ESTELA (PROGRAMA MEDICINA DEL INTERIOR GOB)</v>
      </c>
      <c r="D5296" s="1" t="str">
        <f>IFERROR(__xludf.DUMMYFUNCTION("""COMPUTED_VALUE"""),"Lentes de STOCK")</f>
        <v>Lentes de STOCK</v>
      </c>
      <c r="E5296" s="1" t="str">
        <f>IFERROR(__xludf.DUMMYFUNCTION("""COMPUTED_VALUE"""),"Online ADMIN.")</f>
        <v>Online ADMIN.</v>
      </c>
      <c r="F5296" s="1" t="str">
        <f t="shared" si="1"/>
        <v>Online </v>
      </c>
      <c r="G5296" s="1" t="str">
        <f t="shared" si="2"/>
        <v>ADMIN.</v>
      </c>
      <c r="H5296" s="1" t="str">
        <f>IFERROR(__xludf.DUMMYFUNCTION("""COMPUTED_VALUE"""),"18/4/2023, 17:00:00")</f>
        <v>18/4/2023, 17:00:00</v>
      </c>
      <c r="I5296" s="1"/>
      <c r="J5296" s="1">
        <f t="shared" si="3"/>
        <v>0</v>
      </c>
      <c r="K5296" s="1" t="str">
        <f t="shared" si="4"/>
        <v/>
      </c>
    </row>
    <row r="5297">
      <c r="A5297" s="1">
        <f>IFERROR(__xludf.DUMMYFUNCTION("""COMPUTED_VALUE"""),89862.0)</f>
        <v>89862</v>
      </c>
      <c r="B5297" s="5">
        <f>IFERROR(__xludf.DUMMYFUNCTION("""COMPUTED_VALUE"""),45029.405468530094)</f>
        <v>45029.40547</v>
      </c>
      <c r="C5297" s="1" t="str">
        <f>IFERROR(__xludf.DUMMYFUNCTION("""COMPUTED_VALUE"""),"REYNOSO FACUNDO (PROGRAMA MEDICINA DEL INTERIOR GOB)")</f>
        <v>REYNOSO FACUNDO (PROGRAMA MEDICINA DEL INTERIOR GOB)</v>
      </c>
      <c r="D5297" s="1" t="str">
        <f>IFERROR(__xludf.DUMMYFUNCTION("""COMPUTED_VALUE"""),"Lentes de LABORATORIO")</f>
        <v>Lentes de LABORATORIO</v>
      </c>
      <c r="E5297" s="1" t="str">
        <f>IFERROR(__xludf.DUMMYFUNCTION("""COMPUTED_VALUE"""),"Online ADMIN.")</f>
        <v>Online ADMIN.</v>
      </c>
      <c r="F5297" s="1" t="str">
        <f t="shared" si="1"/>
        <v>Online </v>
      </c>
      <c r="G5297" s="1" t="str">
        <f t="shared" si="2"/>
        <v>ADMIN.</v>
      </c>
      <c r="H5297" s="1" t="str">
        <f>IFERROR(__xludf.DUMMYFUNCTION("""COMPUTED_VALUE"""),"20/4/2023, 17:00:00")</f>
        <v>20/4/2023, 17:00:00</v>
      </c>
      <c r="I5297" s="1"/>
      <c r="J5297" s="1">
        <f t="shared" si="3"/>
        <v>0</v>
      </c>
      <c r="K5297" s="1" t="str">
        <f t="shared" si="4"/>
        <v/>
      </c>
    </row>
    <row r="5298">
      <c r="A5298" s="1">
        <f>IFERROR(__xludf.DUMMYFUNCTION("""COMPUTED_VALUE"""),89863.0)</f>
        <v>89863</v>
      </c>
      <c r="B5298" s="5">
        <f>IFERROR(__xludf.DUMMYFUNCTION("""COMPUTED_VALUE"""),45029.40637291667)</f>
        <v>45029.40637</v>
      </c>
      <c r="C5298" s="1" t="str">
        <f>IFERROR(__xludf.DUMMYFUNCTION("""COMPUTED_VALUE"""),"OVIEDO LUCILA (PROGRAMA MEDICINA DEL INTERIOR GOB)")</f>
        <v>OVIEDO LUCILA (PROGRAMA MEDICINA DEL INTERIOR GOB)</v>
      </c>
      <c r="D5298" s="1" t="str">
        <f>IFERROR(__xludf.DUMMYFUNCTION("""COMPUTED_VALUE"""),"Lentes de STOCK")</f>
        <v>Lentes de STOCK</v>
      </c>
      <c r="E5298" s="1" t="str">
        <f>IFERROR(__xludf.DUMMYFUNCTION("""COMPUTED_VALUE"""),"Online ADMIN.")</f>
        <v>Online ADMIN.</v>
      </c>
      <c r="F5298" s="1" t="str">
        <f t="shared" si="1"/>
        <v>Online </v>
      </c>
      <c r="G5298" s="1" t="str">
        <f t="shared" si="2"/>
        <v>ADMIN.</v>
      </c>
      <c r="H5298" s="1" t="str">
        <f>IFERROR(__xludf.DUMMYFUNCTION("""COMPUTED_VALUE"""),"18/4/2023, 17:00:00")</f>
        <v>18/4/2023, 17:00:00</v>
      </c>
      <c r="I5298" s="1"/>
      <c r="J5298" s="1">
        <f t="shared" si="3"/>
        <v>0</v>
      </c>
      <c r="K5298" s="1" t="str">
        <f t="shared" si="4"/>
        <v/>
      </c>
    </row>
    <row r="5299">
      <c r="A5299" s="1">
        <f>IFERROR(__xludf.DUMMYFUNCTION("""COMPUTED_VALUE"""),89864.0)</f>
        <v>89864</v>
      </c>
      <c r="B5299" s="5">
        <f>IFERROR(__xludf.DUMMYFUNCTION("""COMPUTED_VALUE"""),45029.40679795139)</f>
        <v>45029.4068</v>
      </c>
      <c r="C5299" s="1" t="str">
        <f>IFERROR(__xludf.DUMMYFUNCTION("""COMPUTED_VALUE"""),"MUÑOZ NAZARENA (PROGRAMA MEDICINA DEL INTERIOR GOB)")</f>
        <v>MUÑOZ NAZARENA (PROGRAMA MEDICINA DEL INTERIOR GOB)</v>
      </c>
      <c r="D5299" s="1" t="str">
        <f>IFERROR(__xludf.DUMMYFUNCTION("""COMPUTED_VALUE"""),"Lentes de STOCK")</f>
        <v>Lentes de STOCK</v>
      </c>
      <c r="E5299" s="1" t="str">
        <f>IFERROR(__xludf.DUMMYFUNCTION("""COMPUTED_VALUE"""),"Online ADMIN.")</f>
        <v>Online ADMIN.</v>
      </c>
      <c r="F5299" s="1" t="str">
        <f t="shared" si="1"/>
        <v>Online </v>
      </c>
      <c r="G5299" s="1" t="str">
        <f t="shared" si="2"/>
        <v>ADMIN.</v>
      </c>
      <c r="H5299" s="1" t="str">
        <f>IFERROR(__xludf.DUMMYFUNCTION("""COMPUTED_VALUE"""),"18/4/2023, 17:00:00")</f>
        <v>18/4/2023, 17:00:00</v>
      </c>
      <c r="I5299" s="1"/>
      <c r="J5299" s="1">
        <f t="shared" si="3"/>
        <v>0</v>
      </c>
      <c r="K5299" s="1" t="str">
        <f t="shared" si="4"/>
        <v/>
      </c>
    </row>
    <row r="5300">
      <c r="A5300" s="1">
        <f>IFERROR(__xludf.DUMMYFUNCTION("""COMPUTED_VALUE"""),89865.0)</f>
        <v>89865</v>
      </c>
      <c r="B5300" s="5">
        <f>IFERROR(__xludf.DUMMYFUNCTION("""COMPUTED_VALUE"""),45029.407194687505)</f>
        <v>45029.40719</v>
      </c>
      <c r="C5300" s="1" t="str">
        <f>IFERROR(__xludf.DUMMYFUNCTION("""COMPUTED_VALUE"""),"MORENO ELUNEY")</f>
        <v>MORENO ELUNEY</v>
      </c>
      <c r="D5300" s="1" t="str">
        <f>IFERROR(__xludf.DUMMYFUNCTION("""COMPUTED_VALUE"""),"Lentes de STOCK")</f>
        <v>Lentes de STOCK</v>
      </c>
      <c r="E5300" s="1" t="str">
        <f>IFERROR(__xludf.DUMMYFUNCTION("""COMPUTED_VALUE"""),"Online ADMIN.")</f>
        <v>Online ADMIN.</v>
      </c>
      <c r="F5300" s="1" t="str">
        <f t="shared" si="1"/>
        <v>Online </v>
      </c>
      <c r="G5300" s="1" t="str">
        <f t="shared" si="2"/>
        <v>ADMIN.</v>
      </c>
      <c r="H5300" s="1" t="str">
        <f>IFERROR(__xludf.DUMMYFUNCTION("""COMPUTED_VALUE"""),"18/4/2023, 17:00:00")</f>
        <v>18/4/2023, 17:00:00</v>
      </c>
      <c r="I5300" s="1" t="str">
        <f>IFERROR(__xludf.DUMMYFUNCTION("""COMPUTED_VALUE"""),"Completado en SUCURSAL")</f>
        <v>Completado en SUCURSAL</v>
      </c>
      <c r="J5300" s="1">
        <f t="shared" si="3"/>
        <v>5</v>
      </c>
      <c r="K5300" s="1" t="str">
        <f t="shared" si="4"/>
        <v>Tus Lentes estan LISTAS PARA ENTREGAR, te esperamos.</v>
      </c>
    </row>
    <row r="5301">
      <c r="A5301" s="1">
        <f>IFERROR(__xludf.DUMMYFUNCTION("""COMPUTED_VALUE"""),89866.0)</f>
        <v>89866</v>
      </c>
      <c r="B5301" s="5">
        <f>IFERROR(__xludf.DUMMYFUNCTION("""COMPUTED_VALUE"""),45029.40749673611)</f>
        <v>45029.4075</v>
      </c>
      <c r="C5301" s="1" t="str">
        <f>IFERROR(__xludf.DUMMYFUNCTION("""COMPUTED_VALUE"""),"MUÑOZ CANDELARIA (PROGRAMA MEDICINA DEL INTERIOR GOB)")</f>
        <v>MUÑOZ CANDELARIA (PROGRAMA MEDICINA DEL INTERIOR GOB)</v>
      </c>
      <c r="D5301" s="1" t="str">
        <f>IFERROR(__xludf.DUMMYFUNCTION("""COMPUTED_VALUE"""),"Lentes de STOCK")</f>
        <v>Lentes de STOCK</v>
      </c>
      <c r="E5301" s="1" t="str">
        <f>IFERROR(__xludf.DUMMYFUNCTION("""COMPUTED_VALUE"""),"Online ADMIN.")</f>
        <v>Online ADMIN.</v>
      </c>
      <c r="F5301" s="1" t="str">
        <f t="shared" si="1"/>
        <v>Online </v>
      </c>
      <c r="G5301" s="1" t="str">
        <f t="shared" si="2"/>
        <v>ADMIN.</v>
      </c>
      <c r="H5301" s="1" t="str">
        <f>IFERROR(__xludf.DUMMYFUNCTION("""COMPUTED_VALUE"""),"18/4/2023, 17:00:00")</f>
        <v>18/4/2023, 17:00:00</v>
      </c>
      <c r="I5301" s="1" t="str">
        <f>IFERROR(__xludf.DUMMYFUNCTION("""COMPUTED_VALUE"""),"Completado en SUCURSAL")</f>
        <v>Completado en SUCURSAL</v>
      </c>
      <c r="J5301" s="1">
        <f t="shared" si="3"/>
        <v>5</v>
      </c>
      <c r="K5301" s="1" t="str">
        <f t="shared" si="4"/>
        <v>Tus Lentes estan LISTAS PARA ENTREGAR, te esperamos.</v>
      </c>
    </row>
    <row r="5302">
      <c r="A5302" s="1">
        <f>IFERROR(__xludf.DUMMYFUNCTION("""COMPUTED_VALUE"""),89867.0)</f>
        <v>89867</v>
      </c>
      <c r="B5302" s="5">
        <f>IFERROR(__xludf.DUMMYFUNCTION("""COMPUTED_VALUE"""),45029.40877940972)</f>
        <v>45029.40878</v>
      </c>
      <c r="C5302" s="1" t="str">
        <f>IFERROR(__xludf.DUMMYFUNCTION("""COMPUTED_VALUE"""),"DIAZ MATIAS GUILLERMO (PROGRAMA MEDICINA DEL INTERIOR GOB)")</f>
        <v>DIAZ MATIAS GUILLERMO (PROGRAMA MEDICINA DEL INTERIOR GOB)</v>
      </c>
      <c r="D5302" s="1" t="str">
        <f>IFERROR(__xludf.DUMMYFUNCTION("""COMPUTED_VALUE"""),"Lentes de LABORATORIO")</f>
        <v>Lentes de LABORATORIO</v>
      </c>
      <c r="E5302" s="1" t="str">
        <f>IFERROR(__xludf.DUMMYFUNCTION("""COMPUTED_VALUE"""),"Online ADMIN.")</f>
        <v>Online ADMIN.</v>
      </c>
      <c r="F5302" s="1" t="str">
        <f t="shared" si="1"/>
        <v>Online </v>
      </c>
      <c r="G5302" s="1" t="str">
        <f t="shared" si="2"/>
        <v>ADMIN.</v>
      </c>
      <c r="H5302" s="1" t="str">
        <f>IFERROR(__xludf.DUMMYFUNCTION("""COMPUTED_VALUE"""),"20/4/2023, 17:00:00")</f>
        <v>20/4/2023, 17:00:00</v>
      </c>
      <c r="I5302" s="1"/>
      <c r="J5302" s="1">
        <f t="shared" si="3"/>
        <v>0</v>
      </c>
      <c r="K5302" s="1" t="str">
        <f t="shared" si="4"/>
        <v/>
      </c>
    </row>
    <row r="5303">
      <c r="A5303" s="1">
        <f>IFERROR(__xludf.DUMMYFUNCTION("""COMPUTED_VALUE"""),89868.0)</f>
        <v>89868</v>
      </c>
      <c r="B5303" s="5">
        <f>IFERROR(__xludf.DUMMYFUNCTION("""COMPUTED_VALUE"""),45029.40921280092)</f>
        <v>45029.40921</v>
      </c>
      <c r="C5303" s="1" t="str">
        <f>IFERROR(__xludf.DUMMYFUNCTION("""COMPUTED_VALUE"""),"GONZALEZ VALERIA (PROGRAMA MEDICINA DEL INTERIOR GOB)")</f>
        <v>GONZALEZ VALERIA (PROGRAMA MEDICINA DEL INTERIOR GOB)</v>
      </c>
      <c r="D5303" s="1" t="str">
        <f>IFERROR(__xludf.DUMMYFUNCTION("""COMPUTED_VALUE"""),"Lentes de LABORATORIO")</f>
        <v>Lentes de LABORATORIO</v>
      </c>
      <c r="E5303" s="1" t="str">
        <f>IFERROR(__xludf.DUMMYFUNCTION("""COMPUTED_VALUE"""),"Online ADMIN.")</f>
        <v>Online ADMIN.</v>
      </c>
      <c r="F5303" s="1" t="str">
        <f t="shared" si="1"/>
        <v>Online </v>
      </c>
      <c r="G5303" s="1" t="str">
        <f t="shared" si="2"/>
        <v>ADMIN.</v>
      </c>
      <c r="H5303" s="1" t="str">
        <f>IFERROR(__xludf.DUMMYFUNCTION("""COMPUTED_VALUE"""),"20/4/2023, 17:00:00")</f>
        <v>20/4/2023, 17:00:00</v>
      </c>
      <c r="I5303" s="1"/>
      <c r="J5303" s="1">
        <f t="shared" si="3"/>
        <v>0</v>
      </c>
      <c r="K5303" s="1" t="str">
        <f t="shared" si="4"/>
        <v/>
      </c>
    </row>
    <row r="5304">
      <c r="A5304" s="1">
        <f>IFERROR(__xludf.DUMMYFUNCTION("""COMPUTED_VALUE"""),89869.0)</f>
        <v>89869</v>
      </c>
      <c r="B5304" s="5">
        <f>IFERROR(__xludf.DUMMYFUNCTION("""COMPUTED_VALUE"""),45029.40968557871)</f>
        <v>45029.40969</v>
      </c>
      <c r="C5304" s="1" t="str">
        <f>IFERROR(__xludf.DUMMYFUNCTION("""COMPUTED_VALUE"""),"GARCIA MATIAS")</f>
        <v>GARCIA MATIAS</v>
      </c>
      <c r="D5304" s="1" t="str">
        <f>IFERROR(__xludf.DUMMYFUNCTION("""COMPUTED_VALUE"""),"Lentes de STOCK")</f>
        <v>Lentes de STOCK</v>
      </c>
      <c r="E5304" s="1" t="str">
        <f>IFERROR(__xludf.DUMMYFUNCTION("""COMPUTED_VALUE"""),"ARTIGAS Ivana P.")</f>
        <v>ARTIGAS Ivana P.</v>
      </c>
      <c r="F5304" s="1" t="str">
        <f t="shared" si="1"/>
        <v>ARTIGAS </v>
      </c>
      <c r="G5304" s="1" t="str">
        <f t="shared" si="2"/>
        <v>Ivana P.</v>
      </c>
      <c r="H5304" s="1" t="str">
        <f>IFERROR(__xludf.DUMMYFUNCTION("""COMPUTED_VALUE"""),"20/4/2023, 17:00:00")</f>
        <v>20/4/2023, 17:00:00</v>
      </c>
      <c r="I5304" s="1" t="str">
        <f>IFERROR(__xludf.DUMMYFUNCTION("""COMPUTED_VALUE"""),"Completado en SUCURSAL")</f>
        <v>Completado en SUCURSAL</v>
      </c>
      <c r="J5304" s="1">
        <f t="shared" si="3"/>
        <v>5</v>
      </c>
      <c r="K5304" s="1" t="str">
        <f t="shared" si="4"/>
        <v>Tus Lentes estan LISTAS PARA ENTREGAR, te esperamos.</v>
      </c>
    </row>
    <row r="5305">
      <c r="A5305" s="1">
        <f>IFERROR(__xludf.DUMMYFUNCTION("""COMPUTED_VALUE"""),89870.0)</f>
        <v>89870</v>
      </c>
      <c r="B5305" s="5">
        <f>IFERROR(__xludf.DUMMYFUNCTION("""COMPUTED_VALUE"""),45029.409712974535)</f>
        <v>45029.40971</v>
      </c>
      <c r="C5305" s="1" t="str">
        <f>IFERROR(__xludf.DUMMYFUNCTION("""COMPUTED_VALUE"""),"LEIKA KAREM (PROGRAMA MEDICINA DEL INTERIOR GOB)")</f>
        <v>LEIKA KAREM (PROGRAMA MEDICINA DEL INTERIOR GOB)</v>
      </c>
      <c r="D5305" s="1" t="str">
        <f>IFERROR(__xludf.DUMMYFUNCTION("""COMPUTED_VALUE"""),"Lentes de LABORATORIO")</f>
        <v>Lentes de LABORATORIO</v>
      </c>
      <c r="E5305" s="1" t="str">
        <f>IFERROR(__xludf.DUMMYFUNCTION("""COMPUTED_VALUE"""),"Online ADMIN.")</f>
        <v>Online ADMIN.</v>
      </c>
      <c r="F5305" s="1" t="str">
        <f t="shared" si="1"/>
        <v>Online </v>
      </c>
      <c r="G5305" s="1" t="str">
        <f t="shared" si="2"/>
        <v>ADMIN.</v>
      </c>
      <c r="H5305" s="1" t="str">
        <f>IFERROR(__xludf.DUMMYFUNCTION("""COMPUTED_VALUE"""),"20/4/2023, 17:00:00")</f>
        <v>20/4/2023, 17:00:00</v>
      </c>
      <c r="I5305" s="1"/>
      <c r="J5305" s="1">
        <f t="shared" si="3"/>
        <v>0</v>
      </c>
      <c r="K5305" s="1" t="str">
        <f t="shared" si="4"/>
        <v/>
      </c>
    </row>
    <row r="5306">
      <c r="A5306" s="1">
        <f>IFERROR(__xludf.DUMMYFUNCTION("""COMPUTED_VALUE"""),89871.0)</f>
        <v>89871</v>
      </c>
      <c r="B5306" s="5">
        <f>IFERROR(__xludf.DUMMYFUNCTION("""COMPUTED_VALUE"""),45029.41020408565)</f>
        <v>45029.4102</v>
      </c>
      <c r="C5306" s="1" t="str">
        <f>IFERROR(__xludf.DUMMYFUNCTION("""COMPUTED_VALUE"""),"GIMENEZ NELLY (PROGRAMA MEDICINA DEL INTERIOR GOB)")</f>
        <v>GIMENEZ NELLY (PROGRAMA MEDICINA DEL INTERIOR GOB)</v>
      </c>
      <c r="D5306" s="1" t="str">
        <f>IFERROR(__xludf.DUMMYFUNCTION("""COMPUTED_VALUE"""),"Lentes de STOCK")</f>
        <v>Lentes de STOCK</v>
      </c>
      <c r="E5306" s="1" t="str">
        <f>IFERROR(__xludf.DUMMYFUNCTION("""COMPUTED_VALUE"""),"Online ADMIN.")</f>
        <v>Online ADMIN.</v>
      </c>
      <c r="F5306" s="1" t="str">
        <f t="shared" si="1"/>
        <v>Online </v>
      </c>
      <c r="G5306" s="1" t="str">
        <f t="shared" si="2"/>
        <v>ADMIN.</v>
      </c>
      <c r="H5306" s="1" t="str">
        <f>IFERROR(__xludf.DUMMYFUNCTION("""COMPUTED_VALUE"""),"18/4/2023, 17:00:00")</f>
        <v>18/4/2023, 17:00:00</v>
      </c>
      <c r="I5306" s="1" t="str">
        <f>IFERROR(__xludf.DUMMYFUNCTION("""COMPUTED_VALUE"""),"Completado en SUCURSAL")</f>
        <v>Completado en SUCURSAL</v>
      </c>
      <c r="J5306" s="1">
        <f t="shared" si="3"/>
        <v>5</v>
      </c>
      <c r="K5306" s="1" t="str">
        <f t="shared" si="4"/>
        <v>Tus Lentes estan LISTAS PARA ENTREGAR, te esperamos.</v>
      </c>
    </row>
    <row r="5307">
      <c r="A5307" s="1">
        <f>IFERROR(__xludf.DUMMYFUNCTION("""COMPUTED_VALUE"""),89872.0)</f>
        <v>89872</v>
      </c>
      <c r="B5307" s="5">
        <f>IFERROR(__xludf.DUMMYFUNCTION("""COMPUTED_VALUE"""),45029.41078324074)</f>
        <v>45029.41078</v>
      </c>
      <c r="C5307" s="1" t="str">
        <f>IFERROR(__xludf.DUMMYFUNCTION("""COMPUTED_VALUE"""),"GIMENEZ NELLY (PROGRAMA MEDICINA DEL INTERIOR GOB)")</f>
        <v>GIMENEZ NELLY (PROGRAMA MEDICINA DEL INTERIOR GOB)</v>
      </c>
      <c r="D5307" s="1" t="str">
        <f>IFERROR(__xludf.DUMMYFUNCTION("""COMPUTED_VALUE"""),"Lentes de LABORATORIO")</f>
        <v>Lentes de LABORATORIO</v>
      </c>
      <c r="E5307" s="1" t="str">
        <f>IFERROR(__xludf.DUMMYFUNCTION("""COMPUTED_VALUE"""),"Online ADMIN.")</f>
        <v>Online ADMIN.</v>
      </c>
      <c r="F5307" s="1" t="str">
        <f t="shared" si="1"/>
        <v>Online </v>
      </c>
      <c r="G5307" s="1" t="str">
        <f t="shared" si="2"/>
        <v>ADMIN.</v>
      </c>
      <c r="H5307" s="1" t="str">
        <f>IFERROR(__xludf.DUMMYFUNCTION("""COMPUTED_VALUE"""),"20/4/2023, 17:00:00")</f>
        <v>20/4/2023, 17:00:00</v>
      </c>
      <c r="I5307" s="1"/>
      <c r="J5307" s="1">
        <f t="shared" si="3"/>
        <v>0</v>
      </c>
      <c r="K5307" s="1" t="str">
        <f t="shared" si="4"/>
        <v/>
      </c>
    </row>
    <row r="5308">
      <c r="A5308" s="1">
        <f>IFERROR(__xludf.DUMMYFUNCTION("""COMPUTED_VALUE"""),89873.0)</f>
        <v>89873</v>
      </c>
      <c r="B5308" s="5">
        <f>IFERROR(__xludf.DUMMYFUNCTION("""COMPUTED_VALUE"""),45029.411362175924)</f>
        <v>45029.41136</v>
      </c>
      <c r="C5308" s="1" t="str">
        <f>IFERROR(__xludf.DUMMYFUNCTION("""COMPUTED_VALUE"""),"GARAY TATIANA (PROGRAMA MEDICINA DEL INTERIOR GOB)")</f>
        <v>GARAY TATIANA (PROGRAMA MEDICINA DEL INTERIOR GOB)</v>
      </c>
      <c r="D5308" s="1" t="str">
        <f>IFERROR(__xludf.DUMMYFUNCTION("""COMPUTED_VALUE"""),"Lentes de LABORATORIO")</f>
        <v>Lentes de LABORATORIO</v>
      </c>
      <c r="E5308" s="1" t="str">
        <f>IFERROR(__xludf.DUMMYFUNCTION("""COMPUTED_VALUE"""),"Online ADMIN.")</f>
        <v>Online ADMIN.</v>
      </c>
      <c r="F5308" s="1" t="str">
        <f t="shared" si="1"/>
        <v>Online </v>
      </c>
      <c r="G5308" s="1" t="str">
        <f t="shared" si="2"/>
        <v>ADMIN.</v>
      </c>
      <c r="H5308" s="1" t="str">
        <f>IFERROR(__xludf.DUMMYFUNCTION("""COMPUTED_VALUE"""),"20/4/2023, 17:00:00")</f>
        <v>20/4/2023, 17:00:00</v>
      </c>
      <c r="I5308" s="1" t="str">
        <f>IFERROR(__xludf.DUMMYFUNCTION("""COMPUTED_VALUE"""),"Completado en SUCURSAL")</f>
        <v>Completado en SUCURSAL</v>
      </c>
      <c r="J5308" s="1">
        <f t="shared" si="3"/>
        <v>5</v>
      </c>
      <c r="K5308" s="1" t="str">
        <f t="shared" si="4"/>
        <v>Tus Lentes estan LISTAS PARA ENTREGAR, te esperamos.</v>
      </c>
    </row>
    <row r="5309">
      <c r="A5309" s="1">
        <f>IFERROR(__xludf.DUMMYFUNCTION("""COMPUTED_VALUE"""),89874.0)</f>
        <v>89874</v>
      </c>
      <c r="B5309" s="5">
        <f>IFERROR(__xludf.DUMMYFUNCTION("""COMPUTED_VALUE"""),45029.41177140047)</f>
        <v>45029.41177</v>
      </c>
      <c r="C5309" s="1" t="str">
        <f>IFERROR(__xludf.DUMMYFUNCTION("""COMPUTED_VALUE"""),"GARAY MARIA (PROGRAMA MEDICINA DEL INTERIOR GOB)")</f>
        <v>GARAY MARIA (PROGRAMA MEDICINA DEL INTERIOR GOB)</v>
      </c>
      <c r="D5309" s="1" t="str">
        <f>IFERROR(__xludf.DUMMYFUNCTION("""COMPUTED_VALUE"""),"Lentes de STOCK")</f>
        <v>Lentes de STOCK</v>
      </c>
      <c r="E5309" s="1" t="str">
        <f>IFERROR(__xludf.DUMMYFUNCTION("""COMPUTED_VALUE"""),"Online ADMIN.")</f>
        <v>Online ADMIN.</v>
      </c>
      <c r="F5309" s="1" t="str">
        <f t="shared" si="1"/>
        <v>Online </v>
      </c>
      <c r="G5309" s="1" t="str">
        <f t="shared" si="2"/>
        <v>ADMIN.</v>
      </c>
      <c r="H5309" s="1" t="str">
        <f>IFERROR(__xludf.DUMMYFUNCTION("""COMPUTED_VALUE"""),"18/4/2023, 17:00:00")</f>
        <v>18/4/2023, 17:00:00</v>
      </c>
      <c r="I5309" s="1" t="str">
        <f>IFERROR(__xludf.DUMMYFUNCTION("""COMPUTED_VALUE"""),"Completado en SUCURSAL")</f>
        <v>Completado en SUCURSAL</v>
      </c>
      <c r="J5309" s="1">
        <f t="shared" si="3"/>
        <v>5</v>
      </c>
      <c r="K5309" s="1" t="str">
        <f t="shared" si="4"/>
        <v>Tus Lentes estan LISTAS PARA ENTREGAR, te esperamos.</v>
      </c>
    </row>
    <row r="5310">
      <c r="A5310" s="1">
        <f>IFERROR(__xludf.DUMMYFUNCTION("""COMPUTED_VALUE"""),89875.0)</f>
        <v>89875</v>
      </c>
      <c r="B5310" s="5">
        <f>IFERROR(__xludf.DUMMYFUNCTION("""COMPUTED_VALUE"""),45029.41295146991)</f>
        <v>45029.41295</v>
      </c>
      <c r="C5310" s="1" t="str">
        <f>IFERROR(__xludf.DUMMYFUNCTION("""COMPUTED_VALUE"""),"ESCUDERO PIA (PROGRAMA MEDICINA DEL INTERIOR GOB)")</f>
        <v>ESCUDERO PIA (PROGRAMA MEDICINA DEL INTERIOR GOB)</v>
      </c>
      <c r="D5310" s="1" t="str">
        <f>IFERROR(__xludf.DUMMYFUNCTION("""COMPUTED_VALUE"""),"Lentes de STOCK")</f>
        <v>Lentes de STOCK</v>
      </c>
      <c r="E5310" s="1" t="str">
        <f>IFERROR(__xludf.DUMMYFUNCTION("""COMPUTED_VALUE"""),"Online ADMIN.")</f>
        <v>Online ADMIN.</v>
      </c>
      <c r="F5310" s="1" t="str">
        <f t="shared" si="1"/>
        <v>Online </v>
      </c>
      <c r="G5310" s="1" t="str">
        <f t="shared" si="2"/>
        <v>ADMIN.</v>
      </c>
      <c r="H5310" s="1" t="str">
        <f>IFERROR(__xludf.DUMMYFUNCTION("""COMPUTED_VALUE"""),"18/4/2023, 17:00:00")</f>
        <v>18/4/2023, 17:00:00</v>
      </c>
      <c r="I5310" s="1" t="str">
        <f>IFERROR(__xludf.DUMMYFUNCTION("""COMPUTED_VALUE"""),"Completado en SUCURSAL")</f>
        <v>Completado en SUCURSAL</v>
      </c>
      <c r="J5310" s="1">
        <f t="shared" si="3"/>
        <v>5</v>
      </c>
      <c r="K5310" s="1" t="str">
        <f t="shared" si="4"/>
        <v>Tus Lentes estan LISTAS PARA ENTREGAR, te esperamos.</v>
      </c>
    </row>
    <row r="5311">
      <c r="A5311" s="1">
        <f>IFERROR(__xludf.DUMMYFUNCTION("""COMPUTED_VALUE"""),89876.0)</f>
        <v>89876</v>
      </c>
      <c r="B5311" s="5">
        <f>IFERROR(__xludf.DUMMYFUNCTION("""COMPUTED_VALUE"""),45029.413321203705)</f>
        <v>45029.41332</v>
      </c>
      <c r="C5311" s="1" t="str">
        <f>IFERROR(__xludf.DUMMYFUNCTION("""COMPUTED_VALUE"""),"FRIAS ALEXANDRA  (PROGRAMA MEDICINA DEL INTERIOR GOB)")</f>
        <v>FRIAS ALEXANDRA  (PROGRAMA MEDICINA DEL INTERIOR GOB)</v>
      </c>
      <c r="D5311" s="1" t="str">
        <f>IFERROR(__xludf.DUMMYFUNCTION("""COMPUTED_VALUE"""),"Lentes de STOCK")</f>
        <v>Lentes de STOCK</v>
      </c>
      <c r="E5311" s="1" t="str">
        <f>IFERROR(__xludf.DUMMYFUNCTION("""COMPUTED_VALUE"""),"Online ADMIN.")</f>
        <v>Online ADMIN.</v>
      </c>
      <c r="F5311" s="1" t="str">
        <f t="shared" si="1"/>
        <v>Online </v>
      </c>
      <c r="G5311" s="1" t="str">
        <f t="shared" si="2"/>
        <v>ADMIN.</v>
      </c>
      <c r="H5311" s="1" t="str">
        <f>IFERROR(__xludf.DUMMYFUNCTION("""COMPUTED_VALUE"""),"18/4/2023, 17:00:00")</f>
        <v>18/4/2023, 17:00:00</v>
      </c>
      <c r="I5311" s="1" t="str">
        <f>IFERROR(__xludf.DUMMYFUNCTION("""COMPUTED_VALUE"""),"Completado en SUCURSAL")</f>
        <v>Completado en SUCURSAL</v>
      </c>
      <c r="J5311" s="1">
        <f t="shared" si="3"/>
        <v>5</v>
      </c>
      <c r="K5311" s="1" t="str">
        <f t="shared" si="4"/>
        <v>Tus Lentes estan LISTAS PARA ENTREGAR, te esperamos.</v>
      </c>
    </row>
    <row r="5312">
      <c r="A5312" s="1">
        <f>IFERROR(__xludf.DUMMYFUNCTION("""COMPUTED_VALUE"""),89877.0)</f>
        <v>89877</v>
      </c>
      <c r="B5312" s="5">
        <f>IFERROR(__xludf.DUMMYFUNCTION("""COMPUTED_VALUE"""),45029.414066550926)</f>
        <v>45029.41407</v>
      </c>
      <c r="C5312" s="1" t="str">
        <f>IFERROR(__xludf.DUMMYFUNCTION("""COMPUTED_VALUE"""),"DOMINGUEZ JULIAN (PROGRAMA MEDICINA DEL INTERIOR GOB)")</f>
        <v>DOMINGUEZ JULIAN (PROGRAMA MEDICINA DEL INTERIOR GOB)</v>
      </c>
      <c r="D5312" s="1" t="str">
        <f>IFERROR(__xludf.DUMMYFUNCTION("""COMPUTED_VALUE"""),"Lentes de STOCK")</f>
        <v>Lentes de STOCK</v>
      </c>
      <c r="E5312" s="1" t="str">
        <f>IFERROR(__xludf.DUMMYFUNCTION("""COMPUTED_VALUE"""),"Online ADMIN.")</f>
        <v>Online ADMIN.</v>
      </c>
      <c r="F5312" s="1" t="str">
        <f t="shared" si="1"/>
        <v>Online </v>
      </c>
      <c r="G5312" s="1" t="str">
        <f t="shared" si="2"/>
        <v>ADMIN.</v>
      </c>
      <c r="H5312" s="1" t="str">
        <f>IFERROR(__xludf.DUMMYFUNCTION("""COMPUTED_VALUE"""),"18/4/2023, 17:00:00")</f>
        <v>18/4/2023, 17:00:00</v>
      </c>
      <c r="I5312" s="1" t="str">
        <f>IFERROR(__xludf.DUMMYFUNCTION("""COMPUTED_VALUE"""),"Completado en SUCURSAL")</f>
        <v>Completado en SUCURSAL</v>
      </c>
      <c r="J5312" s="1">
        <f t="shared" si="3"/>
        <v>5</v>
      </c>
      <c r="K5312" s="1" t="str">
        <f t="shared" si="4"/>
        <v>Tus Lentes estan LISTAS PARA ENTREGAR, te esperamos.</v>
      </c>
    </row>
    <row r="5313">
      <c r="A5313" s="1">
        <f>IFERROR(__xludf.DUMMYFUNCTION("""COMPUTED_VALUE"""),89878.0)</f>
        <v>89878</v>
      </c>
      <c r="B5313" s="5">
        <f>IFERROR(__xludf.DUMMYFUNCTION("""COMPUTED_VALUE"""),45029.415304166665)</f>
        <v>45029.4153</v>
      </c>
      <c r="C5313" s="1" t="str">
        <f>IFERROR(__xludf.DUMMYFUNCTION("""COMPUTED_VALUE"""),"DIOSQUE RAMONA (PROGRAMA MEDICINA DEL INTERIOR GOB)")</f>
        <v>DIOSQUE RAMONA (PROGRAMA MEDICINA DEL INTERIOR GOB)</v>
      </c>
      <c r="D5313" s="1" t="str">
        <f>IFERROR(__xludf.DUMMYFUNCTION("""COMPUTED_VALUE"""),"Lentes de STOCK")</f>
        <v>Lentes de STOCK</v>
      </c>
      <c r="E5313" s="1" t="str">
        <f>IFERROR(__xludf.DUMMYFUNCTION("""COMPUTED_VALUE"""),"Online ADMIN.")</f>
        <v>Online ADMIN.</v>
      </c>
      <c r="F5313" s="1" t="str">
        <f t="shared" si="1"/>
        <v>Online </v>
      </c>
      <c r="G5313" s="1" t="str">
        <f t="shared" si="2"/>
        <v>ADMIN.</v>
      </c>
      <c r="H5313" s="1" t="str">
        <f>IFERROR(__xludf.DUMMYFUNCTION("""COMPUTED_VALUE"""),"18/4/2023, 17:00:00")</f>
        <v>18/4/2023, 17:00:00</v>
      </c>
      <c r="I5313" s="1" t="str">
        <f>IFERROR(__xludf.DUMMYFUNCTION("""COMPUTED_VALUE"""),"Completado en SUCURSAL")</f>
        <v>Completado en SUCURSAL</v>
      </c>
      <c r="J5313" s="1">
        <f t="shared" si="3"/>
        <v>5</v>
      </c>
      <c r="K5313" s="1" t="str">
        <f t="shared" si="4"/>
        <v>Tus Lentes estan LISTAS PARA ENTREGAR, te esperamos.</v>
      </c>
    </row>
    <row r="5314">
      <c r="A5314" s="1">
        <f>IFERROR(__xludf.DUMMYFUNCTION("""COMPUTED_VALUE"""),89879.0)</f>
        <v>89879</v>
      </c>
      <c r="B5314" s="5">
        <f>IFERROR(__xludf.DUMMYFUNCTION("""COMPUTED_VALUE"""),45029.41563766204)</f>
        <v>45029.41564</v>
      </c>
      <c r="C5314" s="1" t="str">
        <f>IFERROR(__xludf.DUMMYFUNCTION("""COMPUTED_VALUE"""),"BUSTOS VALERIA (PROGRAMA MEDICINA DEL INTERIOR GOB)")</f>
        <v>BUSTOS VALERIA (PROGRAMA MEDICINA DEL INTERIOR GOB)</v>
      </c>
      <c r="D5314" s="1" t="str">
        <f>IFERROR(__xludf.DUMMYFUNCTION("""COMPUTED_VALUE"""),"Lentes de STOCK")</f>
        <v>Lentes de STOCK</v>
      </c>
      <c r="E5314" s="1" t="str">
        <f>IFERROR(__xludf.DUMMYFUNCTION("""COMPUTED_VALUE"""),"Online ADMIN.")</f>
        <v>Online ADMIN.</v>
      </c>
      <c r="F5314" s="1" t="str">
        <f t="shared" si="1"/>
        <v>Online </v>
      </c>
      <c r="G5314" s="1" t="str">
        <f t="shared" si="2"/>
        <v>ADMIN.</v>
      </c>
      <c r="H5314" s="1" t="str">
        <f>IFERROR(__xludf.DUMMYFUNCTION("""COMPUTED_VALUE"""),"18/4/2023, 17:00:00")</f>
        <v>18/4/2023, 17:00:00</v>
      </c>
      <c r="I5314" s="1" t="str">
        <f>IFERROR(__xludf.DUMMYFUNCTION("""COMPUTED_VALUE"""),"Completado en SUCURSAL")</f>
        <v>Completado en SUCURSAL</v>
      </c>
      <c r="J5314" s="1">
        <f t="shared" si="3"/>
        <v>5</v>
      </c>
      <c r="K5314" s="1" t="str">
        <f t="shared" si="4"/>
        <v>Tus Lentes estan LISTAS PARA ENTREGAR, te esperamos.</v>
      </c>
    </row>
    <row r="5315">
      <c r="A5315" s="1">
        <f>IFERROR(__xludf.DUMMYFUNCTION("""COMPUTED_VALUE"""),89880.0)</f>
        <v>89880</v>
      </c>
      <c r="B5315" s="5">
        <f>IFERROR(__xludf.DUMMYFUNCTION("""COMPUTED_VALUE"""),45029.41604261574)</f>
        <v>45029.41604</v>
      </c>
      <c r="C5315" s="1" t="str">
        <f>IFERROR(__xludf.DUMMYFUNCTION("""COMPUTED_VALUE"""),"DIAZ MATIAS (PROGRAMA MEDICINA DEL INTERIOR GOB)")</f>
        <v>DIAZ MATIAS (PROGRAMA MEDICINA DEL INTERIOR GOB)</v>
      </c>
      <c r="D5315" s="1" t="str">
        <f>IFERROR(__xludf.DUMMYFUNCTION("""COMPUTED_VALUE"""),"Lentes de LABORATORIO")</f>
        <v>Lentes de LABORATORIO</v>
      </c>
      <c r="E5315" s="1" t="str">
        <f>IFERROR(__xludf.DUMMYFUNCTION("""COMPUTED_VALUE"""),"Online ADMIN.")</f>
        <v>Online ADMIN.</v>
      </c>
      <c r="F5315" s="1" t="str">
        <f t="shared" si="1"/>
        <v>Online </v>
      </c>
      <c r="G5315" s="1" t="str">
        <f t="shared" si="2"/>
        <v>ADMIN.</v>
      </c>
      <c r="H5315" s="1" t="str">
        <f>IFERROR(__xludf.DUMMYFUNCTION("""COMPUTED_VALUE"""),"20/4/2023, 17:00:00")</f>
        <v>20/4/2023, 17:00:00</v>
      </c>
      <c r="I5315" s="1"/>
      <c r="J5315" s="1">
        <f t="shared" si="3"/>
        <v>0</v>
      </c>
      <c r="K5315" s="1" t="str">
        <f t="shared" si="4"/>
        <v/>
      </c>
    </row>
    <row r="5316">
      <c r="A5316" s="1">
        <f>IFERROR(__xludf.DUMMYFUNCTION("""COMPUTED_VALUE"""),89881.0)</f>
        <v>89881</v>
      </c>
      <c r="B5316" s="5">
        <f>IFERROR(__xludf.DUMMYFUNCTION("""COMPUTED_VALUE"""),45029.41659140046)</f>
        <v>45029.41659</v>
      </c>
      <c r="C5316" s="1" t="str">
        <f>IFERROR(__xludf.DUMMYFUNCTION("""COMPUTED_VALUE"""),"AVILA GUEVARA (PROGRAMA MEDICINA DEL INTERIOR GOB)")</f>
        <v>AVILA GUEVARA (PROGRAMA MEDICINA DEL INTERIOR GOB)</v>
      </c>
      <c r="D5316" s="1" t="str">
        <f>IFERROR(__xludf.DUMMYFUNCTION("""COMPUTED_VALUE"""),"Lentes de LABORATORIO")</f>
        <v>Lentes de LABORATORIO</v>
      </c>
      <c r="E5316" s="1" t="str">
        <f>IFERROR(__xludf.DUMMYFUNCTION("""COMPUTED_VALUE"""),"Online ADMIN.")</f>
        <v>Online ADMIN.</v>
      </c>
      <c r="F5316" s="1" t="str">
        <f t="shared" si="1"/>
        <v>Online </v>
      </c>
      <c r="G5316" s="1" t="str">
        <f t="shared" si="2"/>
        <v>ADMIN.</v>
      </c>
      <c r="H5316" s="1" t="str">
        <f>IFERROR(__xludf.DUMMYFUNCTION("""COMPUTED_VALUE"""),"20/4/2023, 17:00:00")</f>
        <v>20/4/2023, 17:00:00</v>
      </c>
      <c r="I5316" s="1"/>
      <c r="J5316" s="1">
        <f t="shared" si="3"/>
        <v>0</v>
      </c>
      <c r="K5316" s="1" t="str">
        <f t="shared" si="4"/>
        <v/>
      </c>
    </row>
    <row r="5317">
      <c r="A5317" s="1">
        <f>IFERROR(__xludf.DUMMYFUNCTION("""COMPUTED_VALUE"""),89882.0)</f>
        <v>89882</v>
      </c>
      <c r="B5317" s="5">
        <f>IFERROR(__xludf.DUMMYFUNCTION("""COMPUTED_VALUE"""),45029.41706266203)</f>
        <v>45029.41706</v>
      </c>
      <c r="C5317" s="1" t="str">
        <f>IFERROR(__xludf.DUMMYFUNCTION("""COMPUTED_VALUE"""),"ARIAS ERIKA (PROGRAMA MEDICINA DEL INTERIOR GOB)")</f>
        <v>ARIAS ERIKA (PROGRAMA MEDICINA DEL INTERIOR GOB)</v>
      </c>
      <c r="D5317" s="1" t="str">
        <f>IFERROR(__xludf.DUMMYFUNCTION("""COMPUTED_VALUE"""),"Lentes de STOCK")</f>
        <v>Lentes de STOCK</v>
      </c>
      <c r="E5317" s="1" t="str">
        <f>IFERROR(__xludf.DUMMYFUNCTION("""COMPUTED_VALUE"""),"Online ADMIN.")</f>
        <v>Online ADMIN.</v>
      </c>
      <c r="F5317" s="1" t="str">
        <f t="shared" si="1"/>
        <v>Online </v>
      </c>
      <c r="G5317" s="1" t="str">
        <f t="shared" si="2"/>
        <v>ADMIN.</v>
      </c>
      <c r="H5317" s="1" t="str">
        <f>IFERROR(__xludf.DUMMYFUNCTION("""COMPUTED_VALUE"""),"18/4/2023, 17:00:00")</f>
        <v>18/4/2023, 17:00:00</v>
      </c>
      <c r="I5317" s="1" t="str">
        <f>IFERROR(__xludf.DUMMYFUNCTION("""COMPUTED_VALUE"""),"Completado en SUCURSAL")</f>
        <v>Completado en SUCURSAL</v>
      </c>
      <c r="J5317" s="1">
        <f t="shared" si="3"/>
        <v>5</v>
      </c>
      <c r="K5317" s="1" t="str">
        <f t="shared" si="4"/>
        <v>Tus Lentes estan LISTAS PARA ENTREGAR, te esperamos.</v>
      </c>
    </row>
    <row r="5318">
      <c r="A5318" s="1">
        <f>IFERROR(__xludf.DUMMYFUNCTION("""COMPUTED_VALUE"""),89883.0)</f>
        <v>89883</v>
      </c>
      <c r="B5318" s="5">
        <f>IFERROR(__xludf.DUMMYFUNCTION("""COMPUTED_VALUE"""),45029.41804626158)</f>
        <v>45029.41805</v>
      </c>
      <c r="C5318" s="1" t="str">
        <f>IFERROR(__xludf.DUMMYFUNCTION("""COMPUTED_VALUE"""),"AGOSTI MARIA ESTER (PROGRAMA MEDICINA DEL INTERIOR GOB)")</f>
        <v>AGOSTI MARIA ESTER (PROGRAMA MEDICINA DEL INTERIOR GOB)</v>
      </c>
      <c r="D5318" s="1" t="str">
        <f>IFERROR(__xludf.DUMMYFUNCTION("""COMPUTED_VALUE"""),"Lentes de STOCK")</f>
        <v>Lentes de STOCK</v>
      </c>
      <c r="E5318" s="1" t="str">
        <f>IFERROR(__xludf.DUMMYFUNCTION("""COMPUTED_VALUE"""),"Online ADMIN.")</f>
        <v>Online ADMIN.</v>
      </c>
      <c r="F5318" s="1" t="str">
        <f t="shared" si="1"/>
        <v>Online </v>
      </c>
      <c r="G5318" s="1" t="str">
        <f t="shared" si="2"/>
        <v>ADMIN.</v>
      </c>
      <c r="H5318" s="1" t="str">
        <f>IFERROR(__xludf.DUMMYFUNCTION("""COMPUTED_VALUE"""),"18/4/2023, 17:00:00")</f>
        <v>18/4/2023, 17:00:00</v>
      </c>
      <c r="I5318" s="1"/>
      <c r="J5318" s="1">
        <f t="shared" si="3"/>
        <v>0</v>
      </c>
      <c r="K5318" s="1" t="str">
        <f t="shared" si="4"/>
        <v/>
      </c>
    </row>
    <row r="5319">
      <c r="A5319" s="1">
        <f>IFERROR(__xludf.DUMMYFUNCTION("""COMPUTED_VALUE"""),89884.0)</f>
        <v>89884</v>
      </c>
      <c r="B5319" s="5">
        <f>IFERROR(__xludf.DUMMYFUNCTION("""COMPUTED_VALUE"""),45029.418990266204)</f>
        <v>45029.41899</v>
      </c>
      <c r="C5319" s="1" t="str">
        <f>IFERROR(__xludf.DUMMYFUNCTION("""COMPUTED_VALUE"""),"TOBARES VICTOR VALENTINO (PROGRAMA MEDICINA DEL INTERIOR GOB)")</f>
        <v>TOBARES VICTOR VALENTINO (PROGRAMA MEDICINA DEL INTERIOR GOB)</v>
      </c>
      <c r="D5319" s="1" t="str">
        <f>IFERROR(__xludf.DUMMYFUNCTION("""COMPUTED_VALUE"""),"Lentes de LABORATORIO")</f>
        <v>Lentes de LABORATORIO</v>
      </c>
      <c r="E5319" s="1" t="str">
        <f>IFERROR(__xludf.DUMMYFUNCTION("""COMPUTED_VALUE"""),"Online ADMIN.")</f>
        <v>Online ADMIN.</v>
      </c>
      <c r="F5319" s="1" t="str">
        <f t="shared" si="1"/>
        <v>Online </v>
      </c>
      <c r="G5319" s="1" t="str">
        <f t="shared" si="2"/>
        <v>ADMIN.</v>
      </c>
      <c r="H5319" s="1" t="str">
        <f>IFERROR(__xludf.DUMMYFUNCTION("""COMPUTED_VALUE"""),"20/4/2023, 17:00:00")</f>
        <v>20/4/2023, 17:00:00</v>
      </c>
      <c r="I5319" s="1"/>
      <c r="J5319" s="1">
        <f t="shared" si="3"/>
        <v>0</v>
      </c>
      <c r="K5319" s="1" t="str">
        <f t="shared" si="4"/>
        <v/>
      </c>
    </row>
    <row r="5320">
      <c r="A5320" s="1">
        <f>IFERROR(__xludf.DUMMYFUNCTION("""COMPUTED_VALUE"""),89885.0)</f>
        <v>89885</v>
      </c>
      <c r="B5320" s="5">
        <f>IFERROR(__xludf.DUMMYFUNCTION("""COMPUTED_VALUE"""),45029.41917565972)</f>
        <v>45029.41918</v>
      </c>
      <c r="C5320" s="1" t="str">
        <f>IFERROR(__xludf.DUMMYFUNCTION("""COMPUTED_VALUE"""),"MEDERO MARIA BIOLINDA")</f>
        <v>MEDERO MARIA BIOLINDA</v>
      </c>
      <c r="D5320" s="1" t="str">
        <f>IFERROR(__xludf.DUMMYFUNCTION("""COMPUTED_VALUE"""),"Lentes MULTIFOCALES")</f>
        <v>Lentes MULTIFOCALES</v>
      </c>
      <c r="E5320" s="1" t="str">
        <f>IFERROR(__xludf.DUMMYFUNCTION("""COMPUTED_VALUE"""),"RIVADAVIA Christian C.")</f>
        <v>RIVADAVIA Christian C.</v>
      </c>
      <c r="F5320" s="1" t="str">
        <f t="shared" si="1"/>
        <v>RIVADAVIA </v>
      </c>
      <c r="G5320" s="1" t="str">
        <f t="shared" si="2"/>
        <v>Christian C.</v>
      </c>
      <c r="H5320" s="1" t="str">
        <f>IFERROR(__xludf.DUMMYFUNCTION("""COMPUTED_VALUE"""),"28/4/2023, 17:00:00")</f>
        <v>28/4/2023, 17:00:00</v>
      </c>
      <c r="I5320" s="1" t="str">
        <f>IFERROR(__xludf.DUMMYFUNCTION("""COMPUTED_VALUE"""),"Recibido en Laboratorio")</f>
        <v>Recibido en Laboratorio</v>
      </c>
      <c r="J5320" s="1">
        <f t="shared" si="3"/>
        <v>2</v>
      </c>
      <c r="K5320" s="1" t="str">
        <f t="shared" si="4"/>
        <v>Nuestro Laboratorio esta trabajando en tus lentes, los entregaremos en la fecha acordada.</v>
      </c>
    </row>
    <row r="5321">
      <c r="A5321" s="1">
        <f>IFERROR(__xludf.DUMMYFUNCTION("""COMPUTED_VALUE"""),89886.0)</f>
        <v>89886</v>
      </c>
      <c r="B5321" s="5">
        <f>IFERROR(__xludf.DUMMYFUNCTION("""COMPUTED_VALUE"""),45029.419809074076)</f>
        <v>45029.41981</v>
      </c>
      <c r="C5321" s="1" t="str">
        <f>IFERROR(__xludf.DUMMYFUNCTION("""COMPUTED_VALUE"""),"VILLEGAS ROSA (PROGRAMA MEDICINA DEL INTERIOR GOB)")</f>
        <v>VILLEGAS ROSA (PROGRAMA MEDICINA DEL INTERIOR GOB)</v>
      </c>
      <c r="D5321" s="1" t="str">
        <f>IFERROR(__xludf.DUMMYFUNCTION("""COMPUTED_VALUE"""),"Lentes de STOCK")</f>
        <v>Lentes de STOCK</v>
      </c>
      <c r="E5321" s="1" t="str">
        <f>IFERROR(__xludf.DUMMYFUNCTION("""COMPUTED_VALUE"""),"Online ADMIN.")</f>
        <v>Online ADMIN.</v>
      </c>
      <c r="F5321" s="1" t="str">
        <f t="shared" si="1"/>
        <v>Online </v>
      </c>
      <c r="G5321" s="1" t="str">
        <f t="shared" si="2"/>
        <v>ADMIN.</v>
      </c>
      <c r="H5321" s="1" t="str">
        <f>IFERROR(__xludf.DUMMYFUNCTION("""COMPUTED_VALUE"""),"18/4/2023, 17:00:00")</f>
        <v>18/4/2023, 17:00:00</v>
      </c>
      <c r="I5321" s="1" t="str">
        <f>IFERROR(__xludf.DUMMYFUNCTION("""COMPUTED_VALUE"""),"Recibido en Laboratorio")</f>
        <v>Recibido en Laboratorio</v>
      </c>
      <c r="J5321" s="1">
        <f t="shared" si="3"/>
        <v>2</v>
      </c>
      <c r="K5321" s="1" t="str">
        <f t="shared" si="4"/>
        <v>Nuestro Laboratorio esta trabajando en tus lentes, los entregaremos en la fecha acordada.</v>
      </c>
    </row>
    <row r="5322">
      <c r="A5322" s="1">
        <f>IFERROR(__xludf.DUMMYFUNCTION("""COMPUTED_VALUE"""),89887.0)</f>
        <v>89887</v>
      </c>
      <c r="B5322" s="5">
        <f>IFERROR(__xludf.DUMMYFUNCTION("""COMPUTED_VALUE"""),45029.42008643519)</f>
        <v>45029.42009</v>
      </c>
      <c r="C5322" s="1" t="str">
        <f>IFERROR(__xludf.DUMMYFUNCTION("""COMPUTED_VALUE"""),"BUETI ROQUE")</f>
        <v>BUETI ROQUE</v>
      </c>
      <c r="D5322" s="1" t="str">
        <f>IFERROR(__xludf.DUMMYFUNCTION("""COMPUTED_VALUE"""),"Reparaciones/Otros")</f>
        <v>Reparaciones/Otros</v>
      </c>
      <c r="E5322" s="1" t="str">
        <f>IFERROR(__xludf.DUMMYFUNCTION("""COMPUTED_VALUE"""),"ARTIGAS Ivana P.")</f>
        <v>ARTIGAS Ivana P.</v>
      </c>
      <c r="F5322" s="1" t="str">
        <f t="shared" si="1"/>
        <v>ARTIGAS </v>
      </c>
      <c r="G5322" s="1" t="str">
        <f t="shared" si="2"/>
        <v>Ivana P.</v>
      </c>
      <c r="H5322" s="1" t="str">
        <f>IFERROR(__xludf.DUMMYFUNCTION("""COMPUTED_VALUE"""),"18/4/2023, 17:00:00")</f>
        <v>18/4/2023, 17:00:00</v>
      </c>
      <c r="I5322" s="1" t="str">
        <f>IFERROR(__xludf.DUMMYFUNCTION("""COMPUTED_VALUE"""),"Recibido en Laboratorio")</f>
        <v>Recibido en Laboratorio</v>
      </c>
      <c r="J5322" s="1">
        <f t="shared" si="3"/>
        <v>2</v>
      </c>
      <c r="K5322" s="1" t="str">
        <f t="shared" si="4"/>
        <v>Nuestro Laboratorio esta trabajando en tus lentes, los entregaremos en la fecha acordada.</v>
      </c>
    </row>
    <row r="5323">
      <c r="A5323" s="1">
        <f>IFERROR(__xludf.DUMMYFUNCTION("""COMPUTED_VALUE"""),89888.0)</f>
        <v>89888</v>
      </c>
      <c r="B5323" s="5">
        <f>IFERROR(__xludf.DUMMYFUNCTION("""COMPUTED_VALUE"""),45029.420560451385)</f>
        <v>45029.42056</v>
      </c>
      <c r="C5323" s="1" t="str">
        <f>IFERROR(__xludf.DUMMYFUNCTION("""COMPUTED_VALUE"""),"SORIA CLARA (PROGRAMA MEDICINA DEL INTERIOR GOB)")</f>
        <v>SORIA CLARA (PROGRAMA MEDICINA DEL INTERIOR GOB)</v>
      </c>
      <c r="D5323" s="1" t="str">
        <f>IFERROR(__xludf.DUMMYFUNCTION("""COMPUTED_VALUE"""),"Lentes de LABORATORIO")</f>
        <v>Lentes de LABORATORIO</v>
      </c>
      <c r="E5323" s="1" t="str">
        <f>IFERROR(__xludf.DUMMYFUNCTION("""COMPUTED_VALUE"""),"Online ADMIN.")</f>
        <v>Online ADMIN.</v>
      </c>
      <c r="F5323" s="1" t="str">
        <f t="shared" si="1"/>
        <v>Online </v>
      </c>
      <c r="G5323" s="1" t="str">
        <f t="shared" si="2"/>
        <v>ADMIN.</v>
      </c>
      <c r="H5323" s="1" t="str">
        <f>IFERROR(__xludf.DUMMYFUNCTION("""COMPUTED_VALUE"""),"20/4/2023, 17:00:00")</f>
        <v>20/4/2023, 17:00:00</v>
      </c>
      <c r="I5323" s="1"/>
      <c r="J5323" s="1">
        <f t="shared" si="3"/>
        <v>0</v>
      </c>
      <c r="K5323" s="1" t="str">
        <f t="shared" si="4"/>
        <v/>
      </c>
    </row>
    <row r="5324">
      <c r="A5324" s="1">
        <f>IFERROR(__xludf.DUMMYFUNCTION("""COMPUTED_VALUE"""),89889.0)</f>
        <v>89889</v>
      </c>
      <c r="B5324" s="5">
        <f>IFERROR(__xludf.DUMMYFUNCTION("""COMPUTED_VALUE"""),45029.42144826389)</f>
        <v>45029.42145</v>
      </c>
      <c r="C5324" s="1" t="str">
        <f>IFERROR(__xludf.DUMMYFUNCTION("""COMPUTED_VALUE"""),"SOSA SONIA (PROGRAMA MEDICINA DEL INTERIOR GOB)")</f>
        <v>SOSA SONIA (PROGRAMA MEDICINA DEL INTERIOR GOB)</v>
      </c>
      <c r="D5324" s="1" t="str">
        <f>IFERROR(__xludf.DUMMYFUNCTION("""COMPUTED_VALUE"""),"Lentes de STOCK")</f>
        <v>Lentes de STOCK</v>
      </c>
      <c r="E5324" s="1" t="str">
        <f>IFERROR(__xludf.DUMMYFUNCTION("""COMPUTED_VALUE"""),"Online ADMIN.")</f>
        <v>Online ADMIN.</v>
      </c>
      <c r="F5324" s="1" t="str">
        <f t="shared" si="1"/>
        <v>Online </v>
      </c>
      <c r="G5324" s="1" t="str">
        <f t="shared" si="2"/>
        <v>ADMIN.</v>
      </c>
      <c r="H5324" s="1" t="str">
        <f>IFERROR(__xludf.DUMMYFUNCTION("""COMPUTED_VALUE"""),"18/4/2023, 17:00:00")</f>
        <v>18/4/2023, 17:00:00</v>
      </c>
      <c r="I5324" s="1" t="str">
        <f>IFERROR(__xludf.DUMMYFUNCTION("""COMPUTED_VALUE"""),"Completado en SUCURSAL")</f>
        <v>Completado en SUCURSAL</v>
      </c>
      <c r="J5324" s="1">
        <f t="shared" si="3"/>
        <v>5</v>
      </c>
      <c r="K5324" s="1" t="str">
        <f t="shared" si="4"/>
        <v>Tus Lentes estan LISTAS PARA ENTREGAR, te esperamos.</v>
      </c>
    </row>
    <row r="5325">
      <c r="A5325" s="1">
        <f>IFERROR(__xludf.DUMMYFUNCTION("""COMPUTED_VALUE"""),89890.0)</f>
        <v>89890</v>
      </c>
      <c r="B5325" s="5">
        <f>IFERROR(__xludf.DUMMYFUNCTION("""COMPUTED_VALUE"""),45029.4219299074)</f>
        <v>45029.42193</v>
      </c>
      <c r="C5325" s="1" t="str">
        <f>IFERROR(__xludf.DUMMYFUNCTION("""COMPUTED_VALUE"""),"SOLA NATALIA (PROGRAMA MEDICINA DEL INTERIOR GOB)")</f>
        <v>SOLA NATALIA (PROGRAMA MEDICINA DEL INTERIOR GOB)</v>
      </c>
      <c r="D5325" s="1" t="str">
        <f>IFERROR(__xludf.DUMMYFUNCTION("""COMPUTED_VALUE"""),"Lentes de STOCK")</f>
        <v>Lentes de STOCK</v>
      </c>
      <c r="E5325" s="1" t="str">
        <f>IFERROR(__xludf.DUMMYFUNCTION("""COMPUTED_VALUE"""),"Online ADMIN.")</f>
        <v>Online ADMIN.</v>
      </c>
      <c r="F5325" s="1" t="str">
        <f t="shared" si="1"/>
        <v>Online </v>
      </c>
      <c r="G5325" s="1" t="str">
        <f t="shared" si="2"/>
        <v>ADMIN.</v>
      </c>
      <c r="H5325" s="1" t="str">
        <f>IFERROR(__xludf.DUMMYFUNCTION("""COMPUTED_VALUE"""),"18/4/2023, 17:00:00")</f>
        <v>18/4/2023, 17:00:00</v>
      </c>
      <c r="I5325" s="1"/>
      <c r="J5325" s="1">
        <f t="shared" si="3"/>
        <v>0</v>
      </c>
      <c r="K5325" s="1" t="str">
        <f t="shared" si="4"/>
        <v/>
      </c>
    </row>
    <row r="5326">
      <c r="A5326" s="1">
        <f>IFERROR(__xludf.DUMMYFUNCTION("""COMPUTED_VALUE"""),89891.0)</f>
        <v>89891</v>
      </c>
      <c r="B5326" s="5">
        <f>IFERROR(__xludf.DUMMYFUNCTION("""COMPUTED_VALUE"""),45029.42304569445)</f>
        <v>45029.42305</v>
      </c>
      <c r="C5326" s="1" t="str">
        <f>IFERROR(__xludf.DUMMYFUNCTION("""COMPUTED_VALUE"""),"SANCHEZ ROBERTO (PROGRAMA MEDICINA DEL INTERIOR GOB)")</f>
        <v>SANCHEZ ROBERTO (PROGRAMA MEDICINA DEL INTERIOR GOB)</v>
      </c>
      <c r="D5326" s="1" t="str">
        <f>IFERROR(__xludf.DUMMYFUNCTION("""COMPUTED_VALUE"""),"Lentes de STOCK")</f>
        <v>Lentes de STOCK</v>
      </c>
      <c r="E5326" s="1" t="str">
        <f>IFERROR(__xludf.DUMMYFUNCTION("""COMPUTED_VALUE"""),"Online ADMIN.")</f>
        <v>Online ADMIN.</v>
      </c>
      <c r="F5326" s="1" t="str">
        <f t="shared" si="1"/>
        <v>Online </v>
      </c>
      <c r="G5326" s="1" t="str">
        <f t="shared" si="2"/>
        <v>ADMIN.</v>
      </c>
      <c r="H5326" s="1" t="str">
        <f>IFERROR(__xludf.DUMMYFUNCTION("""COMPUTED_VALUE"""),"18/4/2023, 17:00:00")</f>
        <v>18/4/2023, 17:00:00</v>
      </c>
      <c r="I5326" s="1"/>
      <c r="J5326" s="1">
        <f t="shared" si="3"/>
        <v>0</v>
      </c>
      <c r="K5326" s="1" t="str">
        <f t="shared" si="4"/>
        <v/>
      </c>
    </row>
    <row r="5327">
      <c r="A5327" s="1">
        <f>IFERROR(__xludf.DUMMYFUNCTION("""COMPUTED_VALUE"""),89892.0)</f>
        <v>89892</v>
      </c>
      <c r="B5327" s="5">
        <f>IFERROR(__xludf.DUMMYFUNCTION("""COMPUTED_VALUE"""),45029.423477766206)</f>
        <v>45029.42348</v>
      </c>
      <c r="C5327" s="1" t="str">
        <f>IFERROR(__xludf.DUMMYFUNCTION("""COMPUTED_VALUE"""),"OROZCO ROSSA (PROGRAMA MEDICINA DEL INTERIOR GOB)")</f>
        <v>OROZCO ROSSA (PROGRAMA MEDICINA DEL INTERIOR GOB)</v>
      </c>
      <c r="D5327" s="1" t="str">
        <f>IFERROR(__xludf.DUMMYFUNCTION("""COMPUTED_VALUE"""),"Lentes de LABORATORIO")</f>
        <v>Lentes de LABORATORIO</v>
      </c>
      <c r="E5327" s="1" t="str">
        <f>IFERROR(__xludf.DUMMYFUNCTION("""COMPUTED_VALUE"""),"Online ADMIN.")</f>
        <v>Online ADMIN.</v>
      </c>
      <c r="F5327" s="1" t="str">
        <f t="shared" si="1"/>
        <v>Online </v>
      </c>
      <c r="G5327" s="1" t="str">
        <f t="shared" si="2"/>
        <v>ADMIN.</v>
      </c>
      <c r="H5327" s="1" t="str">
        <f>IFERROR(__xludf.DUMMYFUNCTION("""COMPUTED_VALUE"""),"20/4/2023, 17:00:00")</f>
        <v>20/4/2023, 17:00:00</v>
      </c>
      <c r="I5327" s="1"/>
      <c r="J5327" s="1">
        <f t="shared" si="3"/>
        <v>0</v>
      </c>
      <c r="K5327" s="1" t="str">
        <f t="shared" si="4"/>
        <v/>
      </c>
    </row>
    <row r="5328">
      <c r="A5328" s="1">
        <f>IFERROR(__xludf.DUMMYFUNCTION("""COMPUTED_VALUE"""),89893.0)</f>
        <v>89893</v>
      </c>
      <c r="B5328" s="5">
        <f>IFERROR(__xludf.DUMMYFUNCTION("""COMPUTED_VALUE"""),45029.424371851856)</f>
        <v>45029.42437</v>
      </c>
      <c r="C5328" s="1" t="str">
        <f>IFERROR(__xludf.DUMMYFUNCTION("""COMPUTED_VALUE"""),"SALOMON ANALIA (PROGRAMA MEDICINA DEL INTERIOR GOB)")</f>
        <v>SALOMON ANALIA (PROGRAMA MEDICINA DEL INTERIOR GOB)</v>
      </c>
      <c r="D5328" s="1" t="str">
        <f>IFERROR(__xludf.DUMMYFUNCTION("""COMPUTED_VALUE"""),"Lentes de STOCK")</f>
        <v>Lentes de STOCK</v>
      </c>
      <c r="E5328" s="1" t="str">
        <f>IFERROR(__xludf.DUMMYFUNCTION("""COMPUTED_VALUE"""),"Online ADMIN.")</f>
        <v>Online ADMIN.</v>
      </c>
      <c r="F5328" s="1" t="str">
        <f t="shared" si="1"/>
        <v>Online </v>
      </c>
      <c r="G5328" s="1" t="str">
        <f t="shared" si="2"/>
        <v>ADMIN.</v>
      </c>
      <c r="H5328" s="1" t="str">
        <f>IFERROR(__xludf.DUMMYFUNCTION("""COMPUTED_VALUE"""),"18/4/2023, 17:00:00")</f>
        <v>18/4/2023, 17:00:00</v>
      </c>
      <c r="I5328" s="1" t="str">
        <f>IFERROR(__xludf.DUMMYFUNCTION("""COMPUTED_VALUE"""),"Completado en SUCURSAL")</f>
        <v>Completado en SUCURSAL</v>
      </c>
      <c r="J5328" s="1">
        <f t="shared" si="3"/>
        <v>5</v>
      </c>
      <c r="K5328" s="1" t="str">
        <f t="shared" si="4"/>
        <v>Tus Lentes estan LISTAS PARA ENTREGAR, te esperamos.</v>
      </c>
    </row>
    <row r="5329">
      <c r="A5329" s="1">
        <f>IFERROR(__xludf.DUMMYFUNCTION("""COMPUTED_VALUE"""),89894.0)</f>
        <v>89894</v>
      </c>
      <c r="B5329" s="5">
        <f>IFERROR(__xludf.DUMMYFUNCTION("""COMPUTED_VALUE"""),45029.42481173611)</f>
        <v>45029.42481</v>
      </c>
      <c r="C5329" s="1" t="str">
        <f>IFERROR(__xludf.DUMMYFUNCTION("""COMPUTED_VALUE"""),"ZAPATA LUCRECIA RAQUEL")</f>
        <v>ZAPATA LUCRECIA RAQUEL</v>
      </c>
      <c r="D5329" s="1" t="str">
        <f>IFERROR(__xludf.DUMMYFUNCTION("""COMPUTED_VALUE"""),"Lentes de STOCK")</f>
        <v>Lentes de STOCK</v>
      </c>
      <c r="E5329" s="1" t="str">
        <f>IFERROR(__xludf.DUMMYFUNCTION("""COMPUTED_VALUE"""),"ARTIGAS Roció")</f>
        <v>ARTIGAS Roció</v>
      </c>
      <c r="F5329" s="1" t="str">
        <f t="shared" si="1"/>
        <v>ARTIGAS </v>
      </c>
      <c r="G5329" s="1" t="str">
        <f t="shared" si="2"/>
        <v>Roció</v>
      </c>
      <c r="H5329" s="1" t="str">
        <f>IFERROR(__xludf.DUMMYFUNCTION("""COMPUTED_VALUE"""),"19/4/2023, 17:00:00")</f>
        <v>19/4/2023, 17:00:00</v>
      </c>
      <c r="I5329" s="1" t="str">
        <f>IFERROR(__xludf.DUMMYFUNCTION("""COMPUTED_VALUE"""),"Completado en SUCURSAL")</f>
        <v>Completado en SUCURSAL</v>
      </c>
      <c r="J5329" s="1">
        <f t="shared" si="3"/>
        <v>5</v>
      </c>
      <c r="K5329" s="1" t="str">
        <f t="shared" si="4"/>
        <v>Tus Lentes estan LISTAS PARA ENTREGAR, te esperamos.</v>
      </c>
    </row>
    <row r="5330">
      <c r="A5330" s="1">
        <f>IFERROR(__xludf.DUMMYFUNCTION("""COMPUTED_VALUE"""),89895.0)</f>
        <v>89895</v>
      </c>
      <c r="B5330" s="5">
        <f>IFERROR(__xludf.DUMMYFUNCTION("""COMPUTED_VALUE"""),45029.4248205787)</f>
        <v>45029.42482</v>
      </c>
      <c r="C5330" s="1" t="str">
        <f>IFERROR(__xludf.DUMMYFUNCTION("""COMPUTED_VALUE"""),"OROZCO SOLEDAD (PROGRAMA MEDICINA DEL INTERIOR GOB)")</f>
        <v>OROZCO SOLEDAD (PROGRAMA MEDICINA DEL INTERIOR GOB)</v>
      </c>
      <c r="D5330" s="1" t="str">
        <f>IFERROR(__xludf.DUMMYFUNCTION("""COMPUTED_VALUE"""),"Lentes de STOCK")</f>
        <v>Lentes de STOCK</v>
      </c>
      <c r="E5330" s="1" t="str">
        <f>IFERROR(__xludf.DUMMYFUNCTION("""COMPUTED_VALUE"""),"Online ADMIN.")</f>
        <v>Online ADMIN.</v>
      </c>
      <c r="F5330" s="1" t="str">
        <f t="shared" si="1"/>
        <v>Online </v>
      </c>
      <c r="G5330" s="1" t="str">
        <f t="shared" si="2"/>
        <v>ADMIN.</v>
      </c>
      <c r="H5330" s="1" t="str">
        <f>IFERROR(__xludf.DUMMYFUNCTION("""COMPUTED_VALUE"""),"18/4/2023, 17:00:00")</f>
        <v>18/4/2023, 17:00:00</v>
      </c>
      <c r="I5330" s="1" t="str">
        <f>IFERROR(__xludf.DUMMYFUNCTION("""COMPUTED_VALUE"""),"Completado en SUCURSAL")</f>
        <v>Completado en SUCURSAL</v>
      </c>
      <c r="J5330" s="1">
        <f t="shared" si="3"/>
        <v>5</v>
      </c>
      <c r="K5330" s="1" t="str">
        <f t="shared" si="4"/>
        <v>Tus Lentes estan LISTAS PARA ENTREGAR, te esperamos.</v>
      </c>
    </row>
    <row r="5331">
      <c r="A5331" s="1">
        <f>IFERROR(__xludf.DUMMYFUNCTION("""COMPUTED_VALUE"""),89896.0)</f>
        <v>89896</v>
      </c>
      <c r="B5331" s="5">
        <f>IFERROR(__xludf.DUMMYFUNCTION("""COMPUTED_VALUE"""),45029.425176585646)</f>
        <v>45029.42518</v>
      </c>
      <c r="C5331" s="1" t="str">
        <f>IFERROR(__xludf.DUMMYFUNCTION("""COMPUTED_VALUE"""),"LUGO VALENTINA (PROGRAMA MEDICINA DEL INTERIOR GOB)")</f>
        <v>LUGO VALENTINA (PROGRAMA MEDICINA DEL INTERIOR GOB)</v>
      </c>
      <c r="D5331" s="1" t="str">
        <f>IFERROR(__xludf.DUMMYFUNCTION("""COMPUTED_VALUE"""),"Lentes de STOCK")</f>
        <v>Lentes de STOCK</v>
      </c>
      <c r="E5331" s="1" t="str">
        <f>IFERROR(__xludf.DUMMYFUNCTION("""COMPUTED_VALUE"""),"Online ADMIN.")</f>
        <v>Online ADMIN.</v>
      </c>
      <c r="F5331" s="1" t="str">
        <f t="shared" si="1"/>
        <v>Online </v>
      </c>
      <c r="G5331" s="1" t="str">
        <f t="shared" si="2"/>
        <v>ADMIN.</v>
      </c>
      <c r="H5331" s="1" t="str">
        <f>IFERROR(__xludf.DUMMYFUNCTION("""COMPUTED_VALUE"""),"18/4/2023, 17:00:00")</f>
        <v>18/4/2023, 17:00:00</v>
      </c>
      <c r="I5331" s="1" t="str">
        <f>IFERROR(__xludf.DUMMYFUNCTION("""COMPUTED_VALUE"""),"Completado en SUCURSAL")</f>
        <v>Completado en SUCURSAL</v>
      </c>
      <c r="J5331" s="1">
        <f t="shared" si="3"/>
        <v>5</v>
      </c>
      <c r="K5331" s="1" t="str">
        <f t="shared" si="4"/>
        <v>Tus Lentes estan LISTAS PARA ENTREGAR, te esperamos.</v>
      </c>
    </row>
    <row r="5332">
      <c r="A5332" s="1">
        <f>IFERROR(__xludf.DUMMYFUNCTION("""COMPUTED_VALUE"""),89897.0)</f>
        <v>89897</v>
      </c>
      <c r="B5332" s="5">
        <f>IFERROR(__xludf.DUMMYFUNCTION("""COMPUTED_VALUE"""),45029.425490891204)</f>
        <v>45029.42549</v>
      </c>
      <c r="C5332" s="1" t="str">
        <f>IFERROR(__xludf.DUMMYFUNCTION("""COMPUTED_VALUE"""),"MADJOR JULIANA IRUPE")</f>
        <v>MADJOR JULIANA IRUPE</v>
      </c>
      <c r="D5332" s="1" t="str">
        <f>IFERROR(__xludf.DUMMYFUNCTION("""COMPUTED_VALUE"""),"Lentes de STOCK")</f>
        <v>Lentes de STOCK</v>
      </c>
      <c r="E5332" s="1" t="str">
        <f>IFERROR(__xludf.DUMMYFUNCTION("""COMPUTED_VALUE"""),"RIVADAVIA Santiago LOPEZ")</f>
        <v>RIVADAVIA Santiago LOPEZ</v>
      </c>
      <c r="F5332" s="1" t="str">
        <f t="shared" si="1"/>
        <v>RIVADAVIA </v>
      </c>
      <c r="G5332" s="1" t="str">
        <f t="shared" si="2"/>
        <v>Santiago LOPEZ</v>
      </c>
      <c r="H5332" s="1" t="str">
        <f>IFERROR(__xludf.DUMMYFUNCTION("""COMPUTED_VALUE"""),"18/4/2023, 17:00:00")</f>
        <v>18/4/2023, 17:00:00</v>
      </c>
      <c r="I5332" s="1" t="str">
        <f>IFERROR(__xludf.DUMMYFUNCTION("""COMPUTED_VALUE"""),"Completado en SUCURSAL")</f>
        <v>Completado en SUCURSAL</v>
      </c>
      <c r="J5332" s="1">
        <f t="shared" si="3"/>
        <v>5</v>
      </c>
      <c r="K5332" s="1" t="str">
        <f t="shared" si="4"/>
        <v>Tus Lentes estan LISTAS PARA ENTREGAR, te esperamos.</v>
      </c>
    </row>
    <row r="5333">
      <c r="A5333" s="1">
        <f>IFERROR(__xludf.DUMMYFUNCTION("""COMPUTED_VALUE"""),89898.0)</f>
        <v>89898</v>
      </c>
      <c r="B5333" s="5">
        <f>IFERROR(__xludf.DUMMYFUNCTION("""COMPUTED_VALUE"""),45029.42562649306)</f>
        <v>45029.42563</v>
      </c>
      <c r="C5333" s="1" t="str">
        <f>IFERROR(__xludf.DUMMYFUNCTION("""COMPUTED_VALUE"""),"MAGALLANES CELIA (PROGRAMA MEDICINA DEL INTERIOR GOB)")</f>
        <v>MAGALLANES CELIA (PROGRAMA MEDICINA DEL INTERIOR GOB)</v>
      </c>
      <c r="D5333" s="1" t="str">
        <f>IFERROR(__xludf.DUMMYFUNCTION("""COMPUTED_VALUE"""),"Lentes de STOCK")</f>
        <v>Lentes de STOCK</v>
      </c>
      <c r="E5333" s="1" t="str">
        <f>IFERROR(__xludf.DUMMYFUNCTION("""COMPUTED_VALUE"""),"Online ADMIN.")</f>
        <v>Online ADMIN.</v>
      </c>
      <c r="F5333" s="1" t="str">
        <f t="shared" si="1"/>
        <v>Online </v>
      </c>
      <c r="G5333" s="1" t="str">
        <f t="shared" si="2"/>
        <v>ADMIN.</v>
      </c>
      <c r="H5333" s="1" t="str">
        <f>IFERROR(__xludf.DUMMYFUNCTION("""COMPUTED_VALUE"""),"18/4/2023, 17:00:00")</f>
        <v>18/4/2023, 17:00:00</v>
      </c>
      <c r="I5333" s="1" t="str">
        <f>IFERROR(__xludf.DUMMYFUNCTION("""COMPUTED_VALUE"""),"Completado en SUCURSAL")</f>
        <v>Completado en SUCURSAL</v>
      </c>
      <c r="J5333" s="1">
        <f t="shared" si="3"/>
        <v>5</v>
      </c>
      <c r="K5333" s="1" t="str">
        <f t="shared" si="4"/>
        <v>Tus Lentes estan LISTAS PARA ENTREGAR, te esperamos.</v>
      </c>
    </row>
    <row r="5334">
      <c r="A5334" s="1">
        <f>IFERROR(__xludf.DUMMYFUNCTION("""COMPUTED_VALUE"""),89899.0)</f>
        <v>89899</v>
      </c>
      <c r="B5334" s="5">
        <f>IFERROR(__xludf.DUMMYFUNCTION("""COMPUTED_VALUE"""),45029.425995451384)</f>
        <v>45029.426</v>
      </c>
      <c r="C5334" s="1" t="str">
        <f>IFERROR(__xludf.DUMMYFUNCTION("""COMPUTED_VALUE"""),"LUCERO JOFRE VICTOR")</f>
        <v>LUCERO JOFRE VICTOR</v>
      </c>
      <c r="D5334" s="1" t="str">
        <f>IFERROR(__xludf.DUMMYFUNCTION("""COMPUTED_VALUE"""),"Lentes de STOCK")</f>
        <v>Lentes de STOCK</v>
      </c>
      <c r="E5334" s="1" t="str">
        <f>IFERROR(__xludf.DUMMYFUNCTION("""COMPUTED_VALUE"""),"Online ADMIN.")</f>
        <v>Online ADMIN.</v>
      </c>
      <c r="F5334" s="1" t="str">
        <f t="shared" si="1"/>
        <v>Online </v>
      </c>
      <c r="G5334" s="1" t="str">
        <f t="shared" si="2"/>
        <v>ADMIN.</v>
      </c>
      <c r="H5334" s="1" t="str">
        <f>IFERROR(__xludf.DUMMYFUNCTION("""COMPUTED_VALUE"""),"18/4/2023, 17:00:00")</f>
        <v>18/4/2023, 17:00:00</v>
      </c>
      <c r="I5334" s="1" t="str">
        <f>IFERROR(__xludf.DUMMYFUNCTION("""COMPUTED_VALUE"""),"Completado en SUCURSAL")</f>
        <v>Completado en SUCURSAL</v>
      </c>
      <c r="J5334" s="1">
        <f t="shared" si="3"/>
        <v>5</v>
      </c>
      <c r="K5334" s="1" t="str">
        <f t="shared" si="4"/>
        <v>Tus Lentes estan LISTAS PARA ENTREGAR, te esperamos.</v>
      </c>
    </row>
    <row r="5335">
      <c r="A5335" s="1">
        <f>IFERROR(__xludf.DUMMYFUNCTION("""COMPUTED_VALUE"""),89900.0)</f>
        <v>89900</v>
      </c>
      <c r="B5335" s="5">
        <f>IFERROR(__xludf.DUMMYFUNCTION("""COMPUTED_VALUE"""),45029.42666805556)</f>
        <v>45029.42667</v>
      </c>
      <c r="C5335" s="1" t="str">
        <f>IFERROR(__xludf.DUMMYFUNCTION("""COMPUTED_VALUE"""),"LUCERO ADRIANA (PROGRAMA MEDICINA DEL INTERIOR GOB)")</f>
        <v>LUCERO ADRIANA (PROGRAMA MEDICINA DEL INTERIOR GOB)</v>
      </c>
      <c r="D5335" s="1" t="str">
        <f>IFERROR(__xludf.DUMMYFUNCTION("""COMPUTED_VALUE"""),"Lentes de LABORATORIO")</f>
        <v>Lentes de LABORATORIO</v>
      </c>
      <c r="E5335" s="1" t="str">
        <f>IFERROR(__xludf.DUMMYFUNCTION("""COMPUTED_VALUE"""),"Online ADMIN.")</f>
        <v>Online ADMIN.</v>
      </c>
      <c r="F5335" s="1" t="str">
        <f t="shared" si="1"/>
        <v>Online </v>
      </c>
      <c r="G5335" s="1" t="str">
        <f t="shared" si="2"/>
        <v>ADMIN.</v>
      </c>
      <c r="H5335" s="1" t="str">
        <f>IFERROR(__xludf.DUMMYFUNCTION("""COMPUTED_VALUE"""),"20/4/2023, 17:00:00")</f>
        <v>20/4/2023, 17:00:00</v>
      </c>
      <c r="I5335" s="1"/>
      <c r="J5335" s="1">
        <f t="shared" si="3"/>
        <v>0</v>
      </c>
      <c r="K5335" s="1" t="str">
        <f t="shared" si="4"/>
        <v/>
      </c>
    </row>
    <row r="5336">
      <c r="A5336" s="1">
        <f>IFERROR(__xludf.DUMMYFUNCTION("""COMPUTED_VALUE"""),89901.0)</f>
        <v>89901</v>
      </c>
      <c r="B5336" s="5">
        <f>IFERROR(__xludf.DUMMYFUNCTION("""COMPUTED_VALUE"""),45029.42768267361)</f>
        <v>45029.42768</v>
      </c>
      <c r="C5336" s="1" t="str">
        <f>IFERROR(__xludf.DUMMYFUNCTION("""COMPUTED_VALUE"""),"LUCERO ELIANA (PROGRAMA MEDICINA DEL INTERIOR GOB)")</f>
        <v>LUCERO ELIANA (PROGRAMA MEDICINA DEL INTERIOR GOB)</v>
      </c>
      <c r="D5336" s="1" t="str">
        <f>IFERROR(__xludf.DUMMYFUNCTION("""COMPUTED_VALUE"""),"Lentes de STOCK")</f>
        <v>Lentes de STOCK</v>
      </c>
      <c r="E5336" s="1" t="str">
        <f>IFERROR(__xludf.DUMMYFUNCTION("""COMPUTED_VALUE"""),"Online ADMIN.")</f>
        <v>Online ADMIN.</v>
      </c>
      <c r="F5336" s="1" t="str">
        <f t="shared" si="1"/>
        <v>Online </v>
      </c>
      <c r="G5336" s="1" t="str">
        <f t="shared" si="2"/>
        <v>ADMIN.</v>
      </c>
      <c r="H5336" s="1" t="str">
        <f>IFERROR(__xludf.DUMMYFUNCTION("""COMPUTED_VALUE"""),"18/4/2023, 17:00:00")</f>
        <v>18/4/2023, 17:00:00</v>
      </c>
      <c r="I5336" s="1" t="str">
        <f>IFERROR(__xludf.DUMMYFUNCTION("""COMPUTED_VALUE"""),"Completado en SUCURSAL")</f>
        <v>Completado en SUCURSAL</v>
      </c>
      <c r="J5336" s="1">
        <f t="shared" si="3"/>
        <v>5</v>
      </c>
      <c r="K5336" s="1" t="str">
        <f t="shared" si="4"/>
        <v>Tus Lentes estan LISTAS PARA ENTREGAR, te esperamos.</v>
      </c>
    </row>
    <row r="5337">
      <c r="A5337" s="1">
        <f>IFERROR(__xludf.DUMMYFUNCTION("""COMPUTED_VALUE"""),89902.0)</f>
        <v>89902</v>
      </c>
      <c r="B5337" s="5">
        <f>IFERROR(__xludf.DUMMYFUNCTION("""COMPUTED_VALUE"""),45029.42831265046)</f>
        <v>45029.42831</v>
      </c>
      <c r="C5337" s="1" t="str">
        <f>IFERROR(__xludf.DUMMYFUNCTION("""COMPUTED_VALUE"""),"SUAREZ FLAVIA (PROGRAMA MEDICINA DEL INTERIOR GOB)")</f>
        <v>SUAREZ FLAVIA (PROGRAMA MEDICINA DEL INTERIOR GOB)</v>
      </c>
      <c r="D5337" s="1" t="str">
        <f>IFERROR(__xludf.DUMMYFUNCTION("""COMPUTED_VALUE"""),"Lentes de LABORATORIO")</f>
        <v>Lentes de LABORATORIO</v>
      </c>
      <c r="E5337" s="1" t="str">
        <f>IFERROR(__xludf.DUMMYFUNCTION("""COMPUTED_VALUE"""),"Online ADMIN.")</f>
        <v>Online ADMIN.</v>
      </c>
      <c r="F5337" s="1" t="str">
        <f t="shared" si="1"/>
        <v>Online </v>
      </c>
      <c r="G5337" s="1" t="str">
        <f t="shared" si="2"/>
        <v>ADMIN.</v>
      </c>
      <c r="H5337" s="1" t="str">
        <f>IFERROR(__xludf.DUMMYFUNCTION("""COMPUTED_VALUE"""),"20/4/2023, 17:00:00")</f>
        <v>20/4/2023, 17:00:00</v>
      </c>
      <c r="I5337" s="1" t="str">
        <f>IFERROR(__xludf.DUMMYFUNCTION("""COMPUTED_VALUE"""),"Completado en SUCURSAL")</f>
        <v>Completado en SUCURSAL</v>
      </c>
      <c r="J5337" s="1">
        <f t="shared" si="3"/>
        <v>5</v>
      </c>
      <c r="K5337" s="1" t="str">
        <f t="shared" si="4"/>
        <v>Tus Lentes estan LISTAS PARA ENTREGAR, te esperamos.</v>
      </c>
    </row>
    <row r="5338">
      <c r="A5338" s="1">
        <f>IFERROR(__xludf.DUMMYFUNCTION("""COMPUTED_VALUE"""),89903.0)</f>
        <v>89903</v>
      </c>
      <c r="B5338" s="5">
        <f>IFERROR(__xludf.DUMMYFUNCTION("""COMPUTED_VALUE"""),45029.428780173606)</f>
        <v>45029.42878</v>
      </c>
      <c r="C5338" s="1" t="str">
        <f>IFERROR(__xludf.DUMMYFUNCTION("""COMPUTED_VALUE"""),"LEON LAURA (PROGRAMA MEDICINA DEL INTERIOR GOB)")</f>
        <v>LEON LAURA (PROGRAMA MEDICINA DEL INTERIOR GOB)</v>
      </c>
      <c r="D5338" s="1" t="str">
        <f>IFERROR(__xludf.DUMMYFUNCTION("""COMPUTED_VALUE"""),"Lentes de STOCK")</f>
        <v>Lentes de STOCK</v>
      </c>
      <c r="E5338" s="1" t="str">
        <f>IFERROR(__xludf.DUMMYFUNCTION("""COMPUTED_VALUE"""),"Online ADMIN.")</f>
        <v>Online ADMIN.</v>
      </c>
      <c r="F5338" s="1" t="str">
        <f t="shared" si="1"/>
        <v>Online </v>
      </c>
      <c r="G5338" s="1" t="str">
        <f t="shared" si="2"/>
        <v>ADMIN.</v>
      </c>
      <c r="H5338" s="1" t="str">
        <f>IFERROR(__xludf.DUMMYFUNCTION("""COMPUTED_VALUE"""),"18/4/2023, 17:00:00")</f>
        <v>18/4/2023, 17:00:00</v>
      </c>
      <c r="I5338" s="1" t="str">
        <f>IFERROR(__xludf.DUMMYFUNCTION("""COMPUTED_VALUE"""),"Completado en SUCURSAL")</f>
        <v>Completado en SUCURSAL</v>
      </c>
      <c r="J5338" s="1">
        <f t="shared" si="3"/>
        <v>5</v>
      </c>
      <c r="K5338" s="1" t="str">
        <f t="shared" si="4"/>
        <v>Tus Lentes estan LISTAS PARA ENTREGAR, te esperamos.</v>
      </c>
    </row>
    <row r="5339">
      <c r="A5339" s="1">
        <f>IFERROR(__xludf.DUMMYFUNCTION("""COMPUTED_VALUE"""),89904.0)</f>
        <v>89904</v>
      </c>
      <c r="B5339" s="5">
        <f>IFERROR(__xludf.DUMMYFUNCTION("""COMPUTED_VALUE"""),45029.42909972223)</f>
        <v>45029.4291</v>
      </c>
      <c r="C5339" s="1" t="str">
        <f>IFERROR(__xludf.DUMMYFUNCTION("""COMPUTED_VALUE"""),"GODOY GUADALUPE (PROGRAMA MEDICINA DEL INTERIOR GOB)")</f>
        <v>GODOY GUADALUPE (PROGRAMA MEDICINA DEL INTERIOR GOB)</v>
      </c>
      <c r="D5339" s="1" t="str">
        <f>IFERROR(__xludf.DUMMYFUNCTION("""COMPUTED_VALUE"""),"Lentes de STOCK")</f>
        <v>Lentes de STOCK</v>
      </c>
      <c r="E5339" s="1" t="str">
        <f>IFERROR(__xludf.DUMMYFUNCTION("""COMPUTED_VALUE"""),"Online ADMIN.")</f>
        <v>Online ADMIN.</v>
      </c>
      <c r="F5339" s="1" t="str">
        <f t="shared" si="1"/>
        <v>Online </v>
      </c>
      <c r="G5339" s="1" t="str">
        <f t="shared" si="2"/>
        <v>ADMIN.</v>
      </c>
      <c r="H5339" s="1" t="str">
        <f>IFERROR(__xludf.DUMMYFUNCTION("""COMPUTED_VALUE"""),"18/4/2023, 17:00:00")</f>
        <v>18/4/2023, 17:00:00</v>
      </c>
      <c r="I5339" s="1" t="str">
        <f>IFERROR(__xludf.DUMMYFUNCTION("""COMPUTED_VALUE"""),"Completado en SUCURSAL")</f>
        <v>Completado en SUCURSAL</v>
      </c>
      <c r="J5339" s="1">
        <f t="shared" si="3"/>
        <v>5</v>
      </c>
      <c r="K5339" s="1" t="str">
        <f t="shared" si="4"/>
        <v>Tus Lentes estan LISTAS PARA ENTREGAR, te esperamos.</v>
      </c>
    </row>
    <row r="5340">
      <c r="A5340" s="1">
        <f>IFERROR(__xludf.DUMMYFUNCTION("""COMPUTED_VALUE"""),89905.0)</f>
        <v>89905</v>
      </c>
      <c r="B5340" s="5">
        <f>IFERROR(__xludf.DUMMYFUNCTION("""COMPUTED_VALUE"""),45029.429609872685)</f>
        <v>45029.42961</v>
      </c>
      <c r="C5340" s="1" t="str">
        <f>IFERROR(__xludf.DUMMYFUNCTION("""COMPUTED_VALUE"""),"SUSANA GIMENEZ (PROGRAMA MEDICINA DEL INTERIOR GOB)")</f>
        <v>SUSANA GIMENEZ (PROGRAMA MEDICINA DEL INTERIOR GOB)</v>
      </c>
      <c r="D5340" s="1" t="str">
        <f>IFERROR(__xludf.DUMMYFUNCTION("""COMPUTED_VALUE"""),"Lentes de STOCK")</f>
        <v>Lentes de STOCK</v>
      </c>
      <c r="E5340" s="1" t="str">
        <f>IFERROR(__xludf.DUMMYFUNCTION("""COMPUTED_VALUE"""),"Online ADMIN.")</f>
        <v>Online ADMIN.</v>
      </c>
      <c r="F5340" s="1" t="str">
        <f t="shared" si="1"/>
        <v>Online </v>
      </c>
      <c r="G5340" s="1" t="str">
        <f t="shared" si="2"/>
        <v>ADMIN.</v>
      </c>
      <c r="H5340" s="1" t="str">
        <f>IFERROR(__xludf.DUMMYFUNCTION("""COMPUTED_VALUE"""),"18/4/2023, 17:00:00")</f>
        <v>18/4/2023, 17:00:00</v>
      </c>
      <c r="I5340" s="1" t="str">
        <f>IFERROR(__xludf.DUMMYFUNCTION("""COMPUTED_VALUE"""),"Completado en SUCURSAL")</f>
        <v>Completado en SUCURSAL</v>
      </c>
      <c r="J5340" s="1">
        <f t="shared" si="3"/>
        <v>5</v>
      </c>
      <c r="K5340" s="1" t="str">
        <f t="shared" si="4"/>
        <v>Tus Lentes estan LISTAS PARA ENTREGAR, te esperamos.</v>
      </c>
    </row>
    <row r="5341">
      <c r="A5341" s="1">
        <f>IFERROR(__xludf.DUMMYFUNCTION("""COMPUTED_VALUE"""),89906.0)</f>
        <v>89906</v>
      </c>
      <c r="B5341" s="5">
        <f>IFERROR(__xludf.DUMMYFUNCTION("""COMPUTED_VALUE"""),45029.429997071755)</f>
        <v>45029.43</v>
      </c>
      <c r="C5341" s="1" t="str">
        <f>IFERROR(__xludf.DUMMYFUNCTION("""COMPUTED_VALUE"""),"GATICA RAMON (PROGRAMA MEDICINA DEL INTERIOR GOB)")</f>
        <v>GATICA RAMON (PROGRAMA MEDICINA DEL INTERIOR GOB)</v>
      </c>
      <c r="D5341" s="1" t="str">
        <f>IFERROR(__xludf.DUMMYFUNCTION("""COMPUTED_VALUE"""),"Lentes de STOCK")</f>
        <v>Lentes de STOCK</v>
      </c>
      <c r="E5341" s="1" t="str">
        <f>IFERROR(__xludf.DUMMYFUNCTION("""COMPUTED_VALUE"""),"Online ADMIN.")</f>
        <v>Online ADMIN.</v>
      </c>
      <c r="F5341" s="1" t="str">
        <f t="shared" si="1"/>
        <v>Online </v>
      </c>
      <c r="G5341" s="1" t="str">
        <f t="shared" si="2"/>
        <v>ADMIN.</v>
      </c>
      <c r="H5341" s="1" t="str">
        <f>IFERROR(__xludf.DUMMYFUNCTION("""COMPUTED_VALUE"""),"18/4/2023, 17:00:00")</f>
        <v>18/4/2023, 17:00:00</v>
      </c>
      <c r="I5341" s="1" t="str">
        <f>IFERROR(__xludf.DUMMYFUNCTION("""COMPUTED_VALUE"""),"Completado en SUCURSAL")</f>
        <v>Completado en SUCURSAL</v>
      </c>
      <c r="J5341" s="1">
        <f t="shared" si="3"/>
        <v>5</v>
      </c>
      <c r="K5341" s="1" t="str">
        <f t="shared" si="4"/>
        <v>Tus Lentes estan LISTAS PARA ENTREGAR, te esperamos.</v>
      </c>
    </row>
    <row r="5342">
      <c r="A5342" s="1">
        <f>IFERROR(__xludf.DUMMYFUNCTION("""COMPUTED_VALUE"""),89907.0)</f>
        <v>89907</v>
      </c>
      <c r="B5342" s="5">
        <f>IFERROR(__xludf.DUMMYFUNCTION("""COMPUTED_VALUE"""),45029.430526261574)</f>
        <v>45029.43053</v>
      </c>
      <c r="C5342" s="1" t="str">
        <f>IFERROR(__xludf.DUMMYFUNCTION("""COMPUTED_VALUE"""),"GARCIA SILVANA (PROGRAMA MEDICINA DEL INTERIOR GOB)")</f>
        <v>GARCIA SILVANA (PROGRAMA MEDICINA DEL INTERIOR GOB)</v>
      </c>
      <c r="D5342" s="1" t="str">
        <f>IFERROR(__xludf.DUMMYFUNCTION("""COMPUTED_VALUE"""),"Lentes de STOCK")</f>
        <v>Lentes de STOCK</v>
      </c>
      <c r="E5342" s="1" t="str">
        <f>IFERROR(__xludf.DUMMYFUNCTION("""COMPUTED_VALUE"""),"Online ADMIN.")</f>
        <v>Online ADMIN.</v>
      </c>
      <c r="F5342" s="1" t="str">
        <f t="shared" si="1"/>
        <v>Online </v>
      </c>
      <c r="G5342" s="1" t="str">
        <f t="shared" si="2"/>
        <v>ADMIN.</v>
      </c>
      <c r="H5342" s="1" t="str">
        <f>IFERROR(__xludf.DUMMYFUNCTION("""COMPUTED_VALUE"""),"18/4/2023, 17:00:00")</f>
        <v>18/4/2023, 17:00:00</v>
      </c>
      <c r="I5342" s="1" t="str">
        <f>IFERROR(__xludf.DUMMYFUNCTION("""COMPUTED_VALUE"""),"Completado en SUCURSAL")</f>
        <v>Completado en SUCURSAL</v>
      </c>
      <c r="J5342" s="1">
        <f t="shared" si="3"/>
        <v>5</v>
      </c>
      <c r="K5342" s="1" t="str">
        <f t="shared" si="4"/>
        <v>Tus Lentes estan LISTAS PARA ENTREGAR, te esperamos.</v>
      </c>
    </row>
    <row r="5343">
      <c r="A5343" s="1">
        <f>IFERROR(__xludf.DUMMYFUNCTION("""COMPUTED_VALUE"""),89908.0)</f>
        <v>89908</v>
      </c>
      <c r="B5343" s="5">
        <f>IFERROR(__xludf.DUMMYFUNCTION("""COMPUTED_VALUE"""),45029.431067314814)</f>
        <v>45029.43107</v>
      </c>
      <c r="C5343" s="1" t="str">
        <f>IFERROR(__xludf.DUMMYFUNCTION("""COMPUTED_VALUE"""),"CAMARGO MANUEL (PROGRAMA MEDICINA DEL INTERIOR GOB)")</f>
        <v>CAMARGO MANUEL (PROGRAMA MEDICINA DEL INTERIOR GOB)</v>
      </c>
      <c r="D5343" s="1" t="str">
        <f>IFERROR(__xludf.DUMMYFUNCTION("""COMPUTED_VALUE"""),"Lentes de STOCK")</f>
        <v>Lentes de STOCK</v>
      </c>
      <c r="E5343" s="1" t="str">
        <f>IFERROR(__xludf.DUMMYFUNCTION("""COMPUTED_VALUE"""),"Online ADMIN.")</f>
        <v>Online ADMIN.</v>
      </c>
      <c r="F5343" s="1" t="str">
        <f t="shared" si="1"/>
        <v>Online </v>
      </c>
      <c r="G5343" s="1" t="str">
        <f t="shared" si="2"/>
        <v>ADMIN.</v>
      </c>
      <c r="H5343" s="1" t="str">
        <f>IFERROR(__xludf.DUMMYFUNCTION("""COMPUTED_VALUE"""),"18/4/2023, 17:00:00")</f>
        <v>18/4/2023, 17:00:00</v>
      </c>
      <c r="I5343" s="1" t="str">
        <f>IFERROR(__xludf.DUMMYFUNCTION("""COMPUTED_VALUE"""),"Completado en SUCURSAL")</f>
        <v>Completado en SUCURSAL</v>
      </c>
      <c r="J5343" s="1">
        <f t="shared" si="3"/>
        <v>5</v>
      </c>
      <c r="K5343" s="1" t="str">
        <f t="shared" si="4"/>
        <v>Tus Lentes estan LISTAS PARA ENTREGAR, te esperamos.</v>
      </c>
    </row>
    <row r="5344">
      <c r="A5344" s="1">
        <f>IFERROR(__xludf.DUMMYFUNCTION("""COMPUTED_VALUE"""),89909.0)</f>
        <v>89909</v>
      </c>
      <c r="B5344" s="5">
        <f>IFERROR(__xludf.DUMMYFUNCTION("""COMPUTED_VALUE"""),45029.431446250004)</f>
        <v>45029.43145</v>
      </c>
      <c r="C5344" s="1" t="str">
        <f>IFERROR(__xludf.DUMMYFUNCTION("""COMPUTED_VALUE"""),"CIPRINANI GABRIEL (PROGRAMA MEDICINA DEL INTERIOR GOB)")</f>
        <v>CIPRINANI GABRIEL (PROGRAMA MEDICINA DEL INTERIOR GOB)</v>
      </c>
      <c r="D5344" s="1" t="str">
        <f>IFERROR(__xludf.DUMMYFUNCTION("""COMPUTED_VALUE"""),"Lentes de STOCK")</f>
        <v>Lentes de STOCK</v>
      </c>
      <c r="E5344" s="1" t="str">
        <f>IFERROR(__xludf.DUMMYFUNCTION("""COMPUTED_VALUE"""),"Online ADMIN.")</f>
        <v>Online ADMIN.</v>
      </c>
      <c r="F5344" s="1" t="str">
        <f t="shared" si="1"/>
        <v>Online </v>
      </c>
      <c r="G5344" s="1" t="str">
        <f t="shared" si="2"/>
        <v>ADMIN.</v>
      </c>
      <c r="H5344" s="1" t="str">
        <f>IFERROR(__xludf.DUMMYFUNCTION("""COMPUTED_VALUE"""),"18/4/2023, 17:00:00")</f>
        <v>18/4/2023, 17:00:00</v>
      </c>
      <c r="I5344" s="1" t="str">
        <f>IFERROR(__xludf.DUMMYFUNCTION("""COMPUTED_VALUE"""),"Completado en SUCURSAL")</f>
        <v>Completado en SUCURSAL</v>
      </c>
      <c r="J5344" s="1">
        <f t="shared" si="3"/>
        <v>5</v>
      </c>
      <c r="K5344" s="1" t="str">
        <f t="shared" si="4"/>
        <v>Tus Lentes estan LISTAS PARA ENTREGAR, te esperamos.</v>
      </c>
    </row>
    <row r="5345">
      <c r="A5345" s="1">
        <f>IFERROR(__xludf.DUMMYFUNCTION("""COMPUTED_VALUE"""),89910.0)</f>
        <v>89910</v>
      </c>
      <c r="B5345" s="5">
        <f>IFERROR(__xludf.DUMMYFUNCTION("""COMPUTED_VALUE"""),45029.431985682866)</f>
        <v>45029.43199</v>
      </c>
      <c r="C5345" s="1" t="str">
        <f>IFERROR(__xludf.DUMMYFUNCTION("""COMPUTED_VALUE"""),"ARIAS SUSANA (PROGRAMA MEDICINA DEL INTERIOR GOB)")</f>
        <v>ARIAS SUSANA (PROGRAMA MEDICINA DEL INTERIOR GOB)</v>
      </c>
      <c r="D5345" s="1" t="str">
        <f>IFERROR(__xludf.DUMMYFUNCTION("""COMPUTED_VALUE"""),"Lentes de STOCK")</f>
        <v>Lentes de STOCK</v>
      </c>
      <c r="E5345" s="1" t="str">
        <f>IFERROR(__xludf.DUMMYFUNCTION("""COMPUTED_VALUE"""),"Online ADMIN.")</f>
        <v>Online ADMIN.</v>
      </c>
      <c r="F5345" s="1" t="str">
        <f t="shared" si="1"/>
        <v>Online </v>
      </c>
      <c r="G5345" s="1" t="str">
        <f t="shared" si="2"/>
        <v>ADMIN.</v>
      </c>
      <c r="H5345" s="1" t="str">
        <f>IFERROR(__xludf.DUMMYFUNCTION("""COMPUTED_VALUE"""),"18/4/2023, 17:00:00")</f>
        <v>18/4/2023, 17:00:00</v>
      </c>
      <c r="I5345" s="1" t="str">
        <f>IFERROR(__xludf.DUMMYFUNCTION("""COMPUTED_VALUE"""),"Completado en SUCURSAL")</f>
        <v>Completado en SUCURSAL</v>
      </c>
      <c r="J5345" s="1">
        <f t="shared" si="3"/>
        <v>5</v>
      </c>
      <c r="K5345" s="1" t="str">
        <f t="shared" si="4"/>
        <v>Tus Lentes estan LISTAS PARA ENTREGAR, te esperamos.</v>
      </c>
    </row>
    <row r="5346">
      <c r="A5346" s="1">
        <f>IFERROR(__xludf.DUMMYFUNCTION("""COMPUTED_VALUE"""),89911.0)</f>
        <v>89911</v>
      </c>
      <c r="B5346" s="5">
        <f>IFERROR(__xludf.DUMMYFUNCTION("""COMPUTED_VALUE"""),45029.435778252315)</f>
        <v>45029.43578</v>
      </c>
      <c r="C5346" s="1" t="str">
        <f>IFERROR(__xludf.DUMMYFUNCTION("""COMPUTED_VALUE"""),"LOPEZ EMILIO")</f>
        <v>LOPEZ EMILIO</v>
      </c>
      <c r="D5346" s="1" t="str">
        <f>IFERROR(__xludf.DUMMYFUNCTION("""COMPUTED_VALUE"""),"Reparaciones/Otros")</f>
        <v>Reparaciones/Otros</v>
      </c>
      <c r="E5346" s="1" t="str">
        <f>IFERROR(__xludf.DUMMYFUNCTION("""COMPUTED_VALUE"""),"ARTIGAS Roció")</f>
        <v>ARTIGAS Roció</v>
      </c>
      <c r="F5346" s="1" t="str">
        <f t="shared" si="1"/>
        <v>ARTIGAS </v>
      </c>
      <c r="G5346" s="1" t="str">
        <f t="shared" si="2"/>
        <v>Roció</v>
      </c>
      <c r="H5346" s="1" t="str">
        <f>IFERROR(__xludf.DUMMYFUNCTION("""COMPUTED_VALUE"""),"18/4/2023, 17:00:00")</f>
        <v>18/4/2023, 17:00:00</v>
      </c>
      <c r="I5346" s="1" t="str">
        <f>IFERROR(__xludf.DUMMYFUNCTION("""COMPUTED_VALUE"""),"Completado en SUCURSAL")</f>
        <v>Completado en SUCURSAL</v>
      </c>
      <c r="J5346" s="1">
        <f t="shared" si="3"/>
        <v>5</v>
      </c>
      <c r="K5346" s="1" t="str">
        <f t="shared" si="4"/>
        <v>Tus Lentes estan LISTAS PARA ENTREGAR, te esperamos.</v>
      </c>
    </row>
    <row r="5347">
      <c r="A5347" s="1">
        <f>IFERROR(__xludf.DUMMYFUNCTION("""COMPUTED_VALUE"""),89912.0)</f>
        <v>89912</v>
      </c>
      <c r="B5347" s="5">
        <f>IFERROR(__xludf.DUMMYFUNCTION("""COMPUTED_VALUE"""),45029.437192708334)</f>
        <v>45029.43719</v>
      </c>
      <c r="C5347" s="1" t="str">
        <f>IFERROR(__xludf.DUMMYFUNCTION("""COMPUTED_VALUE"""),"FERNANDEZ SILVANA")</f>
        <v>FERNANDEZ SILVANA</v>
      </c>
      <c r="D5347" s="1" t="str">
        <f>IFERROR(__xludf.DUMMYFUNCTION("""COMPUTED_VALUE"""),"Lentes de STOCK")</f>
        <v>Lentes de STOCK</v>
      </c>
      <c r="E5347" s="1" t="str">
        <f>IFERROR(__xludf.DUMMYFUNCTION("""COMPUTED_VALUE"""),"ARTIGAS Ivana P.")</f>
        <v>ARTIGAS Ivana P.</v>
      </c>
      <c r="F5347" s="1" t="str">
        <f t="shared" si="1"/>
        <v>ARTIGAS </v>
      </c>
      <c r="G5347" s="1" t="str">
        <f t="shared" si="2"/>
        <v>Ivana P.</v>
      </c>
      <c r="H5347" s="1" t="str">
        <f>IFERROR(__xludf.DUMMYFUNCTION("""COMPUTED_VALUE"""),"18/4/2023, 17:00:00")</f>
        <v>18/4/2023, 17:00:00</v>
      </c>
      <c r="I5347" s="1" t="str">
        <f>IFERROR(__xludf.DUMMYFUNCTION("""COMPUTED_VALUE"""),"Completado en SUCURSAL")</f>
        <v>Completado en SUCURSAL</v>
      </c>
      <c r="J5347" s="1">
        <f t="shared" si="3"/>
        <v>5</v>
      </c>
      <c r="K5347" s="1" t="str">
        <f t="shared" si="4"/>
        <v>Tus Lentes estan LISTAS PARA ENTREGAR, te esperamos.</v>
      </c>
    </row>
    <row r="5348">
      <c r="A5348" s="1">
        <f>IFERROR(__xludf.DUMMYFUNCTION("""COMPUTED_VALUE"""),89913.0)</f>
        <v>89913</v>
      </c>
      <c r="B5348" s="5">
        <f>IFERROR(__xludf.DUMMYFUNCTION("""COMPUTED_VALUE"""),45029.44162533565)</f>
        <v>45029.44163</v>
      </c>
      <c r="C5348" s="1" t="str">
        <f>IFERROR(__xludf.DUMMYFUNCTION("""COMPUTED_VALUE"""),"barroso martha ")</f>
        <v>barroso martha </v>
      </c>
      <c r="D5348" s="1" t="str">
        <f>IFERROR(__xludf.DUMMYFUNCTION("""COMPUTED_VALUE"""),"Lentes de STOCK")</f>
        <v>Lentes de STOCK</v>
      </c>
      <c r="E5348" s="1" t="str">
        <f>IFERROR(__xludf.DUMMYFUNCTION("""COMPUTED_VALUE"""),"RIVADAVIA Santiago LOPEZ")</f>
        <v>RIVADAVIA Santiago LOPEZ</v>
      </c>
      <c r="F5348" s="1" t="str">
        <f t="shared" si="1"/>
        <v>RIVADAVIA </v>
      </c>
      <c r="G5348" s="1" t="str">
        <f t="shared" si="2"/>
        <v>Santiago LOPEZ</v>
      </c>
      <c r="H5348" s="1" t="str">
        <f>IFERROR(__xludf.DUMMYFUNCTION("""COMPUTED_VALUE"""),"18/4/2023, 17:00:00")</f>
        <v>18/4/2023, 17:00:00</v>
      </c>
      <c r="I5348" s="1" t="str">
        <f>IFERROR(__xludf.DUMMYFUNCTION("""COMPUTED_VALUE"""),"Completado en SUCURSAL")</f>
        <v>Completado en SUCURSAL</v>
      </c>
      <c r="J5348" s="1">
        <f t="shared" si="3"/>
        <v>5</v>
      </c>
      <c r="K5348" s="1" t="str">
        <f t="shared" si="4"/>
        <v>Tus Lentes estan LISTAS PARA ENTREGAR, te esperamos.</v>
      </c>
    </row>
    <row r="5349">
      <c r="A5349" s="1">
        <f>IFERROR(__xludf.DUMMYFUNCTION("""COMPUTED_VALUE"""),89914.0)</f>
        <v>89914</v>
      </c>
      <c r="B5349" s="5">
        <f>IFERROR(__xludf.DUMMYFUNCTION("""COMPUTED_VALUE"""),45029.443264988426)</f>
        <v>45029.44326</v>
      </c>
      <c r="C5349" s="1" t="str">
        <f>IFERROR(__xludf.DUMMYFUNCTION("""COMPUTED_VALUE"""),"ponce adriana")</f>
        <v>ponce adriana</v>
      </c>
      <c r="D5349" s="1" t="str">
        <f>IFERROR(__xludf.DUMMYFUNCTION("""COMPUTED_VALUE"""),"Reparaciones/Otros")</f>
        <v>Reparaciones/Otros</v>
      </c>
      <c r="E5349" s="1" t="str">
        <f>IFERROR(__xludf.DUMMYFUNCTION("""COMPUTED_VALUE"""),"RIVADAVIA Christian C.")</f>
        <v>RIVADAVIA Christian C.</v>
      </c>
      <c r="F5349" s="1" t="str">
        <f t="shared" si="1"/>
        <v>RIVADAVIA </v>
      </c>
      <c r="G5349" s="1" t="str">
        <f t="shared" si="2"/>
        <v>Christian C.</v>
      </c>
      <c r="H5349" s="1" t="str">
        <f>IFERROR(__xludf.DUMMYFUNCTION("""COMPUTED_VALUE"""),"18/4/2023, 17:00:00")</f>
        <v>18/4/2023, 17:00:00</v>
      </c>
      <c r="I5349" s="1" t="str">
        <f>IFERROR(__xludf.DUMMYFUNCTION("""COMPUTED_VALUE"""),"Completado en SUCURSAL")</f>
        <v>Completado en SUCURSAL</v>
      </c>
      <c r="J5349" s="1">
        <f t="shared" si="3"/>
        <v>5</v>
      </c>
      <c r="K5349" s="1" t="str">
        <f t="shared" si="4"/>
        <v>Tus Lentes estan LISTAS PARA ENTREGAR, te esperamos.</v>
      </c>
    </row>
    <row r="5350">
      <c r="A5350" s="1">
        <f>IFERROR(__xludf.DUMMYFUNCTION("""COMPUTED_VALUE"""),89915.0)</f>
        <v>89915</v>
      </c>
      <c r="B5350" s="5">
        <f>IFERROR(__xludf.DUMMYFUNCTION("""COMPUTED_VALUE"""),45029.44556508102)</f>
        <v>45029.44557</v>
      </c>
      <c r="C5350" s="1" t="str">
        <f>IFERROR(__xludf.DUMMYFUNCTION("""COMPUTED_VALUE"""),"DE LEON CELESTE")</f>
        <v>DE LEON CELESTE</v>
      </c>
      <c r="D5350" s="1" t="str">
        <f>IFERROR(__xludf.DUMMYFUNCTION("""COMPUTED_VALUE"""),"Lentes MULTIFOCALES")</f>
        <v>Lentes MULTIFOCALES</v>
      </c>
      <c r="E5350" s="1" t="str">
        <f>IFERROR(__xludf.DUMMYFUNCTION("""COMPUTED_VALUE"""),"RIVADAVIA Santiago N")</f>
        <v>RIVADAVIA Santiago N</v>
      </c>
      <c r="F5350" s="1" t="str">
        <f t="shared" si="1"/>
        <v>RIVADAVIA </v>
      </c>
      <c r="G5350" s="1" t="str">
        <f t="shared" si="2"/>
        <v>Santiago N</v>
      </c>
      <c r="H5350" s="1" t="str">
        <f>IFERROR(__xludf.DUMMYFUNCTION("""COMPUTED_VALUE"""),"26/4/2023, 17:00:00")</f>
        <v>26/4/2023, 17:00:00</v>
      </c>
      <c r="I5350" s="1" t="str">
        <f>IFERROR(__xludf.DUMMYFUNCTION("""COMPUTED_VALUE"""),"Recibido en Laboratorio")</f>
        <v>Recibido en Laboratorio</v>
      </c>
      <c r="J5350" s="1">
        <f t="shared" si="3"/>
        <v>2</v>
      </c>
      <c r="K5350" s="1" t="str">
        <f t="shared" si="4"/>
        <v>Nuestro Laboratorio esta trabajando en tus lentes, los entregaremos en la fecha acordada.</v>
      </c>
    </row>
    <row r="5351">
      <c r="A5351" s="1">
        <f>IFERROR(__xludf.DUMMYFUNCTION("""COMPUTED_VALUE"""),89916.0)</f>
        <v>89916</v>
      </c>
      <c r="B5351" s="5">
        <f>IFERROR(__xludf.DUMMYFUNCTION("""COMPUTED_VALUE"""),45029.446960138885)</f>
        <v>45029.44696</v>
      </c>
      <c r="C5351" s="1" t="str">
        <f>IFERROR(__xludf.DUMMYFUNCTION("""COMPUTED_VALUE"""),"PEÑA EMRIQUE DIEGO")</f>
        <v>PEÑA EMRIQUE DIEGO</v>
      </c>
      <c r="D5351" s="1" t="str">
        <f>IFERROR(__xludf.DUMMYFUNCTION("""COMPUTED_VALUE"""),"Lentes de STOCK")</f>
        <v>Lentes de STOCK</v>
      </c>
      <c r="E5351" s="1" t="str">
        <f>IFERROR(__xludf.DUMMYFUNCTION("""COMPUTED_VALUE"""),"ARTIGAS Roció")</f>
        <v>ARTIGAS Roció</v>
      </c>
      <c r="F5351" s="1" t="str">
        <f t="shared" si="1"/>
        <v>ARTIGAS </v>
      </c>
      <c r="G5351" s="1" t="str">
        <f t="shared" si="2"/>
        <v>Roció</v>
      </c>
      <c r="H5351" s="1" t="str">
        <f>IFERROR(__xludf.DUMMYFUNCTION("""COMPUTED_VALUE"""),"20/4/2023, 17:00:00")</f>
        <v>20/4/2023, 17:00:00</v>
      </c>
      <c r="I5351" s="1" t="str">
        <f>IFERROR(__xludf.DUMMYFUNCTION("""COMPUTED_VALUE"""),"Completado en SUCURSAL")</f>
        <v>Completado en SUCURSAL</v>
      </c>
      <c r="J5351" s="1">
        <f t="shared" si="3"/>
        <v>5</v>
      </c>
      <c r="K5351" s="1" t="str">
        <f t="shared" si="4"/>
        <v>Tus Lentes estan LISTAS PARA ENTREGAR, te esperamos.</v>
      </c>
    </row>
    <row r="5352">
      <c r="A5352" s="1">
        <f>IFERROR(__xludf.DUMMYFUNCTION("""COMPUTED_VALUE"""),89917.0)</f>
        <v>89917</v>
      </c>
      <c r="B5352" s="5">
        <f>IFERROR(__xludf.DUMMYFUNCTION("""COMPUTED_VALUE"""),45029.45320737269)</f>
        <v>45029.45321</v>
      </c>
      <c r="C5352" s="1" t="str">
        <f>IFERROR(__xludf.DUMMYFUNCTION("""COMPUTED_VALUE"""),"De pascuale ana")</f>
        <v>De pascuale ana</v>
      </c>
      <c r="D5352" s="1" t="str">
        <f>IFERROR(__xludf.DUMMYFUNCTION("""COMPUTED_VALUE"""),"Reparaciones/Otros")</f>
        <v>Reparaciones/Otros</v>
      </c>
      <c r="E5352" s="1" t="str">
        <f>IFERROR(__xludf.DUMMYFUNCTION("""COMPUTED_VALUE"""),"ARTIGAS Sandra G")</f>
        <v>ARTIGAS Sandra G</v>
      </c>
      <c r="F5352" s="1" t="str">
        <f t="shared" si="1"/>
        <v>ARTIGAS </v>
      </c>
      <c r="G5352" s="1" t="str">
        <f t="shared" si="2"/>
        <v>Sandra G</v>
      </c>
      <c r="H5352" s="1" t="str">
        <f>IFERROR(__xludf.DUMMYFUNCTION("""COMPUTED_VALUE"""),"18/4/2023, 17:00:00")</f>
        <v>18/4/2023, 17:00:00</v>
      </c>
      <c r="I5352" s="1" t="str">
        <f>IFERROR(__xludf.DUMMYFUNCTION("""COMPUTED_VALUE"""),"Completado en SUCURSAL")</f>
        <v>Completado en SUCURSAL</v>
      </c>
      <c r="J5352" s="1">
        <f t="shared" si="3"/>
        <v>5</v>
      </c>
      <c r="K5352" s="1" t="str">
        <f t="shared" si="4"/>
        <v>Tus Lentes estan LISTAS PARA ENTREGAR, te esperamos.</v>
      </c>
    </row>
    <row r="5353">
      <c r="A5353" s="1">
        <f>IFERROR(__xludf.DUMMYFUNCTION("""COMPUTED_VALUE"""),89918.0)</f>
        <v>89918</v>
      </c>
      <c r="B5353" s="5">
        <f>IFERROR(__xludf.DUMMYFUNCTION("""COMPUTED_VALUE"""),45029.45425283565)</f>
        <v>45029.45425</v>
      </c>
      <c r="C5353" s="1" t="str">
        <f>IFERROR(__xludf.DUMMYFUNCTION("""COMPUTED_VALUE"""),"NEDER MARIA OLGA")</f>
        <v>NEDER MARIA OLGA</v>
      </c>
      <c r="D5353" s="1" t="str">
        <f>IFERROR(__xludf.DUMMYFUNCTION("""COMPUTED_VALUE"""),"Lentes de STOCK")</f>
        <v>Lentes de STOCK</v>
      </c>
      <c r="E5353" s="1" t="str">
        <f>IFERROR(__xludf.DUMMYFUNCTION("""COMPUTED_VALUE"""),"RIVADAVIA Marcela L")</f>
        <v>RIVADAVIA Marcela L</v>
      </c>
      <c r="F5353" s="1" t="str">
        <f t="shared" si="1"/>
        <v>RIVADAVIA </v>
      </c>
      <c r="G5353" s="1" t="str">
        <f t="shared" si="2"/>
        <v>Marcela L</v>
      </c>
      <c r="H5353" s="1" t="str">
        <f>IFERROR(__xludf.DUMMYFUNCTION("""COMPUTED_VALUE"""),"18/4/2023, 17:00:00")</f>
        <v>18/4/2023, 17:00:00</v>
      </c>
      <c r="I5353" s="1" t="str">
        <f>IFERROR(__xludf.DUMMYFUNCTION("""COMPUTED_VALUE"""),"Completado en SUCURSAL")</f>
        <v>Completado en SUCURSAL</v>
      </c>
      <c r="J5353" s="1">
        <f t="shared" si="3"/>
        <v>5</v>
      </c>
      <c r="K5353" s="1" t="str">
        <f t="shared" si="4"/>
        <v>Tus Lentes estan LISTAS PARA ENTREGAR, te esperamos.</v>
      </c>
    </row>
    <row r="5354">
      <c r="A5354" s="1">
        <f>IFERROR(__xludf.DUMMYFUNCTION("""COMPUTED_VALUE"""),89919.0)</f>
        <v>89919</v>
      </c>
      <c r="B5354" s="5">
        <f>IFERROR(__xludf.DUMMYFUNCTION("""COMPUTED_VALUE"""),45029.45470605324)</f>
        <v>45029.45471</v>
      </c>
      <c r="C5354" s="1" t="str">
        <f>IFERROR(__xludf.DUMMYFUNCTION("""COMPUTED_VALUE"""),"gimenez liliana")</f>
        <v>gimenez liliana</v>
      </c>
      <c r="D5354" s="1" t="str">
        <f>IFERROR(__xludf.DUMMYFUNCTION("""COMPUTED_VALUE"""),"Reparaciones/Otros")</f>
        <v>Reparaciones/Otros</v>
      </c>
      <c r="E5354" s="1" t="str">
        <f>IFERROR(__xludf.DUMMYFUNCTION("""COMPUTED_VALUE"""),"RIVADAVIA Santiago LOPEZ")</f>
        <v>RIVADAVIA Santiago LOPEZ</v>
      </c>
      <c r="F5354" s="1" t="str">
        <f t="shared" si="1"/>
        <v>RIVADAVIA </v>
      </c>
      <c r="G5354" s="1" t="str">
        <f t="shared" si="2"/>
        <v>Santiago LOPEZ</v>
      </c>
      <c r="H5354" s="1" t="str">
        <f>IFERROR(__xludf.DUMMYFUNCTION("""COMPUTED_VALUE"""),"18/4/2023, 17:00:00")</f>
        <v>18/4/2023, 17:00:00</v>
      </c>
      <c r="I5354" s="1" t="str">
        <f>IFERROR(__xludf.DUMMYFUNCTION("""COMPUTED_VALUE"""),"Recibido en Laboratorio")</f>
        <v>Recibido en Laboratorio</v>
      </c>
      <c r="J5354" s="1">
        <f t="shared" si="3"/>
        <v>2</v>
      </c>
      <c r="K5354" s="1" t="str">
        <f t="shared" si="4"/>
        <v>Nuestro Laboratorio esta trabajando en tus lentes, los entregaremos en la fecha acordada.</v>
      </c>
    </row>
    <row r="5355">
      <c r="A5355" s="1">
        <f>IFERROR(__xludf.DUMMYFUNCTION("""COMPUTED_VALUE"""),89920.0)</f>
        <v>89920</v>
      </c>
      <c r="B5355" s="5">
        <f>IFERROR(__xludf.DUMMYFUNCTION("""COMPUTED_VALUE"""),45029.45774603009)</f>
        <v>45029.45775</v>
      </c>
      <c r="C5355" s="1" t="str">
        <f>IFERROR(__xludf.DUMMYFUNCTION("""COMPUTED_VALUE"""),"DIAZ JOSE NICOLAS")</f>
        <v>DIAZ JOSE NICOLAS</v>
      </c>
      <c r="D5355" s="1" t="str">
        <f>IFERROR(__xludf.DUMMYFUNCTION("""COMPUTED_VALUE"""),"Lentes de STOCK")</f>
        <v>Lentes de STOCK</v>
      </c>
      <c r="E5355" s="1" t="str">
        <f>IFERROR(__xludf.DUMMYFUNCTION("""COMPUTED_VALUE"""),"ARTIGAS Roció")</f>
        <v>ARTIGAS Roció</v>
      </c>
      <c r="F5355" s="1" t="str">
        <f t="shared" si="1"/>
        <v>ARTIGAS </v>
      </c>
      <c r="G5355" s="1" t="str">
        <f t="shared" si="2"/>
        <v>Roció</v>
      </c>
      <c r="H5355" s="1" t="str">
        <f>IFERROR(__xludf.DUMMYFUNCTION("""COMPUTED_VALUE"""),"18/4/2023, 17:00:00")</f>
        <v>18/4/2023, 17:00:00</v>
      </c>
      <c r="I5355" s="1" t="str">
        <f>IFERROR(__xludf.DUMMYFUNCTION("""COMPUTED_VALUE"""),"Completado en SUCURSAL")</f>
        <v>Completado en SUCURSAL</v>
      </c>
      <c r="J5355" s="1">
        <f t="shared" si="3"/>
        <v>5</v>
      </c>
      <c r="K5355" s="1" t="str">
        <f t="shared" si="4"/>
        <v>Tus Lentes estan LISTAS PARA ENTREGAR, te esperamos.</v>
      </c>
    </row>
    <row r="5356">
      <c r="A5356" s="1">
        <f>IFERROR(__xludf.DUMMYFUNCTION("""COMPUTED_VALUE"""),89921.0)</f>
        <v>89921</v>
      </c>
      <c r="B5356" s="5">
        <f>IFERROR(__xludf.DUMMYFUNCTION("""COMPUTED_VALUE"""),45029.45958353009)</f>
        <v>45029.45958</v>
      </c>
      <c r="C5356" s="1" t="str">
        <f>IFERROR(__xludf.DUMMYFUNCTION("""COMPUTED_VALUE"""),"DIAZ PIA GUADALUPE")</f>
        <v>DIAZ PIA GUADALUPE</v>
      </c>
      <c r="D5356" s="1" t="str">
        <f>IFERROR(__xludf.DUMMYFUNCTION("""COMPUTED_VALUE"""),"Lentes de STOCK")</f>
        <v>Lentes de STOCK</v>
      </c>
      <c r="E5356" s="1" t="str">
        <f>IFERROR(__xludf.DUMMYFUNCTION("""COMPUTED_VALUE"""),"ARTIGAS Roció")</f>
        <v>ARTIGAS Roció</v>
      </c>
      <c r="F5356" s="1" t="str">
        <f t="shared" si="1"/>
        <v>ARTIGAS </v>
      </c>
      <c r="G5356" s="1" t="str">
        <f t="shared" si="2"/>
        <v>Roció</v>
      </c>
      <c r="H5356" s="1" t="str">
        <f>IFERROR(__xludf.DUMMYFUNCTION("""COMPUTED_VALUE"""),"21/4/2023, 17:00:00")</f>
        <v>21/4/2023, 17:00:00</v>
      </c>
      <c r="I5356" s="1" t="str">
        <f>IFERROR(__xludf.DUMMYFUNCTION("""COMPUTED_VALUE"""),"Recibido en Laboratorio")</f>
        <v>Recibido en Laboratorio</v>
      </c>
      <c r="J5356" s="1">
        <f t="shared" si="3"/>
        <v>2</v>
      </c>
      <c r="K5356" s="1" t="str">
        <f t="shared" si="4"/>
        <v>Nuestro Laboratorio esta trabajando en tus lentes, los entregaremos en la fecha acordada.</v>
      </c>
    </row>
    <row r="5357">
      <c r="A5357" s="1">
        <f>IFERROR(__xludf.DUMMYFUNCTION("""COMPUTED_VALUE"""),89922.0)</f>
        <v>89922</v>
      </c>
      <c r="B5357" s="5">
        <f>IFERROR(__xludf.DUMMYFUNCTION("""COMPUTED_VALUE"""),45029.46627701389)</f>
        <v>45029.46628</v>
      </c>
      <c r="C5357" s="1" t="str">
        <f>IFERROR(__xludf.DUMMYFUNCTION("""COMPUTED_VALUE"""),"GOMEZ PERRETI IRMA")</f>
        <v>GOMEZ PERRETI IRMA</v>
      </c>
      <c r="D5357" s="1" t="str">
        <f>IFERROR(__xludf.DUMMYFUNCTION("""COMPUTED_VALUE"""),"Lentes de STOCK")</f>
        <v>Lentes de STOCK</v>
      </c>
      <c r="E5357" s="1" t="str">
        <f>IFERROR(__xludf.DUMMYFUNCTION("""COMPUTED_VALUE"""),"ARTIGAS Roció")</f>
        <v>ARTIGAS Roció</v>
      </c>
      <c r="F5357" s="1" t="str">
        <f t="shared" si="1"/>
        <v>ARTIGAS </v>
      </c>
      <c r="G5357" s="1" t="str">
        <f t="shared" si="2"/>
        <v>Roció</v>
      </c>
      <c r="H5357" s="1" t="str">
        <f>IFERROR(__xludf.DUMMYFUNCTION("""COMPUTED_VALUE"""),"21/4/2023, 17:00:00")</f>
        <v>21/4/2023, 17:00:00</v>
      </c>
      <c r="I5357" s="1" t="str">
        <f>IFERROR(__xludf.DUMMYFUNCTION("""COMPUTED_VALUE"""),"Recibido en Laboratorio")</f>
        <v>Recibido en Laboratorio</v>
      </c>
      <c r="J5357" s="1">
        <f t="shared" si="3"/>
        <v>2</v>
      </c>
      <c r="K5357" s="1" t="str">
        <f t="shared" si="4"/>
        <v>Nuestro Laboratorio esta trabajando en tus lentes, los entregaremos en la fecha acordada.</v>
      </c>
    </row>
    <row r="5358">
      <c r="A5358" s="1">
        <f>IFERROR(__xludf.DUMMYFUNCTION("""COMPUTED_VALUE"""),89923.0)</f>
        <v>89923</v>
      </c>
      <c r="B5358" s="5">
        <f>IFERROR(__xludf.DUMMYFUNCTION("""COMPUTED_VALUE"""),45029.46720342593)</f>
        <v>45029.4672</v>
      </c>
      <c r="C5358" s="1" t="str">
        <f>IFERROR(__xludf.DUMMYFUNCTION("""COMPUTED_VALUE"""),"CHIRINO BELEN")</f>
        <v>CHIRINO BELEN</v>
      </c>
      <c r="D5358" s="1" t="str">
        <f>IFERROR(__xludf.DUMMYFUNCTION("""COMPUTED_VALUE"""),"Lentes de STOCK")</f>
        <v>Lentes de STOCK</v>
      </c>
      <c r="E5358" s="1" t="str">
        <f>IFERROR(__xludf.DUMMYFUNCTION("""COMPUTED_VALUE"""),"RIVADAVIA Santiago LOPEZ")</f>
        <v>RIVADAVIA Santiago LOPEZ</v>
      </c>
      <c r="F5358" s="1" t="str">
        <f t="shared" si="1"/>
        <v>RIVADAVIA </v>
      </c>
      <c r="G5358" s="1" t="str">
        <f t="shared" si="2"/>
        <v>Santiago LOPEZ</v>
      </c>
      <c r="H5358" s="1" t="str">
        <f>IFERROR(__xludf.DUMMYFUNCTION("""COMPUTED_VALUE"""),"18/4/2023, 17:00:00")</f>
        <v>18/4/2023, 17:00:00</v>
      </c>
      <c r="I5358" s="1" t="str">
        <f>IFERROR(__xludf.DUMMYFUNCTION("""COMPUTED_VALUE"""),"Completado en SUCURSAL")</f>
        <v>Completado en SUCURSAL</v>
      </c>
      <c r="J5358" s="1">
        <f t="shared" si="3"/>
        <v>5</v>
      </c>
      <c r="K5358" s="1" t="str">
        <f t="shared" si="4"/>
        <v>Tus Lentes estan LISTAS PARA ENTREGAR, te esperamos.</v>
      </c>
    </row>
    <row r="5359">
      <c r="A5359" s="1">
        <f>IFERROR(__xludf.DUMMYFUNCTION("""COMPUTED_VALUE"""),89924.0)</f>
        <v>89924</v>
      </c>
      <c r="B5359" s="5">
        <f>IFERROR(__xludf.DUMMYFUNCTION("""COMPUTED_VALUE"""),45029.46882770833)</f>
        <v>45029.46883</v>
      </c>
      <c r="C5359" s="1" t="str">
        <f>IFERROR(__xludf.DUMMYFUNCTION("""COMPUTED_VALUE"""),"Perez Tomas")</f>
        <v>Perez Tomas</v>
      </c>
      <c r="D5359" s="1" t="str">
        <f>IFERROR(__xludf.DUMMYFUNCTION("""COMPUTED_VALUE"""),"Reparaciones/Otros")</f>
        <v>Reparaciones/Otros</v>
      </c>
      <c r="E5359" s="1" t="str">
        <f>IFERROR(__xludf.DUMMYFUNCTION("""COMPUTED_VALUE"""),"ARTIGAS Sandra G")</f>
        <v>ARTIGAS Sandra G</v>
      </c>
      <c r="F5359" s="1" t="str">
        <f t="shared" si="1"/>
        <v>ARTIGAS </v>
      </c>
      <c r="G5359" s="1" t="str">
        <f t="shared" si="2"/>
        <v>Sandra G</v>
      </c>
      <c r="H5359" s="1" t="str">
        <f>IFERROR(__xludf.DUMMYFUNCTION("""COMPUTED_VALUE"""),"18/4/2023, 17:00:00")</f>
        <v>18/4/2023, 17:00:00</v>
      </c>
      <c r="I5359" s="1" t="str">
        <f>IFERROR(__xludf.DUMMYFUNCTION("""COMPUTED_VALUE"""),"Completado en SUCURSAL")</f>
        <v>Completado en SUCURSAL</v>
      </c>
      <c r="J5359" s="1">
        <f t="shared" si="3"/>
        <v>5</v>
      </c>
      <c r="K5359" s="1" t="str">
        <f t="shared" si="4"/>
        <v>Tus Lentes estan LISTAS PARA ENTREGAR, te esperamos.</v>
      </c>
    </row>
    <row r="5360">
      <c r="A5360" s="1">
        <f>IFERROR(__xludf.DUMMYFUNCTION("""COMPUTED_VALUE"""),89925.0)</f>
        <v>89925</v>
      </c>
      <c r="B5360" s="5">
        <f>IFERROR(__xludf.DUMMYFUNCTION("""COMPUTED_VALUE"""),45029.47020633102)</f>
        <v>45029.47021</v>
      </c>
      <c r="C5360" s="1" t="str">
        <f>IFERROR(__xludf.DUMMYFUNCTION("""COMPUTED_VALUE"""),"LOPEZ ANDRES")</f>
        <v>LOPEZ ANDRES</v>
      </c>
      <c r="D5360" s="1" t="str">
        <f>IFERROR(__xludf.DUMMYFUNCTION("""COMPUTED_VALUE"""),"Lentes de STOCK")</f>
        <v>Lentes de STOCK</v>
      </c>
      <c r="E5360" s="1" t="str">
        <f>IFERROR(__xludf.DUMMYFUNCTION("""COMPUTED_VALUE"""),"ARTIGAS Ivana P.")</f>
        <v>ARTIGAS Ivana P.</v>
      </c>
      <c r="F5360" s="1" t="str">
        <f t="shared" si="1"/>
        <v>ARTIGAS </v>
      </c>
      <c r="G5360" s="1" t="str">
        <f t="shared" si="2"/>
        <v>Ivana P.</v>
      </c>
      <c r="H5360" s="1" t="str">
        <f>IFERROR(__xludf.DUMMYFUNCTION("""COMPUTED_VALUE"""),"18/4/2023, 17:00:00")</f>
        <v>18/4/2023, 17:00:00</v>
      </c>
      <c r="I5360" s="1" t="str">
        <f>IFERROR(__xludf.DUMMYFUNCTION("""COMPUTED_VALUE"""),"Completado en SUCURSAL")</f>
        <v>Completado en SUCURSAL</v>
      </c>
      <c r="J5360" s="1">
        <f t="shared" si="3"/>
        <v>5</v>
      </c>
      <c r="K5360" s="1" t="str">
        <f t="shared" si="4"/>
        <v>Tus Lentes estan LISTAS PARA ENTREGAR, te esperamos.</v>
      </c>
    </row>
    <row r="5361" hidden="1">
      <c r="A5361" s="1">
        <f>IFERROR(__xludf.DUMMYFUNCTION("""COMPUTED_VALUE"""),89926.0)</f>
        <v>89926</v>
      </c>
      <c r="B5361" s="5">
        <f>IFERROR(__xludf.DUMMYFUNCTION("""COMPUTED_VALUE"""),45029.477867037036)</f>
        <v>45029.47787</v>
      </c>
      <c r="C5361" s="1" t="str">
        <f>IFERROR(__xludf.DUMMYFUNCTION("""COMPUTED_VALUE"""),"NAVARRO IRMA GRACIELA")</f>
        <v>NAVARRO IRMA GRACIELA</v>
      </c>
      <c r="D5361" s="1" t="str">
        <f>IFERROR(__xludf.DUMMYFUNCTION("""COMPUTED_VALUE"""),"Lentes de STOCK")</f>
        <v>Lentes de STOCK</v>
      </c>
      <c r="E5361" s="1" t="str">
        <f>IFERROR(__xludf.DUMMYFUNCTION("""COMPUTED_VALUE"""),"RIVADAVIA Marcela L")</f>
        <v>RIVADAVIA Marcela L</v>
      </c>
      <c r="F5361" s="1" t="str">
        <f t="shared" si="1"/>
        <v>RIVADAVIA </v>
      </c>
      <c r="G5361" s="1" t="str">
        <f t="shared" si="2"/>
        <v>Marcela L</v>
      </c>
      <c r="H5361" s="1" t="str">
        <f>IFERROR(__xludf.DUMMYFUNCTION("""COMPUTED_VALUE"""),"19/4/2023, 17:00:00")</f>
        <v>19/4/2023, 17:00:00</v>
      </c>
      <c r="I5361" s="1" t="str">
        <f>IFERROR(__xludf.DUMMYFUNCTION("""COMPUTED_VALUE"""),"DEMORADO")</f>
        <v>DEMORADO</v>
      </c>
      <c r="J5361" s="1" t="str">
        <f t="shared" si="3"/>
        <v/>
      </c>
      <c r="K5361" s="1" t="str">
        <f t="shared" si="4"/>
        <v>Tuvimos una demora con tus lentes y no podremos entregarlo en las fecha acordada, estamos trabajando para terminarlos cuanto antes, te mantendremos al tanto, si es necesario contactanos via whatsapp.</v>
      </c>
    </row>
    <row r="5362">
      <c r="A5362" s="1">
        <f>IFERROR(__xludf.DUMMYFUNCTION("""COMPUTED_VALUE"""),89927.0)</f>
        <v>89927</v>
      </c>
      <c r="B5362" s="5">
        <f>IFERROR(__xludf.DUMMYFUNCTION("""COMPUTED_VALUE"""),45029.4800008912)</f>
        <v>45029.48</v>
      </c>
      <c r="C5362" s="1" t="str">
        <f>IFERROR(__xludf.DUMMYFUNCTION("""COMPUTED_VALUE"""),"TORRES MAXIMILIANO AGUSTIN")</f>
        <v>TORRES MAXIMILIANO AGUSTIN</v>
      </c>
      <c r="D5362" s="1" t="str">
        <f>IFERROR(__xludf.DUMMYFUNCTION("""COMPUTED_VALUE"""),"Lentes de STOCK")</f>
        <v>Lentes de STOCK</v>
      </c>
      <c r="E5362" s="1" t="str">
        <f>IFERROR(__xludf.DUMMYFUNCTION("""COMPUTED_VALUE"""),"RIVADAVIA Christian C.")</f>
        <v>RIVADAVIA Christian C.</v>
      </c>
      <c r="F5362" s="1" t="str">
        <f t="shared" si="1"/>
        <v>RIVADAVIA </v>
      </c>
      <c r="G5362" s="1" t="str">
        <f t="shared" si="2"/>
        <v>Christian C.</v>
      </c>
      <c r="H5362" s="1" t="str">
        <f>IFERROR(__xludf.DUMMYFUNCTION("""COMPUTED_VALUE"""),"20/4/2023, 17:00:00")</f>
        <v>20/4/2023, 17:00:00</v>
      </c>
      <c r="I5362" s="1" t="str">
        <f>IFERROR(__xludf.DUMMYFUNCTION("""COMPUTED_VALUE"""),"DEMORADO")</f>
        <v>DEMORADO</v>
      </c>
      <c r="J5362" s="1" t="str">
        <f t="shared" si="3"/>
        <v/>
      </c>
      <c r="K5362" s="1" t="str">
        <f t="shared" si="4"/>
        <v>Tuvimos una demora con tus lentes y no podremos entregarlo en las fecha acordada, estamos trabajando para terminarlos cuanto antes, te mantendremos al tanto, si es necesario contactanos via whatsapp.</v>
      </c>
    </row>
    <row r="5363">
      <c r="A5363" s="1">
        <f>IFERROR(__xludf.DUMMYFUNCTION("""COMPUTED_VALUE"""),89928.0)</f>
        <v>89928</v>
      </c>
      <c r="B5363" s="5">
        <f>IFERROR(__xludf.DUMMYFUNCTION("""COMPUTED_VALUE"""),45029.48032293981)</f>
        <v>45029.48032</v>
      </c>
      <c r="C5363" s="1" t="str">
        <f>IFERROR(__xludf.DUMMYFUNCTION("""COMPUTED_VALUE"""),"VARGAS JOSE")</f>
        <v>VARGAS JOSE</v>
      </c>
      <c r="D5363" s="1" t="str">
        <f>IFERROR(__xludf.DUMMYFUNCTION("""COMPUTED_VALUE"""),"Lentes de STOCK")</f>
        <v>Lentes de STOCK</v>
      </c>
      <c r="E5363" s="1" t="str">
        <f>IFERROR(__xludf.DUMMYFUNCTION("""COMPUTED_VALUE"""),"ARTIGAS Roció")</f>
        <v>ARTIGAS Roció</v>
      </c>
      <c r="F5363" s="1" t="str">
        <f t="shared" si="1"/>
        <v>ARTIGAS </v>
      </c>
      <c r="G5363" s="1" t="str">
        <f t="shared" si="2"/>
        <v>Roció</v>
      </c>
      <c r="H5363" s="1" t="str">
        <f>IFERROR(__xludf.DUMMYFUNCTION("""COMPUTED_VALUE"""),"21/4/2023, 17:00:00")</f>
        <v>21/4/2023, 17:00:00</v>
      </c>
      <c r="I5363" s="1" t="str">
        <f>IFERROR(__xludf.DUMMYFUNCTION("""COMPUTED_VALUE"""),"Recibido en Laboratorio")</f>
        <v>Recibido en Laboratorio</v>
      </c>
      <c r="J5363" s="1">
        <f t="shared" si="3"/>
        <v>2</v>
      </c>
      <c r="K5363" s="1" t="str">
        <f t="shared" si="4"/>
        <v>Nuestro Laboratorio esta trabajando en tus lentes, los entregaremos en la fecha acordada.</v>
      </c>
    </row>
    <row r="5364">
      <c r="A5364" s="1">
        <f>IFERROR(__xludf.DUMMYFUNCTION("""COMPUTED_VALUE"""),89929.0)</f>
        <v>89929</v>
      </c>
      <c r="B5364" s="5">
        <f>IFERROR(__xludf.DUMMYFUNCTION("""COMPUTED_VALUE"""),45029.4826034838)</f>
        <v>45029.4826</v>
      </c>
      <c r="C5364" s="1" t="str">
        <f>IFERROR(__xludf.DUMMYFUNCTION("""COMPUTED_VALUE"""),"MUÑOZ LIDIA MARIA")</f>
        <v>MUÑOZ LIDIA MARIA</v>
      </c>
      <c r="D5364" s="1" t="str">
        <f>IFERROR(__xludf.DUMMYFUNCTION("""COMPUTED_VALUE"""),"Lentes BIFOCALES")</f>
        <v>Lentes BIFOCALES</v>
      </c>
      <c r="E5364" s="1" t="str">
        <f>IFERROR(__xludf.DUMMYFUNCTION("""COMPUTED_VALUE"""),"ARTIGAS Ivana P.")</f>
        <v>ARTIGAS Ivana P.</v>
      </c>
      <c r="F5364" s="1" t="str">
        <f t="shared" si="1"/>
        <v>ARTIGAS </v>
      </c>
      <c r="G5364" s="1" t="str">
        <f t="shared" si="2"/>
        <v>Ivana P.</v>
      </c>
      <c r="H5364" s="1" t="str">
        <f>IFERROR(__xludf.DUMMYFUNCTION("""COMPUTED_VALUE"""),"19/4/2023, 17:00:00")</f>
        <v>19/4/2023, 17:00:00</v>
      </c>
      <c r="I5364" s="1" t="str">
        <f>IFERROR(__xludf.DUMMYFUNCTION("""COMPUTED_VALUE"""),"Completado en SUCURSAL")</f>
        <v>Completado en SUCURSAL</v>
      </c>
      <c r="J5364" s="1">
        <f t="shared" si="3"/>
        <v>5</v>
      </c>
      <c r="K5364" s="1" t="str">
        <f t="shared" si="4"/>
        <v>Tus Lentes estan LISTAS PARA ENTREGAR, te esperamos.</v>
      </c>
    </row>
    <row r="5365">
      <c r="A5365" s="1">
        <f>IFERROR(__xludf.DUMMYFUNCTION("""COMPUTED_VALUE"""),89930.0)</f>
        <v>89930</v>
      </c>
      <c r="B5365" s="5">
        <f>IFERROR(__xludf.DUMMYFUNCTION("""COMPUTED_VALUE"""),45029.48608681713)</f>
        <v>45029.48609</v>
      </c>
      <c r="C5365" s="1" t="str">
        <f>IFERROR(__xludf.DUMMYFUNCTION("""COMPUTED_VALUE"""),"REINOSO MARIA MARTA")</f>
        <v>REINOSO MARIA MARTA</v>
      </c>
      <c r="D5365" s="1" t="str">
        <f>IFERROR(__xludf.DUMMYFUNCTION("""COMPUTED_VALUE"""),"Lentes de STOCK")</f>
        <v>Lentes de STOCK</v>
      </c>
      <c r="E5365" s="1" t="str">
        <f>IFERROR(__xludf.DUMMYFUNCTION("""COMPUTED_VALUE"""),"RIVADAVIA Javier")</f>
        <v>RIVADAVIA Javier</v>
      </c>
      <c r="F5365" s="1" t="str">
        <f t="shared" si="1"/>
        <v>RIVADAVIA </v>
      </c>
      <c r="G5365" s="1" t="str">
        <f t="shared" si="2"/>
        <v>Javier</v>
      </c>
      <c r="H5365" s="1" t="str">
        <f>IFERROR(__xludf.DUMMYFUNCTION("""COMPUTED_VALUE"""),"20/4/2023, 17:00:00")</f>
        <v>20/4/2023, 17:00:00</v>
      </c>
      <c r="I5365" s="1" t="str">
        <f>IFERROR(__xludf.DUMMYFUNCTION("""COMPUTED_VALUE"""),"Completado en SUCURSAL")</f>
        <v>Completado en SUCURSAL</v>
      </c>
      <c r="J5365" s="1">
        <f t="shared" si="3"/>
        <v>5</v>
      </c>
      <c r="K5365" s="1" t="str">
        <f t="shared" si="4"/>
        <v>Tus Lentes estan LISTAS PARA ENTREGAR, te esperamos.</v>
      </c>
    </row>
    <row r="5366">
      <c r="A5366" s="1">
        <f>IFERROR(__xludf.DUMMYFUNCTION("""COMPUTED_VALUE"""),89931.0)</f>
        <v>89931</v>
      </c>
      <c r="B5366" s="5">
        <f>IFERROR(__xludf.DUMMYFUNCTION("""COMPUTED_VALUE"""),45029.49216601852)</f>
        <v>45029.49217</v>
      </c>
      <c r="C5366" s="1" t="str">
        <f>IFERROR(__xludf.DUMMYFUNCTION("""COMPUTED_VALUE"""),"GARRO ELVA SILVIA")</f>
        <v>GARRO ELVA SILVIA</v>
      </c>
      <c r="D5366" s="1" t="str">
        <f>IFERROR(__xludf.DUMMYFUNCTION("""COMPUTED_VALUE"""),"Lentes de STOCK")</f>
        <v>Lentes de STOCK</v>
      </c>
      <c r="E5366" s="1" t="str">
        <f>IFERROR(__xludf.DUMMYFUNCTION("""COMPUTED_VALUE"""),"RIVADAVIA Christian C.")</f>
        <v>RIVADAVIA Christian C.</v>
      </c>
      <c r="F5366" s="1" t="str">
        <f t="shared" si="1"/>
        <v>RIVADAVIA </v>
      </c>
      <c r="G5366" s="1" t="str">
        <f t="shared" si="2"/>
        <v>Christian C.</v>
      </c>
      <c r="H5366" s="1" t="str">
        <f>IFERROR(__xludf.DUMMYFUNCTION("""COMPUTED_VALUE"""),"20/4/2023, 17:00:00")</f>
        <v>20/4/2023, 17:00:00</v>
      </c>
      <c r="I5366" s="1" t="str">
        <f>IFERROR(__xludf.DUMMYFUNCTION("""COMPUTED_VALUE"""),"Completado en SUCURSAL")</f>
        <v>Completado en SUCURSAL</v>
      </c>
      <c r="J5366" s="1">
        <f t="shared" si="3"/>
        <v>5</v>
      </c>
      <c r="K5366" s="1" t="str">
        <f t="shared" si="4"/>
        <v>Tus Lentes estan LISTAS PARA ENTREGAR, te esperamos.</v>
      </c>
    </row>
    <row r="5367">
      <c r="A5367" s="1">
        <f>IFERROR(__xludf.DUMMYFUNCTION("""COMPUTED_VALUE"""),89932.0)</f>
        <v>89932</v>
      </c>
      <c r="B5367" s="5">
        <f>IFERROR(__xludf.DUMMYFUNCTION("""COMPUTED_VALUE"""),45029.49549728009)</f>
        <v>45029.4955</v>
      </c>
      <c r="C5367" s="1" t="str">
        <f>IFERROR(__xludf.DUMMYFUNCTION("""COMPUTED_VALUE"""),"ASENSIO DOMINGA ARACELI")</f>
        <v>ASENSIO DOMINGA ARACELI</v>
      </c>
      <c r="D5367" s="1" t="str">
        <f>IFERROR(__xludf.DUMMYFUNCTION("""COMPUTED_VALUE"""),"Lentes de STOCK")</f>
        <v>Lentes de STOCK</v>
      </c>
      <c r="E5367" s="1" t="str">
        <f>IFERROR(__xludf.DUMMYFUNCTION("""COMPUTED_VALUE"""),"RIVADAVIA Luciana")</f>
        <v>RIVADAVIA Luciana</v>
      </c>
      <c r="F5367" s="1" t="str">
        <f t="shared" si="1"/>
        <v>RIVADAVIA </v>
      </c>
      <c r="G5367" s="1" t="str">
        <f t="shared" si="2"/>
        <v>Luciana</v>
      </c>
      <c r="H5367" s="1" t="str">
        <f>IFERROR(__xludf.DUMMYFUNCTION("""COMPUTED_VALUE"""),"20/4/2023, 17:00:00")</f>
        <v>20/4/2023, 17:00:00</v>
      </c>
      <c r="I5367" s="1" t="str">
        <f>IFERROR(__xludf.DUMMYFUNCTION("""COMPUTED_VALUE"""),"Completado en SUCURSAL")</f>
        <v>Completado en SUCURSAL</v>
      </c>
      <c r="J5367" s="1">
        <f t="shared" si="3"/>
        <v>5</v>
      </c>
      <c r="K5367" s="1" t="str">
        <f t="shared" si="4"/>
        <v>Tus Lentes estan LISTAS PARA ENTREGAR, te esperamos.</v>
      </c>
    </row>
    <row r="5368">
      <c r="A5368" s="1">
        <f>IFERROR(__xludf.DUMMYFUNCTION("""COMPUTED_VALUE"""),89933.0)</f>
        <v>89933</v>
      </c>
      <c r="B5368" s="5">
        <f>IFERROR(__xludf.DUMMYFUNCTION("""COMPUTED_VALUE"""),45029.49593056713)</f>
        <v>45029.49593</v>
      </c>
      <c r="C5368" s="1" t="str">
        <f>IFERROR(__xludf.DUMMYFUNCTION("""COMPUTED_VALUE"""),"MUÑOZ LIDIA")</f>
        <v>MUÑOZ LIDIA</v>
      </c>
      <c r="D5368" s="1" t="str">
        <f>IFERROR(__xludf.DUMMYFUNCTION("""COMPUTED_VALUE"""),"Lentes de STOCK")</f>
        <v>Lentes de STOCK</v>
      </c>
      <c r="E5368" s="1" t="str">
        <f>IFERROR(__xludf.DUMMYFUNCTION("""COMPUTED_VALUE"""),"ARTIGAS Ivana P.")</f>
        <v>ARTIGAS Ivana P.</v>
      </c>
      <c r="F5368" s="1" t="str">
        <f t="shared" si="1"/>
        <v>ARTIGAS </v>
      </c>
      <c r="G5368" s="1" t="str">
        <f t="shared" si="2"/>
        <v>Ivana P.</v>
      </c>
      <c r="H5368" s="1" t="str">
        <f>IFERROR(__xludf.DUMMYFUNCTION("""COMPUTED_VALUE"""),"21/4/2023, 17:00:00")</f>
        <v>21/4/2023, 17:00:00</v>
      </c>
      <c r="I5368" s="1" t="str">
        <f>IFERROR(__xludf.DUMMYFUNCTION("""COMPUTED_VALUE"""),"Recibido en Laboratorio")</f>
        <v>Recibido en Laboratorio</v>
      </c>
      <c r="J5368" s="1">
        <f t="shared" si="3"/>
        <v>2</v>
      </c>
      <c r="K5368" s="1" t="str">
        <f t="shared" si="4"/>
        <v>Nuestro Laboratorio esta trabajando en tus lentes, los entregaremos en la fecha acordada.</v>
      </c>
    </row>
    <row r="5369">
      <c r="A5369" s="1">
        <f>IFERROR(__xludf.DUMMYFUNCTION("""COMPUTED_VALUE"""),89934.0)</f>
        <v>89934</v>
      </c>
      <c r="B5369" s="5">
        <f>IFERROR(__xludf.DUMMYFUNCTION("""COMPUTED_VALUE"""),45029.49594587963)</f>
        <v>45029.49595</v>
      </c>
      <c r="C5369" s="1" t="str">
        <f>IFERROR(__xludf.DUMMYFUNCTION("""COMPUTED_VALUE"""),"TORREZ ESTEBAN AGUSTIN")</f>
        <v>TORREZ ESTEBAN AGUSTIN</v>
      </c>
      <c r="D5369" s="1" t="str">
        <f>IFERROR(__xludf.DUMMYFUNCTION("""COMPUTED_VALUE"""),"Lentes de STOCK")</f>
        <v>Lentes de STOCK</v>
      </c>
      <c r="E5369" s="1" t="str">
        <f>IFERROR(__xludf.DUMMYFUNCTION("""COMPUTED_VALUE"""),"ARTIGAS Roció")</f>
        <v>ARTIGAS Roció</v>
      </c>
      <c r="F5369" s="1" t="str">
        <f t="shared" si="1"/>
        <v>ARTIGAS </v>
      </c>
      <c r="G5369" s="1" t="str">
        <f t="shared" si="2"/>
        <v>Roció</v>
      </c>
      <c r="H5369" s="1" t="str">
        <f>IFERROR(__xludf.DUMMYFUNCTION("""COMPUTED_VALUE"""),"21/4/2023, 17:00:00")</f>
        <v>21/4/2023, 17:00:00</v>
      </c>
      <c r="I5369" s="1" t="str">
        <f>IFERROR(__xludf.DUMMYFUNCTION("""COMPUTED_VALUE"""),"Recibido en Laboratorio")</f>
        <v>Recibido en Laboratorio</v>
      </c>
      <c r="J5369" s="1">
        <f t="shared" si="3"/>
        <v>2</v>
      </c>
      <c r="K5369" s="1" t="str">
        <f t="shared" si="4"/>
        <v>Nuestro Laboratorio esta trabajando en tus lentes, los entregaremos en la fecha acordada.</v>
      </c>
    </row>
    <row r="5370">
      <c r="A5370" s="1">
        <f>IFERROR(__xludf.DUMMYFUNCTION("""COMPUTED_VALUE"""),89935.0)</f>
        <v>89935</v>
      </c>
      <c r="B5370" s="5">
        <f>IFERROR(__xludf.DUMMYFUNCTION("""COMPUTED_VALUE"""),45029.49750841435)</f>
        <v>45029.49751</v>
      </c>
      <c r="C5370" s="1" t="str">
        <f>IFERROR(__xludf.DUMMYFUNCTION("""COMPUTED_VALUE"""),"Zapata Rosa")</f>
        <v>Zapata Rosa</v>
      </c>
      <c r="D5370" s="1" t="str">
        <f>IFERROR(__xludf.DUMMYFUNCTION("""COMPUTED_VALUE"""),"Reparaciones/Otros")</f>
        <v>Reparaciones/Otros</v>
      </c>
      <c r="E5370" s="1" t="str">
        <f>IFERROR(__xludf.DUMMYFUNCTION("""COMPUTED_VALUE"""),"ARTIGAS Sandra G")</f>
        <v>ARTIGAS Sandra G</v>
      </c>
      <c r="F5370" s="1" t="str">
        <f t="shared" si="1"/>
        <v>ARTIGAS </v>
      </c>
      <c r="G5370" s="1" t="str">
        <f t="shared" si="2"/>
        <v>Sandra G</v>
      </c>
      <c r="H5370" s="1" t="str">
        <f>IFERROR(__xludf.DUMMYFUNCTION("""COMPUTED_VALUE"""),"18/4/2023, 17:00:00")</f>
        <v>18/4/2023, 17:00:00</v>
      </c>
      <c r="I5370" s="1" t="str">
        <f>IFERROR(__xludf.DUMMYFUNCTION("""COMPUTED_VALUE"""),"Recibido en Laboratorio")</f>
        <v>Recibido en Laboratorio</v>
      </c>
      <c r="J5370" s="1">
        <f t="shared" si="3"/>
        <v>2</v>
      </c>
      <c r="K5370" s="1" t="str">
        <f t="shared" si="4"/>
        <v>Nuestro Laboratorio esta trabajando en tus lentes, los entregaremos en la fecha acordada.</v>
      </c>
    </row>
    <row r="5371">
      <c r="A5371" s="1">
        <f>IFERROR(__xludf.DUMMYFUNCTION("""COMPUTED_VALUE"""),89936.0)</f>
        <v>89936</v>
      </c>
      <c r="B5371" s="5">
        <f>IFERROR(__xludf.DUMMYFUNCTION("""COMPUTED_VALUE"""),45029.4997396875)</f>
        <v>45029.49974</v>
      </c>
      <c r="C5371" s="1" t="str">
        <f>IFERROR(__xludf.DUMMYFUNCTION("""COMPUTED_VALUE""")," MARZOLA CLELIA MARIA")</f>
        <v> MARZOLA CLELIA MARIA</v>
      </c>
      <c r="D5371" s="1" t="str">
        <f>IFERROR(__xludf.DUMMYFUNCTION("""COMPUTED_VALUE"""),"Lentes de STOCK")</f>
        <v>Lentes de STOCK</v>
      </c>
      <c r="E5371" s="1" t="str">
        <f>IFERROR(__xludf.DUMMYFUNCTION("""COMPUTED_VALUE"""),"RIVADAVIA Christian C.")</f>
        <v>RIVADAVIA Christian C.</v>
      </c>
      <c r="F5371" s="1" t="str">
        <f t="shared" si="1"/>
        <v>RIVADAVIA </v>
      </c>
      <c r="G5371" s="1" t="str">
        <f t="shared" si="2"/>
        <v>Christian C.</v>
      </c>
      <c r="H5371" s="1" t="str">
        <f>IFERROR(__xludf.DUMMYFUNCTION("""COMPUTED_VALUE"""),"21/4/2023, 17:00:00")</f>
        <v>21/4/2023, 17:00:00</v>
      </c>
      <c r="I5371" s="1" t="str">
        <f>IFERROR(__xludf.DUMMYFUNCTION("""COMPUTED_VALUE"""),"RETIRADO OK POR CLIENTE")</f>
        <v>RETIRADO OK POR CLIENTE</v>
      </c>
      <c r="J5371" s="1">
        <f t="shared" si="3"/>
        <v>6</v>
      </c>
      <c r="K5371" s="1" t="str">
        <f t="shared" si="4"/>
        <v>Entregamos tus lentes, que los disfrutes!</v>
      </c>
    </row>
    <row r="5372">
      <c r="A5372" s="1">
        <f>IFERROR(__xludf.DUMMYFUNCTION("""COMPUTED_VALUE"""),89937.0)</f>
        <v>89937</v>
      </c>
      <c r="B5372" s="5">
        <f>IFERROR(__xludf.DUMMYFUNCTION("""COMPUTED_VALUE"""),45029.50439728009)</f>
        <v>45029.5044</v>
      </c>
      <c r="C5372" s="1" t="str">
        <f>IFERROR(__xludf.DUMMYFUNCTION("""COMPUTED_VALUE"""),"PARISI JOSE FRANCISCO")</f>
        <v>PARISI JOSE FRANCISCO</v>
      </c>
      <c r="D5372" s="1" t="str">
        <f>IFERROR(__xludf.DUMMYFUNCTION("""COMPUTED_VALUE"""),"Lentes de STOCK")</f>
        <v>Lentes de STOCK</v>
      </c>
      <c r="E5372" s="1" t="str">
        <f>IFERROR(__xludf.DUMMYFUNCTION("""COMPUTED_VALUE"""),"RIVADAVIA Luciana")</f>
        <v>RIVADAVIA Luciana</v>
      </c>
      <c r="F5372" s="1" t="str">
        <f t="shared" si="1"/>
        <v>RIVADAVIA </v>
      </c>
      <c r="G5372" s="1" t="str">
        <f t="shared" si="2"/>
        <v>Luciana</v>
      </c>
      <c r="H5372" s="1" t="str">
        <f>IFERROR(__xludf.DUMMYFUNCTION("""COMPUTED_VALUE"""),"20/4/2023, 17:00:00")</f>
        <v>20/4/2023, 17:00:00</v>
      </c>
      <c r="I5372" s="1" t="str">
        <f>IFERROR(__xludf.DUMMYFUNCTION("""COMPUTED_VALUE"""),"Completado en SUCURSAL")</f>
        <v>Completado en SUCURSAL</v>
      </c>
      <c r="J5372" s="1">
        <f t="shared" si="3"/>
        <v>5</v>
      </c>
      <c r="K5372" s="1" t="str">
        <f t="shared" si="4"/>
        <v>Tus Lentes estan LISTAS PARA ENTREGAR, te esperamos.</v>
      </c>
    </row>
    <row r="5373">
      <c r="A5373" s="1">
        <f>IFERROR(__xludf.DUMMYFUNCTION("""COMPUTED_VALUE"""),89938.0)</f>
        <v>89938</v>
      </c>
      <c r="B5373" s="5">
        <f>IFERROR(__xludf.DUMMYFUNCTION("""COMPUTED_VALUE"""),45029.52119596065)</f>
        <v>45029.5212</v>
      </c>
      <c r="C5373" s="1" t="str">
        <f>IFERROR(__xludf.DUMMYFUNCTION("""COMPUTED_VALUE"""),"PEREZ ESTELA (PROGRAMA MEDICINA DEL INTERIOR)")</f>
        <v>PEREZ ESTELA (PROGRAMA MEDICINA DEL INTERIOR)</v>
      </c>
      <c r="D5373" s="1" t="str">
        <f>IFERROR(__xludf.DUMMYFUNCTION("""COMPUTED_VALUE"""),"Lentes de STOCK")</f>
        <v>Lentes de STOCK</v>
      </c>
      <c r="E5373" s="1" t="str">
        <f>IFERROR(__xludf.DUMMYFUNCTION("""COMPUTED_VALUE"""),"Online ADMIN.")</f>
        <v>Online ADMIN.</v>
      </c>
      <c r="F5373" s="1" t="str">
        <f t="shared" si="1"/>
        <v>Online </v>
      </c>
      <c r="G5373" s="1" t="str">
        <f t="shared" si="2"/>
        <v>ADMIN.</v>
      </c>
      <c r="H5373" s="1" t="str">
        <f>IFERROR(__xludf.DUMMYFUNCTION("""COMPUTED_VALUE"""),"18/4/2023, 17:00:00")</f>
        <v>18/4/2023, 17:00:00</v>
      </c>
      <c r="I5373" s="1"/>
      <c r="J5373" s="1">
        <f t="shared" si="3"/>
        <v>0</v>
      </c>
      <c r="K5373" s="1" t="str">
        <f t="shared" si="4"/>
        <v/>
      </c>
    </row>
    <row r="5374">
      <c r="A5374" s="1">
        <f>IFERROR(__xludf.DUMMYFUNCTION("""COMPUTED_VALUE"""),89939.0)</f>
        <v>89939</v>
      </c>
      <c r="B5374" s="5">
        <f>IFERROR(__xludf.DUMMYFUNCTION("""COMPUTED_VALUE"""),45029.52221111111)</f>
        <v>45029.52221</v>
      </c>
      <c r="C5374" s="1" t="str">
        <f>IFERROR(__xludf.DUMMYFUNCTION("""COMPUTED_VALUE"""),"Muñoz Mirta")</f>
        <v>Muñoz Mirta</v>
      </c>
      <c r="D5374" s="1" t="str">
        <f>IFERROR(__xludf.DUMMYFUNCTION("""COMPUTED_VALUE"""),"Reparaciones/Otros")</f>
        <v>Reparaciones/Otros</v>
      </c>
      <c r="E5374" s="1" t="str">
        <f>IFERROR(__xludf.DUMMYFUNCTION("""COMPUTED_VALUE"""),"ARTIGAS Sandra G")</f>
        <v>ARTIGAS Sandra G</v>
      </c>
      <c r="F5374" s="1" t="str">
        <f t="shared" si="1"/>
        <v>ARTIGAS </v>
      </c>
      <c r="G5374" s="1" t="str">
        <f t="shared" si="2"/>
        <v>Sandra G</v>
      </c>
      <c r="H5374" s="1" t="str">
        <f>IFERROR(__xludf.DUMMYFUNCTION("""COMPUTED_VALUE"""),"18/4/2023, 17:00:00")</f>
        <v>18/4/2023, 17:00:00</v>
      </c>
      <c r="I5374" s="1" t="str">
        <f>IFERROR(__xludf.DUMMYFUNCTION("""COMPUTED_VALUE"""),"Recibido en Laboratorio")</f>
        <v>Recibido en Laboratorio</v>
      </c>
      <c r="J5374" s="1">
        <f t="shared" si="3"/>
        <v>2</v>
      </c>
      <c r="K5374" s="1" t="str">
        <f t="shared" si="4"/>
        <v>Nuestro Laboratorio esta trabajando en tus lentes, los entregaremos en la fecha acordada.</v>
      </c>
    </row>
    <row r="5375">
      <c r="A5375" s="1">
        <f>IFERROR(__xludf.DUMMYFUNCTION("""COMPUTED_VALUE"""),89940.0)</f>
        <v>89940</v>
      </c>
      <c r="B5375" s="5">
        <f>IFERROR(__xludf.DUMMYFUNCTION("""COMPUTED_VALUE"""),45029.52371795139)</f>
        <v>45029.52372</v>
      </c>
      <c r="C5375" s="1" t="str">
        <f>IFERROR(__xludf.DUMMYFUNCTION("""COMPUTED_VALUE"""),"CIPRIANI GABRIEL (PROGRAMA MEDICINA DEL INTERIOR)")</f>
        <v>CIPRIANI GABRIEL (PROGRAMA MEDICINA DEL INTERIOR)</v>
      </c>
      <c r="D5375" s="1" t="str">
        <f>IFERROR(__xludf.DUMMYFUNCTION("""COMPUTED_VALUE"""),"Lentes de STOCK")</f>
        <v>Lentes de STOCK</v>
      </c>
      <c r="E5375" s="1" t="str">
        <f>IFERROR(__xludf.DUMMYFUNCTION("""COMPUTED_VALUE"""),"Online ADMIN.")</f>
        <v>Online ADMIN.</v>
      </c>
      <c r="F5375" s="1" t="str">
        <f t="shared" si="1"/>
        <v>Online </v>
      </c>
      <c r="G5375" s="1" t="str">
        <f t="shared" si="2"/>
        <v>ADMIN.</v>
      </c>
      <c r="H5375" s="1" t="str">
        <f>IFERROR(__xludf.DUMMYFUNCTION("""COMPUTED_VALUE"""),"18/4/2023, 17:00:00")</f>
        <v>18/4/2023, 17:00:00</v>
      </c>
      <c r="I5375" s="1" t="str">
        <f>IFERROR(__xludf.DUMMYFUNCTION("""COMPUTED_VALUE"""),"Completado en SUCURSAL")</f>
        <v>Completado en SUCURSAL</v>
      </c>
      <c r="J5375" s="1">
        <f t="shared" si="3"/>
        <v>5</v>
      </c>
      <c r="K5375" s="1" t="str">
        <f t="shared" si="4"/>
        <v>Tus Lentes estan LISTAS PARA ENTREGAR, te esperamos.</v>
      </c>
    </row>
    <row r="5376">
      <c r="A5376" s="1">
        <f>IFERROR(__xludf.DUMMYFUNCTION("""COMPUTED_VALUE"""),89941.0)</f>
        <v>89941</v>
      </c>
      <c r="B5376" s="5">
        <f>IFERROR(__xludf.DUMMYFUNCTION("""COMPUTED_VALUE"""),45029.526649189815)</f>
        <v>45029.52665</v>
      </c>
      <c r="C5376" s="1" t="str">
        <f>IFERROR(__xludf.DUMMYFUNCTION("""COMPUTED_VALUE"""),"FLORES EZCURRA MATIAS EZEQUIEL")</f>
        <v>FLORES EZCURRA MATIAS EZEQUIEL</v>
      </c>
      <c r="D5376" s="1" t="str">
        <f>IFERROR(__xludf.DUMMYFUNCTION("""COMPUTED_VALUE"""),"Lentes de STOCK")</f>
        <v>Lentes de STOCK</v>
      </c>
      <c r="E5376" s="1" t="str">
        <f>IFERROR(__xludf.DUMMYFUNCTION("""COMPUTED_VALUE"""),"RIVADAVIA Marcela L")</f>
        <v>RIVADAVIA Marcela L</v>
      </c>
      <c r="F5376" s="1" t="str">
        <f t="shared" si="1"/>
        <v>RIVADAVIA </v>
      </c>
      <c r="G5376" s="1" t="str">
        <f t="shared" si="2"/>
        <v>Marcela L</v>
      </c>
      <c r="H5376" s="1" t="str">
        <f>IFERROR(__xludf.DUMMYFUNCTION("""COMPUTED_VALUE"""),"20/4/2023, 17:00:00")</f>
        <v>20/4/2023, 17:00:00</v>
      </c>
      <c r="I5376" s="1" t="str">
        <f>IFERROR(__xludf.DUMMYFUNCTION("""COMPUTED_VALUE"""),"Completado en SUCURSAL")</f>
        <v>Completado en SUCURSAL</v>
      </c>
      <c r="J5376" s="1">
        <f t="shared" si="3"/>
        <v>5</v>
      </c>
      <c r="K5376" s="1" t="str">
        <f t="shared" si="4"/>
        <v>Tus Lentes estan LISTAS PARA ENTREGAR, te esperamos.</v>
      </c>
    </row>
    <row r="5377">
      <c r="A5377" s="1">
        <f>IFERROR(__xludf.DUMMYFUNCTION("""COMPUTED_VALUE"""),89942.0)</f>
        <v>89942</v>
      </c>
      <c r="B5377" s="5">
        <f>IFERROR(__xludf.DUMMYFUNCTION("""COMPUTED_VALUE"""),45029.549864305554)</f>
        <v>45029.54986</v>
      </c>
      <c r="C5377" s="1" t="str">
        <f>IFERROR(__xludf.DUMMYFUNCTION("""COMPUTED_VALUE"""),"GARZON SEGURA PAOLA ANDREA")</f>
        <v>GARZON SEGURA PAOLA ANDREA</v>
      </c>
      <c r="D5377" s="1" t="str">
        <f>IFERROR(__xludf.DUMMYFUNCTION("""COMPUTED_VALUE"""),"Lentes de STOCK")</f>
        <v>Lentes de STOCK</v>
      </c>
      <c r="E5377" s="1" t="str">
        <f>IFERROR(__xludf.DUMMYFUNCTION("""COMPUTED_VALUE"""),"RIVADAVIA Marcela L")</f>
        <v>RIVADAVIA Marcela L</v>
      </c>
      <c r="F5377" s="1" t="str">
        <f t="shared" si="1"/>
        <v>RIVADAVIA </v>
      </c>
      <c r="G5377" s="1" t="str">
        <f t="shared" si="2"/>
        <v>Marcela L</v>
      </c>
      <c r="H5377" s="1" t="str">
        <f>IFERROR(__xludf.DUMMYFUNCTION("""COMPUTED_VALUE"""),"20/4/2023, 17:00:00")</f>
        <v>20/4/2023, 17:00:00</v>
      </c>
      <c r="I5377" s="1" t="str">
        <f>IFERROR(__xludf.DUMMYFUNCTION("""COMPUTED_VALUE"""),"Completado en SUCURSAL")</f>
        <v>Completado en SUCURSAL</v>
      </c>
      <c r="J5377" s="1">
        <f t="shared" si="3"/>
        <v>5</v>
      </c>
      <c r="K5377" s="1" t="str">
        <f t="shared" si="4"/>
        <v>Tus Lentes estan LISTAS PARA ENTREGAR, te esperamos.</v>
      </c>
    </row>
    <row r="5378">
      <c r="A5378" s="1">
        <f>IFERROR(__xludf.DUMMYFUNCTION("""COMPUTED_VALUE"""),89943.0)</f>
        <v>89943</v>
      </c>
      <c r="B5378" s="5">
        <f>IFERROR(__xludf.DUMMYFUNCTION("""COMPUTED_VALUE"""),45029.55110074074)</f>
        <v>45029.5511</v>
      </c>
      <c r="C5378" s="1" t="str">
        <f>IFERROR(__xludf.DUMMYFUNCTION("""COMPUTED_VALUE"""),"ALANIZ CECILIA")</f>
        <v>ALANIZ CECILIA</v>
      </c>
      <c r="D5378" s="1" t="str">
        <f>IFERROR(__xludf.DUMMYFUNCTION("""COMPUTED_VALUE"""),"Lentes de STOCK")</f>
        <v>Lentes de STOCK</v>
      </c>
      <c r="E5378" s="1" t="str">
        <f>IFERROR(__xludf.DUMMYFUNCTION("""COMPUTED_VALUE"""),"ARTIGAS Ivana P.")</f>
        <v>ARTIGAS Ivana P.</v>
      </c>
      <c r="F5378" s="1" t="str">
        <f t="shared" si="1"/>
        <v>ARTIGAS </v>
      </c>
      <c r="G5378" s="1" t="str">
        <f t="shared" si="2"/>
        <v>Ivana P.</v>
      </c>
      <c r="H5378" s="1" t="str">
        <f>IFERROR(__xludf.DUMMYFUNCTION("""COMPUTED_VALUE"""),"19/4/2023, 17:00:00")</f>
        <v>19/4/2023, 17:00:00</v>
      </c>
      <c r="I5378" s="1" t="str">
        <f>IFERROR(__xludf.DUMMYFUNCTION("""COMPUTED_VALUE"""),"Completado en SUCURSAL")</f>
        <v>Completado en SUCURSAL</v>
      </c>
      <c r="J5378" s="1">
        <f t="shared" si="3"/>
        <v>5</v>
      </c>
      <c r="K5378" s="1" t="str">
        <f t="shared" si="4"/>
        <v>Tus Lentes estan LISTAS PARA ENTREGAR, te esperamos.</v>
      </c>
    </row>
    <row r="5379">
      <c r="A5379" s="1">
        <f>IFERROR(__xludf.DUMMYFUNCTION("""COMPUTED_VALUE"""),89944.0)</f>
        <v>89944</v>
      </c>
      <c r="B5379" s="5">
        <f>IFERROR(__xludf.DUMMYFUNCTION("""COMPUTED_VALUE"""),45029.5513884838)</f>
        <v>45029.55139</v>
      </c>
      <c r="C5379" s="1" t="str">
        <f>IFERROR(__xludf.DUMMYFUNCTION("""COMPUTED_VALUE"""),"Mercado Ana")</f>
        <v>Mercado Ana</v>
      </c>
      <c r="D5379" s="1" t="str">
        <f>IFERROR(__xludf.DUMMYFUNCTION("""COMPUTED_VALUE"""),"Lentes de STOCK")</f>
        <v>Lentes de STOCK</v>
      </c>
      <c r="E5379" s="1" t="str">
        <f>IFERROR(__xludf.DUMMYFUNCTION("""COMPUTED_VALUE"""),"ARTIGAS Sandra G")</f>
        <v>ARTIGAS Sandra G</v>
      </c>
      <c r="F5379" s="1" t="str">
        <f t="shared" si="1"/>
        <v>ARTIGAS </v>
      </c>
      <c r="G5379" s="1" t="str">
        <f t="shared" si="2"/>
        <v>Sandra G</v>
      </c>
      <c r="H5379" s="1" t="str">
        <f>IFERROR(__xludf.DUMMYFUNCTION("""COMPUTED_VALUE"""),"20/4/2023, 17:00:00")</f>
        <v>20/4/2023, 17:00:00</v>
      </c>
      <c r="I5379" s="1" t="str">
        <f>IFERROR(__xludf.DUMMYFUNCTION("""COMPUTED_VALUE"""),"Completado en SUCURSAL")</f>
        <v>Completado en SUCURSAL</v>
      </c>
      <c r="J5379" s="1">
        <f t="shared" si="3"/>
        <v>5</v>
      </c>
      <c r="K5379" s="1" t="str">
        <f t="shared" si="4"/>
        <v>Tus Lentes estan LISTAS PARA ENTREGAR, te esperamos.</v>
      </c>
    </row>
    <row r="5380">
      <c r="A5380" s="1">
        <f>IFERROR(__xludf.DUMMYFUNCTION("""COMPUTED_VALUE"""),89945.0)</f>
        <v>89945</v>
      </c>
      <c r="B5380" s="5">
        <f>IFERROR(__xludf.DUMMYFUNCTION("""COMPUTED_VALUE"""),45029.55693461806)</f>
        <v>45029.55693</v>
      </c>
      <c r="C5380" s="1" t="str">
        <f>IFERROR(__xludf.DUMMYFUNCTION("""COMPUTED_VALUE"""),"JUAREZ JOSE MAXIMO")</f>
        <v>JUAREZ JOSE MAXIMO</v>
      </c>
      <c r="D5380" s="1" t="str">
        <f>IFERROR(__xludf.DUMMYFUNCTION("""COMPUTED_VALUE"""),"Lentes de STOCK")</f>
        <v>Lentes de STOCK</v>
      </c>
      <c r="E5380" s="1" t="str">
        <f>IFERROR(__xludf.DUMMYFUNCTION("""COMPUTED_VALUE"""),"ARTIGAS Roció")</f>
        <v>ARTIGAS Roció</v>
      </c>
      <c r="F5380" s="1" t="str">
        <f t="shared" si="1"/>
        <v>ARTIGAS </v>
      </c>
      <c r="G5380" s="1" t="str">
        <f t="shared" si="2"/>
        <v>Roció</v>
      </c>
      <c r="H5380" s="1" t="str">
        <f>IFERROR(__xludf.DUMMYFUNCTION("""COMPUTED_VALUE"""),"21/4/2023, 17:00:00")</f>
        <v>21/4/2023, 17:00:00</v>
      </c>
      <c r="I5380" s="1" t="str">
        <f>IFERROR(__xludf.DUMMYFUNCTION("""COMPUTED_VALUE"""),"Recibido en Laboratorio")</f>
        <v>Recibido en Laboratorio</v>
      </c>
      <c r="J5380" s="1">
        <f t="shared" si="3"/>
        <v>2</v>
      </c>
      <c r="K5380" s="1" t="str">
        <f t="shared" si="4"/>
        <v>Nuestro Laboratorio esta trabajando en tus lentes, los entregaremos en la fecha acordada.</v>
      </c>
    </row>
    <row r="5381">
      <c r="A5381" s="1">
        <f>IFERROR(__xludf.DUMMYFUNCTION("""COMPUTED_VALUE"""),89946.0)</f>
        <v>89946</v>
      </c>
      <c r="B5381" s="5">
        <f>IFERROR(__xludf.DUMMYFUNCTION("""COMPUTED_VALUE"""),45029.56247068287)</f>
        <v>45029.56247</v>
      </c>
      <c r="C5381" s="1" t="str">
        <f>IFERROR(__xludf.DUMMYFUNCTION("""COMPUTED_VALUE"""),"RATTO MONICA BEATRIZ")</f>
        <v>RATTO MONICA BEATRIZ</v>
      </c>
      <c r="D5381" s="1" t="str">
        <f>IFERROR(__xludf.DUMMYFUNCTION("""COMPUTED_VALUE"""),"Lentes de STOCK")</f>
        <v>Lentes de STOCK</v>
      </c>
      <c r="E5381" s="1" t="str">
        <f>IFERROR(__xludf.DUMMYFUNCTION("""COMPUTED_VALUE"""),"ARTIGAS Roció")</f>
        <v>ARTIGAS Roció</v>
      </c>
      <c r="F5381" s="1" t="str">
        <f t="shared" si="1"/>
        <v>ARTIGAS </v>
      </c>
      <c r="G5381" s="1" t="str">
        <f t="shared" si="2"/>
        <v>Roció</v>
      </c>
      <c r="H5381" s="1" t="str">
        <f>IFERROR(__xludf.DUMMYFUNCTION("""COMPUTED_VALUE"""),"21/4/2023, 17:00:00")</f>
        <v>21/4/2023, 17:00:00</v>
      </c>
      <c r="I5381" s="1" t="str">
        <f>IFERROR(__xludf.DUMMYFUNCTION("""COMPUTED_VALUE"""),"Recibido en Laboratorio")</f>
        <v>Recibido en Laboratorio</v>
      </c>
      <c r="J5381" s="1">
        <f t="shared" si="3"/>
        <v>2</v>
      </c>
      <c r="K5381" s="1" t="str">
        <f t="shared" si="4"/>
        <v>Nuestro Laboratorio esta trabajando en tus lentes, los entregaremos en la fecha acordada.</v>
      </c>
    </row>
    <row r="5382">
      <c r="A5382" s="1">
        <f>IFERROR(__xludf.DUMMYFUNCTION("""COMPUTED_VALUE"""),89947.0)</f>
        <v>89947</v>
      </c>
      <c r="B5382" s="5">
        <f>IFERROR(__xludf.DUMMYFUNCTION("""COMPUTED_VALUE"""),45029.586051493054)</f>
        <v>45029.58605</v>
      </c>
      <c r="C5382" s="1" t="str">
        <f>IFERROR(__xludf.DUMMYFUNCTION("""COMPUTED_VALUE"""),"Emanuel Nuñez")</f>
        <v>Emanuel Nuñez</v>
      </c>
      <c r="D5382" s="1" t="str">
        <f>IFERROR(__xludf.DUMMYFUNCTION("""COMPUTED_VALUE"""),"Lentes de STOCK")</f>
        <v>Lentes de STOCK</v>
      </c>
      <c r="E5382" s="1" t="str">
        <f>IFERROR(__xludf.DUMMYFUNCTION("""COMPUTED_VALUE"""),"Online ADMIN.")</f>
        <v>Online ADMIN.</v>
      </c>
      <c r="F5382" s="1" t="str">
        <f t="shared" si="1"/>
        <v>Online </v>
      </c>
      <c r="G5382" s="1" t="str">
        <f t="shared" si="2"/>
        <v>ADMIN.</v>
      </c>
      <c r="H5382" s="1" t="str">
        <f>IFERROR(__xludf.DUMMYFUNCTION("""COMPUTED_VALUE"""),"18/4/2023, 17:00:00")</f>
        <v>18/4/2023, 17:00:00</v>
      </c>
      <c r="I5382" s="1" t="str">
        <f>IFERROR(__xludf.DUMMYFUNCTION("""COMPUTED_VALUE"""),"Recibido en Laboratorio")</f>
        <v>Recibido en Laboratorio</v>
      </c>
      <c r="J5382" s="1">
        <f t="shared" si="3"/>
        <v>2</v>
      </c>
      <c r="K5382" s="1" t="str">
        <f t="shared" si="4"/>
        <v>Nuestro Laboratorio esta trabajando en tus lentes, los entregaremos en la fecha acordada.</v>
      </c>
    </row>
    <row r="5383">
      <c r="A5383" s="1">
        <f>IFERROR(__xludf.DUMMYFUNCTION("""COMPUTED_VALUE"""),89948.0)</f>
        <v>89948</v>
      </c>
      <c r="B5383" s="5">
        <f>IFERROR(__xludf.DUMMYFUNCTION("""COMPUTED_VALUE"""),45029.689913043985)</f>
        <v>45029.68991</v>
      </c>
      <c r="C5383" s="1" t="str">
        <f>IFERROR(__xludf.DUMMYFUNCTION("""COMPUTED_VALUE"""),"CANTARUTTI MARIA ANGELICA")</f>
        <v>CANTARUTTI MARIA ANGELICA</v>
      </c>
      <c r="D5383" s="1" t="str">
        <f>IFERROR(__xludf.DUMMYFUNCTION("""COMPUTED_VALUE"""),"Lentes de STOCK")</f>
        <v>Lentes de STOCK</v>
      </c>
      <c r="E5383" s="1" t="str">
        <f>IFERROR(__xludf.DUMMYFUNCTION("""COMPUTED_VALUE"""),"ARTIGAS Roció")</f>
        <v>ARTIGAS Roció</v>
      </c>
      <c r="F5383" s="1" t="str">
        <f t="shared" si="1"/>
        <v>ARTIGAS </v>
      </c>
      <c r="G5383" s="1" t="str">
        <f t="shared" si="2"/>
        <v>Roció</v>
      </c>
      <c r="H5383" s="1" t="str">
        <f>IFERROR(__xludf.DUMMYFUNCTION("""COMPUTED_VALUE"""),"21/4/2023, 17:00:00")</f>
        <v>21/4/2023, 17:00:00</v>
      </c>
      <c r="I5383" s="1" t="str">
        <f>IFERROR(__xludf.DUMMYFUNCTION("""COMPUTED_VALUE"""),"Recibido en Laboratorio")</f>
        <v>Recibido en Laboratorio</v>
      </c>
      <c r="J5383" s="1">
        <f t="shared" si="3"/>
        <v>2</v>
      </c>
      <c r="K5383" s="1" t="str">
        <f t="shared" si="4"/>
        <v>Nuestro Laboratorio esta trabajando en tus lentes, los entregaremos en la fecha acordada.</v>
      </c>
    </row>
    <row r="5384">
      <c r="A5384" s="1">
        <f>IFERROR(__xludf.DUMMYFUNCTION("""COMPUTED_VALUE"""),89949.0)</f>
        <v>89949</v>
      </c>
      <c r="B5384" s="5">
        <f>IFERROR(__xludf.DUMMYFUNCTION("""COMPUTED_VALUE"""),45029.74499875)</f>
        <v>45029.745</v>
      </c>
      <c r="C5384" s="1" t="str">
        <f>IFERROR(__xludf.DUMMYFUNCTION("""COMPUTED_VALUE"""),"PALACIOS MAXIMILIANO ")</f>
        <v>PALACIOS MAXIMILIANO </v>
      </c>
      <c r="D5384" s="1" t="str">
        <f>IFERROR(__xludf.DUMMYFUNCTION("""COMPUTED_VALUE"""),"Lentes de STOCK")</f>
        <v>Lentes de STOCK</v>
      </c>
      <c r="E5384" s="1" t="str">
        <f>IFERROR(__xludf.DUMMYFUNCTION("""COMPUTED_VALUE"""),"RIVADAVIA Luciana")</f>
        <v>RIVADAVIA Luciana</v>
      </c>
      <c r="F5384" s="1" t="str">
        <f t="shared" si="1"/>
        <v>RIVADAVIA </v>
      </c>
      <c r="G5384" s="1" t="str">
        <f t="shared" si="2"/>
        <v>Luciana</v>
      </c>
      <c r="H5384" s="1" t="str">
        <f>IFERROR(__xludf.DUMMYFUNCTION("""COMPUTED_VALUE"""),"20/4/2023, 17:02:00")</f>
        <v>20/4/2023, 17:02:00</v>
      </c>
      <c r="I5384" s="1" t="str">
        <f>IFERROR(__xludf.DUMMYFUNCTION("""COMPUTED_VALUE"""),"Completado en SUCURSAL")</f>
        <v>Completado en SUCURSAL</v>
      </c>
      <c r="J5384" s="1">
        <f t="shared" si="3"/>
        <v>5</v>
      </c>
      <c r="K5384" s="1" t="str">
        <f t="shared" si="4"/>
        <v>Tus Lentes estan LISTAS PARA ENTREGAR, te esperamos.</v>
      </c>
    </row>
    <row r="5385">
      <c r="A5385" s="1">
        <f>IFERROR(__xludf.DUMMYFUNCTION("""COMPUTED_VALUE"""),89950.0)</f>
        <v>89950</v>
      </c>
      <c r="B5385" s="5">
        <f>IFERROR(__xludf.DUMMYFUNCTION("""COMPUTED_VALUE"""),45029.74797277778)</f>
        <v>45029.74797</v>
      </c>
      <c r="C5385" s="1" t="str">
        <f>IFERROR(__xludf.DUMMYFUNCTION("""COMPUTED_VALUE"""),"OCHOA LILIANA")</f>
        <v>OCHOA LILIANA</v>
      </c>
      <c r="D5385" s="1" t="str">
        <f>IFERROR(__xludf.DUMMYFUNCTION("""COMPUTED_VALUE"""),"Lentes de STOCK")</f>
        <v>Lentes de STOCK</v>
      </c>
      <c r="E5385" s="1" t="str">
        <f>IFERROR(__xludf.DUMMYFUNCTION("""COMPUTED_VALUE"""),"ARTIGAS Ivana P.")</f>
        <v>ARTIGAS Ivana P.</v>
      </c>
      <c r="F5385" s="1" t="str">
        <f t="shared" si="1"/>
        <v>ARTIGAS </v>
      </c>
      <c r="G5385" s="1" t="str">
        <f t="shared" si="2"/>
        <v>Ivana P.</v>
      </c>
      <c r="H5385" s="1" t="str">
        <f>IFERROR(__xludf.DUMMYFUNCTION("""COMPUTED_VALUE"""),"19/4/2023, 17:00:00")</f>
        <v>19/4/2023, 17:00:00</v>
      </c>
      <c r="I5385" s="1" t="str">
        <f>IFERROR(__xludf.DUMMYFUNCTION("""COMPUTED_VALUE"""),"Completado en SUCURSAL")</f>
        <v>Completado en SUCURSAL</v>
      </c>
      <c r="J5385" s="1">
        <f t="shared" si="3"/>
        <v>5</v>
      </c>
      <c r="K5385" s="1" t="str">
        <f t="shared" si="4"/>
        <v>Tus Lentes estan LISTAS PARA ENTREGAR, te esperamos.</v>
      </c>
    </row>
    <row r="5386">
      <c r="A5386" s="1">
        <f>IFERROR(__xludf.DUMMYFUNCTION("""COMPUTED_VALUE"""),89951.0)</f>
        <v>89951</v>
      </c>
      <c r="B5386" s="5">
        <f>IFERROR(__xludf.DUMMYFUNCTION("""COMPUTED_VALUE"""),45029.75673042824)</f>
        <v>45029.75673</v>
      </c>
      <c r="C5386" s="1" t="str">
        <f>IFERROR(__xludf.DUMMYFUNCTION("""COMPUTED_VALUE"""),"GUIÑAZU OSCAR EDUARDO")</f>
        <v>GUIÑAZU OSCAR EDUARDO</v>
      </c>
      <c r="D5386" s="1" t="str">
        <f>IFERROR(__xludf.DUMMYFUNCTION("""COMPUTED_VALUE"""),"Lentes de STOCK")</f>
        <v>Lentes de STOCK</v>
      </c>
      <c r="E5386" s="1" t="str">
        <f>IFERROR(__xludf.DUMMYFUNCTION("""COMPUTED_VALUE"""),"RIVADAVIA Christian C.")</f>
        <v>RIVADAVIA Christian C.</v>
      </c>
      <c r="F5386" s="1" t="str">
        <f t="shared" si="1"/>
        <v>RIVADAVIA </v>
      </c>
      <c r="G5386" s="1" t="str">
        <f t="shared" si="2"/>
        <v>Christian C.</v>
      </c>
      <c r="H5386" s="1" t="str">
        <f>IFERROR(__xludf.DUMMYFUNCTION("""COMPUTED_VALUE"""),"20/4/2023, 17:00:00")</f>
        <v>20/4/2023, 17:00:00</v>
      </c>
      <c r="I5386" s="1" t="str">
        <f>IFERROR(__xludf.DUMMYFUNCTION("""COMPUTED_VALUE"""),"Completado en SUCURSAL")</f>
        <v>Completado en SUCURSAL</v>
      </c>
      <c r="J5386" s="1">
        <f t="shared" si="3"/>
        <v>5</v>
      </c>
      <c r="K5386" s="1" t="str">
        <f t="shared" si="4"/>
        <v>Tus Lentes estan LISTAS PARA ENTREGAR, te esperamos.</v>
      </c>
    </row>
    <row r="5387">
      <c r="A5387" s="1">
        <f>IFERROR(__xludf.DUMMYFUNCTION("""COMPUTED_VALUE"""),89952.0)</f>
        <v>89952</v>
      </c>
      <c r="B5387" s="5">
        <f>IFERROR(__xludf.DUMMYFUNCTION("""COMPUTED_VALUE"""),45029.75991349537)</f>
        <v>45029.75991</v>
      </c>
      <c r="C5387" s="1" t="str">
        <f>IFERROR(__xludf.DUMMYFUNCTION("""COMPUTED_VALUE"""),"GUEVARA ROSANA")</f>
        <v>GUEVARA ROSANA</v>
      </c>
      <c r="D5387" s="1" t="str">
        <f>IFERROR(__xludf.DUMMYFUNCTION("""COMPUTED_VALUE"""),"Lentes MULTIFOCALES")</f>
        <v>Lentes MULTIFOCALES</v>
      </c>
      <c r="E5387" s="1" t="str">
        <f>IFERROR(__xludf.DUMMYFUNCTION("""COMPUTED_VALUE"""),"RIVADAVIA Santiago LOPEZ")</f>
        <v>RIVADAVIA Santiago LOPEZ</v>
      </c>
      <c r="F5387" s="1" t="str">
        <f t="shared" si="1"/>
        <v>RIVADAVIA </v>
      </c>
      <c r="G5387" s="1" t="str">
        <f t="shared" si="2"/>
        <v>Santiago LOPEZ</v>
      </c>
      <c r="H5387" s="1" t="str">
        <f>IFERROR(__xludf.DUMMYFUNCTION("""COMPUTED_VALUE"""),"28/4/2023, 17:00:00")</f>
        <v>28/4/2023, 17:00:00</v>
      </c>
      <c r="I5387" s="1"/>
      <c r="J5387" s="1">
        <f t="shared" si="3"/>
        <v>0</v>
      </c>
      <c r="K5387" s="1" t="str">
        <f t="shared" si="4"/>
        <v/>
      </c>
    </row>
    <row r="5388">
      <c r="A5388" s="1">
        <f>IFERROR(__xludf.DUMMYFUNCTION("""COMPUTED_VALUE"""),89953.0)</f>
        <v>89953</v>
      </c>
      <c r="B5388" s="5">
        <f>IFERROR(__xludf.DUMMYFUNCTION("""COMPUTED_VALUE"""),45029.77153479167)</f>
        <v>45029.77153</v>
      </c>
      <c r="C5388" s="1" t="str">
        <f>IFERROR(__xludf.DUMMYFUNCTION("""COMPUTED_VALUE"""),"COLAN ROCIO")</f>
        <v>COLAN ROCIO</v>
      </c>
      <c r="D5388" s="1" t="str">
        <f>IFERROR(__xludf.DUMMYFUNCTION("""COMPUTED_VALUE"""),"Lentes de STOCK")</f>
        <v>Lentes de STOCK</v>
      </c>
      <c r="E5388" s="1" t="str">
        <f>IFERROR(__xludf.DUMMYFUNCTION("""COMPUTED_VALUE"""),"ARTIGAS Ivana P.")</f>
        <v>ARTIGAS Ivana P.</v>
      </c>
      <c r="F5388" s="1" t="str">
        <f t="shared" si="1"/>
        <v>ARTIGAS </v>
      </c>
      <c r="G5388" s="1" t="str">
        <f t="shared" si="2"/>
        <v>Ivana P.</v>
      </c>
      <c r="H5388" s="1" t="str">
        <f>IFERROR(__xludf.DUMMYFUNCTION("""COMPUTED_VALUE"""),"19/4/2023, 17:00:00")</f>
        <v>19/4/2023, 17:00:00</v>
      </c>
      <c r="I5388" s="1" t="str">
        <f>IFERROR(__xludf.DUMMYFUNCTION("""COMPUTED_VALUE"""),"Completado en SUCURSAL")</f>
        <v>Completado en SUCURSAL</v>
      </c>
      <c r="J5388" s="1">
        <f t="shared" si="3"/>
        <v>5</v>
      </c>
      <c r="K5388" s="1" t="str">
        <f t="shared" si="4"/>
        <v>Tus Lentes estan LISTAS PARA ENTREGAR, te esperamos.</v>
      </c>
    </row>
    <row r="5389">
      <c r="A5389" s="1">
        <f>IFERROR(__xludf.DUMMYFUNCTION("""COMPUTED_VALUE"""),89954.0)</f>
        <v>89954</v>
      </c>
      <c r="B5389" s="5">
        <f>IFERROR(__xludf.DUMMYFUNCTION("""COMPUTED_VALUE"""),45029.7721527199)</f>
        <v>45029.77215</v>
      </c>
      <c r="C5389" s="1" t="str">
        <f>IFERROR(__xludf.DUMMYFUNCTION("""COMPUTED_VALUE"""),"TORRES LEONARDO FABIAN")</f>
        <v>TORRES LEONARDO FABIAN</v>
      </c>
      <c r="D5389" s="1" t="str">
        <f>IFERROR(__xludf.DUMMYFUNCTION("""COMPUTED_VALUE"""),"Lentes de STOCK")</f>
        <v>Lentes de STOCK</v>
      </c>
      <c r="E5389" s="1" t="str">
        <f>IFERROR(__xludf.DUMMYFUNCTION("""COMPUTED_VALUE"""),"RIVADAVIA Luciana")</f>
        <v>RIVADAVIA Luciana</v>
      </c>
      <c r="F5389" s="1" t="str">
        <f t="shared" si="1"/>
        <v>RIVADAVIA </v>
      </c>
      <c r="G5389" s="1" t="str">
        <f t="shared" si="2"/>
        <v>Luciana</v>
      </c>
      <c r="H5389" s="1" t="str">
        <f>IFERROR(__xludf.DUMMYFUNCTION("""COMPUTED_VALUE"""),"21/4/2023, 17:00:00")</f>
        <v>21/4/2023, 17:00:00</v>
      </c>
      <c r="I5389" s="1" t="str">
        <f>IFERROR(__xludf.DUMMYFUNCTION("""COMPUTED_VALUE"""),"Recibido en Laboratorio")</f>
        <v>Recibido en Laboratorio</v>
      </c>
      <c r="J5389" s="1">
        <f t="shared" si="3"/>
        <v>2</v>
      </c>
      <c r="K5389" s="1" t="str">
        <f t="shared" si="4"/>
        <v>Nuestro Laboratorio esta trabajando en tus lentes, los entregaremos en la fecha acordada.</v>
      </c>
    </row>
    <row r="5390">
      <c r="A5390" s="1">
        <f>IFERROR(__xludf.DUMMYFUNCTION("""COMPUTED_VALUE"""),89955.0)</f>
        <v>89955</v>
      </c>
      <c r="B5390" s="5">
        <f>IFERROR(__xludf.DUMMYFUNCTION("""COMPUTED_VALUE"""),45029.77239405093)</f>
        <v>45029.77239</v>
      </c>
      <c r="C5390" s="1" t="str">
        <f>IFERROR(__xludf.DUMMYFUNCTION("""COMPUTED_VALUE"""),"VIDELA GRACIELA DELICIA")</f>
        <v>VIDELA GRACIELA DELICIA</v>
      </c>
      <c r="D5390" s="1" t="str">
        <f>IFERROR(__xludf.DUMMYFUNCTION("""COMPUTED_VALUE"""),"Lentes de STOCK")</f>
        <v>Lentes de STOCK</v>
      </c>
      <c r="E5390" s="1" t="str">
        <f>IFERROR(__xludf.DUMMYFUNCTION("""COMPUTED_VALUE"""),"ARTIGAS Roció")</f>
        <v>ARTIGAS Roció</v>
      </c>
      <c r="F5390" s="1" t="str">
        <f t="shared" si="1"/>
        <v>ARTIGAS </v>
      </c>
      <c r="G5390" s="1" t="str">
        <f t="shared" si="2"/>
        <v>Roció</v>
      </c>
      <c r="H5390" s="1" t="str">
        <f>IFERROR(__xludf.DUMMYFUNCTION("""COMPUTED_VALUE"""),"21/4/2023, 17:00:00")</f>
        <v>21/4/2023, 17:00:00</v>
      </c>
      <c r="I5390" s="1" t="str">
        <f>IFERROR(__xludf.DUMMYFUNCTION("""COMPUTED_VALUE"""),"Recibido en Laboratorio")</f>
        <v>Recibido en Laboratorio</v>
      </c>
      <c r="J5390" s="1">
        <f t="shared" si="3"/>
        <v>2</v>
      </c>
      <c r="K5390" s="1" t="str">
        <f t="shared" si="4"/>
        <v>Nuestro Laboratorio esta trabajando en tus lentes, los entregaremos en la fecha acordada.</v>
      </c>
    </row>
    <row r="5391">
      <c r="A5391" s="1">
        <f>IFERROR(__xludf.DUMMYFUNCTION("""COMPUTED_VALUE"""),89956.0)</f>
        <v>89956</v>
      </c>
      <c r="B5391" s="5">
        <f>IFERROR(__xludf.DUMMYFUNCTION("""COMPUTED_VALUE"""),45029.77925475694)</f>
        <v>45029.77925</v>
      </c>
      <c r="C5391" s="1" t="str">
        <f>IFERROR(__xludf.DUMMYFUNCTION("""COMPUTED_VALUE"""),"LUCERO JOHANA YANINA")</f>
        <v>LUCERO JOHANA YANINA</v>
      </c>
      <c r="D5391" s="1" t="str">
        <f>IFERROR(__xludf.DUMMYFUNCTION("""COMPUTED_VALUE"""),"Lentes de STOCK")</f>
        <v>Lentes de STOCK</v>
      </c>
      <c r="E5391" s="1" t="str">
        <f>IFERROR(__xludf.DUMMYFUNCTION("""COMPUTED_VALUE"""),"RIVADAVIA Christian C.")</f>
        <v>RIVADAVIA Christian C.</v>
      </c>
      <c r="F5391" s="1" t="str">
        <f t="shared" si="1"/>
        <v>RIVADAVIA </v>
      </c>
      <c r="G5391" s="1" t="str">
        <f t="shared" si="2"/>
        <v>Christian C.</v>
      </c>
      <c r="H5391" s="1" t="str">
        <f>IFERROR(__xludf.DUMMYFUNCTION("""COMPUTED_VALUE"""),"20/4/2023, 17:00:00")</f>
        <v>20/4/2023, 17:00:00</v>
      </c>
      <c r="I5391" s="1" t="str">
        <f>IFERROR(__xludf.DUMMYFUNCTION("""COMPUTED_VALUE"""),"Recibido en Laboratorio")</f>
        <v>Recibido en Laboratorio</v>
      </c>
      <c r="J5391" s="1">
        <f t="shared" si="3"/>
        <v>2</v>
      </c>
      <c r="K5391" s="1" t="str">
        <f t="shared" si="4"/>
        <v>Nuestro Laboratorio esta trabajando en tus lentes, los entregaremos en la fecha acordada.</v>
      </c>
    </row>
    <row r="5392">
      <c r="A5392" s="1">
        <f>IFERROR(__xludf.DUMMYFUNCTION("""COMPUTED_VALUE"""),89957.0)</f>
        <v>89957</v>
      </c>
      <c r="B5392" s="5">
        <f>IFERROR(__xludf.DUMMYFUNCTION("""COMPUTED_VALUE"""),45029.779322835646)</f>
        <v>45029.77932</v>
      </c>
      <c r="C5392" s="1" t="str">
        <f>IFERROR(__xludf.DUMMYFUNCTION("""COMPUTED_VALUE"""),"FLORES CLAUDIA")</f>
        <v>FLORES CLAUDIA</v>
      </c>
      <c r="D5392" s="1" t="str">
        <f>IFERROR(__xludf.DUMMYFUNCTION("""COMPUTED_VALUE"""),"Lentes de STOCK")</f>
        <v>Lentes de STOCK</v>
      </c>
      <c r="E5392" s="1" t="str">
        <f>IFERROR(__xludf.DUMMYFUNCTION("""COMPUTED_VALUE"""),"RIVADAVIA Christian C.")</f>
        <v>RIVADAVIA Christian C.</v>
      </c>
      <c r="F5392" s="1" t="str">
        <f t="shared" si="1"/>
        <v>RIVADAVIA </v>
      </c>
      <c r="G5392" s="1" t="str">
        <f t="shared" si="2"/>
        <v>Christian C.</v>
      </c>
      <c r="H5392" s="1" t="str">
        <f>IFERROR(__xludf.DUMMYFUNCTION("""COMPUTED_VALUE"""),"20/4/2023, 17:00:00")</f>
        <v>20/4/2023, 17:00:00</v>
      </c>
      <c r="I5392" s="1" t="str">
        <f>IFERROR(__xludf.DUMMYFUNCTION("""COMPUTED_VALUE"""),"Recibido en Laboratorio")</f>
        <v>Recibido en Laboratorio</v>
      </c>
      <c r="J5392" s="1">
        <f t="shared" si="3"/>
        <v>2</v>
      </c>
      <c r="K5392" s="1" t="str">
        <f t="shared" si="4"/>
        <v>Nuestro Laboratorio esta trabajando en tus lentes, los entregaremos en la fecha acordada.</v>
      </c>
    </row>
    <row r="5393">
      <c r="A5393" s="1">
        <f>IFERROR(__xludf.DUMMYFUNCTION("""COMPUTED_VALUE"""),89958.0)</f>
        <v>89958</v>
      </c>
      <c r="B5393" s="5">
        <f>IFERROR(__xludf.DUMMYFUNCTION("""COMPUTED_VALUE"""),45029.78703236111)</f>
        <v>45029.78703</v>
      </c>
      <c r="C5393" s="1" t="str">
        <f>IFERROR(__xludf.DUMMYFUNCTION("""COMPUTED_VALUE"""),"GODOY RAFAEL")</f>
        <v>GODOY RAFAEL</v>
      </c>
      <c r="D5393" s="1" t="str">
        <f>IFERROR(__xludf.DUMMYFUNCTION("""COMPUTED_VALUE"""),"Lentes de STOCK")</f>
        <v>Lentes de STOCK</v>
      </c>
      <c r="E5393" s="1" t="str">
        <f>IFERROR(__xludf.DUMMYFUNCTION("""COMPUTED_VALUE"""),"RIVADAVIA Santiago LOPEZ")</f>
        <v>RIVADAVIA Santiago LOPEZ</v>
      </c>
      <c r="F5393" s="1" t="str">
        <f t="shared" si="1"/>
        <v>RIVADAVIA </v>
      </c>
      <c r="G5393" s="1" t="str">
        <f t="shared" si="2"/>
        <v>Santiago LOPEZ</v>
      </c>
      <c r="H5393" s="1" t="str">
        <f>IFERROR(__xludf.DUMMYFUNCTION("""COMPUTED_VALUE"""),"18/4/2023, 17:00:00")</f>
        <v>18/4/2023, 17:00:00</v>
      </c>
      <c r="I5393" s="1" t="str">
        <f>IFERROR(__xludf.DUMMYFUNCTION("""COMPUTED_VALUE"""),"Completado en SUCURSAL")</f>
        <v>Completado en SUCURSAL</v>
      </c>
      <c r="J5393" s="1">
        <f t="shared" si="3"/>
        <v>5</v>
      </c>
      <c r="K5393" s="1" t="str">
        <f t="shared" si="4"/>
        <v>Tus Lentes estan LISTAS PARA ENTREGAR, te esperamos.</v>
      </c>
    </row>
    <row r="5394">
      <c r="A5394" s="1">
        <f>IFERROR(__xludf.DUMMYFUNCTION("""COMPUTED_VALUE"""),89959.0)</f>
        <v>89959</v>
      </c>
      <c r="B5394" s="5">
        <f>IFERROR(__xludf.DUMMYFUNCTION("""COMPUTED_VALUE"""),45029.78735511574)</f>
        <v>45029.78736</v>
      </c>
      <c r="C5394" s="1" t="str">
        <f>IFERROR(__xludf.DUMMYFUNCTION("""COMPUTED_VALUE"""),"ALCARAZ DAMIAN ")</f>
        <v>ALCARAZ DAMIAN </v>
      </c>
      <c r="D5394" s="1" t="str">
        <f>IFERROR(__xludf.DUMMYFUNCTION("""COMPUTED_VALUE"""),"Lentes de STOCK")</f>
        <v>Lentes de STOCK</v>
      </c>
      <c r="E5394" s="1" t="str">
        <f>IFERROR(__xludf.DUMMYFUNCTION("""COMPUTED_VALUE"""),"RIVADAVIA Luciana")</f>
        <v>RIVADAVIA Luciana</v>
      </c>
      <c r="F5394" s="1" t="str">
        <f t="shared" si="1"/>
        <v>RIVADAVIA </v>
      </c>
      <c r="G5394" s="1" t="str">
        <f t="shared" si="2"/>
        <v>Luciana</v>
      </c>
      <c r="H5394" s="1" t="str">
        <f>IFERROR(__xludf.DUMMYFUNCTION("""COMPUTED_VALUE"""),"20/4/2023, 17:00:00")</f>
        <v>20/4/2023, 17:00:00</v>
      </c>
      <c r="I5394" s="1" t="str">
        <f>IFERROR(__xludf.DUMMYFUNCTION("""COMPUTED_VALUE"""),"Completado en SUCURSAL")</f>
        <v>Completado en SUCURSAL</v>
      </c>
      <c r="J5394" s="1">
        <f t="shared" si="3"/>
        <v>5</v>
      </c>
      <c r="K5394" s="1" t="str">
        <f t="shared" si="4"/>
        <v>Tus Lentes estan LISTAS PARA ENTREGAR, te esperamos.</v>
      </c>
    </row>
    <row r="5395">
      <c r="A5395" s="1">
        <f>IFERROR(__xludf.DUMMYFUNCTION("""COMPUTED_VALUE"""),89960.0)</f>
        <v>89960</v>
      </c>
      <c r="B5395" s="5">
        <f>IFERROR(__xludf.DUMMYFUNCTION("""COMPUTED_VALUE"""),45029.80097282407)</f>
        <v>45029.80097</v>
      </c>
      <c r="C5395" s="1" t="str">
        <f>IFERROR(__xludf.DUMMYFUNCTION("""COMPUTED_VALUE"""),"castro  milagros")</f>
        <v>castro  milagros</v>
      </c>
      <c r="D5395" s="1" t="str">
        <f>IFERROR(__xludf.DUMMYFUNCTION("""COMPUTED_VALUE"""),"Lentes de STOCK")</f>
        <v>Lentes de STOCK</v>
      </c>
      <c r="E5395" s="1" t="str">
        <f>IFERROR(__xludf.DUMMYFUNCTION("""COMPUTED_VALUE"""),"RIVADAVIA Santiago LOPEZ")</f>
        <v>RIVADAVIA Santiago LOPEZ</v>
      </c>
      <c r="F5395" s="1" t="str">
        <f t="shared" si="1"/>
        <v>RIVADAVIA </v>
      </c>
      <c r="G5395" s="1" t="str">
        <f t="shared" si="2"/>
        <v>Santiago LOPEZ</v>
      </c>
      <c r="H5395" s="1" t="str">
        <f>IFERROR(__xludf.DUMMYFUNCTION("""COMPUTED_VALUE"""),"18/4/2023, 17:00:00")</f>
        <v>18/4/2023, 17:00:00</v>
      </c>
      <c r="I5395" s="1" t="str">
        <f>IFERROR(__xludf.DUMMYFUNCTION("""COMPUTED_VALUE"""),"Completado en SUCURSAL")</f>
        <v>Completado en SUCURSAL</v>
      </c>
      <c r="J5395" s="1">
        <f t="shared" si="3"/>
        <v>5</v>
      </c>
      <c r="K5395" s="1" t="str">
        <f t="shared" si="4"/>
        <v>Tus Lentes estan LISTAS PARA ENTREGAR, te esperamos.</v>
      </c>
    </row>
    <row r="5396">
      <c r="A5396" s="1">
        <f>IFERROR(__xludf.DUMMYFUNCTION("""COMPUTED_VALUE"""),89961.0)</f>
        <v>89961</v>
      </c>
      <c r="B5396" s="5">
        <f>IFERROR(__xludf.DUMMYFUNCTION("""COMPUTED_VALUE"""),45029.80226512731)</f>
        <v>45029.80227</v>
      </c>
      <c r="C5396" s="1" t="str">
        <f>IFERROR(__xludf.DUMMYFUNCTION("""COMPUTED_VALUE"""),"zapata aldana")</f>
        <v>zapata aldana</v>
      </c>
      <c r="D5396" s="1" t="str">
        <f>IFERROR(__xludf.DUMMYFUNCTION("""COMPUTED_VALUE"""),"Lentes de STOCK")</f>
        <v>Lentes de STOCK</v>
      </c>
      <c r="E5396" s="1" t="str">
        <f>IFERROR(__xludf.DUMMYFUNCTION("""COMPUTED_VALUE"""),"RIVADAVIA Santiago LOPEZ")</f>
        <v>RIVADAVIA Santiago LOPEZ</v>
      </c>
      <c r="F5396" s="1" t="str">
        <f t="shared" si="1"/>
        <v>RIVADAVIA </v>
      </c>
      <c r="G5396" s="1" t="str">
        <f t="shared" si="2"/>
        <v>Santiago LOPEZ</v>
      </c>
      <c r="H5396" s="1" t="str">
        <f>IFERROR(__xludf.DUMMYFUNCTION("""COMPUTED_VALUE"""),"18/4/2023, 17:00:00")</f>
        <v>18/4/2023, 17:00:00</v>
      </c>
      <c r="I5396" s="1" t="str">
        <f>IFERROR(__xludf.DUMMYFUNCTION("""COMPUTED_VALUE"""),"Recibido en Laboratorio")</f>
        <v>Recibido en Laboratorio</v>
      </c>
      <c r="J5396" s="1">
        <f t="shared" si="3"/>
        <v>2</v>
      </c>
      <c r="K5396" s="1" t="str">
        <f t="shared" si="4"/>
        <v>Nuestro Laboratorio esta trabajando en tus lentes, los entregaremos en la fecha acordada.</v>
      </c>
    </row>
    <row r="5397">
      <c r="A5397" s="1">
        <f>IFERROR(__xludf.DUMMYFUNCTION("""COMPUTED_VALUE"""),89962.0)</f>
        <v>89962</v>
      </c>
      <c r="B5397" s="5">
        <f>IFERROR(__xludf.DUMMYFUNCTION("""COMPUTED_VALUE"""),45029.80558583333)</f>
        <v>45029.80559</v>
      </c>
      <c r="C5397" s="1" t="str">
        <f>IFERROR(__xludf.DUMMYFUNCTION("""COMPUTED_VALUE"""),"ESCUDERO, ANA CLARA ")</f>
        <v>ESCUDERO, ANA CLARA </v>
      </c>
      <c r="D5397" s="1" t="str">
        <f>IFERROR(__xludf.DUMMYFUNCTION("""COMPUTED_VALUE"""),"Lentes de STOCK")</f>
        <v>Lentes de STOCK</v>
      </c>
      <c r="E5397" s="1" t="str">
        <f>IFERROR(__xludf.DUMMYFUNCTION("""COMPUTED_VALUE"""),"RIVADAVIA Santiago LOPEZ")</f>
        <v>RIVADAVIA Santiago LOPEZ</v>
      </c>
      <c r="F5397" s="1" t="str">
        <f t="shared" si="1"/>
        <v>RIVADAVIA </v>
      </c>
      <c r="G5397" s="1" t="str">
        <f t="shared" si="2"/>
        <v>Santiago LOPEZ</v>
      </c>
      <c r="H5397" s="1" t="str">
        <f>IFERROR(__xludf.DUMMYFUNCTION("""COMPUTED_VALUE"""),"18/4/2023, 17:00:00")</f>
        <v>18/4/2023, 17:00:00</v>
      </c>
      <c r="I5397" s="1" t="str">
        <f>IFERROR(__xludf.DUMMYFUNCTION("""COMPUTED_VALUE"""),"Completado en SUCURSAL")</f>
        <v>Completado en SUCURSAL</v>
      </c>
      <c r="J5397" s="1">
        <f t="shared" si="3"/>
        <v>5</v>
      </c>
      <c r="K5397" s="1" t="str">
        <f t="shared" si="4"/>
        <v>Tus Lentes estan LISTAS PARA ENTREGAR, te esperamos.</v>
      </c>
    </row>
    <row r="5398">
      <c r="A5398" s="1">
        <f>IFERROR(__xludf.DUMMYFUNCTION("""COMPUTED_VALUE"""),89963.0)</f>
        <v>89963</v>
      </c>
      <c r="B5398" s="5">
        <f>IFERROR(__xludf.DUMMYFUNCTION("""COMPUTED_VALUE"""),45029.80679876157)</f>
        <v>45029.8068</v>
      </c>
      <c r="C5398" s="1" t="str">
        <f>IFERROR(__xludf.DUMMYFUNCTION("""COMPUTED_VALUE"""),"GARRIDO ELENA BEATRIZ")</f>
        <v>GARRIDO ELENA BEATRIZ</v>
      </c>
      <c r="D5398" s="1" t="str">
        <f>IFERROR(__xludf.DUMMYFUNCTION("""COMPUTED_VALUE"""),"Lentes de STOCK")</f>
        <v>Lentes de STOCK</v>
      </c>
      <c r="E5398" s="1" t="str">
        <f>IFERROR(__xludf.DUMMYFUNCTION("""COMPUTED_VALUE"""),"RIVADAVIA Christian C.")</f>
        <v>RIVADAVIA Christian C.</v>
      </c>
      <c r="F5398" s="1" t="str">
        <f t="shared" si="1"/>
        <v>RIVADAVIA </v>
      </c>
      <c r="G5398" s="1" t="str">
        <f t="shared" si="2"/>
        <v>Christian C.</v>
      </c>
      <c r="H5398" s="1" t="str">
        <f>IFERROR(__xludf.DUMMYFUNCTION("""COMPUTED_VALUE"""),"21/4/2023, 17:00:00")</f>
        <v>21/4/2023, 17:00:00</v>
      </c>
      <c r="I5398" s="1" t="str">
        <f>IFERROR(__xludf.DUMMYFUNCTION("""COMPUTED_VALUE"""),"Recibido en Laboratorio")</f>
        <v>Recibido en Laboratorio</v>
      </c>
      <c r="J5398" s="1">
        <f t="shared" si="3"/>
        <v>2</v>
      </c>
      <c r="K5398" s="1" t="str">
        <f t="shared" si="4"/>
        <v>Nuestro Laboratorio esta trabajando en tus lentes, los entregaremos en la fecha acordada.</v>
      </c>
    </row>
    <row r="5399">
      <c r="A5399" s="1">
        <f>IFERROR(__xludf.DUMMYFUNCTION("""COMPUTED_VALUE"""),89964.0)</f>
        <v>89964</v>
      </c>
      <c r="B5399" s="5">
        <f>IFERROR(__xludf.DUMMYFUNCTION("""COMPUTED_VALUE"""),45029.81235900463)</f>
        <v>45029.81236</v>
      </c>
      <c r="C5399" s="1" t="str">
        <f>IFERROR(__xludf.DUMMYFUNCTION("""COMPUTED_VALUE"""),"BARROSO ELDA ")</f>
        <v>BARROSO ELDA </v>
      </c>
      <c r="D5399" s="1" t="str">
        <f>IFERROR(__xludf.DUMMYFUNCTION("""COMPUTED_VALUE"""),"Lentes de STOCK")</f>
        <v>Lentes de STOCK</v>
      </c>
      <c r="E5399" s="1" t="str">
        <f>IFERROR(__xludf.DUMMYFUNCTION("""COMPUTED_VALUE"""),"RIVADAVIA Luciana")</f>
        <v>RIVADAVIA Luciana</v>
      </c>
      <c r="F5399" s="1" t="str">
        <f t="shared" si="1"/>
        <v>RIVADAVIA </v>
      </c>
      <c r="G5399" s="1" t="str">
        <f t="shared" si="2"/>
        <v>Luciana</v>
      </c>
      <c r="H5399" s="1" t="str">
        <f>IFERROR(__xludf.DUMMYFUNCTION("""COMPUTED_VALUE"""),"20/4/2023, 17:00:00")</f>
        <v>20/4/2023, 17:00:00</v>
      </c>
      <c r="I5399" s="1" t="str">
        <f>IFERROR(__xludf.DUMMYFUNCTION("""COMPUTED_VALUE"""),"Completado en SUCURSAL")</f>
        <v>Completado en SUCURSAL</v>
      </c>
      <c r="J5399" s="1">
        <f t="shared" si="3"/>
        <v>5</v>
      </c>
      <c r="K5399" s="1" t="str">
        <f t="shared" si="4"/>
        <v>Tus Lentes estan LISTAS PARA ENTREGAR, te esperamos.</v>
      </c>
    </row>
    <row r="5400">
      <c r="A5400" s="1">
        <f>IFERROR(__xludf.DUMMYFUNCTION("""COMPUTED_VALUE"""),89965.0)</f>
        <v>89965</v>
      </c>
      <c r="B5400" s="5">
        <f>IFERROR(__xludf.DUMMYFUNCTION("""COMPUTED_VALUE"""),45029.8237289699)</f>
        <v>45029.82373</v>
      </c>
      <c r="C5400" s="1" t="str">
        <f>IFERROR(__xludf.DUMMYFUNCTION("""COMPUTED_VALUE"""),"ROLDAN ISABELLA")</f>
        <v>ROLDAN ISABELLA</v>
      </c>
      <c r="D5400" s="1" t="str">
        <f>IFERROR(__xludf.DUMMYFUNCTION("""COMPUTED_VALUE"""),"Lentes de STOCK")</f>
        <v>Lentes de STOCK</v>
      </c>
      <c r="E5400" s="1" t="str">
        <f>IFERROR(__xludf.DUMMYFUNCTION("""COMPUTED_VALUE"""),"ARTIGAS Ivana P.")</f>
        <v>ARTIGAS Ivana P.</v>
      </c>
      <c r="F5400" s="1" t="str">
        <f t="shared" si="1"/>
        <v>ARTIGAS </v>
      </c>
      <c r="G5400" s="1" t="str">
        <f t="shared" si="2"/>
        <v>Ivana P.</v>
      </c>
      <c r="H5400" s="1" t="str">
        <f>IFERROR(__xludf.DUMMYFUNCTION("""COMPUTED_VALUE"""),"19/4/2023, 17:00:00")</f>
        <v>19/4/2023, 17:00:00</v>
      </c>
      <c r="I5400" s="1" t="str">
        <f>IFERROR(__xludf.DUMMYFUNCTION("""COMPUTED_VALUE"""),"Completado en SUCURSAL")</f>
        <v>Completado en SUCURSAL</v>
      </c>
      <c r="J5400" s="1">
        <f t="shared" si="3"/>
        <v>5</v>
      </c>
      <c r="K5400" s="1" t="str">
        <f t="shared" si="4"/>
        <v>Tus Lentes estan LISTAS PARA ENTREGAR, te esperamos.</v>
      </c>
    </row>
    <row r="5401">
      <c r="A5401" s="1">
        <f>IFERROR(__xludf.DUMMYFUNCTION("""COMPUTED_VALUE"""),89966.0)</f>
        <v>89966</v>
      </c>
      <c r="B5401" s="5">
        <f>IFERROR(__xludf.DUMMYFUNCTION("""COMPUTED_VALUE"""),45029.834846377315)</f>
        <v>45029.83485</v>
      </c>
      <c r="C5401" s="1" t="str">
        <f>IFERROR(__xludf.DUMMYFUNCTION("""COMPUTED_VALUE"""),"PASCUALE MELISA")</f>
        <v>PASCUALE MELISA</v>
      </c>
      <c r="D5401" s="1" t="str">
        <f>IFERROR(__xludf.DUMMYFUNCTION("""COMPUTED_VALUE"""),"Lentes de STOCK")</f>
        <v>Lentes de STOCK</v>
      </c>
      <c r="E5401" s="1" t="str">
        <f>IFERROR(__xludf.DUMMYFUNCTION("""COMPUTED_VALUE"""),"ARTIGAS Ivana P.")</f>
        <v>ARTIGAS Ivana P.</v>
      </c>
      <c r="F5401" s="1" t="str">
        <f t="shared" si="1"/>
        <v>ARTIGAS </v>
      </c>
      <c r="G5401" s="1" t="str">
        <f t="shared" si="2"/>
        <v>Ivana P.</v>
      </c>
      <c r="H5401" s="1" t="str">
        <f>IFERROR(__xludf.DUMMYFUNCTION("""COMPUTED_VALUE"""),"19/4/2023, 17:00:00")</f>
        <v>19/4/2023, 17:00:00</v>
      </c>
      <c r="I5401" s="1" t="str">
        <f>IFERROR(__xludf.DUMMYFUNCTION("""COMPUTED_VALUE"""),"Completado en SUCURSAL")</f>
        <v>Completado en SUCURSAL</v>
      </c>
      <c r="J5401" s="1">
        <f t="shared" si="3"/>
        <v>5</v>
      </c>
      <c r="K5401" s="1" t="str">
        <f t="shared" si="4"/>
        <v>Tus Lentes estan LISTAS PARA ENTREGAR, te esperamos.</v>
      </c>
    </row>
    <row r="5402" hidden="1">
      <c r="A5402" s="1">
        <f>IFERROR(__xludf.DUMMYFUNCTION("""COMPUTED_VALUE"""),89967.0)</f>
        <v>89967</v>
      </c>
      <c r="B5402" s="5">
        <f>IFERROR(__xludf.DUMMYFUNCTION("""COMPUTED_VALUE"""),45030.41298872685)</f>
        <v>45030.41299</v>
      </c>
      <c r="C5402" s="1" t="str">
        <f>IFERROR(__xludf.DUMMYFUNCTION("""COMPUTED_VALUE"""),"Martina Elizabeth")</f>
        <v>Martina Elizabeth</v>
      </c>
      <c r="D5402" s="1" t="str">
        <f>IFERROR(__xludf.DUMMYFUNCTION("""COMPUTED_VALUE"""),"Lentes MULTIFOCALES")</f>
        <v>Lentes MULTIFOCALES</v>
      </c>
      <c r="E5402" s="1" t="str">
        <f>IFERROR(__xludf.DUMMYFUNCTION("""COMPUTED_VALUE"""),"RIVADAVIA Santiago LOPEZ")</f>
        <v>RIVADAVIA Santiago LOPEZ</v>
      </c>
      <c r="F5402" s="1" t="str">
        <f t="shared" si="1"/>
        <v>RIVADAVIA </v>
      </c>
      <c r="G5402" s="1" t="str">
        <f t="shared" si="2"/>
        <v>Santiago LOPEZ</v>
      </c>
      <c r="H5402" s="1" t="str">
        <f>IFERROR(__xludf.DUMMYFUNCTION("""COMPUTED_VALUE"""),"27/4/2023, 17:00:00")</f>
        <v>27/4/2023, 17:00:00</v>
      </c>
      <c r="I5402" s="1" t="str">
        <f>IFERROR(__xludf.DUMMYFUNCTION("""COMPUTED_VALUE"""),"DEMORADO")</f>
        <v>DEMORADO</v>
      </c>
      <c r="J5402" s="1" t="str">
        <f t="shared" si="3"/>
        <v/>
      </c>
      <c r="K5402" s="1" t="str">
        <f t="shared" si="4"/>
        <v>Tuvimos una demora con tus lentes y no podremos entregarlo en las fecha acordada, estamos trabajando para terminarlos cuanto antes, te mantendremos al tanto, si es necesario contactanos via whatsapp.</v>
      </c>
    </row>
    <row r="5403">
      <c r="A5403" s="1">
        <f>IFERROR(__xludf.DUMMYFUNCTION("""COMPUTED_VALUE"""),89968.0)</f>
        <v>89968</v>
      </c>
      <c r="B5403" s="5">
        <f>IFERROR(__xludf.DUMMYFUNCTION("""COMPUTED_VALUE"""),45030.4155659838)</f>
        <v>45030.41557</v>
      </c>
      <c r="C5403" s="1" t="str">
        <f>IFERROR(__xludf.DUMMYFUNCTION("""COMPUTED_VALUE"""),"FLORES JULIO CESAR")</f>
        <v>FLORES JULIO CESAR</v>
      </c>
      <c r="D5403" s="1" t="str">
        <f>IFERROR(__xludf.DUMMYFUNCTION("""COMPUTED_VALUE"""),"Lentes de STOCK")</f>
        <v>Lentes de STOCK</v>
      </c>
      <c r="E5403" s="1" t="str">
        <f>IFERROR(__xludf.DUMMYFUNCTION("""COMPUTED_VALUE"""),"ARTIGAS Ivana P.")</f>
        <v>ARTIGAS Ivana P.</v>
      </c>
      <c r="F5403" s="1" t="str">
        <f t="shared" si="1"/>
        <v>ARTIGAS </v>
      </c>
      <c r="G5403" s="1" t="str">
        <f t="shared" si="2"/>
        <v>Ivana P.</v>
      </c>
      <c r="H5403" s="1" t="str">
        <f>IFERROR(__xludf.DUMMYFUNCTION("""COMPUTED_VALUE"""),"20/4/2023, 17:00:00")</f>
        <v>20/4/2023, 17:00:00</v>
      </c>
      <c r="I5403" s="1" t="str">
        <f>IFERROR(__xludf.DUMMYFUNCTION("""COMPUTED_VALUE"""),"Recibido en Laboratorio")</f>
        <v>Recibido en Laboratorio</v>
      </c>
      <c r="J5403" s="1">
        <f t="shared" si="3"/>
        <v>2</v>
      </c>
      <c r="K5403" s="1" t="str">
        <f t="shared" si="4"/>
        <v>Nuestro Laboratorio esta trabajando en tus lentes, los entregaremos en la fecha acordada.</v>
      </c>
    </row>
    <row r="5404">
      <c r="A5404" s="1">
        <f>IFERROR(__xludf.DUMMYFUNCTION("""COMPUTED_VALUE"""),89969.0)</f>
        <v>89969</v>
      </c>
      <c r="B5404" s="5">
        <f>IFERROR(__xludf.DUMMYFUNCTION("""COMPUTED_VALUE"""),45030.42315275463)</f>
        <v>45030.42315</v>
      </c>
      <c r="C5404" s="1" t="str">
        <f>IFERROR(__xludf.DUMMYFUNCTION("""COMPUTED_VALUE"""),"CARRIZO LISA NAIR")</f>
        <v>CARRIZO LISA NAIR</v>
      </c>
      <c r="D5404" s="1" t="str">
        <f>IFERROR(__xludf.DUMMYFUNCTION("""COMPUTED_VALUE"""),"Lentes de STOCK")</f>
        <v>Lentes de STOCK</v>
      </c>
      <c r="E5404" s="1" t="str">
        <f>IFERROR(__xludf.DUMMYFUNCTION("""COMPUTED_VALUE"""),"RIVADAVIA Christian C.")</f>
        <v>RIVADAVIA Christian C.</v>
      </c>
      <c r="F5404" s="1" t="str">
        <f t="shared" si="1"/>
        <v>RIVADAVIA </v>
      </c>
      <c r="G5404" s="1" t="str">
        <f t="shared" si="2"/>
        <v>Christian C.</v>
      </c>
      <c r="H5404" s="1" t="str">
        <f>IFERROR(__xludf.DUMMYFUNCTION("""COMPUTED_VALUE"""),"21/4/2023, 17:00:00")</f>
        <v>21/4/2023, 17:00:00</v>
      </c>
      <c r="I5404" s="1"/>
      <c r="J5404" s="1">
        <f t="shared" si="3"/>
        <v>0</v>
      </c>
      <c r="K5404" s="1" t="str">
        <f t="shared" si="4"/>
        <v/>
      </c>
    </row>
    <row r="5405">
      <c r="A5405" s="1">
        <f>IFERROR(__xludf.DUMMYFUNCTION("""COMPUTED_VALUE"""),89970.0)</f>
        <v>89970</v>
      </c>
      <c r="B5405" s="5">
        <f>IFERROR(__xludf.DUMMYFUNCTION("""COMPUTED_VALUE"""),45030.42815045139)</f>
        <v>45030.42815</v>
      </c>
      <c r="C5405" s="1" t="str">
        <f>IFERROR(__xludf.DUMMYFUNCTION("""COMPUTED_VALUE"""),"TORRES CECILIO HUGO")</f>
        <v>TORRES CECILIO HUGO</v>
      </c>
      <c r="D5405" s="1" t="str">
        <f>IFERROR(__xludf.DUMMYFUNCTION("""COMPUTED_VALUE"""),"Lentes de STOCK")</f>
        <v>Lentes de STOCK</v>
      </c>
      <c r="E5405" s="1" t="str">
        <f>IFERROR(__xludf.DUMMYFUNCTION("""COMPUTED_VALUE"""),"ARTIGAS Roció")</f>
        <v>ARTIGAS Roció</v>
      </c>
      <c r="F5405" s="1" t="str">
        <f t="shared" si="1"/>
        <v>ARTIGAS </v>
      </c>
      <c r="G5405" s="1" t="str">
        <f t="shared" si="2"/>
        <v>Roció</v>
      </c>
      <c r="H5405" s="1" t="str">
        <f>IFERROR(__xludf.DUMMYFUNCTION("""COMPUTED_VALUE"""),"21/4/2023, 17:00:00")</f>
        <v>21/4/2023, 17:00:00</v>
      </c>
      <c r="I5405" s="1" t="str">
        <f>IFERROR(__xludf.DUMMYFUNCTION("""COMPUTED_VALUE"""),"Recibido en Laboratorio")</f>
        <v>Recibido en Laboratorio</v>
      </c>
      <c r="J5405" s="1">
        <f t="shared" si="3"/>
        <v>2</v>
      </c>
      <c r="K5405" s="1" t="str">
        <f t="shared" si="4"/>
        <v>Nuestro Laboratorio esta trabajando en tus lentes, los entregaremos en la fecha acordada.</v>
      </c>
    </row>
    <row r="5406">
      <c r="A5406" s="1">
        <f>IFERROR(__xludf.DUMMYFUNCTION("""COMPUTED_VALUE"""),89971.0)</f>
        <v>89971</v>
      </c>
      <c r="B5406" s="5">
        <f>IFERROR(__xludf.DUMMYFUNCTION("""COMPUTED_VALUE"""),45030.43155944445)</f>
        <v>45030.43156</v>
      </c>
      <c r="C5406" s="1" t="str">
        <f>IFERROR(__xludf.DUMMYFUNCTION("""COMPUTED_VALUE"""),"LIU LI HUI AMANDA")</f>
        <v>LIU LI HUI AMANDA</v>
      </c>
      <c r="D5406" s="1" t="str">
        <f>IFERROR(__xludf.DUMMYFUNCTION("""COMPUTED_VALUE"""),"Lentes MULTIFOCALES")</f>
        <v>Lentes MULTIFOCALES</v>
      </c>
      <c r="E5406" s="1" t="str">
        <f>IFERROR(__xludf.DUMMYFUNCTION("""COMPUTED_VALUE"""),"RIVADAVIA Marcela L")</f>
        <v>RIVADAVIA Marcela L</v>
      </c>
      <c r="F5406" s="1" t="str">
        <f t="shared" si="1"/>
        <v>RIVADAVIA </v>
      </c>
      <c r="G5406" s="1" t="str">
        <f t="shared" si="2"/>
        <v>Marcela L</v>
      </c>
      <c r="H5406" s="1" t="str">
        <f>IFERROR(__xludf.DUMMYFUNCTION("""COMPUTED_VALUE"""),"28/4/2023, 17:00:00")</f>
        <v>28/4/2023, 17:00:00</v>
      </c>
      <c r="I5406" s="1" t="str">
        <f>IFERROR(__xludf.DUMMYFUNCTION("""COMPUTED_VALUE"""),"Recibido en Laboratorio")</f>
        <v>Recibido en Laboratorio</v>
      </c>
      <c r="J5406" s="1">
        <f t="shared" si="3"/>
        <v>2</v>
      </c>
      <c r="K5406" s="1" t="str">
        <f t="shared" si="4"/>
        <v>Nuestro Laboratorio esta trabajando en tus lentes, los entregaremos en la fecha acordada.</v>
      </c>
    </row>
    <row r="5407">
      <c r="A5407" s="1">
        <f>IFERROR(__xludf.DUMMYFUNCTION("""COMPUTED_VALUE"""),89972.0)</f>
        <v>89972</v>
      </c>
      <c r="B5407" s="5">
        <f>IFERROR(__xludf.DUMMYFUNCTION("""COMPUTED_VALUE"""),45030.43574237269)</f>
        <v>45030.43574</v>
      </c>
      <c r="C5407" s="1" t="str">
        <f>IFERROR(__xludf.DUMMYFUNCTION("""COMPUTED_VALUE"""),"QUIROGA MALVINA")</f>
        <v>QUIROGA MALVINA</v>
      </c>
      <c r="D5407" s="1" t="str">
        <f>IFERROR(__xludf.DUMMYFUNCTION("""COMPUTED_VALUE"""),"Lentes de STOCK")</f>
        <v>Lentes de STOCK</v>
      </c>
      <c r="E5407" s="1" t="str">
        <f>IFERROR(__xludf.DUMMYFUNCTION("""COMPUTED_VALUE"""),"RIVADAVIA Luciana")</f>
        <v>RIVADAVIA Luciana</v>
      </c>
      <c r="F5407" s="1" t="str">
        <f t="shared" si="1"/>
        <v>RIVADAVIA </v>
      </c>
      <c r="G5407" s="1" t="str">
        <f t="shared" si="2"/>
        <v>Luciana</v>
      </c>
      <c r="H5407" s="1" t="str">
        <f>IFERROR(__xludf.DUMMYFUNCTION("""COMPUTED_VALUE"""),"21/4/2023, 17:00:00")</f>
        <v>21/4/2023, 17:00:00</v>
      </c>
      <c r="I5407" s="1" t="str">
        <f>IFERROR(__xludf.DUMMYFUNCTION("""COMPUTED_VALUE"""),"Recibido en Laboratorio")</f>
        <v>Recibido en Laboratorio</v>
      </c>
      <c r="J5407" s="1">
        <f t="shared" si="3"/>
        <v>2</v>
      </c>
      <c r="K5407" s="1" t="str">
        <f t="shared" si="4"/>
        <v>Nuestro Laboratorio esta trabajando en tus lentes, los entregaremos en la fecha acordada.</v>
      </c>
    </row>
    <row r="5408">
      <c r="A5408" s="1">
        <f>IFERROR(__xludf.DUMMYFUNCTION("""COMPUTED_VALUE"""),89973.0)</f>
        <v>89973</v>
      </c>
      <c r="B5408" s="5">
        <f>IFERROR(__xludf.DUMMYFUNCTION("""COMPUTED_VALUE"""),45030.436588576384)</f>
        <v>45030.43659</v>
      </c>
      <c r="C5408" s="1" t="str">
        <f>IFERROR(__xludf.DUMMYFUNCTION("""COMPUTED_VALUE"""),"CHAVEZ UBALDO MARCELINO")</f>
        <v>CHAVEZ UBALDO MARCELINO</v>
      </c>
      <c r="D5408" s="1" t="str">
        <f>IFERROR(__xludf.DUMMYFUNCTION("""COMPUTED_VALUE"""),"Lentes BIFOCALES")</f>
        <v>Lentes BIFOCALES</v>
      </c>
      <c r="E5408" s="1" t="str">
        <f>IFERROR(__xludf.DUMMYFUNCTION("""COMPUTED_VALUE"""),"ARTIGAS Roció")</f>
        <v>ARTIGAS Roció</v>
      </c>
      <c r="F5408" s="1" t="str">
        <f t="shared" si="1"/>
        <v>ARTIGAS </v>
      </c>
      <c r="G5408" s="1" t="str">
        <f t="shared" si="2"/>
        <v>Roció</v>
      </c>
      <c r="H5408" s="1" t="str">
        <f>IFERROR(__xludf.DUMMYFUNCTION("""COMPUTED_VALUE"""),"24/4/2023, 17:00:00")</f>
        <v>24/4/2023, 17:00:00</v>
      </c>
      <c r="I5408" s="1" t="str">
        <f>IFERROR(__xludf.DUMMYFUNCTION("""COMPUTED_VALUE"""),"Recibido en Laboratorio")</f>
        <v>Recibido en Laboratorio</v>
      </c>
      <c r="J5408" s="1">
        <f t="shared" si="3"/>
        <v>2</v>
      </c>
      <c r="K5408" s="1" t="str">
        <f t="shared" si="4"/>
        <v>Nuestro Laboratorio esta trabajando en tus lentes, los entregaremos en la fecha acordada.</v>
      </c>
    </row>
    <row r="5409">
      <c r="A5409" s="1">
        <f>IFERROR(__xludf.DUMMYFUNCTION("""COMPUTED_VALUE"""),89974.0)</f>
        <v>89974</v>
      </c>
      <c r="B5409" s="5">
        <f>IFERROR(__xludf.DUMMYFUNCTION("""COMPUTED_VALUE"""),45030.43745894676)</f>
        <v>45030.43746</v>
      </c>
      <c r="C5409" s="1" t="str">
        <f>IFERROR(__xludf.DUMMYFUNCTION("""COMPUTED_VALUE"""),"ROSALES JOSE")</f>
        <v>ROSALES JOSE</v>
      </c>
      <c r="D5409" s="1" t="str">
        <f>IFERROR(__xludf.DUMMYFUNCTION("""COMPUTED_VALUE"""),"Lentes de STOCK")</f>
        <v>Lentes de STOCK</v>
      </c>
      <c r="E5409" s="1" t="str">
        <f>IFERROR(__xludf.DUMMYFUNCTION("""COMPUTED_VALUE"""),"RIVADAVIA Santiago LOPEZ")</f>
        <v>RIVADAVIA Santiago LOPEZ</v>
      </c>
      <c r="F5409" s="1" t="str">
        <f t="shared" si="1"/>
        <v>RIVADAVIA </v>
      </c>
      <c r="G5409" s="1" t="str">
        <f t="shared" si="2"/>
        <v>Santiago LOPEZ</v>
      </c>
      <c r="H5409" s="1" t="str">
        <f>IFERROR(__xludf.DUMMYFUNCTION("""COMPUTED_VALUE"""),"18/4/2023, 17:00:00")</f>
        <v>18/4/2023, 17:00:00</v>
      </c>
      <c r="I5409" s="1" t="str">
        <f>IFERROR(__xludf.DUMMYFUNCTION("""COMPUTED_VALUE"""),"Completado en SUCURSAL")</f>
        <v>Completado en SUCURSAL</v>
      </c>
      <c r="J5409" s="1">
        <f t="shared" si="3"/>
        <v>5</v>
      </c>
      <c r="K5409" s="1" t="str">
        <f t="shared" si="4"/>
        <v>Tus Lentes estan LISTAS PARA ENTREGAR, te esperamos.</v>
      </c>
    </row>
    <row r="5410">
      <c r="A5410" s="1">
        <f>IFERROR(__xludf.DUMMYFUNCTION("""COMPUTED_VALUE"""),89975.0)</f>
        <v>89975</v>
      </c>
      <c r="B5410" s="5">
        <f>IFERROR(__xludf.DUMMYFUNCTION("""COMPUTED_VALUE"""),45030.44300461806)</f>
        <v>45030.443</v>
      </c>
      <c r="C5410" s="1" t="str">
        <f>IFERROR(__xludf.DUMMYFUNCTION("""COMPUTED_VALUE"""),"silva andrea")</f>
        <v>silva andrea</v>
      </c>
      <c r="D5410" s="1" t="str">
        <f>IFERROR(__xludf.DUMMYFUNCTION("""COMPUTED_VALUE"""),"Lentes de STOCK")</f>
        <v>Lentes de STOCK</v>
      </c>
      <c r="E5410" s="1" t="str">
        <f>IFERROR(__xludf.DUMMYFUNCTION("""COMPUTED_VALUE"""),"RIVADAVIA Santiago LOPEZ")</f>
        <v>RIVADAVIA Santiago LOPEZ</v>
      </c>
      <c r="F5410" s="1" t="str">
        <f t="shared" si="1"/>
        <v>RIVADAVIA </v>
      </c>
      <c r="G5410" s="1" t="str">
        <f t="shared" si="2"/>
        <v>Santiago LOPEZ</v>
      </c>
      <c r="H5410" s="1" t="str">
        <f>IFERROR(__xludf.DUMMYFUNCTION("""COMPUTED_VALUE"""),"18/4/2023, 17:00:00")</f>
        <v>18/4/2023, 17:00:00</v>
      </c>
      <c r="I5410" s="1" t="str">
        <f>IFERROR(__xludf.DUMMYFUNCTION("""COMPUTED_VALUE"""),"Completado en SUCURSAL")</f>
        <v>Completado en SUCURSAL</v>
      </c>
      <c r="J5410" s="1">
        <f t="shared" si="3"/>
        <v>5</v>
      </c>
      <c r="K5410" s="1" t="str">
        <f t="shared" si="4"/>
        <v>Tus Lentes estan LISTAS PARA ENTREGAR, te esperamos.</v>
      </c>
    </row>
    <row r="5411">
      <c r="A5411" s="1">
        <f>IFERROR(__xludf.DUMMYFUNCTION("""COMPUTED_VALUE"""),89976.0)</f>
        <v>89976</v>
      </c>
      <c r="B5411" s="5">
        <f>IFERROR(__xludf.DUMMYFUNCTION("""COMPUTED_VALUE"""),45030.44495053241)</f>
        <v>45030.44495</v>
      </c>
      <c r="C5411" s="1" t="str">
        <f>IFERROR(__xludf.DUMMYFUNCTION("""COMPUTED_VALUE"""),"CORONEL LAURA")</f>
        <v>CORONEL LAURA</v>
      </c>
      <c r="D5411" s="1" t="str">
        <f>IFERROR(__xludf.DUMMYFUNCTION("""COMPUTED_VALUE"""),"Lentes de STOCK")</f>
        <v>Lentes de STOCK</v>
      </c>
      <c r="E5411" s="1" t="str">
        <f>IFERROR(__xludf.DUMMYFUNCTION("""COMPUTED_VALUE"""),"ARTIGAS Ivana P.")</f>
        <v>ARTIGAS Ivana P.</v>
      </c>
      <c r="F5411" s="1" t="str">
        <f t="shared" si="1"/>
        <v>ARTIGAS </v>
      </c>
      <c r="G5411" s="1" t="str">
        <f t="shared" si="2"/>
        <v>Ivana P.</v>
      </c>
      <c r="H5411" s="1" t="str">
        <f>IFERROR(__xludf.DUMMYFUNCTION("""COMPUTED_VALUE"""),"19/4/2023, 17:00:00")</f>
        <v>19/4/2023, 17:00:00</v>
      </c>
      <c r="I5411" s="1"/>
      <c r="J5411" s="1">
        <f t="shared" si="3"/>
        <v>0</v>
      </c>
      <c r="K5411" s="1" t="str">
        <f t="shared" si="4"/>
        <v/>
      </c>
    </row>
    <row r="5412">
      <c r="A5412" s="1">
        <f>IFERROR(__xludf.DUMMYFUNCTION("""COMPUTED_VALUE"""),89977.0)</f>
        <v>89977</v>
      </c>
      <c r="B5412" s="5">
        <f>IFERROR(__xludf.DUMMYFUNCTION("""COMPUTED_VALUE"""),45030.446742824075)</f>
        <v>45030.44674</v>
      </c>
      <c r="C5412" s="1" t="str">
        <f>IFERROR(__xludf.DUMMYFUNCTION("""COMPUTED_VALUE"""),"PONS MARGARITA MARIA")</f>
        <v>PONS MARGARITA MARIA</v>
      </c>
      <c r="D5412" s="1" t="str">
        <f>IFERROR(__xludf.DUMMYFUNCTION("""COMPUTED_VALUE"""),"Lentes de STOCK")</f>
        <v>Lentes de STOCK</v>
      </c>
      <c r="E5412" s="1" t="str">
        <f>IFERROR(__xludf.DUMMYFUNCTION("""COMPUTED_VALUE"""),"RIVADAVIA Christian C.")</f>
        <v>RIVADAVIA Christian C.</v>
      </c>
      <c r="F5412" s="1" t="str">
        <f t="shared" si="1"/>
        <v>RIVADAVIA </v>
      </c>
      <c r="G5412" s="1" t="str">
        <f t="shared" si="2"/>
        <v>Christian C.</v>
      </c>
      <c r="H5412" s="1" t="str">
        <f>IFERROR(__xludf.DUMMYFUNCTION("""COMPUTED_VALUE"""),"20/4/2023, 17:00:00")</f>
        <v>20/4/2023, 17:00:00</v>
      </c>
      <c r="I5412" s="1" t="str">
        <f>IFERROR(__xludf.DUMMYFUNCTION("""COMPUTED_VALUE"""),"Completado en SUCURSAL")</f>
        <v>Completado en SUCURSAL</v>
      </c>
      <c r="J5412" s="1">
        <f t="shared" si="3"/>
        <v>5</v>
      </c>
      <c r="K5412" s="1" t="str">
        <f t="shared" si="4"/>
        <v>Tus Lentes estan LISTAS PARA ENTREGAR, te esperamos.</v>
      </c>
    </row>
    <row r="5413">
      <c r="A5413" s="1">
        <f>IFERROR(__xludf.DUMMYFUNCTION("""COMPUTED_VALUE"""),89978.0)</f>
        <v>89978</v>
      </c>
      <c r="B5413" s="5">
        <f>IFERROR(__xludf.DUMMYFUNCTION("""COMPUTED_VALUE"""),45030.44760462963)</f>
        <v>45030.4476</v>
      </c>
      <c r="C5413" s="1" t="str">
        <f>IFERROR(__xludf.DUMMYFUNCTION("""COMPUTED_VALUE"""),"HUANG YING PIN")</f>
        <v>HUANG YING PIN</v>
      </c>
      <c r="D5413" s="1" t="str">
        <f>IFERROR(__xludf.DUMMYFUNCTION("""COMPUTED_VALUE"""),"Lentes MULTIFOCALES")</f>
        <v>Lentes MULTIFOCALES</v>
      </c>
      <c r="E5413" s="1" t="str">
        <f>IFERROR(__xludf.DUMMYFUNCTION("""COMPUTED_VALUE"""),"RIVADAVIA Marcela L")</f>
        <v>RIVADAVIA Marcela L</v>
      </c>
      <c r="F5413" s="1" t="str">
        <f t="shared" si="1"/>
        <v>RIVADAVIA </v>
      </c>
      <c r="G5413" s="1" t="str">
        <f t="shared" si="2"/>
        <v>Marcela L</v>
      </c>
      <c r="H5413" s="1" t="str">
        <f>IFERROR(__xludf.DUMMYFUNCTION("""COMPUTED_VALUE"""),"28/4/2023, 17:00:00")</f>
        <v>28/4/2023, 17:00:00</v>
      </c>
      <c r="I5413" s="1" t="str">
        <f>IFERROR(__xludf.DUMMYFUNCTION("""COMPUTED_VALUE"""),"Recibido en Laboratorio")</f>
        <v>Recibido en Laboratorio</v>
      </c>
      <c r="J5413" s="1">
        <f t="shared" si="3"/>
        <v>2</v>
      </c>
      <c r="K5413" s="1" t="str">
        <f t="shared" si="4"/>
        <v>Nuestro Laboratorio esta trabajando en tus lentes, los entregaremos en la fecha acordada.</v>
      </c>
    </row>
    <row r="5414">
      <c r="A5414" s="1">
        <f>IFERROR(__xludf.DUMMYFUNCTION("""COMPUTED_VALUE"""),89979.0)</f>
        <v>89979</v>
      </c>
      <c r="B5414" s="5">
        <f>IFERROR(__xludf.DUMMYFUNCTION("""COMPUTED_VALUE"""),45030.454343136575)</f>
        <v>45030.45434</v>
      </c>
      <c r="C5414" s="1" t="str">
        <f>IFERROR(__xludf.DUMMYFUNCTION("""COMPUTED_VALUE"""),"BUstos Carmen")</f>
        <v>BUstos Carmen</v>
      </c>
      <c r="D5414" s="1" t="str">
        <f>IFERROR(__xludf.DUMMYFUNCTION("""COMPUTED_VALUE"""),"Reparaciones/Otros")</f>
        <v>Reparaciones/Otros</v>
      </c>
      <c r="E5414" s="1" t="str">
        <f>IFERROR(__xludf.DUMMYFUNCTION("""COMPUTED_VALUE"""),"ARTIGAS Sandra G")</f>
        <v>ARTIGAS Sandra G</v>
      </c>
      <c r="F5414" s="1" t="str">
        <f t="shared" si="1"/>
        <v>ARTIGAS </v>
      </c>
      <c r="G5414" s="1" t="str">
        <f t="shared" si="2"/>
        <v>Sandra G</v>
      </c>
      <c r="H5414" s="1" t="str">
        <f>IFERROR(__xludf.DUMMYFUNCTION("""COMPUTED_VALUE"""),"18/4/2023, 17:00:00")</f>
        <v>18/4/2023, 17:00:00</v>
      </c>
      <c r="I5414" s="1" t="str">
        <f>IFERROR(__xludf.DUMMYFUNCTION("""COMPUTED_VALUE"""),"Completado en SUCURSAL")</f>
        <v>Completado en SUCURSAL</v>
      </c>
      <c r="J5414" s="1">
        <f t="shared" si="3"/>
        <v>5</v>
      </c>
      <c r="K5414" s="1" t="str">
        <f t="shared" si="4"/>
        <v>Tus Lentes estan LISTAS PARA ENTREGAR, te esperamos.</v>
      </c>
    </row>
    <row r="5415">
      <c r="A5415" s="1">
        <f>IFERROR(__xludf.DUMMYFUNCTION("""COMPUTED_VALUE"""),89980.0)</f>
        <v>89980</v>
      </c>
      <c r="B5415" s="5">
        <f>IFERROR(__xludf.DUMMYFUNCTION("""COMPUTED_VALUE"""),45030.45675978009)</f>
        <v>45030.45676</v>
      </c>
      <c r="C5415" s="1" t="str">
        <f>IFERROR(__xludf.DUMMYFUNCTION("""COMPUTED_VALUE"""),"KATIA PONCE")</f>
        <v>KATIA PONCE</v>
      </c>
      <c r="D5415" s="1" t="str">
        <f>IFERROR(__xludf.DUMMYFUNCTION("""COMPUTED_VALUE"""),"Lentes de LABORATORIO")</f>
        <v>Lentes de LABORATORIO</v>
      </c>
      <c r="E5415" s="1" t="str">
        <f>IFERROR(__xludf.DUMMYFUNCTION("""COMPUTED_VALUE"""),"RIVADAVIA Javier")</f>
        <v>RIVADAVIA Javier</v>
      </c>
      <c r="F5415" s="1" t="str">
        <f t="shared" si="1"/>
        <v>RIVADAVIA </v>
      </c>
      <c r="G5415" s="1" t="str">
        <f t="shared" si="2"/>
        <v>Javier</v>
      </c>
      <c r="H5415" s="1" t="str">
        <f>IFERROR(__xludf.DUMMYFUNCTION("""COMPUTED_VALUE"""),"4/5/2023, 17:00:00")</f>
        <v>4/5/2023, 17:00:00</v>
      </c>
      <c r="I5415" s="1" t="str">
        <f>IFERROR(__xludf.DUMMYFUNCTION("""COMPUTED_VALUE"""),"Recibido en Laboratorio")</f>
        <v>Recibido en Laboratorio</v>
      </c>
      <c r="J5415" s="1">
        <f t="shared" si="3"/>
        <v>2</v>
      </c>
      <c r="K5415" s="1" t="str">
        <f t="shared" si="4"/>
        <v>Nuestro Laboratorio esta trabajando en tus lentes, los entregaremos en la fecha acordada.</v>
      </c>
    </row>
    <row r="5416">
      <c r="A5416" s="1">
        <f>IFERROR(__xludf.DUMMYFUNCTION("""COMPUTED_VALUE"""),89981.0)</f>
        <v>89981</v>
      </c>
      <c r="B5416" s="5">
        <f>IFERROR(__xludf.DUMMYFUNCTION("""COMPUTED_VALUE"""),45030.4583578125)</f>
        <v>45030.45836</v>
      </c>
      <c r="C5416" s="1" t="str">
        <f>IFERROR(__xludf.DUMMYFUNCTION("""COMPUTED_VALUE"""),"AVACA RITA SUSANA")</f>
        <v>AVACA RITA SUSANA</v>
      </c>
      <c r="D5416" s="1" t="str">
        <f>IFERROR(__xludf.DUMMYFUNCTION("""COMPUTED_VALUE"""),"Lentes de STOCK")</f>
        <v>Lentes de STOCK</v>
      </c>
      <c r="E5416" s="1" t="str">
        <f>IFERROR(__xludf.DUMMYFUNCTION("""COMPUTED_VALUE"""),"RIVADAVIA Christian C.")</f>
        <v>RIVADAVIA Christian C.</v>
      </c>
      <c r="F5416" s="1" t="str">
        <f t="shared" si="1"/>
        <v>RIVADAVIA </v>
      </c>
      <c r="G5416" s="1" t="str">
        <f t="shared" si="2"/>
        <v>Christian C.</v>
      </c>
      <c r="H5416" s="1" t="str">
        <f>IFERROR(__xludf.DUMMYFUNCTION("""COMPUTED_VALUE"""),"21/4/2023, 17:00:00")</f>
        <v>21/4/2023, 17:00:00</v>
      </c>
      <c r="I5416" s="1" t="str">
        <f>IFERROR(__xludf.DUMMYFUNCTION("""COMPUTED_VALUE"""),"Recibido en Laboratorio")</f>
        <v>Recibido en Laboratorio</v>
      </c>
      <c r="J5416" s="1">
        <f t="shared" si="3"/>
        <v>2</v>
      </c>
      <c r="K5416" s="1" t="str">
        <f t="shared" si="4"/>
        <v>Nuestro Laboratorio esta trabajando en tus lentes, los entregaremos en la fecha acordada.</v>
      </c>
    </row>
    <row r="5417">
      <c r="A5417" s="1">
        <f>IFERROR(__xludf.DUMMYFUNCTION("""COMPUTED_VALUE"""),89982.0)</f>
        <v>89982</v>
      </c>
      <c r="B5417" s="5">
        <f>IFERROR(__xludf.DUMMYFUNCTION("""COMPUTED_VALUE"""),45030.4589812037)</f>
        <v>45030.45898</v>
      </c>
      <c r="C5417" s="1" t="str">
        <f>IFERROR(__xludf.DUMMYFUNCTION("""COMPUTED_VALUE"""),"GUIÑAZU OMAR")</f>
        <v>GUIÑAZU OMAR</v>
      </c>
      <c r="D5417" s="1" t="str">
        <f>IFERROR(__xludf.DUMMYFUNCTION("""COMPUTED_VALUE"""),"Lentes de STOCK")</f>
        <v>Lentes de STOCK</v>
      </c>
      <c r="E5417" s="1" t="str">
        <f>IFERROR(__xludf.DUMMYFUNCTION("""COMPUTED_VALUE"""),"ARTIGAS Ivana P.")</f>
        <v>ARTIGAS Ivana P.</v>
      </c>
      <c r="F5417" s="1" t="str">
        <f t="shared" si="1"/>
        <v>ARTIGAS </v>
      </c>
      <c r="G5417" s="1" t="str">
        <f t="shared" si="2"/>
        <v>Ivana P.</v>
      </c>
      <c r="H5417" s="1" t="str">
        <f>IFERROR(__xludf.DUMMYFUNCTION("""COMPUTED_VALUE"""),"20/4/2023, 17:00:00")</f>
        <v>20/4/2023, 17:00:00</v>
      </c>
      <c r="I5417" s="1"/>
      <c r="J5417" s="1">
        <f t="shared" si="3"/>
        <v>0</v>
      </c>
      <c r="K5417" s="1" t="str">
        <f t="shared" si="4"/>
        <v/>
      </c>
    </row>
    <row r="5418">
      <c r="A5418" s="1">
        <f>IFERROR(__xludf.DUMMYFUNCTION("""COMPUTED_VALUE"""),89983.0)</f>
        <v>89983</v>
      </c>
      <c r="B5418" s="5">
        <f>IFERROR(__xludf.DUMMYFUNCTION("""COMPUTED_VALUE"""),45030.46275902778)</f>
        <v>45030.46276</v>
      </c>
      <c r="C5418" s="1" t="str">
        <f>IFERROR(__xludf.DUMMYFUNCTION("""COMPUTED_VALUE"""),"GUIÑAZU OMAR")</f>
        <v>GUIÑAZU OMAR</v>
      </c>
      <c r="D5418" s="1" t="str">
        <f>IFERROR(__xludf.DUMMYFUNCTION("""COMPUTED_VALUE"""),"Lentes de STOCK")</f>
        <v>Lentes de STOCK</v>
      </c>
      <c r="E5418" s="1" t="str">
        <f>IFERROR(__xludf.DUMMYFUNCTION("""COMPUTED_VALUE"""),"ARTIGAS Ivana P.")</f>
        <v>ARTIGAS Ivana P.</v>
      </c>
      <c r="F5418" s="1" t="str">
        <f t="shared" si="1"/>
        <v>ARTIGAS </v>
      </c>
      <c r="G5418" s="1" t="str">
        <f t="shared" si="2"/>
        <v>Ivana P.</v>
      </c>
      <c r="H5418" s="1" t="str">
        <f>IFERROR(__xludf.DUMMYFUNCTION("""COMPUTED_VALUE"""),"20/4/2023, 17:00:00")</f>
        <v>20/4/2023, 17:00:00</v>
      </c>
      <c r="I5418" s="1" t="str">
        <f>IFERROR(__xludf.DUMMYFUNCTION("""COMPUTED_VALUE"""),"Completado en SUCURSAL")</f>
        <v>Completado en SUCURSAL</v>
      </c>
      <c r="J5418" s="1">
        <f t="shared" si="3"/>
        <v>5</v>
      </c>
      <c r="K5418" s="1" t="str">
        <f t="shared" si="4"/>
        <v>Tus Lentes estan LISTAS PARA ENTREGAR, te esperamos.</v>
      </c>
    </row>
    <row r="5419">
      <c r="A5419" s="1">
        <f>IFERROR(__xludf.DUMMYFUNCTION("""COMPUTED_VALUE"""),89984.0)</f>
        <v>89984</v>
      </c>
      <c r="B5419" s="5">
        <f>IFERROR(__xludf.DUMMYFUNCTION("""COMPUTED_VALUE"""),45030.464823726856)</f>
        <v>45030.46482</v>
      </c>
      <c r="C5419" s="1" t="str">
        <f>IFERROR(__xludf.DUMMYFUNCTION("""COMPUTED_VALUE"""),"CORIA LILIANA")</f>
        <v>CORIA LILIANA</v>
      </c>
      <c r="D5419" s="1" t="str">
        <f>IFERROR(__xludf.DUMMYFUNCTION("""COMPUTED_VALUE"""),"Lentes de STOCK")</f>
        <v>Lentes de STOCK</v>
      </c>
      <c r="E5419" s="1" t="str">
        <f>IFERROR(__xludf.DUMMYFUNCTION("""COMPUTED_VALUE"""),"ARTIGAS Ivana P.")</f>
        <v>ARTIGAS Ivana P.</v>
      </c>
      <c r="F5419" s="1" t="str">
        <f t="shared" si="1"/>
        <v>ARTIGAS </v>
      </c>
      <c r="G5419" s="1" t="str">
        <f t="shared" si="2"/>
        <v>Ivana P.</v>
      </c>
      <c r="H5419" s="1" t="str">
        <f>IFERROR(__xludf.DUMMYFUNCTION("""COMPUTED_VALUE"""),"20/4/2023, 17:00:00")</f>
        <v>20/4/2023, 17:00:00</v>
      </c>
      <c r="I5419" s="1" t="str">
        <f>IFERROR(__xludf.DUMMYFUNCTION("""COMPUTED_VALUE"""),"Completado en SUCURSAL")</f>
        <v>Completado en SUCURSAL</v>
      </c>
      <c r="J5419" s="1">
        <f t="shared" si="3"/>
        <v>5</v>
      </c>
      <c r="K5419" s="1" t="str">
        <f t="shared" si="4"/>
        <v>Tus Lentes estan LISTAS PARA ENTREGAR, te esperamos.</v>
      </c>
    </row>
    <row r="5420">
      <c r="A5420" s="1">
        <f>IFERROR(__xludf.DUMMYFUNCTION("""COMPUTED_VALUE"""),89985.0)</f>
        <v>89985</v>
      </c>
      <c r="B5420" s="5">
        <f>IFERROR(__xludf.DUMMYFUNCTION("""COMPUTED_VALUE"""),45030.46547260416)</f>
        <v>45030.46547</v>
      </c>
      <c r="C5420" s="1" t="str">
        <f>IFERROR(__xludf.DUMMYFUNCTION("""COMPUTED_VALUE"""),"BARROSO YOLANDA")</f>
        <v>BARROSO YOLANDA</v>
      </c>
      <c r="D5420" s="1" t="str">
        <f>IFERROR(__xludf.DUMMYFUNCTION("""COMPUTED_VALUE"""),"Reparaciones/Otros")</f>
        <v>Reparaciones/Otros</v>
      </c>
      <c r="E5420" s="1" t="str">
        <f>IFERROR(__xludf.DUMMYFUNCTION("""COMPUTED_VALUE"""),"ARTIGAS Roció")</f>
        <v>ARTIGAS Roció</v>
      </c>
      <c r="F5420" s="1" t="str">
        <f t="shared" si="1"/>
        <v>ARTIGAS </v>
      </c>
      <c r="G5420" s="1" t="str">
        <f t="shared" si="2"/>
        <v>Roció</v>
      </c>
      <c r="H5420" s="1" t="str">
        <f>IFERROR(__xludf.DUMMYFUNCTION("""COMPUTED_VALUE"""),"18/4/2023, 17:00:00")</f>
        <v>18/4/2023, 17:00:00</v>
      </c>
      <c r="I5420" s="1" t="str">
        <f>IFERROR(__xludf.DUMMYFUNCTION("""COMPUTED_VALUE"""),"Completado en SUCURSAL")</f>
        <v>Completado en SUCURSAL</v>
      </c>
      <c r="J5420" s="1">
        <f t="shared" si="3"/>
        <v>5</v>
      </c>
      <c r="K5420" s="1" t="str">
        <f t="shared" si="4"/>
        <v>Tus Lentes estan LISTAS PARA ENTREGAR, te esperamos.</v>
      </c>
    </row>
    <row r="5421">
      <c r="A5421" s="1">
        <f>IFERROR(__xludf.DUMMYFUNCTION("""COMPUTED_VALUE"""),89986.0)</f>
        <v>89986</v>
      </c>
      <c r="B5421" s="5">
        <f>IFERROR(__xludf.DUMMYFUNCTION("""COMPUTED_VALUE"""),45030.470355405094)</f>
        <v>45030.47036</v>
      </c>
      <c r="C5421" s="1" t="str">
        <f>IFERROR(__xludf.DUMMYFUNCTION("""COMPUTED_VALUE"""),"JAIME TERESA")</f>
        <v>JAIME TERESA</v>
      </c>
      <c r="D5421" s="1" t="str">
        <f>IFERROR(__xludf.DUMMYFUNCTION("""COMPUTED_VALUE"""),"Lentes BIFOCALES")</f>
        <v>Lentes BIFOCALES</v>
      </c>
      <c r="E5421" s="1" t="str">
        <f>IFERROR(__xludf.DUMMYFUNCTION("""COMPUTED_VALUE"""),"ARTIGAS Roció")</f>
        <v>ARTIGAS Roció</v>
      </c>
      <c r="F5421" s="1" t="str">
        <f t="shared" si="1"/>
        <v>ARTIGAS </v>
      </c>
      <c r="G5421" s="1" t="str">
        <f t="shared" si="2"/>
        <v>Roció</v>
      </c>
      <c r="H5421" s="1" t="str">
        <f>IFERROR(__xludf.DUMMYFUNCTION("""COMPUTED_VALUE"""),"24/4/2023, 17:00:00")</f>
        <v>24/4/2023, 17:00:00</v>
      </c>
      <c r="I5421" s="1"/>
      <c r="J5421" s="1">
        <f t="shared" si="3"/>
        <v>0</v>
      </c>
      <c r="K5421" s="1" t="str">
        <f t="shared" si="4"/>
        <v/>
      </c>
    </row>
    <row r="5422">
      <c r="A5422" s="1">
        <f>IFERROR(__xludf.DUMMYFUNCTION("""COMPUTED_VALUE"""),89987.0)</f>
        <v>89987</v>
      </c>
      <c r="B5422" s="5">
        <f>IFERROR(__xludf.DUMMYFUNCTION("""COMPUTED_VALUE"""),45030.47076340277)</f>
        <v>45030.47076</v>
      </c>
      <c r="C5422" s="1" t="str">
        <f>IFERROR(__xludf.DUMMYFUNCTION("""COMPUTED_VALUE"""),"SCUDIERE SERGIO")</f>
        <v>SCUDIERE SERGIO</v>
      </c>
      <c r="D5422" s="1" t="str">
        <f>IFERROR(__xludf.DUMMYFUNCTION("""COMPUTED_VALUE"""),"Lentes de STOCK")</f>
        <v>Lentes de STOCK</v>
      </c>
      <c r="E5422" s="1" t="str">
        <f>IFERROR(__xludf.DUMMYFUNCTION("""COMPUTED_VALUE"""),"ARTIGAS Ivana P.")</f>
        <v>ARTIGAS Ivana P.</v>
      </c>
      <c r="F5422" s="1" t="str">
        <f t="shared" si="1"/>
        <v>ARTIGAS </v>
      </c>
      <c r="G5422" s="1" t="str">
        <f t="shared" si="2"/>
        <v>Ivana P.</v>
      </c>
      <c r="H5422" s="1" t="str">
        <f>IFERROR(__xludf.DUMMYFUNCTION("""COMPUTED_VALUE"""),"21/4/2023, 17:00:00")</f>
        <v>21/4/2023, 17:00:00</v>
      </c>
      <c r="I5422" s="1"/>
      <c r="J5422" s="1">
        <f t="shared" si="3"/>
        <v>0</v>
      </c>
      <c r="K5422" s="1" t="str">
        <f t="shared" si="4"/>
        <v/>
      </c>
    </row>
    <row r="5423">
      <c r="A5423" s="1">
        <f>IFERROR(__xludf.DUMMYFUNCTION("""COMPUTED_VALUE"""),89988.0)</f>
        <v>89988</v>
      </c>
      <c r="B5423" s="5">
        <f>IFERROR(__xludf.DUMMYFUNCTION("""COMPUTED_VALUE"""),45030.476407615744)</f>
        <v>45030.47641</v>
      </c>
      <c r="C5423" s="1" t="str">
        <f>IFERROR(__xludf.DUMMYFUNCTION("""COMPUTED_VALUE"""),"BALLEJO HECTOR")</f>
        <v>BALLEJO HECTOR</v>
      </c>
      <c r="D5423" s="1" t="str">
        <f>IFERROR(__xludf.DUMMYFUNCTION("""COMPUTED_VALUE"""),"Lentes de STOCK")</f>
        <v>Lentes de STOCK</v>
      </c>
      <c r="E5423" s="1" t="str">
        <f>IFERROR(__xludf.DUMMYFUNCTION("""COMPUTED_VALUE"""),"RIVADAVIA Christian C.")</f>
        <v>RIVADAVIA Christian C.</v>
      </c>
      <c r="F5423" s="1" t="str">
        <f t="shared" si="1"/>
        <v>RIVADAVIA </v>
      </c>
      <c r="G5423" s="1" t="str">
        <f t="shared" si="2"/>
        <v>Christian C.</v>
      </c>
      <c r="H5423" s="1" t="str">
        <f>IFERROR(__xludf.DUMMYFUNCTION("""COMPUTED_VALUE"""),"21/4/2023, 17:00:00")</f>
        <v>21/4/2023, 17:00:00</v>
      </c>
      <c r="I5423" s="1" t="str">
        <f>IFERROR(__xludf.DUMMYFUNCTION("""COMPUTED_VALUE"""),"Recibido en Laboratorio")</f>
        <v>Recibido en Laboratorio</v>
      </c>
      <c r="J5423" s="1">
        <f t="shared" si="3"/>
        <v>2</v>
      </c>
      <c r="K5423" s="1" t="str">
        <f t="shared" si="4"/>
        <v>Nuestro Laboratorio esta trabajando en tus lentes, los entregaremos en la fecha acordada.</v>
      </c>
    </row>
    <row r="5424">
      <c r="A5424" s="1">
        <f>IFERROR(__xludf.DUMMYFUNCTION("""COMPUTED_VALUE"""),89989.0)</f>
        <v>89989</v>
      </c>
      <c r="B5424" s="5">
        <f>IFERROR(__xludf.DUMMYFUNCTION("""COMPUTED_VALUE"""),45030.480717893515)</f>
        <v>45030.48072</v>
      </c>
      <c r="C5424" s="1" t="str">
        <f>IFERROR(__xludf.DUMMYFUNCTION("""COMPUTED_VALUE"""),"MUÑOZ CARMEN MERCEDES")</f>
        <v>MUÑOZ CARMEN MERCEDES</v>
      </c>
      <c r="D5424" s="1" t="str">
        <f>IFERROR(__xludf.DUMMYFUNCTION("""COMPUTED_VALUE"""),"Lentes BIFOCALES")</f>
        <v>Lentes BIFOCALES</v>
      </c>
      <c r="E5424" s="1" t="str">
        <f>IFERROR(__xludf.DUMMYFUNCTION("""COMPUTED_VALUE"""),"ARTIGAS Roció")</f>
        <v>ARTIGAS Roció</v>
      </c>
      <c r="F5424" s="1" t="str">
        <f t="shared" si="1"/>
        <v>ARTIGAS </v>
      </c>
      <c r="G5424" s="1" t="str">
        <f t="shared" si="2"/>
        <v>Roció</v>
      </c>
      <c r="H5424" s="1" t="str">
        <f>IFERROR(__xludf.DUMMYFUNCTION("""COMPUTED_VALUE"""),"24/4/2023, 17:00:00")</f>
        <v>24/4/2023, 17:00:00</v>
      </c>
      <c r="I5424" s="1"/>
      <c r="J5424" s="1">
        <f t="shared" si="3"/>
        <v>0</v>
      </c>
      <c r="K5424" s="1" t="str">
        <f t="shared" si="4"/>
        <v/>
      </c>
    </row>
    <row r="5425">
      <c r="A5425" s="1">
        <f>IFERROR(__xludf.DUMMYFUNCTION("""COMPUTED_VALUE"""),89990.0)</f>
        <v>89990</v>
      </c>
      <c r="B5425" s="5">
        <f>IFERROR(__xludf.DUMMYFUNCTION("""COMPUTED_VALUE"""),45030.488973831016)</f>
        <v>45030.48897</v>
      </c>
      <c r="C5425" s="1" t="str">
        <f>IFERROR(__xludf.DUMMYFUNCTION("""COMPUTED_VALUE"""),"muñoz yolanda gabriela")</f>
        <v>muñoz yolanda gabriela</v>
      </c>
      <c r="D5425" s="1" t="str">
        <f>IFERROR(__xludf.DUMMYFUNCTION("""COMPUTED_VALUE"""),"Lentes de STOCK")</f>
        <v>Lentes de STOCK</v>
      </c>
      <c r="E5425" s="1" t="str">
        <f>IFERROR(__xludf.DUMMYFUNCTION("""COMPUTED_VALUE"""),"RIVADAVIA Santiago N")</f>
        <v>RIVADAVIA Santiago N</v>
      </c>
      <c r="F5425" s="1" t="str">
        <f t="shared" si="1"/>
        <v>RIVADAVIA </v>
      </c>
      <c r="G5425" s="1" t="str">
        <f t="shared" si="2"/>
        <v>Santiago N</v>
      </c>
      <c r="H5425" s="1" t="str">
        <f>IFERROR(__xludf.DUMMYFUNCTION("""COMPUTED_VALUE"""),"18/4/2023, 17:00:00")</f>
        <v>18/4/2023, 17:00:00</v>
      </c>
      <c r="I5425" s="1" t="str">
        <f>IFERROR(__xludf.DUMMYFUNCTION("""COMPUTED_VALUE"""),"Completado en SUCURSAL")</f>
        <v>Completado en SUCURSAL</v>
      </c>
      <c r="J5425" s="1">
        <f t="shared" si="3"/>
        <v>5</v>
      </c>
      <c r="K5425" s="1" t="str">
        <f t="shared" si="4"/>
        <v>Tus Lentes estan LISTAS PARA ENTREGAR, te esperamos.</v>
      </c>
    </row>
    <row r="5426">
      <c r="A5426" s="1">
        <f>IFERROR(__xludf.DUMMYFUNCTION("""COMPUTED_VALUE"""),89991.0)</f>
        <v>89991</v>
      </c>
      <c r="B5426" s="5">
        <f>IFERROR(__xludf.DUMMYFUNCTION("""COMPUTED_VALUE"""),45030.49259171296)</f>
        <v>45030.49259</v>
      </c>
      <c r="C5426" s="1" t="str">
        <f>IFERROR(__xludf.DUMMYFUNCTION("""COMPUTED_VALUE"""),"rios evangelina")</f>
        <v>rios evangelina</v>
      </c>
      <c r="D5426" s="1" t="str">
        <f>IFERROR(__xludf.DUMMYFUNCTION("""COMPUTED_VALUE"""),"Reparaciones/Otros")</f>
        <v>Reparaciones/Otros</v>
      </c>
      <c r="E5426" s="1" t="str">
        <f>IFERROR(__xludf.DUMMYFUNCTION("""COMPUTED_VALUE"""),"RIVADAVIA Santiago LOPEZ")</f>
        <v>RIVADAVIA Santiago LOPEZ</v>
      </c>
      <c r="F5426" s="1" t="str">
        <f t="shared" si="1"/>
        <v>RIVADAVIA </v>
      </c>
      <c r="G5426" s="1" t="str">
        <f t="shared" si="2"/>
        <v>Santiago LOPEZ</v>
      </c>
      <c r="H5426" s="1" t="str">
        <f>IFERROR(__xludf.DUMMYFUNCTION("""COMPUTED_VALUE"""),"18/4/2023, 17:00:00")</f>
        <v>18/4/2023, 17:00:00</v>
      </c>
      <c r="I5426" s="1" t="str">
        <f>IFERROR(__xludf.DUMMYFUNCTION("""COMPUTED_VALUE"""),"Completado en SUCURSAL")</f>
        <v>Completado en SUCURSAL</v>
      </c>
      <c r="J5426" s="1">
        <f t="shared" si="3"/>
        <v>5</v>
      </c>
      <c r="K5426" s="1" t="str">
        <f t="shared" si="4"/>
        <v>Tus Lentes estan LISTAS PARA ENTREGAR, te esperamos.</v>
      </c>
    </row>
    <row r="5427">
      <c r="A5427" s="1">
        <f>IFERROR(__xludf.DUMMYFUNCTION("""COMPUTED_VALUE"""),89992.0)</f>
        <v>89992</v>
      </c>
      <c r="B5427" s="5">
        <f>IFERROR(__xludf.DUMMYFUNCTION("""COMPUTED_VALUE"""),45030.49338329861)</f>
        <v>45030.49338</v>
      </c>
      <c r="C5427" s="1" t="str">
        <f>IFERROR(__xludf.DUMMYFUNCTION("""COMPUTED_VALUE"""),"LUNA ROSA ")</f>
        <v>LUNA ROSA </v>
      </c>
      <c r="D5427" s="1" t="str">
        <f>IFERROR(__xludf.DUMMYFUNCTION("""COMPUTED_VALUE"""),"Lentes BIFOCALES")</f>
        <v>Lentes BIFOCALES</v>
      </c>
      <c r="E5427" s="1" t="str">
        <f>IFERROR(__xludf.DUMMYFUNCTION("""COMPUTED_VALUE"""),"RIVADAVIA Christian C.")</f>
        <v>RIVADAVIA Christian C.</v>
      </c>
      <c r="F5427" s="1" t="str">
        <f t="shared" si="1"/>
        <v>RIVADAVIA </v>
      </c>
      <c r="G5427" s="1" t="str">
        <f t="shared" si="2"/>
        <v>Christian C.</v>
      </c>
      <c r="H5427" s="1" t="str">
        <f>IFERROR(__xludf.DUMMYFUNCTION("""COMPUTED_VALUE"""),"21/4/2023, 17:00:00")</f>
        <v>21/4/2023, 17:00:00</v>
      </c>
      <c r="I5427" s="1" t="str">
        <f>IFERROR(__xludf.DUMMYFUNCTION("""COMPUTED_VALUE"""),"Recibido en Laboratorio")</f>
        <v>Recibido en Laboratorio</v>
      </c>
      <c r="J5427" s="1">
        <f t="shared" si="3"/>
        <v>2</v>
      </c>
      <c r="K5427" s="1" t="str">
        <f t="shared" si="4"/>
        <v>Nuestro Laboratorio esta trabajando en tus lentes, los entregaremos en la fecha acordada.</v>
      </c>
    </row>
    <row r="5428">
      <c r="A5428" s="1">
        <f>IFERROR(__xludf.DUMMYFUNCTION("""COMPUTED_VALUE"""),89993.0)</f>
        <v>89993</v>
      </c>
      <c r="B5428" s="5">
        <f>IFERROR(__xludf.DUMMYFUNCTION("""COMPUTED_VALUE"""),45030.4943090625)</f>
        <v>45030.49431</v>
      </c>
      <c r="C5428" s="1" t="str">
        <f>IFERROR(__xludf.DUMMYFUNCTION("""COMPUTED_VALUE"""),"GUZMAN GLADYS")</f>
        <v>GUZMAN GLADYS</v>
      </c>
      <c r="D5428" s="1" t="str">
        <f>IFERROR(__xludf.DUMMYFUNCTION("""COMPUTED_VALUE"""),"Lentes MULTIFOCALES")</f>
        <v>Lentes MULTIFOCALES</v>
      </c>
      <c r="E5428" s="1" t="str">
        <f>IFERROR(__xludf.DUMMYFUNCTION("""COMPUTED_VALUE"""),"ARTIGAS Ivana P.")</f>
        <v>ARTIGAS Ivana P.</v>
      </c>
      <c r="F5428" s="1" t="str">
        <f t="shared" si="1"/>
        <v>ARTIGAS </v>
      </c>
      <c r="G5428" s="1" t="str">
        <f t="shared" si="2"/>
        <v>Ivana P.</v>
      </c>
      <c r="H5428" s="1" t="str">
        <f>IFERROR(__xludf.DUMMYFUNCTION("""COMPUTED_VALUE"""),"5/5/2023, 17:00:00")</f>
        <v>5/5/2023, 17:00:00</v>
      </c>
      <c r="I5428" s="1"/>
      <c r="J5428" s="1">
        <f t="shared" si="3"/>
        <v>0</v>
      </c>
      <c r="K5428" s="1" t="str">
        <f t="shared" si="4"/>
        <v/>
      </c>
    </row>
    <row r="5429">
      <c r="A5429" s="1">
        <f>IFERROR(__xludf.DUMMYFUNCTION("""COMPUTED_VALUE"""),89994.0)</f>
        <v>89994</v>
      </c>
      <c r="B5429" s="5">
        <f>IFERROR(__xludf.DUMMYFUNCTION("""COMPUTED_VALUE"""),45030.49669219907)</f>
        <v>45030.49669</v>
      </c>
      <c r="C5429" s="1" t="str">
        <f>IFERROR(__xludf.DUMMYFUNCTION("""COMPUTED_VALUE"""),"TOBARES LUCIANO SEBASTIAN")</f>
        <v>TOBARES LUCIANO SEBASTIAN</v>
      </c>
      <c r="D5429" s="1" t="str">
        <f>IFERROR(__xludf.DUMMYFUNCTION("""COMPUTED_VALUE"""),"Lentes de STOCK")</f>
        <v>Lentes de STOCK</v>
      </c>
      <c r="E5429" s="1" t="str">
        <f>IFERROR(__xludf.DUMMYFUNCTION("""COMPUTED_VALUE"""),"RIVADAVIA Marcela L")</f>
        <v>RIVADAVIA Marcela L</v>
      </c>
      <c r="F5429" s="1" t="str">
        <f t="shared" si="1"/>
        <v>RIVADAVIA </v>
      </c>
      <c r="G5429" s="1" t="str">
        <f t="shared" si="2"/>
        <v>Marcela L</v>
      </c>
      <c r="H5429" s="1" t="str">
        <f>IFERROR(__xludf.DUMMYFUNCTION("""COMPUTED_VALUE"""),"19/4/2023, 17:00:00")</f>
        <v>19/4/2023, 17:00:00</v>
      </c>
      <c r="I5429" s="1" t="str">
        <f>IFERROR(__xludf.DUMMYFUNCTION("""COMPUTED_VALUE"""),"Completado en SUCURSAL")</f>
        <v>Completado en SUCURSAL</v>
      </c>
      <c r="J5429" s="1">
        <f t="shared" si="3"/>
        <v>5</v>
      </c>
      <c r="K5429" s="1" t="str">
        <f t="shared" si="4"/>
        <v>Tus Lentes estan LISTAS PARA ENTREGAR, te esperamos.</v>
      </c>
    </row>
    <row r="5430">
      <c r="A5430" s="1">
        <f>IFERROR(__xludf.DUMMYFUNCTION("""COMPUTED_VALUE"""),89995.0)</f>
        <v>89995</v>
      </c>
      <c r="B5430" s="5">
        <f>IFERROR(__xludf.DUMMYFUNCTION("""COMPUTED_VALUE"""),45030.49850069445)</f>
        <v>45030.4985</v>
      </c>
      <c r="C5430" s="1" t="str">
        <f>IFERROR(__xludf.DUMMYFUNCTION("""COMPUTED_VALUE"""),"FERNANDEZ CARLOS")</f>
        <v>FERNANDEZ CARLOS</v>
      </c>
      <c r="D5430" s="1" t="str">
        <f>IFERROR(__xludf.DUMMYFUNCTION("""COMPUTED_VALUE"""),"Lentes de STOCK")</f>
        <v>Lentes de STOCK</v>
      </c>
      <c r="E5430" s="1" t="str">
        <f>IFERROR(__xludf.DUMMYFUNCTION("""COMPUTED_VALUE"""),"ARTIGAS Roció")</f>
        <v>ARTIGAS Roció</v>
      </c>
      <c r="F5430" s="1" t="str">
        <f t="shared" si="1"/>
        <v>ARTIGAS </v>
      </c>
      <c r="G5430" s="1" t="str">
        <f t="shared" si="2"/>
        <v>Roció</v>
      </c>
      <c r="H5430" s="1" t="str">
        <f>IFERROR(__xludf.DUMMYFUNCTION("""COMPUTED_VALUE"""),"26/4/2023, 17:00:00")</f>
        <v>26/4/2023, 17:00:00</v>
      </c>
      <c r="I5430" s="1"/>
      <c r="J5430" s="1">
        <f t="shared" si="3"/>
        <v>0</v>
      </c>
      <c r="K5430" s="1" t="str">
        <f t="shared" si="4"/>
        <v/>
      </c>
    </row>
    <row r="5431">
      <c r="A5431" s="1">
        <f>IFERROR(__xludf.DUMMYFUNCTION("""COMPUTED_VALUE"""),89996.0)</f>
        <v>89996</v>
      </c>
      <c r="B5431" s="5">
        <f>IFERROR(__xludf.DUMMYFUNCTION("""COMPUTED_VALUE"""),45030.51179826389)</f>
        <v>45030.5118</v>
      </c>
      <c r="C5431" s="1" t="str">
        <f>IFERROR(__xludf.DUMMYFUNCTION("""COMPUTED_VALUE"""),"FRONTERA JOSE LUIS")</f>
        <v>FRONTERA JOSE LUIS</v>
      </c>
      <c r="D5431" s="1" t="str">
        <f>IFERROR(__xludf.DUMMYFUNCTION("""COMPUTED_VALUE"""),"Lentes BIFOCALES")</f>
        <v>Lentes BIFOCALES</v>
      </c>
      <c r="E5431" s="1" t="str">
        <f>IFERROR(__xludf.DUMMYFUNCTION("""COMPUTED_VALUE"""),"RIVADAVIA Santiago LOPEZ")</f>
        <v>RIVADAVIA Santiago LOPEZ</v>
      </c>
      <c r="F5431" s="1" t="str">
        <f t="shared" si="1"/>
        <v>RIVADAVIA </v>
      </c>
      <c r="G5431" s="1" t="str">
        <f t="shared" si="2"/>
        <v>Santiago LOPEZ</v>
      </c>
      <c r="H5431" s="1" t="str">
        <f>IFERROR(__xludf.DUMMYFUNCTION("""COMPUTED_VALUE"""),"20/4/2023, 17:00:00")</f>
        <v>20/4/2023, 17:00:00</v>
      </c>
      <c r="I5431" s="1" t="str">
        <f>IFERROR(__xludf.DUMMYFUNCTION("""COMPUTED_VALUE"""),"Completado en SUCURSAL")</f>
        <v>Completado en SUCURSAL</v>
      </c>
      <c r="J5431" s="1">
        <f t="shared" si="3"/>
        <v>5</v>
      </c>
      <c r="K5431" s="1" t="str">
        <f t="shared" si="4"/>
        <v>Tus Lentes estan LISTAS PARA ENTREGAR, te esperamos.</v>
      </c>
    </row>
    <row r="5432">
      <c r="A5432" s="1">
        <f>IFERROR(__xludf.DUMMYFUNCTION("""COMPUTED_VALUE"""),89997.0)</f>
        <v>89997</v>
      </c>
      <c r="B5432" s="5">
        <f>IFERROR(__xludf.DUMMYFUNCTION("""COMPUTED_VALUE"""),45030.513220416666)</f>
        <v>45030.51322</v>
      </c>
      <c r="C5432" s="1" t="str">
        <f>IFERROR(__xludf.DUMMYFUNCTION("""COMPUTED_VALUE"""),"GODOY GRACIELA")</f>
        <v>GODOY GRACIELA</v>
      </c>
      <c r="D5432" s="1" t="str">
        <f>IFERROR(__xludf.DUMMYFUNCTION("""COMPUTED_VALUE"""),"Lentes BIFOCALES")</f>
        <v>Lentes BIFOCALES</v>
      </c>
      <c r="E5432" s="1" t="str">
        <f>IFERROR(__xludf.DUMMYFUNCTION("""COMPUTED_VALUE"""),"ARTIGAS Ivana P.")</f>
        <v>ARTIGAS Ivana P.</v>
      </c>
      <c r="F5432" s="1" t="str">
        <f t="shared" si="1"/>
        <v>ARTIGAS </v>
      </c>
      <c r="G5432" s="1" t="str">
        <f t="shared" si="2"/>
        <v>Ivana P.</v>
      </c>
      <c r="H5432" s="1" t="str">
        <f>IFERROR(__xludf.DUMMYFUNCTION("""COMPUTED_VALUE"""),"20/4/2023, 17:00:00")</f>
        <v>20/4/2023, 17:00:00</v>
      </c>
      <c r="I5432" s="1" t="str">
        <f>IFERROR(__xludf.DUMMYFUNCTION("""COMPUTED_VALUE"""),"Completado en SUCURSAL")</f>
        <v>Completado en SUCURSAL</v>
      </c>
      <c r="J5432" s="1">
        <f t="shared" si="3"/>
        <v>5</v>
      </c>
      <c r="K5432" s="1" t="str">
        <f t="shared" si="4"/>
        <v>Tus Lentes estan LISTAS PARA ENTREGAR, te esperamos.</v>
      </c>
    </row>
    <row r="5433">
      <c r="A5433" s="1">
        <f>IFERROR(__xludf.DUMMYFUNCTION("""COMPUTED_VALUE"""),89998.0)</f>
        <v>89998</v>
      </c>
      <c r="B5433" s="5">
        <f>IFERROR(__xludf.DUMMYFUNCTION("""COMPUTED_VALUE"""),45030.51501270833)</f>
        <v>45030.51501</v>
      </c>
      <c r="C5433" s="1" t="str">
        <f>IFERROR(__xludf.DUMMYFUNCTION("""COMPUTED_VALUE"""),"SOSA NATALIA")</f>
        <v>SOSA NATALIA</v>
      </c>
      <c r="D5433" s="1" t="str">
        <f>IFERROR(__xludf.DUMMYFUNCTION("""COMPUTED_VALUE"""),"Reparaciones/Otros")</f>
        <v>Reparaciones/Otros</v>
      </c>
      <c r="E5433" s="1" t="str">
        <f>IFERROR(__xludf.DUMMYFUNCTION("""COMPUTED_VALUE"""),"ARTIGAS Roció")</f>
        <v>ARTIGAS Roció</v>
      </c>
      <c r="F5433" s="1" t="str">
        <f t="shared" si="1"/>
        <v>ARTIGAS </v>
      </c>
      <c r="G5433" s="1" t="str">
        <f t="shared" si="2"/>
        <v>Roció</v>
      </c>
      <c r="H5433" s="1" t="str">
        <f>IFERROR(__xludf.DUMMYFUNCTION("""COMPUTED_VALUE"""),"18/4/2023, 17:00:00")</f>
        <v>18/4/2023, 17:00:00</v>
      </c>
      <c r="I5433" s="1" t="str">
        <f>IFERROR(__xludf.DUMMYFUNCTION("""COMPUTED_VALUE"""),"Completado en SUCURSAL")</f>
        <v>Completado en SUCURSAL</v>
      </c>
      <c r="J5433" s="1">
        <f t="shared" si="3"/>
        <v>5</v>
      </c>
      <c r="K5433" s="1" t="str">
        <f t="shared" si="4"/>
        <v>Tus Lentes estan LISTAS PARA ENTREGAR, te esperamos.</v>
      </c>
    </row>
    <row r="5434">
      <c r="A5434" s="1">
        <f>IFERROR(__xludf.DUMMYFUNCTION("""COMPUTED_VALUE"""),89999.0)</f>
        <v>89999</v>
      </c>
      <c r="B5434" s="5">
        <f>IFERROR(__xludf.DUMMYFUNCTION("""COMPUTED_VALUE"""),45030.516866377315)</f>
        <v>45030.51687</v>
      </c>
      <c r="C5434" s="1" t="str">
        <f>IFERROR(__xludf.DUMMYFUNCTION("""COMPUTED_VALUE"""),"TORRES MARIA ELENA")</f>
        <v>TORRES MARIA ELENA</v>
      </c>
      <c r="D5434" s="1" t="str">
        <f>IFERROR(__xludf.DUMMYFUNCTION("""COMPUTED_VALUE"""),"Lentes MULTIFOCALES")</f>
        <v>Lentes MULTIFOCALES</v>
      </c>
      <c r="E5434" s="1" t="str">
        <f>IFERROR(__xludf.DUMMYFUNCTION("""COMPUTED_VALUE"""),"RIVADAVIA Christian C.")</f>
        <v>RIVADAVIA Christian C.</v>
      </c>
      <c r="F5434" s="1" t="str">
        <f t="shared" si="1"/>
        <v>RIVADAVIA </v>
      </c>
      <c r="G5434" s="1" t="str">
        <f t="shared" si="2"/>
        <v>Christian C.</v>
      </c>
      <c r="H5434" s="1" t="str">
        <f>IFERROR(__xludf.DUMMYFUNCTION("""COMPUTED_VALUE"""),"26/4/2023, 17:00:00")</f>
        <v>26/4/2023, 17:00:00</v>
      </c>
      <c r="I5434" s="1" t="str">
        <f>IFERROR(__xludf.DUMMYFUNCTION("""COMPUTED_VALUE"""),"Completado en SUCURSAL")</f>
        <v>Completado en SUCURSAL</v>
      </c>
      <c r="J5434" s="1">
        <f t="shared" si="3"/>
        <v>5</v>
      </c>
      <c r="K5434" s="1" t="str">
        <f t="shared" si="4"/>
        <v>Tus Lentes estan LISTAS PARA ENTREGAR, te esperamos.</v>
      </c>
    </row>
    <row r="5435">
      <c r="A5435" s="1">
        <f>IFERROR(__xludf.DUMMYFUNCTION("""COMPUTED_VALUE"""),90000.0)</f>
        <v>90000</v>
      </c>
      <c r="B5435" s="5">
        <f>IFERROR(__xludf.DUMMYFUNCTION("""COMPUTED_VALUE"""),45030.52735070602)</f>
        <v>45030.52735</v>
      </c>
      <c r="C5435" s="1" t="str">
        <f>IFERROR(__xludf.DUMMYFUNCTION("""COMPUTED_VALUE"""),"FERRARI MARIA ESTER")</f>
        <v>FERRARI MARIA ESTER</v>
      </c>
      <c r="D5435" s="1" t="str">
        <f>IFERROR(__xludf.DUMMYFUNCTION("""COMPUTED_VALUE"""),"Lentes de STOCK")</f>
        <v>Lentes de STOCK</v>
      </c>
      <c r="E5435" s="1" t="str">
        <f>IFERROR(__xludf.DUMMYFUNCTION("""COMPUTED_VALUE"""),"ARTIGAS Roció")</f>
        <v>ARTIGAS Roció</v>
      </c>
      <c r="F5435" s="1" t="str">
        <f t="shared" si="1"/>
        <v>ARTIGAS </v>
      </c>
      <c r="G5435" s="1" t="str">
        <f t="shared" si="2"/>
        <v>Roció</v>
      </c>
      <c r="H5435" s="1" t="str">
        <f>IFERROR(__xludf.DUMMYFUNCTION("""COMPUTED_VALUE"""),"24/4/2023, 17:00:00")</f>
        <v>24/4/2023, 17:00:00</v>
      </c>
      <c r="I5435" s="1"/>
      <c r="J5435" s="1">
        <f t="shared" si="3"/>
        <v>0</v>
      </c>
      <c r="K5435" s="1" t="str">
        <f t="shared" si="4"/>
        <v/>
      </c>
    </row>
    <row r="5436">
      <c r="A5436" s="1">
        <f>IFERROR(__xludf.DUMMYFUNCTION("""COMPUTED_VALUE"""),90001.0)</f>
        <v>90001</v>
      </c>
      <c r="B5436" s="5">
        <f>IFERROR(__xludf.DUMMYFUNCTION("""COMPUTED_VALUE"""),45030.53462734954)</f>
        <v>45030.53463</v>
      </c>
      <c r="C5436" s="1" t="str">
        <f>IFERROR(__xludf.DUMMYFUNCTION("""COMPUTED_VALUE"""),"URBANO VICENTE JESUS")</f>
        <v>URBANO VICENTE JESUS</v>
      </c>
      <c r="D5436" s="1" t="str">
        <f>IFERROR(__xludf.DUMMYFUNCTION("""COMPUTED_VALUE"""),"Lentes BIFOCALES")</f>
        <v>Lentes BIFOCALES</v>
      </c>
      <c r="E5436" s="1" t="str">
        <f>IFERROR(__xludf.DUMMYFUNCTION("""COMPUTED_VALUE"""),"ARTIGAS Roció")</f>
        <v>ARTIGAS Roció</v>
      </c>
      <c r="F5436" s="1" t="str">
        <f t="shared" si="1"/>
        <v>ARTIGAS </v>
      </c>
      <c r="G5436" s="1" t="str">
        <f t="shared" si="2"/>
        <v>Roció</v>
      </c>
      <c r="H5436" s="1" t="str">
        <f>IFERROR(__xludf.DUMMYFUNCTION("""COMPUTED_VALUE"""),"24/4/2023, 17:00:00")</f>
        <v>24/4/2023, 17:00:00</v>
      </c>
      <c r="I5436" s="1" t="str">
        <f>IFERROR(__xludf.DUMMYFUNCTION("""COMPUTED_VALUE"""),"Recibido en Laboratorio")</f>
        <v>Recibido en Laboratorio</v>
      </c>
      <c r="J5436" s="1">
        <f t="shared" si="3"/>
        <v>2</v>
      </c>
      <c r="K5436" s="1" t="str">
        <f t="shared" si="4"/>
        <v>Nuestro Laboratorio esta trabajando en tus lentes, los entregaremos en la fecha acordada.</v>
      </c>
    </row>
    <row r="5437">
      <c r="A5437" s="1">
        <f>IFERROR(__xludf.DUMMYFUNCTION("""COMPUTED_VALUE"""),90002.0)</f>
        <v>90002</v>
      </c>
      <c r="B5437" s="5">
        <f>IFERROR(__xludf.DUMMYFUNCTION("""COMPUTED_VALUE"""),45030.536540347224)</f>
        <v>45030.53654</v>
      </c>
      <c r="C5437" s="1" t="str">
        <f>IFERROR(__xludf.DUMMYFUNCTION("""COMPUTED_VALUE"""),"alonso hector")</f>
        <v>alonso hector</v>
      </c>
      <c r="D5437" s="1" t="str">
        <f>IFERROR(__xludf.DUMMYFUNCTION("""COMPUTED_VALUE"""),"Reparaciones/Otros")</f>
        <v>Reparaciones/Otros</v>
      </c>
      <c r="E5437" s="1" t="str">
        <f>IFERROR(__xludf.DUMMYFUNCTION("""COMPUTED_VALUE"""),"RIVADAVIA Santiago N")</f>
        <v>RIVADAVIA Santiago N</v>
      </c>
      <c r="F5437" s="1" t="str">
        <f t="shared" si="1"/>
        <v>RIVADAVIA </v>
      </c>
      <c r="G5437" s="1" t="str">
        <f t="shared" si="2"/>
        <v>Santiago N</v>
      </c>
      <c r="H5437" s="1" t="str">
        <f>IFERROR(__xludf.DUMMYFUNCTION("""COMPUTED_VALUE"""),"18/4/2023, 17:00:00")</f>
        <v>18/4/2023, 17:00:00</v>
      </c>
      <c r="I5437" s="1" t="str">
        <f>IFERROR(__xludf.DUMMYFUNCTION("""COMPUTED_VALUE"""),"Completado en SUCURSAL")</f>
        <v>Completado en SUCURSAL</v>
      </c>
      <c r="J5437" s="1">
        <f t="shared" si="3"/>
        <v>5</v>
      </c>
      <c r="K5437" s="1" t="str">
        <f t="shared" si="4"/>
        <v>Tus Lentes estan LISTAS PARA ENTREGAR, te esperamos.</v>
      </c>
    </row>
    <row r="5438">
      <c r="A5438" s="1">
        <f>IFERROR(__xludf.DUMMYFUNCTION("""COMPUTED_VALUE"""),90003.0)</f>
        <v>90003</v>
      </c>
      <c r="B5438" s="5">
        <f>IFERROR(__xludf.DUMMYFUNCTION("""COMPUTED_VALUE"""),45030.53863768518)</f>
        <v>45030.53864</v>
      </c>
      <c r="C5438" s="1" t="str">
        <f>IFERROR(__xludf.DUMMYFUNCTION("""COMPUTED_VALUE"""),"OLLIER OROS FRANCO ULISES")</f>
        <v>OLLIER OROS FRANCO ULISES</v>
      </c>
      <c r="D5438" s="1" t="str">
        <f>IFERROR(__xludf.DUMMYFUNCTION("""COMPUTED_VALUE"""),"Lentes de LABORATORIO")</f>
        <v>Lentes de LABORATORIO</v>
      </c>
      <c r="E5438" s="1" t="str">
        <f>IFERROR(__xludf.DUMMYFUNCTION("""COMPUTED_VALUE"""),"RIVADAVIA Marcela L")</f>
        <v>RIVADAVIA Marcela L</v>
      </c>
      <c r="F5438" s="1" t="str">
        <f t="shared" si="1"/>
        <v>RIVADAVIA </v>
      </c>
      <c r="G5438" s="1" t="str">
        <f t="shared" si="2"/>
        <v>Marcela L</v>
      </c>
      <c r="H5438" s="1" t="str">
        <f>IFERROR(__xludf.DUMMYFUNCTION("""COMPUTED_VALUE"""),"21/4/2023, 17:00:00")</f>
        <v>21/4/2023, 17:00:00</v>
      </c>
      <c r="I5438" s="1" t="str">
        <f>IFERROR(__xludf.DUMMYFUNCTION("""COMPUTED_VALUE"""),"Recibido en Laboratorio")</f>
        <v>Recibido en Laboratorio</v>
      </c>
      <c r="J5438" s="1">
        <f t="shared" si="3"/>
        <v>2</v>
      </c>
      <c r="K5438" s="1" t="str">
        <f t="shared" si="4"/>
        <v>Nuestro Laboratorio esta trabajando en tus lentes, los entregaremos en la fecha acordada.</v>
      </c>
    </row>
    <row r="5439">
      <c r="A5439" s="1">
        <f>IFERROR(__xludf.DUMMYFUNCTION("""COMPUTED_VALUE"""),90004.0)</f>
        <v>90004</v>
      </c>
      <c r="B5439" s="5">
        <f>IFERROR(__xludf.DUMMYFUNCTION("""COMPUTED_VALUE"""),45030.54946069444)</f>
        <v>45030.54946</v>
      </c>
      <c r="C5439" s="1" t="str">
        <f>IFERROR(__xludf.DUMMYFUNCTION("""COMPUTED_VALUE"""),"ALBISU VICTORIA")</f>
        <v>ALBISU VICTORIA</v>
      </c>
      <c r="D5439" s="1" t="str">
        <f>IFERROR(__xludf.DUMMYFUNCTION("""COMPUTED_VALUE"""),"Reparaciones/Otros")</f>
        <v>Reparaciones/Otros</v>
      </c>
      <c r="E5439" s="1" t="str">
        <f>IFERROR(__xludf.DUMMYFUNCTION("""COMPUTED_VALUE"""),"ARTIGAS Ivana P.")</f>
        <v>ARTIGAS Ivana P.</v>
      </c>
      <c r="F5439" s="1" t="str">
        <f t="shared" si="1"/>
        <v>ARTIGAS </v>
      </c>
      <c r="G5439" s="1" t="str">
        <f t="shared" si="2"/>
        <v>Ivana P.</v>
      </c>
      <c r="H5439" s="1" t="str">
        <f>IFERROR(__xludf.DUMMYFUNCTION("""COMPUTED_VALUE"""),"18/4/2023, 17:00:00")</f>
        <v>18/4/2023, 17:00:00</v>
      </c>
      <c r="I5439" s="1" t="str">
        <f>IFERROR(__xludf.DUMMYFUNCTION("""COMPUTED_VALUE"""),"Completado en SUCURSAL")</f>
        <v>Completado en SUCURSAL</v>
      </c>
      <c r="J5439" s="1">
        <f t="shared" si="3"/>
        <v>5</v>
      </c>
      <c r="K5439" s="1" t="str">
        <f t="shared" si="4"/>
        <v>Tus Lentes estan LISTAS PARA ENTREGAR, te esperamos.</v>
      </c>
    </row>
    <row r="5440">
      <c r="A5440" s="1">
        <f>IFERROR(__xludf.DUMMYFUNCTION("""COMPUTED_VALUE"""),90005.0)</f>
        <v>90005</v>
      </c>
      <c r="B5440" s="5">
        <f>IFERROR(__xludf.DUMMYFUNCTION("""COMPUTED_VALUE"""),45030.6415481713)</f>
        <v>45030.64155</v>
      </c>
      <c r="C5440" s="1" t="str">
        <f>IFERROR(__xludf.DUMMYFUNCTION("""COMPUTED_VALUE"""),"MARTINEZ MARIA NELLY")</f>
        <v>MARTINEZ MARIA NELLY</v>
      </c>
      <c r="D5440" s="1" t="str">
        <f>IFERROR(__xludf.DUMMYFUNCTION("""COMPUTED_VALUE"""),"Lentes MULTIFOCALES")</f>
        <v>Lentes MULTIFOCALES</v>
      </c>
      <c r="E5440" s="1" t="str">
        <f>IFERROR(__xludf.DUMMYFUNCTION("""COMPUTED_VALUE"""),"RIVADAVIA Marcela L")</f>
        <v>RIVADAVIA Marcela L</v>
      </c>
      <c r="F5440" s="1" t="str">
        <f t="shared" si="1"/>
        <v>RIVADAVIA </v>
      </c>
      <c r="G5440" s="1" t="str">
        <f t="shared" si="2"/>
        <v>Marcela L</v>
      </c>
      <c r="H5440" s="1" t="str">
        <f>IFERROR(__xludf.DUMMYFUNCTION("""COMPUTED_VALUE"""),"28/4/2023, 17:00:00")</f>
        <v>28/4/2023, 17:00:00</v>
      </c>
      <c r="I5440" s="1" t="str">
        <f>IFERROR(__xludf.DUMMYFUNCTION("""COMPUTED_VALUE"""),"Recibido en Laboratorio")</f>
        <v>Recibido en Laboratorio</v>
      </c>
      <c r="J5440" s="1">
        <f t="shared" si="3"/>
        <v>2</v>
      </c>
      <c r="K5440" s="1" t="str">
        <f t="shared" si="4"/>
        <v>Nuestro Laboratorio esta trabajando en tus lentes, los entregaremos en la fecha acordada.</v>
      </c>
    </row>
    <row r="5441">
      <c r="A5441" s="1">
        <f>IFERROR(__xludf.DUMMYFUNCTION("""COMPUTED_VALUE"""),90006.0)</f>
        <v>90006</v>
      </c>
      <c r="B5441" s="5">
        <f>IFERROR(__xludf.DUMMYFUNCTION("""COMPUTED_VALUE"""),45030.68675961805)</f>
        <v>45030.68676</v>
      </c>
      <c r="C5441" s="1" t="str">
        <f>IFERROR(__xludf.DUMMYFUNCTION("""COMPUTED_VALUE"""),"PEREZ ALEJANDRO / EDESAL")</f>
        <v>PEREZ ALEJANDRO / EDESAL</v>
      </c>
      <c r="D5441" s="1" t="str">
        <f>IFERROR(__xludf.DUMMYFUNCTION("""COMPUTED_VALUE"""),"Lentes de STOCK")</f>
        <v>Lentes de STOCK</v>
      </c>
      <c r="E5441" s="1" t="str">
        <f>IFERROR(__xludf.DUMMYFUNCTION("""COMPUTED_VALUE"""),"ARTIGAS Ivana P.")</f>
        <v>ARTIGAS Ivana P.</v>
      </c>
      <c r="F5441" s="1" t="str">
        <f t="shared" si="1"/>
        <v>ARTIGAS </v>
      </c>
      <c r="G5441" s="1" t="str">
        <f t="shared" si="2"/>
        <v>Ivana P.</v>
      </c>
      <c r="H5441" s="1" t="str">
        <f>IFERROR(__xludf.DUMMYFUNCTION("""COMPUTED_VALUE"""),"20/4/2023, 17:00:00")</f>
        <v>20/4/2023, 17:00:00</v>
      </c>
      <c r="I5441" s="1" t="str">
        <f>IFERROR(__xludf.DUMMYFUNCTION("""COMPUTED_VALUE"""),"DEMORADO")</f>
        <v>DEMORADO</v>
      </c>
      <c r="J5441" s="1" t="str">
        <f t="shared" si="3"/>
        <v/>
      </c>
      <c r="K5441" s="1" t="str">
        <f t="shared" si="4"/>
        <v>Tuvimos una demora con tus lentes y no podremos entregarlo en las fecha acordada, estamos trabajando para terminarlos cuanto antes, te mantendremos al tanto, si es necesario contactanos via whatsapp.</v>
      </c>
    </row>
    <row r="5442">
      <c r="A5442" s="1">
        <f>IFERROR(__xludf.DUMMYFUNCTION("""COMPUTED_VALUE"""),90007.0)</f>
        <v>90007</v>
      </c>
      <c r="B5442" s="5">
        <f>IFERROR(__xludf.DUMMYFUNCTION("""COMPUTED_VALUE"""),45030.69807704861)</f>
        <v>45030.69808</v>
      </c>
      <c r="C5442" s="1" t="str">
        <f>IFERROR(__xludf.DUMMYFUNCTION("""COMPUTED_VALUE"""),"IGLESIAS ERICA VALERIA")</f>
        <v>IGLESIAS ERICA VALERIA</v>
      </c>
      <c r="D5442" s="1" t="str">
        <f>IFERROR(__xludf.DUMMYFUNCTION("""COMPUTED_VALUE"""),"Lentes BIFOCALES")</f>
        <v>Lentes BIFOCALES</v>
      </c>
      <c r="E5442" s="1" t="str">
        <f>IFERROR(__xludf.DUMMYFUNCTION("""COMPUTED_VALUE"""),"ARTIGAS Roció")</f>
        <v>ARTIGAS Roció</v>
      </c>
      <c r="F5442" s="1" t="str">
        <f t="shared" si="1"/>
        <v>ARTIGAS </v>
      </c>
      <c r="G5442" s="1" t="str">
        <f t="shared" si="2"/>
        <v>Roció</v>
      </c>
      <c r="H5442" s="1" t="str">
        <f>IFERROR(__xludf.DUMMYFUNCTION("""COMPUTED_VALUE"""),"24/4/2023, 17:00:00")</f>
        <v>24/4/2023, 17:00:00</v>
      </c>
      <c r="I5442" s="1" t="str">
        <f>IFERROR(__xludf.DUMMYFUNCTION("""COMPUTED_VALUE"""),"Recibido en Laboratorio")</f>
        <v>Recibido en Laboratorio</v>
      </c>
      <c r="J5442" s="1">
        <f t="shared" si="3"/>
        <v>2</v>
      </c>
      <c r="K5442" s="1" t="str">
        <f t="shared" si="4"/>
        <v>Nuestro Laboratorio esta trabajando en tus lentes, los entregaremos en la fecha acordada.</v>
      </c>
    </row>
    <row r="5443">
      <c r="A5443" s="1">
        <f>IFERROR(__xludf.DUMMYFUNCTION("""COMPUTED_VALUE"""),90008.0)</f>
        <v>90008</v>
      </c>
      <c r="B5443" s="5">
        <f>IFERROR(__xludf.DUMMYFUNCTION("""COMPUTED_VALUE"""),45030.721013692135)</f>
        <v>45030.72101</v>
      </c>
      <c r="C5443" s="1" t="str">
        <f>IFERROR(__xludf.DUMMYFUNCTION("""COMPUTED_VALUE"""),"molina maria victoria")</f>
        <v>molina maria victoria</v>
      </c>
      <c r="D5443" s="1" t="str">
        <f>IFERROR(__xludf.DUMMYFUNCTION("""COMPUTED_VALUE"""),"Lentes de STOCK")</f>
        <v>Lentes de STOCK</v>
      </c>
      <c r="E5443" s="1" t="str">
        <f>IFERROR(__xludf.DUMMYFUNCTION("""COMPUTED_VALUE"""),"RIVADAVIA Santiago N")</f>
        <v>RIVADAVIA Santiago N</v>
      </c>
      <c r="F5443" s="1" t="str">
        <f t="shared" si="1"/>
        <v>RIVADAVIA </v>
      </c>
      <c r="G5443" s="1" t="str">
        <f t="shared" si="2"/>
        <v>Santiago N</v>
      </c>
      <c r="H5443" s="1" t="str">
        <f>IFERROR(__xludf.DUMMYFUNCTION("""COMPUTED_VALUE"""),"18/4/2023, 17:00:00")</f>
        <v>18/4/2023, 17:00:00</v>
      </c>
      <c r="I5443" s="1" t="str">
        <f>IFERROR(__xludf.DUMMYFUNCTION("""COMPUTED_VALUE"""),"Completado en SUCURSAL")</f>
        <v>Completado en SUCURSAL</v>
      </c>
      <c r="J5443" s="1">
        <f t="shared" si="3"/>
        <v>5</v>
      </c>
      <c r="K5443" s="1" t="str">
        <f t="shared" si="4"/>
        <v>Tus Lentes estan LISTAS PARA ENTREGAR, te esperamos.</v>
      </c>
    </row>
    <row r="5444">
      <c r="A5444" s="1">
        <f>IFERROR(__xludf.DUMMYFUNCTION("""COMPUTED_VALUE"""),90009.0)</f>
        <v>90009</v>
      </c>
      <c r="B5444" s="5">
        <f>IFERROR(__xludf.DUMMYFUNCTION("""COMPUTED_VALUE"""),45030.724159791665)</f>
        <v>45030.72416</v>
      </c>
      <c r="C5444" s="1" t="str">
        <f>IFERROR(__xludf.DUMMYFUNCTION("""COMPUTED_VALUE"""),"sosa norma")</f>
        <v>sosa norma</v>
      </c>
      <c r="D5444" s="1" t="str">
        <f>IFERROR(__xludf.DUMMYFUNCTION("""COMPUTED_VALUE"""),"Lentes de STOCK")</f>
        <v>Lentes de STOCK</v>
      </c>
      <c r="E5444" s="1" t="str">
        <f>IFERROR(__xludf.DUMMYFUNCTION("""COMPUTED_VALUE"""),"RIVADAVIA Santiago N")</f>
        <v>RIVADAVIA Santiago N</v>
      </c>
      <c r="F5444" s="1" t="str">
        <f t="shared" si="1"/>
        <v>RIVADAVIA </v>
      </c>
      <c r="G5444" s="1" t="str">
        <f t="shared" si="2"/>
        <v>Santiago N</v>
      </c>
      <c r="H5444" s="1" t="str">
        <f>IFERROR(__xludf.DUMMYFUNCTION("""COMPUTED_VALUE"""),"18/4/2023, 17:00:00")</f>
        <v>18/4/2023, 17:00:00</v>
      </c>
      <c r="I5444" s="1" t="str">
        <f>IFERROR(__xludf.DUMMYFUNCTION("""COMPUTED_VALUE"""),"Completado en SUCURSAL")</f>
        <v>Completado en SUCURSAL</v>
      </c>
      <c r="J5444" s="1">
        <f t="shared" si="3"/>
        <v>5</v>
      </c>
      <c r="K5444" s="1" t="str">
        <f t="shared" si="4"/>
        <v>Tus Lentes estan LISTAS PARA ENTREGAR, te esperamos.</v>
      </c>
    </row>
    <row r="5445">
      <c r="A5445" s="1">
        <f>IFERROR(__xludf.DUMMYFUNCTION("""COMPUTED_VALUE"""),90010.0)</f>
        <v>90010</v>
      </c>
      <c r="B5445" s="5">
        <f>IFERROR(__xludf.DUMMYFUNCTION("""COMPUTED_VALUE"""),45030.732349259255)</f>
        <v>45030.73235</v>
      </c>
      <c r="C5445" s="1" t="str">
        <f>IFERROR(__xludf.DUMMYFUNCTION("""COMPUTED_VALUE"""),"PEDROZO OLGA ROXANA ")</f>
        <v>PEDROZO OLGA ROXANA </v>
      </c>
      <c r="D5445" s="1" t="str">
        <f>IFERROR(__xludf.DUMMYFUNCTION("""COMPUTED_VALUE"""),"Lentes de STOCK")</f>
        <v>Lentes de STOCK</v>
      </c>
      <c r="E5445" s="1" t="str">
        <f>IFERROR(__xludf.DUMMYFUNCTION("""COMPUTED_VALUE"""),"RIVADAVIA Santiago LOPEZ")</f>
        <v>RIVADAVIA Santiago LOPEZ</v>
      </c>
      <c r="F5445" s="1" t="str">
        <f t="shared" si="1"/>
        <v>RIVADAVIA </v>
      </c>
      <c r="G5445" s="1" t="str">
        <f t="shared" si="2"/>
        <v>Santiago LOPEZ</v>
      </c>
      <c r="H5445" s="1" t="str">
        <f>IFERROR(__xludf.DUMMYFUNCTION("""COMPUTED_VALUE"""),"18/4/2023, 17:00:00")</f>
        <v>18/4/2023, 17:00:00</v>
      </c>
      <c r="I5445" s="1" t="str">
        <f>IFERROR(__xludf.DUMMYFUNCTION("""COMPUTED_VALUE"""),"Completado en SUCURSAL")</f>
        <v>Completado en SUCURSAL</v>
      </c>
      <c r="J5445" s="1">
        <f t="shared" si="3"/>
        <v>5</v>
      </c>
      <c r="K5445" s="1" t="str">
        <f t="shared" si="4"/>
        <v>Tus Lentes estan LISTAS PARA ENTREGAR, te esperamos.</v>
      </c>
    </row>
    <row r="5446">
      <c r="A5446" s="1">
        <f>IFERROR(__xludf.DUMMYFUNCTION("""COMPUTED_VALUE"""),90011.0)</f>
        <v>90011</v>
      </c>
      <c r="B5446" s="5">
        <f>IFERROR(__xludf.DUMMYFUNCTION("""COMPUTED_VALUE"""),45030.73266984954)</f>
        <v>45030.73267</v>
      </c>
      <c r="C5446" s="1" t="str">
        <f>IFERROR(__xludf.DUMMYFUNCTION("""COMPUTED_VALUE"""),"BENITES MIRIAM DEL VALLE")</f>
        <v>BENITES MIRIAM DEL VALLE</v>
      </c>
      <c r="D5446" s="1" t="str">
        <f>IFERROR(__xludf.DUMMYFUNCTION("""COMPUTED_VALUE"""),"Lentes de STOCK")</f>
        <v>Lentes de STOCK</v>
      </c>
      <c r="E5446" s="1" t="str">
        <f>IFERROR(__xludf.DUMMYFUNCTION("""COMPUTED_VALUE"""),"ARTIGAS Roció")</f>
        <v>ARTIGAS Roció</v>
      </c>
      <c r="F5446" s="1" t="str">
        <f t="shared" si="1"/>
        <v>ARTIGAS </v>
      </c>
      <c r="G5446" s="1" t="str">
        <f t="shared" si="2"/>
        <v>Roció</v>
      </c>
      <c r="H5446" s="1" t="str">
        <f>IFERROR(__xludf.DUMMYFUNCTION("""COMPUTED_VALUE"""),"21/4/2023, 17:00:00")</f>
        <v>21/4/2023, 17:00:00</v>
      </c>
      <c r="I5446" s="1" t="str">
        <f>IFERROR(__xludf.DUMMYFUNCTION("""COMPUTED_VALUE"""),"Recibido en Laboratorio")</f>
        <v>Recibido en Laboratorio</v>
      </c>
      <c r="J5446" s="1">
        <f t="shared" si="3"/>
        <v>2</v>
      </c>
      <c r="K5446" s="1" t="str">
        <f t="shared" si="4"/>
        <v>Nuestro Laboratorio esta trabajando en tus lentes, los entregaremos en la fecha acordada.</v>
      </c>
    </row>
    <row r="5447">
      <c r="A5447" s="1">
        <f>IFERROR(__xludf.DUMMYFUNCTION("""COMPUTED_VALUE"""),90012.0)</f>
        <v>90012</v>
      </c>
      <c r="B5447" s="5">
        <f>IFERROR(__xludf.DUMMYFUNCTION("""COMPUTED_VALUE"""),45030.73958376158)</f>
        <v>45030.73958</v>
      </c>
      <c r="C5447" s="1" t="str">
        <f>IFERROR(__xludf.DUMMYFUNCTION("""COMPUTED_VALUE"""),"GIMENEZ MARINA")</f>
        <v>GIMENEZ MARINA</v>
      </c>
      <c r="D5447" s="1" t="str">
        <f>IFERROR(__xludf.DUMMYFUNCTION("""COMPUTED_VALUE"""),"Lentes de STOCK")</f>
        <v>Lentes de STOCK</v>
      </c>
      <c r="E5447" s="1" t="str">
        <f>IFERROR(__xludf.DUMMYFUNCTION("""COMPUTED_VALUE"""),"ARTIGAS Ivana P.")</f>
        <v>ARTIGAS Ivana P.</v>
      </c>
      <c r="F5447" s="1" t="str">
        <f t="shared" si="1"/>
        <v>ARTIGAS </v>
      </c>
      <c r="G5447" s="1" t="str">
        <f t="shared" si="2"/>
        <v>Ivana P.</v>
      </c>
      <c r="H5447" s="1" t="str">
        <f>IFERROR(__xludf.DUMMYFUNCTION("""COMPUTED_VALUE"""),"20/4/2023, 17:00:00")</f>
        <v>20/4/2023, 17:00:00</v>
      </c>
      <c r="I5447" s="1" t="str">
        <f>IFERROR(__xludf.DUMMYFUNCTION("""COMPUTED_VALUE"""),"Completado en SUCURSAL")</f>
        <v>Completado en SUCURSAL</v>
      </c>
      <c r="J5447" s="1">
        <f t="shared" si="3"/>
        <v>5</v>
      </c>
      <c r="K5447" s="1" t="str">
        <f t="shared" si="4"/>
        <v>Tus Lentes estan LISTAS PARA ENTREGAR, te esperamos.</v>
      </c>
    </row>
    <row r="5448">
      <c r="A5448" s="1">
        <f>IFERROR(__xludf.DUMMYFUNCTION("""COMPUTED_VALUE"""),90013.0)</f>
        <v>90013</v>
      </c>
      <c r="B5448" s="5">
        <f>IFERROR(__xludf.DUMMYFUNCTION("""COMPUTED_VALUE"""),45030.74645791667)</f>
        <v>45030.74646</v>
      </c>
      <c r="C5448" s="1" t="str">
        <f>IFERROR(__xludf.DUMMYFUNCTION("""COMPUTED_VALUE"""),"GALLARDO MATEO")</f>
        <v>GALLARDO MATEO</v>
      </c>
      <c r="D5448" s="1" t="str">
        <f>IFERROR(__xludf.DUMMYFUNCTION("""COMPUTED_VALUE"""),"Lentes de STOCK")</f>
        <v>Lentes de STOCK</v>
      </c>
      <c r="E5448" s="1" t="str">
        <f>IFERROR(__xludf.DUMMYFUNCTION("""COMPUTED_VALUE"""),"ARTIGAS Ivana P.")</f>
        <v>ARTIGAS Ivana P.</v>
      </c>
      <c r="F5448" s="1" t="str">
        <f t="shared" si="1"/>
        <v>ARTIGAS </v>
      </c>
      <c r="G5448" s="1" t="str">
        <f t="shared" si="2"/>
        <v>Ivana P.</v>
      </c>
      <c r="H5448" s="1" t="str">
        <f>IFERROR(__xludf.DUMMYFUNCTION("""COMPUTED_VALUE"""),"20/4/2023, 17:00:00")</f>
        <v>20/4/2023, 17:00:00</v>
      </c>
      <c r="I5448" s="1" t="str">
        <f>IFERROR(__xludf.DUMMYFUNCTION("""COMPUTED_VALUE"""),"Completado en SUCURSAL")</f>
        <v>Completado en SUCURSAL</v>
      </c>
      <c r="J5448" s="1">
        <f t="shared" si="3"/>
        <v>5</v>
      </c>
      <c r="K5448" s="1" t="str">
        <f t="shared" si="4"/>
        <v>Tus Lentes estan LISTAS PARA ENTREGAR, te esperamos.</v>
      </c>
    </row>
    <row r="5449">
      <c r="A5449" s="1">
        <f>IFERROR(__xludf.DUMMYFUNCTION("""COMPUTED_VALUE"""),90014.0)</f>
        <v>90014</v>
      </c>
      <c r="B5449" s="5">
        <f>IFERROR(__xludf.DUMMYFUNCTION("""COMPUTED_VALUE"""),45030.74786914352)</f>
        <v>45030.74787</v>
      </c>
      <c r="C5449" s="1" t="str">
        <f>IFERROR(__xludf.DUMMYFUNCTION("""COMPUTED_VALUE"""),"WENDEL JUSTINA")</f>
        <v>WENDEL JUSTINA</v>
      </c>
      <c r="D5449" s="1" t="str">
        <f>IFERROR(__xludf.DUMMYFUNCTION("""COMPUTED_VALUE"""),"Reparaciones/Otros")</f>
        <v>Reparaciones/Otros</v>
      </c>
      <c r="E5449" s="1" t="str">
        <f>IFERROR(__xludf.DUMMYFUNCTION("""COMPUTED_VALUE"""),"ARTIGAS Micaela")</f>
        <v>ARTIGAS Micaela</v>
      </c>
      <c r="F5449" s="1" t="str">
        <f t="shared" si="1"/>
        <v>ARTIGAS </v>
      </c>
      <c r="G5449" s="1" t="str">
        <f t="shared" si="2"/>
        <v>Micaela</v>
      </c>
      <c r="H5449" s="1" t="str">
        <f>IFERROR(__xludf.DUMMYFUNCTION("""COMPUTED_VALUE"""),"18/4/2023, 17:00:00")</f>
        <v>18/4/2023, 17:00:00</v>
      </c>
      <c r="I5449" s="1" t="str">
        <f>IFERROR(__xludf.DUMMYFUNCTION("""COMPUTED_VALUE"""),"Completado en SUCURSAL")</f>
        <v>Completado en SUCURSAL</v>
      </c>
      <c r="J5449" s="1">
        <f t="shared" si="3"/>
        <v>5</v>
      </c>
      <c r="K5449" s="1" t="str">
        <f t="shared" si="4"/>
        <v>Tus Lentes estan LISTAS PARA ENTREGAR, te esperamos.</v>
      </c>
    </row>
    <row r="5450">
      <c r="A5450" s="1">
        <f>IFERROR(__xludf.DUMMYFUNCTION("""COMPUTED_VALUE"""),90015.0)</f>
        <v>90015</v>
      </c>
      <c r="B5450" s="5">
        <f>IFERROR(__xludf.DUMMYFUNCTION("""COMPUTED_VALUE"""),45030.748274537036)</f>
        <v>45030.74827</v>
      </c>
      <c r="C5450" s="1" t="str">
        <f>IFERROR(__xludf.DUMMYFUNCTION("""COMPUTED_VALUE"""),"FRANCHI LUCIANO")</f>
        <v>FRANCHI LUCIANO</v>
      </c>
      <c r="D5450" s="1" t="str">
        <f>IFERROR(__xludf.DUMMYFUNCTION("""COMPUTED_VALUE"""),"Lentes de STOCK")</f>
        <v>Lentes de STOCK</v>
      </c>
      <c r="E5450" s="1" t="str">
        <f>IFERROR(__xludf.DUMMYFUNCTION("""COMPUTED_VALUE"""),"RIVADAVIA Christian C.")</f>
        <v>RIVADAVIA Christian C.</v>
      </c>
      <c r="F5450" s="1" t="str">
        <f t="shared" si="1"/>
        <v>RIVADAVIA </v>
      </c>
      <c r="G5450" s="1" t="str">
        <f t="shared" si="2"/>
        <v>Christian C.</v>
      </c>
      <c r="H5450" s="1" t="str">
        <f>IFERROR(__xludf.DUMMYFUNCTION("""COMPUTED_VALUE"""),"20/4/2023, 17:00:00")</f>
        <v>20/4/2023, 17:00:00</v>
      </c>
      <c r="I5450" s="1" t="str">
        <f>IFERROR(__xludf.DUMMYFUNCTION("""COMPUTED_VALUE"""),"Completado en SUCURSAL")</f>
        <v>Completado en SUCURSAL</v>
      </c>
      <c r="J5450" s="1">
        <f t="shared" si="3"/>
        <v>5</v>
      </c>
      <c r="K5450" s="1" t="str">
        <f t="shared" si="4"/>
        <v>Tus Lentes estan LISTAS PARA ENTREGAR, te esperamos.</v>
      </c>
    </row>
    <row r="5451">
      <c r="A5451" s="1">
        <f>IFERROR(__xludf.DUMMYFUNCTION("""COMPUTED_VALUE"""),90016.0)</f>
        <v>90016</v>
      </c>
      <c r="B5451" s="5">
        <f>IFERROR(__xludf.DUMMYFUNCTION("""COMPUTED_VALUE"""),45030.75134824074)</f>
        <v>45030.75135</v>
      </c>
      <c r="C5451" s="1" t="str">
        <f>IFERROR(__xludf.DUMMYFUNCTION("""COMPUTED_VALUE"""),"GATICA JULIAN EMMANUEL")</f>
        <v>GATICA JULIAN EMMANUEL</v>
      </c>
      <c r="D5451" s="1" t="str">
        <f>IFERROR(__xludf.DUMMYFUNCTION("""COMPUTED_VALUE"""),"Lentes de STOCK")</f>
        <v>Lentes de STOCK</v>
      </c>
      <c r="E5451" s="1" t="str">
        <f>IFERROR(__xludf.DUMMYFUNCTION("""COMPUTED_VALUE"""),"RIVADAVIA Javier")</f>
        <v>RIVADAVIA Javier</v>
      </c>
      <c r="F5451" s="1" t="str">
        <f t="shared" si="1"/>
        <v>RIVADAVIA </v>
      </c>
      <c r="G5451" s="1" t="str">
        <f t="shared" si="2"/>
        <v>Javier</v>
      </c>
      <c r="H5451" s="1" t="str">
        <f>IFERROR(__xludf.DUMMYFUNCTION("""COMPUTED_VALUE"""),"18/4/2023, 17:00:00")</f>
        <v>18/4/2023, 17:00:00</v>
      </c>
      <c r="I5451" s="1" t="str">
        <f>IFERROR(__xludf.DUMMYFUNCTION("""COMPUTED_VALUE"""),"Recibido en Laboratorio")</f>
        <v>Recibido en Laboratorio</v>
      </c>
      <c r="J5451" s="1">
        <f t="shared" si="3"/>
        <v>2</v>
      </c>
      <c r="K5451" s="1" t="str">
        <f t="shared" si="4"/>
        <v>Nuestro Laboratorio esta trabajando en tus lentes, los entregaremos en la fecha acordada.</v>
      </c>
    </row>
    <row r="5452">
      <c r="A5452" s="1">
        <f>IFERROR(__xludf.DUMMYFUNCTION("""COMPUTED_VALUE"""),90017.0)</f>
        <v>90017</v>
      </c>
      <c r="B5452" s="5">
        <f>IFERROR(__xludf.DUMMYFUNCTION("""COMPUTED_VALUE"""),45030.75295364583)</f>
        <v>45030.75295</v>
      </c>
      <c r="C5452" s="1" t="str">
        <f>IFERROR(__xludf.DUMMYFUNCTION("""COMPUTED_VALUE"""),"GARCIA NAHUEL ")</f>
        <v>GARCIA NAHUEL </v>
      </c>
      <c r="D5452" s="1" t="str">
        <f>IFERROR(__xludf.DUMMYFUNCTION("""COMPUTED_VALUE"""),"Lentes de STOCK")</f>
        <v>Lentes de STOCK</v>
      </c>
      <c r="E5452" s="1" t="str">
        <f>IFERROR(__xludf.DUMMYFUNCTION("""COMPUTED_VALUE"""),"RIVADAVIA Christian C.")</f>
        <v>RIVADAVIA Christian C.</v>
      </c>
      <c r="F5452" s="1" t="str">
        <f t="shared" si="1"/>
        <v>RIVADAVIA </v>
      </c>
      <c r="G5452" s="1" t="str">
        <f t="shared" si="2"/>
        <v>Christian C.</v>
      </c>
      <c r="H5452" s="1" t="str">
        <f>IFERROR(__xludf.DUMMYFUNCTION("""COMPUTED_VALUE"""),"24/4/2023, 17:00:00")</f>
        <v>24/4/2023, 17:00:00</v>
      </c>
      <c r="I5452" s="1" t="str">
        <f>IFERROR(__xludf.DUMMYFUNCTION("""COMPUTED_VALUE"""),"Recibido en Laboratorio")</f>
        <v>Recibido en Laboratorio</v>
      </c>
      <c r="J5452" s="1">
        <f t="shared" si="3"/>
        <v>2</v>
      </c>
      <c r="K5452" s="1" t="str">
        <f t="shared" si="4"/>
        <v>Nuestro Laboratorio esta trabajando en tus lentes, los entregaremos en la fecha acordada.</v>
      </c>
    </row>
    <row r="5453">
      <c r="A5453" s="1">
        <f>IFERROR(__xludf.DUMMYFUNCTION("""COMPUTED_VALUE"""),90018.0)</f>
        <v>90018</v>
      </c>
      <c r="B5453" s="5">
        <f>IFERROR(__xludf.DUMMYFUNCTION("""COMPUTED_VALUE"""),45030.75512048611)</f>
        <v>45030.75512</v>
      </c>
      <c r="C5453" s="1" t="str">
        <f>IFERROR(__xludf.DUMMYFUNCTION("""COMPUTED_VALUE"""),"OJEDA MARIELA")</f>
        <v>OJEDA MARIELA</v>
      </c>
      <c r="D5453" s="1" t="str">
        <f>IFERROR(__xludf.DUMMYFUNCTION("""COMPUTED_VALUE"""),"Lentes de STOCK")</f>
        <v>Lentes de STOCK</v>
      </c>
      <c r="E5453" s="1" t="str">
        <f>IFERROR(__xludf.DUMMYFUNCTION("""COMPUTED_VALUE"""),"RIVADAVIA Christian C.")</f>
        <v>RIVADAVIA Christian C.</v>
      </c>
      <c r="F5453" s="1" t="str">
        <f t="shared" si="1"/>
        <v>RIVADAVIA </v>
      </c>
      <c r="G5453" s="1" t="str">
        <f t="shared" si="2"/>
        <v>Christian C.</v>
      </c>
      <c r="H5453" s="1" t="str">
        <f>IFERROR(__xludf.DUMMYFUNCTION("""COMPUTED_VALUE"""),"24/4/2023, 17:00:00")</f>
        <v>24/4/2023, 17:00:00</v>
      </c>
      <c r="I5453" s="1" t="str">
        <f>IFERROR(__xludf.DUMMYFUNCTION("""COMPUTED_VALUE"""),"Recibido en Laboratorio")</f>
        <v>Recibido en Laboratorio</v>
      </c>
      <c r="J5453" s="1">
        <f t="shared" si="3"/>
        <v>2</v>
      </c>
      <c r="K5453" s="1" t="str">
        <f t="shared" si="4"/>
        <v>Nuestro Laboratorio esta trabajando en tus lentes, los entregaremos en la fecha acordada.</v>
      </c>
    </row>
    <row r="5454">
      <c r="A5454" s="1">
        <f>IFERROR(__xludf.DUMMYFUNCTION("""COMPUTED_VALUE"""),90019.0)</f>
        <v>90019</v>
      </c>
      <c r="B5454" s="5">
        <f>IFERROR(__xludf.DUMMYFUNCTION("""COMPUTED_VALUE"""),45030.75712425926)</f>
        <v>45030.75712</v>
      </c>
      <c r="C5454" s="1" t="str">
        <f>IFERROR(__xludf.DUMMYFUNCTION("""COMPUTED_VALUE"""),"JOFRE ORFELIA ANTONIA")</f>
        <v>JOFRE ORFELIA ANTONIA</v>
      </c>
      <c r="D5454" s="1" t="str">
        <f>IFERROR(__xludf.DUMMYFUNCTION("""COMPUTED_VALUE"""),"Lentes de STOCK")</f>
        <v>Lentes de STOCK</v>
      </c>
      <c r="E5454" s="1" t="str">
        <f>IFERROR(__xludf.DUMMYFUNCTION("""COMPUTED_VALUE"""),"ARTIGAS Ivana P.")</f>
        <v>ARTIGAS Ivana P.</v>
      </c>
      <c r="F5454" s="1" t="str">
        <f t="shared" si="1"/>
        <v>ARTIGAS </v>
      </c>
      <c r="G5454" s="1" t="str">
        <f t="shared" si="2"/>
        <v>Ivana P.</v>
      </c>
      <c r="H5454" s="1" t="str">
        <f>IFERROR(__xludf.DUMMYFUNCTION("""COMPUTED_VALUE"""),"20/4/2023, 17:00:00")</f>
        <v>20/4/2023, 17:00:00</v>
      </c>
      <c r="I5454" s="1" t="str">
        <f>IFERROR(__xludf.DUMMYFUNCTION("""COMPUTED_VALUE"""),"Completado en SUCURSAL")</f>
        <v>Completado en SUCURSAL</v>
      </c>
      <c r="J5454" s="1">
        <f t="shared" si="3"/>
        <v>5</v>
      </c>
      <c r="K5454" s="1" t="str">
        <f t="shared" si="4"/>
        <v>Tus Lentes estan LISTAS PARA ENTREGAR, te esperamos.</v>
      </c>
    </row>
    <row r="5455">
      <c r="A5455" s="1">
        <f>IFERROR(__xludf.DUMMYFUNCTION("""COMPUTED_VALUE"""),90020.0)</f>
        <v>90020</v>
      </c>
      <c r="B5455" s="5">
        <f>IFERROR(__xludf.DUMMYFUNCTION("""COMPUTED_VALUE"""),45030.76735576389)</f>
        <v>45030.76736</v>
      </c>
      <c r="C5455" s="1" t="str">
        <f>IFERROR(__xludf.DUMMYFUNCTION("""COMPUTED_VALUE"""),"ali yamila julieta")</f>
        <v>ali yamila julieta</v>
      </c>
      <c r="D5455" s="1" t="str">
        <f>IFERROR(__xludf.DUMMYFUNCTION("""COMPUTED_VALUE"""),"Lentes de STOCK")</f>
        <v>Lentes de STOCK</v>
      </c>
      <c r="E5455" s="1" t="str">
        <f>IFERROR(__xludf.DUMMYFUNCTION("""COMPUTED_VALUE"""),"RIVADAVIA Santiago N")</f>
        <v>RIVADAVIA Santiago N</v>
      </c>
      <c r="F5455" s="1" t="str">
        <f t="shared" si="1"/>
        <v>RIVADAVIA </v>
      </c>
      <c r="G5455" s="1" t="str">
        <f t="shared" si="2"/>
        <v>Santiago N</v>
      </c>
      <c r="H5455" s="1" t="str">
        <f>IFERROR(__xludf.DUMMYFUNCTION("""COMPUTED_VALUE"""),"18/4/2023, 17:00:00")</f>
        <v>18/4/2023, 17:00:00</v>
      </c>
      <c r="I5455" s="1" t="str">
        <f>IFERROR(__xludf.DUMMYFUNCTION("""COMPUTED_VALUE"""),"Recibido en Laboratorio")</f>
        <v>Recibido en Laboratorio</v>
      </c>
      <c r="J5455" s="1">
        <f t="shared" si="3"/>
        <v>2</v>
      </c>
      <c r="K5455" s="1" t="str">
        <f t="shared" si="4"/>
        <v>Nuestro Laboratorio esta trabajando en tus lentes, los entregaremos en la fecha acordada.</v>
      </c>
    </row>
    <row r="5456">
      <c r="A5456" s="1">
        <f>IFERROR(__xludf.DUMMYFUNCTION("""COMPUTED_VALUE"""),90021.0)</f>
        <v>90021</v>
      </c>
      <c r="B5456" s="5">
        <f>IFERROR(__xludf.DUMMYFUNCTION("""COMPUTED_VALUE"""),45030.7727140625)</f>
        <v>45030.77271</v>
      </c>
      <c r="C5456" s="1" t="str">
        <f>IFERROR(__xludf.DUMMYFUNCTION("""COMPUTED_VALUE"""),"LEYES BLANCA EDITH")</f>
        <v>LEYES BLANCA EDITH</v>
      </c>
      <c r="D5456" s="1" t="str">
        <f>IFERROR(__xludf.DUMMYFUNCTION("""COMPUTED_VALUE"""),"Lentes de STOCK")</f>
        <v>Lentes de STOCK</v>
      </c>
      <c r="E5456" s="1" t="str">
        <f>IFERROR(__xludf.DUMMYFUNCTION("""COMPUTED_VALUE"""),"RIVADAVIA Christian C.")</f>
        <v>RIVADAVIA Christian C.</v>
      </c>
      <c r="F5456" s="1" t="str">
        <f t="shared" si="1"/>
        <v>RIVADAVIA </v>
      </c>
      <c r="G5456" s="1" t="str">
        <f t="shared" si="2"/>
        <v>Christian C.</v>
      </c>
      <c r="H5456" s="1" t="str">
        <f>IFERROR(__xludf.DUMMYFUNCTION("""COMPUTED_VALUE"""),"21/4/2023, 17:00:00")</f>
        <v>21/4/2023, 17:00:00</v>
      </c>
      <c r="I5456" s="1" t="str">
        <f>IFERROR(__xludf.DUMMYFUNCTION("""COMPUTED_VALUE"""),"Recibido en Laboratorio")</f>
        <v>Recibido en Laboratorio</v>
      </c>
      <c r="J5456" s="1">
        <f t="shared" si="3"/>
        <v>2</v>
      </c>
      <c r="K5456" s="1" t="str">
        <f t="shared" si="4"/>
        <v>Nuestro Laboratorio esta trabajando en tus lentes, los entregaremos en la fecha acordada.</v>
      </c>
    </row>
    <row r="5457">
      <c r="A5457" s="1">
        <f>IFERROR(__xludf.DUMMYFUNCTION("""COMPUTED_VALUE"""),90022.0)</f>
        <v>90022</v>
      </c>
      <c r="B5457" s="5">
        <f>IFERROR(__xludf.DUMMYFUNCTION("""COMPUTED_VALUE"""),45030.77283443287)</f>
        <v>45030.77283</v>
      </c>
      <c r="C5457" s="1" t="str">
        <f>IFERROR(__xludf.DUMMYFUNCTION("""COMPUTED_VALUE"""),"leal aldo")</f>
        <v>leal aldo</v>
      </c>
      <c r="D5457" s="1" t="str">
        <f>IFERROR(__xludf.DUMMYFUNCTION("""COMPUTED_VALUE"""),"Lentes de STOCK")</f>
        <v>Lentes de STOCK</v>
      </c>
      <c r="E5457" s="1" t="str">
        <f>IFERROR(__xludf.DUMMYFUNCTION("""COMPUTED_VALUE"""),"RIVADAVIA Santiago LOPEZ")</f>
        <v>RIVADAVIA Santiago LOPEZ</v>
      </c>
      <c r="F5457" s="1" t="str">
        <f t="shared" si="1"/>
        <v>RIVADAVIA </v>
      </c>
      <c r="G5457" s="1" t="str">
        <f t="shared" si="2"/>
        <v>Santiago LOPEZ</v>
      </c>
      <c r="H5457" s="1" t="str">
        <f>IFERROR(__xludf.DUMMYFUNCTION("""COMPUTED_VALUE"""),"19/4/2023, 17:00:00")</f>
        <v>19/4/2023, 17:00:00</v>
      </c>
      <c r="I5457" s="1" t="str">
        <f>IFERROR(__xludf.DUMMYFUNCTION("""COMPUTED_VALUE"""),"Recibido en Laboratorio")</f>
        <v>Recibido en Laboratorio</v>
      </c>
      <c r="J5457" s="1">
        <f t="shared" si="3"/>
        <v>2</v>
      </c>
      <c r="K5457" s="1" t="str">
        <f t="shared" si="4"/>
        <v>Nuestro Laboratorio esta trabajando en tus lentes, los entregaremos en la fecha acordada.</v>
      </c>
    </row>
    <row r="5458">
      <c r="A5458" s="1">
        <f>IFERROR(__xludf.DUMMYFUNCTION("""COMPUTED_VALUE"""),90023.0)</f>
        <v>90023</v>
      </c>
      <c r="B5458" s="5">
        <f>IFERROR(__xludf.DUMMYFUNCTION("""COMPUTED_VALUE"""),45030.77831800926)</f>
        <v>45030.77832</v>
      </c>
      <c r="C5458" s="1" t="str">
        <f>IFERROR(__xludf.DUMMYFUNCTION("""COMPUTED_VALUE"""),"SOSA VERONICA")</f>
        <v>SOSA VERONICA</v>
      </c>
      <c r="D5458" s="1" t="str">
        <f>IFERROR(__xludf.DUMMYFUNCTION("""COMPUTED_VALUE"""),"Lentes de STOCK")</f>
        <v>Lentes de STOCK</v>
      </c>
      <c r="E5458" s="1" t="str">
        <f>IFERROR(__xludf.DUMMYFUNCTION("""COMPUTED_VALUE"""),"RIVADAVIA Luciana")</f>
        <v>RIVADAVIA Luciana</v>
      </c>
      <c r="F5458" s="1" t="str">
        <f t="shared" si="1"/>
        <v>RIVADAVIA </v>
      </c>
      <c r="G5458" s="1" t="str">
        <f t="shared" si="2"/>
        <v>Luciana</v>
      </c>
      <c r="H5458" s="1" t="str">
        <f>IFERROR(__xludf.DUMMYFUNCTION("""COMPUTED_VALUE"""),"21/4/2023, 17:00:00")</f>
        <v>21/4/2023, 17:00:00</v>
      </c>
      <c r="I5458" s="1" t="str">
        <f>IFERROR(__xludf.DUMMYFUNCTION("""COMPUTED_VALUE"""),"Recibido en Laboratorio")</f>
        <v>Recibido en Laboratorio</v>
      </c>
      <c r="J5458" s="1">
        <f t="shared" si="3"/>
        <v>2</v>
      </c>
      <c r="K5458" s="1" t="str">
        <f t="shared" si="4"/>
        <v>Nuestro Laboratorio esta trabajando en tus lentes, los entregaremos en la fecha acordada.</v>
      </c>
    </row>
    <row r="5459">
      <c r="A5459" s="1">
        <f>IFERROR(__xludf.DUMMYFUNCTION("""COMPUTED_VALUE"""),90024.0)</f>
        <v>90024</v>
      </c>
      <c r="B5459" s="5">
        <f>IFERROR(__xludf.DUMMYFUNCTION("""COMPUTED_VALUE"""),45030.78833298611)</f>
        <v>45030.78833</v>
      </c>
      <c r="C5459" s="1" t="str">
        <f>IFERROR(__xludf.DUMMYFUNCTION("""COMPUTED_VALUE"""),"BARRIONUEVO RAQUEL")</f>
        <v>BARRIONUEVO RAQUEL</v>
      </c>
      <c r="D5459" s="1" t="str">
        <f>IFERROR(__xludf.DUMMYFUNCTION("""COMPUTED_VALUE"""),"Lentes MULTIFOCALES")</f>
        <v>Lentes MULTIFOCALES</v>
      </c>
      <c r="E5459" s="1" t="str">
        <f>IFERROR(__xludf.DUMMYFUNCTION("""COMPUTED_VALUE"""),"RIVADAVIA Santiago N")</f>
        <v>RIVADAVIA Santiago N</v>
      </c>
      <c r="F5459" s="1" t="str">
        <f t="shared" si="1"/>
        <v>RIVADAVIA </v>
      </c>
      <c r="G5459" s="1" t="str">
        <f t="shared" si="2"/>
        <v>Santiago N</v>
      </c>
      <c r="H5459" s="1" t="str">
        <f>IFERROR(__xludf.DUMMYFUNCTION("""COMPUTED_VALUE"""),"27/4/2023, 17:00:00")</f>
        <v>27/4/2023, 17:00:00</v>
      </c>
      <c r="I5459" s="1" t="str">
        <f>IFERROR(__xludf.DUMMYFUNCTION("""COMPUTED_VALUE"""),"Recibido en Laboratorio")</f>
        <v>Recibido en Laboratorio</v>
      </c>
      <c r="J5459" s="1">
        <f t="shared" si="3"/>
        <v>2</v>
      </c>
      <c r="K5459" s="1" t="str">
        <f t="shared" si="4"/>
        <v>Nuestro Laboratorio esta trabajando en tus lentes, los entregaremos en la fecha acordada.</v>
      </c>
    </row>
    <row r="5460">
      <c r="A5460" s="1">
        <f>IFERROR(__xludf.DUMMYFUNCTION("""COMPUTED_VALUE"""),90025.0)</f>
        <v>90025</v>
      </c>
      <c r="B5460" s="5">
        <f>IFERROR(__xludf.DUMMYFUNCTION("""COMPUTED_VALUE"""),45030.78871282407)</f>
        <v>45030.78871</v>
      </c>
      <c r="C5460" s="1" t="str">
        <f>IFERROR(__xludf.DUMMYFUNCTION("""COMPUTED_VALUE"""),"CONEJERO ANTONIO")</f>
        <v>CONEJERO ANTONIO</v>
      </c>
      <c r="D5460" s="1" t="str">
        <f>IFERROR(__xludf.DUMMYFUNCTION("""COMPUTED_VALUE"""),"Lentes de STOCK")</f>
        <v>Lentes de STOCK</v>
      </c>
      <c r="E5460" s="1" t="str">
        <f>IFERROR(__xludf.DUMMYFUNCTION("""COMPUTED_VALUE"""),"RIVADAVIA Santiago LOPEZ")</f>
        <v>RIVADAVIA Santiago LOPEZ</v>
      </c>
      <c r="F5460" s="1" t="str">
        <f t="shared" si="1"/>
        <v>RIVADAVIA </v>
      </c>
      <c r="G5460" s="1" t="str">
        <f t="shared" si="2"/>
        <v>Santiago LOPEZ</v>
      </c>
      <c r="H5460" s="1" t="str">
        <f>IFERROR(__xludf.DUMMYFUNCTION("""COMPUTED_VALUE"""),"24/4/2023, 17:00:00")</f>
        <v>24/4/2023, 17:00:00</v>
      </c>
      <c r="I5460" s="1" t="str">
        <f>IFERROR(__xludf.DUMMYFUNCTION("""COMPUTED_VALUE"""),"Recibido en Laboratorio")</f>
        <v>Recibido en Laboratorio</v>
      </c>
      <c r="J5460" s="1">
        <f t="shared" si="3"/>
        <v>2</v>
      </c>
      <c r="K5460" s="1" t="str">
        <f t="shared" si="4"/>
        <v>Nuestro Laboratorio esta trabajando en tus lentes, los entregaremos en la fecha acordada.</v>
      </c>
    </row>
    <row r="5461">
      <c r="A5461" s="1">
        <f>IFERROR(__xludf.DUMMYFUNCTION("""COMPUTED_VALUE"""),90026.0)</f>
        <v>90026</v>
      </c>
      <c r="B5461" s="5">
        <f>IFERROR(__xludf.DUMMYFUNCTION("""COMPUTED_VALUE"""),45030.79444309028)</f>
        <v>45030.79444</v>
      </c>
      <c r="C5461" s="1" t="str">
        <f>IFERROR(__xludf.DUMMYFUNCTION("""COMPUTED_VALUE"""),"NUÑEZ OLGUIN BARBARA YASMIN")</f>
        <v>NUÑEZ OLGUIN BARBARA YASMIN</v>
      </c>
      <c r="D5461" s="1" t="str">
        <f>IFERROR(__xludf.DUMMYFUNCTION("""COMPUTED_VALUE"""),"Lentes de STOCK")</f>
        <v>Lentes de STOCK</v>
      </c>
      <c r="E5461" s="1" t="str">
        <f>IFERROR(__xludf.DUMMYFUNCTION("""COMPUTED_VALUE"""),"RIVADAVIA Marcela L")</f>
        <v>RIVADAVIA Marcela L</v>
      </c>
      <c r="F5461" s="1" t="str">
        <f t="shared" si="1"/>
        <v>RIVADAVIA </v>
      </c>
      <c r="G5461" s="1" t="str">
        <f t="shared" si="2"/>
        <v>Marcela L</v>
      </c>
      <c r="H5461" s="1" t="str">
        <f>IFERROR(__xludf.DUMMYFUNCTION("""COMPUTED_VALUE"""),"18/4/2023, 17:00:00")</f>
        <v>18/4/2023, 17:00:00</v>
      </c>
      <c r="I5461" s="1" t="str">
        <f>IFERROR(__xludf.DUMMYFUNCTION("""COMPUTED_VALUE"""),"Completado en SUCURSAL")</f>
        <v>Completado en SUCURSAL</v>
      </c>
      <c r="J5461" s="1">
        <f t="shared" si="3"/>
        <v>5</v>
      </c>
      <c r="K5461" s="1" t="str">
        <f t="shared" si="4"/>
        <v>Tus Lentes estan LISTAS PARA ENTREGAR, te esperamos.</v>
      </c>
    </row>
    <row r="5462">
      <c r="A5462" s="1">
        <f>IFERROR(__xludf.DUMMYFUNCTION("""COMPUTED_VALUE"""),90027.0)</f>
        <v>90027</v>
      </c>
      <c r="B5462" s="5">
        <f>IFERROR(__xludf.DUMMYFUNCTION("""COMPUTED_VALUE"""),45030.79592148148)</f>
        <v>45030.79592</v>
      </c>
      <c r="C5462" s="1" t="str">
        <f>IFERROR(__xludf.DUMMYFUNCTION("""COMPUTED_VALUE"""),"BARZOLA LIDIA")</f>
        <v>BARZOLA LIDIA</v>
      </c>
      <c r="D5462" s="1" t="str">
        <f>IFERROR(__xludf.DUMMYFUNCTION("""COMPUTED_VALUE"""),"Reparaciones/Otros")</f>
        <v>Reparaciones/Otros</v>
      </c>
      <c r="E5462" s="1" t="str">
        <f>IFERROR(__xludf.DUMMYFUNCTION("""COMPUTED_VALUE"""),"ARTIGAS Micaela")</f>
        <v>ARTIGAS Micaela</v>
      </c>
      <c r="F5462" s="1" t="str">
        <f t="shared" si="1"/>
        <v>ARTIGAS </v>
      </c>
      <c r="G5462" s="1" t="str">
        <f t="shared" si="2"/>
        <v>Micaela</v>
      </c>
      <c r="H5462" s="1" t="str">
        <f>IFERROR(__xludf.DUMMYFUNCTION("""COMPUTED_VALUE"""),"18/4/2023, 17:00:00")</f>
        <v>18/4/2023, 17:00:00</v>
      </c>
      <c r="I5462" s="1" t="str">
        <f>IFERROR(__xludf.DUMMYFUNCTION("""COMPUTED_VALUE"""),"Completado en SUCURSAL")</f>
        <v>Completado en SUCURSAL</v>
      </c>
      <c r="J5462" s="1">
        <f t="shared" si="3"/>
        <v>5</v>
      </c>
      <c r="K5462" s="1" t="str">
        <f t="shared" si="4"/>
        <v>Tus Lentes estan LISTAS PARA ENTREGAR, te esperamos.</v>
      </c>
    </row>
    <row r="5463">
      <c r="A5463" s="1">
        <f>IFERROR(__xludf.DUMMYFUNCTION("""COMPUTED_VALUE"""),90028.0)</f>
        <v>90028</v>
      </c>
      <c r="B5463" s="5">
        <f>IFERROR(__xludf.DUMMYFUNCTION("""COMPUTED_VALUE"""),45030.797797534724)</f>
        <v>45030.7978</v>
      </c>
      <c r="C5463" s="1" t="str">
        <f>IFERROR(__xludf.DUMMYFUNCTION("""COMPUTED_VALUE"""),"CAMARGO RIVAS VIVIANA")</f>
        <v>CAMARGO RIVAS VIVIANA</v>
      </c>
      <c r="D5463" s="1" t="str">
        <f>IFERROR(__xludf.DUMMYFUNCTION("""COMPUTED_VALUE"""),"Lentes de STOCK")</f>
        <v>Lentes de STOCK</v>
      </c>
      <c r="E5463" s="1" t="str">
        <f>IFERROR(__xludf.DUMMYFUNCTION("""COMPUTED_VALUE"""),"ARTIGAS Roció")</f>
        <v>ARTIGAS Roció</v>
      </c>
      <c r="F5463" s="1" t="str">
        <f t="shared" si="1"/>
        <v>ARTIGAS </v>
      </c>
      <c r="G5463" s="1" t="str">
        <f t="shared" si="2"/>
        <v>Roció</v>
      </c>
      <c r="H5463" s="1" t="str">
        <f>IFERROR(__xludf.DUMMYFUNCTION("""COMPUTED_VALUE"""),"21/4/2023, 17:00:00")</f>
        <v>21/4/2023, 17:00:00</v>
      </c>
      <c r="I5463" s="1" t="str">
        <f>IFERROR(__xludf.DUMMYFUNCTION("""COMPUTED_VALUE"""),"Recibido en Laboratorio")</f>
        <v>Recibido en Laboratorio</v>
      </c>
      <c r="J5463" s="1">
        <f t="shared" si="3"/>
        <v>2</v>
      </c>
      <c r="K5463" s="1" t="str">
        <f t="shared" si="4"/>
        <v>Nuestro Laboratorio esta trabajando en tus lentes, los entregaremos en la fecha acordada.</v>
      </c>
    </row>
    <row r="5464">
      <c r="A5464" s="1">
        <f>IFERROR(__xludf.DUMMYFUNCTION("""COMPUTED_VALUE"""),90029.0)</f>
        <v>90029</v>
      </c>
      <c r="B5464" s="5">
        <f>IFERROR(__xludf.DUMMYFUNCTION("""COMPUTED_VALUE"""),45030.79898331019)</f>
        <v>45030.79898</v>
      </c>
      <c r="C5464" s="1" t="str">
        <f>IFERROR(__xludf.DUMMYFUNCTION("""COMPUTED_VALUE"""),"OSAN CAMARGO ZAHIRA")</f>
        <v>OSAN CAMARGO ZAHIRA</v>
      </c>
      <c r="D5464" s="1" t="str">
        <f>IFERROR(__xludf.DUMMYFUNCTION("""COMPUTED_VALUE"""),"Lentes de STOCK")</f>
        <v>Lentes de STOCK</v>
      </c>
      <c r="E5464" s="1" t="str">
        <f>IFERROR(__xludf.DUMMYFUNCTION("""COMPUTED_VALUE"""),"ARTIGAS Roció")</f>
        <v>ARTIGAS Roció</v>
      </c>
      <c r="F5464" s="1" t="str">
        <f t="shared" si="1"/>
        <v>ARTIGAS </v>
      </c>
      <c r="G5464" s="1" t="str">
        <f t="shared" si="2"/>
        <v>Roció</v>
      </c>
      <c r="H5464" s="1" t="str">
        <f>IFERROR(__xludf.DUMMYFUNCTION("""COMPUTED_VALUE"""),"21/4/2023, 17:00:00")</f>
        <v>21/4/2023, 17:00:00</v>
      </c>
      <c r="I5464" s="1" t="str">
        <f>IFERROR(__xludf.DUMMYFUNCTION("""COMPUTED_VALUE"""),"Recibido en Laboratorio")</f>
        <v>Recibido en Laboratorio</v>
      </c>
      <c r="J5464" s="1">
        <f t="shared" si="3"/>
        <v>2</v>
      </c>
      <c r="K5464" s="1" t="str">
        <f t="shared" si="4"/>
        <v>Nuestro Laboratorio esta trabajando en tus lentes, los entregaremos en la fecha acordada.</v>
      </c>
    </row>
    <row r="5465">
      <c r="A5465" s="1">
        <f>IFERROR(__xludf.DUMMYFUNCTION("""COMPUTED_VALUE"""),90030.0)</f>
        <v>90030</v>
      </c>
      <c r="B5465" s="5">
        <f>IFERROR(__xludf.DUMMYFUNCTION("""COMPUTED_VALUE"""),45030.80027309028)</f>
        <v>45030.80027</v>
      </c>
      <c r="C5465" s="1" t="str">
        <f>IFERROR(__xludf.DUMMYFUNCTION("""COMPUTED_VALUE"""),"ZAVALA CLAUDIO")</f>
        <v>ZAVALA CLAUDIO</v>
      </c>
      <c r="D5465" s="1" t="str">
        <f>IFERROR(__xludf.DUMMYFUNCTION("""COMPUTED_VALUE"""),"Lentes MULTIFOCALES")</f>
        <v>Lentes MULTIFOCALES</v>
      </c>
      <c r="E5465" s="1" t="str">
        <f>IFERROR(__xludf.DUMMYFUNCTION("""COMPUTED_VALUE"""),"RIVADAVIA Luciana")</f>
        <v>RIVADAVIA Luciana</v>
      </c>
      <c r="F5465" s="1" t="str">
        <f t="shared" si="1"/>
        <v>RIVADAVIA </v>
      </c>
      <c r="G5465" s="1" t="str">
        <f t="shared" si="2"/>
        <v>Luciana</v>
      </c>
      <c r="H5465" s="1" t="str">
        <f>IFERROR(__xludf.DUMMYFUNCTION("""COMPUTED_VALUE"""),"2/5/2023, 17:00:00")</f>
        <v>2/5/2023, 17:00:00</v>
      </c>
      <c r="I5465" s="1" t="str">
        <f>IFERROR(__xludf.DUMMYFUNCTION("""COMPUTED_VALUE"""),"Recibido en Laboratorio")</f>
        <v>Recibido en Laboratorio</v>
      </c>
      <c r="J5465" s="1">
        <f t="shared" si="3"/>
        <v>2</v>
      </c>
      <c r="K5465" s="1" t="str">
        <f t="shared" si="4"/>
        <v>Nuestro Laboratorio esta trabajando en tus lentes, los entregaremos en la fecha acordada.</v>
      </c>
    </row>
    <row r="5466">
      <c r="A5466" s="1">
        <f>IFERROR(__xludf.DUMMYFUNCTION("""COMPUTED_VALUE"""),90031.0)</f>
        <v>90031</v>
      </c>
      <c r="B5466" s="5">
        <f>IFERROR(__xludf.DUMMYFUNCTION("""COMPUTED_VALUE"""),45030.801356875)</f>
        <v>45030.80136</v>
      </c>
      <c r="C5466" s="1" t="str">
        <f>IFERROR(__xludf.DUMMYFUNCTION("""COMPUTED_VALUE"""),"VELIZ GUADALUPE SOLEDAD")</f>
        <v>VELIZ GUADALUPE SOLEDAD</v>
      </c>
      <c r="D5466" s="1" t="str">
        <f>IFERROR(__xludf.DUMMYFUNCTION("""COMPUTED_VALUE"""),"Lentes de STOCK")</f>
        <v>Lentes de STOCK</v>
      </c>
      <c r="E5466" s="1" t="str">
        <f>IFERROR(__xludf.DUMMYFUNCTION("""COMPUTED_VALUE"""),"RIVADAVIA Santiago LOPEZ")</f>
        <v>RIVADAVIA Santiago LOPEZ</v>
      </c>
      <c r="F5466" s="1" t="str">
        <f t="shared" si="1"/>
        <v>RIVADAVIA </v>
      </c>
      <c r="G5466" s="1" t="str">
        <f t="shared" si="2"/>
        <v>Santiago LOPEZ</v>
      </c>
      <c r="H5466" s="1" t="str">
        <f>IFERROR(__xludf.DUMMYFUNCTION("""COMPUTED_VALUE"""),"19/4/2023, 17:00:00")</f>
        <v>19/4/2023, 17:00:00</v>
      </c>
      <c r="I5466" s="1" t="str">
        <f>IFERROR(__xludf.DUMMYFUNCTION("""COMPUTED_VALUE"""),"Recibido en Laboratorio")</f>
        <v>Recibido en Laboratorio</v>
      </c>
      <c r="J5466" s="1">
        <f t="shared" si="3"/>
        <v>2</v>
      </c>
      <c r="K5466" s="1" t="str">
        <f t="shared" si="4"/>
        <v>Nuestro Laboratorio esta trabajando en tus lentes, los entregaremos en la fecha acordada.</v>
      </c>
    </row>
    <row r="5467">
      <c r="A5467" s="1">
        <f>IFERROR(__xludf.DUMMYFUNCTION("""COMPUTED_VALUE"""),90032.0)</f>
        <v>90032</v>
      </c>
      <c r="B5467" s="5">
        <f>IFERROR(__xludf.DUMMYFUNCTION("""COMPUTED_VALUE"""),45030.80139920139)</f>
        <v>45030.8014</v>
      </c>
      <c r="C5467" s="1" t="str">
        <f>IFERROR(__xludf.DUMMYFUNCTION("""COMPUTED_VALUE"""),"GARBAZZI MELISA")</f>
        <v>GARBAZZI MELISA</v>
      </c>
      <c r="D5467" s="1" t="str">
        <f>IFERROR(__xludf.DUMMYFUNCTION("""COMPUTED_VALUE"""),"Lentes de STOCK")</f>
        <v>Lentes de STOCK</v>
      </c>
      <c r="E5467" s="1" t="str">
        <f>IFERROR(__xludf.DUMMYFUNCTION("""COMPUTED_VALUE"""),"ARTIGAS Ivana P.")</f>
        <v>ARTIGAS Ivana P.</v>
      </c>
      <c r="F5467" s="1" t="str">
        <f t="shared" si="1"/>
        <v>ARTIGAS </v>
      </c>
      <c r="G5467" s="1" t="str">
        <f t="shared" si="2"/>
        <v>Ivana P.</v>
      </c>
      <c r="H5467" s="1" t="str">
        <f>IFERROR(__xludf.DUMMYFUNCTION("""COMPUTED_VALUE"""),"19/4/2023, 17:00:00")</f>
        <v>19/4/2023, 17:00:00</v>
      </c>
      <c r="I5467" s="1" t="str">
        <f>IFERROR(__xludf.DUMMYFUNCTION("""COMPUTED_VALUE"""),"Completado en SUCURSAL")</f>
        <v>Completado en SUCURSAL</v>
      </c>
      <c r="J5467" s="1">
        <f t="shared" si="3"/>
        <v>5</v>
      </c>
      <c r="K5467" s="1" t="str">
        <f t="shared" si="4"/>
        <v>Tus Lentes estan LISTAS PARA ENTREGAR, te esperamos.</v>
      </c>
    </row>
    <row r="5468">
      <c r="A5468" s="1">
        <f>IFERROR(__xludf.DUMMYFUNCTION("""COMPUTED_VALUE"""),90033.0)</f>
        <v>90033</v>
      </c>
      <c r="B5468" s="5">
        <f>IFERROR(__xludf.DUMMYFUNCTION("""COMPUTED_VALUE"""),45030.81113674768)</f>
        <v>45030.81114</v>
      </c>
      <c r="C5468" s="1" t="str">
        <f>IFERROR(__xludf.DUMMYFUNCTION("""COMPUTED_VALUE"""),"VILLEGAS SOL")</f>
        <v>VILLEGAS SOL</v>
      </c>
      <c r="D5468" s="1" t="str">
        <f>IFERROR(__xludf.DUMMYFUNCTION("""COMPUTED_VALUE"""),"Lentes de STOCK")</f>
        <v>Lentes de STOCK</v>
      </c>
      <c r="E5468" s="1" t="str">
        <f>IFERROR(__xludf.DUMMYFUNCTION("""COMPUTED_VALUE"""),"ARTIGAS Ivana P.")</f>
        <v>ARTIGAS Ivana P.</v>
      </c>
      <c r="F5468" s="1" t="str">
        <f t="shared" si="1"/>
        <v>ARTIGAS </v>
      </c>
      <c r="G5468" s="1" t="str">
        <f t="shared" si="2"/>
        <v>Ivana P.</v>
      </c>
      <c r="H5468" s="1" t="str">
        <f>IFERROR(__xludf.DUMMYFUNCTION("""COMPUTED_VALUE"""),"19/4/2023, 17:00:00")</f>
        <v>19/4/2023, 17:00:00</v>
      </c>
      <c r="I5468" s="1" t="str">
        <f>IFERROR(__xludf.DUMMYFUNCTION("""COMPUTED_VALUE"""),"Completado en SUCURSAL")</f>
        <v>Completado en SUCURSAL</v>
      </c>
      <c r="J5468" s="1">
        <f t="shared" si="3"/>
        <v>5</v>
      </c>
      <c r="K5468" s="1" t="str">
        <f t="shared" si="4"/>
        <v>Tus Lentes estan LISTAS PARA ENTREGAR, te esperamos.</v>
      </c>
    </row>
    <row r="5469">
      <c r="A5469" s="1">
        <f>IFERROR(__xludf.DUMMYFUNCTION("""COMPUTED_VALUE"""),90034.0)</f>
        <v>90034</v>
      </c>
      <c r="B5469" s="5">
        <f>IFERROR(__xludf.DUMMYFUNCTION("""COMPUTED_VALUE"""),45030.82835855324)</f>
        <v>45030.82836</v>
      </c>
      <c r="C5469" s="1" t="str">
        <f>IFERROR(__xludf.DUMMYFUNCTION("""COMPUTED_VALUE"""),"TORRES DAMICO MATEO")</f>
        <v>TORRES DAMICO MATEO</v>
      </c>
      <c r="D5469" s="1" t="str">
        <f>IFERROR(__xludf.DUMMYFUNCTION("""COMPUTED_VALUE"""),"Lentes de LABORATORIO")</f>
        <v>Lentes de LABORATORIO</v>
      </c>
      <c r="E5469" s="1" t="str">
        <f>IFERROR(__xludf.DUMMYFUNCTION("""COMPUTED_VALUE"""),"RIVADAVIA Santiago LOPEZ")</f>
        <v>RIVADAVIA Santiago LOPEZ</v>
      </c>
      <c r="F5469" s="1" t="str">
        <f t="shared" si="1"/>
        <v>RIVADAVIA </v>
      </c>
      <c r="G5469" s="1" t="str">
        <f t="shared" si="2"/>
        <v>Santiago LOPEZ</v>
      </c>
      <c r="H5469" s="1" t="str">
        <f>IFERROR(__xludf.DUMMYFUNCTION("""COMPUTED_VALUE"""),"21/4/2023, 17:00:00")</f>
        <v>21/4/2023, 17:00:00</v>
      </c>
      <c r="I5469" s="1" t="str">
        <f>IFERROR(__xludf.DUMMYFUNCTION("""COMPUTED_VALUE"""),"Recibido en Laboratorio")</f>
        <v>Recibido en Laboratorio</v>
      </c>
      <c r="J5469" s="1">
        <f t="shared" si="3"/>
        <v>2</v>
      </c>
      <c r="K5469" s="1" t="str">
        <f t="shared" si="4"/>
        <v>Nuestro Laboratorio esta trabajando en tus lentes, los entregaremos en la fecha acordada.</v>
      </c>
    </row>
    <row r="5470">
      <c r="A5470" s="1">
        <f>IFERROR(__xludf.DUMMYFUNCTION("""COMPUTED_VALUE"""),90035.0)</f>
        <v>90035</v>
      </c>
      <c r="B5470" s="5">
        <f>IFERROR(__xludf.DUMMYFUNCTION("""COMPUTED_VALUE"""),45030.832786921295)</f>
        <v>45030.83279</v>
      </c>
      <c r="C5470" s="1" t="str">
        <f>IFERROR(__xludf.DUMMYFUNCTION("""COMPUTED_VALUE"""),"TORRES DAMICO VALENTINA")</f>
        <v>TORRES DAMICO VALENTINA</v>
      </c>
      <c r="D5470" s="1" t="str">
        <f>IFERROR(__xludf.DUMMYFUNCTION("""COMPUTED_VALUE"""),"Lentes de LABORATORIO")</f>
        <v>Lentes de LABORATORIO</v>
      </c>
      <c r="E5470" s="1" t="str">
        <f>IFERROR(__xludf.DUMMYFUNCTION("""COMPUTED_VALUE"""),"RIVADAVIA Santiago LOPEZ")</f>
        <v>RIVADAVIA Santiago LOPEZ</v>
      </c>
      <c r="F5470" s="1" t="str">
        <f t="shared" si="1"/>
        <v>RIVADAVIA </v>
      </c>
      <c r="G5470" s="1" t="str">
        <f t="shared" si="2"/>
        <v>Santiago LOPEZ</v>
      </c>
      <c r="H5470" s="1" t="str">
        <f>IFERROR(__xludf.DUMMYFUNCTION("""COMPUTED_VALUE"""),"21/4/2023, 17:00:00")</f>
        <v>21/4/2023, 17:00:00</v>
      </c>
      <c r="I5470" s="1" t="str">
        <f>IFERROR(__xludf.DUMMYFUNCTION("""COMPUTED_VALUE"""),"Recibido en Laboratorio")</f>
        <v>Recibido en Laboratorio</v>
      </c>
      <c r="J5470" s="1">
        <f t="shared" si="3"/>
        <v>2</v>
      </c>
      <c r="K5470" s="1" t="str">
        <f t="shared" si="4"/>
        <v>Nuestro Laboratorio esta trabajando en tus lentes, los entregaremos en la fecha acordada.</v>
      </c>
    </row>
    <row r="5471">
      <c r="A5471" s="1">
        <f>IFERROR(__xludf.DUMMYFUNCTION("""COMPUTED_VALUE"""),90036.0)</f>
        <v>90036</v>
      </c>
      <c r="B5471" s="5">
        <f>IFERROR(__xludf.DUMMYFUNCTION("""COMPUTED_VALUE"""),45031.40907517361)</f>
        <v>45031.40908</v>
      </c>
      <c r="C5471" s="1" t="str">
        <f>IFERROR(__xludf.DUMMYFUNCTION("""COMPUTED_VALUE"""),"PEDRO LLAENZA")</f>
        <v>PEDRO LLAENZA</v>
      </c>
      <c r="D5471" s="1" t="str">
        <f>IFERROR(__xludf.DUMMYFUNCTION("""COMPUTED_VALUE"""),"Lentes de STOCK")</f>
        <v>Lentes de STOCK</v>
      </c>
      <c r="E5471" s="1" t="str">
        <f>IFERROR(__xludf.DUMMYFUNCTION("""COMPUTED_VALUE"""),"RIVADAVIA Javier")</f>
        <v>RIVADAVIA Javier</v>
      </c>
      <c r="F5471" s="1" t="str">
        <f t="shared" si="1"/>
        <v>RIVADAVIA </v>
      </c>
      <c r="G5471" s="1" t="str">
        <f t="shared" si="2"/>
        <v>Javier</v>
      </c>
      <c r="H5471" s="1" t="str">
        <f>IFERROR(__xludf.DUMMYFUNCTION("""COMPUTED_VALUE"""),"19/4/2023, 17:00:00")</f>
        <v>19/4/2023, 17:00:00</v>
      </c>
      <c r="I5471" s="1" t="str">
        <f>IFERROR(__xludf.DUMMYFUNCTION("""COMPUTED_VALUE"""),"Recibido en Laboratorio")</f>
        <v>Recibido en Laboratorio</v>
      </c>
      <c r="J5471" s="1">
        <f t="shared" si="3"/>
        <v>2</v>
      </c>
      <c r="K5471" s="1" t="str">
        <f t="shared" si="4"/>
        <v>Nuestro Laboratorio esta trabajando en tus lentes, los entregaremos en la fecha acordada.</v>
      </c>
    </row>
    <row r="5472">
      <c r="A5472" s="1">
        <f>IFERROR(__xludf.DUMMYFUNCTION("""COMPUTED_VALUE"""),90037.0)</f>
        <v>90037</v>
      </c>
      <c r="B5472" s="5">
        <f>IFERROR(__xludf.DUMMYFUNCTION("""COMPUTED_VALUE"""),45031.42435976852)</f>
        <v>45031.42436</v>
      </c>
      <c r="C5472" s="1" t="str">
        <f>IFERROR(__xludf.DUMMYFUNCTION("""COMPUTED_VALUE"""),"OLGUIN ANTONIA AMELIA")</f>
        <v>OLGUIN ANTONIA AMELIA</v>
      </c>
      <c r="D5472" s="1" t="str">
        <f>IFERROR(__xludf.DUMMYFUNCTION("""COMPUTED_VALUE"""),"Lentes de STOCK")</f>
        <v>Lentes de STOCK</v>
      </c>
      <c r="E5472" s="1" t="str">
        <f>IFERROR(__xludf.DUMMYFUNCTION("""COMPUTED_VALUE"""),"RIVADAVIA Javier")</f>
        <v>RIVADAVIA Javier</v>
      </c>
      <c r="F5472" s="1" t="str">
        <f t="shared" si="1"/>
        <v>RIVADAVIA </v>
      </c>
      <c r="G5472" s="1" t="str">
        <f t="shared" si="2"/>
        <v>Javier</v>
      </c>
      <c r="H5472" s="1" t="str">
        <f>IFERROR(__xludf.DUMMYFUNCTION("""COMPUTED_VALUE"""),"20/4/2023, 17:00:00")</f>
        <v>20/4/2023, 17:00:00</v>
      </c>
      <c r="I5472" s="1" t="str">
        <f>IFERROR(__xludf.DUMMYFUNCTION("""COMPUTED_VALUE"""),"Completado en SUCURSAL")</f>
        <v>Completado en SUCURSAL</v>
      </c>
      <c r="J5472" s="1">
        <f t="shared" si="3"/>
        <v>5</v>
      </c>
      <c r="K5472" s="1" t="str">
        <f t="shared" si="4"/>
        <v>Tus Lentes estan LISTAS PARA ENTREGAR, te esperamos.</v>
      </c>
    </row>
    <row r="5473">
      <c r="A5473" s="1">
        <f>IFERROR(__xludf.DUMMYFUNCTION("""COMPUTED_VALUE"""),90038.0)</f>
        <v>90038</v>
      </c>
      <c r="B5473" s="5">
        <f>IFERROR(__xludf.DUMMYFUNCTION("""COMPUTED_VALUE"""),45031.4372121875)</f>
        <v>45031.43721</v>
      </c>
      <c r="C5473" s="1" t="str">
        <f>IFERROR(__xludf.DUMMYFUNCTION("""COMPUTED_VALUE"""),"HIVERO BEATRIZ ")</f>
        <v>HIVERO BEATRIZ </v>
      </c>
      <c r="D5473" s="1" t="str">
        <f>IFERROR(__xludf.DUMMYFUNCTION("""COMPUTED_VALUE"""),"Lentes MULTIFOCALES")</f>
        <v>Lentes MULTIFOCALES</v>
      </c>
      <c r="E5473" s="1" t="str">
        <f>IFERROR(__xludf.DUMMYFUNCTION("""COMPUTED_VALUE"""),"ARTIGAS Ivana P.")</f>
        <v>ARTIGAS Ivana P.</v>
      </c>
      <c r="F5473" s="1" t="str">
        <f t="shared" si="1"/>
        <v>ARTIGAS </v>
      </c>
      <c r="G5473" s="1" t="str">
        <f t="shared" si="2"/>
        <v>Ivana P.</v>
      </c>
      <c r="H5473" s="1" t="str">
        <f>IFERROR(__xludf.DUMMYFUNCTION("""COMPUTED_VALUE"""),"28/4/2023, 17:00:00")</f>
        <v>28/4/2023, 17:00:00</v>
      </c>
      <c r="I5473" s="1" t="str">
        <f>IFERROR(__xludf.DUMMYFUNCTION("""COMPUTED_VALUE"""),"Recibido en Laboratorio")</f>
        <v>Recibido en Laboratorio</v>
      </c>
      <c r="J5473" s="1">
        <f t="shared" si="3"/>
        <v>2</v>
      </c>
      <c r="K5473" s="1" t="str">
        <f t="shared" si="4"/>
        <v>Nuestro Laboratorio esta trabajando en tus lentes, los entregaremos en la fecha acordada.</v>
      </c>
    </row>
    <row r="5474">
      <c r="A5474" s="1">
        <f>IFERROR(__xludf.DUMMYFUNCTION("""COMPUTED_VALUE"""),90039.0)</f>
        <v>90039</v>
      </c>
      <c r="B5474" s="5">
        <f>IFERROR(__xludf.DUMMYFUNCTION("""COMPUTED_VALUE"""),45031.44722554398)</f>
        <v>45031.44723</v>
      </c>
      <c r="C5474" s="1" t="str">
        <f>IFERROR(__xludf.DUMMYFUNCTION("""COMPUTED_VALUE"""),"MARTINEZ ARIAS ")</f>
        <v>MARTINEZ ARIAS </v>
      </c>
      <c r="D5474" s="1" t="str">
        <f>IFERROR(__xludf.DUMMYFUNCTION("""COMPUTED_VALUE"""),"Lentes de STOCK")</f>
        <v>Lentes de STOCK</v>
      </c>
      <c r="E5474" s="1" t="str">
        <f>IFERROR(__xludf.DUMMYFUNCTION("""COMPUTED_VALUE"""),"RIVADAVIA Christian C.")</f>
        <v>RIVADAVIA Christian C.</v>
      </c>
      <c r="F5474" s="1" t="str">
        <f t="shared" si="1"/>
        <v>RIVADAVIA </v>
      </c>
      <c r="G5474" s="1" t="str">
        <f t="shared" si="2"/>
        <v>Christian C.</v>
      </c>
      <c r="H5474" s="1" t="str">
        <f>IFERROR(__xludf.DUMMYFUNCTION("""COMPUTED_VALUE"""),"20/4/2023, 17:00:00")</f>
        <v>20/4/2023, 17:00:00</v>
      </c>
      <c r="I5474" s="1" t="str">
        <f>IFERROR(__xludf.DUMMYFUNCTION("""COMPUTED_VALUE"""),"DEMORADO")</f>
        <v>DEMORADO</v>
      </c>
      <c r="J5474" s="1" t="str">
        <f t="shared" si="3"/>
        <v/>
      </c>
      <c r="K5474" s="1" t="str">
        <f t="shared" si="4"/>
        <v>Tuvimos una demora con tus lentes y no podremos entregarlo en las fecha acordada, estamos trabajando para terminarlos cuanto antes, te mantendremos al tanto, si es necesario contactanos via whatsapp.</v>
      </c>
    </row>
    <row r="5475">
      <c r="A5475" s="1">
        <f>IFERROR(__xludf.DUMMYFUNCTION("""COMPUTED_VALUE"""),90040.0)</f>
        <v>90040</v>
      </c>
      <c r="B5475" s="5">
        <f>IFERROR(__xludf.DUMMYFUNCTION("""COMPUTED_VALUE"""),45031.45339318287)</f>
        <v>45031.45339</v>
      </c>
      <c r="C5475" s="1" t="str">
        <f>IFERROR(__xludf.DUMMYFUNCTION("""COMPUTED_VALUE"""),"MOLINA SILVIA GRACIELA")</f>
        <v>MOLINA SILVIA GRACIELA</v>
      </c>
      <c r="D5475" s="1" t="str">
        <f>IFERROR(__xludf.DUMMYFUNCTION("""COMPUTED_VALUE"""),"Lentes de STOCK")</f>
        <v>Lentes de STOCK</v>
      </c>
      <c r="E5475" s="1" t="str">
        <f>IFERROR(__xludf.DUMMYFUNCTION("""COMPUTED_VALUE"""),"RIVADAVIA Christian C.")</f>
        <v>RIVADAVIA Christian C.</v>
      </c>
      <c r="F5475" s="1" t="str">
        <f t="shared" si="1"/>
        <v>RIVADAVIA </v>
      </c>
      <c r="G5475" s="1" t="str">
        <f t="shared" si="2"/>
        <v>Christian C.</v>
      </c>
      <c r="H5475" s="1" t="str">
        <f>IFERROR(__xludf.DUMMYFUNCTION("""COMPUTED_VALUE"""),"20/4/2023, 17:00:00")</f>
        <v>20/4/2023, 17:00:00</v>
      </c>
      <c r="I5475" s="1" t="str">
        <f>IFERROR(__xludf.DUMMYFUNCTION("""COMPUTED_VALUE"""),"Completado en SUCURSAL")</f>
        <v>Completado en SUCURSAL</v>
      </c>
      <c r="J5475" s="1">
        <f t="shared" si="3"/>
        <v>5</v>
      </c>
      <c r="K5475" s="1" t="str">
        <f t="shared" si="4"/>
        <v>Tus Lentes estan LISTAS PARA ENTREGAR, te esperamos.</v>
      </c>
    </row>
    <row r="5476">
      <c r="A5476" s="1">
        <f>IFERROR(__xludf.DUMMYFUNCTION("""COMPUTED_VALUE"""),90041.0)</f>
        <v>90041</v>
      </c>
      <c r="B5476" s="5">
        <f>IFERROR(__xludf.DUMMYFUNCTION("""COMPUTED_VALUE"""),45031.45489324074)</f>
        <v>45031.45489</v>
      </c>
      <c r="C5476" s="1" t="str">
        <f>IFERROR(__xludf.DUMMYFUNCTION("""COMPUTED_VALUE"""),"CIAN ALFREDO")</f>
        <v>CIAN ALFREDO</v>
      </c>
      <c r="D5476" s="1" t="str">
        <f>IFERROR(__xludf.DUMMYFUNCTION("""COMPUTED_VALUE"""),"Lentes de STOCK")</f>
        <v>Lentes de STOCK</v>
      </c>
      <c r="E5476" s="1" t="str">
        <f>IFERROR(__xludf.DUMMYFUNCTION("""COMPUTED_VALUE"""),"ARTIGAS Ivana P.")</f>
        <v>ARTIGAS Ivana P.</v>
      </c>
      <c r="F5476" s="1" t="str">
        <f t="shared" si="1"/>
        <v>ARTIGAS </v>
      </c>
      <c r="G5476" s="1" t="str">
        <f t="shared" si="2"/>
        <v>Ivana P.</v>
      </c>
      <c r="H5476" s="1" t="str">
        <f>IFERROR(__xludf.DUMMYFUNCTION("""COMPUTED_VALUE"""),"20/4/2023, 17:00:00")</f>
        <v>20/4/2023, 17:00:00</v>
      </c>
      <c r="I5476" s="1" t="str">
        <f>IFERROR(__xludf.DUMMYFUNCTION("""COMPUTED_VALUE"""),"Completado en SUCURSAL")</f>
        <v>Completado en SUCURSAL</v>
      </c>
      <c r="J5476" s="1">
        <f t="shared" si="3"/>
        <v>5</v>
      </c>
      <c r="K5476" s="1" t="str">
        <f t="shared" si="4"/>
        <v>Tus Lentes estan LISTAS PARA ENTREGAR, te esperamos.</v>
      </c>
    </row>
    <row r="5477">
      <c r="A5477" s="1">
        <f>IFERROR(__xludf.DUMMYFUNCTION("""COMPUTED_VALUE"""),90042.0)</f>
        <v>90042</v>
      </c>
      <c r="B5477" s="5">
        <f>IFERROR(__xludf.DUMMYFUNCTION("""COMPUTED_VALUE"""),45031.45534929398)</f>
        <v>45031.45535</v>
      </c>
      <c r="C5477" s="1" t="str">
        <f>IFERROR(__xludf.DUMMYFUNCTION("""COMPUTED_VALUE"""),"VELAZQUEZ SILVINA")</f>
        <v>VELAZQUEZ SILVINA</v>
      </c>
      <c r="D5477" s="1" t="str">
        <f>IFERROR(__xludf.DUMMYFUNCTION("""COMPUTED_VALUE"""),"Lentes MULTIFOCALES")</f>
        <v>Lentes MULTIFOCALES</v>
      </c>
      <c r="E5477" s="1" t="str">
        <f>IFERROR(__xludf.DUMMYFUNCTION("""COMPUTED_VALUE"""),"RIVADAVIA Luciana")</f>
        <v>RIVADAVIA Luciana</v>
      </c>
      <c r="F5477" s="1" t="str">
        <f t="shared" si="1"/>
        <v>RIVADAVIA </v>
      </c>
      <c r="G5477" s="1" t="str">
        <f t="shared" si="2"/>
        <v>Luciana</v>
      </c>
      <c r="H5477" s="1" t="str">
        <f>IFERROR(__xludf.DUMMYFUNCTION("""COMPUTED_VALUE"""),"2/5/2023, 17:00:00")</f>
        <v>2/5/2023, 17:00:00</v>
      </c>
      <c r="I5477" s="1" t="str">
        <f>IFERROR(__xludf.DUMMYFUNCTION("""COMPUTED_VALUE"""),"Recibido en Laboratorio")</f>
        <v>Recibido en Laboratorio</v>
      </c>
      <c r="J5477" s="1">
        <f t="shared" si="3"/>
        <v>2</v>
      </c>
      <c r="K5477" s="1" t="str">
        <f t="shared" si="4"/>
        <v>Nuestro Laboratorio esta trabajando en tus lentes, los entregaremos en la fecha acordada.</v>
      </c>
    </row>
    <row r="5478">
      <c r="A5478" s="1">
        <f>IFERROR(__xludf.DUMMYFUNCTION("""COMPUTED_VALUE"""),90043.0)</f>
        <v>90043</v>
      </c>
      <c r="B5478" s="5">
        <f>IFERROR(__xludf.DUMMYFUNCTION("""COMPUTED_VALUE"""),45031.462815011575)</f>
        <v>45031.46282</v>
      </c>
      <c r="C5478" s="1" t="str">
        <f>IFERROR(__xludf.DUMMYFUNCTION("""COMPUTED_VALUE"""),"SULLIVAN SILVIA MONICA")</f>
        <v>SULLIVAN SILVIA MONICA</v>
      </c>
      <c r="D5478" s="1" t="str">
        <f>IFERROR(__xludf.DUMMYFUNCTION("""COMPUTED_VALUE"""),"Lentes de STOCK")</f>
        <v>Lentes de STOCK</v>
      </c>
      <c r="E5478" s="1" t="str">
        <f>IFERROR(__xludf.DUMMYFUNCTION("""COMPUTED_VALUE"""),"ARTIGAS Roció")</f>
        <v>ARTIGAS Roció</v>
      </c>
      <c r="F5478" s="1" t="str">
        <f t="shared" si="1"/>
        <v>ARTIGAS </v>
      </c>
      <c r="G5478" s="1" t="str">
        <f t="shared" si="2"/>
        <v>Roció</v>
      </c>
      <c r="H5478" s="1" t="str">
        <f>IFERROR(__xludf.DUMMYFUNCTION("""COMPUTED_VALUE"""),"24/4/2023, 17:00:00")</f>
        <v>24/4/2023, 17:00:00</v>
      </c>
      <c r="I5478" s="1" t="str">
        <f>IFERROR(__xludf.DUMMYFUNCTION("""COMPUTED_VALUE"""),"Recibido en Laboratorio")</f>
        <v>Recibido en Laboratorio</v>
      </c>
      <c r="J5478" s="1">
        <f t="shared" si="3"/>
        <v>2</v>
      </c>
      <c r="K5478" s="1" t="str">
        <f t="shared" si="4"/>
        <v>Nuestro Laboratorio esta trabajando en tus lentes, los entregaremos en la fecha acordada.</v>
      </c>
    </row>
    <row r="5479">
      <c r="A5479" s="1">
        <f>IFERROR(__xludf.DUMMYFUNCTION("""COMPUTED_VALUE"""),90044.0)</f>
        <v>90044</v>
      </c>
      <c r="B5479" s="5">
        <f>IFERROR(__xludf.DUMMYFUNCTION("""COMPUTED_VALUE"""),45031.46470790509)</f>
        <v>45031.46471</v>
      </c>
      <c r="C5479" s="1" t="str">
        <f>IFERROR(__xludf.DUMMYFUNCTION("""COMPUTED_VALUE"""),"FERNANDEZ DELFINA")</f>
        <v>FERNANDEZ DELFINA</v>
      </c>
      <c r="D5479" s="1" t="str">
        <f>IFERROR(__xludf.DUMMYFUNCTION("""COMPUTED_VALUE"""),"Lentes de STOCK")</f>
        <v>Lentes de STOCK</v>
      </c>
      <c r="E5479" s="1" t="str">
        <f>IFERROR(__xludf.DUMMYFUNCTION("""COMPUTED_VALUE"""),"RIVADAVIA Christian C.")</f>
        <v>RIVADAVIA Christian C.</v>
      </c>
      <c r="F5479" s="1" t="str">
        <f t="shared" si="1"/>
        <v>RIVADAVIA </v>
      </c>
      <c r="G5479" s="1" t="str">
        <f t="shared" si="2"/>
        <v>Christian C.</v>
      </c>
      <c r="H5479" s="1" t="str">
        <f>IFERROR(__xludf.DUMMYFUNCTION("""COMPUTED_VALUE"""),"20/4/2023, 17:00:00")</f>
        <v>20/4/2023, 17:00:00</v>
      </c>
      <c r="I5479" s="1" t="str">
        <f>IFERROR(__xludf.DUMMYFUNCTION("""COMPUTED_VALUE"""),"Completado en SUCURSAL")</f>
        <v>Completado en SUCURSAL</v>
      </c>
      <c r="J5479" s="1">
        <f t="shared" si="3"/>
        <v>5</v>
      </c>
      <c r="K5479" s="1" t="str">
        <f t="shared" si="4"/>
        <v>Tus Lentes estan LISTAS PARA ENTREGAR, te esperamos.</v>
      </c>
    </row>
    <row r="5480">
      <c r="A5480" s="1">
        <f>IFERROR(__xludf.DUMMYFUNCTION("""COMPUTED_VALUE"""),90045.0)</f>
        <v>90045</v>
      </c>
      <c r="B5480" s="5">
        <f>IFERROR(__xludf.DUMMYFUNCTION("""COMPUTED_VALUE"""),45031.46778549768)</f>
        <v>45031.46779</v>
      </c>
      <c r="C5480" s="1" t="str">
        <f>IFERROR(__xludf.DUMMYFUNCTION("""COMPUTED_VALUE"""),"CORNEJO RAQUEL ")</f>
        <v>CORNEJO RAQUEL </v>
      </c>
      <c r="D5480" s="1" t="str">
        <f>IFERROR(__xludf.DUMMYFUNCTION("""COMPUTED_VALUE"""),"Reparaciones/Otros")</f>
        <v>Reparaciones/Otros</v>
      </c>
      <c r="E5480" s="1" t="str">
        <f>IFERROR(__xludf.DUMMYFUNCTION("""COMPUTED_VALUE"""),"RIVADAVIA Luciana")</f>
        <v>RIVADAVIA Luciana</v>
      </c>
      <c r="F5480" s="1" t="str">
        <f t="shared" si="1"/>
        <v>RIVADAVIA </v>
      </c>
      <c r="G5480" s="1" t="str">
        <f t="shared" si="2"/>
        <v>Luciana</v>
      </c>
      <c r="H5480" s="1" t="str">
        <f>IFERROR(__xludf.DUMMYFUNCTION("""COMPUTED_VALUE"""),"19/4/2023, 17:00:00")</f>
        <v>19/4/2023, 17:00:00</v>
      </c>
      <c r="I5480" s="1" t="str">
        <f>IFERROR(__xludf.DUMMYFUNCTION("""COMPUTED_VALUE"""),"Completado en SUCURSAL")</f>
        <v>Completado en SUCURSAL</v>
      </c>
      <c r="J5480" s="1">
        <f t="shared" si="3"/>
        <v>5</v>
      </c>
      <c r="K5480" s="1" t="str">
        <f t="shared" si="4"/>
        <v>Tus Lentes estan LISTAS PARA ENTREGAR, te esperamos.</v>
      </c>
    </row>
    <row r="5481">
      <c r="A5481" s="1">
        <f>IFERROR(__xludf.DUMMYFUNCTION("""COMPUTED_VALUE"""),90046.0)</f>
        <v>90046</v>
      </c>
      <c r="B5481" s="5">
        <f>IFERROR(__xludf.DUMMYFUNCTION("""COMPUTED_VALUE"""),45031.47579273148)</f>
        <v>45031.47579</v>
      </c>
      <c r="C5481" s="1" t="str">
        <f>IFERROR(__xludf.DUMMYFUNCTION("""COMPUTED_VALUE"""),"CUBEDDU MARIA EUGENIA")</f>
        <v>CUBEDDU MARIA EUGENIA</v>
      </c>
      <c r="D5481" s="1" t="str">
        <f>IFERROR(__xludf.DUMMYFUNCTION("""COMPUTED_VALUE"""),"Lentes MULTIFOCALES")</f>
        <v>Lentes MULTIFOCALES</v>
      </c>
      <c r="E5481" s="1" t="str">
        <f>IFERROR(__xludf.DUMMYFUNCTION("""COMPUTED_VALUE"""),"RIVADAVIA Santiago LOPEZ")</f>
        <v>RIVADAVIA Santiago LOPEZ</v>
      </c>
      <c r="F5481" s="1" t="str">
        <f t="shared" si="1"/>
        <v>RIVADAVIA </v>
      </c>
      <c r="G5481" s="1" t="str">
        <f t="shared" si="2"/>
        <v>Santiago LOPEZ</v>
      </c>
      <c r="H5481" s="1" t="str">
        <f>IFERROR(__xludf.DUMMYFUNCTION("""COMPUTED_VALUE"""),"28/4/2023, 17:00:00")</f>
        <v>28/4/2023, 17:00:00</v>
      </c>
      <c r="I5481" s="1" t="str">
        <f>IFERROR(__xludf.DUMMYFUNCTION("""COMPUTED_VALUE"""),"Recibido en Laboratorio")</f>
        <v>Recibido en Laboratorio</v>
      </c>
      <c r="J5481" s="1">
        <f t="shared" si="3"/>
        <v>2</v>
      </c>
      <c r="K5481" s="1" t="str">
        <f t="shared" si="4"/>
        <v>Nuestro Laboratorio esta trabajando en tus lentes, los entregaremos en la fecha acordada.</v>
      </c>
    </row>
    <row r="5482">
      <c r="A5482" s="1">
        <f>IFERROR(__xludf.DUMMYFUNCTION("""COMPUTED_VALUE"""),90047.0)</f>
        <v>90047</v>
      </c>
      <c r="B5482" s="5">
        <f>IFERROR(__xludf.DUMMYFUNCTION("""COMPUTED_VALUE"""),45031.47759650463)</f>
        <v>45031.4776</v>
      </c>
      <c r="C5482" s="1" t="str">
        <f>IFERROR(__xludf.DUMMYFUNCTION("""COMPUTED_VALUE"""),"CALDERON FAUSTO")</f>
        <v>CALDERON FAUSTO</v>
      </c>
      <c r="D5482" s="1" t="str">
        <f>IFERROR(__xludf.DUMMYFUNCTION("""COMPUTED_VALUE"""),"Lentes de STOCK")</f>
        <v>Lentes de STOCK</v>
      </c>
      <c r="E5482" s="1" t="str">
        <f>IFERROR(__xludf.DUMMYFUNCTION("""COMPUTED_VALUE"""),"ARTIGAS Roció")</f>
        <v>ARTIGAS Roció</v>
      </c>
      <c r="F5482" s="1" t="str">
        <f t="shared" si="1"/>
        <v>ARTIGAS </v>
      </c>
      <c r="G5482" s="1" t="str">
        <f t="shared" si="2"/>
        <v>Roció</v>
      </c>
      <c r="H5482" s="1" t="str">
        <f>IFERROR(__xludf.DUMMYFUNCTION("""COMPUTED_VALUE"""),"24/4/2023, 17:00:00")</f>
        <v>24/4/2023, 17:00:00</v>
      </c>
      <c r="I5482" s="1" t="str">
        <f>IFERROR(__xludf.DUMMYFUNCTION("""COMPUTED_VALUE"""),"Recibido en Laboratorio")</f>
        <v>Recibido en Laboratorio</v>
      </c>
      <c r="J5482" s="1">
        <f t="shared" si="3"/>
        <v>2</v>
      </c>
      <c r="K5482" s="1" t="str">
        <f t="shared" si="4"/>
        <v>Nuestro Laboratorio esta trabajando en tus lentes, los entregaremos en la fecha acordada.</v>
      </c>
    </row>
    <row r="5483">
      <c r="A5483" s="1">
        <f>IFERROR(__xludf.DUMMYFUNCTION("""COMPUTED_VALUE"""),90048.0)</f>
        <v>90048</v>
      </c>
      <c r="B5483" s="5">
        <f>IFERROR(__xludf.DUMMYFUNCTION("""COMPUTED_VALUE"""),45031.48287980324)</f>
        <v>45031.48288</v>
      </c>
      <c r="C5483" s="1" t="str">
        <f>IFERROR(__xludf.DUMMYFUNCTION("""COMPUTED_VALUE"""),"ISAGUIRRE YAMILA ")</f>
        <v>ISAGUIRRE YAMILA </v>
      </c>
      <c r="D5483" s="1" t="str">
        <f>IFERROR(__xludf.DUMMYFUNCTION("""COMPUTED_VALUE"""),"Lentes de STOCK")</f>
        <v>Lentes de STOCK</v>
      </c>
      <c r="E5483" s="1" t="str">
        <f>IFERROR(__xludf.DUMMYFUNCTION("""COMPUTED_VALUE"""),"RIVADAVIA Luciana")</f>
        <v>RIVADAVIA Luciana</v>
      </c>
      <c r="F5483" s="1" t="str">
        <f t="shared" si="1"/>
        <v>RIVADAVIA </v>
      </c>
      <c r="G5483" s="1" t="str">
        <f t="shared" si="2"/>
        <v>Luciana</v>
      </c>
      <c r="H5483" s="1" t="str">
        <f>IFERROR(__xludf.DUMMYFUNCTION("""COMPUTED_VALUE"""),"20/4/2023, 17:00:00")</f>
        <v>20/4/2023, 17:00:00</v>
      </c>
      <c r="I5483" s="1" t="str">
        <f>IFERROR(__xludf.DUMMYFUNCTION("""COMPUTED_VALUE"""),"Completado en SUCURSAL")</f>
        <v>Completado en SUCURSAL</v>
      </c>
      <c r="J5483" s="1">
        <f t="shared" si="3"/>
        <v>5</v>
      </c>
      <c r="K5483" s="1" t="str">
        <f t="shared" si="4"/>
        <v>Tus Lentes estan LISTAS PARA ENTREGAR, te esperamos.</v>
      </c>
    </row>
    <row r="5484">
      <c r="A5484" s="1">
        <f>IFERROR(__xludf.DUMMYFUNCTION("""COMPUTED_VALUE"""),90049.0)</f>
        <v>90049</v>
      </c>
      <c r="B5484" s="5">
        <f>IFERROR(__xludf.DUMMYFUNCTION("""COMPUTED_VALUE"""),45031.490725324074)</f>
        <v>45031.49073</v>
      </c>
      <c r="C5484" s="1" t="str">
        <f>IFERROR(__xludf.DUMMYFUNCTION("""COMPUTED_VALUE"""),"SOSA GABRIEL")</f>
        <v>SOSA GABRIEL</v>
      </c>
      <c r="D5484" s="1" t="str">
        <f>IFERROR(__xludf.DUMMYFUNCTION("""COMPUTED_VALUE"""),"Lentes BIFOCALES")</f>
        <v>Lentes BIFOCALES</v>
      </c>
      <c r="E5484" s="1" t="str">
        <f>IFERROR(__xludf.DUMMYFUNCTION("""COMPUTED_VALUE"""),"ARTIGAS Ivana P.")</f>
        <v>ARTIGAS Ivana P.</v>
      </c>
      <c r="F5484" s="1" t="str">
        <f t="shared" si="1"/>
        <v>ARTIGAS </v>
      </c>
      <c r="G5484" s="1" t="str">
        <f t="shared" si="2"/>
        <v>Ivana P.</v>
      </c>
      <c r="H5484" s="1" t="str">
        <f>IFERROR(__xludf.DUMMYFUNCTION("""COMPUTED_VALUE"""),"24/4/2023, 17:00:00")</f>
        <v>24/4/2023, 17:00:00</v>
      </c>
      <c r="I5484" s="1" t="str">
        <f>IFERROR(__xludf.DUMMYFUNCTION("""COMPUTED_VALUE"""),"Recibido en Laboratorio")</f>
        <v>Recibido en Laboratorio</v>
      </c>
      <c r="J5484" s="1">
        <f t="shared" si="3"/>
        <v>2</v>
      </c>
      <c r="K5484" s="1" t="str">
        <f t="shared" si="4"/>
        <v>Nuestro Laboratorio esta trabajando en tus lentes, los entregaremos en la fecha acordada.</v>
      </c>
    </row>
    <row r="5485">
      <c r="A5485" s="1">
        <f>IFERROR(__xludf.DUMMYFUNCTION("""COMPUTED_VALUE"""),90050.0)</f>
        <v>90050</v>
      </c>
      <c r="B5485" s="5">
        <f>IFERROR(__xludf.DUMMYFUNCTION("""COMPUTED_VALUE"""),45031.49100337963)</f>
        <v>45031.491</v>
      </c>
      <c r="C5485" s="1" t="str">
        <f>IFERROR(__xludf.DUMMYFUNCTION("""COMPUTED_VALUE"""),"MONTIVEROS OSCAR")</f>
        <v>MONTIVEROS OSCAR</v>
      </c>
      <c r="D5485" s="1" t="str">
        <f>IFERROR(__xludf.DUMMYFUNCTION("""COMPUTED_VALUE"""),"Lentes de STOCK")</f>
        <v>Lentes de STOCK</v>
      </c>
      <c r="E5485" s="1" t="str">
        <f>IFERROR(__xludf.DUMMYFUNCTION("""COMPUTED_VALUE"""),"ARTIGAS Roció")</f>
        <v>ARTIGAS Roció</v>
      </c>
      <c r="F5485" s="1" t="str">
        <f t="shared" si="1"/>
        <v>ARTIGAS </v>
      </c>
      <c r="G5485" s="1" t="str">
        <f t="shared" si="2"/>
        <v>Roció</v>
      </c>
      <c r="H5485" s="1" t="str">
        <f>IFERROR(__xludf.DUMMYFUNCTION("""COMPUTED_VALUE"""),"21/4/2023, 17:00:00")</f>
        <v>21/4/2023, 17:00:00</v>
      </c>
      <c r="I5485" s="1" t="str">
        <f>IFERROR(__xludf.DUMMYFUNCTION("""COMPUTED_VALUE"""),"Recibido en Laboratorio")</f>
        <v>Recibido en Laboratorio</v>
      </c>
      <c r="J5485" s="1">
        <f t="shared" si="3"/>
        <v>2</v>
      </c>
      <c r="K5485" s="1" t="str">
        <f t="shared" si="4"/>
        <v>Nuestro Laboratorio esta trabajando en tus lentes, los entregaremos en la fecha acordada.</v>
      </c>
    </row>
    <row r="5486">
      <c r="A5486" s="1">
        <f>IFERROR(__xludf.DUMMYFUNCTION("""COMPUTED_VALUE"""),90051.0)</f>
        <v>90051</v>
      </c>
      <c r="B5486" s="5">
        <f>IFERROR(__xludf.DUMMYFUNCTION("""COMPUTED_VALUE"""),45031.49271015046)</f>
        <v>45031.49271</v>
      </c>
      <c r="C5486" s="1" t="str">
        <f>IFERROR(__xludf.DUMMYFUNCTION("""COMPUTED_VALUE"""),"WEGMACHER HUMBERTO")</f>
        <v>WEGMACHER HUMBERTO</v>
      </c>
      <c r="D5486" s="1" t="str">
        <f>IFERROR(__xludf.DUMMYFUNCTION("""COMPUTED_VALUE"""),"Lentes de STOCK")</f>
        <v>Lentes de STOCK</v>
      </c>
      <c r="E5486" s="1" t="str">
        <f>IFERROR(__xludf.DUMMYFUNCTION("""COMPUTED_VALUE"""),"RIVADAVIA Christian C.")</f>
        <v>RIVADAVIA Christian C.</v>
      </c>
      <c r="F5486" s="1" t="str">
        <f t="shared" si="1"/>
        <v>RIVADAVIA </v>
      </c>
      <c r="G5486" s="1" t="str">
        <f t="shared" si="2"/>
        <v>Christian C.</v>
      </c>
      <c r="H5486" s="1" t="str">
        <f>IFERROR(__xludf.DUMMYFUNCTION("""COMPUTED_VALUE"""),"20/4/2023, 17:00:00")</f>
        <v>20/4/2023, 17:00:00</v>
      </c>
      <c r="I5486" s="1" t="str">
        <f>IFERROR(__xludf.DUMMYFUNCTION("""COMPUTED_VALUE"""),"Completado en SUCURSAL")</f>
        <v>Completado en SUCURSAL</v>
      </c>
      <c r="J5486" s="1">
        <f t="shared" si="3"/>
        <v>5</v>
      </c>
      <c r="K5486" s="1" t="str">
        <f t="shared" si="4"/>
        <v>Tus Lentes estan LISTAS PARA ENTREGAR, te esperamos.</v>
      </c>
    </row>
    <row r="5487">
      <c r="A5487" s="1">
        <f>IFERROR(__xludf.DUMMYFUNCTION("""COMPUTED_VALUE"""),90052.0)</f>
        <v>90052</v>
      </c>
      <c r="B5487" s="5">
        <f>IFERROR(__xludf.DUMMYFUNCTION("""COMPUTED_VALUE"""),45031.50285456018)</f>
        <v>45031.50285</v>
      </c>
      <c r="C5487" s="1" t="str">
        <f>IFERROR(__xludf.DUMMYFUNCTION("""COMPUTED_VALUE"""),"QUIROGA MARIA LAURA")</f>
        <v>QUIROGA MARIA LAURA</v>
      </c>
      <c r="D5487" s="1" t="str">
        <f>IFERROR(__xludf.DUMMYFUNCTION("""COMPUTED_VALUE"""),"Lentes de STOCK")</f>
        <v>Lentes de STOCK</v>
      </c>
      <c r="E5487" s="1" t="str">
        <f>IFERROR(__xludf.DUMMYFUNCTION("""COMPUTED_VALUE"""),"ARTIGAS Ivana P.")</f>
        <v>ARTIGAS Ivana P.</v>
      </c>
      <c r="F5487" s="1" t="str">
        <f t="shared" si="1"/>
        <v>ARTIGAS </v>
      </c>
      <c r="G5487" s="1" t="str">
        <f t="shared" si="2"/>
        <v>Ivana P.</v>
      </c>
      <c r="H5487" s="1" t="str">
        <f>IFERROR(__xludf.DUMMYFUNCTION("""COMPUTED_VALUE"""),"18/4/2023, 17:00:00")</f>
        <v>18/4/2023, 17:00:00</v>
      </c>
      <c r="I5487" s="1" t="str">
        <f>IFERROR(__xludf.DUMMYFUNCTION("""COMPUTED_VALUE"""),"Completado en SUCURSAL")</f>
        <v>Completado en SUCURSAL</v>
      </c>
      <c r="J5487" s="1">
        <f t="shared" si="3"/>
        <v>5</v>
      </c>
      <c r="K5487" s="1" t="str">
        <f t="shared" si="4"/>
        <v>Tus Lentes estan LISTAS PARA ENTREGAR, te esperamos.</v>
      </c>
    </row>
    <row r="5488">
      <c r="A5488" s="1">
        <f>IFERROR(__xludf.DUMMYFUNCTION("""COMPUTED_VALUE"""),90053.0)</f>
        <v>90053</v>
      </c>
      <c r="B5488" s="5">
        <f>IFERROR(__xludf.DUMMYFUNCTION("""COMPUTED_VALUE"""),45031.51635181713)</f>
        <v>45031.51635</v>
      </c>
      <c r="C5488" s="1" t="str">
        <f>IFERROR(__xludf.DUMMYFUNCTION("""COMPUTED_VALUE"""),"AGUILERA MARTIN ORLANDO")</f>
        <v>AGUILERA MARTIN ORLANDO</v>
      </c>
      <c r="D5488" s="1" t="str">
        <f>IFERROR(__xludf.DUMMYFUNCTION("""COMPUTED_VALUE"""),"Lentes de STOCK")</f>
        <v>Lentes de STOCK</v>
      </c>
      <c r="E5488" s="1" t="str">
        <f>IFERROR(__xludf.DUMMYFUNCTION("""COMPUTED_VALUE"""),"ARTIGAS Roció")</f>
        <v>ARTIGAS Roció</v>
      </c>
      <c r="F5488" s="1" t="str">
        <f t="shared" si="1"/>
        <v>ARTIGAS </v>
      </c>
      <c r="G5488" s="1" t="str">
        <f t="shared" si="2"/>
        <v>Roció</v>
      </c>
      <c r="H5488" s="1" t="str">
        <f>IFERROR(__xludf.DUMMYFUNCTION("""COMPUTED_VALUE"""),"24/4/2023, 17:00:00")</f>
        <v>24/4/2023, 17:00:00</v>
      </c>
      <c r="I5488" s="1"/>
      <c r="J5488" s="1">
        <f t="shared" si="3"/>
        <v>0</v>
      </c>
      <c r="K5488" s="1" t="str">
        <f t="shared" si="4"/>
        <v/>
      </c>
    </row>
    <row r="5489">
      <c r="A5489" s="1">
        <f>IFERROR(__xludf.DUMMYFUNCTION("""COMPUTED_VALUE"""),90054.0)</f>
        <v>90054</v>
      </c>
      <c r="B5489" s="5">
        <f>IFERROR(__xludf.DUMMYFUNCTION("""COMPUTED_VALUE"""),45031.531553506946)</f>
        <v>45031.53155</v>
      </c>
      <c r="C5489" s="1" t="str">
        <f>IFERROR(__xludf.DUMMYFUNCTION("""COMPUTED_VALUE"""),"LATTARO AGUILERA MILAGROS AYELEN")</f>
        <v>LATTARO AGUILERA MILAGROS AYELEN</v>
      </c>
      <c r="D5489" s="1" t="str">
        <f>IFERROR(__xludf.DUMMYFUNCTION("""COMPUTED_VALUE"""),"Lentes de STOCK")</f>
        <v>Lentes de STOCK</v>
      </c>
      <c r="E5489" s="1" t="str">
        <f>IFERROR(__xludf.DUMMYFUNCTION("""COMPUTED_VALUE"""),"ARTIGAS Roció")</f>
        <v>ARTIGAS Roció</v>
      </c>
      <c r="F5489" s="1" t="str">
        <f t="shared" si="1"/>
        <v>ARTIGAS </v>
      </c>
      <c r="G5489" s="1" t="str">
        <f t="shared" si="2"/>
        <v>Roció</v>
      </c>
      <c r="H5489" s="1" t="str">
        <f>IFERROR(__xludf.DUMMYFUNCTION("""COMPUTED_VALUE"""),"25/4/2023, 17:00:00")</f>
        <v>25/4/2023, 17:00:00</v>
      </c>
      <c r="I5489" s="1" t="str">
        <f>IFERROR(__xludf.DUMMYFUNCTION("""COMPUTED_VALUE"""),"Recibido en Laboratorio")</f>
        <v>Recibido en Laboratorio</v>
      </c>
      <c r="J5489" s="1">
        <f t="shared" si="3"/>
        <v>2</v>
      </c>
      <c r="K5489" s="1" t="str">
        <f t="shared" si="4"/>
        <v>Nuestro Laboratorio esta trabajando en tus lentes, los entregaremos en la fecha acordada.</v>
      </c>
    </row>
    <row r="5490">
      <c r="A5490" s="1">
        <f>IFERROR(__xludf.DUMMYFUNCTION("""COMPUTED_VALUE"""),90055.0)</f>
        <v>90055</v>
      </c>
      <c r="B5490" s="5">
        <f>IFERROR(__xludf.DUMMYFUNCTION("""COMPUTED_VALUE"""),45031.532778657405)</f>
        <v>45031.53278</v>
      </c>
      <c r="C5490" s="1" t="str">
        <f>IFERROR(__xludf.DUMMYFUNCTION("""COMPUTED_VALUE"""),"GENNERO CYNTHIA ")</f>
        <v>GENNERO CYNTHIA </v>
      </c>
      <c r="D5490" s="1" t="str">
        <f>IFERROR(__xludf.DUMMYFUNCTION("""COMPUTED_VALUE"""),"Lentes de STOCK")</f>
        <v>Lentes de STOCK</v>
      </c>
      <c r="E5490" s="1" t="str">
        <f>IFERROR(__xludf.DUMMYFUNCTION("""COMPUTED_VALUE"""),"RIVADAVIA Javier")</f>
        <v>RIVADAVIA Javier</v>
      </c>
      <c r="F5490" s="1" t="str">
        <f t="shared" si="1"/>
        <v>RIVADAVIA </v>
      </c>
      <c r="G5490" s="1" t="str">
        <f t="shared" si="2"/>
        <v>Javier</v>
      </c>
      <c r="H5490" s="1" t="str">
        <f>IFERROR(__xludf.DUMMYFUNCTION("""COMPUTED_VALUE"""),"20/4/2023, 17:00:00")</f>
        <v>20/4/2023, 17:00:00</v>
      </c>
      <c r="I5490" s="1" t="str">
        <f>IFERROR(__xludf.DUMMYFUNCTION("""COMPUTED_VALUE"""),"Completado en SUCURSAL")</f>
        <v>Completado en SUCURSAL</v>
      </c>
      <c r="J5490" s="1">
        <f t="shared" si="3"/>
        <v>5</v>
      </c>
      <c r="K5490" s="1" t="str">
        <f t="shared" si="4"/>
        <v>Tus Lentes estan LISTAS PARA ENTREGAR, te esperamos.</v>
      </c>
    </row>
    <row r="5491">
      <c r="A5491" s="1">
        <f>IFERROR(__xludf.DUMMYFUNCTION("""COMPUTED_VALUE"""),90056.0)</f>
        <v>90056</v>
      </c>
      <c r="B5491" s="5">
        <f>IFERROR(__xludf.DUMMYFUNCTION("""COMPUTED_VALUE"""),45031.538809618054)</f>
        <v>45031.53881</v>
      </c>
      <c r="C5491" s="1" t="str">
        <f>IFERROR(__xludf.DUMMYFUNCTION("""COMPUTED_VALUE"""),"GENNERO PEDRO")</f>
        <v>GENNERO PEDRO</v>
      </c>
      <c r="D5491" s="1" t="str">
        <f>IFERROR(__xludf.DUMMYFUNCTION("""COMPUTED_VALUE"""),"Lentes BIFOCALES")</f>
        <v>Lentes BIFOCALES</v>
      </c>
      <c r="E5491" s="1" t="str">
        <f>IFERROR(__xludf.DUMMYFUNCTION("""COMPUTED_VALUE"""),"RIVADAVIA Daniel CM")</f>
        <v>RIVADAVIA Daniel CM</v>
      </c>
      <c r="F5491" s="1" t="str">
        <f t="shared" si="1"/>
        <v>RIVADAVIA </v>
      </c>
      <c r="G5491" s="1" t="str">
        <f t="shared" si="2"/>
        <v>Daniel CM</v>
      </c>
      <c r="H5491" s="1" t="str">
        <f>IFERROR(__xludf.DUMMYFUNCTION("""COMPUTED_VALUE"""),"21/4/2023, 17:00:00")</f>
        <v>21/4/2023, 17:00:00</v>
      </c>
      <c r="I5491" s="1" t="str">
        <f>IFERROR(__xludf.DUMMYFUNCTION("""COMPUTED_VALUE"""),"Recibido en Laboratorio")</f>
        <v>Recibido en Laboratorio</v>
      </c>
      <c r="J5491" s="1">
        <f t="shared" si="3"/>
        <v>2</v>
      </c>
      <c r="K5491" s="1" t="str">
        <f t="shared" si="4"/>
        <v>Nuestro Laboratorio esta trabajando en tus lentes, los entregaremos en la fecha acordada.</v>
      </c>
    </row>
    <row r="5492">
      <c r="A5492" s="1">
        <f>IFERROR(__xludf.DUMMYFUNCTION("""COMPUTED_VALUE"""),90057.0)</f>
        <v>90057</v>
      </c>
      <c r="B5492" s="5">
        <f>IFERROR(__xludf.DUMMYFUNCTION("""COMPUTED_VALUE"""),45031.54604035879)</f>
        <v>45031.54604</v>
      </c>
      <c r="C5492" s="1" t="str">
        <f>IFERROR(__xludf.DUMMYFUNCTION("""COMPUTED_VALUE"""),"ESCOBAR MONICA")</f>
        <v>ESCOBAR MONICA</v>
      </c>
      <c r="D5492" s="1" t="str">
        <f>IFERROR(__xludf.DUMMYFUNCTION("""COMPUTED_VALUE"""),"Lentes de STOCK")</f>
        <v>Lentes de STOCK</v>
      </c>
      <c r="E5492" s="1" t="str">
        <f>IFERROR(__xludf.DUMMYFUNCTION("""COMPUTED_VALUE"""),"RIVADAVIA Christian C.")</f>
        <v>RIVADAVIA Christian C.</v>
      </c>
      <c r="F5492" s="1" t="str">
        <f t="shared" si="1"/>
        <v>RIVADAVIA </v>
      </c>
      <c r="G5492" s="1" t="str">
        <f t="shared" si="2"/>
        <v>Christian C.</v>
      </c>
      <c r="H5492" s="1" t="str">
        <f>IFERROR(__xludf.DUMMYFUNCTION("""COMPUTED_VALUE"""),"20/4/2023, 17:00:00")</f>
        <v>20/4/2023, 17:00:00</v>
      </c>
      <c r="I5492" s="1" t="str">
        <f>IFERROR(__xludf.DUMMYFUNCTION("""COMPUTED_VALUE"""),"Completado en SUCURSAL")</f>
        <v>Completado en SUCURSAL</v>
      </c>
      <c r="J5492" s="1">
        <f t="shared" si="3"/>
        <v>5</v>
      </c>
      <c r="K5492" s="1" t="str">
        <f t="shared" si="4"/>
        <v>Tus Lentes estan LISTAS PARA ENTREGAR, te esperamos.</v>
      </c>
    </row>
    <row r="5493">
      <c r="A5493" s="1">
        <f>IFERROR(__xludf.DUMMYFUNCTION("""COMPUTED_VALUE"""),90058.0)</f>
        <v>90058</v>
      </c>
      <c r="B5493" s="5">
        <f>IFERROR(__xludf.DUMMYFUNCTION("""COMPUTED_VALUE"""),45033.33815930555)</f>
        <v>45033.33816</v>
      </c>
      <c r="C5493" s="1" t="str">
        <f>IFERROR(__xludf.DUMMYFUNCTION("""COMPUTED_VALUE"""),"PECORARI HUGO")</f>
        <v>PECORARI HUGO</v>
      </c>
      <c r="D5493" s="1" t="str">
        <f>IFERROR(__xludf.DUMMYFUNCTION("""COMPUTED_VALUE"""),"Lentes de STOCK")</f>
        <v>Lentes de STOCK</v>
      </c>
      <c r="E5493" s="1" t="str">
        <f>IFERROR(__xludf.DUMMYFUNCTION("""COMPUTED_VALUE"""),"ARTIGAS Ivana P.")</f>
        <v>ARTIGAS Ivana P.</v>
      </c>
      <c r="F5493" s="1" t="str">
        <f t="shared" si="1"/>
        <v>ARTIGAS </v>
      </c>
      <c r="G5493" s="1" t="str">
        <f t="shared" si="2"/>
        <v>Ivana P.</v>
      </c>
      <c r="H5493" s="1" t="str">
        <f>IFERROR(__xludf.DUMMYFUNCTION("""COMPUTED_VALUE"""),"20/4/2023, 17:00:00")</f>
        <v>20/4/2023, 17:00:00</v>
      </c>
      <c r="I5493" s="1" t="str">
        <f>IFERROR(__xludf.DUMMYFUNCTION("""COMPUTED_VALUE"""),"Completado en SUCURSAL")</f>
        <v>Completado en SUCURSAL</v>
      </c>
      <c r="J5493" s="1">
        <f t="shared" si="3"/>
        <v>5</v>
      </c>
      <c r="K5493" s="1" t="str">
        <f t="shared" si="4"/>
        <v>Tus Lentes estan LISTAS PARA ENTREGAR, te esperamos.</v>
      </c>
    </row>
    <row r="5494">
      <c r="A5494" s="1">
        <f>IFERROR(__xludf.DUMMYFUNCTION("""COMPUTED_VALUE"""),90059.0)</f>
        <v>90059</v>
      </c>
      <c r="B5494" s="5">
        <f>IFERROR(__xludf.DUMMYFUNCTION("""COMPUTED_VALUE"""),45033.35745869213)</f>
        <v>45033.35746</v>
      </c>
      <c r="C5494" s="1" t="str">
        <f>IFERROR(__xludf.DUMMYFUNCTION("""COMPUTED_VALUE"""),"BIAGGIO LUIS")</f>
        <v>BIAGGIO LUIS</v>
      </c>
      <c r="D5494" s="1" t="str">
        <f>IFERROR(__xludf.DUMMYFUNCTION("""COMPUTED_VALUE"""),"Reparaciones/Otros")</f>
        <v>Reparaciones/Otros</v>
      </c>
      <c r="E5494" s="1" t="str">
        <f>IFERROR(__xludf.DUMMYFUNCTION("""COMPUTED_VALUE"""),"ARTIGAS Ivana P.")</f>
        <v>ARTIGAS Ivana P.</v>
      </c>
      <c r="F5494" s="1" t="str">
        <f t="shared" si="1"/>
        <v>ARTIGAS </v>
      </c>
      <c r="G5494" s="1" t="str">
        <f t="shared" si="2"/>
        <v>Ivana P.</v>
      </c>
      <c r="H5494" s="1" t="str">
        <f>IFERROR(__xludf.DUMMYFUNCTION("""COMPUTED_VALUE"""),"18/4/2023, 17:00:00")</f>
        <v>18/4/2023, 17:00:00</v>
      </c>
      <c r="I5494" s="1" t="str">
        <f>IFERROR(__xludf.DUMMYFUNCTION("""COMPUTED_VALUE"""),"Recibido en Laboratorio")</f>
        <v>Recibido en Laboratorio</v>
      </c>
      <c r="J5494" s="1">
        <f t="shared" si="3"/>
        <v>2</v>
      </c>
      <c r="K5494" s="1" t="str">
        <f t="shared" si="4"/>
        <v>Nuestro Laboratorio esta trabajando en tus lentes, los entregaremos en la fecha acordada.</v>
      </c>
    </row>
    <row r="5495">
      <c r="A5495" s="1">
        <f>IFERROR(__xludf.DUMMYFUNCTION("""COMPUTED_VALUE"""),90060.0)</f>
        <v>90060</v>
      </c>
      <c r="B5495" s="5">
        <f>IFERROR(__xludf.DUMMYFUNCTION("""COMPUTED_VALUE"""),45033.38185644676)</f>
        <v>45033.38186</v>
      </c>
      <c r="C5495" s="1" t="str">
        <f>IFERROR(__xludf.DUMMYFUNCTION("""COMPUTED_VALUE"""),"brizzolara valeria")</f>
        <v>brizzolara valeria</v>
      </c>
      <c r="D5495" s="1" t="str">
        <f>IFERROR(__xludf.DUMMYFUNCTION("""COMPUTED_VALUE"""),"Lentes MULTIFOCALES")</f>
        <v>Lentes MULTIFOCALES</v>
      </c>
      <c r="E5495" s="1" t="str">
        <f>IFERROR(__xludf.DUMMYFUNCTION("""COMPUTED_VALUE"""),"RIVADAVIA Santiago N")</f>
        <v>RIVADAVIA Santiago N</v>
      </c>
      <c r="F5495" s="1" t="str">
        <f t="shared" si="1"/>
        <v>RIVADAVIA </v>
      </c>
      <c r="G5495" s="1" t="str">
        <f t="shared" si="2"/>
        <v>Santiago N</v>
      </c>
      <c r="H5495" s="1" t="str">
        <f>IFERROR(__xludf.DUMMYFUNCTION("""COMPUTED_VALUE"""),"2/5/2023, 17:00:00")</f>
        <v>2/5/2023, 17:00:00</v>
      </c>
      <c r="I5495" s="1" t="str">
        <f>IFERROR(__xludf.DUMMYFUNCTION("""COMPUTED_VALUE"""),"Recibido en Laboratorio")</f>
        <v>Recibido en Laboratorio</v>
      </c>
      <c r="J5495" s="1">
        <f t="shared" si="3"/>
        <v>2</v>
      </c>
      <c r="K5495" s="1" t="str">
        <f t="shared" si="4"/>
        <v>Nuestro Laboratorio esta trabajando en tus lentes, los entregaremos en la fecha acordada.</v>
      </c>
    </row>
    <row r="5496">
      <c r="A5496" s="1">
        <f>IFERROR(__xludf.DUMMYFUNCTION("""COMPUTED_VALUE"""),90061.0)</f>
        <v>90061</v>
      </c>
      <c r="B5496" s="5">
        <f>IFERROR(__xludf.DUMMYFUNCTION("""COMPUTED_VALUE"""),45033.38255069444)</f>
        <v>45033.38255</v>
      </c>
      <c r="C5496" s="1" t="str">
        <f>IFERROR(__xludf.DUMMYFUNCTION("""COMPUTED_VALUE"""),"CORIA PAMELA ")</f>
        <v>CORIA PAMELA </v>
      </c>
      <c r="D5496" s="1" t="str">
        <f>IFERROR(__xludf.DUMMYFUNCTION("""COMPUTED_VALUE"""),"Lentes de STOCK")</f>
        <v>Lentes de STOCK</v>
      </c>
      <c r="E5496" s="1" t="str">
        <f>IFERROR(__xludf.DUMMYFUNCTION("""COMPUTED_VALUE"""),"RIVADAVIA Luciana")</f>
        <v>RIVADAVIA Luciana</v>
      </c>
      <c r="F5496" s="1" t="str">
        <f t="shared" si="1"/>
        <v>RIVADAVIA </v>
      </c>
      <c r="G5496" s="1" t="str">
        <f t="shared" si="2"/>
        <v>Luciana</v>
      </c>
      <c r="H5496" s="1" t="str">
        <f>IFERROR(__xludf.DUMMYFUNCTION("""COMPUTED_VALUE"""),"21/4/2023, 17:00:00")</f>
        <v>21/4/2023, 17:00:00</v>
      </c>
      <c r="I5496" s="1" t="str">
        <f>IFERROR(__xludf.DUMMYFUNCTION("""COMPUTED_VALUE"""),"Recibido en Laboratorio")</f>
        <v>Recibido en Laboratorio</v>
      </c>
      <c r="J5496" s="1">
        <f t="shared" si="3"/>
        <v>2</v>
      </c>
      <c r="K5496" s="1" t="str">
        <f t="shared" si="4"/>
        <v>Nuestro Laboratorio esta trabajando en tus lentes, los entregaremos en la fecha acordada.</v>
      </c>
    </row>
    <row r="5497">
      <c r="A5497" s="1">
        <f>IFERROR(__xludf.DUMMYFUNCTION("""COMPUTED_VALUE"""),90062.0)</f>
        <v>90062</v>
      </c>
      <c r="B5497" s="5">
        <f>IFERROR(__xludf.DUMMYFUNCTION("""COMPUTED_VALUE"""),45033.38325261574)</f>
        <v>45033.38325</v>
      </c>
      <c r="C5497" s="1" t="str">
        <f>IFERROR(__xludf.DUMMYFUNCTION("""COMPUTED_VALUE"""),"LOPEZ RUTH MARIA")</f>
        <v>LOPEZ RUTH MARIA</v>
      </c>
      <c r="D5497" s="1" t="str">
        <f>IFERROR(__xludf.DUMMYFUNCTION("""COMPUTED_VALUE"""),"Lentes de STOCK")</f>
        <v>Lentes de STOCK</v>
      </c>
      <c r="E5497" s="1" t="str">
        <f>IFERROR(__xludf.DUMMYFUNCTION("""COMPUTED_VALUE"""),"RIVADAVIA Marcela L")</f>
        <v>RIVADAVIA Marcela L</v>
      </c>
      <c r="F5497" s="1" t="str">
        <f t="shared" si="1"/>
        <v>RIVADAVIA </v>
      </c>
      <c r="G5497" s="1" t="str">
        <f t="shared" si="2"/>
        <v>Marcela L</v>
      </c>
      <c r="H5497" s="1" t="str">
        <f>IFERROR(__xludf.DUMMYFUNCTION("""COMPUTED_VALUE"""),"20/4/2023, 17:00:00")</f>
        <v>20/4/2023, 17:00:00</v>
      </c>
      <c r="I5497" s="1" t="str">
        <f>IFERROR(__xludf.DUMMYFUNCTION("""COMPUTED_VALUE"""),"Completado en SUCURSAL")</f>
        <v>Completado en SUCURSAL</v>
      </c>
      <c r="J5497" s="1">
        <f t="shared" si="3"/>
        <v>5</v>
      </c>
      <c r="K5497" s="1" t="str">
        <f t="shared" si="4"/>
        <v>Tus Lentes estan LISTAS PARA ENTREGAR, te esperamos.</v>
      </c>
    </row>
    <row r="5498">
      <c r="A5498" s="1">
        <f>IFERROR(__xludf.DUMMYFUNCTION("""COMPUTED_VALUE"""),90063.0)</f>
        <v>90063</v>
      </c>
      <c r="B5498" s="5">
        <f>IFERROR(__xludf.DUMMYFUNCTION("""COMPUTED_VALUE"""),45033.39814335648)</f>
        <v>45033.39814</v>
      </c>
      <c r="C5498" s="1" t="str">
        <f>IFERROR(__xludf.DUMMYFUNCTION("""COMPUTED_VALUE"""),"CASTRO FEDERICO ")</f>
        <v>CASTRO FEDERICO </v>
      </c>
      <c r="D5498" s="1" t="str">
        <f>IFERROR(__xludf.DUMMYFUNCTION("""COMPUTED_VALUE"""),"Lentes de STOCK")</f>
        <v>Lentes de STOCK</v>
      </c>
      <c r="E5498" s="1" t="str">
        <f>IFERROR(__xludf.DUMMYFUNCTION("""COMPUTED_VALUE"""),"RIVADAVIA Luciana")</f>
        <v>RIVADAVIA Luciana</v>
      </c>
      <c r="F5498" s="1" t="str">
        <f t="shared" si="1"/>
        <v>RIVADAVIA </v>
      </c>
      <c r="G5498" s="1" t="str">
        <f t="shared" si="2"/>
        <v>Luciana</v>
      </c>
      <c r="H5498" s="1" t="str">
        <f>IFERROR(__xludf.DUMMYFUNCTION("""COMPUTED_VALUE"""),"21/4/2023, 17:00:00")</f>
        <v>21/4/2023, 17:00:00</v>
      </c>
      <c r="I5498" s="1" t="str">
        <f>IFERROR(__xludf.DUMMYFUNCTION("""COMPUTED_VALUE"""),"Recibido en Laboratorio")</f>
        <v>Recibido en Laboratorio</v>
      </c>
      <c r="J5498" s="1">
        <f t="shared" si="3"/>
        <v>2</v>
      </c>
      <c r="K5498" s="1" t="str">
        <f t="shared" si="4"/>
        <v>Nuestro Laboratorio esta trabajando en tus lentes, los entregaremos en la fecha acordada.</v>
      </c>
    </row>
    <row r="5499">
      <c r="A5499" s="1">
        <f>IFERROR(__xludf.DUMMYFUNCTION("""COMPUTED_VALUE"""),90064.0)</f>
        <v>90064</v>
      </c>
      <c r="B5499" s="5">
        <f>IFERROR(__xludf.DUMMYFUNCTION("""COMPUTED_VALUE"""),45033.400431319445)</f>
        <v>45033.40043</v>
      </c>
      <c r="C5499" s="1" t="str">
        <f>IFERROR(__xludf.DUMMYFUNCTION("""COMPUTED_VALUE"""),"BALLERINO JULIO")</f>
        <v>BALLERINO JULIO</v>
      </c>
      <c r="D5499" s="1" t="str">
        <f>IFERROR(__xludf.DUMMYFUNCTION("""COMPUTED_VALUE"""),"Lentes de STOCK")</f>
        <v>Lentes de STOCK</v>
      </c>
      <c r="E5499" s="1" t="str">
        <f>IFERROR(__xludf.DUMMYFUNCTION("""COMPUTED_VALUE"""),"ARTIGAS Ivana P.")</f>
        <v>ARTIGAS Ivana P.</v>
      </c>
      <c r="F5499" s="1" t="str">
        <f t="shared" si="1"/>
        <v>ARTIGAS </v>
      </c>
      <c r="G5499" s="1" t="str">
        <f t="shared" si="2"/>
        <v>Ivana P.</v>
      </c>
      <c r="H5499" s="1" t="str">
        <f>IFERROR(__xludf.DUMMYFUNCTION("""COMPUTED_VALUE"""),"20/4/2023, 17:00:00")</f>
        <v>20/4/2023, 17:00:00</v>
      </c>
      <c r="I5499" s="1" t="str">
        <f>IFERROR(__xludf.DUMMYFUNCTION("""COMPUTED_VALUE"""),"Completado en SUCURSAL")</f>
        <v>Completado en SUCURSAL</v>
      </c>
      <c r="J5499" s="1">
        <f t="shared" si="3"/>
        <v>5</v>
      </c>
      <c r="K5499" s="1" t="str">
        <f t="shared" si="4"/>
        <v>Tus Lentes estan LISTAS PARA ENTREGAR, te esperamos.</v>
      </c>
    </row>
    <row r="5500">
      <c r="A5500" s="1">
        <f>IFERROR(__xludf.DUMMYFUNCTION("""COMPUTED_VALUE"""),90065.0)</f>
        <v>90065</v>
      </c>
      <c r="B5500" s="5">
        <f>IFERROR(__xludf.DUMMYFUNCTION("""COMPUTED_VALUE"""),45033.40094046296)</f>
        <v>45033.40094</v>
      </c>
      <c r="C5500" s="1" t="str">
        <f>IFERROR(__xludf.DUMMYFUNCTION("""COMPUTED_VALUE"""),"MUÑOZ KAREM")</f>
        <v>MUÑOZ KAREM</v>
      </c>
      <c r="D5500" s="1" t="str">
        <f>IFERROR(__xludf.DUMMYFUNCTION("""COMPUTED_VALUE"""),"Reparaciones/Otros")</f>
        <v>Reparaciones/Otros</v>
      </c>
      <c r="E5500" s="1" t="str">
        <f>IFERROR(__xludf.DUMMYFUNCTION("""COMPUTED_VALUE"""),"RIVADAVIA Marcela L")</f>
        <v>RIVADAVIA Marcela L</v>
      </c>
      <c r="F5500" s="1" t="str">
        <f t="shared" si="1"/>
        <v>RIVADAVIA </v>
      </c>
      <c r="G5500" s="1" t="str">
        <f t="shared" si="2"/>
        <v>Marcela L</v>
      </c>
      <c r="H5500" s="1" t="str">
        <f>IFERROR(__xludf.DUMMYFUNCTION("""COMPUTED_VALUE"""),"18/4/2023, 17:00:00")</f>
        <v>18/4/2023, 17:00:00</v>
      </c>
      <c r="I5500" s="1" t="str">
        <f>IFERROR(__xludf.DUMMYFUNCTION("""COMPUTED_VALUE"""),"Completado en SUCURSAL")</f>
        <v>Completado en SUCURSAL</v>
      </c>
      <c r="J5500" s="1">
        <f t="shared" si="3"/>
        <v>5</v>
      </c>
      <c r="K5500" s="1" t="str">
        <f t="shared" si="4"/>
        <v>Tus Lentes estan LISTAS PARA ENTREGAR, te esperamos.</v>
      </c>
    </row>
    <row r="5501">
      <c r="A5501" s="1">
        <f>IFERROR(__xludf.DUMMYFUNCTION("""COMPUTED_VALUE"""),90066.0)</f>
        <v>90066</v>
      </c>
      <c r="B5501" s="5">
        <f>IFERROR(__xludf.DUMMYFUNCTION("""COMPUTED_VALUE"""),45033.40334016204)</f>
        <v>45033.40334</v>
      </c>
      <c r="C5501" s="1" t="str">
        <f>IFERROR(__xludf.DUMMYFUNCTION("""COMPUTED_VALUE"""),"ROJA RAUL LAZARO")</f>
        <v>ROJA RAUL LAZARO</v>
      </c>
      <c r="D5501" s="1" t="str">
        <f>IFERROR(__xludf.DUMMYFUNCTION("""COMPUTED_VALUE"""),"Reparaciones/Otros")</f>
        <v>Reparaciones/Otros</v>
      </c>
      <c r="E5501" s="1" t="str">
        <f>IFERROR(__xludf.DUMMYFUNCTION("""COMPUTED_VALUE"""),"RIVADAVIA Christian C.")</f>
        <v>RIVADAVIA Christian C.</v>
      </c>
      <c r="F5501" s="1" t="str">
        <f t="shared" si="1"/>
        <v>RIVADAVIA </v>
      </c>
      <c r="G5501" s="1" t="str">
        <f t="shared" si="2"/>
        <v>Christian C.</v>
      </c>
      <c r="H5501" s="1" t="str">
        <f>IFERROR(__xludf.DUMMYFUNCTION("""COMPUTED_VALUE"""),"19/4/2023, 17:00:00")</f>
        <v>19/4/2023, 17:00:00</v>
      </c>
      <c r="I5501" s="1" t="str">
        <f>IFERROR(__xludf.DUMMYFUNCTION("""COMPUTED_VALUE"""),"Recibido en Laboratorio")</f>
        <v>Recibido en Laboratorio</v>
      </c>
      <c r="J5501" s="1">
        <f t="shared" si="3"/>
        <v>2</v>
      </c>
      <c r="K5501" s="1" t="str">
        <f t="shared" si="4"/>
        <v>Nuestro Laboratorio esta trabajando en tus lentes, los entregaremos en la fecha acordada.</v>
      </c>
    </row>
    <row r="5502">
      <c r="A5502" s="1">
        <f>IFERROR(__xludf.DUMMYFUNCTION("""COMPUTED_VALUE"""),90067.0)</f>
        <v>90067</v>
      </c>
      <c r="B5502" s="5">
        <f>IFERROR(__xludf.DUMMYFUNCTION("""COMPUTED_VALUE"""),45033.4041950463)</f>
        <v>45033.4042</v>
      </c>
      <c r="C5502" s="1" t="str">
        <f>IFERROR(__xludf.DUMMYFUNCTION("""COMPUTED_VALUE"""),"CABAÑEZ RAMON ")</f>
        <v>CABAÑEZ RAMON </v>
      </c>
      <c r="D5502" s="1" t="str">
        <f>IFERROR(__xludf.DUMMYFUNCTION("""COMPUTED_VALUE"""),"Reparaciones/Otros")</f>
        <v>Reparaciones/Otros</v>
      </c>
      <c r="E5502" s="1" t="str">
        <f>IFERROR(__xludf.DUMMYFUNCTION("""COMPUTED_VALUE"""),"RIVADAVIA Luciana")</f>
        <v>RIVADAVIA Luciana</v>
      </c>
      <c r="F5502" s="1" t="str">
        <f t="shared" si="1"/>
        <v>RIVADAVIA </v>
      </c>
      <c r="G5502" s="1" t="str">
        <f t="shared" si="2"/>
        <v>Luciana</v>
      </c>
      <c r="H5502" s="1" t="str">
        <f>IFERROR(__xludf.DUMMYFUNCTION("""COMPUTED_VALUE"""),"19/4/2023, 17:00:00")</f>
        <v>19/4/2023, 17:00:00</v>
      </c>
      <c r="I5502" s="1" t="str">
        <f>IFERROR(__xludf.DUMMYFUNCTION("""COMPUTED_VALUE"""),"Completado en SUCURSAL")</f>
        <v>Completado en SUCURSAL</v>
      </c>
      <c r="J5502" s="1">
        <f t="shared" si="3"/>
        <v>5</v>
      </c>
      <c r="K5502" s="1" t="str">
        <f t="shared" si="4"/>
        <v>Tus Lentes estan LISTAS PARA ENTREGAR, te esperamos.</v>
      </c>
    </row>
    <row r="5503">
      <c r="A5503" s="1">
        <f>IFERROR(__xludf.DUMMYFUNCTION("""COMPUTED_VALUE"""),90068.0)</f>
        <v>90068</v>
      </c>
      <c r="B5503" s="5">
        <f>IFERROR(__xludf.DUMMYFUNCTION("""COMPUTED_VALUE"""),45033.40555296296)</f>
        <v>45033.40555</v>
      </c>
      <c r="C5503" s="1" t="str">
        <f>IFERROR(__xludf.DUMMYFUNCTION("""COMPUTED_VALUE"""),"LUCERO INDALECIO")</f>
        <v>LUCERO INDALECIO</v>
      </c>
      <c r="D5503" s="1" t="str">
        <f>IFERROR(__xludf.DUMMYFUNCTION("""COMPUTED_VALUE"""),"Lentes de STOCK")</f>
        <v>Lentes de STOCK</v>
      </c>
      <c r="E5503" s="1" t="str">
        <f>IFERROR(__xludf.DUMMYFUNCTION("""COMPUTED_VALUE"""),"ARTIGAS Ivana P.")</f>
        <v>ARTIGAS Ivana P.</v>
      </c>
      <c r="F5503" s="1" t="str">
        <f t="shared" si="1"/>
        <v>ARTIGAS </v>
      </c>
      <c r="G5503" s="1" t="str">
        <f t="shared" si="2"/>
        <v>Ivana P.</v>
      </c>
      <c r="H5503" s="1" t="str">
        <f>IFERROR(__xludf.DUMMYFUNCTION("""COMPUTED_VALUE"""),"24/4/2023, 17:00:00")</f>
        <v>24/4/2023, 17:00:00</v>
      </c>
      <c r="I5503" s="1" t="str">
        <f>IFERROR(__xludf.DUMMYFUNCTION("""COMPUTED_VALUE"""),"Recibido en Laboratorio")</f>
        <v>Recibido en Laboratorio</v>
      </c>
      <c r="J5503" s="1">
        <f t="shared" si="3"/>
        <v>2</v>
      </c>
      <c r="K5503" s="1" t="str">
        <f t="shared" si="4"/>
        <v>Nuestro Laboratorio esta trabajando en tus lentes, los entregaremos en la fecha acordada.</v>
      </c>
    </row>
    <row r="5504">
      <c r="A5504" s="1">
        <f>IFERROR(__xludf.DUMMYFUNCTION("""COMPUTED_VALUE"""),90069.0)</f>
        <v>90069</v>
      </c>
      <c r="B5504" s="5">
        <f>IFERROR(__xludf.DUMMYFUNCTION("""COMPUTED_VALUE"""),45033.406709375005)</f>
        <v>45033.40671</v>
      </c>
      <c r="C5504" s="1" t="str">
        <f>IFERROR(__xludf.DUMMYFUNCTION("""COMPUTED_VALUE"""),"DIAZ BARRERA LILIA")</f>
        <v>DIAZ BARRERA LILIA</v>
      </c>
      <c r="D5504" s="1" t="str">
        <f>IFERROR(__xludf.DUMMYFUNCTION("""COMPUTED_VALUE"""),"Lentes MULTIFOCALES")</f>
        <v>Lentes MULTIFOCALES</v>
      </c>
      <c r="E5504" s="1" t="str">
        <f>IFERROR(__xludf.DUMMYFUNCTION("""COMPUTED_VALUE"""),"RIVADAVIA Santiago N")</f>
        <v>RIVADAVIA Santiago N</v>
      </c>
      <c r="F5504" s="1" t="str">
        <f t="shared" si="1"/>
        <v>RIVADAVIA </v>
      </c>
      <c r="G5504" s="1" t="str">
        <f t="shared" si="2"/>
        <v>Santiago N</v>
      </c>
      <c r="H5504" s="1" t="str">
        <f>IFERROR(__xludf.DUMMYFUNCTION("""COMPUTED_VALUE"""),"2/5/2023, 17:00:00")</f>
        <v>2/5/2023, 17:00:00</v>
      </c>
      <c r="I5504" s="1" t="str">
        <f>IFERROR(__xludf.DUMMYFUNCTION("""COMPUTED_VALUE"""),"Recibido en Laboratorio")</f>
        <v>Recibido en Laboratorio</v>
      </c>
      <c r="J5504" s="1">
        <f t="shared" si="3"/>
        <v>2</v>
      </c>
      <c r="K5504" s="1" t="str">
        <f t="shared" si="4"/>
        <v>Nuestro Laboratorio esta trabajando en tus lentes, los entregaremos en la fecha acordada.</v>
      </c>
    </row>
    <row r="5505">
      <c r="A5505" s="1">
        <f>IFERROR(__xludf.DUMMYFUNCTION("""COMPUTED_VALUE"""),90070.0)</f>
        <v>90070</v>
      </c>
      <c r="B5505" s="5">
        <f>IFERROR(__xludf.DUMMYFUNCTION("""COMPUTED_VALUE"""),45033.40926515046)</f>
        <v>45033.40927</v>
      </c>
      <c r="C5505" s="1" t="str">
        <f>IFERROR(__xludf.DUMMYFUNCTION("""COMPUTED_VALUE"""),"AGUIRRES MYRIAM BEATRIZ")</f>
        <v>AGUIRRES MYRIAM BEATRIZ</v>
      </c>
      <c r="D5505" s="1" t="str">
        <f>IFERROR(__xludf.DUMMYFUNCTION("""COMPUTED_VALUE"""),"Lentes de STOCK")</f>
        <v>Lentes de STOCK</v>
      </c>
      <c r="E5505" s="1" t="str">
        <f>IFERROR(__xludf.DUMMYFUNCTION("""COMPUTED_VALUE"""),"RIVADAVIA Rocio B")</f>
        <v>RIVADAVIA Rocio B</v>
      </c>
      <c r="F5505" s="1" t="str">
        <f t="shared" si="1"/>
        <v>RIVADAVIA </v>
      </c>
      <c r="G5505" s="1" t="str">
        <f t="shared" si="2"/>
        <v>Rocio B</v>
      </c>
      <c r="H5505" s="1" t="str">
        <f>IFERROR(__xludf.DUMMYFUNCTION("""COMPUTED_VALUE"""),"25/4/2023, 17:00:00")</f>
        <v>25/4/2023, 17:00:00</v>
      </c>
      <c r="I5505" s="1" t="str">
        <f>IFERROR(__xludf.DUMMYFUNCTION("""COMPUTED_VALUE"""),"Recibido en Laboratorio")</f>
        <v>Recibido en Laboratorio</v>
      </c>
      <c r="J5505" s="1">
        <f t="shared" si="3"/>
        <v>2</v>
      </c>
      <c r="K5505" s="1" t="str">
        <f t="shared" si="4"/>
        <v>Nuestro Laboratorio esta trabajando en tus lentes, los entregaremos en la fecha acordada.</v>
      </c>
    </row>
    <row r="5506">
      <c r="A5506" s="1">
        <f>IFERROR(__xludf.DUMMYFUNCTION("""COMPUTED_VALUE"""),90071.0)</f>
        <v>90071</v>
      </c>
      <c r="B5506" s="5">
        <f>IFERROR(__xludf.DUMMYFUNCTION("""COMPUTED_VALUE"""),45033.421613391205)</f>
        <v>45033.42161</v>
      </c>
      <c r="C5506" s="1" t="str">
        <f>IFERROR(__xludf.DUMMYFUNCTION("""COMPUTED_VALUE"""),"OJEDA GRACIELA")</f>
        <v>OJEDA GRACIELA</v>
      </c>
      <c r="D5506" s="1" t="str">
        <f>IFERROR(__xludf.DUMMYFUNCTION("""COMPUTED_VALUE"""),"Lentes de STOCK")</f>
        <v>Lentes de STOCK</v>
      </c>
      <c r="E5506" s="1" t="str">
        <f>IFERROR(__xludf.DUMMYFUNCTION("""COMPUTED_VALUE"""),"ARTIGAS Roció")</f>
        <v>ARTIGAS Roció</v>
      </c>
      <c r="F5506" s="1" t="str">
        <f t="shared" si="1"/>
        <v>ARTIGAS </v>
      </c>
      <c r="G5506" s="1" t="str">
        <f t="shared" si="2"/>
        <v>Roció</v>
      </c>
      <c r="H5506" s="1" t="str">
        <f>IFERROR(__xludf.DUMMYFUNCTION("""COMPUTED_VALUE"""),"25/4/2023, 17:00:00")</f>
        <v>25/4/2023, 17:00:00</v>
      </c>
      <c r="I5506" s="1" t="str">
        <f>IFERROR(__xludf.DUMMYFUNCTION("""COMPUTED_VALUE"""),"Recibido en Laboratorio")</f>
        <v>Recibido en Laboratorio</v>
      </c>
      <c r="J5506" s="1">
        <f t="shared" si="3"/>
        <v>2</v>
      </c>
      <c r="K5506" s="1" t="str">
        <f t="shared" si="4"/>
        <v>Nuestro Laboratorio esta trabajando en tus lentes, los entregaremos en la fecha acordada.</v>
      </c>
    </row>
    <row r="5507">
      <c r="A5507" s="1">
        <f>IFERROR(__xludf.DUMMYFUNCTION("""COMPUTED_VALUE"""),90072.0)</f>
        <v>90072</v>
      </c>
      <c r="B5507" s="5">
        <f>IFERROR(__xludf.DUMMYFUNCTION("""COMPUTED_VALUE"""),45033.42387092592)</f>
        <v>45033.42387</v>
      </c>
      <c r="C5507" s="1" t="str">
        <f>IFERROR(__xludf.DUMMYFUNCTION("""COMPUTED_VALUE"""),"FERNANDEZ ARIADNA JAZMIN")</f>
        <v>FERNANDEZ ARIADNA JAZMIN</v>
      </c>
      <c r="D5507" s="1" t="str">
        <f>IFERROR(__xludf.DUMMYFUNCTION("""COMPUTED_VALUE"""),"Reparaciones/Otros")</f>
        <v>Reparaciones/Otros</v>
      </c>
      <c r="E5507" s="1" t="str">
        <f>IFERROR(__xludf.DUMMYFUNCTION("""COMPUTED_VALUE"""),"RIVADAVIA Marcela L")</f>
        <v>RIVADAVIA Marcela L</v>
      </c>
      <c r="F5507" s="1" t="str">
        <f t="shared" si="1"/>
        <v>RIVADAVIA </v>
      </c>
      <c r="G5507" s="1" t="str">
        <f t="shared" si="2"/>
        <v>Marcela L</v>
      </c>
      <c r="H5507" s="1" t="str">
        <f>IFERROR(__xludf.DUMMYFUNCTION("""COMPUTED_VALUE"""),"18/4/2023, 17:00:00")</f>
        <v>18/4/2023, 17:00:00</v>
      </c>
      <c r="I5507" s="1" t="str">
        <f>IFERROR(__xludf.DUMMYFUNCTION("""COMPUTED_VALUE"""),"Completado en SUCURSAL")</f>
        <v>Completado en SUCURSAL</v>
      </c>
      <c r="J5507" s="1">
        <f t="shared" si="3"/>
        <v>5</v>
      </c>
      <c r="K5507" s="1" t="str">
        <f t="shared" si="4"/>
        <v>Tus Lentes estan LISTAS PARA ENTREGAR, te esperamos.</v>
      </c>
    </row>
    <row r="5508">
      <c r="A5508" s="1">
        <f>IFERROR(__xludf.DUMMYFUNCTION("""COMPUTED_VALUE"""),90073.0)</f>
        <v>90073</v>
      </c>
      <c r="B5508" s="5">
        <f>IFERROR(__xludf.DUMMYFUNCTION("""COMPUTED_VALUE"""),45033.425570810185)</f>
        <v>45033.42557</v>
      </c>
      <c r="C5508" s="1" t="str">
        <f>IFERROR(__xludf.DUMMYFUNCTION("""COMPUTED_VALUE"""),"FERNANDEZ TAMARA CELESTE")</f>
        <v>FERNANDEZ TAMARA CELESTE</v>
      </c>
      <c r="D5508" s="1" t="str">
        <f>IFERROR(__xludf.DUMMYFUNCTION("""COMPUTED_VALUE"""),"Reparaciones/Otros")</f>
        <v>Reparaciones/Otros</v>
      </c>
      <c r="E5508" s="1" t="str">
        <f>IFERROR(__xludf.DUMMYFUNCTION("""COMPUTED_VALUE"""),"RIVADAVIA Marcela L")</f>
        <v>RIVADAVIA Marcela L</v>
      </c>
      <c r="F5508" s="1" t="str">
        <f t="shared" si="1"/>
        <v>RIVADAVIA </v>
      </c>
      <c r="G5508" s="1" t="str">
        <f t="shared" si="2"/>
        <v>Marcela L</v>
      </c>
      <c r="H5508" s="1" t="str">
        <f>IFERROR(__xludf.DUMMYFUNCTION("""COMPUTED_VALUE"""),"19/4/2023, 17:00:00")</f>
        <v>19/4/2023, 17:00:00</v>
      </c>
      <c r="I5508" s="1" t="str">
        <f>IFERROR(__xludf.DUMMYFUNCTION("""COMPUTED_VALUE"""),"Completado en SUCURSAL")</f>
        <v>Completado en SUCURSAL</v>
      </c>
      <c r="J5508" s="1">
        <f t="shared" si="3"/>
        <v>5</v>
      </c>
      <c r="K5508" s="1" t="str">
        <f t="shared" si="4"/>
        <v>Tus Lentes estan LISTAS PARA ENTREGAR, te esperamos.</v>
      </c>
    </row>
    <row r="5509">
      <c r="A5509" s="1">
        <f>IFERROR(__xludf.DUMMYFUNCTION("""COMPUTED_VALUE"""),90074.0)</f>
        <v>90074</v>
      </c>
      <c r="B5509" s="5">
        <f>IFERROR(__xludf.DUMMYFUNCTION("""COMPUTED_VALUE"""),45033.427125092596)</f>
        <v>45033.42713</v>
      </c>
      <c r="C5509" s="1" t="str">
        <f>IFERROR(__xludf.DUMMYFUNCTION("""COMPUTED_VALUE"""),"VERA LORENZO")</f>
        <v>VERA LORENZO</v>
      </c>
      <c r="D5509" s="1" t="str">
        <f>IFERROR(__xludf.DUMMYFUNCTION("""COMPUTED_VALUE"""),"Lentes de STOCK")</f>
        <v>Lentes de STOCK</v>
      </c>
      <c r="E5509" s="1" t="str">
        <f>IFERROR(__xludf.DUMMYFUNCTION("""COMPUTED_VALUE"""),"ARTIGAS Ivana P.")</f>
        <v>ARTIGAS Ivana P.</v>
      </c>
      <c r="F5509" s="1" t="str">
        <f t="shared" si="1"/>
        <v>ARTIGAS </v>
      </c>
      <c r="G5509" s="1" t="str">
        <f t="shared" si="2"/>
        <v>Ivana P.</v>
      </c>
      <c r="H5509" s="1" t="str">
        <f>IFERROR(__xludf.DUMMYFUNCTION("""COMPUTED_VALUE"""),"20/4/2023, 17:00:00")</f>
        <v>20/4/2023, 17:00:00</v>
      </c>
      <c r="I5509" s="1" t="str">
        <f>IFERROR(__xludf.DUMMYFUNCTION("""COMPUTED_VALUE"""),"Recibido en Laboratorio")</f>
        <v>Recibido en Laboratorio</v>
      </c>
      <c r="J5509" s="1">
        <f t="shared" si="3"/>
        <v>2</v>
      </c>
      <c r="K5509" s="1" t="str">
        <f t="shared" si="4"/>
        <v>Nuestro Laboratorio esta trabajando en tus lentes, los entregaremos en la fecha acordada.</v>
      </c>
    </row>
    <row r="5510">
      <c r="A5510" s="1">
        <f>IFERROR(__xludf.DUMMYFUNCTION("""COMPUTED_VALUE"""),90075.0)</f>
        <v>90075</v>
      </c>
      <c r="B5510" s="5">
        <f>IFERROR(__xludf.DUMMYFUNCTION("""COMPUTED_VALUE"""),45033.42985048611)</f>
        <v>45033.42985</v>
      </c>
      <c r="C5510" s="1" t="str">
        <f>IFERROR(__xludf.DUMMYFUNCTION("""COMPUTED_VALUE"""),"ARIAS JUAN RAMON")</f>
        <v>ARIAS JUAN RAMON</v>
      </c>
      <c r="D5510" s="1" t="str">
        <f>IFERROR(__xludf.DUMMYFUNCTION("""COMPUTED_VALUE"""),"Lentes de STOCK")</f>
        <v>Lentes de STOCK</v>
      </c>
      <c r="E5510" s="1" t="str">
        <f>IFERROR(__xludf.DUMMYFUNCTION("""COMPUTED_VALUE"""),"RIVADAVIA Marcela L")</f>
        <v>RIVADAVIA Marcela L</v>
      </c>
      <c r="F5510" s="1" t="str">
        <f t="shared" si="1"/>
        <v>RIVADAVIA </v>
      </c>
      <c r="G5510" s="1" t="str">
        <f t="shared" si="2"/>
        <v>Marcela L</v>
      </c>
      <c r="H5510" s="1" t="str">
        <f>IFERROR(__xludf.DUMMYFUNCTION("""COMPUTED_VALUE"""),"19/4/2023, 17:00:00")</f>
        <v>19/4/2023, 17:00:00</v>
      </c>
      <c r="I5510" s="1" t="str">
        <f>IFERROR(__xludf.DUMMYFUNCTION("""COMPUTED_VALUE"""),"Completado en SUCURSAL")</f>
        <v>Completado en SUCURSAL</v>
      </c>
      <c r="J5510" s="1">
        <f t="shared" si="3"/>
        <v>5</v>
      </c>
      <c r="K5510" s="1" t="str">
        <f t="shared" si="4"/>
        <v>Tus Lentes estan LISTAS PARA ENTREGAR, te esperamos.</v>
      </c>
    </row>
    <row r="5511">
      <c r="A5511" s="1">
        <f>IFERROR(__xludf.DUMMYFUNCTION("""COMPUTED_VALUE"""),90076.0)</f>
        <v>90076</v>
      </c>
      <c r="B5511" s="5">
        <f>IFERROR(__xludf.DUMMYFUNCTION("""COMPUTED_VALUE"""),45033.434193043984)</f>
        <v>45033.43419</v>
      </c>
      <c r="C5511" s="1" t="str">
        <f>IFERROR(__xludf.DUMMYFUNCTION("""COMPUTED_VALUE"""),"BAIGORRIA AYELEN ABIGAIL")</f>
        <v>BAIGORRIA AYELEN ABIGAIL</v>
      </c>
      <c r="D5511" s="1" t="str">
        <f>IFERROR(__xludf.DUMMYFUNCTION("""COMPUTED_VALUE"""),"Lentes de LABORATORIO")</f>
        <v>Lentes de LABORATORIO</v>
      </c>
      <c r="E5511" s="1" t="str">
        <f>IFERROR(__xludf.DUMMYFUNCTION("""COMPUTED_VALUE"""),"ARTIGAS Roció")</f>
        <v>ARTIGAS Roció</v>
      </c>
      <c r="F5511" s="1" t="str">
        <f t="shared" si="1"/>
        <v>ARTIGAS </v>
      </c>
      <c r="G5511" s="1" t="str">
        <f t="shared" si="2"/>
        <v>Roció</v>
      </c>
      <c r="H5511" s="1" t="str">
        <f>IFERROR(__xludf.DUMMYFUNCTION("""COMPUTED_VALUE"""),"25/4/2023, 17:00:00")</f>
        <v>25/4/2023, 17:00:00</v>
      </c>
      <c r="I5511" s="1" t="str">
        <f>IFERROR(__xludf.DUMMYFUNCTION("""COMPUTED_VALUE"""),"Recibido en Laboratorio")</f>
        <v>Recibido en Laboratorio</v>
      </c>
      <c r="J5511" s="1">
        <f t="shared" si="3"/>
        <v>2</v>
      </c>
      <c r="K5511" s="1" t="str">
        <f t="shared" si="4"/>
        <v>Nuestro Laboratorio esta trabajando en tus lentes, los entregaremos en la fecha acordada.</v>
      </c>
    </row>
    <row r="5512">
      <c r="A5512" s="1">
        <f>IFERROR(__xludf.DUMMYFUNCTION("""COMPUTED_VALUE"""),90077.0)</f>
        <v>90077</v>
      </c>
      <c r="B5512" s="5">
        <f>IFERROR(__xludf.DUMMYFUNCTION("""COMPUTED_VALUE"""),45033.43555553241)</f>
        <v>45033.43556</v>
      </c>
      <c r="C5512" s="1" t="str">
        <f>IFERROR(__xludf.DUMMYFUNCTION("""COMPUTED_VALUE"""),"RODRIGUEZ NOEMI")</f>
        <v>RODRIGUEZ NOEMI</v>
      </c>
      <c r="D5512" s="1" t="str">
        <f>IFERROR(__xludf.DUMMYFUNCTION("""COMPUTED_VALUE"""),"Reparaciones/Otros")</f>
        <v>Reparaciones/Otros</v>
      </c>
      <c r="E5512" s="1" t="str">
        <f>IFERROR(__xludf.DUMMYFUNCTION("""COMPUTED_VALUE"""),"RIVADAVIA Luciana")</f>
        <v>RIVADAVIA Luciana</v>
      </c>
      <c r="F5512" s="1" t="str">
        <f t="shared" si="1"/>
        <v>RIVADAVIA </v>
      </c>
      <c r="G5512" s="1" t="str">
        <f t="shared" si="2"/>
        <v>Luciana</v>
      </c>
      <c r="H5512" s="1" t="str">
        <f>IFERROR(__xludf.DUMMYFUNCTION("""COMPUTED_VALUE"""),"19/4/2023, 17:00:00")</f>
        <v>19/4/2023, 17:00:00</v>
      </c>
      <c r="I5512" s="1" t="str">
        <f>IFERROR(__xludf.DUMMYFUNCTION("""COMPUTED_VALUE"""),"Recibido en Laboratorio")</f>
        <v>Recibido en Laboratorio</v>
      </c>
      <c r="J5512" s="1">
        <f t="shared" si="3"/>
        <v>2</v>
      </c>
      <c r="K5512" s="1" t="str">
        <f t="shared" si="4"/>
        <v>Nuestro Laboratorio esta trabajando en tus lentes, los entregaremos en la fecha acordada.</v>
      </c>
    </row>
    <row r="5513">
      <c r="A5513" s="1">
        <f>IFERROR(__xludf.DUMMYFUNCTION("""COMPUTED_VALUE"""),90078.0)</f>
        <v>90078</v>
      </c>
      <c r="B5513" s="5">
        <f>IFERROR(__xludf.DUMMYFUNCTION("""COMPUTED_VALUE"""),45033.45206952546)</f>
        <v>45033.45207</v>
      </c>
      <c r="C5513" s="1" t="str">
        <f>IFERROR(__xludf.DUMMYFUNCTION("""COMPUTED_VALUE"""),"GIL CLARA LUDMILA")</f>
        <v>GIL CLARA LUDMILA</v>
      </c>
      <c r="D5513" s="1" t="str">
        <f>IFERROR(__xludf.DUMMYFUNCTION("""COMPUTED_VALUE"""),"Lentes de STOCK")</f>
        <v>Lentes de STOCK</v>
      </c>
      <c r="E5513" s="1" t="str">
        <f>IFERROR(__xludf.DUMMYFUNCTION("""COMPUTED_VALUE"""),"ARTIGAS Roció")</f>
        <v>ARTIGAS Roció</v>
      </c>
      <c r="F5513" s="1" t="str">
        <f t="shared" si="1"/>
        <v>ARTIGAS </v>
      </c>
      <c r="G5513" s="1" t="str">
        <f t="shared" si="2"/>
        <v>Roció</v>
      </c>
      <c r="H5513" s="1" t="str">
        <f>IFERROR(__xludf.DUMMYFUNCTION("""COMPUTED_VALUE"""),"24/4/2023, 17:00:00")</f>
        <v>24/4/2023, 17:00:00</v>
      </c>
      <c r="I5513" s="1" t="str">
        <f>IFERROR(__xludf.DUMMYFUNCTION("""COMPUTED_VALUE"""),"Recibido en Laboratorio")</f>
        <v>Recibido en Laboratorio</v>
      </c>
      <c r="J5513" s="1">
        <f t="shared" si="3"/>
        <v>2</v>
      </c>
      <c r="K5513" s="1" t="str">
        <f t="shared" si="4"/>
        <v>Nuestro Laboratorio esta trabajando en tus lentes, los entregaremos en la fecha acordada.</v>
      </c>
    </row>
    <row r="5514">
      <c r="A5514" s="1">
        <f>IFERROR(__xludf.DUMMYFUNCTION("""COMPUTED_VALUE"""),90079.0)</f>
        <v>90079</v>
      </c>
      <c r="B5514" s="5">
        <f>IFERROR(__xludf.DUMMYFUNCTION("""COMPUTED_VALUE"""),45033.453629826385)</f>
        <v>45033.45363</v>
      </c>
      <c r="C5514" s="1" t="str">
        <f>IFERROR(__xludf.DUMMYFUNCTION("""COMPUTED_VALUE"""),"GIL OCTAVIO NAHUEL")</f>
        <v>GIL OCTAVIO NAHUEL</v>
      </c>
      <c r="D5514" s="1" t="str">
        <f>IFERROR(__xludf.DUMMYFUNCTION("""COMPUTED_VALUE"""),"Lentes de STOCK")</f>
        <v>Lentes de STOCK</v>
      </c>
      <c r="E5514" s="1" t="str">
        <f>IFERROR(__xludf.DUMMYFUNCTION("""COMPUTED_VALUE"""),"ARTIGAS Roció")</f>
        <v>ARTIGAS Roció</v>
      </c>
      <c r="F5514" s="1" t="str">
        <f t="shared" si="1"/>
        <v>ARTIGAS </v>
      </c>
      <c r="G5514" s="1" t="str">
        <f t="shared" si="2"/>
        <v>Roció</v>
      </c>
      <c r="H5514" s="1" t="str">
        <f>IFERROR(__xludf.DUMMYFUNCTION("""COMPUTED_VALUE"""),"24/4/2023, 17:00:00")</f>
        <v>24/4/2023, 17:00:00</v>
      </c>
      <c r="I5514" s="1" t="str">
        <f>IFERROR(__xludf.DUMMYFUNCTION("""COMPUTED_VALUE"""),"Recibido en Laboratorio")</f>
        <v>Recibido en Laboratorio</v>
      </c>
      <c r="J5514" s="1">
        <f t="shared" si="3"/>
        <v>2</v>
      </c>
      <c r="K5514" s="1" t="str">
        <f t="shared" si="4"/>
        <v>Nuestro Laboratorio esta trabajando en tus lentes, los entregaremos en la fecha acordada.</v>
      </c>
    </row>
    <row r="5515">
      <c r="A5515" s="1">
        <f>IFERROR(__xludf.DUMMYFUNCTION("""COMPUTED_VALUE"""),90080.0)</f>
        <v>90080</v>
      </c>
      <c r="B5515" s="5">
        <f>IFERROR(__xludf.DUMMYFUNCTION("""COMPUTED_VALUE"""),45033.45439215278)</f>
        <v>45033.45439</v>
      </c>
      <c r="C5515" s="1" t="str">
        <f>IFERROR(__xludf.DUMMYFUNCTION("""COMPUTED_VALUE"""),"lucero mario sebastian")</f>
        <v>lucero mario sebastian</v>
      </c>
      <c r="D5515" s="1" t="str">
        <f>IFERROR(__xludf.DUMMYFUNCTION("""COMPUTED_VALUE"""),"Lentes de STOCK")</f>
        <v>Lentes de STOCK</v>
      </c>
      <c r="E5515" s="1" t="str">
        <f>IFERROR(__xludf.DUMMYFUNCTION("""COMPUTED_VALUE"""),"RIVADAVIA Santiago LOPEZ")</f>
        <v>RIVADAVIA Santiago LOPEZ</v>
      </c>
      <c r="F5515" s="1" t="str">
        <f t="shared" si="1"/>
        <v>RIVADAVIA </v>
      </c>
      <c r="G5515" s="1" t="str">
        <f t="shared" si="2"/>
        <v>Santiago LOPEZ</v>
      </c>
      <c r="H5515" s="1" t="str">
        <f>IFERROR(__xludf.DUMMYFUNCTION("""COMPUTED_VALUE"""),"19/4/2023, 17:00:00")</f>
        <v>19/4/2023, 17:00:00</v>
      </c>
      <c r="I5515" s="1" t="str">
        <f>IFERROR(__xludf.DUMMYFUNCTION("""COMPUTED_VALUE"""),"Recibido en Laboratorio")</f>
        <v>Recibido en Laboratorio</v>
      </c>
      <c r="J5515" s="1">
        <f t="shared" si="3"/>
        <v>2</v>
      </c>
      <c r="K5515" s="1" t="str">
        <f t="shared" si="4"/>
        <v>Nuestro Laboratorio esta trabajando en tus lentes, los entregaremos en la fecha acordada.</v>
      </c>
    </row>
    <row r="5516">
      <c r="A5516" s="1">
        <f>IFERROR(__xludf.DUMMYFUNCTION("""COMPUTED_VALUE"""),90081.0)</f>
        <v>90081</v>
      </c>
      <c r="B5516" s="5">
        <f>IFERROR(__xludf.DUMMYFUNCTION("""COMPUTED_VALUE"""),45033.460699131945)</f>
        <v>45033.4607</v>
      </c>
      <c r="C5516" s="1" t="str">
        <f>IFERROR(__xludf.DUMMYFUNCTION("""COMPUTED_VALUE"""),"PINELAS ADRIANA PATRICIA")</f>
        <v>PINELAS ADRIANA PATRICIA</v>
      </c>
      <c r="D5516" s="1" t="str">
        <f>IFERROR(__xludf.DUMMYFUNCTION("""COMPUTED_VALUE"""),"Lentes de STOCK")</f>
        <v>Lentes de STOCK</v>
      </c>
      <c r="E5516" s="1" t="str">
        <f>IFERROR(__xludf.DUMMYFUNCTION("""COMPUTED_VALUE"""),"RIVADAVIA Marcela L")</f>
        <v>RIVADAVIA Marcela L</v>
      </c>
      <c r="F5516" s="1" t="str">
        <f t="shared" si="1"/>
        <v>RIVADAVIA </v>
      </c>
      <c r="G5516" s="1" t="str">
        <f t="shared" si="2"/>
        <v>Marcela L</v>
      </c>
      <c r="H5516" s="1" t="str">
        <f>IFERROR(__xludf.DUMMYFUNCTION("""COMPUTED_VALUE"""),"19/4/2023, 17:00:00")</f>
        <v>19/4/2023, 17:00:00</v>
      </c>
      <c r="I5516" s="1" t="str">
        <f>IFERROR(__xludf.DUMMYFUNCTION("""COMPUTED_VALUE"""),"Completado en SUCURSAL")</f>
        <v>Completado en SUCURSAL</v>
      </c>
      <c r="J5516" s="1">
        <f t="shared" si="3"/>
        <v>5</v>
      </c>
      <c r="K5516" s="1" t="str">
        <f t="shared" si="4"/>
        <v>Tus Lentes estan LISTAS PARA ENTREGAR, te esperamos.</v>
      </c>
    </row>
    <row r="5517">
      <c r="A5517" s="1">
        <f>IFERROR(__xludf.DUMMYFUNCTION("""COMPUTED_VALUE"""),90082.0)</f>
        <v>90082</v>
      </c>
      <c r="B5517" s="5">
        <f>IFERROR(__xludf.DUMMYFUNCTION("""COMPUTED_VALUE"""),45033.46333662037)</f>
        <v>45033.46334</v>
      </c>
      <c r="C5517" s="1" t="str">
        <f>IFERROR(__xludf.DUMMYFUNCTION("""COMPUTED_VALUE"""),"MARTINEZ MONICA GRACIELA")</f>
        <v>MARTINEZ MONICA GRACIELA</v>
      </c>
      <c r="D5517" s="1" t="str">
        <f>IFERROR(__xludf.DUMMYFUNCTION("""COMPUTED_VALUE"""),"Lentes de STOCK")</f>
        <v>Lentes de STOCK</v>
      </c>
      <c r="E5517" s="1" t="str">
        <f>IFERROR(__xludf.DUMMYFUNCTION("""COMPUTED_VALUE"""),"ARTIGAS Roció")</f>
        <v>ARTIGAS Roció</v>
      </c>
      <c r="F5517" s="1" t="str">
        <f t="shared" si="1"/>
        <v>ARTIGAS </v>
      </c>
      <c r="G5517" s="1" t="str">
        <f t="shared" si="2"/>
        <v>Roció</v>
      </c>
      <c r="H5517" s="1" t="str">
        <f>IFERROR(__xludf.DUMMYFUNCTION("""COMPUTED_VALUE"""),"2/5/2023, 17:00:00")</f>
        <v>2/5/2023, 17:00:00</v>
      </c>
      <c r="I5517" s="1" t="str">
        <f>IFERROR(__xludf.DUMMYFUNCTION("""COMPUTED_VALUE"""),"Recibido en Laboratorio")</f>
        <v>Recibido en Laboratorio</v>
      </c>
      <c r="J5517" s="1">
        <f t="shared" si="3"/>
        <v>2</v>
      </c>
      <c r="K5517" s="1" t="str">
        <f t="shared" si="4"/>
        <v>Nuestro Laboratorio esta trabajando en tus lentes, los entregaremos en la fecha acordada.</v>
      </c>
    </row>
    <row r="5518">
      <c r="A5518" s="1">
        <f>IFERROR(__xludf.DUMMYFUNCTION("""COMPUTED_VALUE"""),90083.0)</f>
        <v>90083</v>
      </c>
      <c r="B5518" s="5">
        <f>IFERROR(__xludf.DUMMYFUNCTION("""COMPUTED_VALUE"""),45033.463608680555)</f>
        <v>45033.46361</v>
      </c>
      <c r="C5518" s="1" t="str">
        <f>IFERROR(__xludf.DUMMYFUNCTION("""COMPUTED_VALUE"""),"TELLO AIXA AGOSTINA")</f>
        <v>TELLO AIXA AGOSTINA</v>
      </c>
      <c r="D5518" s="1" t="str">
        <f>IFERROR(__xludf.DUMMYFUNCTION("""COMPUTED_VALUE"""),"Lentes de STOCK")</f>
        <v>Lentes de STOCK</v>
      </c>
      <c r="E5518" s="1" t="str">
        <f>IFERROR(__xludf.DUMMYFUNCTION("""COMPUTED_VALUE"""),"RIVADAVIA Marcela L")</f>
        <v>RIVADAVIA Marcela L</v>
      </c>
      <c r="F5518" s="1" t="str">
        <f t="shared" si="1"/>
        <v>RIVADAVIA </v>
      </c>
      <c r="G5518" s="1" t="str">
        <f t="shared" si="2"/>
        <v>Marcela L</v>
      </c>
      <c r="H5518" s="1" t="str">
        <f>IFERROR(__xludf.DUMMYFUNCTION("""COMPUTED_VALUE"""),"20/4/2023, 17:00:00")</f>
        <v>20/4/2023, 17:00:00</v>
      </c>
      <c r="I5518" s="1" t="str">
        <f>IFERROR(__xludf.DUMMYFUNCTION("""COMPUTED_VALUE"""),"Recibido en Laboratorio")</f>
        <v>Recibido en Laboratorio</v>
      </c>
      <c r="J5518" s="1">
        <f t="shared" si="3"/>
        <v>2</v>
      </c>
      <c r="K5518" s="1" t="str">
        <f t="shared" si="4"/>
        <v>Nuestro Laboratorio esta trabajando en tus lentes, los entregaremos en la fecha acordada.</v>
      </c>
    </row>
    <row r="5519">
      <c r="A5519" s="1">
        <f>IFERROR(__xludf.DUMMYFUNCTION("""COMPUTED_VALUE"""),90084.0)</f>
        <v>90084</v>
      </c>
      <c r="B5519" s="5">
        <f>IFERROR(__xludf.DUMMYFUNCTION("""COMPUTED_VALUE"""),45033.46683603009)</f>
        <v>45033.46684</v>
      </c>
      <c r="C5519" s="1" t="str">
        <f>IFERROR(__xludf.DUMMYFUNCTION("""COMPUTED_VALUE"""),"CABRERA JUANA MIRTA")</f>
        <v>CABRERA JUANA MIRTA</v>
      </c>
      <c r="D5519" s="1" t="str">
        <f>IFERROR(__xludf.DUMMYFUNCTION("""COMPUTED_VALUE"""),"Lentes de STOCK")</f>
        <v>Lentes de STOCK</v>
      </c>
      <c r="E5519" s="1" t="str">
        <f>IFERROR(__xludf.DUMMYFUNCTION("""COMPUTED_VALUE"""),"ARTIGAS Roció")</f>
        <v>ARTIGAS Roció</v>
      </c>
      <c r="F5519" s="1" t="str">
        <f t="shared" si="1"/>
        <v>ARTIGAS </v>
      </c>
      <c r="G5519" s="1" t="str">
        <f t="shared" si="2"/>
        <v>Roció</v>
      </c>
      <c r="H5519" s="1" t="str">
        <f>IFERROR(__xludf.DUMMYFUNCTION("""COMPUTED_VALUE"""),"19/4/2023, 17:00:00")</f>
        <v>19/4/2023, 17:00:00</v>
      </c>
      <c r="I5519" s="1" t="str">
        <f>IFERROR(__xludf.DUMMYFUNCTION("""COMPUTED_VALUE"""),"Completado en SUCURSAL")</f>
        <v>Completado en SUCURSAL</v>
      </c>
      <c r="J5519" s="1">
        <f t="shared" si="3"/>
        <v>5</v>
      </c>
      <c r="K5519" s="1" t="str">
        <f t="shared" si="4"/>
        <v>Tus Lentes estan LISTAS PARA ENTREGAR, te esperamos.</v>
      </c>
    </row>
    <row r="5520">
      <c r="A5520" s="1">
        <f>IFERROR(__xludf.DUMMYFUNCTION("""COMPUTED_VALUE"""),90085.0)</f>
        <v>90085</v>
      </c>
      <c r="B5520" s="5">
        <f>IFERROR(__xludf.DUMMYFUNCTION("""COMPUTED_VALUE"""),45033.46693760417)</f>
        <v>45033.46694</v>
      </c>
      <c r="C5520" s="1" t="str">
        <f>IFERROR(__xludf.DUMMYFUNCTION("""COMPUTED_VALUE"""),"ROJO CAROLINA SOLEDAD")</f>
        <v>ROJO CAROLINA SOLEDAD</v>
      </c>
      <c r="D5520" s="1" t="str">
        <f>IFERROR(__xludf.DUMMYFUNCTION("""COMPUTED_VALUE"""),"Lentes de STOCK")</f>
        <v>Lentes de STOCK</v>
      </c>
      <c r="E5520" s="1" t="str">
        <f>IFERROR(__xludf.DUMMYFUNCTION("""COMPUTED_VALUE"""),"RIVADAVIA Christian C.")</f>
        <v>RIVADAVIA Christian C.</v>
      </c>
      <c r="F5520" s="1" t="str">
        <f t="shared" si="1"/>
        <v>RIVADAVIA </v>
      </c>
      <c r="G5520" s="1" t="str">
        <f t="shared" si="2"/>
        <v>Christian C.</v>
      </c>
      <c r="H5520" s="1" t="str">
        <f>IFERROR(__xludf.DUMMYFUNCTION("""COMPUTED_VALUE"""),"21/4/2023, 17:00:00")</f>
        <v>21/4/2023, 17:00:00</v>
      </c>
      <c r="I5520" s="1" t="str">
        <f>IFERROR(__xludf.DUMMYFUNCTION("""COMPUTED_VALUE"""),"Recibido en Laboratorio")</f>
        <v>Recibido en Laboratorio</v>
      </c>
      <c r="J5520" s="1">
        <f t="shared" si="3"/>
        <v>2</v>
      </c>
      <c r="K5520" s="1" t="str">
        <f t="shared" si="4"/>
        <v>Nuestro Laboratorio esta trabajando en tus lentes, los entregaremos en la fecha acordada.</v>
      </c>
    </row>
    <row r="5521">
      <c r="A5521" s="1">
        <f>IFERROR(__xludf.DUMMYFUNCTION("""COMPUTED_VALUE"""),90086.0)</f>
        <v>90086</v>
      </c>
      <c r="B5521" s="5">
        <f>IFERROR(__xludf.DUMMYFUNCTION("""COMPUTED_VALUE"""),45033.46920665509)</f>
        <v>45033.46921</v>
      </c>
      <c r="C5521" s="1" t="str">
        <f>IFERROR(__xludf.DUMMYFUNCTION("""COMPUTED_VALUE"""),"NUÑEZ CARLOS")</f>
        <v>NUÑEZ CARLOS</v>
      </c>
      <c r="D5521" s="1" t="str">
        <f>IFERROR(__xludf.DUMMYFUNCTION("""COMPUTED_VALUE"""),"Lentes MULTIFOCALES")</f>
        <v>Lentes MULTIFOCALES</v>
      </c>
      <c r="E5521" s="1" t="str">
        <f>IFERROR(__xludf.DUMMYFUNCTION("""COMPUTED_VALUE"""),"ARTIGAS Ivana P.")</f>
        <v>ARTIGAS Ivana P.</v>
      </c>
      <c r="F5521" s="1" t="str">
        <f t="shared" si="1"/>
        <v>ARTIGAS </v>
      </c>
      <c r="G5521" s="1" t="str">
        <f t="shared" si="2"/>
        <v>Ivana P.</v>
      </c>
      <c r="H5521" s="1" t="str">
        <f>IFERROR(__xludf.DUMMYFUNCTION("""COMPUTED_VALUE"""),"2/5/2023, 17:00:00")</f>
        <v>2/5/2023, 17:00:00</v>
      </c>
      <c r="I5521" s="1" t="str">
        <f>IFERROR(__xludf.DUMMYFUNCTION("""COMPUTED_VALUE"""),"Recibido en Laboratorio")</f>
        <v>Recibido en Laboratorio</v>
      </c>
      <c r="J5521" s="1">
        <f t="shared" si="3"/>
        <v>2</v>
      </c>
      <c r="K5521" s="1" t="str">
        <f t="shared" si="4"/>
        <v>Nuestro Laboratorio esta trabajando en tus lentes, los entregaremos en la fecha acordada.</v>
      </c>
    </row>
    <row r="5522">
      <c r="A5522" s="1">
        <f>IFERROR(__xludf.DUMMYFUNCTION("""COMPUTED_VALUE"""),90087.0)</f>
        <v>90087</v>
      </c>
      <c r="B5522" s="5">
        <f>IFERROR(__xludf.DUMMYFUNCTION("""COMPUTED_VALUE"""),45033.47046582176)</f>
        <v>45033.47047</v>
      </c>
      <c r="C5522" s="1" t="str">
        <f>IFERROR(__xludf.DUMMYFUNCTION("""COMPUTED_VALUE"""),"SAUVANET MACARENA ARAMI")</f>
        <v>SAUVANET MACARENA ARAMI</v>
      </c>
      <c r="D5522" s="1" t="str">
        <f>IFERROR(__xludf.DUMMYFUNCTION("""COMPUTED_VALUE"""),"Lentes de STOCK")</f>
        <v>Lentes de STOCK</v>
      </c>
      <c r="E5522" s="1" t="str">
        <f>IFERROR(__xludf.DUMMYFUNCTION("""COMPUTED_VALUE"""),"RIVADAVIA Christian C.")</f>
        <v>RIVADAVIA Christian C.</v>
      </c>
      <c r="F5522" s="1" t="str">
        <f t="shared" si="1"/>
        <v>RIVADAVIA </v>
      </c>
      <c r="G5522" s="1" t="str">
        <f t="shared" si="2"/>
        <v>Christian C.</v>
      </c>
      <c r="H5522" s="1" t="str">
        <f>IFERROR(__xludf.DUMMYFUNCTION("""COMPUTED_VALUE"""),"21/4/2023, 17:00:00")</f>
        <v>21/4/2023, 17:00:00</v>
      </c>
      <c r="I5522" s="1" t="str">
        <f>IFERROR(__xludf.DUMMYFUNCTION("""COMPUTED_VALUE"""),"Recibido en Laboratorio")</f>
        <v>Recibido en Laboratorio</v>
      </c>
      <c r="J5522" s="1">
        <f t="shared" si="3"/>
        <v>2</v>
      </c>
      <c r="K5522" s="1" t="str">
        <f t="shared" si="4"/>
        <v>Nuestro Laboratorio esta trabajando en tus lentes, los entregaremos en la fecha acordada.</v>
      </c>
    </row>
    <row r="5523">
      <c r="A5523" s="1">
        <f>IFERROR(__xludf.DUMMYFUNCTION("""COMPUTED_VALUE"""),90088.0)</f>
        <v>90088</v>
      </c>
      <c r="B5523" s="5">
        <f>IFERROR(__xludf.DUMMYFUNCTION("""COMPUTED_VALUE"""),45033.47181368056)</f>
        <v>45033.47181</v>
      </c>
      <c r="C5523" s="1" t="str">
        <f>IFERROR(__xludf.DUMMYFUNCTION("""COMPUTED_VALUE"""),"LOBELOS VICENTE RAMON")</f>
        <v>LOBELOS VICENTE RAMON</v>
      </c>
      <c r="D5523" s="1" t="str">
        <f>IFERROR(__xludf.DUMMYFUNCTION("""COMPUTED_VALUE"""),"Lentes de STOCK")</f>
        <v>Lentes de STOCK</v>
      </c>
      <c r="E5523" s="1" t="str">
        <f>IFERROR(__xludf.DUMMYFUNCTION("""COMPUTED_VALUE"""),"ARTIGAS Roció")</f>
        <v>ARTIGAS Roció</v>
      </c>
      <c r="F5523" s="1" t="str">
        <f t="shared" si="1"/>
        <v>ARTIGAS </v>
      </c>
      <c r="G5523" s="1" t="str">
        <f t="shared" si="2"/>
        <v>Roció</v>
      </c>
      <c r="H5523" s="1" t="str">
        <f>IFERROR(__xludf.DUMMYFUNCTION("""COMPUTED_VALUE"""),"25/4/2023, 17:00:00")</f>
        <v>25/4/2023, 17:00:00</v>
      </c>
      <c r="I5523" s="1" t="str">
        <f>IFERROR(__xludf.DUMMYFUNCTION("""COMPUTED_VALUE"""),"Recibido en Laboratorio")</f>
        <v>Recibido en Laboratorio</v>
      </c>
      <c r="J5523" s="1">
        <f t="shared" si="3"/>
        <v>2</v>
      </c>
      <c r="K5523" s="1" t="str">
        <f t="shared" si="4"/>
        <v>Nuestro Laboratorio esta trabajando en tus lentes, los entregaremos en la fecha acordada.</v>
      </c>
    </row>
    <row r="5524">
      <c r="A5524" s="1">
        <f>IFERROR(__xludf.DUMMYFUNCTION("""COMPUTED_VALUE"""),90089.0)</f>
        <v>90089</v>
      </c>
      <c r="B5524" s="5">
        <f>IFERROR(__xludf.DUMMYFUNCTION("""COMPUTED_VALUE"""),45033.47260243056)</f>
        <v>45033.4726</v>
      </c>
      <c r="C5524" s="1" t="str">
        <f>IFERROR(__xludf.DUMMYFUNCTION("""COMPUTED_VALUE"""),"Soruco Micaela")</f>
        <v>Soruco Micaela</v>
      </c>
      <c r="D5524" s="1" t="str">
        <f>IFERROR(__xludf.DUMMYFUNCTION("""COMPUTED_VALUE"""),"Reparaciones/Otros")</f>
        <v>Reparaciones/Otros</v>
      </c>
      <c r="E5524" s="1" t="str">
        <f>IFERROR(__xludf.DUMMYFUNCTION("""COMPUTED_VALUE"""),"ARTIGAS Sandra G")</f>
        <v>ARTIGAS Sandra G</v>
      </c>
      <c r="F5524" s="1" t="str">
        <f t="shared" si="1"/>
        <v>ARTIGAS </v>
      </c>
      <c r="G5524" s="1" t="str">
        <f t="shared" si="2"/>
        <v>Sandra G</v>
      </c>
      <c r="H5524" s="1" t="str">
        <f>IFERROR(__xludf.DUMMYFUNCTION("""COMPUTED_VALUE"""),"19/4/2023, 17:00:00")</f>
        <v>19/4/2023, 17:00:00</v>
      </c>
      <c r="I5524" s="1" t="str">
        <f>IFERROR(__xludf.DUMMYFUNCTION("""COMPUTED_VALUE"""),"Completado en SUCURSAL")</f>
        <v>Completado en SUCURSAL</v>
      </c>
      <c r="J5524" s="1">
        <f t="shared" si="3"/>
        <v>5</v>
      </c>
      <c r="K5524" s="1" t="str">
        <f t="shared" si="4"/>
        <v>Tus Lentes estan LISTAS PARA ENTREGAR, te esperamos.</v>
      </c>
    </row>
    <row r="5525">
      <c r="A5525" s="1">
        <f>IFERROR(__xludf.DUMMYFUNCTION("""COMPUTED_VALUE"""),90090.0)</f>
        <v>90090</v>
      </c>
      <c r="B5525" s="5">
        <f>IFERROR(__xludf.DUMMYFUNCTION("""COMPUTED_VALUE"""),45033.4757537963)</f>
        <v>45033.47575</v>
      </c>
      <c r="C5525" s="1" t="str">
        <f>IFERROR(__xludf.DUMMYFUNCTION("""COMPUTED_VALUE"""),"PEPA ROBERTO")</f>
        <v>PEPA ROBERTO</v>
      </c>
      <c r="D5525" s="1" t="str">
        <f>IFERROR(__xludf.DUMMYFUNCTION("""COMPUTED_VALUE"""),"Lentes de STOCK")</f>
        <v>Lentes de STOCK</v>
      </c>
      <c r="E5525" s="1" t="str">
        <f>IFERROR(__xludf.DUMMYFUNCTION("""COMPUTED_VALUE"""),"ARTIGAS Ivana P.")</f>
        <v>ARTIGAS Ivana P.</v>
      </c>
      <c r="F5525" s="1" t="str">
        <f t="shared" si="1"/>
        <v>ARTIGAS </v>
      </c>
      <c r="G5525" s="1" t="str">
        <f t="shared" si="2"/>
        <v>Ivana P.</v>
      </c>
      <c r="H5525" s="1" t="str">
        <f>IFERROR(__xludf.DUMMYFUNCTION("""COMPUTED_VALUE"""),"24/4/2023, 17:00:00")</f>
        <v>24/4/2023, 17:00:00</v>
      </c>
      <c r="I5525" s="1" t="str">
        <f>IFERROR(__xludf.DUMMYFUNCTION("""COMPUTED_VALUE"""),"Recibido en Laboratorio")</f>
        <v>Recibido en Laboratorio</v>
      </c>
      <c r="J5525" s="1">
        <f t="shared" si="3"/>
        <v>2</v>
      </c>
      <c r="K5525" s="1" t="str">
        <f t="shared" si="4"/>
        <v>Nuestro Laboratorio esta trabajando en tus lentes, los entregaremos en la fecha acordada.</v>
      </c>
    </row>
    <row r="5526">
      <c r="A5526" s="1">
        <f>IFERROR(__xludf.DUMMYFUNCTION("""COMPUTED_VALUE"""),90091.0)</f>
        <v>90091</v>
      </c>
      <c r="B5526" s="5">
        <f>IFERROR(__xludf.DUMMYFUNCTION("""COMPUTED_VALUE"""),45033.4765662963)</f>
        <v>45033.47657</v>
      </c>
      <c r="C5526" s="1" t="str">
        <f>IFERROR(__xludf.DUMMYFUNCTION("""COMPUTED_VALUE"""),"QUIROGA EVELYN ")</f>
        <v>QUIROGA EVELYN </v>
      </c>
      <c r="D5526" s="1" t="str">
        <f>IFERROR(__xludf.DUMMYFUNCTION("""COMPUTED_VALUE"""),"Lentes de STOCK")</f>
        <v>Lentes de STOCK</v>
      </c>
      <c r="E5526" s="1" t="str">
        <f>IFERROR(__xludf.DUMMYFUNCTION("""COMPUTED_VALUE"""),"RIVADAVIA Luciana")</f>
        <v>RIVADAVIA Luciana</v>
      </c>
      <c r="F5526" s="1" t="str">
        <f t="shared" si="1"/>
        <v>RIVADAVIA </v>
      </c>
      <c r="G5526" s="1" t="str">
        <f t="shared" si="2"/>
        <v>Luciana</v>
      </c>
      <c r="H5526" s="1" t="str">
        <f>IFERROR(__xludf.DUMMYFUNCTION("""COMPUTED_VALUE"""),"24/4/2023, 17:00:00")</f>
        <v>24/4/2023, 17:00:00</v>
      </c>
      <c r="I5526" s="1" t="str">
        <f>IFERROR(__xludf.DUMMYFUNCTION("""COMPUTED_VALUE"""),"Recibido en Laboratorio")</f>
        <v>Recibido en Laboratorio</v>
      </c>
      <c r="J5526" s="1">
        <f t="shared" si="3"/>
        <v>2</v>
      </c>
      <c r="K5526" s="1" t="str">
        <f t="shared" si="4"/>
        <v>Nuestro Laboratorio esta trabajando en tus lentes, los entregaremos en la fecha acordada.</v>
      </c>
    </row>
    <row r="5527">
      <c r="A5527" s="1">
        <f>IFERROR(__xludf.DUMMYFUNCTION("""COMPUTED_VALUE"""),90092.0)</f>
        <v>90092</v>
      </c>
      <c r="B5527" s="5">
        <f>IFERROR(__xludf.DUMMYFUNCTION("""COMPUTED_VALUE"""),45033.48954650463)</f>
        <v>45033.48955</v>
      </c>
      <c r="C5527" s="1" t="str">
        <f>IFERROR(__xludf.DUMMYFUNCTION("""COMPUTED_VALUE"""),"ARAYA ROBERTO")</f>
        <v>ARAYA ROBERTO</v>
      </c>
      <c r="D5527" s="1" t="str">
        <f>IFERROR(__xludf.DUMMYFUNCTION("""COMPUTED_VALUE"""),"Lentes de STOCK")</f>
        <v>Lentes de STOCK</v>
      </c>
      <c r="E5527" s="1" t="str">
        <f>IFERROR(__xludf.DUMMYFUNCTION("""COMPUTED_VALUE"""),"ARTIGAS Roció")</f>
        <v>ARTIGAS Roció</v>
      </c>
      <c r="F5527" s="1" t="str">
        <f t="shared" si="1"/>
        <v>ARTIGAS </v>
      </c>
      <c r="G5527" s="1" t="str">
        <f t="shared" si="2"/>
        <v>Roció</v>
      </c>
      <c r="H5527" s="1" t="str">
        <f>IFERROR(__xludf.DUMMYFUNCTION("""COMPUTED_VALUE"""),"24/4/2023, 17:00:00")</f>
        <v>24/4/2023, 17:00:00</v>
      </c>
      <c r="I5527" s="1" t="str">
        <f>IFERROR(__xludf.DUMMYFUNCTION("""COMPUTED_VALUE"""),"Recibido en Laboratorio")</f>
        <v>Recibido en Laboratorio</v>
      </c>
      <c r="J5527" s="1">
        <f t="shared" si="3"/>
        <v>2</v>
      </c>
      <c r="K5527" s="1" t="str">
        <f t="shared" si="4"/>
        <v>Nuestro Laboratorio esta trabajando en tus lentes, los entregaremos en la fecha acordada.</v>
      </c>
    </row>
    <row r="5528">
      <c r="A5528" s="1">
        <f>IFERROR(__xludf.DUMMYFUNCTION("""COMPUTED_VALUE"""),90093.0)</f>
        <v>90093</v>
      </c>
      <c r="B5528" s="5">
        <f>IFERROR(__xludf.DUMMYFUNCTION("""COMPUTED_VALUE"""),45033.49013815972)</f>
        <v>45033.49014</v>
      </c>
      <c r="C5528" s="1" t="str">
        <f>IFERROR(__xludf.DUMMYFUNCTION("""COMPUTED_VALUE"""),"ABREGO SONIA ALEJANDRA")</f>
        <v>ABREGO SONIA ALEJANDRA</v>
      </c>
      <c r="D5528" s="1" t="str">
        <f>IFERROR(__xludf.DUMMYFUNCTION("""COMPUTED_VALUE"""),"Lentes de STOCK")</f>
        <v>Lentes de STOCK</v>
      </c>
      <c r="E5528" s="1" t="str">
        <f>IFERROR(__xludf.DUMMYFUNCTION("""COMPUTED_VALUE"""),"RIVADAVIA Luciana")</f>
        <v>RIVADAVIA Luciana</v>
      </c>
      <c r="F5528" s="1" t="str">
        <f t="shared" si="1"/>
        <v>RIVADAVIA </v>
      </c>
      <c r="G5528" s="1" t="str">
        <f t="shared" si="2"/>
        <v>Luciana</v>
      </c>
      <c r="H5528" s="1" t="str">
        <f>IFERROR(__xludf.DUMMYFUNCTION("""COMPUTED_VALUE"""),"24/4/2023, 17:00:00")</f>
        <v>24/4/2023, 17:00:00</v>
      </c>
      <c r="I5528" s="1" t="str">
        <f>IFERROR(__xludf.DUMMYFUNCTION("""COMPUTED_VALUE"""),"Recibido en Laboratorio")</f>
        <v>Recibido en Laboratorio</v>
      </c>
      <c r="J5528" s="1">
        <f t="shared" si="3"/>
        <v>2</v>
      </c>
      <c r="K5528" s="1" t="str">
        <f t="shared" si="4"/>
        <v>Nuestro Laboratorio esta trabajando en tus lentes, los entregaremos en la fecha acordada.</v>
      </c>
    </row>
    <row r="5529">
      <c r="A5529" s="1">
        <f>IFERROR(__xludf.DUMMYFUNCTION("""COMPUTED_VALUE"""),90094.0)</f>
        <v>90094</v>
      </c>
      <c r="B5529" s="5">
        <f>IFERROR(__xludf.DUMMYFUNCTION("""COMPUTED_VALUE"""),45033.492326631946)</f>
        <v>45033.49233</v>
      </c>
      <c r="C5529" s="1" t="str">
        <f>IFERROR(__xludf.DUMMYFUNCTION("""COMPUTED_VALUE"""),"SOSABRENDA")</f>
        <v>SOSABRENDA</v>
      </c>
      <c r="D5529" s="1" t="str">
        <f>IFERROR(__xludf.DUMMYFUNCTION("""COMPUTED_VALUE"""),"Lentes de STOCK")</f>
        <v>Lentes de STOCK</v>
      </c>
      <c r="E5529" s="1" t="str">
        <f>IFERROR(__xludf.DUMMYFUNCTION("""COMPUTED_VALUE"""),"ARTIGAS Ivana P.")</f>
        <v>ARTIGAS Ivana P.</v>
      </c>
      <c r="F5529" s="1" t="str">
        <f t="shared" si="1"/>
        <v>ARTIGAS </v>
      </c>
      <c r="G5529" s="1" t="str">
        <f t="shared" si="2"/>
        <v>Ivana P.</v>
      </c>
      <c r="H5529" s="1" t="str">
        <f>IFERROR(__xludf.DUMMYFUNCTION("""COMPUTED_VALUE"""),"20/4/2023, 17:00:00")</f>
        <v>20/4/2023, 17:00:00</v>
      </c>
      <c r="I5529" s="1" t="str">
        <f>IFERROR(__xludf.DUMMYFUNCTION("""COMPUTED_VALUE"""),"Recibido en Laboratorio")</f>
        <v>Recibido en Laboratorio</v>
      </c>
      <c r="J5529" s="1">
        <f t="shared" si="3"/>
        <v>2</v>
      </c>
      <c r="K5529" s="1" t="str">
        <f t="shared" si="4"/>
        <v>Nuestro Laboratorio esta trabajando en tus lentes, los entregaremos en la fecha acordada.</v>
      </c>
    </row>
    <row r="5530">
      <c r="A5530" s="1">
        <f>IFERROR(__xludf.DUMMYFUNCTION("""COMPUTED_VALUE"""),90095.0)</f>
        <v>90095</v>
      </c>
      <c r="B5530" s="5">
        <f>IFERROR(__xludf.DUMMYFUNCTION("""COMPUTED_VALUE"""),45033.49735225695)</f>
        <v>45033.49735</v>
      </c>
      <c r="C5530" s="1" t="str">
        <f>IFERROR(__xludf.DUMMYFUNCTION("""COMPUTED_VALUE"""),"DUVARA JOSE")</f>
        <v>DUVARA JOSE</v>
      </c>
      <c r="D5530" s="1" t="str">
        <f>IFERROR(__xludf.DUMMYFUNCTION("""COMPUTED_VALUE"""),"Lentes de STOCK")</f>
        <v>Lentes de STOCK</v>
      </c>
      <c r="E5530" s="1" t="str">
        <f>IFERROR(__xludf.DUMMYFUNCTION("""COMPUTED_VALUE"""),"ARTIGAS Ivana P.")</f>
        <v>ARTIGAS Ivana P.</v>
      </c>
      <c r="F5530" s="1" t="str">
        <f t="shared" si="1"/>
        <v>ARTIGAS </v>
      </c>
      <c r="G5530" s="1" t="str">
        <f t="shared" si="2"/>
        <v>Ivana P.</v>
      </c>
      <c r="H5530" s="1" t="str">
        <f>IFERROR(__xludf.DUMMYFUNCTION("""COMPUTED_VALUE"""),"19/4/2023, 17:00:00")</f>
        <v>19/4/2023, 17:00:00</v>
      </c>
      <c r="I5530" s="1" t="str">
        <f>IFERROR(__xludf.DUMMYFUNCTION("""COMPUTED_VALUE"""),"Completado en SUCURSAL")</f>
        <v>Completado en SUCURSAL</v>
      </c>
      <c r="J5530" s="1">
        <f t="shared" si="3"/>
        <v>5</v>
      </c>
      <c r="K5530" s="1" t="str">
        <f t="shared" si="4"/>
        <v>Tus Lentes estan LISTAS PARA ENTREGAR, te esperamos.</v>
      </c>
    </row>
    <row r="5531">
      <c r="A5531" s="1">
        <f>IFERROR(__xludf.DUMMYFUNCTION("""COMPUTED_VALUE"""),90096.0)</f>
        <v>90096</v>
      </c>
      <c r="B5531" s="5">
        <f>IFERROR(__xludf.DUMMYFUNCTION("""COMPUTED_VALUE"""),45033.49836837963)</f>
        <v>45033.49837</v>
      </c>
      <c r="C5531" s="1" t="str">
        <f>IFERROR(__xludf.DUMMYFUNCTION("""COMPUTED_VALUE"""),"GOMEZ GISEL")</f>
        <v>GOMEZ GISEL</v>
      </c>
      <c r="D5531" s="1" t="str">
        <f>IFERROR(__xludf.DUMMYFUNCTION("""COMPUTED_VALUE"""),"Lentes de STOCK")</f>
        <v>Lentes de STOCK</v>
      </c>
      <c r="E5531" s="1" t="str">
        <f>IFERROR(__xludf.DUMMYFUNCTION("""COMPUTED_VALUE"""),"RIVADAVIA Luciana")</f>
        <v>RIVADAVIA Luciana</v>
      </c>
      <c r="F5531" s="1" t="str">
        <f t="shared" si="1"/>
        <v>RIVADAVIA </v>
      </c>
      <c r="G5531" s="1" t="str">
        <f t="shared" si="2"/>
        <v>Luciana</v>
      </c>
      <c r="H5531" s="1" t="str">
        <f>IFERROR(__xludf.DUMMYFUNCTION("""COMPUTED_VALUE"""),"21/4/2023, 17:00:00")</f>
        <v>21/4/2023, 17:00:00</v>
      </c>
      <c r="I5531" s="1" t="str">
        <f>IFERROR(__xludf.DUMMYFUNCTION("""COMPUTED_VALUE"""),"Recibido en Laboratorio")</f>
        <v>Recibido en Laboratorio</v>
      </c>
      <c r="J5531" s="1">
        <f t="shared" si="3"/>
        <v>2</v>
      </c>
      <c r="K5531" s="1" t="str">
        <f t="shared" si="4"/>
        <v>Nuestro Laboratorio esta trabajando en tus lentes, los entregaremos en la fecha acordada.</v>
      </c>
    </row>
    <row r="5532">
      <c r="A5532" s="1">
        <f>IFERROR(__xludf.DUMMYFUNCTION("""COMPUTED_VALUE"""),90097.0)</f>
        <v>90097</v>
      </c>
      <c r="B5532" s="5">
        <f>IFERROR(__xludf.DUMMYFUNCTION("""COMPUTED_VALUE"""),45033.50248430556)</f>
        <v>45033.50248</v>
      </c>
      <c r="C5532" s="1" t="str">
        <f>IFERROR(__xludf.DUMMYFUNCTION("""COMPUTED_VALUE"""),"ARIAS GERONIMO")</f>
        <v>ARIAS GERONIMO</v>
      </c>
      <c r="D5532" s="1" t="str">
        <f>IFERROR(__xludf.DUMMYFUNCTION("""COMPUTED_VALUE"""),"Lentes de STOCK")</f>
        <v>Lentes de STOCK</v>
      </c>
      <c r="E5532" s="1" t="str">
        <f>IFERROR(__xludf.DUMMYFUNCTION("""COMPUTED_VALUE"""),"RIVADAVIA Christian C.")</f>
        <v>RIVADAVIA Christian C.</v>
      </c>
      <c r="F5532" s="1" t="str">
        <f t="shared" si="1"/>
        <v>RIVADAVIA </v>
      </c>
      <c r="G5532" s="1" t="str">
        <f t="shared" si="2"/>
        <v>Christian C.</v>
      </c>
      <c r="H5532" s="1" t="str">
        <f>IFERROR(__xludf.DUMMYFUNCTION("""COMPUTED_VALUE"""),"21/4/2023, 17:00:00")</f>
        <v>21/4/2023, 17:00:00</v>
      </c>
      <c r="I5532" s="1" t="str">
        <f>IFERROR(__xludf.DUMMYFUNCTION("""COMPUTED_VALUE"""),"Recibido en Laboratorio")</f>
        <v>Recibido en Laboratorio</v>
      </c>
      <c r="J5532" s="1">
        <f t="shared" si="3"/>
        <v>2</v>
      </c>
      <c r="K5532" s="1" t="str">
        <f t="shared" si="4"/>
        <v>Nuestro Laboratorio esta trabajando en tus lentes, los entregaremos en la fecha acordada.</v>
      </c>
    </row>
    <row r="5533">
      <c r="A5533" s="1">
        <f>IFERROR(__xludf.DUMMYFUNCTION("""COMPUTED_VALUE"""),90098.0)</f>
        <v>90098</v>
      </c>
      <c r="B5533" s="5">
        <f>IFERROR(__xludf.DUMMYFUNCTION("""COMPUTED_VALUE"""),45033.50965827546)</f>
        <v>45033.50966</v>
      </c>
      <c r="C5533" s="1" t="str">
        <f>IFERROR(__xludf.DUMMYFUNCTION("""COMPUTED_VALUE"""),"ALCARAZ MILENA  (PROGRAMA MEDICINA DEL INTERIOR GOB)")</f>
        <v>ALCARAZ MILENA  (PROGRAMA MEDICINA DEL INTERIOR GOB)</v>
      </c>
      <c r="D5533" s="1" t="str">
        <f>IFERROR(__xludf.DUMMYFUNCTION("""COMPUTED_VALUE"""),"Lentes de LABORATORIO")</f>
        <v>Lentes de LABORATORIO</v>
      </c>
      <c r="E5533" s="1" t="str">
        <f>IFERROR(__xludf.DUMMYFUNCTION("""COMPUTED_VALUE"""),"Online ADMIN.")</f>
        <v>Online ADMIN.</v>
      </c>
      <c r="F5533" s="1" t="str">
        <f t="shared" si="1"/>
        <v>Online </v>
      </c>
      <c r="G5533" s="1" t="str">
        <f t="shared" si="2"/>
        <v>ADMIN.</v>
      </c>
      <c r="H5533" s="1" t="str">
        <f>IFERROR(__xludf.DUMMYFUNCTION("""COMPUTED_VALUE"""),"24/4/2023, 17:00:00")</f>
        <v>24/4/2023, 17:00:00</v>
      </c>
      <c r="I5533" s="1"/>
      <c r="J5533" s="1">
        <f t="shared" si="3"/>
        <v>0</v>
      </c>
      <c r="K5533" s="1" t="str">
        <f t="shared" si="4"/>
        <v/>
      </c>
    </row>
    <row r="5534">
      <c r="A5534" s="1">
        <f>IFERROR(__xludf.DUMMYFUNCTION("""COMPUTED_VALUE"""),90099.0)</f>
        <v>90099</v>
      </c>
      <c r="B5534" s="5">
        <f>IFERROR(__xludf.DUMMYFUNCTION("""COMPUTED_VALUE"""),45033.517088368055)</f>
        <v>45033.51709</v>
      </c>
      <c r="C5534" s="1" t="str">
        <f>IFERROR(__xludf.DUMMYFUNCTION("""COMPUTED_VALUE"""),"AZQUEZ CARLOS")</f>
        <v>AZQUEZ CARLOS</v>
      </c>
      <c r="D5534" s="1" t="str">
        <f>IFERROR(__xludf.DUMMYFUNCTION("""COMPUTED_VALUE"""),"Lentes MULTIFOCALES")</f>
        <v>Lentes MULTIFOCALES</v>
      </c>
      <c r="E5534" s="1" t="str">
        <f>IFERROR(__xludf.DUMMYFUNCTION("""COMPUTED_VALUE"""),"RIVADAVIA Santiago N")</f>
        <v>RIVADAVIA Santiago N</v>
      </c>
      <c r="F5534" s="1" t="str">
        <f t="shared" si="1"/>
        <v>RIVADAVIA </v>
      </c>
      <c r="G5534" s="1" t="str">
        <f t="shared" si="2"/>
        <v>Santiago N</v>
      </c>
      <c r="H5534" s="1" t="str">
        <f>IFERROR(__xludf.DUMMYFUNCTION("""COMPUTED_VALUE"""),"2/5/2023, 17:00:00")</f>
        <v>2/5/2023, 17:00:00</v>
      </c>
      <c r="I5534" s="1" t="str">
        <f>IFERROR(__xludf.DUMMYFUNCTION("""COMPUTED_VALUE"""),"Recibido en Laboratorio")</f>
        <v>Recibido en Laboratorio</v>
      </c>
      <c r="J5534" s="1">
        <f t="shared" si="3"/>
        <v>2</v>
      </c>
      <c r="K5534" s="1" t="str">
        <f t="shared" si="4"/>
        <v>Nuestro Laboratorio esta trabajando en tus lentes, los entregaremos en la fecha acordada.</v>
      </c>
    </row>
    <row r="5535">
      <c r="A5535" s="1">
        <f>IFERROR(__xludf.DUMMYFUNCTION("""COMPUTED_VALUE"""),90100.0)</f>
        <v>90100</v>
      </c>
      <c r="B5535" s="5">
        <f>IFERROR(__xludf.DUMMYFUNCTION("""COMPUTED_VALUE"""),45033.51824972223)</f>
        <v>45033.51825</v>
      </c>
      <c r="C5535" s="1" t="str">
        <f>IFERROR(__xludf.DUMMYFUNCTION("""COMPUTED_VALUE"""),"CORREA MARIA")</f>
        <v>CORREA MARIA</v>
      </c>
      <c r="D5535" s="1" t="str">
        <f>IFERROR(__xludf.DUMMYFUNCTION("""COMPUTED_VALUE"""),"Lentes de STOCK")</f>
        <v>Lentes de STOCK</v>
      </c>
      <c r="E5535" s="1" t="str">
        <f>IFERROR(__xludf.DUMMYFUNCTION("""COMPUTED_VALUE"""),"ARTIGAS Ivana P.")</f>
        <v>ARTIGAS Ivana P.</v>
      </c>
      <c r="F5535" s="1" t="str">
        <f t="shared" si="1"/>
        <v>ARTIGAS </v>
      </c>
      <c r="G5535" s="1" t="str">
        <f t="shared" si="2"/>
        <v>Ivana P.</v>
      </c>
      <c r="H5535" s="1" t="str">
        <f>IFERROR(__xludf.DUMMYFUNCTION("""COMPUTED_VALUE"""),"24/4/2023, 17:00:00")</f>
        <v>24/4/2023, 17:00:00</v>
      </c>
      <c r="I5535" s="1" t="str">
        <f>IFERROR(__xludf.DUMMYFUNCTION("""COMPUTED_VALUE"""),"Recibido en Laboratorio")</f>
        <v>Recibido en Laboratorio</v>
      </c>
      <c r="J5535" s="1">
        <f t="shared" si="3"/>
        <v>2</v>
      </c>
      <c r="K5535" s="1" t="str">
        <f t="shared" si="4"/>
        <v>Nuestro Laboratorio esta trabajando en tus lentes, los entregaremos en la fecha acordada.</v>
      </c>
    </row>
    <row r="5536">
      <c r="A5536" s="1">
        <f>IFERROR(__xludf.DUMMYFUNCTION("""COMPUTED_VALUE"""),90101.0)</f>
        <v>90101</v>
      </c>
      <c r="B5536" s="5">
        <f>IFERROR(__xludf.DUMMYFUNCTION("""COMPUTED_VALUE"""),45033.52196010417)</f>
        <v>45033.52196</v>
      </c>
      <c r="C5536" s="1" t="str">
        <f>IFERROR(__xludf.DUMMYFUNCTION("""COMPUTED_VALUE"""),"VELAZQUEZ REYNALDO")</f>
        <v>VELAZQUEZ REYNALDO</v>
      </c>
      <c r="D5536" s="1" t="str">
        <f>IFERROR(__xludf.DUMMYFUNCTION("""COMPUTED_VALUE"""),"Lentes de STOCK")</f>
        <v>Lentes de STOCK</v>
      </c>
      <c r="E5536" s="1" t="str">
        <f>IFERROR(__xludf.DUMMYFUNCTION("""COMPUTED_VALUE"""),"ARTIGAS Ivana P.")</f>
        <v>ARTIGAS Ivana P.</v>
      </c>
      <c r="F5536" s="1" t="str">
        <f t="shared" si="1"/>
        <v>ARTIGAS </v>
      </c>
      <c r="G5536" s="1" t="str">
        <f t="shared" si="2"/>
        <v>Ivana P.</v>
      </c>
      <c r="H5536" s="1" t="str">
        <f>IFERROR(__xludf.DUMMYFUNCTION("""COMPUTED_VALUE"""),"19/4/2023, 17:00:00")</f>
        <v>19/4/2023, 17:00:00</v>
      </c>
      <c r="I5536" s="1" t="str">
        <f>IFERROR(__xludf.DUMMYFUNCTION("""COMPUTED_VALUE"""),"Recibido en Laboratorio")</f>
        <v>Recibido en Laboratorio</v>
      </c>
      <c r="J5536" s="1">
        <f t="shared" si="3"/>
        <v>2</v>
      </c>
      <c r="K5536" s="1" t="str">
        <f t="shared" si="4"/>
        <v>Nuestro Laboratorio esta trabajando en tus lentes, los entregaremos en la fecha acordada.</v>
      </c>
    </row>
    <row r="5537">
      <c r="A5537" s="1">
        <f>IFERROR(__xludf.DUMMYFUNCTION("""COMPUTED_VALUE"""),90102.0)</f>
        <v>90102</v>
      </c>
      <c r="B5537" s="5">
        <f>IFERROR(__xludf.DUMMYFUNCTION("""COMPUTED_VALUE"""),45033.52399613426)</f>
        <v>45033.524</v>
      </c>
      <c r="C5537" s="1" t="str">
        <f>IFERROR(__xludf.DUMMYFUNCTION("""COMPUTED_VALUE"""),"GARCIA EVELIA ROSAURA")</f>
        <v>GARCIA EVELIA ROSAURA</v>
      </c>
      <c r="D5537" s="1" t="str">
        <f>IFERROR(__xludf.DUMMYFUNCTION("""COMPUTED_VALUE"""),"Lentes de STOCK")</f>
        <v>Lentes de STOCK</v>
      </c>
      <c r="E5537" s="1" t="str">
        <f>IFERROR(__xludf.DUMMYFUNCTION("""COMPUTED_VALUE"""),"RIVADAVIA Christian C.")</f>
        <v>RIVADAVIA Christian C.</v>
      </c>
      <c r="F5537" s="1" t="str">
        <f t="shared" si="1"/>
        <v>RIVADAVIA </v>
      </c>
      <c r="G5537" s="1" t="str">
        <f t="shared" si="2"/>
        <v>Christian C.</v>
      </c>
      <c r="H5537" s="1" t="str">
        <f>IFERROR(__xludf.DUMMYFUNCTION("""COMPUTED_VALUE"""),"21/4/2023, 17:00:00")</f>
        <v>21/4/2023, 17:00:00</v>
      </c>
      <c r="I5537" s="1" t="str">
        <f>IFERROR(__xludf.DUMMYFUNCTION("""COMPUTED_VALUE"""),"Recibido en Laboratorio")</f>
        <v>Recibido en Laboratorio</v>
      </c>
      <c r="J5537" s="1">
        <f t="shared" si="3"/>
        <v>2</v>
      </c>
      <c r="K5537" s="1" t="str">
        <f t="shared" si="4"/>
        <v>Nuestro Laboratorio esta trabajando en tus lentes, los entregaremos en la fecha acordada.</v>
      </c>
    </row>
    <row r="5538">
      <c r="A5538" s="1">
        <f>IFERROR(__xludf.DUMMYFUNCTION("""COMPUTED_VALUE"""),90103.0)</f>
        <v>90103</v>
      </c>
      <c r="B5538" s="5">
        <f>IFERROR(__xludf.DUMMYFUNCTION("""COMPUTED_VALUE"""),45033.52674920139)</f>
        <v>45033.52675</v>
      </c>
      <c r="C5538" s="1" t="str">
        <f>IFERROR(__xludf.DUMMYFUNCTION("""COMPUTED_VALUE"""),"RIVERO EVELYN")</f>
        <v>RIVERO EVELYN</v>
      </c>
      <c r="D5538" s="1" t="str">
        <f>IFERROR(__xludf.DUMMYFUNCTION("""COMPUTED_VALUE"""),"Lentes de STOCK")</f>
        <v>Lentes de STOCK</v>
      </c>
      <c r="E5538" s="1" t="str">
        <f>IFERROR(__xludf.DUMMYFUNCTION("""COMPUTED_VALUE"""),"RIVADAVIA Santiago LOPEZ")</f>
        <v>RIVADAVIA Santiago LOPEZ</v>
      </c>
      <c r="F5538" s="1" t="str">
        <f t="shared" si="1"/>
        <v>RIVADAVIA </v>
      </c>
      <c r="G5538" s="1" t="str">
        <f t="shared" si="2"/>
        <v>Santiago LOPEZ</v>
      </c>
      <c r="H5538" s="1" t="str">
        <f>IFERROR(__xludf.DUMMYFUNCTION("""COMPUTED_VALUE"""),"21/4/2023, 17:00:00")</f>
        <v>21/4/2023, 17:00:00</v>
      </c>
      <c r="I5538" s="1" t="str">
        <f>IFERROR(__xludf.DUMMYFUNCTION("""COMPUTED_VALUE"""),"Recibido en Laboratorio")</f>
        <v>Recibido en Laboratorio</v>
      </c>
      <c r="J5538" s="1">
        <f t="shared" si="3"/>
        <v>2</v>
      </c>
      <c r="K5538" s="1" t="str">
        <f t="shared" si="4"/>
        <v>Nuestro Laboratorio esta trabajando en tus lentes, los entregaremos en la fecha acordada.</v>
      </c>
    </row>
    <row r="5539">
      <c r="A5539" s="1">
        <f>IFERROR(__xludf.DUMMYFUNCTION("""COMPUTED_VALUE"""),90104.0)</f>
        <v>90104</v>
      </c>
      <c r="B5539" s="5">
        <f>IFERROR(__xludf.DUMMYFUNCTION("""COMPUTED_VALUE"""),45033.52722005787)</f>
        <v>45033.52722</v>
      </c>
      <c r="C5539" s="1" t="str">
        <f>IFERROR(__xludf.DUMMYFUNCTION("""COMPUTED_VALUE"""),"VILLAREAL GIMENA DANIELA (PROGRAMA MEDICINA DEL INTERIOR GOB)")</f>
        <v>VILLAREAL GIMENA DANIELA (PROGRAMA MEDICINA DEL INTERIOR GOB)</v>
      </c>
      <c r="D5539" s="1" t="str">
        <f>IFERROR(__xludf.DUMMYFUNCTION("""COMPUTED_VALUE"""),"Lentes de STOCK")</f>
        <v>Lentes de STOCK</v>
      </c>
      <c r="E5539" s="1" t="str">
        <f>IFERROR(__xludf.DUMMYFUNCTION("""COMPUTED_VALUE"""),"Online ADMIN.")</f>
        <v>Online ADMIN.</v>
      </c>
      <c r="F5539" s="1" t="str">
        <f t="shared" si="1"/>
        <v>Online </v>
      </c>
      <c r="G5539" s="1" t="str">
        <f t="shared" si="2"/>
        <v>ADMIN.</v>
      </c>
      <c r="H5539" s="1" t="str">
        <f>IFERROR(__xludf.DUMMYFUNCTION("""COMPUTED_VALUE"""),"19/4/2023, 17:00:00")</f>
        <v>19/4/2023, 17:00:00</v>
      </c>
      <c r="I5539" s="1" t="str">
        <f>IFERROR(__xludf.DUMMYFUNCTION("""COMPUTED_VALUE"""),"Recibido en Laboratorio")</f>
        <v>Recibido en Laboratorio</v>
      </c>
      <c r="J5539" s="1">
        <f t="shared" si="3"/>
        <v>2</v>
      </c>
      <c r="K5539" s="1" t="str">
        <f t="shared" si="4"/>
        <v>Nuestro Laboratorio esta trabajando en tus lentes, los entregaremos en la fecha acordada.</v>
      </c>
    </row>
    <row r="5540">
      <c r="A5540" s="1">
        <f>IFERROR(__xludf.DUMMYFUNCTION("""COMPUTED_VALUE"""),90105.0)</f>
        <v>90105</v>
      </c>
      <c r="B5540" s="5">
        <f>IFERROR(__xludf.DUMMYFUNCTION("""COMPUTED_VALUE"""),45033.52783146991)</f>
        <v>45033.52783</v>
      </c>
      <c r="C5540" s="1" t="str">
        <f>IFERROR(__xludf.DUMMYFUNCTION("""COMPUTED_VALUE"""),"SOSA LACHOWSKI JAZMIN DANIELA (PROGRAMA MEDICINA DEL INTERIOR GOB)")</f>
        <v>SOSA LACHOWSKI JAZMIN DANIELA (PROGRAMA MEDICINA DEL INTERIOR GOB)</v>
      </c>
      <c r="D5540" s="1" t="str">
        <f>IFERROR(__xludf.DUMMYFUNCTION("""COMPUTED_VALUE"""),"Lentes de STOCK")</f>
        <v>Lentes de STOCK</v>
      </c>
      <c r="E5540" s="1" t="str">
        <f>IFERROR(__xludf.DUMMYFUNCTION("""COMPUTED_VALUE"""),"Online ADMIN.")</f>
        <v>Online ADMIN.</v>
      </c>
      <c r="F5540" s="1" t="str">
        <f t="shared" si="1"/>
        <v>Online </v>
      </c>
      <c r="G5540" s="1" t="str">
        <f t="shared" si="2"/>
        <v>ADMIN.</v>
      </c>
      <c r="H5540" s="1" t="str">
        <f>IFERROR(__xludf.DUMMYFUNCTION("""COMPUTED_VALUE"""),"19/4/2023, 17:00:00")</f>
        <v>19/4/2023, 17:00:00</v>
      </c>
      <c r="I5540" s="1" t="str">
        <f>IFERROR(__xludf.DUMMYFUNCTION("""COMPUTED_VALUE"""),"Recibido en Laboratorio")</f>
        <v>Recibido en Laboratorio</v>
      </c>
      <c r="J5540" s="1">
        <f t="shared" si="3"/>
        <v>2</v>
      </c>
      <c r="K5540" s="1" t="str">
        <f t="shared" si="4"/>
        <v>Nuestro Laboratorio esta trabajando en tus lentes, los entregaremos en la fecha acordada.</v>
      </c>
    </row>
    <row r="5541">
      <c r="A5541" s="1">
        <f>IFERROR(__xludf.DUMMYFUNCTION("""COMPUTED_VALUE"""),90106.0)</f>
        <v>90106</v>
      </c>
      <c r="B5541" s="5">
        <f>IFERROR(__xludf.DUMMYFUNCTION("""COMPUTED_VALUE"""),45033.52930422453)</f>
        <v>45033.5293</v>
      </c>
      <c r="C5541" s="1" t="str">
        <f>IFERROR(__xludf.DUMMYFUNCTION("""COMPUTED_VALUE"""),"TORRES MONICA PROGRAMA MEDICINA DEL INTERIOR GOB)")</f>
        <v>TORRES MONICA PROGRAMA MEDICINA DEL INTERIOR GOB)</v>
      </c>
      <c r="D5541" s="1" t="str">
        <f>IFERROR(__xludf.DUMMYFUNCTION("""COMPUTED_VALUE"""),"Lentes de LABORATORIO")</f>
        <v>Lentes de LABORATORIO</v>
      </c>
      <c r="E5541" s="1" t="str">
        <f>IFERROR(__xludf.DUMMYFUNCTION("""COMPUTED_VALUE"""),"Online ADMIN.")</f>
        <v>Online ADMIN.</v>
      </c>
      <c r="F5541" s="1" t="str">
        <f t="shared" si="1"/>
        <v>Online </v>
      </c>
      <c r="G5541" s="1" t="str">
        <f t="shared" si="2"/>
        <v>ADMIN.</v>
      </c>
      <c r="H5541" s="1" t="str">
        <f>IFERROR(__xludf.DUMMYFUNCTION("""COMPUTED_VALUE"""),"24/4/2023, 17:00:00")</f>
        <v>24/4/2023, 17:00:00</v>
      </c>
      <c r="I5541" s="1" t="str">
        <f>IFERROR(__xludf.DUMMYFUNCTION("""COMPUTED_VALUE"""),"Completado en SUCURSAL")</f>
        <v>Completado en SUCURSAL</v>
      </c>
      <c r="J5541" s="1">
        <f t="shared" si="3"/>
        <v>5</v>
      </c>
      <c r="K5541" s="1" t="str">
        <f t="shared" si="4"/>
        <v>Tus Lentes estan LISTAS PARA ENTREGAR, te esperamos.</v>
      </c>
    </row>
    <row r="5542">
      <c r="A5542" s="1">
        <f>IFERROR(__xludf.DUMMYFUNCTION("""COMPUTED_VALUE"""),90107.0)</f>
        <v>90107</v>
      </c>
      <c r="B5542" s="5">
        <f>IFERROR(__xludf.DUMMYFUNCTION("""COMPUTED_VALUE"""),45033.529797662035)</f>
        <v>45033.5298</v>
      </c>
      <c r="C5542" s="1" t="str">
        <f>IFERROR(__xludf.DUMMYFUNCTION("""COMPUTED_VALUE"""),"SOLA EMILSE ISABEL PROGRAMA MEDICINA DEL INTERIOR GOB)")</f>
        <v>SOLA EMILSE ISABEL PROGRAMA MEDICINA DEL INTERIOR GOB)</v>
      </c>
      <c r="D5542" s="1" t="str">
        <f>IFERROR(__xludf.DUMMYFUNCTION("""COMPUTED_VALUE"""),"Lentes de STOCK")</f>
        <v>Lentes de STOCK</v>
      </c>
      <c r="E5542" s="1" t="str">
        <f>IFERROR(__xludf.DUMMYFUNCTION("""COMPUTED_VALUE"""),"Online ADMIN.")</f>
        <v>Online ADMIN.</v>
      </c>
      <c r="F5542" s="1" t="str">
        <f t="shared" si="1"/>
        <v>Online </v>
      </c>
      <c r="G5542" s="1" t="str">
        <f t="shared" si="2"/>
        <v>ADMIN.</v>
      </c>
      <c r="H5542" s="1" t="str">
        <f>IFERROR(__xludf.DUMMYFUNCTION("""COMPUTED_VALUE"""),"19/4/2023, 17:00:00")</f>
        <v>19/4/2023, 17:00:00</v>
      </c>
      <c r="I5542" s="1" t="str">
        <f>IFERROR(__xludf.DUMMYFUNCTION("""COMPUTED_VALUE"""),"Recibido en Laboratorio")</f>
        <v>Recibido en Laboratorio</v>
      </c>
      <c r="J5542" s="1">
        <f t="shared" si="3"/>
        <v>2</v>
      </c>
      <c r="K5542" s="1" t="str">
        <f t="shared" si="4"/>
        <v>Nuestro Laboratorio esta trabajando en tus lentes, los entregaremos en la fecha acordada.</v>
      </c>
    </row>
    <row r="5543">
      <c r="A5543" s="1">
        <f>IFERROR(__xludf.DUMMYFUNCTION("""COMPUTED_VALUE"""),90108.0)</f>
        <v>90108</v>
      </c>
      <c r="B5543" s="5">
        <f>IFERROR(__xludf.DUMMYFUNCTION("""COMPUTED_VALUE"""),45033.53026871527)</f>
        <v>45033.53027</v>
      </c>
      <c r="C5543" s="1" t="str">
        <f>IFERROR(__xludf.DUMMYFUNCTION("""COMPUTED_VALUE"""),"SILVAGE JESSICA PROGRAMA MEDICINA DEL INTERIOR GOB)")</f>
        <v>SILVAGE JESSICA PROGRAMA MEDICINA DEL INTERIOR GOB)</v>
      </c>
      <c r="D5543" s="1" t="str">
        <f>IFERROR(__xludf.DUMMYFUNCTION("""COMPUTED_VALUE"""),"Lentes de STOCK")</f>
        <v>Lentes de STOCK</v>
      </c>
      <c r="E5543" s="1" t="str">
        <f>IFERROR(__xludf.DUMMYFUNCTION("""COMPUTED_VALUE"""),"Online ADMIN.")</f>
        <v>Online ADMIN.</v>
      </c>
      <c r="F5543" s="1" t="str">
        <f t="shared" si="1"/>
        <v>Online </v>
      </c>
      <c r="G5543" s="1" t="str">
        <f t="shared" si="2"/>
        <v>ADMIN.</v>
      </c>
      <c r="H5543" s="1" t="str">
        <f>IFERROR(__xludf.DUMMYFUNCTION("""COMPUTED_VALUE"""),"19/4/2023, 17:00:00")</f>
        <v>19/4/2023, 17:00:00</v>
      </c>
      <c r="I5543" s="1" t="str">
        <f>IFERROR(__xludf.DUMMYFUNCTION("""COMPUTED_VALUE"""),"Recibido en Laboratorio")</f>
        <v>Recibido en Laboratorio</v>
      </c>
      <c r="J5543" s="1">
        <f t="shared" si="3"/>
        <v>2</v>
      </c>
      <c r="K5543" s="1" t="str">
        <f t="shared" si="4"/>
        <v>Nuestro Laboratorio esta trabajando en tus lentes, los entregaremos en la fecha acordada.</v>
      </c>
    </row>
    <row r="5544">
      <c r="A5544" s="1">
        <f>IFERROR(__xludf.DUMMYFUNCTION("""COMPUTED_VALUE"""),90109.0)</f>
        <v>90109</v>
      </c>
      <c r="B5544" s="5">
        <f>IFERROR(__xludf.DUMMYFUNCTION("""COMPUTED_VALUE"""),45033.53106996528)</f>
        <v>45033.53107</v>
      </c>
      <c r="C5544" s="1" t="str">
        <f>IFERROR(__xludf.DUMMYFUNCTION("""COMPUTED_VALUE"""),"ROSALES SERGIA PROGRAMA MEDICINA DEL INTERIOR GOB)")</f>
        <v>ROSALES SERGIA PROGRAMA MEDICINA DEL INTERIOR GOB)</v>
      </c>
      <c r="D5544" s="1" t="str">
        <f>IFERROR(__xludf.DUMMYFUNCTION("""COMPUTED_VALUE"""),"Lentes de STOCK")</f>
        <v>Lentes de STOCK</v>
      </c>
      <c r="E5544" s="1" t="str">
        <f>IFERROR(__xludf.DUMMYFUNCTION("""COMPUTED_VALUE"""),"Online ADMIN.")</f>
        <v>Online ADMIN.</v>
      </c>
      <c r="F5544" s="1" t="str">
        <f t="shared" si="1"/>
        <v>Online </v>
      </c>
      <c r="G5544" s="1" t="str">
        <f t="shared" si="2"/>
        <v>ADMIN.</v>
      </c>
      <c r="H5544" s="1" t="str">
        <f>IFERROR(__xludf.DUMMYFUNCTION("""COMPUTED_VALUE"""),"19/4/2023, 17:00:00")</f>
        <v>19/4/2023, 17:00:00</v>
      </c>
      <c r="I5544" s="1" t="str">
        <f>IFERROR(__xludf.DUMMYFUNCTION("""COMPUTED_VALUE"""),"Recibido en Laboratorio")</f>
        <v>Recibido en Laboratorio</v>
      </c>
      <c r="J5544" s="1">
        <f t="shared" si="3"/>
        <v>2</v>
      </c>
      <c r="K5544" s="1" t="str">
        <f t="shared" si="4"/>
        <v>Nuestro Laboratorio esta trabajando en tus lentes, los entregaremos en la fecha acordada.</v>
      </c>
    </row>
    <row r="5545">
      <c r="A5545" s="1">
        <f>IFERROR(__xludf.DUMMYFUNCTION("""COMPUTED_VALUE"""),90110.0)</f>
        <v>90110</v>
      </c>
      <c r="B5545" s="5">
        <f>IFERROR(__xludf.DUMMYFUNCTION("""COMPUTED_VALUE"""),45033.532173217594)</f>
        <v>45033.53217</v>
      </c>
      <c r="C5545" s="1" t="str">
        <f>IFERROR(__xludf.DUMMYFUNCTION("""COMPUTED_VALUE"""),"LUCERO MARTA NORMA ")</f>
        <v>LUCERO MARTA NORMA </v>
      </c>
      <c r="D5545" s="1" t="str">
        <f>IFERROR(__xludf.DUMMYFUNCTION("""COMPUTED_VALUE"""),"Lentes de STOCK")</f>
        <v>Lentes de STOCK</v>
      </c>
      <c r="E5545" s="1" t="str">
        <f>IFERROR(__xludf.DUMMYFUNCTION("""COMPUTED_VALUE"""),"RIVADAVIA Luciana")</f>
        <v>RIVADAVIA Luciana</v>
      </c>
      <c r="F5545" s="1" t="str">
        <f t="shared" si="1"/>
        <v>RIVADAVIA </v>
      </c>
      <c r="G5545" s="1" t="str">
        <f t="shared" si="2"/>
        <v>Luciana</v>
      </c>
      <c r="H5545" s="1" t="str">
        <f>IFERROR(__xludf.DUMMYFUNCTION("""COMPUTED_VALUE"""),"21/4/2023, 17:00:00")</f>
        <v>21/4/2023, 17:00:00</v>
      </c>
      <c r="I5545" s="1" t="str">
        <f>IFERROR(__xludf.DUMMYFUNCTION("""COMPUTED_VALUE"""),"Recibido en Laboratorio")</f>
        <v>Recibido en Laboratorio</v>
      </c>
      <c r="J5545" s="1">
        <f t="shared" si="3"/>
        <v>2</v>
      </c>
      <c r="K5545" s="1" t="str">
        <f t="shared" si="4"/>
        <v>Nuestro Laboratorio esta trabajando en tus lentes, los entregaremos en la fecha acordada.</v>
      </c>
    </row>
    <row r="5546">
      <c r="A5546" s="1">
        <f>IFERROR(__xludf.DUMMYFUNCTION("""COMPUTED_VALUE"""),90111.0)</f>
        <v>90111</v>
      </c>
      <c r="B5546" s="5">
        <f>IFERROR(__xludf.DUMMYFUNCTION("""COMPUTED_VALUE"""),45033.533418935185)</f>
        <v>45033.53342</v>
      </c>
      <c r="C5546" s="1" t="str">
        <f>IFERROR(__xludf.DUMMYFUNCTION("""COMPUTED_VALUE"""),"ROSALES SHEILA SOLANGE PROGRAMA MEDICINA DEL INTERIOR GOB)")</f>
        <v>ROSALES SHEILA SOLANGE PROGRAMA MEDICINA DEL INTERIOR GOB)</v>
      </c>
      <c r="D5546" s="1" t="str">
        <f>IFERROR(__xludf.DUMMYFUNCTION("""COMPUTED_VALUE"""),"Lentes de LABORATORIO")</f>
        <v>Lentes de LABORATORIO</v>
      </c>
      <c r="E5546" s="1" t="str">
        <f>IFERROR(__xludf.DUMMYFUNCTION("""COMPUTED_VALUE"""),"Online ADMIN.")</f>
        <v>Online ADMIN.</v>
      </c>
      <c r="F5546" s="1" t="str">
        <f t="shared" si="1"/>
        <v>Online </v>
      </c>
      <c r="G5546" s="1" t="str">
        <f t="shared" si="2"/>
        <v>ADMIN.</v>
      </c>
      <c r="H5546" s="1" t="str">
        <f>IFERROR(__xludf.DUMMYFUNCTION("""COMPUTED_VALUE"""),"2/5/2023, 17:00:00")</f>
        <v>2/5/2023, 17:00:00</v>
      </c>
      <c r="I5546" s="1" t="str">
        <f>IFERROR(__xludf.DUMMYFUNCTION("""COMPUTED_VALUE"""),"Recibido en Laboratorio")</f>
        <v>Recibido en Laboratorio</v>
      </c>
      <c r="J5546" s="1">
        <f t="shared" si="3"/>
        <v>2</v>
      </c>
      <c r="K5546" s="1" t="str">
        <f t="shared" si="4"/>
        <v>Nuestro Laboratorio esta trabajando en tus lentes, los entregaremos en la fecha acordada.</v>
      </c>
    </row>
    <row r="5547">
      <c r="A5547" s="1">
        <f>IFERROR(__xludf.DUMMYFUNCTION("""COMPUTED_VALUE"""),90112.0)</f>
        <v>90112</v>
      </c>
      <c r="B5547" s="5">
        <f>IFERROR(__xludf.DUMMYFUNCTION("""COMPUTED_VALUE"""),45033.53391021991)</f>
        <v>45033.53391</v>
      </c>
      <c r="C5547" s="1" t="str">
        <f>IFERROR(__xludf.DUMMYFUNCTION("""COMPUTED_VALUE"""),"ROMERO MARIANNE ALEXANDRA PROGRAMA MEDICINA DEL INTERIOR GOB)")</f>
        <v>ROMERO MARIANNE ALEXANDRA PROGRAMA MEDICINA DEL INTERIOR GOB)</v>
      </c>
      <c r="D5547" s="1" t="str">
        <f>IFERROR(__xludf.DUMMYFUNCTION("""COMPUTED_VALUE"""),"Lentes de STOCK")</f>
        <v>Lentes de STOCK</v>
      </c>
      <c r="E5547" s="1" t="str">
        <f>IFERROR(__xludf.DUMMYFUNCTION("""COMPUTED_VALUE"""),"Online ADMIN.")</f>
        <v>Online ADMIN.</v>
      </c>
      <c r="F5547" s="1" t="str">
        <f t="shared" si="1"/>
        <v>Online </v>
      </c>
      <c r="G5547" s="1" t="str">
        <f t="shared" si="2"/>
        <v>ADMIN.</v>
      </c>
      <c r="H5547" s="1" t="str">
        <f>IFERROR(__xludf.DUMMYFUNCTION("""COMPUTED_VALUE"""),"19/4/2023, 17:00:00")</f>
        <v>19/4/2023, 17:00:00</v>
      </c>
      <c r="I5547" s="1" t="str">
        <f>IFERROR(__xludf.DUMMYFUNCTION("""COMPUTED_VALUE"""),"Recibido en Laboratorio")</f>
        <v>Recibido en Laboratorio</v>
      </c>
      <c r="J5547" s="1">
        <f t="shared" si="3"/>
        <v>2</v>
      </c>
      <c r="K5547" s="1" t="str">
        <f t="shared" si="4"/>
        <v>Nuestro Laboratorio esta trabajando en tus lentes, los entregaremos en la fecha acordada.</v>
      </c>
    </row>
    <row r="5548">
      <c r="A5548" s="1">
        <f>IFERROR(__xludf.DUMMYFUNCTION("""COMPUTED_VALUE"""),90113.0)</f>
        <v>90113</v>
      </c>
      <c r="B5548" s="5">
        <f>IFERROR(__xludf.DUMMYFUNCTION("""COMPUTED_VALUE"""),45033.53454527778)</f>
        <v>45033.53455</v>
      </c>
      <c r="C5548" s="1" t="str">
        <f>IFERROR(__xludf.DUMMYFUNCTION("""COMPUTED_VALUE"""),"QUEVEDO ROSSA CRISTIAN JAVIER PROGRAMA MEDICINA DEL INTERIOR GOB)")</f>
        <v>QUEVEDO ROSSA CRISTIAN JAVIER PROGRAMA MEDICINA DEL INTERIOR GOB)</v>
      </c>
      <c r="D5548" s="1" t="str">
        <f>IFERROR(__xludf.DUMMYFUNCTION("""COMPUTED_VALUE"""),"Lentes de STOCK")</f>
        <v>Lentes de STOCK</v>
      </c>
      <c r="E5548" s="1" t="str">
        <f>IFERROR(__xludf.DUMMYFUNCTION("""COMPUTED_VALUE"""),"Online ADMIN.")</f>
        <v>Online ADMIN.</v>
      </c>
      <c r="F5548" s="1" t="str">
        <f t="shared" si="1"/>
        <v>Online </v>
      </c>
      <c r="G5548" s="1" t="str">
        <f t="shared" si="2"/>
        <v>ADMIN.</v>
      </c>
      <c r="H5548" s="1" t="str">
        <f>IFERROR(__xludf.DUMMYFUNCTION("""COMPUTED_VALUE"""),"19/4/2023, 17:00:00")</f>
        <v>19/4/2023, 17:00:00</v>
      </c>
      <c r="I5548" s="1" t="str">
        <f>IFERROR(__xludf.DUMMYFUNCTION("""COMPUTED_VALUE"""),"Recibido en Laboratorio")</f>
        <v>Recibido en Laboratorio</v>
      </c>
      <c r="J5548" s="1">
        <f t="shared" si="3"/>
        <v>2</v>
      </c>
      <c r="K5548" s="1" t="str">
        <f t="shared" si="4"/>
        <v>Nuestro Laboratorio esta trabajando en tus lentes, los entregaremos en la fecha acordada.</v>
      </c>
    </row>
    <row r="5549">
      <c r="A5549" s="1">
        <f>IFERROR(__xludf.DUMMYFUNCTION("""COMPUTED_VALUE"""),90114.0)</f>
        <v>90114</v>
      </c>
      <c r="B5549" s="5">
        <f>IFERROR(__xludf.DUMMYFUNCTION("""COMPUTED_VALUE"""),45033.53507802083)</f>
        <v>45033.53508</v>
      </c>
      <c r="C5549" s="1" t="str">
        <f>IFERROR(__xludf.DUMMYFUNCTION("""COMPUTED_VALUE"""),"PEREYRA MARIA 0")</f>
        <v>PEREYRA MARIA 0</v>
      </c>
      <c r="D5549" s="1" t="str">
        <f>IFERROR(__xludf.DUMMYFUNCTION("""COMPUTED_VALUE"""),"Lentes de STOCK")</f>
        <v>Lentes de STOCK</v>
      </c>
      <c r="E5549" s="1" t="str">
        <f>IFERROR(__xludf.DUMMYFUNCTION("""COMPUTED_VALUE"""),"Online ADMIN.")</f>
        <v>Online ADMIN.</v>
      </c>
      <c r="F5549" s="1" t="str">
        <f t="shared" si="1"/>
        <v>Online </v>
      </c>
      <c r="G5549" s="1" t="str">
        <f t="shared" si="2"/>
        <v>ADMIN.</v>
      </c>
      <c r="H5549" s="1" t="str">
        <f>IFERROR(__xludf.DUMMYFUNCTION("""COMPUTED_VALUE"""),"19/4/2023, 17:00:00")</f>
        <v>19/4/2023, 17:00:00</v>
      </c>
      <c r="I5549" s="1" t="str">
        <f>IFERROR(__xludf.DUMMYFUNCTION("""COMPUTED_VALUE"""),"Recibido en Laboratorio")</f>
        <v>Recibido en Laboratorio</v>
      </c>
      <c r="J5549" s="1">
        <f t="shared" si="3"/>
        <v>2</v>
      </c>
      <c r="K5549" s="1" t="str">
        <f t="shared" si="4"/>
        <v>Nuestro Laboratorio esta trabajando en tus lentes, los entregaremos en la fecha acordada.</v>
      </c>
    </row>
    <row r="5550">
      <c r="A5550" s="1">
        <f>IFERROR(__xludf.DUMMYFUNCTION("""COMPUTED_VALUE"""),90115.0)</f>
        <v>90115</v>
      </c>
      <c r="B5550" s="5">
        <f>IFERROR(__xludf.DUMMYFUNCTION("""COMPUTED_VALUE"""),45033.535991701385)</f>
        <v>45033.53599</v>
      </c>
      <c r="C5550" s="1" t="str">
        <f>IFERROR(__xludf.DUMMYFUNCTION("""COMPUTED_VALUE"""),"SUSANA LIZ PEREZ PROGRAMA MEDICINA DEL INTERIOR GOB)")</f>
        <v>SUSANA LIZ PEREZ PROGRAMA MEDICINA DEL INTERIOR GOB)</v>
      </c>
      <c r="D5550" s="1" t="str">
        <f>IFERROR(__xludf.DUMMYFUNCTION("""COMPUTED_VALUE"""),"Lentes de STOCK")</f>
        <v>Lentes de STOCK</v>
      </c>
      <c r="E5550" s="1" t="str">
        <f>IFERROR(__xludf.DUMMYFUNCTION("""COMPUTED_VALUE"""),"Online ADMIN.")</f>
        <v>Online ADMIN.</v>
      </c>
      <c r="F5550" s="1" t="str">
        <f t="shared" si="1"/>
        <v>Online </v>
      </c>
      <c r="G5550" s="1" t="str">
        <f t="shared" si="2"/>
        <v>ADMIN.</v>
      </c>
      <c r="H5550" s="1" t="str">
        <f>IFERROR(__xludf.DUMMYFUNCTION("""COMPUTED_VALUE"""),"19/4/2023, 17:00:00")</f>
        <v>19/4/2023, 17:00:00</v>
      </c>
      <c r="I5550" s="1" t="str">
        <f>IFERROR(__xludf.DUMMYFUNCTION("""COMPUTED_VALUE"""),"Recibido en Laboratorio")</f>
        <v>Recibido en Laboratorio</v>
      </c>
      <c r="J5550" s="1">
        <f t="shared" si="3"/>
        <v>2</v>
      </c>
      <c r="K5550" s="1" t="str">
        <f t="shared" si="4"/>
        <v>Nuestro Laboratorio esta trabajando en tus lentes, los entregaremos en la fecha acordada.</v>
      </c>
    </row>
    <row r="5551">
      <c r="A5551" s="1">
        <f>IFERROR(__xludf.DUMMYFUNCTION("""COMPUTED_VALUE"""),90116.0)</f>
        <v>90116</v>
      </c>
      <c r="B5551" s="5">
        <f>IFERROR(__xludf.DUMMYFUNCTION("""COMPUTED_VALUE"""),45033.53649496528)</f>
        <v>45033.53649</v>
      </c>
      <c r="C5551" s="1" t="str">
        <f>IFERROR(__xludf.DUMMYFUNCTION("""COMPUTED_VALUE"""),"ORTIZ LUCAS DAVID PROGRAMA MEDICINA DEL INTERIOR GOB)")</f>
        <v>ORTIZ LUCAS DAVID PROGRAMA MEDICINA DEL INTERIOR GOB)</v>
      </c>
      <c r="D5551" s="1" t="str">
        <f>IFERROR(__xludf.DUMMYFUNCTION("""COMPUTED_VALUE"""),"Lentes de STOCK")</f>
        <v>Lentes de STOCK</v>
      </c>
      <c r="E5551" s="1" t="str">
        <f>IFERROR(__xludf.DUMMYFUNCTION("""COMPUTED_VALUE"""),"Online ADMIN.")</f>
        <v>Online ADMIN.</v>
      </c>
      <c r="F5551" s="1" t="str">
        <f t="shared" si="1"/>
        <v>Online </v>
      </c>
      <c r="G5551" s="1" t="str">
        <f t="shared" si="2"/>
        <v>ADMIN.</v>
      </c>
      <c r="H5551" s="1" t="str">
        <f>IFERROR(__xludf.DUMMYFUNCTION("""COMPUTED_VALUE"""),"19/4/2023, 17:00:00")</f>
        <v>19/4/2023, 17:00:00</v>
      </c>
      <c r="I5551" s="1" t="str">
        <f>IFERROR(__xludf.DUMMYFUNCTION("""COMPUTED_VALUE"""),"Recibido en Laboratorio")</f>
        <v>Recibido en Laboratorio</v>
      </c>
      <c r="J5551" s="1">
        <f t="shared" si="3"/>
        <v>2</v>
      </c>
      <c r="K5551" s="1" t="str">
        <f t="shared" si="4"/>
        <v>Nuestro Laboratorio esta trabajando en tus lentes, los entregaremos en la fecha acordada.</v>
      </c>
    </row>
    <row r="5552">
      <c r="A5552" s="1">
        <f>IFERROR(__xludf.DUMMYFUNCTION("""COMPUTED_VALUE"""),90117.0)</f>
        <v>90117</v>
      </c>
      <c r="B5552" s="5">
        <f>IFERROR(__xludf.DUMMYFUNCTION("""COMPUTED_VALUE"""),45033.53704289352)</f>
        <v>45033.53704</v>
      </c>
      <c r="C5552" s="1" t="str">
        <f>IFERROR(__xludf.DUMMYFUNCTION("""COMPUTED_VALUE"""),"LOPEZ NICOLASA")</f>
        <v>LOPEZ NICOLASA</v>
      </c>
      <c r="D5552" s="1" t="str">
        <f>IFERROR(__xludf.DUMMYFUNCTION("""COMPUTED_VALUE"""),"Lentes de STOCK")</f>
        <v>Lentes de STOCK</v>
      </c>
      <c r="E5552" s="1" t="str">
        <f>IFERROR(__xludf.DUMMYFUNCTION("""COMPUTED_VALUE"""),"ARTIGAS Ivana P.")</f>
        <v>ARTIGAS Ivana P.</v>
      </c>
      <c r="F5552" s="1" t="str">
        <f t="shared" si="1"/>
        <v>ARTIGAS </v>
      </c>
      <c r="G5552" s="1" t="str">
        <f t="shared" si="2"/>
        <v>Ivana P.</v>
      </c>
      <c r="H5552" s="1" t="str">
        <f>IFERROR(__xludf.DUMMYFUNCTION("""COMPUTED_VALUE"""),"19/4/2023, 17:00:00")</f>
        <v>19/4/2023, 17:00:00</v>
      </c>
      <c r="I5552" s="1" t="str">
        <f>IFERROR(__xludf.DUMMYFUNCTION("""COMPUTED_VALUE"""),"Completado en SUCURSAL")</f>
        <v>Completado en SUCURSAL</v>
      </c>
      <c r="J5552" s="1">
        <f t="shared" si="3"/>
        <v>5</v>
      </c>
      <c r="K5552" s="1" t="str">
        <f t="shared" si="4"/>
        <v>Tus Lentes estan LISTAS PARA ENTREGAR, te esperamos.</v>
      </c>
    </row>
    <row r="5553">
      <c r="A5553" s="1">
        <f>IFERROR(__xludf.DUMMYFUNCTION("""COMPUTED_VALUE"""),90118.0)</f>
        <v>90118</v>
      </c>
      <c r="B5553" s="5">
        <f>IFERROR(__xludf.DUMMYFUNCTION("""COMPUTED_VALUE"""),45033.53899725694)</f>
        <v>45033.539</v>
      </c>
      <c r="C5553" s="1" t="str">
        <f>IFERROR(__xludf.DUMMYFUNCTION("""COMPUTED_VALUE"""),"OLIVERA JACINTO ALBERTO  (PROGRAMA MEDICINA DEL INTERIOR GOB)")</f>
        <v>OLIVERA JACINTO ALBERTO  (PROGRAMA MEDICINA DEL INTERIOR GOB)</v>
      </c>
      <c r="D5553" s="1" t="str">
        <f>IFERROR(__xludf.DUMMYFUNCTION("""COMPUTED_VALUE"""),"Lentes de STOCK")</f>
        <v>Lentes de STOCK</v>
      </c>
      <c r="E5553" s="1" t="str">
        <f>IFERROR(__xludf.DUMMYFUNCTION("""COMPUTED_VALUE"""),"Online ADMIN.")</f>
        <v>Online ADMIN.</v>
      </c>
      <c r="F5553" s="1" t="str">
        <f t="shared" si="1"/>
        <v>Online </v>
      </c>
      <c r="G5553" s="1" t="str">
        <f t="shared" si="2"/>
        <v>ADMIN.</v>
      </c>
      <c r="H5553" s="1" t="str">
        <f>IFERROR(__xludf.DUMMYFUNCTION("""COMPUTED_VALUE"""),"19/4/2023, 17:00:00")</f>
        <v>19/4/2023, 17:00:00</v>
      </c>
      <c r="I5553" s="1" t="str">
        <f>IFERROR(__xludf.DUMMYFUNCTION("""COMPUTED_VALUE"""),"Recibido en Laboratorio")</f>
        <v>Recibido en Laboratorio</v>
      </c>
      <c r="J5553" s="1">
        <f t="shared" si="3"/>
        <v>2</v>
      </c>
      <c r="K5553" s="1" t="str">
        <f t="shared" si="4"/>
        <v>Nuestro Laboratorio esta trabajando en tus lentes, los entregaremos en la fecha acordada.</v>
      </c>
    </row>
    <row r="5554">
      <c r="A5554" s="1">
        <f>IFERROR(__xludf.DUMMYFUNCTION("""COMPUTED_VALUE"""),90119.0)</f>
        <v>90119</v>
      </c>
      <c r="B5554" s="5">
        <f>IFERROR(__xludf.DUMMYFUNCTION("""COMPUTED_VALUE"""),45033.53964445602)</f>
        <v>45033.53964</v>
      </c>
      <c r="C5554" s="1" t="str">
        <f>IFERROR(__xludf.DUMMYFUNCTION("""COMPUTED_VALUE"""),"MUÑOZ JORGE DANIEL  (PROGRAMA MEDICINA DEL INTERIOR GOB)")</f>
        <v>MUÑOZ JORGE DANIEL  (PROGRAMA MEDICINA DEL INTERIOR GOB)</v>
      </c>
      <c r="D5554" s="1" t="str">
        <f>IFERROR(__xludf.DUMMYFUNCTION("""COMPUTED_VALUE"""),"Lentes de STOCK")</f>
        <v>Lentes de STOCK</v>
      </c>
      <c r="E5554" s="1" t="str">
        <f>IFERROR(__xludf.DUMMYFUNCTION("""COMPUTED_VALUE"""),"Online ADMIN.")</f>
        <v>Online ADMIN.</v>
      </c>
      <c r="F5554" s="1" t="str">
        <f t="shared" si="1"/>
        <v>Online </v>
      </c>
      <c r="G5554" s="1" t="str">
        <f t="shared" si="2"/>
        <v>ADMIN.</v>
      </c>
      <c r="H5554" s="1" t="str">
        <f>IFERROR(__xludf.DUMMYFUNCTION("""COMPUTED_VALUE"""),"19/4/2023, 17:00:00")</f>
        <v>19/4/2023, 17:00:00</v>
      </c>
      <c r="I5554" s="1" t="str">
        <f>IFERROR(__xludf.DUMMYFUNCTION("""COMPUTED_VALUE"""),"Completado en SUCURSAL")</f>
        <v>Completado en SUCURSAL</v>
      </c>
      <c r="J5554" s="1">
        <f t="shared" si="3"/>
        <v>5</v>
      </c>
      <c r="K5554" s="1" t="str">
        <f t="shared" si="4"/>
        <v>Tus Lentes estan LISTAS PARA ENTREGAR, te esperamos.</v>
      </c>
    </row>
    <row r="5555">
      <c r="A5555" s="1">
        <f>IFERROR(__xludf.DUMMYFUNCTION("""COMPUTED_VALUE"""),90120.0)</f>
        <v>90120</v>
      </c>
      <c r="B5555" s="5">
        <f>IFERROR(__xludf.DUMMYFUNCTION("""COMPUTED_VALUE"""),45033.540471238426)</f>
        <v>45033.54047</v>
      </c>
      <c r="C5555" s="1" t="str">
        <f>IFERROR(__xludf.DUMMYFUNCTION("""COMPUTED_VALUE"""),"MOLINA YAIR THIAGO IVAN  (PROGRAMA MEDICINA DEL INTERIOR GOB)")</f>
        <v>MOLINA YAIR THIAGO IVAN  (PROGRAMA MEDICINA DEL INTERIOR GOB)</v>
      </c>
      <c r="D5555" s="1" t="str">
        <f>IFERROR(__xludf.DUMMYFUNCTION("""COMPUTED_VALUE"""),"Lentes de STOCK")</f>
        <v>Lentes de STOCK</v>
      </c>
      <c r="E5555" s="1" t="str">
        <f>IFERROR(__xludf.DUMMYFUNCTION("""COMPUTED_VALUE"""),"Online ADMIN.")</f>
        <v>Online ADMIN.</v>
      </c>
      <c r="F5555" s="1" t="str">
        <f t="shared" si="1"/>
        <v>Online </v>
      </c>
      <c r="G5555" s="1" t="str">
        <f t="shared" si="2"/>
        <v>ADMIN.</v>
      </c>
      <c r="H5555" s="1" t="str">
        <f>IFERROR(__xludf.DUMMYFUNCTION("""COMPUTED_VALUE"""),"19/4/2023, 17:00:00")</f>
        <v>19/4/2023, 17:00:00</v>
      </c>
      <c r="I5555" s="1" t="str">
        <f>IFERROR(__xludf.DUMMYFUNCTION("""COMPUTED_VALUE"""),"Recibido en Laboratorio")</f>
        <v>Recibido en Laboratorio</v>
      </c>
      <c r="J5555" s="1">
        <f t="shared" si="3"/>
        <v>2</v>
      </c>
      <c r="K5555" s="1" t="str">
        <f t="shared" si="4"/>
        <v>Nuestro Laboratorio esta trabajando en tus lentes, los entregaremos en la fecha acordada.</v>
      </c>
    </row>
    <row r="5556">
      <c r="A5556" s="1">
        <f>IFERROR(__xludf.DUMMYFUNCTION("""COMPUTED_VALUE"""),90121.0)</f>
        <v>90121</v>
      </c>
      <c r="B5556" s="5">
        <f>IFERROR(__xludf.DUMMYFUNCTION("""COMPUTED_VALUE"""),45033.54089304398)</f>
        <v>45033.54089</v>
      </c>
      <c r="C5556" s="1" t="str">
        <f>IFERROR(__xludf.DUMMYFUNCTION("""COMPUTED_VALUE"""),"LUDMILA PEREZ  (PROGRAMA MEDICINA DEL INTERIOR GOB)")</f>
        <v>LUDMILA PEREZ  (PROGRAMA MEDICINA DEL INTERIOR GOB)</v>
      </c>
      <c r="D5556" s="1" t="str">
        <f>IFERROR(__xludf.DUMMYFUNCTION("""COMPUTED_VALUE"""),"Lentes de STOCK")</f>
        <v>Lentes de STOCK</v>
      </c>
      <c r="E5556" s="1" t="str">
        <f>IFERROR(__xludf.DUMMYFUNCTION("""COMPUTED_VALUE"""),"Online ADMIN.")</f>
        <v>Online ADMIN.</v>
      </c>
      <c r="F5556" s="1" t="str">
        <f t="shared" si="1"/>
        <v>Online </v>
      </c>
      <c r="G5556" s="1" t="str">
        <f t="shared" si="2"/>
        <v>ADMIN.</v>
      </c>
      <c r="H5556" s="1" t="str">
        <f>IFERROR(__xludf.DUMMYFUNCTION("""COMPUTED_VALUE"""),"19/4/2023, 17:00:00")</f>
        <v>19/4/2023, 17:00:00</v>
      </c>
      <c r="I5556" s="1" t="str">
        <f>IFERROR(__xludf.DUMMYFUNCTION("""COMPUTED_VALUE"""),"Completado en SUCURSAL")</f>
        <v>Completado en SUCURSAL</v>
      </c>
      <c r="J5556" s="1">
        <f t="shared" si="3"/>
        <v>5</v>
      </c>
      <c r="K5556" s="1" t="str">
        <f t="shared" si="4"/>
        <v>Tus Lentes estan LISTAS PARA ENTREGAR, te esperamos.</v>
      </c>
    </row>
    <row r="5557">
      <c r="A5557" s="1">
        <f>IFERROR(__xludf.DUMMYFUNCTION("""COMPUTED_VALUE"""),90122.0)</f>
        <v>90122</v>
      </c>
      <c r="B5557" s="5">
        <f>IFERROR(__xludf.DUMMYFUNCTION("""COMPUTED_VALUE"""),45033.54122975694)</f>
        <v>45033.54123</v>
      </c>
      <c r="C5557" s="1" t="str">
        <f>IFERROR(__xludf.DUMMYFUNCTION("""COMPUTED_VALUE"""),"LUCERO MARIO ROLANDO  (PROGRAMA MEDICINA DEL INTERIOR GOB)")</f>
        <v>LUCERO MARIO ROLANDO  (PROGRAMA MEDICINA DEL INTERIOR GOB)</v>
      </c>
      <c r="D5557" s="1" t="str">
        <f>IFERROR(__xludf.DUMMYFUNCTION("""COMPUTED_VALUE"""),"Lentes de STOCK")</f>
        <v>Lentes de STOCK</v>
      </c>
      <c r="E5557" s="1" t="str">
        <f>IFERROR(__xludf.DUMMYFUNCTION("""COMPUTED_VALUE"""),"Online ADMIN.")</f>
        <v>Online ADMIN.</v>
      </c>
      <c r="F5557" s="1" t="str">
        <f t="shared" si="1"/>
        <v>Online </v>
      </c>
      <c r="G5557" s="1" t="str">
        <f t="shared" si="2"/>
        <v>ADMIN.</v>
      </c>
      <c r="H5557" s="1" t="str">
        <f>IFERROR(__xludf.DUMMYFUNCTION("""COMPUTED_VALUE"""),"19/4/2023, 17:00:00")</f>
        <v>19/4/2023, 17:00:00</v>
      </c>
      <c r="I5557" s="1" t="str">
        <f>IFERROR(__xludf.DUMMYFUNCTION("""COMPUTED_VALUE"""),"Completado en SUCURSAL")</f>
        <v>Completado en SUCURSAL</v>
      </c>
      <c r="J5557" s="1">
        <f t="shared" si="3"/>
        <v>5</v>
      </c>
      <c r="K5557" s="1" t="str">
        <f t="shared" si="4"/>
        <v>Tus Lentes estan LISTAS PARA ENTREGAR, te esperamos.</v>
      </c>
    </row>
    <row r="5558">
      <c r="A5558" s="1">
        <f>IFERROR(__xludf.DUMMYFUNCTION("""COMPUTED_VALUE"""),90123.0)</f>
        <v>90123</v>
      </c>
      <c r="B5558" s="5">
        <f>IFERROR(__xludf.DUMMYFUNCTION("""COMPUTED_VALUE"""),45033.5423390162)</f>
        <v>45033.54234</v>
      </c>
      <c r="C5558" s="1" t="str">
        <f>IFERROR(__xludf.DUMMYFUNCTION("""COMPUTED_VALUE"""),"LUCERO LORENA  (PROGRAMA MEDICINA DEL INTERIOR GOB)")</f>
        <v>LUCERO LORENA  (PROGRAMA MEDICINA DEL INTERIOR GOB)</v>
      </c>
      <c r="D5558" s="1" t="str">
        <f>IFERROR(__xludf.DUMMYFUNCTION("""COMPUTED_VALUE"""),"Lentes de STOCK")</f>
        <v>Lentes de STOCK</v>
      </c>
      <c r="E5558" s="1" t="str">
        <f>IFERROR(__xludf.DUMMYFUNCTION("""COMPUTED_VALUE"""),"Online ADMIN.")</f>
        <v>Online ADMIN.</v>
      </c>
      <c r="F5558" s="1" t="str">
        <f t="shared" si="1"/>
        <v>Online </v>
      </c>
      <c r="G5558" s="1" t="str">
        <f t="shared" si="2"/>
        <v>ADMIN.</v>
      </c>
      <c r="H5558" s="1" t="str">
        <f>IFERROR(__xludf.DUMMYFUNCTION("""COMPUTED_VALUE"""),"19/4/2023, 17:00:00")</f>
        <v>19/4/2023, 17:00:00</v>
      </c>
      <c r="I5558" s="1" t="str">
        <f>IFERROR(__xludf.DUMMYFUNCTION("""COMPUTED_VALUE"""),"Recibido en Laboratorio")</f>
        <v>Recibido en Laboratorio</v>
      </c>
      <c r="J5558" s="1">
        <f t="shared" si="3"/>
        <v>2</v>
      </c>
      <c r="K5558" s="1" t="str">
        <f t="shared" si="4"/>
        <v>Nuestro Laboratorio esta trabajando en tus lentes, los entregaremos en la fecha acordada.</v>
      </c>
    </row>
    <row r="5559">
      <c r="A5559" s="1">
        <f>IFERROR(__xludf.DUMMYFUNCTION("""COMPUTED_VALUE"""),90124.0)</f>
        <v>90124</v>
      </c>
      <c r="B5559" s="5">
        <f>IFERROR(__xludf.DUMMYFUNCTION("""COMPUTED_VALUE"""),45033.54294510417)</f>
        <v>45033.54295</v>
      </c>
      <c r="C5559" s="1" t="str">
        <f>IFERROR(__xludf.DUMMYFUNCTION("""COMPUTED_VALUE"""),"LUCERO FLORENCIA  (PROGRAMA MEDICINA DEL INTERIOR GOB)")</f>
        <v>LUCERO FLORENCIA  (PROGRAMA MEDICINA DEL INTERIOR GOB)</v>
      </c>
      <c r="D5559" s="1" t="str">
        <f>IFERROR(__xludf.DUMMYFUNCTION("""COMPUTED_VALUE"""),"Lentes de STOCK")</f>
        <v>Lentes de STOCK</v>
      </c>
      <c r="E5559" s="1" t="str">
        <f>IFERROR(__xludf.DUMMYFUNCTION("""COMPUTED_VALUE"""),"Online ADMIN.")</f>
        <v>Online ADMIN.</v>
      </c>
      <c r="F5559" s="1" t="str">
        <f t="shared" si="1"/>
        <v>Online </v>
      </c>
      <c r="G5559" s="1" t="str">
        <f t="shared" si="2"/>
        <v>ADMIN.</v>
      </c>
      <c r="H5559" s="1" t="str">
        <f>IFERROR(__xludf.DUMMYFUNCTION("""COMPUTED_VALUE"""),"19/4/2023, 17:00:00")</f>
        <v>19/4/2023, 17:00:00</v>
      </c>
      <c r="I5559" s="1" t="str">
        <f>IFERROR(__xludf.DUMMYFUNCTION("""COMPUTED_VALUE"""),"Recibido en Laboratorio")</f>
        <v>Recibido en Laboratorio</v>
      </c>
      <c r="J5559" s="1">
        <f t="shared" si="3"/>
        <v>2</v>
      </c>
      <c r="K5559" s="1" t="str">
        <f t="shared" si="4"/>
        <v>Nuestro Laboratorio esta trabajando en tus lentes, los entregaremos en la fecha acordada.</v>
      </c>
    </row>
    <row r="5560">
      <c r="A5560" s="1">
        <f>IFERROR(__xludf.DUMMYFUNCTION("""COMPUTED_VALUE"""),90125.0)</f>
        <v>90125</v>
      </c>
      <c r="B5560" s="5">
        <f>IFERROR(__xludf.DUMMYFUNCTION("""COMPUTED_VALUE"""),45033.54336293982)</f>
        <v>45033.54336</v>
      </c>
      <c r="C5560" s="1" t="str">
        <f>IFERROR(__xludf.DUMMYFUNCTION("""COMPUTED_VALUE"""),"LOPEZ CARMEN  (PROGRAMA MEDICINA DEL INTERIOR GOB)")</f>
        <v>LOPEZ CARMEN  (PROGRAMA MEDICINA DEL INTERIOR GOB)</v>
      </c>
      <c r="D5560" s="1" t="str">
        <f>IFERROR(__xludf.DUMMYFUNCTION("""COMPUTED_VALUE"""),"Lentes de STOCK")</f>
        <v>Lentes de STOCK</v>
      </c>
      <c r="E5560" s="1" t="str">
        <f>IFERROR(__xludf.DUMMYFUNCTION("""COMPUTED_VALUE"""),"Online ADMIN.")</f>
        <v>Online ADMIN.</v>
      </c>
      <c r="F5560" s="1" t="str">
        <f t="shared" si="1"/>
        <v>Online </v>
      </c>
      <c r="G5560" s="1" t="str">
        <f t="shared" si="2"/>
        <v>ADMIN.</v>
      </c>
      <c r="H5560" s="1" t="str">
        <f>IFERROR(__xludf.DUMMYFUNCTION("""COMPUTED_VALUE"""),"19/4/2023, 17:00:00")</f>
        <v>19/4/2023, 17:00:00</v>
      </c>
      <c r="I5560" s="1" t="str">
        <f>IFERROR(__xludf.DUMMYFUNCTION("""COMPUTED_VALUE"""),"Completado en SUCURSAL")</f>
        <v>Completado en SUCURSAL</v>
      </c>
      <c r="J5560" s="1">
        <f t="shared" si="3"/>
        <v>5</v>
      </c>
      <c r="K5560" s="1" t="str">
        <f t="shared" si="4"/>
        <v>Tus Lentes estan LISTAS PARA ENTREGAR, te esperamos.</v>
      </c>
    </row>
    <row r="5561">
      <c r="A5561" s="1">
        <f>IFERROR(__xludf.DUMMYFUNCTION("""COMPUTED_VALUE"""),90126.0)</f>
        <v>90126</v>
      </c>
      <c r="B5561" s="5">
        <f>IFERROR(__xludf.DUMMYFUNCTION("""COMPUTED_VALUE"""),45033.54352046296)</f>
        <v>45033.54352</v>
      </c>
      <c r="C5561" s="1" t="str">
        <f>IFERROR(__xludf.DUMMYFUNCTION("""COMPUTED_VALUE"""),"JURIOL EDUARDO ")</f>
        <v>JURIOL EDUARDO </v>
      </c>
      <c r="D5561" s="1" t="str">
        <f>IFERROR(__xludf.DUMMYFUNCTION("""COMPUTED_VALUE"""),"Lentes de STOCK")</f>
        <v>Lentes de STOCK</v>
      </c>
      <c r="E5561" s="1" t="str">
        <f>IFERROR(__xludf.DUMMYFUNCTION("""COMPUTED_VALUE"""),"RIVADAVIA Luciana")</f>
        <v>RIVADAVIA Luciana</v>
      </c>
      <c r="F5561" s="1" t="str">
        <f t="shared" si="1"/>
        <v>RIVADAVIA </v>
      </c>
      <c r="G5561" s="1" t="str">
        <f t="shared" si="2"/>
        <v>Luciana</v>
      </c>
      <c r="H5561" s="1" t="str">
        <f>IFERROR(__xludf.DUMMYFUNCTION("""COMPUTED_VALUE"""),"25/4/2023, 17:00:00")</f>
        <v>25/4/2023, 17:00:00</v>
      </c>
      <c r="I5561" s="1" t="str">
        <f>IFERROR(__xludf.DUMMYFUNCTION("""COMPUTED_VALUE"""),"Recibido en Laboratorio")</f>
        <v>Recibido en Laboratorio</v>
      </c>
      <c r="J5561" s="1">
        <f t="shared" si="3"/>
        <v>2</v>
      </c>
      <c r="K5561" s="1" t="str">
        <f t="shared" si="4"/>
        <v>Nuestro Laboratorio esta trabajando en tus lentes, los entregaremos en la fecha acordada.</v>
      </c>
    </row>
    <row r="5562">
      <c r="A5562" s="1">
        <f>IFERROR(__xludf.DUMMYFUNCTION("""COMPUTED_VALUE"""),90127.0)</f>
        <v>90127</v>
      </c>
      <c r="B5562" s="5">
        <f>IFERROR(__xludf.DUMMYFUNCTION("""COMPUTED_VALUE"""),45033.543716458335)</f>
        <v>45033.54372</v>
      </c>
      <c r="C5562" s="1" t="str">
        <f>IFERROR(__xludf.DUMMYFUNCTION("""COMPUTED_VALUE"""),"LUCERO CORINA HONORIA  (PROGRAMA MEDICINA DEL INTERIOR GOB)")</f>
        <v>LUCERO CORINA HONORIA  (PROGRAMA MEDICINA DEL INTERIOR GOB)</v>
      </c>
      <c r="D5562" s="1" t="str">
        <f>IFERROR(__xludf.DUMMYFUNCTION("""COMPUTED_VALUE"""),"Lentes de STOCK")</f>
        <v>Lentes de STOCK</v>
      </c>
      <c r="E5562" s="1" t="str">
        <f>IFERROR(__xludf.DUMMYFUNCTION("""COMPUTED_VALUE"""),"Online ADMIN.")</f>
        <v>Online ADMIN.</v>
      </c>
      <c r="F5562" s="1" t="str">
        <f t="shared" si="1"/>
        <v>Online </v>
      </c>
      <c r="G5562" s="1" t="str">
        <f t="shared" si="2"/>
        <v>ADMIN.</v>
      </c>
      <c r="H5562" s="1" t="str">
        <f>IFERROR(__xludf.DUMMYFUNCTION("""COMPUTED_VALUE"""),"19/4/2023, 17:00:00")</f>
        <v>19/4/2023, 17:00:00</v>
      </c>
      <c r="I5562" s="1" t="str">
        <f>IFERROR(__xludf.DUMMYFUNCTION("""COMPUTED_VALUE"""),"Recibido en Laboratorio")</f>
        <v>Recibido en Laboratorio</v>
      </c>
      <c r="J5562" s="1">
        <f t="shared" si="3"/>
        <v>2</v>
      </c>
      <c r="K5562" s="1" t="str">
        <f t="shared" si="4"/>
        <v>Nuestro Laboratorio esta trabajando en tus lentes, los entregaremos en la fecha acordada.</v>
      </c>
    </row>
    <row r="5563">
      <c r="A5563" s="1">
        <f>IFERROR(__xludf.DUMMYFUNCTION("""COMPUTED_VALUE"""),90128.0)</f>
        <v>90128</v>
      </c>
      <c r="B5563" s="5">
        <f>IFERROR(__xludf.DUMMYFUNCTION("""COMPUTED_VALUE"""),45033.54438342593)</f>
        <v>45033.54438</v>
      </c>
      <c r="C5563" s="1" t="str">
        <f>IFERROR(__xludf.DUMMYFUNCTION("""COMPUTED_VALUE"""),"janssen alan bernardo  (PROGRAMA MEDICINA DEL INTERIOR GOB)")</f>
        <v>janssen alan bernardo  (PROGRAMA MEDICINA DEL INTERIOR GOB)</v>
      </c>
      <c r="D5563" s="1" t="str">
        <f>IFERROR(__xludf.DUMMYFUNCTION("""COMPUTED_VALUE"""),"Lentes de STOCK")</f>
        <v>Lentes de STOCK</v>
      </c>
      <c r="E5563" s="1" t="str">
        <f>IFERROR(__xludf.DUMMYFUNCTION("""COMPUTED_VALUE"""),"Online ADMIN.")</f>
        <v>Online ADMIN.</v>
      </c>
      <c r="F5563" s="1" t="str">
        <f t="shared" si="1"/>
        <v>Online </v>
      </c>
      <c r="G5563" s="1" t="str">
        <f t="shared" si="2"/>
        <v>ADMIN.</v>
      </c>
      <c r="H5563" s="1" t="str">
        <f>IFERROR(__xludf.DUMMYFUNCTION("""COMPUTED_VALUE"""),"19/4/2023, 17:00:00")</f>
        <v>19/4/2023, 17:00:00</v>
      </c>
      <c r="I5563" s="1" t="str">
        <f>IFERROR(__xludf.DUMMYFUNCTION("""COMPUTED_VALUE"""),"Recibido en Laboratorio")</f>
        <v>Recibido en Laboratorio</v>
      </c>
      <c r="J5563" s="1">
        <f t="shared" si="3"/>
        <v>2</v>
      </c>
      <c r="K5563" s="1" t="str">
        <f t="shared" si="4"/>
        <v>Nuestro Laboratorio esta trabajando en tus lentes, los entregaremos en la fecha acordada.</v>
      </c>
    </row>
    <row r="5564">
      <c r="A5564" s="1">
        <f>IFERROR(__xludf.DUMMYFUNCTION("""COMPUTED_VALUE"""),90129.0)</f>
        <v>90129</v>
      </c>
      <c r="B5564" s="5">
        <f>IFERROR(__xludf.DUMMYFUNCTION("""COMPUTED_VALUE"""),45033.54485207176)</f>
        <v>45033.54485</v>
      </c>
      <c r="C5564" s="1" t="str">
        <f>IFERROR(__xludf.DUMMYFUNCTION("""COMPUTED_VALUE"""),"GIL MIGUEL ANGEL  (PROGRAMA MEDICINA DEL INTERIOR GOB)")</f>
        <v>GIL MIGUEL ANGEL  (PROGRAMA MEDICINA DEL INTERIOR GOB)</v>
      </c>
      <c r="D5564" s="1" t="str">
        <f>IFERROR(__xludf.DUMMYFUNCTION("""COMPUTED_VALUE"""),"Lentes de STOCK")</f>
        <v>Lentes de STOCK</v>
      </c>
      <c r="E5564" s="1" t="str">
        <f>IFERROR(__xludf.DUMMYFUNCTION("""COMPUTED_VALUE"""),"Online ADMIN.")</f>
        <v>Online ADMIN.</v>
      </c>
      <c r="F5564" s="1" t="str">
        <f t="shared" si="1"/>
        <v>Online </v>
      </c>
      <c r="G5564" s="1" t="str">
        <f t="shared" si="2"/>
        <v>ADMIN.</v>
      </c>
      <c r="H5564" s="1" t="str">
        <f>IFERROR(__xludf.DUMMYFUNCTION("""COMPUTED_VALUE"""),"19/4/2023, 17:00:00")</f>
        <v>19/4/2023, 17:00:00</v>
      </c>
      <c r="I5564" s="1" t="str">
        <f>IFERROR(__xludf.DUMMYFUNCTION("""COMPUTED_VALUE"""),"Recibido en Laboratorio")</f>
        <v>Recibido en Laboratorio</v>
      </c>
      <c r="J5564" s="1">
        <f t="shared" si="3"/>
        <v>2</v>
      </c>
      <c r="K5564" s="1" t="str">
        <f t="shared" si="4"/>
        <v>Nuestro Laboratorio esta trabajando en tus lentes, los entregaremos en la fecha acordada.</v>
      </c>
    </row>
    <row r="5565">
      <c r="A5565" s="1">
        <f>IFERROR(__xludf.DUMMYFUNCTION("""COMPUTED_VALUE"""),90130.0)</f>
        <v>90130</v>
      </c>
      <c r="B5565" s="5">
        <f>IFERROR(__xludf.DUMMYFUNCTION("""COMPUTED_VALUE"""),45033.54537929398)</f>
        <v>45033.54538</v>
      </c>
      <c r="C5565" s="1" t="str">
        <f>IFERROR(__xludf.DUMMYFUNCTION("""COMPUTED_VALUE"""),"GARRO NURIA ROSANA  (PROGRAMA MEDICINA DEL INTERIOR GOB)")</f>
        <v>GARRO NURIA ROSANA  (PROGRAMA MEDICINA DEL INTERIOR GOB)</v>
      </c>
      <c r="D5565" s="1" t="str">
        <f>IFERROR(__xludf.DUMMYFUNCTION("""COMPUTED_VALUE"""),"Lentes de STOCK")</f>
        <v>Lentes de STOCK</v>
      </c>
      <c r="E5565" s="1" t="str">
        <f>IFERROR(__xludf.DUMMYFUNCTION("""COMPUTED_VALUE"""),"Online ADMIN.")</f>
        <v>Online ADMIN.</v>
      </c>
      <c r="F5565" s="1" t="str">
        <f t="shared" si="1"/>
        <v>Online </v>
      </c>
      <c r="G5565" s="1" t="str">
        <f t="shared" si="2"/>
        <v>ADMIN.</v>
      </c>
      <c r="H5565" s="1" t="str">
        <f>IFERROR(__xludf.DUMMYFUNCTION("""COMPUTED_VALUE"""),"19/4/2023, 17:00:00")</f>
        <v>19/4/2023, 17:00:00</v>
      </c>
      <c r="I5565" s="1" t="str">
        <f>IFERROR(__xludf.DUMMYFUNCTION("""COMPUTED_VALUE"""),"Recibido en Laboratorio")</f>
        <v>Recibido en Laboratorio</v>
      </c>
      <c r="J5565" s="1">
        <f t="shared" si="3"/>
        <v>2</v>
      </c>
      <c r="K5565" s="1" t="str">
        <f t="shared" si="4"/>
        <v>Nuestro Laboratorio esta trabajando en tus lentes, los entregaremos en la fecha acordada.</v>
      </c>
    </row>
    <row r="5566">
      <c r="A5566" s="1">
        <f>IFERROR(__xludf.DUMMYFUNCTION("""COMPUTED_VALUE"""),90131.0)</f>
        <v>90131</v>
      </c>
      <c r="B5566" s="5">
        <f>IFERROR(__xludf.DUMMYFUNCTION("""COMPUTED_VALUE"""),45033.54599111111)</f>
        <v>45033.54599</v>
      </c>
      <c r="C5566" s="1" t="str">
        <f>IFERROR(__xludf.DUMMYFUNCTION("""COMPUTED_VALUE"""),"GARRO JOSE  (PROGRAMA MEDICINA DEL INTERIOR GOB)")</f>
        <v>GARRO JOSE  (PROGRAMA MEDICINA DEL INTERIOR GOB)</v>
      </c>
      <c r="D5566" s="1" t="str">
        <f>IFERROR(__xludf.DUMMYFUNCTION("""COMPUTED_VALUE"""),"Lentes de STOCK")</f>
        <v>Lentes de STOCK</v>
      </c>
      <c r="E5566" s="1" t="str">
        <f>IFERROR(__xludf.DUMMYFUNCTION("""COMPUTED_VALUE"""),"Online ADMIN.")</f>
        <v>Online ADMIN.</v>
      </c>
      <c r="F5566" s="1" t="str">
        <f t="shared" si="1"/>
        <v>Online </v>
      </c>
      <c r="G5566" s="1" t="str">
        <f t="shared" si="2"/>
        <v>ADMIN.</v>
      </c>
      <c r="H5566" s="1" t="str">
        <f>IFERROR(__xludf.DUMMYFUNCTION("""COMPUTED_VALUE"""),"19/4/2023, 17:00:00")</f>
        <v>19/4/2023, 17:00:00</v>
      </c>
      <c r="I5566" s="1" t="str">
        <f>IFERROR(__xludf.DUMMYFUNCTION("""COMPUTED_VALUE"""),"Recibido en Laboratorio")</f>
        <v>Recibido en Laboratorio</v>
      </c>
      <c r="J5566" s="1">
        <f t="shared" si="3"/>
        <v>2</v>
      </c>
      <c r="K5566" s="1" t="str">
        <f t="shared" si="4"/>
        <v>Nuestro Laboratorio esta trabajando en tus lentes, los entregaremos en la fecha acordada.</v>
      </c>
    </row>
    <row r="5567">
      <c r="A5567" s="1">
        <f>IFERROR(__xludf.DUMMYFUNCTION("""COMPUTED_VALUE"""),90132.0)</f>
        <v>90132</v>
      </c>
      <c r="B5567" s="5">
        <f>IFERROR(__xludf.DUMMYFUNCTION("""COMPUTED_VALUE"""),45033.54643163194)</f>
        <v>45033.54643</v>
      </c>
      <c r="C5567" s="1" t="str">
        <f>IFERROR(__xludf.DUMMYFUNCTION("""COMPUTED_VALUE"""),"GARRO JUAN CARLOS  (PROGRAMA MEDICINA DEL INTERIOR GOB)")</f>
        <v>GARRO JUAN CARLOS  (PROGRAMA MEDICINA DEL INTERIOR GOB)</v>
      </c>
      <c r="D5567" s="1" t="str">
        <f>IFERROR(__xludf.DUMMYFUNCTION("""COMPUTED_VALUE"""),"Lentes de STOCK")</f>
        <v>Lentes de STOCK</v>
      </c>
      <c r="E5567" s="1" t="str">
        <f>IFERROR(__xludf.DUMMYFUNCTION("""COMPUTED_VALUE"""),"Online ADMIN.")</f>
        <v>Online ADMIN.</v>
      </c>
      <c r="F5567" s="1" t="str">
        <f t="shared" si="1"/>
        <v>Online </v>
      </c>
      <c r="G5567" s="1" t="str">
        <f t="shared" si="2"/>
        <v>ADMIN.</v>
      </c>
      <c r="H5567" s="1" t="str">
        <f>IFERROR(__xludf.DUMMYFUNCTION("""COMPUTED_VALUE"""),"19/4/2023, 17:00:00")</f>
        <v>19/4/2023, 17:00:00</v>
      </c>
      <c r="I5567" s="1" t="str">
        <f>IFERROR(__xludf.DUMMYFUNCTION("""COMPUTED_VALUE"""),"Recibido en Laboratorio")</f>
        <v>Recibido en Laboratorio</v>
      </c>
      <c r="J5567" s="1">
        <f t="shared" si="3"/>
        <v>2</v>
      </c>
      <c r="K5567" s="1" t="str">
        <f t="shared" si="4"/>
        <v>Nuestro Laboratorio esta trabajando en tus lentes, los entregaremos en la fecha acordada.</v>
      </c>
    </row>
    <row r="5568">
      <c r="A5568" s="1">
        <f>IFERROR(__xludf.DUMMYFUNCTION("""COMPUTED_VALUE"""),90133.0)</f>
        <v>90133</v>
      </c>
      <c r="B5568" s="5">
        <f>IFERROR(__xludf.DUMMYFUNCTION("""COMPUTED_VALUE"""),45033.54698528935)</f>
        <v>45033.54699</v>
      </c>
      <c r="C5568" s="1" t="str">
        <f>IFERROR(__xludf.DUMMYFUNCTION("""COMPUTED_VALUE"""),"CORREA HUMBERTO SEGUNDO  (PROGRAMA MEDICINA DEL INTERIOR GOB)")</f>
        <v>CORREA HUMBERTO SEGUNDO  (PROGRAMA MEDICINA DEL INTERIOR GOB)</v>
      </c>
      <c r="D5568" s="1" t="str">
        <f>IFERROR(__xludf.DUMMYFUNCTION("""COMPUTED_VALUE"""),"Lentes de STOCK")</f>
        <v>Lentes de STOCK</v>
      </c>
      <c r="E5568" s="1" t="str">
        <f>IFERROR(__xludf.DUMMYFUNCTION("""COMPUTED_VALUE"""),"Online ADMIN.")</f>
        <v>Online ADMIN.</v>
      </c>
      <c r="F5568" s="1" t="str">
        <f t="shared" si="1"/>
        <v>Online </v>
      </c>
      <c r="G5568" s="1" t="str">
        <f t="shared" si="2"/>
        <v>ADMIN.</v>
      </c>
      <c r="H5568" s="1" t="str">
        <f>IFERROR(__xludf.DUMMYFUNCTION("""COMPUTED_VALUE"""),"19/4/2023, 17:00:00")</f>
        <v>19/4/2023, 17:00:00</v>
      </c>
      <c r="I5568" s="1" t="str">
        <f>IFERROR(__xludf.DUMMYFUNCTION("""COMPUTED_VALUE"""),"Recibido en Laboratorio")</f>
        <v>Recibido en Laboratorio</v>
      </c>
      <c r="J5568" s="1">
        <f t="shared" si="3"/>
        <v>2</v>
      </c>
      <c r="K5568" s="1" t="str">
        <f t="shared" si="4"/>
        <v>Nuestro Laboratorio esta trabajando en tus lentes, los entregaremos en la fecha acordada.</v>
      </c>
    </row>
    <row r="5569">
      <c r="A5569" s="1">
        <f>IFERROR(__xludf.DUMMYFUNCTION("""COMPUTED_VALUE"""),90134.0)</f>
        <v>90134</v>
      </c>
      <c r="B5569" s="5">
        <f>IFERROR(__xludf.DUMMYFUNCTION("""COMPUTED_VALUE"""),45033.547789097225)</f>
        <v>45033.54779</v>
      </c>
      <c r="C5569" s="1" t="str">
        <f>IFERROR(__xludf.DUMMYFUNCTION("""COMPUTED_VALUE"""),"CIELSAK MARIELA MERCEDES  (PROGRAMA MEDICINA DEL INTERIOR GOB)")</f>
        <v>CIELSAK MARIELA MERCEDES  (PROGRAMA MEDICINA DEL INTERIOR GOB)</v>
      </c>
      <c r="D5569" s="1" t="str">
        <f>IFERROR(__xludf.DUMMYFUNCTION("""COMPUTED_VALUE"""),"Lentes de STOCK")</f>
        <v>Lentes de STOCK</v>
      </c>
      <c r="E5569" s="1" t="str">
        <f>IFERROR(__xludf.DUMMYFUNCTION("""COMPUTED_VALUE"""),"Online ADMIN.")</f>
        <v>Online ADMIN.</v>
      </c>
      <c r="F5569" s="1" t="str">
        <f t="shared" si="1"/>
        <v>Online </v>
      </c>
      <c r="G5569" s="1" t="str">
        <f t="shared" si="2"/>
        <v>ADMIN.</v>
      </c>
      <c r="H5569" s="1" t="str">
        <f>IFERROR(__xludf.DUMMYFUNCTION("""COMPUTED_VALUE"""),"21/4/2023, 17:00:00")</f>
        <v>21/4/2023, 17:00:00</v>
      </c>
      <c r="I5569" s="1" t="str">
        <f>IFERROR(__xludf.DUMMYFUNCTION("""COMPUTED_VALUE"""),"Completado en SUCURSAL")</f>
        <v>Completado en SUCURSAL</v>
      </c>
      <c r="J5569" s="1">
        <f t="shared" si="3"/>
        <v>5</v>
      </c>
      <c r="K5569" s="1" t="str">
        <f t="shared" si="4"/>
        <v>Tus Lentes estan LISTAS PARA ENTREGAR, te esperamos.</v>
      </c>
    </row>
    <row r="5570">
      <c r="A5570" s="1">
        <f>IFERROR(__xludf.DUMMYFUNCTION("""COMPUTED_VALUE"""),90135.0)</f>
        <v>90135</v>
      </c>
      <c r="B5570" s="5">
        <f>IFERROR(__xludf.DUMMYFUNCTION("""COMPUTED_VALUE"""),45033.548186064814)</f>
        <v>45033.54819</v>
      </c>
      <c r="C5570" s="1" t="str">
        <f>IFERROR(__xludf.DUMMYFUNCTION("""COMPUTED_VALUE"""),"BARBOZA MELINA")</f>
        <v>BARBOZA MELINA</v>
      </c>
      <c r="D5570" s="1" t="str">
        <f>IFERROR(__xludf.DUMMYFUNCTION("""COMPUTED_VALUE"""),"Lentes de STOCK")</f>
        <v>Lentes de STOCK</v>
      </c>
      <c r="E5570" s="1" t="str">
        <f>IFERROR(__xludf.DUMMYFUNCTION("""COMPUTED_VALUE"""),"RIVADAVIA Santiago N")</f>
        <v>RIVADAVIA Santiago N</v>
      </c>
      <c r="F5570" s="1" t="str">
        <f t="shared" si="1"/>
        <v>RIVADAVIA </v>
      </c>
      <c r="G5570" s="1" t="str">
        <f t="shared" si="2"/>
        <v>Santiago N</v>
      </c>
      <c r="H5570" s="1" t="str">
        <f>IFERROR(__xludf.DUMMYFUNCTION("""COMPUTED_VALUE"""),"21/4/2023, 17:00:00")</f>
        <v>21/4/2023, 17:00:00</v>
      </c>
      <c r="I5570" s="1" t="str">
        <f>IFERROR(__xludf.DUMMYFUNCTION("""COMPUTED_VALUE"""),"Recibido en Laboratorio")</f>
        <v>Recibido en Laboratorio</v>
      </c>
      <c r="J5570" s="1">
        <f t="shared" si="3"/>
        <v>2</v>
      </c>
      <c r="K5570" s="1" t="str">
        <f t="shared" si="4"/>
        <v>Nuestro Laboratorio esta trabajando en tus lentes, los entregaremos en la fecha acordada.</v>
      </c>
    </row>
    <row r="5571">
      <c r="A5571" s="1">
        <f>IFERROR(__xludf.DUMMYFUNCTION("""COMPUTED_VALUE"""),90136.0)</f>
        <v>90136</v>
      </c>
      <c r="B5571" s="5">
        <f>IFERROR(__xludf.DUMMYFUNCTION("""COMPUTED_VALUE"""),45033.54899435185)</f>
        <v>45033.54899</v>
      </c>
      <c r="C5571" s="1" t="str">
        <f>IFERROR(__xludf.DUMMYFUNCTION("""COMPUTED_VALUE"""),"CHANAMPA HUGO NICOLAS  (PROGRAMA MEDICINA DEL INTERIOR GOB)")</f>
        <v>CHANAMPA HUGO NICOLAS  (PROGRAMA MEDICINA DEL INTERIOR GOB)</v>
      </c>
      <c r="D5571" s="1" t="str">
        <f>IFERROR(__xludf.DUMMYFUNCTION("""COMPUTED_VALUE"""),"Lentes de STOCK")</f>
        <v>Lentes de STOCK</v>
      </c>
      <c r="E5571" s="1" t="str">
        <f>IFERROR(__xludf.DUMMYFUNCTION("""COMPUTED_VALUE"""),"Online ADMIN.")</f>
        <v>Online ADMIN.</v>
      </c>
      <c r="F5571" s="1" t="str">
        <f t="shared" si="1"/>
        <v>Online </v>
      </c>
      <c r="G5571" s="1" t="str">
        <f t="shared" si="2"/>
        <v>ADMIN.</v>
      </c>
      <c r="H5571" s="1" t="str">
        <f>IFERROR(__xludf.DUMMYFUNCTION("""COMPUTED_VALUE"""),"19/4/2023, 17:00:00")</f>
        <v>19/4/2023, 17:00:00</v>
      </c>
      <c r="I5571" s="1" t="str">
        <f>IFERROR(__xludf.DUMMYFUNCTION("""COMPUTED_VALUE"""),"Recibido en Laboratorio")</f>
        <v>Recibido en Laboratorio</v>
      </c>
      <c r="J5571" s="1">
        <f t="shared" si="3"/>
        <v>2</v>
      </c>
      <c r="K5571" s="1" t="str">
        <f t="shared" si="4"/>
        <v>Nuestro Laboratorio esta trabajando en tus lentes, los entregaremos en la fecha acordada.</v>
      </c>
    </row>
    <row r="5572">
      <c r="A5572" s="1">
        <f>IFERROR(__xludf.DUMMYFUNCTION("""COMPUTED_VALUE"""),90137.0)</f>
        <v>90137</v>
      </c>
      <c r="B5572" s="5">
        <f>IFERROR(__xludf.DUMMYFUNCTION("""COMPUTED_VALUE"""),45033.54952518518)</f>
        <v>45033.54953</v>
      </c>
      <c r="C5572" s="1" t="str">
        <f>IFERROR(__xludf.DUMMYFUNCTION("""COMPUTED_VALUE"""),"castaño barrera marcos  (PROGRAMA MEDICINA DEL INTERIOR GOB)")</f>
        <v>castaño barrera marcos  (PROGRAMA MEDICINA DEL INTERIOR GOB)</v>
      </c>
      <c r="D5572" s="1" t="str">
        <f>IFERROR(__xludf.DUMMYFUNCTION("""COMPUTED_VALUE"""),"Lentes de STOCK")</f>
        <v>Lentes de STOCK</v>
      </c>
      <c r="E5572" s="1" t="str">
        <f>IFERROR(__xludf.DUMMYFUNCTION("""COMPUTED_VALUE"""),"Online ADMIN.")</f>
        <v>Online ADMIN.</v>
      </c>
      <c r="F5572" s="1" t="str">
        <f t="shared" si="1"/>
        <v>Online </v>
      </c>
      <c r="G5572" s="1" t="str">
        <f t="shared" si="2"/>
        <v>ADMIN.</v>
      </c>
      <c r="H5572" s="1" t="str">
        <f>IFERROR(__xludf.DUMMYFUNCTION("""COMPUTED_VALUE"""),"19/4/2023, 17:00:00")</f>
        <v>19/4/2023, 17:00:00</v>
      </c>
      <c r="I5572" s="1" t="str">
        <f>IFERROR(__xludf.DUMMYFUNCTION("""COMPUTED_VALUE"""),"Completado en SUCURSAL")</f>
        <v>Completado en SUCURSAL</v>
      </c>
      <c r="J5572" s="1">
        <f t="shared" si="3"/>
        <v>5</v>
      </c>
      <c r="K5572" s="1" t="str">
        <f t="shared" si="4"/>
        <v>Tus Lentes estan LISTAS PARA ENTREGAR, te esperamos.</v>
      </c>
    </row>
    <row r="5573">
      <c r="A5573" s="1">
        <f>IFERROR(__xludf.DUMMYFUNCTION("""COMPUTED_VALUE"""),90138.0)</f>
        <v>90138</v>
      </c>
      <c r="B5573" s="5">
        <f>IFERROR(__xludf.DUMMYFUNCTION("""COMPUTED_VALUE"""),45033.55016362268)</f>
        <v>45033.55016</v>
      </c>
      <c r="C5573" s="1" t="str">
        <f>IFERROR(__xludf.DUMMYFUNCTION("""COMPUTED_VALUE"""),"BRITOS CIESLAK MARIA NOELIA  (PROGRAMA MEDICINA DEL INTERIOR GOB)")</f>
        <v>BRITOS CIESLAK MARIA NOELIA  (PROGRAMA MEDICINA DEL INTERIOR GOB)</v>
      </c>
      <c r="D5573" s="1" t="str">
        <f>IFERROR(__xludf.DUMMYFUNCTION("""COMPUTED_VALUE"""),"Lentes de STOCK")</f>
        <v>Lentes de STOCK</v>
      </c>
      <c r="E5573" s="1" t="str">
        <f>IFERROR(__xludf.DUMMYFUNCTION("""COMPUTED_VALUE"""),"Online ADMIN.")</f>
        <v>Online ADMIN.</v>
      </c>
      <c r="F5573" s="1" t="str">
        <f t="shared" si="1"/>
        <v>Online </v>
      </c>
      <c r="G5573" s="1" t="str">
        <f t="shared" si="2"/>
        <v>ADMIN.</v>
      </c>
      <c r="H5573" s="1" t="str">
        <f>IFERROR(__xludf.DUMMYFUNCTION("""COMPUTED_VALUE"""),"19/4/2023, 17:00:00")</f>
        <v>19/4/2023, 17:00:00</v>
      </c>
      <c r="I5573" s="1" t="str">
        <f>IFERROR(__xludf.DUMMYFUNCTION("""COMPUTED_VALUE"""),"Recibido en Laboratorio")</f>
        <v>Recibido en Laboratorio</v>
      </c>
      <c r="J5573" s="1">
        <f t="shared" si="3"/>
        <v>2</v>
      </c>
      <c r="K5573" s="1" t="str">
        <f t="shared" si="4"/>
        <v>Nuestro Laboratorio esta trabajando en tus lentes, los entregaremos en la fecha acordada.</v>
      </c>
    </row>
    <row r="5574">
      <c r="A5574" s="1">
        <f>IFERROR(__xludf.DUMMYFUNCTION("""COMPUTED_VALUE"""),90139.0)</f>
        <v>90139</v>
      </c>
      <c r="B5574" s="5">
        <f>IFERROR(__xludf.DUMMYFUNCTION("""COMPUTED_VALUE"""),45033.55088142361)</f>
        <v>45033.55088</v>
      </c>
      <c r="C5574" s="1" t="str">
        <f>IFERROR(__xludf.DUMMYFUNCTION("""COMPUTED_VALUE"""),"CALDERON MARGARITA SUSANA  (PROGRAMA MEDICINA DEL INTERIOR GOB) ")</f>
        <v>CALDERON MARGARITA SUSANA  (PROGRAMA MEDICINA DEL INTERIOR GOB) </v>
      </c>
      <c r="D5574" s="1" t="str">
        <f>IFERROR(__xludf.DUMMYFUNCTION("""COMPUTED_VALUE"""),"Lentes de STOCK")</f>
        <v>Lentes de STOCK</v>
      </c>
      <c r="E5574" s="1" t="str">
        <f>IFERROR(__xludf.DUMMYFUNCTION("""COMPUTED_VALUE"""),"Online ADMIN.")</f>
        <v>Online ADMIN.</v>
      </c>
      <c r="F5574" s="1" t="str">
        <f t="shared" si="1"/>
        <v>Online </v>
      </c>
      <c r="G5574" s="1" t="str">
        <f t="shared" si="2"/>
        <v>ADMIN.</v>
      </c>
      <c r="H5574" s="1" t="str">
        <f>IFERROR(__xludf.DUMMYFUNCTION("""COMPUTED_VALUE"""),"19/4/2023, 17:00:00")</f>
        <v>19/4/2023, 17:00:00</v>
      </c>
      <c r="I5574" s="1" t="str">
        <f>IFERROR(__xludf.DUMMYFUNCTION("""COMPUTED_VALUE"""),"Recibido en Laboratorio")</f>
        <v>Recibido en Laboratorio</v>
      </c>
      <c r="J5574" s="1">
        <f t="shared" si="3"/>
        <v>2</v>
      </c>
      <c r="K5574" s="1" t="str">
        <f t="shared" si="4"/>
        <v>Nuestro Laboratorio esta trabajando en tus lentes, los entregaremos en la fecha acordada.</v>
      </c>
    </row>
    <row r="5575">
      <c r="A5575" s="1">
        <f>IFERROR(__xludf.DUMMYFUNCTION("""COMPUTED_VALUE"""),90140.0)</f>
        <v>90140</v>
      </c>
      <c r="B5575" s="5">
        <f>IFERROR(__xludf.DUMMYFUNCTION("""COMPUTED_VALUE"""),45033.55135440972)</f>
        <v>45033.55135</v>
      </c>
      <c r="C5575" s="1" t="str">
        <f>IFERROR(__xludf.DUMMYFUNCTION("""COMPUTED_VALUE"""),"BARROSO JUAN CARLOS  (PROGRAMA MEDICINA DEL INTERIOR GOB)")</f>
        <v>BARROSO JUAN CARLOS  (PROGRAMA MEDICINA DEL INTERIOR GOB)</v>
      </c>
      <c r="D5575" s="1" t="str">
        <f>IFERROR(__xludf.DUMMYFUNCTION("""COMPUTED_VALUE"""),"Lentes de STOCK")</f>
        <v>Lentes de STOCK</v>
      </c>
      <c r="E5575" s="1" t="str">
        <f>IFERROR(__xludf.DUMMYFUNCTION("""COMPUTED_VALUE"""),"Online ADMIN.")</f>
        <v>Online ADMIN.</v>
      </c>
      <c r="F5575" s="1" t="str">
        <f t="shared" si="1"/>
        <v>Online </v>
      </c>
      <c r="G5575" s="1" t="str">
        <f t="shared" si="2"/>
        <v>ADMIN.</v>
      </c>
      <c r="H5575" s="1" t="str">
        <f>IFERROR(__xludf.DUMMYFUNCTION("""COMPUTED_VALUE"""),"19/4/2023, 17:00:00")</f>
        <v>19/4/2023, 17:00:00</v>
      </c>
      <c r="I5575" s="1" t="str">
        <f>IFERROR(__xludf.DUMMYFUNCTION("""COMPUTED_VALUE"""),"Completado en SUCURSAL")</f>
        <v>Completado en SUCURSAL</v>
      </c>
      <c r="J5575" s="1">
        <f t="shared" si="3"/>
        <v>5</v>
      </c>
      <c r="K5575" s="1" t="str">
        <f t="shared" si="4"/>
        <v>Tus Lentes estan LISTAS PARA ENTREGAR, te esperamos.</v>
      </c>
    </row>
    <row r="5576">
      <c r="A5576" s="1">
        <f>IFERROR(__xludf.DUMMYFUNCTION("""COMPUTED_VALUE"""),90141.0)</f>
        <v>90141</v>
      </c>
      <c r="B5576" s="5">
        <f>IFERROR(__xludf.DUMMYFUNCTION("""COMPUTED_VALUE"""),45033.55439421296)</f>
        <v>45033.55439</v>
      </c>
      <c r="C5576" s="1" t="str">
        <f>IFERROR(__xludf.DUMMYFUNCTION("""COMPUTED_VALUE"""),"AGOSTI SUSANA BEATRIZ  (PROGRAMA MEDICINA DEL INTERIOR GOB)")</f>
        <v>AGOSTI SUSANA BEATRIZ  (PROGRAMA MEDICINA DEL INTERIOR GOB)</v>
      </c>
      <c r="D5576" s="1" t="str">
        <f>IFERROR(__xludf.DUMMYFUNCTION("""COMPUTED_VALUE"""),"Lentes de STOCK")</f>
        <v>Lentes de STOCK</v>
      </c>
      <c r="E5576" s="1" t="str">
        <f>IFERROR(__xludf.DUMMYFUNCTION("""COMPUTED_VALUE"""),"Online ADMIN.")</f>
        <v>Online ADMIN.</v>
      </c>
      <c r="F5576" s="1" t="str">
        <f t="shared" si="1"/>
        <v>Online </v>
      </c>
      <c r="G5576" s="1" t="str">
        <f t="shared" si="2"/>
        <v>ADMIN.</v>
      </c>
      <c r="H5576" s="1" t="str">
        <f>IFERROR(__xludf.DUMMYFUNCTION("""COMPUTED_VALUE"""),"19/4/2023, 17:00:00")</f>
        <v>19/4/2023, 17:00:00</v>
      </c>
      <c r="I5576" s="1" t="str">
        <f>IFERROR(__xludf.DUMMYFUNCTION("""COMPUTED_VALUE"""),"Recibido en Laboratorio")</f>
        <v>Recibido en Laboratorio</v>
      </c>
      <c r="J5576" s="1">
        <f t="shared" si="3"/>
        <v>2</v>
      </c>
      <c r="K5576" s="1" t="str">
        <f t="shared" si="4"/>
        <v>Nuestro Laboratorio esta trabajando en tus lentes, los entregaremos en la fecha acordada.</v>
      </c>
    </row>
    <row r="5577">
      <c r="A5577" s="1">
        <f>IFERROR(__xludf.DUMMYFUNCTION("""COMPUTED_VALUE"""),90142.0)</f>
        <v>90142</v>
      </c>
      <c r="B5577" s="5">
        <f>IFERROR(__xludf.DUMMYFUNCTION("""COMPUTED_VALUE"""),45033.55499787037)</f>
        <v>45033.555</v>
      </c>
      <c r="C5577" s="1" t="str">
        <f>IFERROR(__xludf.DUMMYFUNCTION("""COMPUTED_VALUE"""),"VEGA TAPIA SOFIA VALENTINA  (PROGRAMA MEDICINA DEL INTERIOR GOB)")</f>
        <v>VEGA TAPIA SOFIA VALENTINA  (PROGRAMA MEDICINA DEL INTERIOR GOB)</v>
      </c>
      <c r="D5577" s="1" t="str">
        <f>IFERROR(__xludf.DUMMYFUNCTION("""COMPUTED_VALUE"""),"Lentes de LABORATORIO")</f>
        <v>Lentes de LABORATORIO</v>
      </c>
      <c r="E5577" s="1" t="str">
        <f>IFERROR(__xludf.DUMMYFUNCTION("""COMPUTED_VALUE"""),"Online ADMIN.")</f>
        <v>Online ADMIN.</v>
      </c>
      <c r="F5577" s="1" t="str">
        <f t="shared" si="1"/>
        <v>Online </v>
      </c>
      <c r="G5577" s="1" t="str">
        <f t="shared" si="2"/>
        <v>ADMIN.</v>
      </c>
      <c r="H5577" s="1" t="str">
        <f>IFERROR(__xludf.DUMMYFUNCTION("""COMPUTED_VALUE"""),"24/4/2023, 17:00:00")</f>
        <v>24/4/2023, 17:00:00</v>
      </c>
      <c r="I5577" s="1" t="str">
        <f>IFERROR(__xludf.DUMMYFUNCTION("""COMPUTED_VALUE"""),"Completado en SUCURSAL")</f>
        <v>Completado en SUCURSAL</v>
      </c>
      <c r="J5577" s="1">
        <f t="shared" si="3"/>
        <v>5</v>
      </c>
      <c r="K5577" s="1" t="str">
        <f t="shared" si="4"/>
        <v>Tus Lentes estan LISTAS PARA ENTREGAR, te esperamos.</v>
      </c>
    </row>
    <row r="5578">
      <c r="A5578" s="1">
        <f>IFERROR(__xludf.DUMMYFUNCTION("""COMPUTED_VALUE"""),90143.0)</f>
        <v>90143</v>
      </c>
      <c r="B5578" s="5">
        <f>IFERROR(__xludf.DUMMYFUNCTION("""COMPUTED_VALUE"""),45033.55866056713)</f>
        <v>45033.55866</v>
      </c>
      <c r="C5578" s="1" t="str">
        <f>IFERROR(__xludf.DUMMYFUNCTION("""COMPUTED_VALUE"""),"ISRAY JUAN ANIBAL DANIEL  (PROGRAMA MEDICINA DEL INTERIOR GOB)")</f>
        <v>ISRAY JUAN ANIBAL DANIEL  (PROGRAMA MEDICINA DEL INTERIOR GOB)</v>
      </c>
      <c r="D5578" s="1" t="str">
        <f>IFERROR(__xludf.DUMMYFUNCTION("""COMPUTED_VALUE"""),"Lentes de STOCK")</f>
        <v>Lentes de STOCK</v>
      </c>
      <c r="E5578" s="1" t="str">
        <f>IFERROR(__xludf.DUMMYFUNCTION("""COMPUTED_VALUE"""),"Online ADMIN.")</f>
        <v>Online ADMIN.</v>
      </c>
      <c r="F5578" s="1" t="str">
        <f t="shared" si="1"/>
        <v>Online </v>
      </c>
      <c r="G5578" s="1" t="str">
        <f t="shared" si="2"/>
        <v>ADMIN.</v>
      </c>
      <c r="H5578" s="1" t="str">
        <f>IFERROR(__xludf.DUMMYFUNCTION("""COMPUTED_VALUE"""),"19/4/2023, 17:00:00")</f>
        <v>19/4/2023, 17:00:00</v>
      </c>
      <c r="I5578" s="1" t="str">
        <f>IFERROR(__xludf.DUMMYFUNCTION("""COMPUTED_VALUE"""),"Recibido en Laboratorio")</f>
        <v>Recibido en Laboratorio</v>
      </c>
      <c r="J5578" s="1">
        <f t="shared" si="3"/>
        <v>2</v>
      </c>
      <c r="K5578" s="1" t="str">
        <f t="shared" si="4"/>
        <v>Nuestro Laboratorio esta trabajando en tus lentes, los entregaremos en la fecha acordada.</v>
      </c>
    </row>
    <row r="5579">
      <c r="A5579" s="1">
        <f>IFERROR(__xludf.DUMMYFUNCTION("""COMPUTED_VALUE"""),90144.0)</f>
        <v>90144</v>
      </c>
      <c r="B5579" s="5">
        <f>IFERROR(__xludf.DUMMYFUNCTION("""COMPUTED_VALUE"""),45033.5594483912)</f>
        <v>45033.55945</v>
      </c>
      <c r="C5579" s="1" t="str">
        <f>IFERROR(__xludf.DUMMYFUNCTION("""COMPUTED_VALUE"""),"SCOPONI EUGENIA SOLANGE DEL VALLE  (PROGRAMA MEDICINA DEL INTERIOR GOB)")</f>
        <v>SCOPONI EUGENIA SOLANGE DEL VALLE  (PROGRAMA MEDICINA DEL INTERIOR GOB)</v>
      </c>
      <c r="D5579" s="1" t="str">
        <f>IFERROR(__xludf.DUMMYFUNCTION("""COMPUTED_VALUE"""),"Lentes de LABORATORIO")</f>
        <v>Lentes de LABORATORIO</v>
      </c>
      <c r="E5579" s="1" t="str">
        <f>IFERROR(__xludf.DUMMYFUNCTION("""COMPUTED_VALUE"""),"Online ADMIN.")</f>
        <v>Online ADMIN.</v>
      </c>
      <c r="F5579" s="1" t="str">
        <f t="shared" si="1"/>
        <v>Online </v>
      </c>
      <c r="G5579" s="1" t="str">
        <f t="shared" si="2"/>
        <v>ADMIN.</v>
      </c>
      <c r="H5579" s="1" t="str">
        <f>IFERROR(__xludf.DUMMYFUNCTION("""COMPUTED_VALUE"""),"24/4/2023, 17:00:00")</f>
        <v>24/4/2023, 17:00:00</v>
      </c>
      <c r="I5579" s="1" t="str">
        <f>IFERROR(__xludf.DUMMYFUNCTION("""COMPUTED_VALUE"""),"Completado en SUCURSAL")</f>
        <v>Completado en SUCURSAL</v>
      </c>
      <c r="J5579" s="1">
        <f t="shared" si="3"/>
        <v>5</v>
      </c>
      <c r="K5579" s="1" t="str">
        <f t="shared" si="4"/>
        <v>Tus Lentes estan LISTAS PARA ENTREGAR, te esperamos.</v>
      </c>
    </row>
    <row r="5580">
      <c r="A5580" s="1">
        <f>IFERROR(__xludf.DUMMYFUNCTION("""COMPUTED_VALUE"""),90145.0)</f>
        <v>90145</v>
      </c>
      <c r="B5580" s="5">
        <f>IFERROR(__xludf.DUMMYFUNCTION("""COMPUTED_VALUE"""),45033.560394988424)</f>
        <v>45033.56039</v>
      </c>
      <c r="C5580" s="1" t="str">
        <f>IFERROR(__xludf.DUMMYFUNCTION("""COMPUTED_VALUE"""),"HUMEREZ PEÑAFIEL REYNALDO  (PROGRAMA MEDICINA DEL INTERIOR GOB)")</f>
        <v>HUMEREZ PEÑAFIEL REYNALDO  (PROGRAMA MEDICINA DEL INTERIOR GOB)</v>
      </c>
      <c r="D5580" s="1" t="str">
        <f>IFERROR(__xludf.DUMMYFUNCTION("""COMPUTED_VALUE"""),"Lentes de LABORATORIO")</f>
        <v>Lentes de LABORATORIO</v>
      </c>
      <c r="E5580" s="1" t="str">
        <f>IFERROR(__xludf.DUMMYFUNCTION("""COMPUTED_VALUE"""),"Online ADMIN.")</f>
        <v>Online ADMIN.</v>
      </c>
      <c r="F5580" s="1" t="str">
        <f t="shared" si="1"/>
        <v>Online </v>
      </c>
      <c r="G5580" s="1" t="str">
        <f t="shared" si="2"/>
        <v>ADMIN.</v>
      </c>
      <c r="H5580" s="1" t="str">
        <f>IFERROR(__xludf.DUMMYFUNCTION("""COMPUTED_VALUE"""),"24/4/2023, 17:00:00")</f>
        <v>24/4/2023, 17:00:00</v>
      </c>
      <c r="I5580" s="1" t="str">
        <f>IFERROR(__xludf.DUMMYFUNCTION("""COMPUTED_VALUE"""),"Recibido en Laboratorio")</f>
        <v>Recibido en Laboratorio</v>
      </c>
      <c r="J5580" s="1">
        <f t="shared" si="3"/>
        <v>2</v>
      </c>
      <c r="K5580" s="1" t="str">
        <f t="shared" si="4"/>
        <v>Nuestro Laboratorio esta trabajando en tus lentes, los entregaremos en la fecha acordada.</v>
      </c>
    </row>
    <row r="5581">
      <c r="A5581" s="1">
        <f>IFERROR(__xludf.DUMMYFUNCTION("""COMPUTED_VALUE"""),90146.0)</f>
        <v>90146</v>
      </c>
      <c r="B5581" s="5">
        <f>IFERROR(__xludf.DUMMYFUNCTION("""COMPUTED_VALUE"""),45033.56103340277)</f>
        <v>45033.56103</v>
      </c>
      <c r="C5581" s="1" t="str">
        <f>IFERROR(__xludf.DUMMYFUNCTION("""COMPUTED_VALUE"""),"GONZALEZ RITA ELIZABETH  (PROGRAMA MEDICINA DEL INTERIOR GOB)")</f>
        <v>GONZALEZ RITA ELIZABETH  (PROGRAMA MEDICINA DEL INTERIOR GOB)</v>
      </c>
      <c r="D5581" s="1" t="str">
        <f>IFERROR(__xludf.DUMMYFUNCTION("""COMPUTED_VALUE"""),"Lentes de STOCK")</f>
        <v>Lentes de STOCK</v>
      </c>
      <c r="E5581" s="1" t="str">
        <f>IFERROR(__xludf.DUMMYFUNCTION("""COMPUTED_VALUE"""),"Online ADMIN.")</f>
        <v>Online ADMIN.</v>
      </c>
      <c r="F5581" s="1" t="str">
        <f t="shared" si="1"/>
        <v>Online </v>
      </c>
      <c r="G5581" s="1" t="str">
        <f t="shared" si="2"/>
        <v>ADMIN.</v>
      </c>
      <c r="H5581" s="1" t="str">
        <f>IFERROR(__xludf.DUMMYFUNCTION("""COMPUTED_VALUE"""),"19/4/2023, 17:00:00")</f>
        <v>19/4/2023, 17:00:00</v>
      </c>
      <c r="I5581" s="1" t="str">
        <f>IFERROR(__xludf.DUMMYFUNCTION("""COMPUTED_VALUE"""),"Recibido en Laboratorio")</f>
        <v>Recibido en Laboratorio</v>
      </c>
      <c r="J5581" s="1">
        <f t="shared" si="3"/>
        <v>2</v>
      </c>
      <c r="K5581" s="1" t="str">
        <f t="shared" si="4"/>
        <v>Nuestro Laboratorio esta trabajando en tus lentes, los entregaremos en la fecha acordada.</v>
      </c>
    </row>
    <row r="5582">
      <c r="A5582" s="1">
        <f>IFERROR(__xludf.DUMMYFUNCTION("""COMPUTED_VALUE"""),90147.0)</f>
        <v>90147</v>
      </c>
      <c r="B5582" s="5">
        <f>IFERROR(__xludf.DUMMYFUNCTION("""COMPUTED_VALUE"""),45033.56274756945)</f>
        <v>45033.56275</v>
      </c>
      <c r="C5582" s="1" t="str">
        <f>IFERROR(__xludf.DUMMYFUNCTION("""COMPUTED_VALUE"""),"GIL ABEL IGNACIO  (PROGRAMA MEDICINA DEL INTERIOR GOB)")</f>
        <v>GIL ABEL IGNACIO  (PROGRAMA MEDICINA DEL INTERIOR GOB)</v>
      </c>
      <c r="D5582" s="1" t="str">
        <f>IFERROR(__xludf.DUMMYFUNCTION("""COMPUTED_VALUE"""),"Lentes de LABORATORIO")</f>
        <v>Lentes de LABORATORIO</v>
      </c>
      <c r="E5582" s="1" t="str">
        <f>IFERROR(__xludf.DUMMYFUNCTION("""COMPUTED_VALUE"""),"Online ADMIN.")</f>
        <v>Online ADMIN.</v>
      </c>
      <c r="F5582" s="1" t="str">
        <f t="shared" si="1"/>
        <v>Online </v>
      </c>
      <c r="G5582" s="1" t="str">
        <f t="shared" si="2"/>
        <v>ADMIN.</v>
      </c>
      <c r="H5582" s="1" t="str">
        <f>IFERROR(__xludf.DUMMYFUNCTION("""COMPUTED_VALUE"""),"24/4/2023, 17:00:00")</f>
        <v>24/4/2023, 17:00:00</v>
      </c>
      <c r="I5582" s="1" t="str">
        <f>IFERROR(__xludf.DUMMYFUNCTION("""COMPUTED_VALUE"""),"Recibido en Laboratorio")</f>
        <v>Recibido en Laboratorio</v>
      </c>
      <c r="J5582" s="1">
        <f t="shared" si="3"/>
        <v>2</v>
      </c>
      <c r="K5582" s="1" t="str">
        <f t="shared" si="4"/>
        <v>Nuestro Laboratorio esta trabajando en tus lentes, los entregaremos en la fecha acordada.</v>
      </c>
    </row>
    <row r="5583">
      <c r="A5583" s="1">
        <f>IFERROR(__xludf.DUMMYFUNCTION("""COMPUTED_VALUE"""),90148.0)</f>
        <v>90148</v>
      </c>
      <c r="B5583" s="5">
        <f>IFERROR(__xludf.DUMMYFUNCTION("""COMPUTED_VALUE"""),45033.56402806713)</f>
        <v>45033.56403</v>
      </c>
      <c r="C5583" s="1" t="str">
        <f>IFERROR(__xludf.DUMMYFUNCTION("""COMPUTED_VALUE"""),"GARCIA ALEJANDO FABIAN  (PROGRAMA MEDICINA DEL INTERIOR GOB)")</f>
        <v>GARCIA ALEJANDO FABIAN  (PROGRAMA MEDICINA DEL INTERIOR GOB)</v>
      </c>
      <c r="D5583" s="1" t="str">
        <f>IFERROR(__xludf.DUMMYFUNCTION("""COMPUTED_VALUE"""),"Lentes de STOCK")</f>
        <v>Lentes de STOCK</v>
      </c>
      <c r="E5583" s="1" t="str">
        <f>IFERROR(__xludf.DUMMYFUNCTION("""COMPUTED_VALUE"""),"Online ADMIN.")</f>
        <v>Online ADMIN.</v>
      </c>
      <c r="F5583" s="1" t="str">
        <f t="shared" si="1"/>
        <v>Online </v>
      </c>
      <c r="G5583" s="1" t="str">
        <f t="shared" si="2"/>
        <v>ADMIN.</v>
      </c>
      <c r="H5583" s="1" t="str">
        <f>IFERROR(__xludf.DUMMYFUNCTION("""COMPUTED_VALUE"""),"19/4/2023, 17:00:00")</f>
        <v>19/4/2023, 17:00:00</v>
      </c>
      <c r="I5583" s="1" t="str">
        <f>IFERROR(__xludf.DUMMYFUNCTION("""COMPUTED_VALUE"""),"Recibido en Laboratorio")</f>
        <v>Recibido en Laboratorio</v>
      </c>
      <c r="J5583" s="1">
        <f t="shared" si="3"/>
        <v>2</v>
      </c>
      <c r="K5583" s="1" t="str">
        <f t="shared" si="4"/>
        <v>Nuestro Laboratorio esta trabajando en tus lentes, los entregaremos en la fecha acordada.</v>
      </c>
    </row>
    <row r="5584">
      <c r="A5584" s="1">
        <f>IFERROR(__xludf.DUMMYFUNCTION("""COMPUTED_VALUE"""),90149.0)</f>
        <v>90149</v>
      </c>
      <c r="B5584" s="5">
        <f>IFERROR(__xludf.DUMMYFUNCTION("""COMPUTED_VALUE"""),45033.56437927083)</f>
        <v>45033.56438</v>
      </c>
      <c r="C5584" s="1" t="str">
        <f>IFERROR(__xludf.DUMMYFUNCTION("""COMPUTED_VALUE"""),"DOMINGUEZ HILDA  (PROGRAMA MEDICINA DEL INTERIOR GOB)")</f>
        <v>DOMINGUEZ HILDA  (PROGRAMA MEDICINA DEL INTERIOR GOB)</v>
      </c>
      <c r="D5584" s="1" t="str">
        <f>IFERROR(__xludf.DUMMYFUNCTION("""COMPUTED_VALUE"""),"Lentes de STOCK")</f>
        <v>Lentes de STOCK</v>
      </c>
      <c r="E5584" s="1" t="str">
        <f>IFERROR(__xludf.DUMMYFUNCTION("""COMPUTED_VALUE"""),"Online ADMIN.")</f>
        <v>Online ADMIN.</v>
      </c>
      <c r="F5584" s="1" t="str">
        <f t="shared" si="1"/>
        <v>Online </v>
      </c>
      <c r="G5584" s="1" t="str">
        <f t="shared" si="2"/>
        <v>ADMIN.</v>
      </c>
      <c r="H5584" s="1" t="str">
        <f>IFERROR(__xludf.DUMMYFUNCTION("""COMPUTED_VALUE"""),"19/4/2023, 17:00:00")</f>
        <v>19/4/2023, 17:00:00</v>
      </c>
      <c r="I5584" s="1" t="str">
        <f>IFERROR(__xludf.DUMMYFUNCTION("""COMPUTED_VALUE"""),"Recibido en Laboratorio")</f>
        <v>Recibido en Laboratorio</v>
      </c>
      <c r="J5584" s="1">
        <f t="shared" si="3"/>
        <v>2</v>
      </c>
      <c r="K5584" s="1" t="str">
        <f t="shared" si="4"/>
        <v>Nuestro Laboratorio esta trabajando en tus lentes, los entregaremos en la fecha acordada.</v>
      </c>
    </row>
    <row r="5585">
      <c r="A5585" s="1">
        <f>IFERROR(__xludf.DUMMYFUNCTION("""COMPUTED_VALUE"""),90150.0)</f>
        <v>90150</v>
      </c>
      <c r="B5585" s="5">
        <f>IFERROR(__xludf.DUMMYFUNCTION("""COMPUTED_VALUE"""),45033.564880624996)</f>
        <v>45033.56488</v>
      </c>
      <c r="C5585" s="1" t="str">
        <f>IFERROR(__xludf.DUMMYFUNCTION("""COMPUTED_VALUE"""),"DIAZ ROSANA TAMARA  (PROGRAMA MEDICINA DEL INTERIOR GOB)")</f>
        <v>DIAZ ROSANA TAMARA  (PROGRAMA MEDICINA DEL INTERIOR GOB)</v>
      </c>
      <c r="D5585" s="1" t="str">
        <f>IFERROR(__xludf.DUMMYFUNCTION("""COMPUTED_VALUE"""),"Lentes de STOCK")</f>
        <v>Lentes de STOCK</v>
      </c>
      <c r="E5585" s="1" t="str">
        <f>IFERROR(__xludf.DUMMYFUNCTION("""COMPUTED_VALUE"""),"Online ADMIN.")</f>
        <v>Online ADMIN.</v>
      </c>
      <c r="F5585" s="1" t="str">
        <f t="shared" si="1"/>
        <v>Online </v>
      </c>
      <c r="G5585" s="1" t="str">
        <f t="shared" si="2"/>
        <v>ADMIN.</v>
      </c>
      <c r="H5585" s="1" t="str">
        <f>IFERROR(__xludf.DUMMYFUNCTION("""COMPUTED_VALUE"""),"19/4/2023, 17:00:00")</f>
        <v>19/4/2023, 17:00:00</v>
      </c>
      <c r="I5585" s="1" t="str">
        <f>IFERROR(__xludf.DUMMYFUNCTION("""COMPUTED_VALUE"""),"Recibido en Laboratorio")</f>
        <v>Recibido en Laboratorio</v>
      </c>
      <c r="J5585" s="1">
        <f t="shared" si="3"/>
        <v>2</v>
      </c>
      <c r="K5585" s="1" t="str">
        <f t="shared" si="4"/>
        <v>Nuestro Laboratorio esta trabajando en tus lentes, los entregaremos en la fecha acordada.</v>
      </c>
    </row>
    <row r="5586">
      <c r="A5586" s="1">
        <f>IFERROR(__xludf.DUMMYFUNCTION("""COMPUTED_VALUE"""),90151.0)</f>
        <v>90151</v>
      </c>
      <c r="B5586" s="5">
        <f>IFERROR(__xludf.DUMMYFUNCTION("""COMPUTED_VALUE"""),45033.56533883102)</f>
        <v>45033.56534</v>
      </c>
      <c r="C5586" s="1" t="str">
        <f>IFERROR(__xludf.DUMMYFUNCTION("""COMPUTED_VALUE"""),"CONDOR VILCA ROSA  (PROGRAMA MEDICINA DEL INTERIOR GOB)")</f>
        <v>CONDOR VILCA ROSA  (PROGRAMA MEDICINA DEL INTERIOR GOB)</v>
      </c>
      <c r="D5586" s="1" t="str">
        <f>IFERROR(__xludf.DUMMYFUNCTION("""COMPUTED_VALUE"""),"Lentes de STOCK")</f>
        <v>Lentes de STOCK</v>
      </c>
      <c r="E5586" s="1" t="str">
        <f>IFERROR(__xludf.DUMMYFUNCTION("""COMPUTED_VALUE"""),"Online ADMIN.")</f>
        <v>Online ADMIN.</v>
      </c>
      <c r="F5586" s="1" t="str">
        <f t="shared" si="1"/>
        <v>Online </v>
      </c>
      <c r="G5586" s="1" t="str">
        <f t="shared" si="2"/>
        <v>ADMIN.</v>
      </c>
      <c r="H5586" s="1" t="str">
        <f>IFERROR(__xludf.DUMMYFUNCTION("""COMPUTED_VALUE"""),"19/4/2023, 17:00:00")</f>
        <v>19/4/2023, 17:00:00</v>
      </c>
      <c r="I5586" s="1" t="str">
        <f>IFERROR(__xludf.DUMMYFUNCTION("""COMPUTED_VALUE"""),"Recibido en Laboratorio")</f>
        <v>Recibido en Laboratorio</v>
      </c>
      <c r="J5586" s="1">
        <f t="shared" si="3"/>
        <v>2</v>
      </c>
      <c r="K5586" s="1" t="str">
        <f t="shared" si="4"/>
        <v>Nuestro Laboratorio esta trabajando en tus lentes, los entregaremos en la fecha acordada.</v>
      </c>
    </row>
    <row r="5587">
      <c r="A5587" s="1">
        <f>IFERROR(__xludf.DUMMYFUNCTION("""COMPUTED_VALUE"""),90152.0)</f>
        <v>90152</v>
      </c>
      <c r="B5587" s="5">
        <f>IFERROR(__xludf.DUMMYFUNCTION("""COMPUTED_VALUE"""),45033.5659807176)</f>
        <v>45033.56598</v>
      </c>
      <c r="C5587" s="1" t="str">
        <f>IFERROR(__xludf.DUMMYFUNCTION("""COMPUTED_VALUE"""),"CASTRO MARIA JULIA  (PROGRAMA MEDICINA DEL INTERIOR GOB)")</f>
        <v>CASTRO MARIA JULIA  (PROGRAMA MEDICINA DEL INTERIOR GOB)</v>
      </c>
      <c r="D5587" s="1" t="str">
        <f>IFERROR(__xludf.DUMMYFUNCTION("""COMPUTED_VALUE"""),"Lentes de STOCK")</f>
        <v>Lentes de STOCK</v>
      </c>
      <c r="E5587" s="1" t="str">
        <f>IFERROR(__xludf.DUMMYFUNCTION("""COMPUTED_VALUE"""),"Online ADMIN.")</f>
        <v>Online ADMIN.</v>
      </c>
      <c r="F5587" s="1" t="str">
        <f t="shared" si="1"/>
        <v>Online </v>
      </c>
      <c r="G5587" s="1" t="str">
        <f t="shared" si="2"/>
        <v>ADMIN.</v>
      </c>
      <c r="H5587" s="1" t="str">
        <f>IFERROR(__xludf.DUMMYFUNCTION("""COMPUTED_VALUE"""),"19/4/2023, 17:00:00")</f>
        <v>19/4/2023, 17:00:00</v>
      </c>
      <c r="I5587" s="1" t="str">
        <f>IFERROR(__xludf.DUMMYFUNCTION("""COMPUTED_VALUE"""),"Completado en SUCURSAL")</f>
        <v>Completado en SUCURSAL</v>
      </c>
      <c r="J5587" s="1">
        <f t="shared" si="3"/>
        <v>5</v>
      </c>
      <c r="K5587" s="1" t="str">
        <f t="shared" si="4"/>
        <v>Tus Lentes estan LISTAS PARA ENTREGAR, te esperamos.</v>
      </c>
    </row>
    <row r="5588">
      <c r="A5588" s="1">
        <f>IFERROR(__xludf.DUMMYFUNCTION("""COMPUTED_VALUE"""),90153.0)</f>
        <v>90153</v>
      </c>
      <c r="B5588" s="5">
        <f>IFERROR(__xludf.DUMMYFUNCTION("""COMPUTED_VALUE"""),45033.56643707176)</f>
        <v>45033.56644</v>
      </c>
      <c r="C5588" s="1" t="str">
        <f>IFERROR(__xludf.DUMMYFUNCTION("""COMPUTED_VALUE"""),"BARZOLA GRACIELA NOEMI  (PROGRAMA MEDICINA DEL INTERIOR GOB)")</f>
        <v>BARZOLA GRACIELA NOEMI  (PROGRAMA MEDICINA DEL INTERIOR GOB)</v>
      </c>
      <c r="D5588" s="1" t="str">
        <f>IFERROR(__xludf.DUMMYFUNCTION("""COMPUTED_VALUE"""),"Lentes de STOCK")</f>
        <v>Lentes de STOCK</v>
      </c>
      <c r="E5588" s="1" t="str">
        <f>IFERROR(__xludf.DUMMYFUNCTION("""COMPUTED_VALUE"""),"Online ADMIN.")</f>
        <v>Online ADMIN.</v>
      </c>
      <c r="F5588" s="1" t="str">
        <f t="shared" si="1"/>
        <v>Online </v>
      </c>
      <c r="G5588" s="1" t="str">
        <f t="shared" si="2"/>
        <v>ADMIN.</v>
      </c>
      <c r="H5588" s="1" t="str">
        <f>IFERROR(__xludf.DUMMYFUNCTION("""COMPUTED_VALUE"""),"19/4/2023, 17:00:00")</f>
        <v>19/4/2023, 17:00:00</v>
      </c>
      <c r="I5588" s="1" t="str">
        <f>IFERROR(__xludf.DUMMYFUNCTION("""COMPUTED_VALUE"""),"Recibido en Laboratorio")</f>
        <v>Recibido en Laboratorio</v>
      </c>
      <c r="J5588" s="1">
        <f t="shared" si="3"/>
        <v>2</v>
      </c>
      <c r="K5588" s="1" t="str">
        <f t="shared" si="4"/>
        <v>Nuestro Laboratorio esta trabajando en tus lentes, los entregaremos en la fecha acordada.</v>
      </c>
    </row>
    <row r="5589">
      <c r="A5589" s="1">
        <f>IFERROR(__xludf.DUMMYFUNCTION("""COMPUTED_VALUE"""),90154.0)</f>
        <v>90154</v>
      </c>
      <c r="B5589" s="5">
        <f>IFERROR(__xludf.DUMMYFUNCTION("""COMPUTED_VALUE"""),45033.566851724536)</f>
        <v>45033.56685</v>
      </c>
      <c r="C5589" s="1" t="str">
        <f>IFERROR(__xludf.DUMMYFUNCTION("""COMPUTED_VALUE"""),"ALFONZO ROMAN  (PROGRAMA MEDICINA DEL INTERIOR GOB)")</f>
        <v>ALFONZO ROMAN  (PROGRAMA MEDICINA DEL INTERIOR GOB)</v>
      </c>
      <c r="D5589" s="1" t="str">
        <f>IFERROR(__xludf.DUMMYFUNCTION("""COMPUTED_VALUE"""),"Lentes de STOCK")</f>
        <v>Lentes de STOCK</v>
      </c>
      <c r="E5589" s="1" t="str">
        <f>IFERROR(__xludf.DUMMYFUNCTION("""COMPUTED_VALUE"""),"Online ADMIN.")</f>
        <v>Online ADMIN.</v>
      </c>
      <c r="F5589" s="1" t="str">
        <f t="shared" si="1"/>
        <v>Online </v>
      </c>
      <c r="G5589" s="1" t="str">
        <f t="shared" si="2"/>
        <v>ADMIN.</v>
      </c>
      <c r="H5589" s="1" t="str">
        <f>IFERROR(__xludf.DUMMYFUNCTION("""COMPUTED_VALUE"""),"19/4/2023, 17:00:00")</f>
        <v>19/4/2023, 17:00:00</v>
      </c>
      <c r="I5589" s="1" t="str">
        <f>IFERROR(__xludf.DUMMYFUNCTION("""COMPUTED_VALUE"""),"Recibido en Laboratorio")</f>
        <v>Recibido en Laboratorio</v>
      </c>
      <c r="J5589" s="1">
        <f t="shared" si="3"/>
        <v>2</v>
      </c>
      <c r="K5589" s="1" t="str">
        <f t="shared" si="4"/>
        <v>Nuestro Laboratorio esta trabajando en tus lentes, los entregaremos en la fecha acordada.</v>
      </c>
    </row>
    <row r="5590">
      <c r="A5590" s="1">
        <f>IFERROR(__xludf.DUMMYFUNCTION("""COMPUTED_VALUE"""),90155.0)</f>
        <v>90155</v>
      </c>
      <c r="B5590" s="5">
        <f>IFERROR(__xludf.DUMMYFUNCTION("""COMPUTED_VALUE"""),45033.567229016204)</f>
        <v>45033.56723</v>
      </c>
      <c r="C5590" s="1" t="str">
        <f>IFERROR(__xludf.DUMMYFUNCTION("""COMPUTED_VALUE"""),"AVILA MARIA INES  (PROGRAMA MEDICINA DEL INTERIOR GOB)")</f>
        <v>AVILA MARIA INES  (PROGRAMA MEDICINA DEL INTERIOR GOB)</v>
      </c>
      <c r="D5590" s="1" t="str">
        <f>IFERROR(__xludf.DUMMYFUNCTION("""COMPUTED_VALUE"""),"Lentes de STOCK")</f>
        <v>Lentes de STOCK</v>
      </c>
      <c r="E5590" s="1" t="str">
        <f>IFERROR(__xludf.DUMMYFUNCTION("""COMPUTED_VALUE"""),"Online ADMIN.")</f>
        <v>Online ADMIN.</v>
      </c>
      <c r="F5590" s="1" t="str">
        <f t="shared" si="1"/>
        <v>Online </v>
      </c>
      <c r="G5590" s="1" t="str">
        <f t="shared" si="2"/>
        <v>ADMIN.</v>
      </c>
      <c r="H5590" s="1" t="str">
        <f>IFERROR(__xludf.DUMMYFUNCTION("""COMPUTED_VALUE"""),"19/4/2023, 17:00:00")</f>
        <v>19/4/2023, 17:00:00</v>
      </c>
      <c r="I5590" s="1" t="str">
        <f>IFERROR(__xludf.DUMMYFUNCTION("""COMPUTED_VALUE"""),"Recibido en Laboratorio")</f>
        <v>Recibido en Laboratorio</v>
      </c>
      <c r="J5590" s="1">
        <f t="shared" si="3"/>
        <v>2</v>
      </c>
      <c r="K5590" s="1" t="str">
        <f t="shared" si="4"/>
        <v>Nuestro Laboratorio esta trabajando en tus lentes, los entregaremos en la fecha acordada.</v>
      </c>
    </row>
    <row r="5591">
      <c r="A5591" s="1">
        <f>IFERROR(__xludf.DUMMYFUNCTION("""COMPUTED_VALUE"""),90156.0)</f>
        <v>90156</v>
      </c>
      <c r="B5591" s="5">
        <f>IFERROR(__xludf.DUMMYFUNCTION("""COMPUTED_VALUE"""),45033.56776658565)</f>
        <v>45033.56777</v>
      </c>
      <c r="C5591" s="1" t="str">
        <f>IFERROR(__xludf.DUMMYFUNCTION("""COMPUTED_VALUE"""),"VILLEGAS HUGO  (PROGRAMA MEDICINA DEL INTERIOR GOB)")</f>
        <v>VILLEGAS HUGO  (PROGRAMA MEDICINA DEL INTERIOR GOB)</v>
      </c>
      <c r="D5591" s="1" t="str">
        <f>IFERROR(__xludf.DUMMYFUNCTION("""COMPUTED_VALUE"""),"Lentes de STOCK")</f>
        <v>Lentes de STOCK</v>
      </c>
      <c r="E5591" s="1" t="str">
        <f>IFERROR(__xludf.DUMMYFUNCTION("""COMPUTED_VALUE"""),"Online ADMIN.")</f>
        <v>Online ADMIN.</v>
      </c>
      <c r="F5591" s="1" t="str">
        <f t="shared" si="1"/>
        <v>Online </v>
      </c>
      <c r="G5591" s="1" t="str">
        <f t="shared" si="2"/>
        <v>ADMIN.</v>
      </c>
      <c r="H5591" s="1" t="str">
        <f>IFERROR(__xludf.DUMMYFUNCTION("""COMPUTED_VALUE"""),"19/4/2023, 17:00:00")</f>
        <v>19/4/2023, 17:00:00</v>
      </c>
      <c r="I5591" s="1" t="str">
        <f>IFERROR(__xludf.DUMMYFUNCTION("""COMPUTED_VALUE"""),"Recibido en Laboratorio")</f>
        <v>Recibido en Laboratorio</v>
      </c>
      <c r="J5591" s="1">
        <f t="shared" si="3"/>
        <v>2</v>
      </c>
      <c r="K5591" s="1" t="str">
        <f t="shared" si="4"/>
        <v>Nuestro Laboratorio esta trabajando en tus lentes, los entregaremos en la fecha acordada.</v>
      </c>
    </row>
    <row r="5592">
      <c r="A5592" s="1">
        <f>IFERROR(__xludf.DUMMYFUNCTION("""COMPUTED_VALUE"""),90157.0)</f>
        <v>90157</v>
      </c>
      <c r="B5592" s="5">
        <f>IFERROR(__xludf.DUMMYFUNCTION("""COMPUTED_VALUE"""),45033.56874407407)</f>
        <v>45033.56874</v>
      </c>
      <c r="C5592" s="1" t="str">
        <f>IFERROR(__xludf.DUMMYFUNCTION("""COMPUTED_VALUE"""),"VILLEGAS BRAULIO JAVIER  (PROGRAMA MEDICINA DEL INTERIOR GOB)")</f>
        <v>VILLEGAS BRAULIO JAVIER  (PROGRAMA MEDICINA DEL INTERIOR GOB)</v>
      </c>
      <c r="D5592" s="1" t="str">
        <f>IFERROR(__xludf.DUMMYFUNCTION("""COMPUTED_VALUE"""),"Lentes de STOCK")</f>
        <v>Lentes de STOCK</v>
      </c>
      <c r="E5592" s="1" t="str">
        <f>IFERROR(__xludf.DUMMYFUNCTION("""COMPUTED_VALUE"""),"Online ADMIN.")</f>
        <v>Online ADMIN.</v>
      </c>
      <c r="F5592" s="1" t="str">
        <f t="shared" si="1"/>
        <v>Online </v>
      </c>
      <c r="G5592" s="1" t="str">
        <f t="shared" si="2"/>
        <v>ADMIN.</v>
      </c>
      <c r="H5592" s="1" t="str">
        <f>IFERROR(__xludf.DUMMYFUNCTION("""COMPUTED_VALUE"""),"19/4/2023, 17:00:00")</f>
        <v>19/4/2023, 17:00:00</v>
      </c>
      <c r="I5592" s="1" t="str">
        <f>IFERROR(__xludf.DUMMYFUNCTION("""COMPUTED_VALUE"""),"Recibido en Laboratorio")</f>
        <v>Recibido en Laboratorio</v>
      </c>
      <c r="J5592" s="1">
        <f t="shared" si="3"/>
        <v>2</v>
      </c>
      <c r="K5592" s="1" t="str">
        <f t="shared" si="4"/>
        <v>Nuestro Laboratorio esta trabajando en tus lentes, los entregaremos en la fecha acordada.</v>
      </c>
    </row>
    <row r="5593">
      <c r="A5593" s="1">
        <f>IFERROR(__xludf.DUMMYFUNCTION("""COMPUTED_VALUE"""),90158.0)</f>
        <v>90158</v>
      </c>
      <c r="B5593" s="5">
        <f>IFERROR(__xludf.DUMMYFUNCTION("""COMPUTED_VALUE"""),45033.56906342592)</f>
        <v>45033.56906</v>
      </c>
      <c r="C5593" s="1" t="str">
        <f>IFERROR(__xludf.DUMMYFUNCTION("""COMPUTED_VALUE"""),"ROSALES ADRIANA  (PROGRAMA MEDICINA DEL INTERIOR GOB)")</f>
        <v>ROSALES ADRIANA  (PROGRAMA MEDICINA DEL INTERIOR GOB)</v>
      </c>
      <c r="D5593" s="1" t="str">
        <f>IFERROR(__xludf.DUMMYFUNCTION("""COMPUTED_VALUE"""),"Lentes de STOCK")</f>
        <v>Lentes de STOCK</v>
      </c>
      <c r="E5593" s="1" t="str">
        <f>IFERROR(__xludf.DUMMYFUNCTION("""COMPUTED_VALUE"""),"Online ADMIN.")</f>
        <v>Online ADMIN.</v>
      </c>
      <c r="F5593" s="1" t="str">
        <f t="shared" si="1"/>
        <v>Online </v>
      </c>
      <c r="G5593" s="1" t="str">
        <f t="shared" si="2"/>
        <v>ADMIN.</v>
      </c>
      <c r="H5593" s="1" t="str">
        <f>IFERROR(__xludf.DUMMYFUNCTION("""COMPUTED_VALUE"""),"19/4/2023, 17:00:00")</f>
        <v>19/4/2023, 17:00:00</v>
      </c>
      <c r="I5593" s="1" t="str">
        <f>IFERROR(__xludf.DUMMYFUNCTION("""COMPUTED_VALUE"""),"Recibido en Laboratorio")</f>
        <v>Recibido en Laboratorio</v>
      </c>
      <c r="J5593" s="1">
        <f t="shared" si="3"/>
        <v>2</v>
      </c>
      <c r="K5593" s="1" t="str">
        <f t="shared" si="4"/>
        <v>Nuestro Laboratorio esta trabajando en tus lentes, los entregaremos en la fecha acordada.</v>
      </c>
    </row>
    <row r="5594">
      <c r="A5594" s="1">
        <f>IFERROR(__xludf.DUMMYFUNCTION("""COMPUTED_VALUE"""),90159.0)</f>
        <v>90159</v>
      </c>
      <c r="B5594" s="5">
        <f>IFERROR(__xludf.DUMMYFUNCTION("""COMPUTED_VALUE"""),45033.570028726856)</f>
        <v>45033.57003</v>
      </c>
      <c r="C5594" s="1" t="str">
        <f>IFERROR(__xludf.DUMMYFUNCTION("""COMPUTED_VALUE"""),"ortiz delia esther  (PROGRAMA MEDICINA DEL INTERIOR GOB)")</f>
        <v>ortiz delia esther  (PROGRAMA MEDICINA DEL INTERIOR GOB)</v>
      </c>
      <c r="D5594" s="1" t="str">
        <f>IFERROR(__xludf.DUMMYFUNCTION("""COMPUTED_VALUE"""),"Lentes de LABORATORIO")</f>
        <v>Lentes de LABORATORIO</v>
      </c>
      <c r="E5594" s="1" t="str">
        <f>IFERROR(__xludf.DUMMYFUNCTION("""COMPUTED_VALUE"""),"Online ADMIN.")</f>
        <v>Online ADMIN.</v>
      </c>
      <c r="F5594" s="1" t="str">
        <f t="shared" si="1"/>
        <v>Online </v>
      </c>
      <c r="G5594" s="1" t="str">
        <f t="shared" si="2"/>
        <v>ADMIN.</v>
      </c>
      <c r="H5594" s="1" t="str">
        <f>IFERROR(__xludf.DUMMYFUNCTION("""COMPUTED_VALUE"""),"24/4/2023, 17:00:00")</f>
        <v>24/4/2023, 17:00:00</v>
      </c>
      <c r="I5594" s="1" t="str">
        <f>IFERROR(__xludf.DUMMYFUNCTION("""COMPUTED_VALUE"""),"Recibido en Laboratorio")</f>
        <v>Recibido en Laboratorio</v>
      </c>
      <c r="J5594" s="1">
        <f t="shared" si="3"/>
        <v>2</v>
      </c>
      <c r="K5594" s="1" t="str">
        <f t="shared" si="4"/>
        <v>Nuestro Laboratorio esta trabajando en tus lentes, los entregaremos en la fecha acordada.</v>
      </c>
    </row>
    <row r="5595">
      <c r="A5595" s="1">
        <f>IFERROR(__xludf.DUMMYFUNCTION("""COMPUTED_VALUE"""),90160.0)</f>
        <v>90160</v>
      </c>
      <c r="B5595" s="5">
        <f>IFERROR(__xludf.DUMMYFUNCTION("""COMPUTED_VALUE"""),45033.570402881945)</f>
        <v>45033.5704</v>
      </c>
      <c r="C5595" s="1" t="str">
        <f>IFERROR(__xludf.DUMMYFUNCTION("""COMPUTED_VALUE"""),"MUÑOZ DANIEL RAMON  (PROGRAMA MEDICINA DEL INTERIOR GOB)")</f>
        <v>MUÑOZ DANIEL RAMON  (PROGRAMA MEDICINA DEL INTERIOR GOB)</v>
      </c>
      <c r="D5595" s="1" t="str">
        <f>IFERROR(__xludf.DUMMYFUNCTION("""COMPUTED_VALUE"""),"Lentes de STOCK")</f>
        <v>Lentes de STOCK</v>
      </c>
      <c r="E5595" s="1" t="str">
        <f>IFERROR(__xludf.DUMMYFUNCTION("""COMPUTED_VALUE"""),"Online ADMIN.")</f>
        <v>Online ADMIN.</v>
      </c>
      <c r="F5595" s="1" t="str">
        <f t="shared" si="1"/>
        <v>Online </v>
      </c>
      <c r="G5595" s="1" t="str">
        <f t="shared" si="2"/>
        <v>ADMIN.</v>
      </c>
      <c r="H5595" s="1" t="str">
        <f>IFERROR(__xludf.DUMMYFUNCTION("""COMPUTED_VALUE"""),"19/4/2023, 17:00:00")</f>
        <v>19/4/2023, 17:00:00</v>
      </c>
      <c r="I5595" s="1" t="str">
        <f>IFERROR(__xludf.DUMMYFUNCTION("""COMPUTED_VALUE"""),"Recibido en Laboratorio")</f>
        <v>Recibido en Laboratorio</v>
      </c>
      <c r="J5595" s="1">
        <f t="shared" si="3"/>
        <v>2</v>
      </c>
      <c r="K5595" s="1" t="str">
        <f t="shared" si="4"/>
        <v>Nuestro Laboratorio esta trabajando en tus lentes, los entregaremos en la fecha acordada.</v>
      </c>
    </row>
    <row r="5596">
      <c r="A5596" s="1">
        <f>IFERROR(__xludf.DUMMYFUNCTION("""COMPUTED_VALUE"""),90161.0)</f>
        <v>90161</v>
      </c>
      <c r="B5596" s="5">
        <f>IFERROR(__xludf.DUMMYFUNCTION("""COMPUTED_VALUE"""),45033.57149973379)</f>
        <v>45033.5715</v>
      </c>
      <c r="C5596" s="1" t="str">
        <f>IFERROR(__xludf.DUMMYFUNCTION("""COMPUTED_VALUE"""),"CUFRE VALERIA FABIANA  (PROGRAMA MEDICINA DEL INTERIOR GOB)")</f>
        <v>CUFRE VALERIA FABIANA  (PROGRAMA MEDICINA DEL INTERIOR GOB)</v>
      </c>
      <c r="D5596" s="1" t="str">
        <f>IFERROR(__xludf.DUMMYFUNCTION("""COMPUTED_VALUE"""),"Lentes de LABORATORIO")</f>
        <v>Lentes de LABORATORIO</v>
      </c>
      <c r="E5596" s="1" t="str">
        <f>IFERROR(__xludf.DUMMYFUNCTION("""COMPUTED_VALUE"""),"Online ADMIN.")</f>
        <v>Online ADMIN.</v>
      </c>
      <c r="F5596" s="1" t="str">
        <f t="shared" si="1"/>
        <v>Online </v>
      </c>
      <c r="G5596" s="1" t="str">
        <f t="shared" si="2"/>
        <v>ADMIN.</v>
      </c>
      <c r="H5596" s="1" t="str">
        <f>IFERROR(__xludf.DUMMYFUNCTION("""COMPUTED_VALUE"""),"25/4/2023, 17:00:00")</f>
        <v>25/4/2023, 17:00:00</v>
      </c>
      <c r="I5596" s="1" t="str">
        <f>IFERROR(__xludf.DUMMYFUNCTION("""COMPUTED_VALUE"""),"Recibido en Laboratorio")</f>
        <v>Recibido en Laboratorio</v>
      </c>
      <c r="J5596" s="1">
        <f t="shared" si="3"/>
        <v>2</v>
      </c>
      <c r="K5596" s="1" t="str">
        <f t="shared" si="4"/>
        <v>Nuestro Laboratorio esta trabajando en tus lentes, los entregaremos en la fecha acordada.</v>
      </c>
    </row>
    <row r="5597">
      <c r="A5597" s="1">
        <f>IFERROR(__xludf.DUMMYFUNCTION("""COMPUTED_VALUE"""),90162.0)</f>
        <v>90162</v>
      </c>
      <c r="B5597" s="5">
        <f>IFERROR(__xludf.DUMMYFUNCTION("""COMPUTED_VALUE"""),45033.5728578125)</f>
        <v>45033.57286</v>
      </c>
      <c r="C5597" s="1" t="str">
        <f>IFERROR(__xludf.DUMMYFUNCTION("""COMPUTED_VALUE"""),"LOPEZ MAGALI  (PROGRAMA MEDICINA DEL INTERIOR GOB)")</f>
        <v>LOPEZ MAGALI  (PROGRAMA MEDICINA DEL INTERIOR GOB)</v>
      </c>
      <c r="D5597" s="1" t="str">
        <f>IFERROR(__xludf.DUMMYFUNCTION("""COMPUTED_VALUE"""),"Lentes de LABORATORIO")</f>
        <v>Lentes de LABORATORIO</v>
      </c>
      <c r="E5597" s="1" t="str">
        <f>IFERROR(__xludf.DUMMYFUNCTION("""COMPUTED_VALUE"""),"Online ADMIN.")</f>
        <v>Online ADMIN.</v>
      </c>
      <c r="F5597" s="1" t="str">
        <f t="shared" si="1"/>
        <v>Online </v>
      </c>
      <c r="G5597" s="1" t="str">
        <f t="shared" si="2"/>
        <v>ADMIN.</v>
      </c>
      <c r="H5597" s="1" t="str">
        <f>IFERROR(__xludf.DUMMYFUNCTION("""COMPUTED_VALUE"""),"24/4/2023, 17:00:00")</f>
        <v>24/4/2023, 17:00:00</v>
      </c>
      <c r="I5597" s="1" t="str">
        <f>IFERROR(__xludf.DUMMYFUNCTION("""COMPUTED_VALUE"""),"Recibido en Laboratorio")</f>
        <v>Recibido en Laboratorio</v>
      </c>
      <c r="J5597" s="1">
        <f t="shared" si="3"/>
        <v>2</v>
      </c>
      <c r="K5597" s="1" t="str">
        <f t="shared" si="4"/>
        <v>Nuestro Laboratorio esta trabajando en tus lentes, los entregaremos en la fecha acordada.</v>
      </c>
    </row>
    <row r="5598">
      <c r="A5598" s="1">
        <f>IFERROR(__xludf.DUMMYFUNCTION("""COMPUTED_VALUE"""),90163.0)</f>
        <v>90163</v>
      </c>
      <c r="B5598" s="5">
        <f>IFERROR(__xludf.DUMMYFUNCTION("""COMPUTED_VALUE"""),45033.57394082176)</f>
        <v>45033.57394</v>
      </c>
      <c r="C5598" s="1" t="str">
        <f>IFERROR(__xludf.DUMMYFUNCTION("""COMPUTED_VALUE"""),"CHAVERO JORGE  (PROGRAMA MEDICINA DEL INTERIOR GOB)")</f>
        <v>CHAVERO JORGE  (PROGRAMA MEDICINA DEL INTERIOR GOB)</v>
      </c>
      <c r="D5598" s="1" t="str">
        <f>IFERROR(__xludf.DUMMYFUNCTION("""COMPUTED_VALUE"""),"Lentes de STOCK")</f>
        <v>Lentes de STOCK</v>
      </c>
      <c r="E5598" s="1" t="str">
        <f>IFERROR(__xludf.DUMMYFUNCTION("""COMPUTED_VALUE"""),"Online ADMIN.")</f>
        <v>Online ADMIN.</v>
      </c>
      <c r="F5598" s="1" t="str">
        <f t="shared" si="1"/>
        <v>Online </v>
      </c>
      <c r="G5598" s="1" t="str">
        <f t="shared" si="2"/>
        <v>ADMIN.</v>
      </c>
      <c r="H5598" s="1" t="str">
        <f>IFERROR(__xludf.DUMMYFUNCTION("""COMPUTED_VALUE"""),"19/4/2023, 17:00:00")</f>
        <v>19/4/2023, 17:00:00</v>
      </c>
      <c r="I5598" s="1" t="str">
        <f>IFERROR(__xludf.DUMMYFUNCTION("""COMPUTED_VALUE"""),"Recibido en Laboratorio")</f>
        <v>Recibido en Laboratorio</v>
      </c>
      <c r="J5598" s="1">
        <f t="shared" si="3"/>
        <v>2</v>
      </c>
      <c r="K5598" s="1" t="str">
        <f t="shared" si="4"/>
        <v>Nuestro Laboratorio esta trabajando en tus lentes, los entregaremos en la fecha acordada.</v>
      </c>
    </row>
    <row r="5599">
      <c r="A5599" s="1">
        <f>IFERROR(__xludf.DUMMYFUNCTION("""COMPUTED_VALUE"""),90164.0)</f>
        <v>90164</v>
      </c>
      <c r="B5599" s="5">
        <f>IFERROR(__xludf.DUMMYFUNCTION("""COMPUTED_VALUE"""),45033.57432326389)</f>
        <v>45033.57432</v>
      </c>
      <c r="C5599" s="1" t="str">
        <f>IFERROR(__xludf.DUMMYFUNCTION("""COMPUTED_VALUE"""),"CHIRINO ADRIANA MABEL  (PROGRAMA MEDICINA DEL INTERIOR GOB)")</f>
        <v>CHIRINO ADRIANA MABEL  (PROGRAMA MEDICINA DEL INTERIOR GOB)</v>
      </c>
      <c r="D5599" s="1" t="str">
        <f>IFERROR(__xludf.DUMMYFUNCTION("""COMPUTED_VALUE"""),"Lentes de STOCK")</f>
        <v>Lentes de STOCK</v>
      </c>
      <c r="E5599" s="1" t="str">
        <f>IFERROR(__xludf.DUMMYFUNCTION("""COMPUTED_VALUE"""),"Online ADMIN.")</f>
        <v>Online ADMIN.</v>
      </c>
      <c r="F5599" s="1" t="str">
        <f t="shared" si="1"/>
        <v>Online </v>
      </c>
      <c r="G5599" s="1" t="str">
        <f t="shared" si="2"/>
        <v>ADMIN.</v>
      </c>
      <c r="H5599" s="1" t="str">
        <f>IFERROR(__xludf.DUMMYFUNCTION("""COMPUTED_VALUE"""),"24/4/2023, 17:00:00")</f>
        <v>24/4/2023, 17:00:00</v>
      </c>
      <c r="I5599" s="1" t="str">
        <f>IFERROR(__xludf.DUMMYFUNCTION("""COMPUTED_VALUE"""),"Recibido en Laboratorio")</f>
        <v>Recibido en Laboratorio</v>
      </c>
      <c r="J5599" s="1">
        <f t="shared" si="3"/>
        <v>2</v>
      </c>
      <c r="K5599" s="1" t="str">
        <f t="shared" si="4"/>
        <v>Nuestro Laboratorio esta trabajando en tus lentes, los entregaremos en la fecha acordada.</v>
      </c>
    </row>
    <row r="5600">
      <c r="A5600" s="1">
        <f>IFERROR(__xludf.DUMMYFUNCTION("""COMPUTED_VALUE"""),90165.0)</f>
        <v>90165</v>
      </c>
      <c r="B5600" s="5">
        <f>IFERROR(__xludf.DUMMYFUNCTION("""COMPUTED_VALUE"""),45033.574790115745)</f>
        <v>45033.57479</v>
      </c>
      <c r="C5600" s="1" t="str">
        <f>IFERROR(__xludf.DUMMYFUNCTION("""COMPUTED_VALUE"""),"BRIZUELA JESSICA ALEJANDRA  (PROGRAMA MEDICINA DEL INTERIOR GOB)")</f>
        <v>BRIZUELA JESSICA ALEJANDRA  (PROGRAMA MEDICINA DEL INTERIOR GOB)</v>
      </c>
      <c r="D5600" s="1" t="str">
        <f>IFERROR(__xludf.DUMMYFUNCTION("""COMPUTED_VALUE"""),"Lentes de LABORATORIO")</f>
        <v>Lentes de LABORATORIO</v>
      </c>
      <c r="E5600" s="1" t="str">
        <f>IFERROR(__xludf.DUMMYFUNCTION("""COMPUTED_VALUE"""),"Online ADMIN.")</f>
        <v>Online ADMIN.</v>
      </c>
      <c r="F5600" s="1" t="str">
        <f t="shared" si="1"/>
        <v>Online </v>
      </c>
      <c r="G5600" s="1" t="str">
        <f t="shared" si="2"/>
        <v>ADMIN.</v>
      </c>
      <c r="H5600" s="1" t="str">
        <f>IFERROR(__xludf.DUMMYFUNCTION("""COMPUTED_VALUE"""),"24/4/2023, 17:00:00")</f>
        <v>24/4/2023, 17:00:00</v>
      </c>
      <c r="I5600" s="1" t="str">
        <f>IFERROR(__xludf.DUMMYFUNCTION("""COMPUTED_VALUE"""),"Recibido en Laboratorio")</f>
        <v>Recibido en Laboratorio</v>
      </c>
      <c r="J5600" s="1">
        <f t="shared" si="3"/>
        <v>2</v>
      </c>
      <c r="K5600" s="1" t="str">
        <f t="shared" si="4"/>
        <v>Nuestro Laboratorio esta trabajando en tus lentes, los entregaremos en la fecha acordada.</v>
      </c>
    </row>
    <row r="5601">
      <c r="A5601" s="1">
        <f>IFERROR(__xludf.DUMMYFUNCTION("""COMPUTED_VALUE"""),90166.0)</f>
        <v>90166</v>
      </c>
      <c r="B5601" s="5">
        <f>IFERROR(__xludf.DUMMYFUNCTION("""COMPUTED_VALUE"""),45033.57549203704)</f>
        <v>45033.57549</v>
      </c>
      <c r="C5601" s="1" t="str">
        <f>IFERROR(__xludf.DUMMYFUNCTION("""COMPUTED_VALUE"""),"BARROSO JOSE  (PROGRAMA MEDICINA DEL INTERIOR GOB)")</f>
        <v>BARROSO JOSE  (PROGRAMA MEDICINA DEL INTERIOR GOB)</v>
      </c>
      <c r="D5601" s="1" t="str">
        <f>IFERROR(__xludf.DUMMYFUNCTION("""COMPUTED_VALUE"""),"Lentes de STOCK")</f>
        <v>Lentes de STOCK</v>
      </c>
      <c r="E5601" s="1" t="str">
        <f>IFERROR(__xludf.DUMMYFUNCTION("""COMPUTED_VALUE"""),"Online ADMIN.")</f>
        <v>Online ADMIN.</v>
      </c>
      <c r="F5601" s="1" t="str">
        <f t="shared" si="1"/>
        <v>Online </v>
      </c>
      <c r="G5601" s="1" t="str">
        <f t="shared" si="2"/>
        <v>ADMIN.</v>
      </c>
      <c r="H5601" s="1" t="str">
        <f>IFERROR(__xludf.DUMMYFUNCTION("""COMPUTED_VALUE"""),"19/4/2023, 17:00:00")</f>
        <v>19/4/2023, 17:00:00</v>
      </c>
      <c r="I5601" s="1" t="str">
        <f>IFERROR(__xludf.DUMMYFUNCTION("""COMPUTED_VALUE"""),"Recibido en Laboratorio")</f>
        <v>Recibido en Laboratorio</v>
      </c>
      <c r="J5601" s="1">
        <f t="shared" si="3"/>
        <v>2</v>
      </c>
      <c r="K5601" s="1" t="str">
        <f t="shared" si="4"/>
        <v>Nuestro Laboratorio esta trabajando en tus lentes, los entregaremos en la fecha acordada.</v>
      </c>
    </row>
    <row r="5602">
      <c r="A5602" s="1">
        <f>IFERROR(__xludf.DUMMYFUNCTION("""COMPUTED_VALUE"""),90167.0)</f>
        <v>90167</v>
      </c>
      <c r="B5602" s="5">
        <f>IFERROR(__xludf.DUMMYFUNCTION("""COMPUTED_VALUE"""),45033.5760905787)</f>
        <v>45033.57609</v>
      </c>
      <c r="C5602" s="1" t="str">
        <f>IFERROR(__xludf.DUMMYFUNCTION("""COMPUTED_VALUE"""),"BOBADILLA NORMA NOEMI  (PROGRAMA MEDICINA DEL INTERIOR GOB)")</f>
        <v>BOBADILLA NORMA NOEMI  (PROGRAMA MEDICINA DEL INTERIOR GOB)</v>
      </c>
      <c r="D5602" s="1" t="str">
        <f>IFERROR(__xludf.DUMMYFUNCTION("""COMPUTED_VALUE"""),"Lentes de STOCK")</f>
        <v>Lentes de STOCK</v>
      </c>
      <c r="E5602" s="1" t="str">
        <f>IFERROR(__xludf.DUMMYFUNCTION("""COMPUTED_VALUE"""),"Online ADMIN.")</f>
        <v>Online ADMIN.</v>
      </c>
      <c r="F5602" s="1" t="str">
        <f t="shared" si="1"/>
        <v>Online </v>
      </c>
      <c r="G5602" s="1" t="str">
        <f t="shared" si="2"/>
        <v>ADMIN.</v>
      </c>
      <c r="H5602" s="1" t="str">
        <f>IFERROR(__xludf.DUMMYFUNCTION("""COMPUTED_VALUE"""),"19/4/2023, 17:00:00")</f>
        <v>19/4/2023, 17:00:00</v>
      </c>
      <c r="I5602" s="1" t="str">
        <f>IFERROR(__xludf.DUMMYFUNCTION("""COMPUTED_VALUE"""),"Recibido en Laboratorio")</f>
        <v>Recibido en Laboratorio</v>
      </c>
      <c r="J5602" s="1">
        <f t="shared" si="3"/>
        <v>2</v>
      </c>
      <c r="K5602" s="1" t="str">
        <f t="shared" si="4"/>
        <v>Nuestro Laboratorio esta trabajando en tus lentes, los entregaremos en la fecha acordada.</v>
      </c>
    </row>
    <row r="5603">
      <c r="A5603" s="1">
        <f>IFERROR(__xludf.DUMMYFUNCTION("""COMPUTED_VALUE"""),90168.0)</f>
        <v>90168</v>
      </c>
      <c r="B5603" s="5">
        <f>IFERROR(__xludf.DUMMYFUNCTION("""COMPUTED_VALUE"""),45033.57643241898)</f>
        <v>45033.57643</v>
      </c>
      <c r="C5603" s="1" t="str">
        <f>IFERROR(__xludf.DUMMYFUNCTION("""COMPUTED_VALUE"""),"AMITRANO MARINA BELEN  (PROGRAMA MEDICINA DEL INTERIOR GOB)")</f>
        <v>AMITRANO MARINA BELEN  (PROGRAMA MEDICINA DEL INTERIOR GOB)</v>
      </c>
      <c r="D5603" s="1" t="str">
        <f>IFERROR(__xludf.DUMMYFUNCTION("""COMPUTED_VALUE"""),"Lentes de STOCK")</f>
        <v>Lentes de STOCK</v>
      </c>
      <c r="E5603" s="1" t="str">
        <f>IFERROR(__xludf.DUMMYFUNCTION("""COMPUTED_VALUE"""),"Online ADMIN.")</f>
        <v>Online ADMIN.</v>
      </c>
      <c r="F5603" s="1" t="str">
        <f t="shared" si="1"/>
        <v>Online </v>
      </c>
      <c r="G5603" s="1" t="str">
        <f t="shared" si="2"/>
        <v>ADMIN.</v>
      </c>
      <c r="H5603" s="1" t="str">
        <f>IFERROR(__xludf.DUMMYFUNCTION("""COMPUTED_VALUE"""),"19/4/2023, 17:00:00")</f>
        <v>19/4/2023, 17:00:00</v>
      </c>
      <c r="I5603" s="1" t="str">
        <f>IFERROR(__xludf.DUMMYFUNCTION("""COMPUTED_VALUE"""),"Recibido en Laboratorio")</f>
        <v>Recibido en Laboratorio</v>
      </c>
      <c r="J5603" s="1">
        <f t="shared" si="3"/>
        <v>2</v>
      </c>
      <c r="K5603" s="1" t="str">
        <f t="shared" si="4"/>
        <v>Nuestro Laboratorio esta trabajando en tus lentes, los entregaremos en la fecha acordada.</v>
      </c>
    </row>
    <row r="5604">
      <c r="A5604" s="1">
        <f>IFERROR(__xludf.DUMMYFUNCTION("""COMPUTED_VALUE"""),90169.0)</f>
        <v>90169</v>
      </c>
      <c r="B5604" s="5">
        <f>IFERROR(__xludf.DUMMYFUNCTION("""COMPUTED_VALUE"""),45033.57675627315)</f>
        <v>45033.57676</v>
      </c>
      <c r="C5604" s="1" t="str">
        <f>IFERROR(__xludf.DUMMYFUNCTION("""COMPUTED_VALUE"""),"AGUERO RAMON  (PROGRAMA MEDICINA DEL INTERIOR GOB)")</f>
        <v>AGUERO RAMON  (PROGRAMA MEDICINA DEL INTERIOR GOB)</v>
      </c>
      <c r="D5604" s="1" t="str">
        <f>IFERROR(__xludf.DUMMYFUNCTION("""COMPUTED_VALUE"""),"Lentes de STOCK")</f>
        <v>Lentes de STOCK</v>
      </c>
      <c r="E5604" s="1" t="str">
        <f>IFERROR(__xludf.DUMMYFUNCTION("""COMPUTED_VALUE"""),"Online ADMIN.")</f>
        <v>Online ADMIN.</v>
      </c>
      <c r="F5604" s="1" t="str">
        <f t="shared" si="1"/>
        <v>Online </v>
      </c>
      <c r="G5604" s="1" t="str">
        <f t="shared" si="2"/>
        <v>ADMIN.</v>
      </c>
      <c r="H5604" s="1" t="str">
        <f>IFERROR(__xludf.DUMMYFUNCTION("""COMPUTED_VALUE"""),"19/4/2023, 17:00:00")</f>
        <v>19/4/2023, 17:00:00</v>
      </c>
      <c r="I5604" s="1" t="str">
        <f>IFERROR(__xludf.DUMMYFUNCTION("""COMPUTED_VALUE"""),"Recibido en Laboratorio")</f>
        <v>Recibido en Laboratorio</v>
      </c>
      <c r="J5604" s="1">
        <f t="shared" si="3"/>
        <v>2</v>
      </c>
      <c r="K5604" s="1" t="str">
        <f t="shared" si="4"/>
        <v>Nuestro Laboratorio esta trabajando en tus lentes, los entregaremos en la fecha acordada.</v>
      </c>
    </row>
    <row r="5605">
      <c r="A5605" s="1">
        <f>IFERROR(__xludf.DUMMYFUNCTION("""COMPUTED_VALUE"""),90170.0)</f>
        <v>90170</v>
      </c>
      <c r="B5605" s="5">
        <f>IFERROR(__xludf.DUMMYFUNCTION("""COMPUTED_VALUE"""),45033.57740829861)</f>
        <v>45033.57741</v>
      </c>
      <c r="C5605" s="1" t="str">
        <f>IFERROR(__xludf.DUMMYFUNCTION("""COMPUTED_VALUE"""),"ALBORNOZ MARISA ELIZABETH  (PROGRAMA MEDICINA DEL INTERIOR GOB)")</f>
        <v>ALBORNOZ MARISA ELIZABETH  (PROGRAMA MEDICINA DEL INTERIOR GOB)</v>
      </c>
      <c r="D5605" s="1" t="str">
        <f>IFERROR(__xludf.DUMMYFUNCTION("""COMPUTED_VALUE"""),"Lentes de STOCK")</f>
        <v>Lentes de STOCK</v>
      </c>
      <c r="E5605" s="1" t="str">
        <f>IFERROR(__xludf.DUMMYFUNCTION("""COMPUTED_VALUE"""),"Online ADMIN.")</f>
        <v>Online ADMIN.</v>
      </c>
      <c r="F5605" s="1" t="str">
        <f t="shared" si="1"/>
        <v>Online </v>
      </c>
      <c r="G5605" s="1" t="str">
        <f t="shared" si="2"/>
        <v>ADMIN.</v>
      </c>
      <c r="H5605" s="1" t="str">
        <f>IFERROR(__xludf.DUMMYFUNCTION("""COMPUTED_VALUE"""),"19/4/2023, 17:00:00")</f>
        <v>19/4/2023, 17:00:00</v>
      </c>
      <c r="I5605" s="1" t="str">
        <f>IFERROR(__xludf.DUMMYFUNCTION("""COMPUTED_VALUE"""),"Recibido en Laboratorio")</f>
        <v>Recibido en Laboratorio</v>
      </c>
      <c r="J5605" s="1">
        <f t="shared" si="3"/>
        <v>2</v>
      </c>
      <c r="K5605" s="1" t="str">
        <f t="shared" si="4"/>
        <v>Nuestro Laboratorio esta trabajando en tus lentes, los entregaremos en la fecha acordada.</v>
      </c>
    </row>
    <row r="5606">
      <c r="A5606" s="1">
        <f>IFERROR(__xludf.DUMMYFUNCTION("""COMPUTED_VALUE"""),90171.0)</f>
        <v>90171</v>
      </c>
      <c r="B5606" s="5">
        <f>IFERROR(__xludf.DUMMYFUNCTION("""COMPUTED_VALUE"""),45033.70345818287)</f>
        <v>45033.70346</v>
      </c>
      <c r="C5606" s="1" t="str">
        <f>IFERROR(__xludf.DUMMYFUNCTION("""COMPUTED_VALUE"""),"SOSA LUISANA ")</f>
        <v>SOSA LUISANA </v>
      </c>
      <c r="D5606" s="1" t="str">
        <f>IFERROR(__xludf.DUMMYFUNCTION("""COMPUTED_VALUE"""),"Lentes de LABORATORIO")</f>
        <v>Lentes de LABORATORIO</v>
      </c>
      <c r="E5606" s="1" t="str">
        <f>IFERROR(__xludf.DUMMYFUNCTION("""COMPUTED_VALUE"""),"RIVADAVIA Christian C.")</f>
        <v>RIVADAVIA Christian C.</v>
      </c>
      <c r="F5606" s="1" t="str">
        <f t="shared" si="1"/>
        <v>RIVADAVIA </v>
      </c>
      <c r="G5606" s="1" t="str">
        <f t="shared" si="2"/>
        <v>Christian C.</v>
      </c>
      <c r="H5606" s="1" t="str">
        <f>IFERROR(__xludf.DUMMYFUNCTION("""COMPUTED_VALUE"""),"28/4/2023, 17:00:00")</f>
        <v>28/4/2023, 17:00:00</v>
      </c>
      <c r="I5606" s="1" t="str">
        <f>IFERROR(__xludf.DUMMYFUNCTION("""COMPUTED_VALUE"""),"Recibido en Laboratorio")</f>
        <v>Recibido en Laboratorio</v>
      </c>
      <c r="J5606" s="1">
        <f t="shared" si="3"/>
        <v>2</v>
      </c>
      <c r="K5606" s="1" t="str">
        <f t="shared" si="4"/>
        <v>Nuestro Laboratorio esta trabajando en tus lentes, los entregaremos en la fecha acordada.</v>
      </c>
    </row>
    <row r="5607">
      <c r="A5607" s="1">
        <f>IFERROR(__xludf.DUMMYFUNCTION("""COMPUTED_VALUE"""),90172.0)</f>
        <v>90172</v>
      </c>
      <c r="B5607" s="5">
        <f>IFERROR(__xludf.DUMMYFUNCTION("""COMPUTED_VALUE"""),45033.70409032407)</f>
        <v>45033.70409</v>
      </c>
      <c r="C5607" s="1" t="str">
        <f>IFERROR(__xludf.DUMMYFUNCTION("""COMPUTED_VALUE"""),"SANCHEZ LUDMILA")</f>
        <v>SANCHEZ LUDMILA</v>
      </c>
      <c r="D5607" s="1" t="str">
        <f>IFERROR(__xludf.DUMMYFUNCTION("""COMPUTED_VALUE"""),"Lentes de STOCK")</f>
        <v>Lentes de STOCK</v>
      </c>
      <c r="E5607" s="1" t="str">
        <f>IFERROR(__xludf.DUMMYFUNCTION("""COMPUTED_VALUE"""),"ARTIGAS Roció")</f>
        <v>ARTIGAS Roció</v>
      </c>
      <c r="F5607" s="1" t="str">
        <f t="shared" si="1"/>
        <v>ARTIGAS </v>
      </c>
      <c r="G5607" s="1" t="str">
        <f t="shared" si="2"/>
        <v>Roció</v>
      </c>
      <c r="H5607" s="1" t="str">
        <f>IFERROR(__xludf.DUMMYFUNCTION("""COMPUTED_VALUE"""),"24/4/2023, 17:00:00")</f>
        <v>24/4/2023, 17:00:00</v>
      </c>
      <c r="I5607" s="1" t="str">
        <f>IFERROR(__xludf.DUMMYFUNCTION("""COMPUTED_VALUE"""),"Recibido en Laboratorio")</f>
        <v>Recibido en Laboratorio</v>
      </c>
      <c r="J5607" s="1">
        <f t="shared" si="3"/>
        <v>2</v>
      </c>
      <c r="K5607" s="1" t="str">
        <f t="shared" si="4"/>
        <v>Nuestro Laboratorio esta trabajando en tus lentes, los entregaremos en la fecha acordada.</v>
      </c>
    </row>
    <row r="5608">
      <c r="A5608" s="1">
        <f>IFERROR(__xludf.DUMMYFUNCTION("""COMPUTED_VALUE"""),90173.0)</f>
        <v>90173</v>
      </c>
      <c r="B5608" s="5">
        <f>IFERROR(__xludf.DUMMYFUNCTION("""COMPUTED_VALUE"""),45033.71013016204)</f>
        <v>45033.71013</v>
      </c>
      <c r="C5608" s="1" t="str">
        <f>IFERROR(__xludf.DUMMYFUNCTION("""COMPUTED_VALUE"""),"VILELA FABIAN")</f>
        <v>VILELA FABIAN</v>
      </c>
      <c r="D5608" s="1" t="str">
        <f>IFERROR(__xludf.DUMMYFUNCTION("""COMPUTED_VALUE"""),"Lentes de STOCK")</f>
        <v>Lentes de STOCK</v>
      </c>
      <c r="E5608" s="1" t="str">
        <f>IFERROR(__xludf.DUMMYFUNCTION("""COMPUTED_VALUE"""),"RIVADAVIA Santiago LOPEZ")</f>
        <v>RIVADAVIA Santiago LOPEZ</v>
      </c>
      <c r="F5608" s="1" t="str">
        <f t="shared" si="1"/>
        <v>RIVADAVIA </v>
      </c>
      <c r="G5608" s="1" t="str">
        <f t="shared" si="2"/>
        <v>Santiago LOPEZ</v>
      </c>
      <c r="H5608" s="1" t="str">
        <f>IFERROR(__xludf.DUMMYFUNCTION("""COMPUTED_VALUE"""),"21/4/2023, 17:00:00")</f>
        <v>21/4/2023, 17:00:00</v>
      </c>
      <c r="I5608" s="1" t="str">
        <f>IFERROR(__xludf.DUMMYFUNCTION("""COMPUTED_VALUE"""),"Recibido en Laboratorio")</f>
        <v>Recibido en Laboratorio</v>
      </c>
      <c r="J5608" s="1">
        <f t="shared" si="3"/>
        <v>2</v>
      </c>
      <c r="K5608" s="1" t="str">
        <f t="shared" si="4"/>
        <v>Nuestro Laboratorio esta trabajando en tus lentes, los entregaremos en la fecha acordada.</v>
      </c>
    </row>
    <row r="5609">
      <c r="A5609" s="1">
        <f>IFERROR(__xludf.DUMMYFUNCTION("""COMPUTED_VALUE"""),90174.0)</f>
        <v>90174</v>
      </c>
      <c r="B5609" s="5">
        <f>IFERROR(__xludf.DUMMYFUNCTION("""COMPUTED_VALUE"""),45033.72309600694)</f>
        <v>45033.7231</v>
      </c>
      <c r="C5609" s="1" t="str">
        <f>IFERROR(__xludf.DUMMYFUNCTION("""COMPUTED_VALUE"""),"salas lautaro")</f>
        <v>salas lautaro</v>
      </c>
      <c r="D5609" s="1" t="str">
        <f>IFERROR(__xludf.DUMMYFUNCTION("""COMPUTED_VALUE"""),"Lentes de STOCK")</f>
        <v>Lentes de STOCK</v>
      </c>
      <c r="E5609" s="1" t="str">
        <f>IFERROR(__xludf.DUMMYFUNCTION("""COMPUTED_VALUE"""),"RIVADAVIA Santiago N")</f>
        <v>RIVADAVIA Santiago N</v>
      </c>
      <c r="F5609" s="1" t="str">
        <f t="shared" si="1"/>
        <v>RIVADAVIA </v>
      </c>
      <c r="G5609" s="1" t="str">
        <f t="shared" si="2"/>
        <v>Santiago N</v>
      </c>
      <c r="H5609" s="1" t="str">
        <f>IFERROR(__xludf.DUMMYFUNCTION("""COMPUTED_VALUE"""),"22/4/2023, 17:00:00")</f>
        <v>22/4/2023, 17:00:00</v>
      </c>
      <c r="I5609" s="1" t="str">
        <f>IFERROR(__xludf.DUMMYFUNCTION("""COMPUTED_VALUE"""),"Recibido en Laboratorio")</f>
        <v>Recibido en Laboratorio</v>
      </c>
      <c r="J5609" s="1">
        <f t="shared" si="3"/>
        <v>2</v>
      </c>
      <c r="K5609" s="1" t="str">
        <f t="shared" si="4"/>
        <v>Nuestro Laboratorio esta trabajando en tus lentes, los entregaremos en la fecha acordada.</v>
      </c>
    </row>
    <row r="5610">
      <c r="A5610" s="1">
        <f>IFERROR(__xludf.DUMMYFUNCTION("""COMPUTED_VALUE"""),90175.0)</f>
        <v>90175</v>
      </c>
      <c r="B5610" s="5">
        <f>IFERROR(__xludf.DUMMYFUNCTION("""COMPUTED_VALUE"""),45033.72675180556)</f>
        <v>45033.72675</v>
      </c>
      <c r="C5610" s="1" t="str">
        <f>IFERROR(__xludf.DUMMYFUNCTION("""COMPUTED_VALUE"""),"VALDEZ AGUSTIN")</f>
        <v>VALDEZ AGUSTIN</v>
      </c>
      <c r="D5610" s="1" t="str">
        <f>IFERROR(__xludf.DUMMYFUNCTION("""COMPUTED_VALUE"""),"Lentes de STOCK")</f>
        <v>Lentes de STOCK</v>
      </c>
      <c r="E5610" s="1" t="str">
        <f>IFERROR(__xludf.DUMMYFUNCTION("""COMPUTED_VALUE"""),"RIVADAVIA Santiago LOPEZ")</f>
        <v>RIVADAVIA Santiago LOPEZ</v>
      </c>
      <c r="F5610" s="1" t="str">
        <f t="shared" si="1"/>
        <v>RIVADAVIA </v>
      </c>
      <c r="G5610" s="1" t="str">
        <f t="shared" si="2"/>
        <v>Santiago LOPEZ</v>
      </c>
      <c r="H5610" s="1" t="str">
        <f>IFERROR(__xludf.DUMMYFUNCTION("""COMPUTED_VALUE"""),"21/4/2023, 17:00:00")</f>
        <v>21/4/2023, 17:00:00</v>
      </c>
      <c r="I5610" s="1" t="str">
        <f>IFERROR(__xludf.DUMMYFUNCTION("""COMPUTED_VALUE"""),"Recibido en Laboratorio")</f>
        <v>Recibido en Laboratorio</v>
      </c>
      <c r="J5610" s="1">
        <f t="shared" si="3"/>
        <v>2</v>
      </c>
      <c r="K5610" s="1" t="str">
        <f t="shared" si="4"/>
        <v>Nuestro Laboratorio esta trabajando en tus lentes, los entregaremos en la fecha acordada.</v>
      </c>
    </row>
    <row r="5611">
      <c r="A5611" s="1">
        <f>IFERROR(__xludf.DUMMYFUNCTION("""COMPUTED_VALUE"""),90176.0)</f>
        <v>90176</v>
      </c>
      <c r="B5611" s="5">
        <f>IFERROR(__xludf.DUMMYFUNCTION("""COMPUTED_VALUE"""),45033.731200486116)</f>
        <v>45033.7312</v>
      </c>
      <c r="C5611" s="1" t="str">
        <f>IFERROR(__xludf.DUMMYFUNCTION("""COMPUTED_VALUE"""),"BALARI BRAVO MACARENA ITATI")</f>
        <v>BALARI BRAVO MACARENA ITATI</v>
      </c>
      <c r="D5611" s="1" t="str">
        <f>IFERROR(__xludf.DUMMYFUNCTION("""COMPUTED_VALUE"""),"Lentes de STOCK")</f>
        <v>Lentes de STOCK</v>
      </c>
      <c r="E5611" s="1" t="str">
        <f>IFERROR(__xludf.DUMMYFUNCTION("""COMPUTED_VALUE"""),"RIVADAVIA Christian C.")</f>
        <v>RIVADAVIA Christian C.</v>
      </c>
      <c r="F5611" s="1" t="str">
        <f t="shared" si="1"/>
        <v>RIVADAVIA </v>
      </c>
      <c r="G5611" s="1" t="str">
        <f t="shared" si="2"/>
        <v>Christian C.</v>
      </c>
      <c r="H5611" s="1" t="str">
        <f>IFERROR(__xludf.DUMMYFUNCTION("""COMPUTED_VALUE"""),"24/4/2023, 17:00:00")</f>
        <v>24/4/2023, 17:00:00</v>
      </c>
      <c r="I5611" s="1" t="str">
        <f>IFERROR(__xludf.DUMMYFUNCTION("""COMPUTED_VALUE"""),"Recibido en Laboratorio")</f>
        <v>Recibido en Laboratorio</v>
      </c>
      <c r="J5611" s="1">
        <f t="shared" si="3"/>
        <v>2</v>
      </c>
      <c r="K5611" s="1" t="str">
        <f t="shared" si="4"/>
        <v>Nuestro Laboratorio esta trabajando en tus lentes, los entregaremos en la fecha acordada.</v>
      </c>
    </row>
    <row r="5612">
      <c r="A5612" s="1">
        <f>IFERROR(__xludf.DUMMYFUNCTION("""COMPUTED_VALUE"""),90177.0)</f>
        <v>90177</v>
      </c>
      <c r="B5612" s="5">
        <f>IFERROR(__xludf.DUMMYFUNCTION("""COMPUTED_VALUE"""),45033.74076508102)</f>
        <v>45033.74077</v>
      </c>
      <c r="C5612" s="1" t="str">
        <f>IFERROR(__xludf.DUMMYFUNCTION("""COMPUTED_VALUE"""),"PARENTE NORMA MARCELA")</f>
        <v>PARENTE NORMA MARCELA</v>
      </c>
      <c r="D5612" s="1" t="str">
        <f>IFERROR(__xludf.DUMMYFUNCTION("""COMPUTED_VALUE"""),"Lentes MULTIFOCALES")</f>
        <v>Lentes MULTIFOCALES</v>
      </c>
      <c r="E5612" s="1" t="str">
        <f>IFERROR(__xludf.DUMMYFUNCTION("""COMPUTED_VALUE"""),"Otro (LUCIANA ARTIGAS)")</f>
        <v>Otro (LUCIANA ARTIGAS)</v>
      </c>
      <c r="F5612" s="1" t="str">
        <f t="shared" si="1"/>
        <v>Otro </v>
      </c>
      <c r="G5612" s="1" t="str">
        <f t="shared" si="2"/>
        <v>(LUCIANA ARTIGAS)</v>
      </c>
      <c r="H5612" s="1" t="str">
        <f>IFERROR(__xludf.DUMMYFUNCTION("""COMPUTED_VALUE"""),"4/5/2023, 17:00:00")</f>
        <v>4/5/2023, 17:00:00</v>
      </c>
      <c r="I5612" s="1" t="str">
        <f>IFERROR(__xludf.DUMMYFUNCTION("""COMPUTED_VALUE"""),"Recibido en Laboratorio")</f>
        <v>Recibido en Laboratorio</v>
      </c>
      <c r="J5612" s="1">
        <f t="shared" si="3"/>
        <v>2</v>
      </c>
      <c r="K5612" s="1" t="str">
        <f t="shared" si="4"/>
        <v>Nuestro Laboratorio esta trabajando en tus lentes, los entregaremos en la fecha acordada.</v>
      </c>
    </row>
    <row r="5613">
      <c r="A5613" s="1">
        <f>IFERROR(__xludf.DUMMYFUNCTION("""COMPUTED_VALUE"""),90178.0)</f>
        <v>90178</v>
      </c>
      <c r="B5613" s="5">
        <f>IFERROR(__xludf.DUMMYFUNCTION("""COMPUTED_VALUE"""),45033.74279498843)</f>
        <v>45033.74279</v>
      </c>
      <c r="C5613" s="1" t="str">
        <f>IFERROR(__xludf.DUMMYFUNCTION("""COMPUTED_VALUE"""),"BRITOS SAMUEL")</f>
        <v>BRITOS SAMUEL</v>
      </c>
      <c r="D5613" s="1" t="str">
        <f>IFERROR(__xludf.DUMMYFUNCTION("""COMPUTED_VALUE"""),"Lentes de STOCK")</f>
        <v>Lentes de STOCK</v>
      </c>
      <c r="E5613" s="1" t="str">
        <f>IFERROR(__xludf.DUMMYFUNCTION("""COMPUTED_VALUE"""),"ARTIGAS Roció")</f>
        <v>ARTIGAS Roció</v>
      </c>
      <c r="F5613" s="1" t="str">
        <f t="shared" si="1"/>
        <v>ARTIGAS </v>
      </c>
      <c r="G5613" s="1" t="str">
        <f t="shared" si="2"/>
        <v>Roció</v>
      </c>
      <c r="H5613" s="1" t="str">
        <f>IFERROR(__xludf.DUMMYFUNCTION("""COMPUTED_VALUE"""),"24/4/2023, 17:00:00")</f>
        <v>24/4/2023, 17:00:00</v>
      </c>
      <c r="I5613" s="1" t="str">
        <f>IFERROR(__xludf.DUMMYFUNCTION("""COMPUTED_VALUE"""),"Recibido en Laboratorio")</f>
        <v>Recibido en Laboratorio</v>
      </c>
      <c r="J5613" s="1">
        <f t="shared" si="3"/>
        <v>2</v>
      </c>
      <c r="K5613" s="1" t="str">
        <f t="shared" si="4"/>
        <v>Nuestro Laboratorio esta trabajando en tus lentes, los entregaremos en la fecha acordada.</v>
      </c>
    </row>
    <row r="5614">
      <c r="A5614" s="1">
        <f>IFERROR(__xludf.DUMMYFUNCTION("""COMPUTED_VALUE"""),90179.0)</f>
        <v>90179</v>
      </c>
      <c r="B5614" s="5">
        <f>IFERROR(__xludf.DUMMYFUNCTION("""COMPUTED_VALUE"""),45033.74660883102)</f>
        <v>45033.74661</v>
      </c>
      <c r="C5614" s="1" t="str">
        <f>IFERROR(__xludf.DUMMYFUNCTION("""COMPUTED_VALUE"""),"CARRIZO IRINA")</f>
        <v>CARRIZO IRINA</v>
      </c>
      <c r="D5614" s="1" t="str">
        <f>IFERROR(__xludf.DUMMYFUNCTION("""COMPUTED_VALUE"""),"Reparaciones/Otros")</f>
        <v>Reparaciones/Otros</v>
      </c>
      <c r="E5614" s="1" t="str">
        <f>IFERROR(__xludf.DUMMYFUNCTION("""COMPUTED_VALUE"""),"ARTIGAS Micaela")</f>
        <v>ARTIGAS Micaela</v>
      </c>
      <c r="F5614" s="1" t="str">
        <f t="shared" si="1"/>
        <v>ARTIGAS </v>
      </c>
      <c r="G5614" s="1" t="str">
        <f t="shared" si="2"/>
        <v>Micaela</v>
      </c>
      <c r="H5614" s="1" t="str">
        <f>IFERROR(__xludf.DUMMYFUNCTION("""COMPUTED_VALUE"""),"19/4/2023, 17:00:00")</f>
        <v>19/4/2023, 17:00:00</v>
      </c>
      <c r="I5614" s="1" t="str">
        <f>IFERROR(__xludf.DUMMYFUNCTION("""COMPUTED_VALUE"""),"Completado en SUCURSAL")</f>
        <v>Completado en SUCURSAL</v>
      </c>
      <c r="J5614" s="1">
        <f t="shared" si="3"/>
        <v>5</v>
      </c>
      <c r="K5614" s="1" t="str">
        <f t="shared" si="4"/>
        <v>Tus Lentes estan LISTAS PARA ENTREGAR, te esperamos.</v>
      </c>
    </row>
    <row r="5615">
      <c r="A5615" s="1">
        <f>IFERROR(__xludf.DUMMYFUNCTION("""COMPUTED_VALUE"""),90180.0)</f>
        <v>90180</v>
      </c>
      <c r="B5615" s="5">
        <f>IFERROR(__xludf.DUMMYFUNCTION("""COMPUTED_VALUE"""),45033.74735997686)</f>
        <v>45033.74736</v>
      </c>
      <c r="C5615" s="1" t="str">
        <f>IFERROR(__xludf.DUMMYFUNCTION("""COMPUTED_VALUE"""),"SANCHEZ CINTIA")</f>
        <v>SANCHEZ CINTIA</v>
      </c>
      <c r="D5615" s="1" t="str">
        <f>IFERROR(__xludf.DUMMYFUNCTION("""COMPUTED_VALUE"""),"Reparaciones/Otros")</f>
        <v>Reparaciones/Otros</v>
      </c>
      <c r="E5615" s="1" t="str">
        <f>IFERROR(__xludf.DUMMYFUNCTION("""COMPUTED_VALUE"""),"RIVADAVIA Christian C.")</f>
        <v>RIVADAVIA Christian C.</v>
      </c>
      <c r="F5615" s="1" t="str">
        <f t="shared" si="1"/>
        <v>RIVADAVIA </v>
      </c>
      <c r="G5615" s="1" t="str">
        <f t="shared" si="2"/>
        <v>Christian C.</v>
      </c>
      <c r="H5615" s="1" t="str">
        <f>IFERROR(__xludf.DUMMYFUNCTION("""COMPUTED_VALUE"""),"19/4/2023, 17:00:00")</f>
        <v>19/4/2023, 17:00:00</v>
      </c>
      <c r="I5615" s="1" t="str">
        <f>IFERROR(__xludf.DUMMYFUNCTION("""COMPUTED_VALUE"""),"Completado en SUCURSAL")</f>
        <v>Completado en SUCURSAL</v>
      </c>
      <c r="J5615" s="1">
        <f t="shared" si="3"/>
        <v>5</v>
      </c>
      <c r="K5615" s="1" t="str">
        <f t="shared" si="4"/>
        <v>Tus Lentes estan LISTAS PARA ENTREGAR, te esperamos.</v>
      </c>
    </row>
    <row r="5616">
      <c r="A5616" s="1">
        <f>IFERROR(__xludf.DUMMYFUNCTION("""COMPUTED_VALUE"""),90181.0)</f>
        <v>90181</v>
      </c>
      <c r="B5616" s="5">
        <f>IFERROR(__xludf.DUMMYFUNCTION("""COMPUTED_VALUE"""),45033.7506919213)</f>
        <v>45033.75069</v>
      </c>
      <c r="C5616" s="1" t="str">
        <f>IFERROR(__xludf.DUMMYFUNCTION("""COMPUTED_VALUE"""),"LEDEZMA OLGA")</f>
        <v>LEDEZMA OLGA</v>
      </c>
      <c r="D5616" s="1" t="str">
        <f>IFERROR(__xludf.DUMMYFUNCTION("""COMPUTED_VALUE"""),"Reparaciones/Otros")</f>
        <v>Reparaciones/Otros</v>
      </c>
      <c r="E5616" s="1" t="str">
        <f>IFERROR(__xludf.DUMMYFUNCTION("""COMPUTED_VALUE"""),"ARTIGAS Roció")</f>
        <v>ARTIGAS Roció</v>
      </c>
      <c r="F5616" s="1" t="str">
        <f t="shared" si="1"/>
        <v>ARTIGAS </v>
      </c>
      <c r="G5616" s="1" t="str">
        <f t="shared" si="2"/>
        <v>Roció</v>
      </c>
      <c r="H5616" s="1" t="str">
        <f>IFERROR(__xludf.DUMMYFUNCTION("""COMPUTED_VALUE"""),"18/4/2023, 17:00:00")</f>
        <v>18/4/2023, 17:00:00</v>
      </c>
      <c r="I5616" s="1" t="str">
        <f>IFERROR(__xludf.DUMMYFUNCTION("""COMPUTED_VALUE"""),"Completado en SUCURSAL")</f>
        <v>Completado en SUCURSAL</v>
      </c>
      <c r="J5616" s="1">
        <f t="shared" si="3"/>
        <v>5</v>
      </c>
      <c r="K5616" s="1" t="str">
        <f t="shared" si="4"/>
        <v>Tus Lentes estan LISTAS PARA ENTREGAR, te esperamos.</v>
      </c>
    </row>
    <row r="5617">
      <c r="A5617" s="1">
        <f>IFERROR(__xludf.DUMMYFUNCTION("""COMPUTED_VALUE"""),90182.0)</f>
        <v>90182</v>
      </c>
      <c r="B5617" s="5">
        <f>IFERROR(__xludf.DUMMYFUNCTION("""COMPUTED_VALUE"""),45033.75747150463)</f>
        <v>45033.75747</v>
      </c>
      <c r="C5617" s="1" t="str">
        <f>IFERROR(__xludf.DUMMYFUNCTION("""COMPUTED_VALUE"""),"BUSTOS SILVIA")</f>
        <v>BUSTOS SILVIA</v>
      </c>
      <c r="D5617" s="1" t="str">
        <f>IFERROR(__xludf.DUMMYFUNCTION("""COMPUTED_VALUE"""),"Lentes de STOCK")</f>
        <v>Lentes de STOCK</v>
      </c>
      <c r="E5617" s="1" t="str">
        <f>IFERROR(__xludf.DUMMYFUNCTION("""COMPUTED_VALUE"""),"RIVADAVIA Santiago LOPEZ")</f>
        <v>RIVADAVIA Santiago LOPEZ</v>
      </c>
      <c r="F5617" s="1" t="str">
        <f t="shared" si="1"/>
        <v>RIVADAVIA </v>
      </c>
      <c r="G5617" s="1" t="str">
        <f t="shared" si="2"/>
        <v>Santiago LOPEZ</v>
      </c>
      <c r="H5617" s="1" t="str">
        <f>IFERROR(__xludf.DUMMYFUNCTION("""COMPUTED_VALUE"""),"21/4/2023, 17:00:00")</f>
        <v>21/4/2023, 17:00:00</v>
      </c>
      <c r="I5617" s="1" t="str">
        <f>IFERROR(__xludf.DUMMYFUNCTION("""COMPUTED_VALUE"""),"Recibido en Laboratorio")</f>
        <v>Recibido en Laboratorio</v>
      </c>
      <c r="J5617" s="1">
        <f t="shared" si="3"/>
        <v>2</v>
      </c>
      <c r="K5617" s="1" t="str">
        <f t="shared" si="4"/>
        <v>Nuestro Laboratorio esta trabajando en tus lentes, los entregaremos en la fecha acordada.</v>
      </c>
    </row>
    <row r="5618">
      <c r="A5618" s="1">
        <f>IFERROR(__xludf.DUMMYFUNCTION("""COMPUTED_VALUE"""),90183.0)</f>
        <v>90183</v>
      </c>
      <c r="B5618" s="5">
        <f>IFERROR(__xludf.DUMMYFUNCTION("""COMPUTED_VALUE"""),45033.76314033565)</f>
        <v>45033.76314</v>
      </c>
      <c r="C5618" s="1" t="str">
        <f>IFERROR(__xludf.DUMMYFUNCTION("""COMPUTED_VALUE"""),"BONINO BRITOS SOFIA")</f>
        <v>BONINO BRITOS SOFIA</v>
      </c>
      <c r="D5618" s="1" t="str">
        <f>IFERROR(__xludf.DUMMYFUNCTION("""COMPUTED_VALUE"""),"Reparaciones/Otros")</f>
        <v>Reparaciones/Otros</v>
      </c>
      <c r="E5618" s="1" t="str">
        <f>IFERROR(__xludf.DUMMYFUNCTION("""COMPUTED_VALUE"""),"RIVADAVIA Javier")</f>
        <v>RIVADAVIA Javier</v>
      </c>
      <c r="F5618" s="1" t="str">
        <f t="shared" si="1"/>
        <v>RIVADAVIA </v>
      </c>
      <c r="G5618" s="1" t="str">
        <f t="shared" si="2"/>
        <v>Javier</v>
      </c>
      <c r="H5618" s="1" t="str">
        <f>IFERROR(__xludf.DUMMYFUNCTION("""COMPUTED_VALUE"""),"18/4/2023, 17:00:00")</f>
        <v>18/4/2023, 17:00:00</v>
      </c>
      <c r="I5618" s="1" t="str">
        <f>IFERROR(__xludf.DUMMYFUNCTION("""COMPUTED_VALUE"""),"Completado en SUCURSAL")</f>
        <v>Completado en SUCURSAL</v>
      </c>
      <c r="J5618" s="1">
        <f t="shared" si="3"/>
        <v>5</v>
      </c>
      <c r="K5618" s="1" t="str">
        <f t="shared" si="4"/>
        <v>Tus Lentes estan LISTAS PARA ENTREGAR, te esperamos.</v>
      </c>
    </row>
    <row r="5619">
      <c r="A5619" s="1">
        <f>IFERROR(__xludf.DUMMYFUNCTION("""COMPUTED_VALUE"""),90184.0)</f>
        <v>90184</v>
      </c>
      <c r="B5619" s="5">
        <f>IFERROR(__xludf.DUMMYFUNCTION("""COMPUTED_VALUE"""),45033.76611094907)</f>
        <v>45033.76611</v>
      </c>
      <c r="C5619" s="1" t="str">
        <f>IFERROR(__xludf.DUMMYFUNCTION("""COMPUTED_VALUE"""),"SOSA ALDANA SOFIA NAZARENA")</f>
        <v>SOSA ALDANA SOFIA NAZARENA</v>
      </c>
      <c r="D5619" s="1" t="str">
        <f>IFERROR(__xludf.DUMMYFUNCTION("""COMPUTED_VALUE"""),"Lentes de STOCK")</f>
        <v>Lentes de STOCK</v>
      </c>
      <c r="E5619" s="1" t="str">
        <f>IFERROR(__xludf.DUMMYFUNCTION("""COMPUTED_VALUE"""),"RIVADAVIA Christian C.")</f>
        <v>RIVADAVIA Christian C.</v>
      </c>
      <c r="F5619" s="1" t="str">
        <f t="shared" si="1"/>
        <v>RIVADAVIA </v>
      </c>
      <c r="G5619" s="1" t="str">
        <f t="shared" si="2"/>
        <v>Christian C.</v>
      </c>
      <c r="H5619" s="1" t="str">
        <f>IFERROR(__xludf.DUMMYFUNCTION("""COMPUTED_VALUE"""),"24/4/2023, 17:00:00")</f>
        <v>24/4/2023, 17:00:00</v>
      </c>
      <c r="I5619" s="1"/>
      <c r="J5619" s="1">
        <f t="shared" si="3"/>
        <v>0</v>
      </c>
      <c r="K5619" s="1" t="str">
        <f t="shared" si="4"/>
        <v/>
      </c>
    </row>
    <row r="5620">
      <c r="A5620" s="1">
        <f>IFERROR(__xludf.DUMMYFUNCTION("""COMPUTED_VALUE"""),90185.0)</f>
        <v>90185</v>
      </c>
      <c r="B5620" s="5">
        <f>IFERROR(__xludf.DUMMYFUNCTION("""COMPUTED_VALUE"""),45033.77244394676)</f>
        <v>45033.77244</v>
      </c>
      <c r="C5620" s="1" t="str">
        <f>IFERROR(__xludf.DUMMYFUNCTION("""COMPUTED_VALUE"""),"VELASCO PEDRO ALFREDO")</f>
        <v>VELASCO PEDRO ALFREDO</v>
      </c>
      <c r="D5620" s="1" t="str">
        <f>IFERROR(__xludf.DUMMYFUNCTION("""COMPUTED_VALUE"""),"Lentes de STOCK")</f>
        <v>Lentes de STOCK</v>
      </c>
      <c r="E5620" s="1" t="str">
        <f>IFERROR(__xludf.DUMMYFUNCTION("""COMPUTED_VALUE"""),"RIVADAVIA Luciana")</f>
        <v>RIVADAVIA Luciana</v>
      </c>
      <c r="F5620" s="1" t="str">
        <f t="shared" si="1"/>
        <v>RIVADAVIA </v>
      </c>
      <c r="G5620" s="1" t="str">
        <f t="shared" si="2"/>
        <v>Luciana</v>
      </c>
      <c r="H5620" s="1" t="str">
        <f>IFERROR(__xludf.DUMMYFUNCTION("""COMPUTED_VALUE"""),"24/4/2023, 17:00:00")</f>
        <v>24/4/2023, 17:00:00</v>
      </c>
      <c r="I5620" s="1" t="str">
        <f>IFERROR(__xludf.DUMMYFUNCTION("""COMPUTED_VALUE"""),"Recibido en Laboratorio")</f>
        <v>Recibido en Laboratorio</v>
      </c>
      <c r="J5620" s="1">
        <f t="shared" si="3"/>
        <v>2</v>
      </c>
      <c r="K5620" s="1" t="str">
        <f t="shared" si="4"/>
        <v>Nuestro Laboratorio esta trabajando en tus lentes, los entregaremos en la fecha acordada.</v>
      </c>
    </row>
    <row r="5621">
      <c r="A5621" s="1">
        <f>IFERROR(__xludf.DUMMYFUNCTION("""COMPUTED_VALUE"""),90186.0)</f>
        <v>90186</v>
      </c>
      <c r="B5621" s="5">
        <f>IFERROR(__xludf.DUMMYFUNCTION("""COMPUTED_VALUE"""),45033.77245520834)</f>
        <v>45033.77246</v>
      </c>
      <c r="C5621" s="1" t="str">
        <f>IFERROR(__xludf.DUMMYFUNCTION("""COMPUTED_VALUE"""),"guardia guillermina")</f>
        <v>guardia guillermina</v>
      </c>
      <c r="D5621" s="1" t="str">
        <f>IFERROR(__xludf.DUMMYFUNCTION("""COMPUTED_VALUE"""),"Reparaciones/Otros")</f>
        <v>Reparaciones/Otros</v>
      </c>
      <c r="E5621" s="1" t="str">
        <f>IFERROR(__xludf.DUMMYFUNCTION("""COMPUTED_VALUE"""),"ARTIGAS Roció")</f>
        <v>ARTIGAS Roció</v>
      </c>
      <c r="F5621" s="1" t="str">
        <f t="shared" si="1"/>
        <v>ARTIGAS </v>
      </c>
      <c r="G5621" s="1" t="str">
        <f t="shared" si="2"/>
        <v>Roció</v>
      </c>
      <c r="H5621" s="1" t="str">
        <f>IFERROR(__xludf.DUMMYFUNCTION("""COMPUTED_VALUE"""),"19/4/2023, 17:00:00")</f>
        <v>19/4/2023, 17:00:00</v>
      </c>
      <c r="I5621" s="1" t="str">
        <f>IFERROR(__xludf.DUMMYFUNCTION("""COMPUTED_VALUE"""),"Completado en SUCURSAL")</f>
        <v>Completado en SUCURSAL</v>
      </c>
      <c r="J5621" s="1">
        <f t="shared" si="3"/>
        <v>5</v>
      </c>
      <c r="K5621" s="1" t="str">
        <f t="shared" si="4"/>
        <v>Tus Lentes estan LISTAS PARA ENTREGAR, te esperamos.</v>
      </c>
    </row>
    <row r="5622">
      <c r="A5622" s="1">
        <f>IFERROR(__xludf.DUMMYFUNCTION("""COMPUTED_VALUE"""),90187.0)</f>
        <v>90187</v>
      </c>
      <c r="B5622" s="5">
        <f>IFERROR(__xludf.DUMMYFUNCTION("""COMPUTED_VALUE"""),45033.77547127315)</f>
        <v>45033.77547</v>
      </c>
      <c r="C5622" s="1" t="str">
        <f>IFERROR(__xludf.DUMMYFUNCTION("""COMPUTED_VALUE"""),"LOPEZ LUCIA")</f>
        <v>LOPEZ LUCIA</v>
      </c>
      <c r="D5622" s="1" t="str">
        <f>IFERROR(__xludf.DUMMYFUNCTION("""COMPUTED_VALUE"""),"Lentes BIFOCALES")</f>
        <v>Lentes BIFOCALES</v>
      </c>
      <c r="E5622" s="1" t="str">
        <f>IFERROR(__xludf.DUMMYFUNCTION("""COMPUTED_VALUE"""),"ARTIGAS Ivana P.")</f>
        <v>ARTIGAS Ivana P.</v>
      </c>
      <c r="F5622" s="1" t="str">
        <f t="shared" si="1"/>
        <v>ARTIGAS </v>
      </c>
      <c r="G5622" s="1" t="str">
        <f t="shared" si="2"/>
        <v>Ivana P.</v>
      </c>
      <c r="H5622" s="1" t="str">
        <f>IFERROR(__xludf.DUMMYFUNCTION("""COMPUTED_VALUE"""),"24/4/2023, 17:00:00")</f>
        <v>24/4/2023, 17:00:00</v>
      </c>
      <c r="I5622" s="1" t="str">
        <f>IFERROR(__xludf.DUMMYFUNCTION("""COMPUTED_VALUE"""),"Recibido en Laboratorio")</f>
        <v>Recibido en Laboratorio</v>
      </c>
      <c r="J5622" s="1">
        <f t="shared" si="3"/>
        <v>2</v>
      </c>
      <c r="K5622" s="1" t="str">
        <f t="shared" si="4"/>
        <v>Nuestro Laboratorio esta trabajando en tus lentes, los entregaremos en la fecha acordada.</v>
      </c>
    </row>
    <row r="5623">
      <c r="A5623" s="1">
        <f>IFERROR(__xludf.DUMMYFUNCTION("""COMPUTED_VALUE"""),90188.0)</f>
        <v>90188</v>
      </c>
      <c r="B5623" s="5">
        <f>IFERROR(__xludf.DUMMYFUNCTION("""COMPUTED_VALUE"""),45033.78638089121)</f>
        <v>45033.78638</v>
      </c>
      <c r="C5623" s="1" t="str">
        <f>IFERROR(__xludf.DUMMYFUNCTION("""COMPUTED_VALUE"""),"TORREJON JOSE LUIS")</f>
        <v>TORREJON JOSE LUIS</v>
      </c>
      <c r="D5623" s="1" t="str">
        <f>IFERROR(__xludf.DUMMYFUNCTION("""COMPUTED_VALUE"""),"Lentes MULTIFOCALES")</f>
        <v>Lentes MULTIFOCALES</v>
      </c>
      <c r="E5623" s="1" t="str">
        <f>IFERROR(__xludf.DUMMYFUNCTION("""COMPUTED_VALUE"""),"RIVADAVIA Santiago N")</f>
        <v>RIVADAVIA Santiago N</v>
      </c>
      <c r="F5623" s="1" t="str">
        <f t="shared" si="1"/>
        <v>RIVADAVIA </v>
      </c>
      <c r="G5623" s="1" t="str">
        <f t="shared" si="2"/>
        <v>Santiago N</v>
      </c>
      <c r="H5623" s="1" t="str">
        <f>IFERROR(__xludf.DUMMYFUNCTION("""COMPUTED_VALUE"""),"2/5/2023, 17:00:00")</f>
        <v>2/5/2023, 17:00:00</v>
      </c>
      <c r="I5623" s="1" t="str">
        <f>IFERROR(__xludf.DUMMYFUNCTION("""COMPUTED_VALUE"""),"Recibido en Laboratorio")</f>
        <v>Recibido en Laboratorio</v>
      </c>
      <c r="J5623" s="1">
        <f t="shared" si="3"/>
        <v>2</v>
      </c>
      <c r="K5623" s="1" t="str">
        <f t="shared" si="4"/>
        <v>Nuestro Laboratorio esta trabajando en tus lentes, los entregaremos en la fecha acordada.</v>
      </c>
    </row>
    <row r="5624">
      <c r="A5624" s="1">
        <f>IFERROR(__xludf.DUMMYFUNCTION("""COMPUTED_VALUE"""),90189.0)</f>
        <v>90189</v>
      </c>
      <c r="B5624" s="5">
        <f>IFERROR(__xludf.DUMMYFUNCTION("""COMPUTED_VALUE"""),45033.810285590276)</f>
        <v>45033.81029</v>
      </c>
      <c r="C5624" s="1" t="str">
        <f>IFERROR(__xludf.DUMMYFUNCTION("""COMPUTED_VALUE"""),"TORRES SANTIAGO")</f>
        <v>TORRES SANTIAGO</v>
      </c>
      <c r="D5624" s="1" t="str">
        <f>IFERROR(__xludf.DUMMYFUNCTION("""COMPUTED_VALUE"""),"Lentes de STOCK")</f>
        <v>Lentes de STOCK</v>
      </c>
      <c r="E5624" s="1" t="str">
        <f>IFERROR(__xludf.DUMMYFUNCTION("""COMPUTED_VALUE"""),"RIVADAVIA Santiago LOPEZ")</f>
        <v>RIVADAVIA Santiago LOPEZ</v>
      </c>
      <c r="F5624" s="1" t="str">
        <f t="shared" si="1"/>
        <v>RIVADAVIA </v>
      </c>
      <c r="G5624" s="1" t="str">
        <f t="shared" si="2"/>
        <v>Santiago LOPEZ</v>
      </c>
      <c r="H5624" s="1" t="str">
        <f>IFERROR(__xludf.DUMMYFUNCTION("""COMPUTED_VALUE"""),"21/4/2023, 17:00:00")</f>
        <v>21/4/2023, 17:00:00</v>
      </c>
      <c r="I5624" s="1" t="str">
        <f>IFERROR(__xludf.DUMMYFUNCTION("""COMPUTED_VALUE"""),"Recibido en Laboratorio")</f>
        <v>Recibido en Laboratorio</v>
      </c>
      <c r="J5624" s="1">
        <f t="shared" si="3"/>
        <v>2</v>
      </c>
      <c r="K5624" s="1" t="str">
        <f t="shared" si="4"/>
        <v>Nuestro Laboratorio esta trabajando en tus lentes, los entregaremos en la fecha acordada.</v>
      </c>
    </row>
    <row r="5625">
      <c r="A5625" s="1">
        <f>IFERROR(__xludf.DUMMYFUNCTION("""COMPUTED_VALUE"""),90190.0)</f>
        <v>90190</v>
      </c>
      <c r="B5625" s="5">
        <f>IFERROR(__xludf.DUMMYFUNCTION("""COMPUTED_VALUE"""),45033.812388645834)</f>
        <v>45033.81239</v>
      </c>
      <c r="C5625" s="1" t="str">
        <f>IFERROR(__xludf.DUMMYFUNCTION("""COMPUTED_VALUE"""),"SOSA ALMENDRA")</f>
        <v>SOSA ALMENDRA</v>
      </c>
      <c r="D5625" s="1" t="str">
        <f>IFERROR(__xludf.DUMMYFUNCTION("""COMPUTED_VALUE"""),"Lentes de STOCK")</f>
        <v>Lentes de STOCK</v>
      </c>
      <c r="E5625" s="1" t="str">
        <f>IFERROR(__xludf.DUMMYFUNCTION("""COMPUTED_VALUE"""),"RIVADAVIA Luciana")</f>
        <v>RIVADAVIA Luciana</v>
      </c>
      <c r="F5625" s="1" t="str">
        <f t="shared" si="1"/>
        <v>RIVADAVIA </v>
      </c>
      <c r="G5625" s="1" t="str">
        <f t="shared" si="2"/>
        <v>Luciana</v>
      </c>
      <c r="H5625" s="1" t="str">
        <f>IFERROR(__xludf.DUMMYFUNCTION("""COMPUTED_VALUE"""),"24/4/2023, 17:00:00")</f>
        <v>24/4/2023, 17:00:00</v>
      </c>
      <c r="I5625" s="1" t="str">
        <f>IFERROR(__xludf.DUMMYFUNCTION("""COMPUTED_VALUE"""),"Recibido en Laboratorio")</f>
        <v>Recibido en Laboratorio</v>
      </c>
      <c r="J5625" s="1">
        <f t="shared" si="3"/>
        <v>2</v>
      </c>
      <c r="K5625" s="1" t="str">
        <f t="shared" si="4"/>
        <v>Nuestro Laboratorio esta trabajando en tus lentes, los entregaremos en la fecha acordada.</v>
      </c>
    </row>
    <row r="5626">
      <c r="A5626" s="1">
        <f>IFERROR(__xludf.DUMMYFUNCTION("""COMPUTED_VALUE"""),90191.0)</f>
        <v>90191</v>
      </c>
      <c r="B5626" s="5">
        <f>IFERROR(__xludf.DUMMYFUNCTION("""COMPUTED_VALUE"""),45033.81264989583)</f>
        <v>45033.81265</v>
      </c>
      <c r="C5626" s="1" t="str">
        <f>IFERROR(__xludf.DUMMYFUNCTION("""COMPUTED_VALUE"""),"PAISIO TORRES ISABELLA")</f>
        <v>PAISIO TORRES ISABELLA</v>
      </c>
      <c r="D5626" s="1" t="str">
        <f>IFERROR(__xludf.DUMMYFUNCTION("""COMPUTED_VALUE"""),"Lentes de STOCK")</f>
        <v>Lentes de STOCK</v>
      </c>
      <c r="E5626" s="1" t="str">
        <f>IFERROR(__xludf.DUMMYFUNCTION("""COMPUTED_VALUE"""),"RIVADAVIA Santiago LOPEZ")</f>
        <v>RIVADAVIA Santiago LOPEZ</v>
      </c>
      <c r="F5626" s="1" t="str">
        <f t="shared" si="1"/>
        <v>RIVADAVIA </v>
      </c>
      <c r="G5626" s="1" t="str">
        <f t="shared" si="2"/>
        <v>Santiago LOPEZ</v>
      </c>
      <c r="H5626" s="1" t="str">
        <f>IFERROR(__xludf.DUMMYFUNCTION("""COMPUTED_VALUE"""),"21/4/2023, 17:00:00")</f>
        <v>21/4/2023, 17:00:00</v>
      </c>
      <c r="I5626" s="1" t="str">
        <f>IFERROR(__xludf.DUMMYFUNCTION("""COMPUTED_VALUE"""),"Recibido en Laboratorio")</f>
        <v>Recibido en Laboratorio</v>
      </c>
      <c r="J5626" s="1">
        <f t="shared" si="3"/>
        <v>2</v>
      </c>
      <c r="K5626" s="1" t="str">
        <f t="shared" si="4"/>
        <v>Nuestro Laboratorio esta trabajando en tus lentes, los entregaremos en la fecha acordada.</v>
      </c>
    </row>
    <row r="5627">
      <c r="A5627" s="1">
        <f>IFERROR(__xludf.DUMMYFUNCTION("""COMPUTED_VALUE"""),90192.0)</f>
        <v>90192</v>
      </c>
      <c r="B5627" s="5">
        <f>IFERROR(__xludf.DUMMYFUNCTION("""COMPUTED_VALUE"""),45033.82164895833)</f>
        <v>45033.82165</v>
      </c>
      <c r="C5627" s="1" t="str">
        <f>IFERROR(__xludf.DUMMYFUNCTION("""COMPUTED_VALUE"""),"DALLAGO LILIAN DEL VALLE")</f>
        <v>DALLAGO LILIAN DEL VALLE</v>
      </c>
      <c r="D5627" s="1" t="str">
        <f>IFERROR(__xludf.DUMMYFUNCTION("""COMPUTED_VALUE"""),"Lentes MULTIFOCALES")</f>
        <v>Lentes MULTIFOCALES</v>
      </c>
      <c r="E5627" s="1" t="str">
        <f>IFERROR(__xludf.DUMMYFUNCTION("""COMPUTED_VALUE"""),"RIVADAVIA Christian C.")</f>
        <v>RIVADAVIA Christian C.</v>
      </c>
      <c r="F5627" s="1" t="str">
        <f t="shared" si="1"/>
        <v>RIVADAVIA </v>
      </c>
      <c r="G5627" s="1" t="str">
        <f t="shared" si="2"/>
        <v>Christian C.</v>
      </c>
      <c r="H5627" s="1" t="str">
        <f>IFERROR(__xludf.DUMMYFUNCTION("""COMPUTED_VALUE"""),"5/5/2023, 17:00:00")</f>
        <v>5/5/2023, 17:00:00</v>
      </c>
      <c r="I5627" s="1" t="str">
        <f>IFERROR(__xludf.DUMMYFUNCTION("""COMPUTED_VALUE"""),"Recibido en Laboratorio")</f>
        <v>Recibido en Laboratorio</v>
      </c>
      <c r="J5627" s="1">
        <f t="shared" si="3"/>
        <v>2</v>
      </c>
      <c r="K5627" s="1" t="str">
        <f t="shared" si="4"/>
        <v>Nuestro Laboratorio esta trabajando en tus lentes, los entregaremos en la fecha acordada.</v>
      </c>
    </row>
    <row r="5628">
      <c r="A5628" s="1">
        <f>IFERROR(__xludf.DUMMYFUNCTION("""COMPUTED_VALUE"""),90193.0)</f>
        <v>90193</v>
      </c>
      <c r="B5628" s="5">
        <f>IFERROR(__xludf.DUMMYFUNCTION("""COMPUTED_VALUE"""),45033.83177201389)</f>
        <v>45033.83177</v>
      </c>
      <c r="C5628" s="1" t="str">
        <f>IFERROR(__xludf.DUMMYFUNCTION("""COMPUTED_VALUE"""),"VALLEJOS SILVIA")</f>
        <v>VALLEJOS SILVIA</v>
      </c>
      <c r="D5628" s="1" t="str">
        <f>IFERROR(__xludf.DUMMYFUNCTION("""COMPUTED_VALUE"""),"Reparaciones/Otros")</f>
        <v>Reparaciones/Otros</v>
      </c>
      <c r="E5628" s="1" t="str">
        <f>IFERROR(__xludf.DUMMYFUNCTION("""COMPUTED_VALUE"""),"RIVADAVIA Santiago LOPEZ")</f>
        <v>RIVADAVIA Santiago LOPEZ</v>
      </c>
      <c r="F5628" s="1" t="str">
        <f t="shared" si="1"/>
        <v>RIVADAVIA </v>
      </c>
      <c r="G5628" s="1" t="str">
        <f t="shared" si="2"/>
        <v>Santiago LOPEZ</v>
      </c>
      <c r="H5628" s="1" t="str">
        <f>IFERROR(__xludf.DUMMYFUNCTION("""COMPUTED_VALUE"""),"18/4/2023, 17:00:00")</f>
        <v>18/4/2023, 17:00:00</v>
      </c>
      <c r="I5628" s="1"/>
      <c r="J5628" s="1">
        <f t="shared" si="3"/>
        <v>0</v>
      </c>
      <c r="K5628" s="1" t="str">
        <f t="shared" si="4"/>
        <v/>
      </c>
    </row>
    <row r="5629">
      <c r="A5629" s="1">
        <f>IFERROR(__xludf.DUMMYFUNCTION("""COMPUTED_VALUE"""),90194.0)</f>
        <v>90194</v>
      </c>
      <c r="B5629" s="5">
        <f>IFERROR(__xludf.DUMMYFUNCTION("""COMPUTED_VALUE"""),45033.84184836806)</f>
        <v>45033.84185</v>
      </c>
      <c r="C5629" s="1" t="str">
        <f>IFERROR(__xludf.DUMMYFUNCTION("""COMPUTED_VALUE"""),"calderon juana")</f>
        <v>calderon juana</v>
      </c>
      <c r="D5629" s="1" t="str">
        <f>IFERROR(__xludf.DUMMYFUNCTION("""COMPUTED_VALUE"""),"Lentes de STOCK")</f>
        <v>Lentes de STOCK</v>
      </c>
      <c r="E5629" s="1" t="str">
        <f>IFERROR(__xludf.DUMMYFUNCTION("""COMPUTED_VALUE"""),"RIVADAVIA Santiago LOPEZ")</f>
        <v>RIVADAVIA Santiago LOPEZ</v>
      </c>
      <c r="F5629" s="1" t="str">
        <f t="shared" si="1"/>
        <v>RIVADAVIA </v>
      </c>
      <c r="G5629" s="1" t="str">
        <f t="shared" si="2"/>
        <v>Santiago LOPEZ</v>
      </c>
      <c r="H5629" s="1" t="str">
        <f>IFERROR(__xludf.DUMMYFUNCTION("""COMPUTED_VALUE"""),"21/4/2023, 17:00:00")</f>
        <v>21/4/2023, 17:00:00</v>
      </c>
      <c r="I5629" s="1" t="str">
        <f>IFERROR(__xludf.DUMMYFUNCTION("""COMPUTED_VALUE"""),"Recibido en Laboratorio")</f>
        <v>Recibido en Laboratorio</v>
      </c>
      <c r="J5629" s="1">
        <f t="shared" si="3"/>
        <v>2</v>
      </c>
      <c r="K5629" s="1" t="str">
        <f t="shared" si="4"/>
        <v>Nuestro Laboratorio esta trabajando en tus lentes, los entregaremos en la fecha acordada.</v>
      </c>
    </row>
    <row r="5630">
      <c r="A5630" s="1">
        <f>IFERROR(__xludf.DUMMYFUNCTION("""COMPUTED_VALUE"""),90195.0)</f>
        <v>90195</v>
      </c>
      <c r="B5630" s="5">
        <f>IFERROR(__xludf.DUMMYFUNCTION("""COMPUTED_VALUE"""),45033.85382131944)</f>
        <v>45033.85382</v>
      </c>
      <c r="C5630" s="1" t="str">
        <f>IFERROR(__xludf.DUMMYFUNCTION("""COMPUTED_VALUE"""),"RIVAROLA ANABELLA")</f>
        <v>RIVAROLA ANABELLA</v>
      </c>
      <c r="D5630" s="1" t="str">
        <f>IFERROR(__xludf.DUMMYFUNCTION("""COMPUTED_VALUE"""),"Lentes de STOCK")</f>
        <v>Lentes de STOCK</v>
      </c>
      <c r="E5630" s="1" t="str">
        <f>IFERROR(__xludf.DUMMYFUNCTION("""COMPUTED_VALUE"""),"RIVADAVIA Santiago LOPEZ")</f>
        <v>RIVADAVIA Santiago LOPEZ</v>
      </c>
      <c r="F5630" s="1" t="str">
        <f t="shared" si="1"/>
        <v>RIVADAVIA </v>
      </c>
      <c r="G5630" s="1" t="str">
        <f t="shared" si="2"/>
        <v>Santiago LOPEZ</v>
      </c>
      <c r="H5630" s="1" t="str">
        <f>IFERROR(__xludf.DUMMYFUNCTION("""COMPUTED_VALUE"""),"24/4/2023, 17:00:00")</f>
        <v>24/4/2023, 17:00:00</v>
      </c>
      <c r="I5630" s="1" t="str">
        <f>IFERROR(__xludf.DUMMYFUNCTION("""COMPUTED_VALUE"""),"Recibido en Laboratorio")</f>
        <v>Recibido en Laboratorio</v>
      </c>
      <c r="J5630" s="1">
        <f t="shared" si="3"/>
        <v>2</v>
      </c>
      <c r="K5630" s="1" t="str">
        <f t="shared" si="4"/>
        <v>Nuestro Laboratorio esta trabajando en tus lentes, los entregaremos en la fecha acordada.</v>
      </c>
    </row>
    <row r="5631">
      <c r="A5631" s="1">
        <f>IFERROR(__xludf.DUMMYFUNCTION("""COMPUTED_VALUE"""),90196.0)</f>
        <v>90196</v>
      </c>
      <c r="B5631" s="5">
        <f>IFERROR(__xludf.DUMMYFUNCTION("""COMPUTED_VALUE"""),45034.3284158912)</f>
        <v>45034.32842</v>
      </c>
      <c r="C5631" s="1" t="str">
        <f>IFERROR(__xludf.DUMMYFUNCTION("""COMPUTED_VALUE"""),"NAVARRO VICTOR (PROGRAMA MEDICINA DEL INTERIOR GOB)")</f>
        <v>NAVARRO VICTOR (PROGRAMA MEDICINA DEL INTERIOR GOB)</v>
      </c>
      <c r="D5631" s="1" t="str">
        <f>IFERROR(__xludf.DUMMYFUNCTION("""COMPUTED_VALUE"""),"Lentes de STOCK")</f>
        <v>Lentes de STOCK</v>
      </c>
      <c r="E5631" s="1" t="str">
        <f>IFERROR(__xludf.DUMMYFUNCTION("""COMPUTED_VALUE"""),"Online ADMIN.")</f>
        <v>Online ADMIN.</v>
      </c>
      <c r="F5631" s="1" t="str">
        <f t="shared" si="1"/>
        <v>Online </v>
      </c>
      <c r="G5631" s="1" t="str">
        <f t="shared" si="2"/>
        <v>ADMIN.</v>
      </c>
      <c r="H5631" s="1" t="str">
        <f>IFERROR(__xludf.DUMMYFUNCTION("""COMPUTED_VALUE"""),"21/4/2023, 17:00:00")</f>
        <v>21/4/2023, 17:00:00</v>
      </c>
      <c r="I5631" s="1" t="str">
        <f>IFERROR(__xludf.DUMMYFUNCTION("""COMPUTED_VALUE"""),"Recibido en Laboratorio")</f>
        <v>Recibido en Laboratorio</v>
      </c>
      <c r="J5631" s="1">
        <f t="shared" si="3"/>
        <v>2</v>
      </c>
      <c r="K5631" s="1" t="str">
        <f t="shared" si="4"/>
        <v>Nuestro Laboratorio esta trabajando en tus lentes, los entregaremos en la fecha acordada.</v>
      </c>
    </row>
    <row r="5632">
      <c r="A5632" s="1">
        <f>IFERROR(__xludf.DUMMYFUNCTION("""COMPUTED_VALUE"""),90197.0)</f>
        <v>90197</v>
      </c>
      <c r="B5632" s="5">
        <f>IFERROR(__xludf.DUMMYFUNCTION("""COMPUTED_VALUE"""),45034.329042337966)</f>
        <v>45034.32904</v>
      </c>
      <c r="C5632" s="1" t="str">
        <f>IFERROR(__xludf.DUMMYFUNCTION("""COMPUTED_VALUE"""),"PERETTI MARCELO (PROGRAMA MEDICINA DEL INTERIOR GOB)")</f>
        <v>PERETTI MARCELO (PROGRAMA MEDICINA DEL INTERIOR GOB)</v>
      </c>
      <c r="D5632" s="1" t="str">
        <f>IFERROR(__xludf.DUMMYFUNCTION("""COMPUTED_VALUE"""),"Lentes de STOCK")</f>
        <v>Lentes de STOCK</v>
      </c>
      <c r="E5632" s="1" t="str">
        <f>IFERROR(__xludf.DUMMYFUNCTION("""COMPUTED_VALUE"""),"Online ADMIN.")</f>
        <v>Online ADMIN.</v>
      </c>
      <c r="F5632" s="1" t="str">
        <f t="shared" si="1"/>
        <v>Online </v>
      </c>
      <c r="G5632" s="1" t="str">
        <f t="shared" si="2"/>
        <v>ADMIN.</v>
      </c>
      <c r="H5632" s="1" t="str">
        <f>IFERROR(__xludf.DUMMYFUNCTION("""COMPUTED_VALUE"""),"21/4/2023, 17:00:00")</f>
        <v>21/4/2023, 17:00:00</v>
      </c>
      <c r="I5632" s="1" t="str">
        <f>IFERROR(__xludf.DUMMYFUNCTION("""COMPUTED_VALUE"""),"Recibido en Laboratorio")</f>
        <v>Recibido en Laboratorio</v>
      </c>
      <c r="J5632" s="1">
        <f t="shared" si="3"/>
        <v>2</v>
      </c>
      <c r="K5632" s="1" t="str">
        <f t="shared" si="4"/>
        <v>Nuestro Laboratorio esta trabajando en tus lentes, los entregaremos en la fecha acordada.</v>
      </c>
    </row>
    <row r="5633">
      <c r="A5633" s="1">
        <f>IFERROR(__xludf.DUMMYFUNCTION("""COMPUTED_VALUE"""),90198.0)</f>
        <v>90198</v>
      </c>
      <c r="B5633" s="5">
        <f>IFERROR(__xludf.DUMMYFUNCTION("""COMPUTED_VALUE"""),45034.32948424769)</f>
        <v>45034.32948</v>
      </c>
      <c r="C5633" s="1" t="str">
        <f>IFERROR(__xludf.DUMMYFUNCTION("""COMPUTED_VALUE"""),"PORATTI MARCO VALENTINO (PROGRAMA MEDICINA DEL INTERIOR GOB)")</f>
        <v>PORATTI MARCO VALENTINO (PROGRAMA MEDICINA DEL INTERIOR GOB)</v>
      </c>
      <c r="D5633" s="1" t="str">
        <f>IFERROR(__xludf.DUMMYFUNCTION("""COMPUTED_VALUE"""),"Lentes de STOCK")</f>
        <v>Lentes de STOCK</v>
      </c>
      <c r="E5633" s="1" t="str">
        <f>IFERROR(__xludf.DUMMYFUNCTION("""COMPUTED_VALUE"""),"Online ADMIN.")</f>
        <v>Online ADMIN.</v>
      </c>
      <c r="F5633" s="1" t="str">
        <f t="shared" si="1"/>
        <v>Online </v>
      </c>
      <c r="G5633" s="1" t="str">
        <f t="shared" si="2"/>
        <v>ADMIN.</v>
      </c>
      <c r="H5633" s="1" t="str">
        <f>IFERROR(__xludf.DUMMYFUNCTION("""COMPUTED_VALUE"""),"21/4/2023, 17:00:00")</f>
        <v>21/4/2023, 17:00:00</v>
      </c>
      <c r="I5633" s="1" t="str">
        <f>IFERROR(__xludf.DUMMYFUNCTION("""COMPUTED_VALUE"""),"Recibido en Laboratorio")</f>
        <v>Recibido en Laboratorio</v>
      </c>
      <c r="J5633" s="1">
        <f t="shared" si="3"/>
        <v>2</v>
      </c>
      <c r="K5633" s="1" t="str">
        <f t="shared" si="4"/>
        <v>Nuestro Laboratorio esta trabajando en tus lentes, los entregaremos en la fecha acordada.</v>
      </c>
    </row>
    <row r="5634">
      <c r="A5634" s="1">
        <f>IFERROR(__xludf.DUMMYFUNCTION("""COMPUTED_VALUE"""),90199.0)</f>
        <v>90199</v>
      </c>
      <c r="B5634" s="5">
        <f>IFERROR(__xludf.DUMMYFUNCTION("""COMPUTED_VALUE"""),45034.32989434028)</f>
        <v>45034.32989</v>
      </c>
      <c r="C5634" s="1" t="str">
        <f>IFERROR(__xludf.DUMMYFUNCTION("""COMPUTED_VALUE"""),"SARMIENTO MARINA (PROGRAMA MEDICINA DEL INTERIOR GOB)")</f>
        <v>SARMIENTO MARINA (PROGRAMA MEDICINA DEL INTERIOR GOB)</v>
      </c>
      <c r="D5634" s="1" t="str">
        <f>IFERROR(__xludf.DUMMYFUNCTION("""COMPUTED_VALUE"""),"Lentes de STOCK")</f>
        <v>Lentes de STOCK</v>
      </c>
      <c r="E5634" s="1" t="str">
        <f>IFERROR(__xludf.DUMMYFUNCTION("""COMPUTED_VALUE"""),"Online ADMIN.")</f>
        <v>Online ADMIN.</v>
      </c>
      <c r="F5634" s="1" t="str">
        <f t="shared" si="1"/>
        <v>Online </v>
      </c>
      <c r="G5634" s="1" t="str">
        <f t="shared" si="2"/>
        <v>ADMIN.</v>
      </c>
      <c r="H5634" s="1" t="str">
        <f>IFERROR(__xludf.DUMMYFUNCTION("""COMPUTED_VALUE"""),"21/4/2023, 17:00:00")</f>
        <v>21/4/2023, 17:00:00</v>
      </c>
      <c r="I5634" s="1" t="str">
        <f>IFERROR(__xludf.DUMMYFUNCTION("""COMPUTED_VALUE"""),"Recibido en Laboratorio")</f>
        <v>Recibido en Laboratorio</v>
      </c>
      <c r="J5634" s="1">
        <f t="shared" si="3"/>
        <v>2</v>
      </c>
      <c r="K5634" s="1" t="str">
        <f t="shared" si="4"/>
        <v>Nuestro Laboratorio esta trabajando en tus lentes, los entregaremos en la fecha acordada.</v>
      </c>
    </row>
    <row r="5635">
      <c r="A5635" s="1">
        <f>IFERROR(__xludf.DUMMYFUNCTION("""COMPUTED_VALUE"""),90200.0)</f>
        <v>90200</v>
      </c>
      <c r="B5635" s="5">
        <f>IFERROR(__xludf.DUMMYFUNCTION("""COMPUTED_VALUE"""),45034.33047975694)</f>
        <v>45034.33048</v>
      </c>
      <c r="C5635" s="1" t="str">
        <f>IFERROR(__xludf.DUMMYFUNCTION("""COMPUTED_VALUE"""),"TORRES VANESA NOEMI (PROGRAMA MEDICINA DEL INTERIOR GOB)")</f>
        <v>TORRES VANESA NOEMI (PROGRAMA MEDICINA DEL INTERIOR GOB)</v>
      </c>
      <c r="D5635" s="1" t="str">
        <f>IFERROR(__xludf.DUMMYFUNCTION("""COMPUTED_VALUE"""),"Lentes de STOCK")</f>
        <v>Lentes de STOCK</v>
      </c>
      <c r="E5635" s="1" t="str">
        <f>IFERROR(__xludf.DUMMYFUNCTION("""COMPUTED_VALUE"""),"Online ADMIN.")</f>
        <v>Online ADMIN.</v>
      </c>
      <c r="F5635" s="1" t="str">
        <f t="shared" si="1"/>
        <v>Online </v>
      </c>
      <c r="G5635" s="1" t="str">
        <f t="shared" si="2"/>
        <v>ADMIN.</v>
      </c>
      <c r="H5635" s="1" t="str">
        <f>IFERROR(__xludf.DUMMYFUNCTION("""COMPUTED_VALUE"""),"21/4/2023, 17:00:00")</f>
        <v>21/4/2023, 17:00:00</v>
      </c>
      <c r="I5635" s="1" t="str">
        <f>IFERROR(__xludf.DUMMYFUNCTION("""COMPUTED_VALUE"""),"Recibido en Laboratorio")</f>
        <v>Recibido en Laboratorio</v>
      </c>
      <c r="J5635" s="1">
        <f t="shared" si="3"/>
        <v>2</v>
      </c>
      <c r="K5635" s="1" t="str">
        <f t="shared" si="4"/>
        <v>Nuestro Laboratorio esta trabajando en tus lentes, los entregaremos en la fecha acordada.</v>
      </c>
    </row>
    <row r="5636">
      <c r="A5636" s="1">
        <f>IFERROR(__xludf.DUMMYFUNCTION("""COMPUTED_VALUE"""),90201.0)</f>
        <v>90201</v>
      </c>
      <c r="B5636" s="5">
        <f>IFERROR(__xludf.DUMMYFUNCTION("""COMPUTED_VALUE"""),45034.33100618055)</f>
        <v>45034.33101</v>
      </c>
      <c r="C5636" s="1" t="str">
        <f>IFERROR(__xludf.DUMMYFUNCTION("""COMPUTED_VALUE"""),"LEDESMA MALDONADO DAN ANDRES (PROGRAMA MEDICINA DEL INTERIOR GOB)")</f>
        <v>LEDESMA MALDONADO DAN ANDRES (PROGRAMA MEDICINA DEL INTERIOR GOB)</v>
      </c>
      <c r="D5636" s="1" t="str">
        <f>IFERROR(__xludf.DUMMYFUNCTION("""COMPUTED_VALUE"""),"Lentes de LABORATORIO")</f>
        <v>Lentes de LABORATORIO</v>
      </c>
      <c r="E5636" s="1" t="str">
        <f>IFERROR(__xludf.DUMMYFUNCTION("""COMPUTED_VALUE"""),"Online ADMIN.")</f>
        <v>Online ADMIN.</v>
      </c>
      <c r="F5636" s="1" t="str">
        <f t="shared" si="1"/>
        <v>Online </v>
      </c>
      <c r="G5636" s="1" t="str">
        <f t="shared" si="2"/>
        <v>ADMIN.</v>
      </c>
      <c r="H5636" s="1" t="str">
        <f>IFERROR(__xludf.DUMMYFUNCTION("""COMPUTED_VALUE"""),"25/4/2023, 17:00:00")</f>
        <v>25/4/2023, 17:00:00</v>
      </c>
      <c r="I5636" s="1" t="str">
        <f>IFERROR(__xludf.DUMMYFUNCTION("""COMPUTED_VALUE"""),"Recibido en Laboratorio")</f>
        <v>Recibido en Laboratorio</v>
      </c>
      <c r="J5636" s="1">
        <f t="shared" si="3"/>
        <v>2</v>
      </c>
      <c r="K5636" s="1" t="str">
        <f t="shared" si="4"/>
        <v>Nuestro Laboratorio esta trabajando en tus lentes, los entregaremos en la fecha acordada.</v>
      </c>
    </row>
    <row r="5637">
      <c r="A5637" s="1">
        <f>IFERROR(__xludf.DUMMYFUNCTION("""COMPUTED_VALUE"""),90202.0)</f>
        <v>90202</v>
      </c>
      <c r="B5637" s="5">
        <f>IFERROR(__xludf.DUMMYFUNCTION("""COMPUTED_VALUE"""),45034.3314450926)</f>
        <v>45034.33145</v>
      </c>
      <c r="C5637" s="1" t="str">
        <f>IFERROR(__xludf.DUMMYFUNCTION("""COMPUTED_VALUE"""),"TORRES JENNIFER JANETTE (PROGRAMA MEDICINA DEL INTERIOR GOB)")</f>
        <v>TORRES JENNIFER JANETTE (PROGRAMA MEDICINA DEL INTERIOR GOB)</v>
      </c>
      <c r="D5637" s="1" t="str">
        <f>IFERROR(__xludf.DUMMYFUNCTION("""COMPUTED_VALUE"""),"Lentes de STOCK")</f>
        <v>Lentes de STOCK</v>
      </c>
      <c r="E5637" s="1" t="str">
        <f>IFERROR(__xludf.DUMMYFUNCTION("""COMPUTED_VALUE"""),"Online ADMIN.")</f>
        <v>Online ADMIN.</v>
      </c>
      <c r="F5637" s="1" t="str">
        <f t="shared" si="1"/>
        <v>Online </v>
      </c>
      <c r="G5637" s="1" t="str">
        <f t="shared" si="2"/>
        <v>ADMIN.</v>
      </c>
      <c r="H5637" s="1" t="str">
        <f>IFERROR(__xludf.DUMMYFUNCTION("""COMPUTED_VALUE"""),"21/4/2023, 17:00:00")</f>
        <v>21/4/2023, 17:00:00</v>
      </c>
      <c r="I5637" s="1" t="str">
        <f>IFERROR(__xludf.DUMMYFUNCTION("""COMPUTED_VALUE"""),"Recibido en Laboratorio")</f>
        <v>Recibido en Laboratorio</v>
      </c>
      <c r="J5637" s="1">
        <f t="shared" si="3"/>
        <v>2</v>
      </c>
      <c r="K5637" s="1" t="str">
        <f t="shared" si="4"/>
        <v>Nuestro Laboratorio esta trabajando en tus lentes, los entregaremos en la fecha acordada.</v>
      </c>
    </row>
    <row r="5638">
      <c r="A5638" s="1">
        <f>IFERROR(__xludf.DUMMYFUNCTION("""COMPUTED_VALUE"""),90203.0)</f>
        <v>90203</v>
      </c>
      <c r="B5638" s="5">
        <f>IFERROR(__xludf.DUMMYFUNCTION("""COMPUTED_VALUE"""),45034.33200887732)</f>
        <v>45034.33201</v>
      </c>
      <c r="C5638" s="1" t="str">
        <f>IFERROR(__xludf.DUMMYFUNCTION("""COMPUTED_VALUE"""),"DIAZ MARIA SOLEDAD (PROGRAMA MEDICINA DEL INTERIOR GOB)")</f>
        <v>DIAZ MARIA SOLEDAD (PROGRAMA MEDICINA DEL INTERIOR GOB)</v>
      </c>
      <c r="D5638" s="1" t="str">
        <f>IFERROR(__xludf.DUMMYFUNCTION("""COMPUTED_VALUE"""),"Lentes de LABORATORIO")</f>
        <v>Lentes de LABORATORIO</v>
      </c>
      <c r="E5638" s="1" t="str">
        <f>IFERROR(__xludf.DUMMYFUNCTION("""COMPUTED_VALUE"""),"Online ADMIN.")</f>
        <v>Online ADMIN.</v>
      </c>
      <c r="F5638" s="1" t="str">
        <f t="shared" si="1"/>
        <v>Online </v>
      </c>
      <c r="G5638" s="1" t="str">
        <f t="shared" si="2"/>
        <v>ADMIN.</v>
      </c>
      <c r="H5638" s="1" t="str">
        <f>IFERROR(__xludf.DUMMYFUNCTION("""COMPUTED_VALUE"""),"25/4/2023, 17:00:00")</f>
        <v>25/4/2023, 17:00:00</v>
      </c>
      <c r="I5638" s="1" t="str">
        <f>IFERROR(__xludf.DUMMYFUNCTION("""COMPUTED_VALUE"""),"Recibido en Laboratorio")</f>
        <v>Recibido en Laboratorio</v>
      </c>
      <c r="J5638" s="1">
        <f t="shared" si="3"/>
        <v>2</v>
      </c>
      <c r="K5638" s="1" t="str">
        <f t="shared" si="4"/>
        <v>Nuestro Laboratorio esta trabajando en tus lentes, los entregaremos en la fecha acordada.</v>
      </c>
    </row>
    <row r="5639">
      <c r="A5639" s="1">
        <f>IFERROR(__xludf.DUMMYFUNCTION("""COMPUTED_VALUE"""),90204.0)</f>
        <v>90204</v>
      </c>
      <c r="B5639" s="5">
        <f>IFERROR(__xludf.DUMMYFUNCTION("""COMPUTED_VALUE"""),45034.33248239583)</f>
        <v>45034.33248</v>
      </c>
      <c r="C5639" s="1" t="str">
        <f>IFERROR(__xludf.DUMMYFUNCTION("""COMPUTED_VALUE"""),"EJARQUE BRITO EMILIA (PROGRAMA MEDICINA DEL INTERIOR GOB)")</f>
        <v>EJARQUE BRITO EMILIA (PROGRAMA MEDICINA DEL INTERIOR GOB)</v>
      </c>
      <c r="D5639" s="1" t="str">
        <f>IFERROR(__xludf.DUMMYFUNCTION("""COMPUTED_VALUE"""),"Lentes de LABORATORIO")</f>
        <v>Lentes de LABORATORIO</v>
      </c>
      <c r="E5639" s="1" t="str">
        <f>IFERROR(__xludf.DUMMYFUNCTION("""COMPUTED_VALUE"""),"Online ADMIN.")</f>
        <v>Online ADMIN.</v>
      </c>
      <c r="F5639" s="1" t="str">
        <f t="shared" si="1"/>
        <v>Online </v>
      </c>
      <c r="G5639" s="1" t="str">
        <f t="shared" si="2"/>
        <v>ADMIN.</v>
      </c>
      <c r="H5639" s="1" t="str">
        <f>IFERROR(__xludf.DUMMYFUNCTION("""COMPUTED_VALUE"""),"25/4/2023, 17:00:00")</f>
        <v>25/4/2023, 17:00:00</v>
      </c>
      <c r="I5639" s="1" t="str">
        <f>IFERROR(__xludf.DUMMYFUNCTION("""COMPUTED_VALUE"""),"Recibido en Laboratorio")</f>
        <v>Recibido en Laboratorio</v>
      </c>
      <c r="J5639" s="1">
        <f t="shared" si="3"/>
        <v>2</v>
      </c>
      <c r="K5639" s="1" t="str">
        <f t="shared" si="4"/>
        <v>Nuestro Laboratorio esta trabajando en tus lentes, los entregaremos en la fecha acordada.</v>
      </c>
    </row>
    <row r="5640">
      <c r="A5640" s="1">
        <f>IFERROR(__xludf.DUMMYFUNCTION("""COMPUTED_VALUE"""),90205.0)</f>
        <v>90205</v>
      </c>
      <c r="B5640" s="5">
        <f>IFERROR(__xludf.DUMMYFUNCTION("""COMPUTED_VALUE"""),45034.33285859953)</f>
        <v>45034.33286</v>
      </c>
      <c r="C5640" s="1" t="str">
        <f>IFERROR(__xludf.DUMMYFUNCTION("""COMPUTED_VALUE"""),"DIAZ LUCIA (PROGRAMA MEDICINA DEL INTERIOR GOB)")</f>
        <v>DIAZ LUCIA (PROGRAMA MEDICINA DEL INTERIOR GOB)</v>
      </c>
      <c r="D5640" s="1" t="str">
        <f>IFERROR(__xludf.DUMMYFUNCTION("""COMPUTED_VALUE"""),"Lentes de STOCK")</f>
        <v>Lentes de STOCK</v>
      </c>
      <c r="E5640" s="1" t="str">
        <f>IFERROR(__xludf.DUMMYFUNCTION("""COMPUTED_VALUE"""),"Online ADMIN.")</f>
        <v>Online ADMIN.</v>
      </c>
      <c r="F5640" s="1" t="str">
        <f t="shared" si="1"/>
        <v>Online </v>
      </c>
      <c r="G5640" s="1" t="str">
        <f t="shared" si="2"/>
        <v>ADMIN.</v>
      </c>
      <c r="H5640" s="1" t="str">
        <f>IFERROR(__xludf.DUMMYFUNCTION("""COMPUTED_VALUE"""),"21/4/2023, 17:00:00")</f>
        <v>21/4/2023, 17:00:00</v>
      </c>
      <c r="I5640" s="1" t="str">
        <f>IFERROR(__xludf.DUMMYFUNCTION("""COMPUTED_VALUE"""),"Recibido en Laboratorio")</f>
        <v>Recibido en Laboratorio</v>
      </c>
      <c r="J5640" s="1">
        <f t="shared" si="3"/>
        <v>2</v>
      </c>
      <c r="K5640" s="1" t="str">
        <f t="shared" si="4"/>
        <v>Nuestro Laboratorio esta trabajando en tus lentes, los entregaremos en la fecha acordada.</v>
      </c>
    </row>
    <row r="5641">
      <c r="A5641" s="1">
        <f>IFERROR(__xludf.DUMMYFUNCTION("""COMPUTED_VALUE"""),90206.0)</f>
        <v>90206</v>
      </c>
      <c r="B5641" s="5">
        <f>IFERROR(__xludf.DUMMYFUNCTION("""COMPUTED_VALUE"""),45034.33326380787)</f>
        <v>45034.33326</v>
      </c>
      <c r="C5641" s="1" t="str">
        <f>IFERROR(__xludf.DUMMYFUNCTION("""COMPUTED_VALUE"""),"CALDERON ELIANA VICTORIA (PROGRAMA MEDICINA DEL INTERIOR GOB)")</f>
        <v>CALDERON ELIANA VICTORIA (PROGRAMA MEDICINA DEL INTERIOR GOB)</v>
      </c>
      <c r="D5641" s="1" t="str">
        <f>IFERROR(__xludf.DUMMYFUNCTION("""COMPUTED_VALUE"""),"Lentes de STOCK")</f>
        <v>Lentes de STOCK</v>
      </c>
      <c r="E5641" s="1" t="str">
        <f>IFERROR(__xludf.DUMMYFUNCTION("""COMPUTED_VALUE"""),"Online ADMIN.")</f>
        <v>Online ADMIN.</v>
      </c>
      <c r="F5641" s="1" t="str">
        <f t="shared" si="1"/>
        <v>Online </v>
      </c>
      <c r="G5641" s="1" t="str">
        <f t="shared" si="2"/>
        <v>ADMIN.</v>
      </c>
      <c r="H5641" s="1" t="str">
        <f>IFERROR(__xludf.DUMMYFUNCTION("""COMPUTED_VALUE"""),"21/4/2023, 17:00:00")</f>
        <v>21/4/2023, 17:00:00</v>
      </c>
      <c r="I5641" s="1" t="str">
        <f>IFERROR(__xludf.DUMMYFUNCTION("""COMPUTED_VALUE"""),"Recibido en Laboratorio")</f>
        <v>Recibido en Laboratorio</v>
      </c>
      <c r="J5641" s="1">
        <f t="shared" si="3"/>
        <v>2</v>
      </c>
      <c r="K5641" s="1" t="str">
        <f t="shared" si="4"/>
        <v>Nuestro Laboratorio esta trabajando en tus lentes, los entregaremos en la fecha acordada.</v>
      </c>
    </row>
    <row r="5642">
      <c r="A5642" s="1">
        <f>IFERROR(__xludf.DUMMYFUNCTION("""COMPUTED_VALUE"""),90207.0)</f>
        <v>90207</v>
      </c>
      <c r="B5642" s="5">
        <f>IFERROR(__xludf.DUMMYFUNCTION("""COMPUTED_VALUE"""),45034.333645810184)</f>
        <v>45034.33365</v>
      </c>
      <c r="C5642" s="1" t="str">
        <f>IFERROR(__xludf.DUMMYFUNCTION("""COMPUTED_VALUE"""),"CHAVEZ LUCIA (PROGRAMA MEDICINA DEL INTERIOR GOB)")</f>
        <v>CHAVEZ LUCIA (PROGRAMA MEDICINA DEL INTERIOR GOB)</v>
      </c>
      <c r="D5642" s="1" t="str">
        <f>IFERROR(__xludf.DUMMYFUNCTION("""COMPUTED_VALUE"""),"Lentes de STOCK")</f>
        <v>Lentes de STOCK</v>
      </c>
      <c r="E5642" s="1" t="str">
        <f>IFERROR(__xludf.DUMMYFUNCTION("""COMPUTED_VALUE"""),"Online ADMIN.")</f>
        <v>Online ADMIN.</v>
      </c>
      <c r="F5642" s="1" t="str">
        <f t="shared" si="1"/>
        <v>Online </v>
      </c>
      <c r="G5642" s="1" t="str">
        <f t="shared" si="2"/>
        <v>ADMIN.</v>
      </c>
      <c r="H5642" s="1" t="str">
        <f>IFERROR(__xludf.DUMMYFUNCTION("""COMPUTED_VALUE"""),"21/4/2023, 17:00:00")</f>
        <v>21/4/2023, 17:00:00</v>
      </c>
      <c r="I5642" s="1" t="str">
        <f>IFERROR(__xludf.DUMMYFUNCTION("""COMPUTED_VALUE"""),"Recibido en Laboratorio")</f>
        <v>Recibido en Laboratorio</v>
      </c>
      <c r="J5642" s="1">
        <f t="shared" si="3"/>
        <v>2</v>
      </c>
      <c r="K5642" s="1" t="str">
        <f t="shared" si="4"/>
        <v>Nuestro Laboratorio esta trabajando en tus lentes, los entregaremos en la fecha acordada.</v>
      </c>
    </row>
    <row r="5643">
      <c r="A5643" s="1">
        <f>IFERROR(__xludf.DUMMYFUNCTION("""COMPUTED_VALUE"""),90208.0)</f>
        <v>90208</v>
      </c>
      <c r="B5643" s="5">
        <f>IFERROR(__xludf.DUMMYFUNCTION("""COMPUTED_VALUE"""),45034.33417614583)</f>
        <v>45034.33418</v>
      </c>
      <c r="C5643" s="1" t="str">
        <f>IFERROR(__xludf.DUMMYFUNCTION("""COMPUTED_VALUE"""),"BALLEJOS BRISA (PROGRAMA MEDICINA DEL INTERIOR GOB)")</f>
        <v>BALLEJOS BRISA (PROGRAMA MEDICINA DEL INTERIOR GOB)</v>
      </c>
      <c r="D5643" s="1" t="str">
        <f>IFERROR(__xludf.DUMMYFUNCTION("""COMPUTED_VALUE"""),"Lentes de LABORATORIO")</f>
        <v>Lentes de LABORATORIO</v>
      </c>
      <c r="E5643" s="1" t="str">
        <f>IFERROR(__xludf.DUMMYFUNCTION("""COMPUTED_VALUE"""),"Online ADMIN.")</f>
        <v>Online ADMIN.</v>
      </c>
      <c r="F5643" s="1" t="str">
        <f t="shared" si="1"/>
        <v>Online </v>
      </c>
      <c r="G5643" s="1" t="str">
        <f t="shared" si="2"/>
        <v>ADMIN.</v>
      </c>
      <c r="H5643" s="1" t="str">
        <f>IFERROR(__xludf.DUMMYFUNCTION("""COMPUTED_VALUE"""),"25/4/2023, 17:00:00")</f>
        <v>25/4/2023, 17:00:00</v>
      </c>
      <c r="I5643" s="1" t="str">
        <f>IFERROR(__xludf.DUMMYFUNCTION("""COMPUTED_VALUE"""),"Recibido en Laboratorio")</f>
        <v>Recibido en Laboratorio</v>
      </c>
      <c r="J5643" s="1">
        <f t="shared" si="3"/>
        <v>2</v>
      </c>
      <c r="K5643" s="1" t="str">
        <f t="shared" si="4"/>
        <v>Nuestro Laboratorio esta trabajando en tus lentes, los entregaremos en la fecha acordada.</v>
      </c>
    </row>
    <row r="5644">
      <c r="A5644" s="1">
        <f>IFERROR(__xludf.DUMMYFUNCTION("""COMPUTED_VALUE"""),90209.0)</f>
        <v>90209</v>
      </c>
      <c r="B5644" s="5">
        <f>IFERROR(__xludf.DUMMYFUNCTION("""COMPUTED_VALUE"""),45034.335369872686)</f>
        <v>45034.33537</v>
      </c>
      <c r="C5644" s="1" t="str">
        <f>IFERROR(__xludf.DUMMYFUNCTION("""COMPUTED_VALUE"""),"ALANIZ JUAN HUGO (PROGRAMA MEDICINA DEL INTERIOR GOB)")</f>
        <v>ALANIZ JUAN HUGO (PROGRAMA MEDICINA DEL INTERIOR GOB)</v>
      </c>
      <c r="D5644" s="1" t="str">
        <f>IFERROR(__xludf.DUMMYFUNCTION("""COMPUTED_VALUE"""),"Lentes de STOCK")</f>
        <v>Lentes de STOCK</v>
      </c>
      <c r="E5644" s="1" t="str">
        <f>IFERROR(__xludf.DUMMYFUNCTION("""COMPUTED_VALUE"""),"Online ADMIN.")</f>
        <v>Online ADMIN.</v>
      </c>
      <c r="F5644" s="1" t="str">
        <f t="shared" si="1"/>
        <v>Online </v>
      </c>
      <c r="G5644" s="1" t="str">
        <f t="shared" si="2"/>
        <v>ADMIN.</v>
      </c>
      <c r="H5644" s="1" t="str">
        <f>IFERROR(__xludf.DUMMYFUNCTION("""COMPUTED_VALUE"""),"25/4/2023, 17:00:00")</f>
        <v>25/4/2023, 17:00:00</v>
      </c>
      <c r="I5644" s="1" t="str">
        <f>IFERROR(__xludf.DUMMYFUNCTION("""COMPUTED_VALUE"""),"Completado en SUCURSAL")</f>
        <v>Completado en SUCURSAL</v>
      </c>
      <c r="J5644" s="1">
        <f t="shared" si="3"/>
        <v>5</v>
      </c>
      <c r="K5644" s="1" t="str">
        <f t="shared" si="4"/>
        <v>Tus Lentes estan LISTAS PARA ENTREGAR, te esperamos.</v>
      </c>
    </row>
    <row r="5645">
      <c r="A5645" s="1">
        <f>IFERROR(__xludf.DUMMYFUNCTION("""COMPUTED_VALUE"""),90210.0)</f>
        <v>90210</v>
      </c>
      <c r="B5645" s="5">
        <f>IFERROR(__xludf.DUMMYFUNCTION("""COMPUTED_VALUE"""),45034.33615643518)</f>
        <v>45034.33616</v>
      </c>
      <c r="C5645" s="1" t="str">
        <f>IFERROR(__xludf.DUMMYFUNCTION("""COMPUTED_VALUE"""),"ALFARO MIRIAM NOELIA (PROGRAMA MEDICINA DEL INTERIOR GOB)")</f>
        <v>ALFARO MIRIAM NOELIA (PROGRAMA MEDICINA DEL INTERIOR GOB)</v>
      </c>
      <c r="D5645" s="1" t="str">
        <f>IFERROR(__xludf.DUMMYFUNCTION("""COMPUTED_VALUE"""),"Lentes de STOCK")</f>
        <v>Lentes de STOCK</v>
      </c>
      <c r="E5645" s="1" t="str">
        <f>IFERROR(__xludf.DUMMYFUNCTION("""COMPUTED_VALUE"""),"Online ADMIN.")</f>
        <v>Online ADMIN.</v>
      </c>
      <c r="F5645" s="1" t="str">
        <f t="shared" si="1"/>
        <v>Online </v>
      </c>
      <c r="G5645" s="1" t="str">
        <f t="shared" si="2"/>
        <v>ADMIN.</v>
      </c>
      <c r="H5645" s="1" t="str">
        <f>IFERROR(__xludf.DUMMYFUNCTION("""COMPUTED_VALUE"""),"21/4/2023, 17:00:00")</f>
        <v>21/4/2023, 17:00:00</v>
      </c>
      <c r="I5645" s="1" t="str">
        <f>IFERROR(__xludf.DUMMYFUNCTION("""COMPUTED_VALUE"""),"Recibido en Laboratorio")</f>
        <v>Recibido en Laboratorio</v>
      </c>
      <c r="J5645" s="1">
        <f t="shared" si="3"/>
        <v>2</v>
      </c>
      <c r="K5645" s="1" t="str">
        <f t="shared" si="4"/>
        <v>Nuestro Laboratorio esta trabajando en tus lentes, los entregaremos en la fecha acordada.</v>
      </c>
    </row>
    <row r="5646">
      <c r="A5646" s="1">
        <f>IFERROR(__xludf.DUMMYFUNCTION("""COMPUTED_VALUE"""),90211.0)</f>
        <v>90211</v>
      </c>
      <c r="B5646" s="5">
        <f>IFERROR(__xludf.DUMMYFUNCTION("""COMPUTED_VALUE"""),45034.336439039354)</f>
        <v>45034.33644</v>
      </c>
      <c r="C5646" s="1" t="str">
        <f>IFERROR(__xludf.DUMMYFUNCTION("""COMPUTED_VALUE"""),"AGUERO LUCIA (PROGRAMA MEDICINA DEL INTERIOR GOB)")</f>
        <v>AGUERO LUCIA (PROGRAMA MEDICINA DEL INTERIOR GOB)</v>
      </c>
      <c r="D5646" s="1" t="str">
        <f>IFERROR(__xludf.DUMMYFUNCTION("""COMPUTED_VALUE"""),"Lentes de STOCK")</f>
        <v>Lentes de STOCK</v>
      </c>
      <c r="E5646" s="1" t="str">
        <f>IFERROR(__xludf.DUMMYFUNCTION("""COMPUTED_VALUE"""),"Online ADMIN.")</f>
        <v>Online ADMIN.</v>
      </c>
      <c r="F5646" s="1" t="str">
        <f t="shared" si="1"/>
        <v>Online </v>
      </c>
      <c r="G5646" s="1" t="str">
        <f t="shared" si="2"/>
        <v>ADMIN.</v>
      </c>
      <c r="H5646" s="1" t="str">
        <f>IFERROR(__xludf.DUMMYFUNCTION("""COMPUTED_VALUE"""),"21/4/2023, 17:00:00")</f>
        <v>21/4/2023, 17:00:00</v>
      </c>
      <c r="I5646" s="1" t="str">
        <f>IFERROR(__xludf.DUMMYFUNCTION("""COMPUTED_VALUE"""),"Recibido en Laboratorio")</f>
        <v>Recibido en Laboratorio</v>
      </c>
      <c r="J5646" s="1">
        <f t="shared" si="3"/>
        <v>2</v>
      </c>
      <c r="K5646" s="1" t="str">
        <f t="shared" si="4"/>
        <v>Nuestro Laboratorio esta trabajando en tus lentes, los entregaremos en la fecha acordada.</v>
      </c>
    </row>
    <row r="5647">
      <c r="A5647" s="1">
        <f>IFERROR(__xludf.DUMMYFUNCTION("""COMPUTED_VALUE"""),90212.0)</f>
        <v>90212</v>
      </c>
      <c r="B5647" s="5">
        <f>IFERROR(__xludf.DUMMYFUNCTION("""COMPUTED_VALUE"""),45034.336948125)</f>
        <v>45034.33695</v>
      </c>
      <c r="C5647" s="1" t="str">
        <f>IFERROR(__xludf.DUMMYFUNCTION("""COMPUTED_VALUE"""),"AGUILAR ELENA MIRTA  (PROGRAMA MEDICINA DEL INTERIOR GOB)")</f>
        <v>AGUILAR ELENA MIRTA  (PROGRAMA MEDICINA DEL INTERIOR GOB)</v>
      </c>
      <c r="D5647" s="1" t="str">
        <f>IFERROR(__xludf.DUMMYFUNCTION("""COMPUTED_VALUE"""),"Lentes de STOCK")</f>
        <v>Lentes de STOCK</v>
      </c>
      <c r="E5647" s="1" t="str">
        <f>IFERROR(__xludf.DUMMYFUNCTION("""COMPUTED_VALUE"""),"Online ADMIN.")</f>
        <v>Online ADMIN.</v>
      </c>
      <c r="F5647" s="1" t="str">
        <f t="shared" si="1"/>
        <v>Online </v>
      </c>
      <c r="G5647" s="1" t="str">
        <f t="shared" si="2"/>
        <v>ADMIN.</v>
      </c>
      <c r="H5647" s="1" t="str">
        <f>IFERROR(__xludf.DUMMYFUNCTION("""COMPUTED_VALUE"""),"21/4/2023, 17:00:00")</f>
        <v>21/4/2023, 17:00:00</v>
      </c>
      <c r="I5647" s="1" t="str">
        <f>IFERROR(__xludf.DUMMYFUNCTION("""COMPUTED_VALUE"""),"Recibido en Laboratorio")</f>
        <v>Recibido en Laboratorio</v>
      </c>
      <c r="J5647" s="1">
        <f t="shared" si="3"/>
        <v>2</v>
      </c>
      <c r="K5647" s="1" t="str">
        <f t="shared" si="4"/>
        <v>Nuestro Laboratorio esta trabajando en tus lentes, los entregaremos en la fecha acordada.</v>
      </c>
    </row>
    <row r="5648">
      <c r="A5648" s="1">
        <f>IFERROR(__xludf.DUMMYFUNCTION("""COMPUTED_VALUE"""),90213.0)</f>
        <v>90213</v>
      </c>
      <c r="B5648" s="5">
        <f>IFERROR(__xludf.DUMMYFUNCTION("""COMPUTED_VALUE"""),45034.37673928241)</f>
        <v>45034.37674</v>
      </c>
      <c r="C5648" s="1" t="str">
        <f>IFERROR(__xludf.DUMMYFUNCTION("""COMPUTED_VALUE"""),"PIASTRELINI LUIS / AMCOR")</f>
        <v>PIASTRELINI LUIS / AMCOR</v>
      </c>
      <c r="D5648" s="1" t="str">
        <f>IFERROR(__xludf.DUMMYFUNCTION("""COMPUTED_VALUE"""),"Lentes MULTIFOCALES")</f>
        <v>Lentes MULTIFOCALES</v>
      </c>
      <c r="E5648" s="1" t="str">
        <f>IFERROR(__xludf.DUMMYFUNCTION("""COMPUTED_VALUE"""),"ARTIGAS Ivana P.")</f>
        <v>ARTIGAS Ivana P.</v>
      </c>
      <c r="F5648" s="1" t="str">
        <f t="shared" si="1"/>
        <v>ARTIGAS </v>
      </c>
      <c r="G5648" s="1" t="str">
        <f t="shared" si="2"/>
        <v>Ivana P.</v>
      </c>
      <c r="H5648" s="1" t="str">
        <f>IFERROR(__xludf.DUMMYFUNCTION("""COMPUTED_VALUE"""),"2/5/2023, 17:00:00")</f>
        <v>2/5/2023, 17:00:00</v>
      </c>
      <c r="I5648" s="1" t="str">
        <f>IFERROR(__xludf.DUMMYFUNCTION("""COMPUTED_VALUE"""),"Recibido en Laboratorio")</f>
        <v>Recibido en Laboratorio</v>
      </c>
      <c r="J5648" s="1">
        <f t="shared" si="3"/>
        <v>2</v>
      </c>
      <c r="K5648" s="1" t="str">
        <f t="shared" si="4"/>
        <v>Nuestro Laboratorio esta trabajando en tus lentes, los entregaremos en la fecha acordada.</v>
      </c>
    </row>
    <row r="5649">
      <c r="A5649" s="1">
        <f>IFERROR(__xludf.DUMMYFUNCTION("""COMPUTED_VALUE"""),90214.0)</f>
        <v>90214</v>
      </c>
      <c r="B5649" s="5">
        <f>IFERROR(__xludf.DUMMYFUNCTION("""COMPUTED_VALUE"""),45034.38749616898)</f>
        <v>45034.3875</v>
      </c>
      <c r="C5649" s="1" t="str">
        <f>IFERROR(__xludf.DUMMYFUNCTION("""COMPUTED_VALUE"""),"LEYES CARLOS")</f>
        <v>LEYES CARLOS</v>
      </c>
      <c r="D5649" s="1" t="str">
        <f>IFERROR(__xludf.DUMMYFUNCTION("""COMPUTED_VALUE"""),"Reparaciones/Otros")</f>
        <v>Reparaciones/Otros</v>
      </c>
      <c r="E5649" s="1" t="str">
        <f>IFERROR(__xludf.DUMMYFUNCTION("""COMPUTED_VALUE"""),"ARTIGAS Roció")</f>
        <v>ARTIGAS Roció</v>
      </c>
      <c r="F5649" s="1" t="str">
        <f t="shared" si="1"/>
        <v>ARTIGAS </v>
      </c>
      <c r="G5649" s="1" t="str">
        <f t="shared" si="2"/>
        <v>Roció</v>
      </c>
      <c r="H5649" s="1" t="str">
        <f>IFERROR(__xludf.DUMMYFUNCTION("""COMPUTED_VALUE"""),"19/4/2023, 17:00:00")</f>
        <v>19/4/2023, 17:00:00</v>
      </c>
      <c r="I5649" s="1" t="str">
        <f>IFERROR(__xludf.DUMMYFUNCTION("""COMPUTED_VALUE"""),"Completado en SUCURSAL")</f>
        <v>Completado en SUCURSAL</v>
      </c>
      <c r="J5649" s="1">
        <f t="shared" si="3"/>
        <v>5</v>
      </c>
      <c r="K5649" s="1" t="str">
        <f t="shared" si="4"/>
        <v>Tus Lentes estan LISTAS PARA ENTREGAR, te esperamos.</v>
      </c>
    </row>
    <row r="5650">
      <c r="A5650" s="1">
        <f>IFERROR(__xludf.DUMMYFUNCTION("""COMPUTED_VALUE"""),90215.0)</f>
        <v>90215</v>
      </c>
      <c r="B5650" s="5">
        <f>IFERROR(__xludf.DUMMYFUNCTION("""COMPUTED_VALUE"""),45034.39055668982)</f>
        <v>45034.39056</v>
      </c>
      <c r="C5650" s="1" t="str">
        <f>IFERROR(__xludf.DUMMYFUNCTION("""COMPUTED_VALUE"""),"RODRIGUEZ  GUILLERMO")</f>
        <v>RODRIGUEZ  GUILLERMO</v>
      </c>
      <c r="D5650" s="1" t="str">
        <f>IFERROR(__xludf.DUMMYFUNCTION("""COMPUTED_VALUE"""),"Lentes de STOCK")</f>
        <v>Lentes de STOCK</v>
      </c>
      <c r="E5650" s="1" t="str">
        <f>IFERROR(__xludf.DUMMYFUNCTION("""COMPUTED_VALUE"""),"RIVADAVIA Daniel CM")</f>
        <v>RIVADAVIA Daniel CM</v>
      </c>
      <c r="F5650" s="1" t="str">
        <f t="shared" si="1"/>
        <v>RIVADAVIA </v>
      </c>
      <c r="G5650" s="1" t="str">
        <f t="shared" si="2"/>
        <v>Daniel CM</v>
      </c>
      <c r="H5650" s="1" t="str">
        <f>IFERROR(__xludf.DUMMYFUNCTION("""COMPUTED_VALUE"""),"21/4/2023, 17:00:00")</f>
        <v>21/4/2023, 17:00:00</v>
      </c>
      <c r="I5650" s="1"/>
      <c r="J5650" s="1">
        <f t="shared" si="3"/>
        <v>0</v>
      </c>
      <c r="K5650" s="1" t="str">
        <f t="shared" si="4"/>
        <v/>
      </c>
    </row>
    <row r="5651">
      <c r="A5651" s="1">
        <f>IFERROR(__xludf.DUMMYFUNCTION("""COMPUTED_VALUE"""),90216.0)</f>
        <v>90216</v>
      </c>
      <c r="B5651" s="5">
        <f>IFERROR(__xludf.DUMMYFUNCTION("""COMPUTED_VALUE"""),45034.3925577662)</f>
        <v>45034.39256</v>
      </c>
      <c r="C5651" s="1" t="str">
        <f>IFERROR(__xludf.DUMMYFUNCTION("""COMPUTED_VALUE"""),"LOYOLA AXEL ")</f>
        <v>LOYOLA AXEL </v>
      </c>
      <c r="D5651" s="1" t="str">
        <f>IFERROR(__xludf.DUMMYFUNCTION("""COMPUTED_VALUE"""),"Lentes de STOCK")</f>
        <v>Lentes de STOCK</v>
      </c>
      <c r="E5651" s="1" t="str">
        <f>IFERROR(__xludf.DUMMYFUNCTION("""COMPUTED_VALUE"""),"ARTIGAS Roció")</f>
        <v>ARTIGAS Roció</v>
      </c>
      <c r="F5651" s="1" t="str">
        <f t="shared" si="1"/>
        <v>ARTIGAS </v>
      </c>
      <c r="G5651" s="1" t="str">
        <f t="shared" si="2"/>
        <v>Roció</v>
      </c>
      <c r="H5651" s="1" t="str">
        <f>IFERROR(__xludf.DUMMYFUNCTION("""COMPUTED_VALUE"""),"26/4/2023, 17:00:00")</f>
        <v>26/4/2023, 17:00:00</v>
      </c>
      <c r="I5651" s="1" t="str">
        <f>IFERROR(__xludf.DUMMYFUNCTION("""COMPUTED_VALUE"""),"Recibido en Laboratorio")</f>
        <v>Recibido en Laboratorio</v>
      </c>
      <c r="J5651" s="1">
        <f t="shared" si="3"/>
        <v>2</v>
      </c>
      <c r="K5651" s="1" t="str">
        <f t="shared" si="4"/>
        <v>Nuestro Laboratorio esta trabajando en tus lentes, los entregaremos en la fecha acordada.</v>
      </c>
    </row>
    <row r="5652">
      <c r="A5652" s="1">
        <f>IFERROR(__xludf.DUMMYFUNCTION("""COMPUTED_VALUE"""),90217.0)</f>
        <v>90217</v>
      </c>
      <c r="B5652" s="5">
        <f>IFERROR(__xludf.DUMMYFUNCTION("""COMPUTED_VALUE"""),45034.39663525463)</f>
        <v>45034.39664</v>
      </c>
      <c r="C5652" s="1" t="str">
        <f>IFERROR(__xludf.DUMMYFUNCTION("""COMPUTED_VALUE"""),"VILLEGAS BERNARDO")</f>
        <v>VILLEGAS BERNARDO</v>
      </c>
      <c r="D5652" s="1" t="str">
        <f>IFERROR(__xludf.DUMMYFUNCTION("""COMPUTED_VALUE"""),"Lentes de STOCK")</f>
        <v>Lentes de STOCK</v>
      </c>
      <c r="E5652" s="1" t="str">
        <f>IFERROR(__xludf.DUMMYFUNCTION("""COMPUTED_VALUE"""),"ARTIGAS Roció")</f>
        <v>ARTIGAS Roció</v>
      </c>
      <c r="F5652" s="1" t="str">
        <f t="shared" si="1"/>
        <v>ARTIGAS </v>
      </c>
      <c r="G5652" s="1" t="str">
        <f t="shared" si="2"/>
        <v>Roció</v>
      </c>
      <c r="H5652" s="1" t="str">
        <f>IFERROR(__xludf.DUMMYFUNCTION("""COMPUTED_VALUE"""),"25/4/2023, 17:00:00")</f>
        <v>25/4/2023, 17:00:00</v>
      </c>
      <c r="I5652" s="1" t="str">
        <f>IFERROR(__xludf.DUMMYFUNCTION("""COMPUTED_VALUE"""),"Recibido en Laboratorio")</f>
        <v>Recibido en Laboratorio</v>
      </c>
      <c r="J5652" s="1">
        <f t="shared" si="3"/>
        <v>2</v>
      </c>
      <c r="K5652" s="1" t="str">
        <f t="shared" si="4"/>
        <v>Nuestro Laboratorio esta trabajando en tus lentes, los entregaremos en la fecha acordada.</v>
      </c>
    </row>
    <row r="5653">
      <c r="A5653" s="1">
        <f>IFERROR(__xludf.DUMMYFUNCTION("""COMPUTED_VALUE"""),90218.0)</f>
        <v>90218</v>
      </c>
      <c r="B5653" s="5">
        <f>IFERROR(__xludf.DUMMYFUNCTION("""COMPUTED_VALUE"""),45034.40531782407)</f>
        <v>45034.40532</v>
      </c>
      <c r="C5653" s="1" t="str">
        <f>IFERROR(__xludf.DUMMYFUNCTION("""COMPUTED_VALUE"""),"HEREDIA BAUTISTA")</f>
        <v>HEREDIA BAUTISTA</v>
      </c>
      <c r="D5653" s="1" t="str">
        <f>IFERROR(__xludf.DUMMYFUNCTION("""COMPUTED_VALUE"""),"Lentes de STOCK")</f>
        <v>Lentes de STOCK</v>
      </c>
      <c r="E5653" s="1" t="str">
        <f>IFERROR(__xludf.DUMMYFUNCTION("""COMPUTED_VALUE"""),"RIVADAVIA Santiago N")</f>
        <v>RIVADAVIA Santiago N</v>
      </c>
      <c r="F5653" s="1" t="str">
        <f t="shared" si="1"/>
        <v>RIVADAVIA </v>
      </c>
      <c r="G5653" s="1" t="str">
        <f t="shared" si="2"/>
        <v>Santiago N</v>
      </c>
      <c r="H5653" s="1" t="str">
        <f>IFERROR(__xludf.DUMMYFUNCTION("""COMPUTED_VALUE"""),"21/4/2023, 17:00:00")</f>
        <v>21/4/2023, 17:00:00</v>
      </c>
      <c r="I5653" s="1"/>
      <c r="J5653" s="1">
        <f t="shared" si="3"/>
        <v>0</v>
      </c>
      <c r="K5653" s="1" t="str">
        <f t="shared" si="4"/>
        <v/>
      </c>
    </row>
    <row r="5654">
      <c r="A5654" s="1">
        <f>IFERROR(__xludf.DUMMYFUNCTION("""COMPUTED_VALUE"""),90219.0)</f>
        <v>90219</v>
      </c>
      <c r="B5654" s="5">
        <f>IFERROR(__xludf.DUMMYFUNCTION("""COMPUTED_VALUE"""),45034.40781297453)</f>
        <v>45034.40781</v>
      </c>
      <c r="C5654" s="1" t="str">
        <f>IFERROR(__xludf.DUMMYFUNCTION("""COMPUTED_VALUE"""),"IBAÑEZ GRACIELA NOEMI")</f>
        <v>IBAÑEZ GRACIELA NOEMI</v>
      </c>
      <c r="D5654" s="1" t="str">
        <f>IFERROR(__xludf.DUMMYFUNCTION("""COMPUTED_VALUE"""),"Lentes de STOCK")</f>
        <v>Lentes de STOCK</v>
      </c>
      <c r="E5654" s="1" t="str">
        <f>IFERROR(__xludf.DUMMYFUNCTION("""COMPUTED_VALUE"""),"ARTIGAS Roció")</f>
        <v>ARTIGAS Roció</v>
      </c>
      <c r="F5654" s="1" t="str">
        <f t="shared" si="1"/>
        <v>ARTIGAS </v>
      </c>
      <c r="G5654" s="1" t="str">
        <f t="shared" si="2"/>
        <v>Roció</v>
      </c>
      <c r="H5654" s="1" t="str">
        <f>IFERROR(__xludf.DUMMYFUNCTION("""COMPUTED_VALUE"""),"25/4/2023, 17:00:00")</f>
        <v>25/4/2023, 17:00:00</v>
      </c>
      <c r="I5654" s="1" t="str">
        <f>IFERROR(__xludf.DUMMYFUNCTION("""COMPUTED_VALUE"""),"Recibido en Laboratorio")</f>
        <v>Recibido en Laboratorio</v>
      </c>
      <c r="J5654" s="1">
        <f t="shared" si="3"/>
        <v>2</v>
      </c>
      <c r="K5654" s="1" t="str">
        <f t="shared" si="4"/>
        <v>Nuestro Laboratorio esta trabajando en tus lentes, los entregaremos en la fecha acordada.</v>
      </c>
    </row>
    <row r="5655">
      <c r="A5655" s="1">
        <f>IFERROR(__xludf.DUMMYFUNCTION("""COMPUTED_VALUE"""),90220.0)</f>
        <v>90220</v>
      </c>
      <c r="B5655" s="5">
        <f>IFERROR(__xludf.DUMMYFUNCTION("""COMPUTED_VALUE"""),45034.40937193287)</f>
        <v>45034.40937</v>
      </c>
      <c r="C5655" s="1" t="str">
        <f>IFERROR(__xludf.DUMMYFUNCTION("""COMPUTED_VALUE"""),"MIRANDA VICTOR")</f>
        <v>MIRANDA VICTOR</v>
      </c>
      <c r="D5655" s="1" t="str">
        <f>IFERROR(__xludf.DUMMYFUNCTION("""COMPUTED_VALUE"""),"Lentes de STOCK")</f>
        <v>Lentes de STOCK</v>
      </c>
      <c r="E5655" s="1" t="str">
        <f>IFERROR(__xludf.DUMMYFUNCTION("""COMPUTED_VALUE"""),"ARTIGAS Ivana P.")</f>
        <v>ARTIGAS Ivana P.</v>
      </c>
      <c r="F5655" s="1" t="str">
        <f t="shared" si="1"/>
        <v>ARTIGAS </v>
      </c>
      <c r="G5655" s="1" t="str">
        <f t="shared" si="2"/>
        <v>Ivana P.</v>
      </c>
      <c r="H5655" s="1" t="str">
        <f>IFERROR(__xludf.DUMMYFUNCTION("""COMPUTED_VALUE"""),"27/4/2023, 17:00:00")</f>
        <v>27/4/2023, 17:00:00</v>
      </c>
      <c r="I5655" s="1" t="str">
        <f>IFERROR(__xludf.DUMMYFUNCTION("""COMPUTED_VALUE"""),"Recibido en Laboratorio")</f>
        <v>Recibido en Laboratorio</v>
      </c>
      <c r="J5655" s="1">
        <f t="shared" si="3"/>
        <v>2</v>
      </c>
      <c r="K5655" s="1" t="str">
        <f t="shared" si="4"/>
        <v>Nuestro Laboratorio esta trabajando en tus lentes, los entregaremos en la fecha acordada.</v>
      </c>
    </row>
    <row r="5656">
      <c r="A5656" s="1">
        <f>IFERROR(__xludf.DUMMYFUNCTION("""COMPUTED_VALUE"""),90221.0)</f>
        <v>90221</v>
      </c>
      <c r="B5656" s="5">
        <f>IFERROR(__xludf.DUMMYFUNCTION("""COMPUTED_VALUE"""),45034.40951991898)</f>
        <v>45034.40952</v>
      </c>
      <c r="C5656" s="1" t="str">
        <f>IFERROR(__xludf.DUMMYFUNCTION("""COMPUTED_VALUE"""),"RODRIGUEZ MAMANI ARACELI YANEL")</f>
        <v>RODRIGUEZ MAMANI ARACELI YANEL</v>
      </c>
      <c r="D5656" s="1" t="str">
        <f>IFERROR(__xludf.DUMMYFUNCTION("""COMPUTED_VALUE"""),"Lentes de STOCK")</f>
        <v>Lentes de STOCK</v>
      </c>
      <c r="E5656" s="1" t="str">
        <f>IFERROR(__xludf.DUMMYFUNCTION("""COMPUTED_VALUE"""),"RIVADAVIA Javier")</f>
        <v>RIVADAVIA Javier</v>
      </c>
      <c r="F5656" s="1" t="str">
        <f t="shared" si="1"/>
        <v>RIVADAVIA </v>
      </c>
      <c r="G5656" s="1" t="str">
        <f t="shared" si="2"/>
        <v>Javier</v>
      </c>
      <c r="H5656" s="1" t="str">
        <f>IFERROR(__xludf.DUMMYFUNCTION("""COMPUTED_VALUE"""),"24/4/2023, 17:00:00")</f>
        <v>24/4/2023, 17:00:00</v>
      </c>
      <c r="I5656" s="1"/>
      <c r="J5656" s="1">
        <f t="shared" si="3"/>
        <v>0</v>
      </c>
      <c r="K5656" s="1" t="str">
        <f t="shared" si="4"/>
        <v/>
      </c>
    </row>
    <row r="5657">
      <c r="A5657" s="1">
        <f>IFERROR(__xludf.DUMMYFUNCTION("""COMPUTED_VALUE"""),90222.0)</f>
        <v>90222</v>
      </c>
      <c r="B5657" s="5">
        <f>IFERROR(__xludf.DUMMYFUNCTION("""COMPUTED_VALUE"""),45034.41416458333)</f>
        <v>45034.41416</v>
      </c>
      <c r="C5657" s="1" t="str">
        <f>IFERROR(__xludf.DUMMYFUNCTION("""COMPUTED_VALUE"""),"SOSA MARTA ISABEL")</f>
        <v>SOSA MARTA ISABEL</v>
      </c>
      <c r="D5657" s="1" t="str">
        <f>IFERROR(__xludf.DUMMYFUNCTION("""COMPUTED_VALUE"""),"Lentes de STOCK")</f>
        <v>Lentes de STOCK</v>
      </c>
      <c r="E5657" s="1" t="str">
        <f>IFERROR(__xludf.DUMMYFUNCTION("""COMPUTED_VALUE"""),"RIVADAVIA Christian C.")</f>
        <v>RIVADAVIA Christian C.</v>
      </c>
      <c r="F5657" s="1" t="str">
        <f t="shared" si="1"/>
        <v>RIVADAVIA </v>
      </c>
      <c r="G5657" s="1" t="str">
        <f t="shared" si="2"/>
        <v>Christian C.</v>
      </c>
      <c r="H5657" s="1" t="str">
        <f>IFERROR(__xludf.DUMMYFUNCTION("""COMPUTED_VALUE"""),"24/4/2023, 17:00:00")</f>
        <v>24/4/2023, 17:00:00</v>
      </c>
      <c r="I5657" s="1"/>
      <c r="J5657" s="1">
        <f t="shared" si="3"/>
        <v>0</v>
      </c>
      <c r="K5657" s="1" t="str">
        <f t="shared" si="4"/>
        <v/>
      </c>
    </row>
    <row r="5658">
      <c r="A5658" s="1">
        <f>IFERROR(__xludf.DUMMYFUNCTION("""COMPUTED_VALUE"""),90223.0)</f>
        <v>90223</v>
      </c>
      <c r="B5658" s="5">
        <f>IFERROR(__xludf.DUMMYFUNCTION("""COMPUTED_VALUE"""),45034.41421537037)</f>
        <v>45034.41422</v>
      </c>
      <c r="C5658" s="1" t="str">
        <f>IFERROR(__xludf.DUMMYFUNCTION("""COMPUTED_VALUE"""),"PEREIRA ANA CARMEN")</f>
        <v>PEREIRA ANA CARMEN</v>
      </c>
      <c r="D5658" s="1" t="str">
        <f>IFERROR(__xludf.DUMMYFUNCTION("""COMPUTED_VALUE"""),"Lentes de STOCK")</f>
        <v>Lentes de STOCK</v>
      </c>
      <c r="E5658" s="1" t="str">
        <f>IFERROR(__xludf.DUMMYFUNCTION("""COMPUTED_VALUE"""),"ARTIGAS Roció")</f>
        <v>ARTIGAS Roció</v>
      </c>
      <c r="F5658" s="1" t="str">
        <f t="shared" si="1"/>
        <v>ARTIGAS </v>
      </c>
      <c r="G5658" s="1" t="str">
        <f t="shared" si="2"/>
        <v>Roció</v>
      </c>
      <c r="H5658" s="1" t="str">
        <f>IFERROR(__xludf.DUMMYFUNCTION("""COMPUTED_VALUE"""),"26/4/2023, 17:00:00")</f>
        <v>26/4/2023, 17:00:00</v>
      </c>
      <c r="I5658" s="1" t="str">
        <f>IFERROR(__xludf.DUMMYFUNCTION("""COMPUTED_VALUE"""),"Recibido en Laboratorio")</f>
        <v>Recibido en Laboratorio</v>
      </c>
      <c r="J5658" s="1">
        <f t="shared" si="3"/>
        <v>2</v>
      </c>
      <c r="K5658" s="1" t="str">
        <f t="shared" si="4"/>
        <v>Nuestro Laboratorio esta trabajando en tus lentes, los entregaremos en la fecha acordada.</v>
      </c>
    </row>
    <row r="5659">
      <c r="A5659" s="1">
        <f>IFERROR(__xludf.DUMMYFUNCTION("""COMPUTED_VALUE"""),90224.0)</f>
        <v>90224</v>
      </c>
      <c r="B5659" s="5">
        <f>IFERROR(__xludf.DUMMYFUNCTION("""COMPUTED_VALUE"""),45034.42400086806)</f>
        <v>45034.424</v>
      </c>
      <c r="C5659" s="1" t="str">
        <f>IFERROR(__xludf.DUMMYFUNCTION("""COMPUTED_VALUE"""),"MERCAU MIRTHA EDITH")</f>
        <v>MERCAU MIRTHA EDITH</v>
      </c>
      <c r="D5659" s="1" t="str">
        <f>IFERROR(__xludf.DUMMYFUNCTION("""COMPUTED_VALUE"""),"Lentes de STOCK")</f>
        <v>Lentes de STOCK</v>
      </c>
      <c r="E5659" s="1" t="str">
        <f>IFERROR(__xludf.DUMMYFUNCTION("""COMPUTED_VALUE"""),"ARTIGAS Roció")</f>
        <v>ARTIGAS Roció</v>
      </c>
      <c r="F5659" s="1" t="str">
        <f t="shared" si="1"/>
        <v>ARTIGAS </v>
      </c>
      <c r="G5659" s="1" t="str">
        <f t="shared" si="2"/>
        <v>Roció</v>
      </c>
      <c r="H5659" s="1" t="str">
        <f>IFERROR(__xludf.DUMMYFUNCTION("""COMPUTED_VALUE"""),"27/4/2023, 17:00:00")</f>
        <v>27/4/2023, 17:00:00</v>
      </c>
      <c r="I5659" s="1"/>
      <c r="J5659" s="1">
        <f t="shared" si="3"/>
        <v>0</v>
      </c>
      <c r="K5659" s="1" t="str">
        <f t="shared" si="4"/>
        <v/>
      </c>
    </row>
    <row r="5660">
      <c r="A5660" s="1">
        <f>IFERROR(__xludf.DUMMYFUNCTION("""COMPUTED_VALUE"""),90225.0)</f>
        <v>90225</v>
      </c>
      <c r="B5660" s="5">
        <f>IFERROR(__xludf.DUMMYFUNCTION("""COMPUTED_VALUE"""),45034.42713826388)</f>
        <v>45034.42714</v>
      </c>
      <c r="C5660" s="1" t="str">
        <f>IFERROR(__xludf.DUMMYFUNCTION("""COMPUTED_VALUE"""),"GAUNA BLANCA")</f>
        <v>GAUNA BLANCA</v>
      </c>
      <c r="D5660" s="1" t="str">
        <f>IFERROR(__xludf.DUMMYFUNCTION("""COMPUTED_VALUE"""),"Lentes MULTIFOCALES")</f>
        <v>Lentes MULTIFOCALES</v>
      </c>
      <c r="E5660" s="1" t="str">
        <f>IFERROR(__xludf.DUMMYFUNCTION("""COMPUTED_VALUE"""),"ARTIGAS Ivana P.")</f>
        <v>ARTIGAS Ivana P.</v>
      </c>
      <c r="F5660" s="1" t="str">
        <f t="shared" si="1"/>
        <v>ARTIGAS </v>
      </c>
      <c r="G5660" s="1" t="str">
        <f t="shared" si="2"/>
        <v>Ivana P.</v>
      </c>
      <c r="H5660" s="1" t="str">
        <f>IFERROR(__xludf.DUMMYFUNCTION("""COMPUTED_VALUE"""),"2/5/2023, 17:00:00")</f>
        <v>2/5/2023, 17:00:00</v>
      </c>
      <c r="I5660" s="1" t="str">
        <f>IFERROR(__xludf.DUMMYFUNCTION("""COMPUTED_VALUE"""),"Recibido en Laboratorio")</f>
        <v>Recibido en Laboratorio</v>
      </c>
      <c r="J5660" s="1">
        <f t="shared" si="3"/>
        <v>2</v>
      </c>
      <c r="K5660" s="1" t="str">
        <f t="shared" si="4"/>
        <v>Nuestro Laboratorio esta trabajando en tus lentes, los entregaremos en la fecha acordada.</v>
      </c>
    </row>
    <row r="5661">
      <c r="A5661" s="1">
        <f>IFERROR(__xludf.DUMMYFUNCTION("""COMPUTED_VALUE"""),90226.0)</f>
        <v>90226</v>
      </c>
      <c r="B5661" s="5">
        <f>IFERROR(__xludf.DUMMYFUNCTION("""COMPUTED_VALUE"""),45034.42721519676)</f>
        <v>45034.42722</v>
      </c>
      <c r="C5661" s="1" t="str">
        <f>IFERROR(__xludf.DUMMYFUNCTION("""COMPUTED_VALUE"""),"GALANTE VIVIANA")</f>
        <v>GALANTE VIVIANA</v>
      </c>
      <c r="D5661" s="1" t="str">
        <f>IFERROR(__xludf.DUMMYFUNCTION("""COMPUTED_VALUE"""),"Reparaciones/Otros")</f>
        <v>Reparaciones/Otros</v>
      </c>
      <c r="E5661" s="1" t="str">
        <f>IFERROR(__xludf.DUMMYFUNCTION("""COMPUTED_VALUE"""),"RIVADAVIA Santiago LOPEZ")</f>
        <v>RIVADAVIA Santiago LOPEZ</v>
      </c>
      <c r="F5661" s="1" t="str">
        <f t="shared" si="1"/>
        <v>RIVADAVIA </v>
      </c>
      <c r="G5661" s="1" t="str">
        <f t="shared" si="2"/>
        <v>Santiago LOPEZ</v>
      </c>
      <c r="H5661" s="1" t="str">
        <f>IFERROR(__xludf.DUMMYFUNCTION("""COMPUTED_VALUE"""),"19/4/2023, 17:00:00")</f>
        <v>19/4/2023, 17:00:00</v>
      </c>
      <c r="I5661" s="1" t="str">
        <f>IFERROR(__xludf.DUMMYFUNCTION("""COMPUTED_VALUE"""),"Completado en SUCURSAL")</f>
        <v>Completado en SUCURSAL</v>
      </c>
      <c r="J5661" s="1">
        <f t="shared" si="3"/>
        <v>5</v>
      </c>
      <c r="K5661" s="1" t="str">
        <f t="shared" si="4"/>
        <v>Tus Lentes estan LISTAS PARA ENTREGAR, te esperamos.</v>
      </c>
    </row>
    <row r="5662">
      <c r="A5662" s="1">
        <f>IFERROR(__xludf.DUMMYFUNCTION("""COMPUTED_VALUE"""),90227.0)</f>
        <v>90227</v>
      </c>
      <c r="B5662" s="5">
        <f>IFERROR(__xludf.DUMMYFUNCTION("""COMPUTED_VALUE"""),45034.42725689815)</f>
        <v>45034.42726</v>
      </c>
      <c r="C5662" s="1" t="str">
        <f>IFERROR(__xludf.DUMMYFUNCTION("""COMPUTED_VALUE"""),"Fenoglio Santiago")</f>
        <v>Fenoglio Santiago</v>
      </c>
      <c r="D5662" s="1" t="str">
        <f>IFERROR(__xludf.DUMMYFUNCTION("""COMPUTED_VALUE"""),"Reparaciones/Otros")</f>
        <v>Reparaciones/Otros</v>
      </c>
      <c r="E5662" s="1" t="str">
        <f>IFERROR(__xludf.DUMMYFUNCTION("""COMPUTED_VALUE"""),"ARTIGAS Sandra G")</f>
        <v>ARTIGAS Sandra G</v>
      </c>
      <c r="F5662" s="1" t="str">
        <f t="shared" si="1"/>
        <v>ARTIGAS </v>
      </c>
      <c r="G5662" s="1" t="str">
        <f t="shared" si="2"/>
        <v>Sandra G</v>
      </c>
      <c r="H5662" s="1" t="str">
        <f>IFERROR(__xludf.DUMMYFUNCTION("""COMPUTED_VALUE"""),"19/4/2023, 17:00:00")</f>
        <v>19/4/2023, 17:00:00</v>
      </c>
      <c r="I5662" s="1" t="str">
        <f>IFERROR(__xludf.DUMMYFUNCTION("""COMPUTED_VALUE"""),"Completado en SUCURSAL")</f>
        <v>Completado en SUCURSAL</v>
      </c>
      <c r="J5662" s="1">
        <f t="shared" si="3"/>
        <v>5</v>
      </c>
      <c r="K5662" s="1" t="str">
        <f t="shared" si="4"/>
        <v>Tus Lentes estan LISTAS PARA ENTREGAR, te esperamos.</v>
      </c>
    </row>
    <row r="5663">
      <c r="A5663" s="1">
        <f>IFERROR(__xludf.DUMMYFUNCTION("""COMPUTED_VALUE"""),90228.0)</f>
        <v>90228</v>
      </c>
      <c r="B5663" s="5">
        <f>IFERROR(__xludf.DUMMYFUNCTION("""COMPUTED_VALUE"""),45034.43196665509)</f>
        <v>45034.43197</v>
      </c>
      <c r="C5663" s="1" t="str">
        <f>IFERROR(__xludf.DUMMYFUNCTION("""COMPUTED_VALUE"""),"velazquez karina")</f>
        <v>velazquez karina</v>
      </c>
      <c r="D5663" s="1" t="str">
        <f>IFERROR(__xludf.DUMMYFUNCTION("""COMPUTED_VALUE"""),"Reparaciones/Otros")</f>
        <v>Reparaciones/Otros</v>
      </c>
      <c r="E5663" s="1" t="str">
        <f>IFERROR(__xludf.DUMMYFUNCTION("""COMPUTED_VALUE"""),"RIVADAVIA Daniel CM")</f>
        <v>RIVADAVIA Daniel CM</v>
      </c>
      <c r="F5663" s="1" t="str">
        <f t="shared" si="1"/>
        <v>RIVADAVIA </v>
      </c>
      <c r="G5663" s="1" t="str">
        <f t="shared" si="2"/>
        <v>Daniel CM</v>
      </c>
      <c r="H5663" s="1" t="str">
        <f>IFERROR(__xludf.DUMMYFUNCTION("""COMPUTED_VALUE"""),"19/4/2023, 17:00:00")</f>
        <v>19/4/2023, 17:00:00</v>
      </c>
      <c r="I5663" s="1" t="str">
        <f>IFERROR(__xludf.DUMMYFUNCTION("""COMPUTED_VALUE"""),"Completado en SUCURSAL")</f>
        <v>Completado en SUCURSAL</v>
      </c>
      <c r="J5663" s="1">
        <f t="shared" si="3"/>
        <v>5</v>
      </c>
      <c r="K5663" s="1" t="str">
        <f t="shared" si="4"/>
        <v>Tus Lentes estan LISTAS PARA ENTREGAR, te esperamos.</v>
      </c>
    </row>
    <row r="5664">
      <c r="A5664" s="1">
        <f>IFERROR(__xludf.DUMMYFUNCTION("""COMPUTED_VALUE"""),90229.0)</f>
        <v>90229</v>
      </c>
      <c r="B5664" s="5">
        <f>IFERROR(__xludf.DUMMYFUNCTION("""COMPUTED_VALUE"""),45034.4387394213)</f>
        <v>45034.43874</v>
      </c>
      <c r="C5664" s="1" t="str">
        <f>IFERROR(__xludf.DUMMYFUNCTION("""COMPUTED_VALUE"""),"VAZQUEZ MARTIN")</f>
        <v>VAZQUEZ MARTIN</v>
      </c>
      <c r="D5664" s="1" t="str">
        <f>IFERROR(__xludf.DUMMYFUNCTION("""COMPUTED_VALUE"""),"Reparaciones/Otros")</f>
        <v>Reparaciones/Otros</v>
      </c>
      <c r="E5664" s="1" t="str">
        <f>IFERROR(__xludf.DUMMYFUNCTION("""COMPUTED_VALUE"""),"RIVADAVIA Santiago N")</f>
        <v>RIVADAVIA Santiago N</v>
      </c>
      <c r="F5664" s="1" t="str">
        <f t="shared" si="1"/>
        <v>RIVADAVIA </v>
      </c>
      <c r="G5664" s="1" t="str">
        <f t="shared" si="2"/>
        <v>Santiago N</v>
      </c>
      <c r="H5664" s="1" t="str">
        <f>IFERROR(__xludf.DUMMYFUNCTION("""COMPUTED_VALUE"""),"19/4/2023, 17:00:00")</f>
        <v>19/4/2023, 17:00:00</v>
      </c>
      <c r="I5664" s="1" t="str">
        <f>IFERROR(__xludf.DUMMYFUNCTION("""COMPUTED_VALUE"""),"Completado en SUCURSAL")</f>
        <v>Completado en SUCURSAL</v>
      </c>
      <c r="J5664" s="1">
        <f t="shared" si="3"/>
        <v>5</v>
      </c>
      <c r="K5664" s="1" t="str">
        <f t="shared" si="4"/>
        <v>Tus Lentes estan LISTAS PARA ENTREGAR, te esperamos.</v>
      </c>
    </row>
    <row r="5665">
      <c r="A5665" s="1">
        <f>IFERROR(__xludf.DUMMYFUNCTION("""COMPUTED_VALUE"""),90230.0)</f>
        <v>90230</v>
      </c>
      <c r="B5665" s="5">
        <f>IFERROR(__xludf.DUMMYFUNCTION("""COMPUTED_VALUE"""),45034.439193171296)</f>
        <v>45034.43919</v>
      </c>
      <c r="C5665" s="1" t="str">
        <f>IFERROR(__xludf.DUMMYFUNCTION("""COMPUTED_VALUE"""),"JURI JAVIER")</f>
        <v>JURI JAVIER</v>
      </c>
      <c r="D5665" s="1" t="str">
        <f>IFERROR(__xludf.DUMMYFUNCTION("""COMPUTED_VALUE"""),"Reparaciones/Otros")</f>
        <v>Reparaciones/Otros</v>
      </c>
      <c r="E5665" s="1" t="str">
        <f>IFERROR(__xludf.DUMMYFUNCTION("""COMPUTED_VALUE"""),"RIVADAVIA Daniel CM")</f>
        <v>RIVADAVIA Daniel CM</v>
      </c>
      <c r="F5665" s="1" t="str">
        <f t="shared" si="1"/>
        <v>RIVADAVIA </v>
      </c>
      <c r="G5665" s="1" t="str">
        <f t="shared" si="2"/>
        <v>Daniel CM</v>
      </c>
      <c r="H5665" s="1" t="str">
        <f>IFERROR(__xludf.DUMMYFUNCTION("""COMPUTED_VALUE"""),"19/4/2023, 17:00:00")</f>
        <v>19/4/2023, 17:00:00</v>
      </c>
      <c r="I5665" s="1" t="str">
        <f>IFERROR(__xludf.DUMMYFUNCTION("""COMPUTED_VALUE"""),"Completado en SUCURSAL")</f>
        <v>Completado en SUCURSAL</v>
      </c>
      <c r="J5665" s="1">
        <f t="shared" si="3"/>
        <v>5</v>
      </c>
      <c r="K5665" s="1" t="str">
        <f t="shared" si="4"/>
        <v>Tus Lentes estan LISTAS PARA ENTREGAR, te esperamos.</v>
      </c>
    </row>
    <row r="5666">
      <c r="A5666" s="1">
        <f>IFERROR(__xludf.DUMMYFUNCTION("""COMPUTED_VALUE"""),90231.0)</f>
        <v>90231</v>
      </c>
      <c r="B5666" s="5">
        <f>IFERROR(__xludf.DUMMYFUNCTION("""COMPUTED_VALUE"""),45034.43973020834)</f>
        <v>45034.43973</v>
      </c>
      <c r="C5666" s="1" t="str">
        <f>IFERROR(__xludf.DUMMYFUNCTION("""COMPUTED_VALUE"""),"SINCOVICH CLAUDIO FERNANDO")</f>
        <v>SINCOVICH CLAUDIO FERNANDO</v>
      </c>
      <c r="D5666" s="1" t="str">
        <f>IFERROR(__xludf.DUMMYFUNCTION("""COMPUTED_VALUE"""),"Lentes de STOCK")</f>
        <v>Lentes de STOCK</v>
      </c>
      <c r="E5666" s="1" t="str">
        <f>IFERROR(__xludf.DUMMYFUNCTION("""COMPUTED_VALUE"""),"RIVADAVIA Marcela L")</f>
        <v>RIVADAVIA Marcela L</v>
      </c>
      <c r="F5666" s="1" t="str">
        <f t="shared" si="1"/>
        <v>RIVADAVIA </v>
      </c>
      <c r="G5666" s="1" t="str">
        <f t="shared" si="2"/>
        <v>Marcela L</v>
      </c>
      <c r="H5666" s="1" t="str">
        <f>IFERROR(__xludf.DUMMYFUNCTION("""COMPUTED_VALUE"""),"21/4/2023, 17:00:00")</f>
        <v>21/4/2023, 17:00:00</v>
      </c>
      <c r="I5666" s="1" t="str">
        <f>IFERROR(__xludf.DUMMYFUNCTION("""COMPUTED_VALUE"""),"Recibido en Laboratorio")</f>
        <v>Recibido en Laboratorio</v>
      </c>
      <c r="J5666" s="1">
        <f t="shared" si="3"/>
        <v>2</v>
      </c>
      <c r="K5666" s="1" t="str">
        <f t="shared" si="4"/>
        <v>Nuestro Laboratorio esta trabajando en tus lentes, los entregaremos en la fecha acordada.</v>
      </c>
    </row>
    <row r="5667">
      <c r="A5667" s="1">
        <f>IFERROR(__xludf.DUMMYFUNCTION("""COMPUTED_VALUE"""),90232.0)</f>
        <v>90232</v>
      </c>
      <c r="B5667" s="5">
        <f>IFERROR(__xludf.DUMMYFUNCTION("""COMPUTED_VALUE"""),45034.441311180555)</f>
        <v>45034.44131</v>
      </c>
      <c r="C5667" s="1" t="str">
        <f>IFERROR(__xludf.DUMMYFUNCTION("""COMPUTED_VALUE"""),"romero luciana")</f>
        <v>romero luciana</v>
      </c>
      <c r="D5667" s="1" t="str">
        <f>IFERROR(__xludf.DUMMYFUNCTION("""COMPUTED_VALUE"""),"Lentes de STOCK")</f>
        <v>Lentes de STOCK</v>
      </c>
      <c r="E5667" s="1" t="str">
        <f>IFERROR(__xludf.DUMMYFUNCTION("""COMPUTED_VALUE"""),"RIVADAVIA Daniel CM")</f>
        <v>RIVADAVIA Daniel CM</v>
      </c>
      <c r="F5667" s="1" t="str">
        <f t="shared" si="1"/>
        <v>RIVADAVIA </v>
      </c>
      <c r="G5667" s="1" t="str">
        <f t="shared" si="2"/>
        <v>Daniel CM</v>
      </c>
      <c r="H5667" s="1" t="str">
        <f>IFERROR(__xludf.DUMMYFUNCTION("""COMPUTED_VALUE"""),"24/4/2023, 17:00:00")</f>
        <v>24/4/2023, 17:00:00</v>
      </c>
      <c r="I5667" s="1"/>
      <c r="J5667" s="1">
        <f t="shared" si="3"/>
        <v>0</v>
      </c>
      <c r="K5667" s="1" t="str">
        <f t="shared" si="4"/>
        <v/>
      </c>
    </row>
    <row r="5668">
      <c r="A5668" s="1">
        <f>IFERROR(__xludf.DUMMYFUNCTION("""COMPUTED_VALUE"""),90233.0)</f>
        <v>90233</v>
      </c>
      <c r="B5668" s="5">
        <f>IFERROR(__xludf.DUMMYFUNCTION("""COMPUTED_VALUE"""),45034.45168414352)</f>
        <v>45034.45168</v>
      </c>
      <c r="C5668" s="1" t="str">
        <f>IFERROR(__xludf.DUMMYFUNCTION("""COMPUTED_VALUE"""),"LUCERO MARGARITA OBDULIA")</f>
        <v>LUCERO MARGARITA OBDULIA</v>
      </c>
      <c r="D5668" s="1" t="str">
        <f>IFERROR(__xludf.DUMMYFUNCTION("""COMPUTED_VALUE"""),"Lentes de STOCK")</f>
        <v>Lentes de STOCK</v>
      </c>
      <c r="E5668" s="1" t="str">
        <f>IFERROR(__xludf.DUMMYFUNCTION("""COMPUTED_VALUE"""),"ARTIGAS Roció")</f>
        <v>ARTIGAS Roció</v>
      </c>
      <c r="F5668" s="1" t="str">
        <f t="shared" si="1"/>
        <v>ARTIGAS </v>
      </c>
      <c r="G5668" s="1" t="str">
        <f t="shared" si="2"/>
        <v>Roció</v>
      </c>
      <c r="H5668" s="1" t="str">
        <f>IFERROR(__xludf.DUMMYFUNCTION("""COMPUTED_VALUE"""),"21/4/2023, 17:00:00")</f>
        <v>21/4/2023, 17:00:00</v>
      </c>
      <c r="I5668" s="1" t="str">
        <f>IFERROR(__xludf.DUMMYFUNCTION("""COMPUTED_VALUE"""),"Recibido en Laboratorio")</f>
        <v>Recibido en Laboratorio</v>
      </c>
      <c r="J5668" s="1">
        <f t="shared" si="3"/>
        <v>2</v>
      </c>
      <c r="K5668" s="1" t="str">
        <f t="shared" si="4"/>
        <v>Nuestro Laboratorio esta trabajando en tus lentes, los entregaremos en la fecha acordada.</v>
      </c>
    </row>
    <row r="5669">
      <c r="A5669" s="1">
        <f>IFERROR(__xludf.DUMMYFUNCTION("""COMPUTED_VALUE"""),90234.0)</f>
        <v>90234</v>
      </c>
      <c r="B5669" s="5">
        <f>IFERROR(__xludf.DUMMYFUNCTION("""COMPUTED_VALUE"""),45034.45801203704)</f>
        <v>45034.45801</v>
      </c>
      <c r="C5669" s="1" t="str">
        <f>IFERROR(__xludf.DUMMYFUNCTION("""COMPUTED_VALUE"""),"CERATTO JORGE")</f>
        <v>CERATTO JORGE</v>
      </c>
      <c r="D5669" s="1" t="str">
        <f>IFERROR(__xludf.DUMMYFUNCTION("""COMPUTED_VALUE"""),"Lentes BIFOCALES")</f>
        <v>Lentes BIFOCALES</v>
      </c>
      <c r="E5669" s="1" t="str">
        <f>IFERROR(__xludf.DUMMYFUNCTION("""COMPUTED_VALUE"""),"ARTIGAS Ivana P.")</f>
        <v>ARTIGAS Ivana P.</v>
      </c>
      <c r="F5669" s="1" t="str">
        <f t="shared" si="1"/>
        <v>ARTIGAS </v>
      </c>
      <c r="G5669" s="1" t="str">
        <f t="shared" si="2"/>
        <v>Ivana P.</v>
      </c>
      <c r="H5669" s="1" t="str">
        <f>IFERROR(__xludf.DUMMYFUNCTION("""COMPUTED_VALUE"""),"25/4/2023, 17:00:00")</f>
        <v>25/4/2023, 17:00:00</v>
      </c>
      <c r="I5669" s="1" t="str">
        <f>IFERROR(__xludf.DUMMYFUNCTION("""COMPUTED_VALUE"""),"Recibido en Laboratorio")</f>
        <v>Recibido en Laboratorio</v>
      </c>
      <c r="J5669" s="1">
        <f t="shared" si="3"/>
        <v>2</v>
      </c>
      <c r="K5669" s="1" t="str">
        <f t="shared" si="4"/>
        <v>Nuestro Laboratorio esta trabajando en tus lentes, los entregaremos en la fecha acordada.</v>
      </c>
    </row>
    <row r="5670">
      <c r="A5670" s="1">
        <f>IFERROR(__xludf.DUMMYFUNCTION("""COMPUTED_VALUE"""),90235.0)</f>
        <v>90235</v>
      </c>
      <c r="B5670" s="5">
        <f>IFERROR(__xludf.DUMMYFUNCTION("""COMPUTED_VALUE"""),45034.46251149305)</f>
        <v>45034.46251</v>
      </c>
      <c r="C5670" s="1" t="str">
        <f>IFERROR(__xludf.DUMMYFUNCTION("""COMPUTED_VALUE"""),"PEREZ MARISA")</f>
        <v>PEREZ MARISA</v>
      </c>
      <c r="D5670" s="1" t="str">
        <f>IFERROR(__xludf.DUMMYFUNCTION("""COMPUTED_VALUE"""),"Reparaciones/Otros")</f>
        <v>Reparaciones/Otros</v>
      </c>
      <c r="E5670" s="1" t="str">
        <f>IFERROR(__xludf.DUMMYFUNCTION("""COMPUTED_VALUE"""),"RIVADAVIA Christian C.")</f>
        <v>RIVADAVIA Christian C.</v>
      </c>
      <c r="F5670" s="1" t="str">
        <f t="shared" si="1"/>
        <v>RIVADAVIA </v>
      </c>
      <c r="G5670" s="1" t="str">
        <f t="shared" si="2"/>
        <v>Christian C.</v>
      </c>
      <c r="H5670" s="1" t="str">
        <f>IFERROR(__xludf.DUMMYFUNCTION("""COMPUTED_VALUE"""),"19/4/2023, 17:00:00")</f>
        <v>19/4/2023, 17:00:00</v>
      </c>
      <c r="I5670" s="1" t="str">
        <f>IFERROR(__xludf.DUMMYFUNCTION("""COMPUTED_VALUE"""),"Completado en SUCURSAL")</f>
        <v>Completado en SUCURSAL</v>
      </c>
      <c r="J5670" s="1">
        <f t="shared" si="3"/>
        <v>5</v>
      </c>
      <c r="K5670" s="1" t="str">
        <f t="shared" si="4"/>
        <v>Tus Lentes estan LISTAS PARA ENTREGAR, te esperamos.</v>
      </c>
    </row>
    <row r="5671">
      <c r="A5671" s="1">
        <f>IFERROR(__xludf.DUMMYFUNCTION("""COMPUTED_VALUE"""),90236.0)</f>
        <v>90236</v>
      </c>
      <c r="B5671" s="5">
        <f>IFERROR(__xludf.DUMMYFUNCTION("""COMPUTED_VALUE"""),45034.4689883449)</f>
        <v>45034.46899</v>
      </c>
      <c r="C5671" s="1" t="str">
        <f>IFERROR(__xludf.DUMMYFUNCTION("""COMPUTED_VALUE"""),"MASSA ANALIA")</f>
        <v>MASSA ANALIA</v>
      </c>
      <c r="D5671" s="1" t="str">
        <f>IFERROR(__xludf.DUMMYFUNCTION("""COMPUTED_VALUE"""),"Lentes MULTIFOCALES")</f>
        <v>Lentes MULTIFOCALES</v>
      </c>
      <c r="E5671" s="1" t="str">
        <f>IFERROR(__xludf.DUMMYFUNCTION("""COMPUTED_VALUE"""),"ARTIGAS Roció")</f>
        <v>ARTIGAS Roció</v>
      </c>
      <c r="F5671" s="1" t="str">
        <f t="shared" si="1"/>
        <v>ARTIGAS </v>
      </c>
      <c r="G5671" s="1" t="str">
        <f t="shared" si="2"/>
        <v>Roció</v>
      </c>
      <c r="H5671" s="1" t="str">
        <f>IFERROR(__xludf.DUMMYFUNCTION("""COMPUTED_VALUE"""),"5/5/2023, 17:00:00")</f>
        <v>5/5/2023, 17:00:00</v>
      </c>
      <c r="I5671" s="1" t="str">
        <f>IFERROR(__xludf.DUMMYFUNCTION("""COMPUTED_VALUE"""),"Recibido en Laboratorio")</f>
        <v>Recibido en Laboratorio</v>
      </c>
      <c r="J5671" s="1">
        <f t="shared" si="3"/>
        <v>2</v>
      </c>
      <c r="K5671" s="1" t="str">
        <f t="shared" si="4"/>
        <v>Nuestro Laboratorio esta trabajando en tus lentes, los entregaremos en la fecha acordada.</v>
      </c>
    </row>
    <row r="5672">
      <c r="A5672" s="1">
        <f>IFERROR(__xludf.DUMMYFUNCTION("""COMPUTED_VALUE"""),90237.0)</f>
        <v>90237</v>
      </c>
      <c r="B5672" s="5">
        <f>IFERROR(__xludf.DUMMYFUNCTION("""COMPUTED_VALUE"""),45034.46914945602)</f>
        <v>45034.46915</v>
      </c>
      <c r="C5672" s="1" t="str">
        <f>IFERROR(__xludf.DUMMYFUNCTION("""COMPUTED_VALUE"""),"MUÑOZ SASSO NAOMI")</f>
        <v>MUÑOZ SASSO NAOMI</v>
      </c>
      <c r="D5672" s="1" t="str">
        <f>IFERROR(__xludf.DUMMYFUNCTION("""COMPUTED_VALUE"""),"Lentes de STOCK")</f>
        <v>Lentes de STOCK</v>
      </c>
      <c r="E5672" s="1" t="str">
        <f>IFERROR(__xludf.DUMMYFUNCTION("""COMPUTED_VALUE"""),"RIVADAVIA Santiago N")</f>
        <v>RIVADAVIA Santiago N</v>
      </c>
      <c r="F5672" s="1" t="str">
        <f t="shared" si="1"/>
        <v>RIVADAVIA </v>
      </c>
      <c r="G5672" s="1" t="str">
        <f t="shared" si="2"/>
        <v>Santiago N</v>
      </c>
      <c r="H5672" s="1" t="str">
        <f>IFERROR(__xludf.DUMMYFUNCTION("""COMPUTED_VALUE"""),"21/4/2023, 17:00:00")</f>
        <v>21/4/2023, 17:00:00</v>
      </c>
      <c r="I5672" s="1"/>
      <c r="J5672" s="1">
        <f t="shared" si="3"/>
        <v>0</v>
      </c>
      <c r="K5672" s="1" t="str">
        <f t="shared" si="4"/>
        <v/>
      </c>
    </row>
    <row r="5673">
      <c r="A5673" s="1">
        <f>IFERROR(__xludf.DUMMYFUNCTION("""COMPUTED_VALUE"""),90238.0)</f>
        <v>90238</v>
      </c>
      <c r="B5673" s="5">
        <f>IFERROR(__xludf.DUMMYFUNCTION("""COMPUTED_VALUE"""),45034.47060178241)</f>
        <v>45034.4706</v>
      </c>
      <c r="C5673" s="1" t="str">
        <f>IFERROR(__xludf.DUMMYFUNCTION("""COMPUTED_VALUE"""),"KARRA MARTA CARMEN")</f>
        <v>KARRA MARTA CARMEN</v>
      </c>
      <c r="D5673" s="1" t="str">
        <f>IFERROR(__xludf.DUMMYFUNCTION("""COMPUTED_VALUE"""),"Lentes BIFOCALES")</f>
        <v>Lentes BIFOCALES</v>
      </c>
      <c r="E5673" s="1" t="str">
        <f>IFERROR(__xludf.DUMMYFUNCTION("""COMPUTED_VALUE"""),"RIVADAVIA Marcela L")</f>
        <v>RIVADAVIA Marcela L</v>
      </c>
      <c r="F5673" s="1" t="str">
        <f t="shared" si="1"/>
        <v>RIVADAVIA </v>
      </c>
      <c r="G5673" s="1" t="str">
        <f t="shared" si="2"/>
        <v>Marcela L</v>
      </c>
      <c r="H5673" s="1" t="str">
        <f>IFERROR(__xludf.DUMMYFUNCTION("""COMPUTED_VALUE"""),"24/4/2023, 17:00:00")</f>
        <v>24/4/2023, 17:00:00</v>
      </c>
      <c r="I5673" s="1" t="str">
        <f>IFERROR(__xludf.DUMMYFUNCTION("""COMPUTED_VALUE"""),"Recibido en Laboratorio")</f>
        <v>Recibido en Laboratorio</v>
      </c>
      <c r="J5673" s="1">
        <f t="shared" si="3"/>
        <v>2</v>
      </c>
      <c r="K5673" s="1" t="str">
        <f t="shared" si="4"/>
        <v>Nuestro Laboratorio esta trabajando en tus lentes, los entregaremos en la fecha acordada.</v>
      </c>
    </row>
    <row r="5674">
      <c r="A5674" s="1">
        <f>IFERROR(__xludf.DUMMYFUNCTION("""COMPUTED_VALUE"""),90239.0)</f>
        <v>90239</v>
      </c>
      <c r="B5674" s="5">
        <f>IFERROR(__xludf.DUMMYFUNCTION("""COMPUTED_VALUE"""),45034.48035288195)</f>
        <v>45034.48035</v>
      </c>
      <c r="C5674" s="1" t="str">
        <f>IFERROR(__xludf.DUMMYFUNCTION("""COMPUTED_VALUE"""),"FERNANDEZ, BEATRIZ SOLEDAD")</f>
        <v>FERNANDEZ, BEATRIZ SOLEDAD</v>
      </c>
      <c r="D5674" s="1" t="str">
        <f>IFERROR(__xludf.DUMMYFUNCTION("""COMPUTED_VALUE"""),"Lentes de STOCK")</f>
        <v>Lentes de STOCK</v>
      </c>
      <c r="E5674" s="1" t="str">
        <f>IFERROR(__xludf.DUMMYFUNCTION("""COMPUTED_VALUE"""),"RIVADAVIA Christian C.")</f>
        <v>RIVADAVIA Christian C.</v>
      </c>
      <c r="F5674" s="1" t="str">
        <f t="shared" si="1"/>
        <v>RIVADAVIA </v>
      </c>
      <c r="G5674" s="1" t="str">
        <f t="shared" si="2"/>
        <v>Christian C.</v>
      </c>
      <c r="H5674" s="1" t="str">
        <f>IFERROR(__xludf.DUMMYFUNCTION("""COMPUTED_VALUE"""),"24/4/2023, 17:00:00")</f>
        <v>24/4/2023, 17:00:00</v>
      </c>
      <c r="I5674" s="1"/>
      <c r="J5674" s="1">
        <f t="shared" si="3"/>
        <v>0</v>
      </c>
      <c r="K5674" s="1" t="str">
        <f t="shared" si="4"/>
        <v/>
      </c>
    </row>
    <row r="5675">
      <c r="A5675" s="1">
        <f>IFERROR(__xludf.DUMMYFUNCTION("""COMPUTED_VALUE"""),90240.0)</f>
        <v>90240</v>
      </c>
      <c r="B5675" s="5">
        <f>IFERROR(__xludf.DUMMYFUNCTION("""COMPUTED_VALUE"""),45034.48371700232)</f>
        <v>45034.48372</v>
      </c>
      <c r="C5675" s="1" t="str">
        <f>IFERROR(__xludf.DUMMYFUNCTION("""COMPUTED_VALUE"""),"LUCERO ANA")</f>
        <v>LUCERO ANA</v>
      </c>
      <c r="D5675" s="1" t="str">
        <f>IFERROR(__xludf.DUMMYFUNCTION("""COMPUTED_VALUE"""),"Lentes de STOCK")</f>
        <v>Lentes de STOCK</v>
      </c>
      <c r="E5675" s="1" t="str">
        <f>IFERROR(__xludf.DUMMYFUNCTION("""COMPUTED_VALUE"""),"RIVADAVIA Santiago N")</f>
        <v>RIVADAVIA Santiago N</v>
      </c>
      <c r="F5675" s="1" t="str">
        <f t="shared" si="1"/>
        <v>RIVADAVIA </v>
      </c>
      <c r="G5675" s="1" t="str">
        <f t="shared" si="2"/>
        <v>Santiago N</v>
      </c>
      <c r="H5675" s="1" t="str">
        <f>IFERROR(__xludf.DUMMYFUNCTION("""COMPUTED_VALUE"""),"21/4/2023, 17:00:00")</f>
        <v>21/4/2023, 17:00:00</v>
      </c>
      <c r="I5675" s="1"/>
      <c r="J5675" s="1">
        <f t="shared" si="3"/>
        <v>0</v>
      </c>
      <c r="K5675" s="1" t="str">
        <f t="shared" si="4"/>
        <v/>
      </c>
    </row>
    <row r="5676">
      <c r="A5676" s="1">
        <f>IFERROR(__xludf.DUMMYFUNCTION("""COMPUTED_VALUE"""),90241.0)</f>
        <v>90241</v>
      </c>
      <c r="B5676" s="5">
        <f>IFERROR(__xludf.DUMMYFUNCTION("""COMPUTED_VALUE"""),45034.48387052084)</f>
        <v>45034.48387</v>
      </c>
      <c r="C5676" s="1" t="str">
        <f>IFERROR(__xludf.DUMMYFUNCTION("""COMPUTED_VALUE"""),"ESCUDERO CARLOS")</f>
        <v>ESCUDERO CARLOS</v>
      </c>
      <c r="D5676" s="1" t="str">
        <f>IFERROR(__xludf.DUMMYFUNCTION("""COMPUTED_VALUE"""),"Lentes de LABORATORIO")</f>
        <v>Lentes de LABORATORIO</v>
      </c>
      <c r="E5676" s="1" t="str">
        <f>IFERROR(__xludf.DUMMYFUNCTION("""COMPUTED_VALUE"""),"ARTIGAS Ivana P.")</f>
        <v>ARTIGAS Ivana P.</v>
      </c>
      <c r="F5676" s="1" t="str">
        <f t="shared" si="1"/>
        <v>ARTIGAS </v>
      </c>
      <c r="G5676" s="1" t="str">
        <f t="shared" si="2"/>
        <v>Ivana P.</v>
      </c>
      <c r="H5676" s="1" t="str">
        <f>IFERROR(__xludf.DUMMYFUNCTION("""COMPUTED_VALUE"""),"4/5/2023, 17:00:00")</f>
        <v>4/5/2023, 17:00:00</v>
      </c>
      <c r="I5676" s="1" t="str">
        <f>IFERROR(__xludf.DUMMYFUNCTION("""COMPUTED_VALUE"""),"Recibido en Laboratorio")</f>
        <v>Recibido en Laboratorio</v>
      </c>
      <c r="J5676" s="1">
        <f t="shared" si="3"/>
        <v>2</v>
      </c>
      <c r="K5676" s="1" t="str">
        <f t="shared" si="4"/>
        <v>Nuestro Laboratorio esta trabajando en tus lentes, los entregaremos en la fecha acordada.</v>
      </c>
    </row>
    <row r="5677">
      <c r="A5677" s="1">
        <f>IFERROR(__xludf.DUMMYFUNCTION("""COMPUTED_VALUE"""),90242.0)</f>
        <v>90242</v>
      </c>
      <c r="B5677" s="5">
        <f>IFERROR(__xludf.DUMMYFUNCTION("""COMPUTED_VALUE"""),45034.48461934028)</f>
        <v>45034.48462</v>
      </c>
      <c r="C5677" s="1" t="str">
        <f>IFERROR(__xludf.DUMMYFUNCTION("""COMPUTED_VALUE"""),"SILVA CISTERNA OSCAR LUIS")</f>
        <v>SILVA CISTERNA OSCAR LUIS</v>
      </c>
      <c r="D5677" s="1" t="str">
        <f>IFERROR(__xludf.DUMMYFUNCTION("""COMPUTED_VALUE"""),"Lentes BIFOCALES")</f>
        <v>Lentes BIFOCALES</v>
      </c>
      <c r="E5677" s="1" t="str">
        <f>IFERROR(__xludf.DUMMYFUNCTION("""COMPUTED_VALUE"""),"RIVADAVIA Marcela L")</f>
        <v>RIVADAVIA Marcela L</v>
      </c>
      <c r="F5677" s="1" t="str">
        <f t="shared" si="1"/>
        <v>RIVADAVIA </v>
      </c>
      <c r="G5677" s="1" t="str">
        <f t="shared" si="2"/>
        <v>Marcela L</v>
      </c>
      <c r="H5677" s="1" t="str">
        <f>IFERROR(__xludf.DUMMYFUNCTION("""COMPUTED_VALUE"""),"24/4/2023, 17:00:00")</f>
        <v>24/4/2023, 17:00:00</v>
      </c>
      <c r="I5677" s="1"/>
      <c r="J5677" s="1">
        <f t="shared" si="3"/>
        <v>0</v>
      </c>
      <c r="K5677" s="1" t="str">
        <f t="shared" si="4"/>
        <v/>
      </c>
    </row>
    <row r="5678">
      <c r="A5678" s="1">
        <f>IFERROR(__xludf.DUMMYFUNCTION("""COMPUTED_VALUE"""),90243.0)</f>
        <v>90243</v>
      </c>
      <c r="B5678" s="5">
        <f>IFERROR(__xludf.DUMMYFUNCTION("""COMPUTED_VALUE"""),45034.49091017361)</f>
        <v>45034.49091</v>
      </c>
      <c r="C5678" s="1" t="str">
        <f>IFERROR(__xludf.DUMMYFUNCTION("""COMPUTED_VALUE"""),"URQUIZA DANIEL ")</f>
        <v>URQUIZA DANIEL </v>
      </c>
      <c r="D5678" s="1" t="str">
        <f>IFERROR(__xludf.DUMMYFUNCTION("""COMPUTED_VALUE"""),"Lentes MULTIFOCALES")</f>
        <v>Lentes MULTIFOCALES</v>
      </c>
      <c r="E5678" s="1" t="str">
        <f>IFERROR(__xludf.DUMMYFUNCTION("""COMPUTED_VALUE"""),"RIVADAVIA Luciana")</f>
        <v>RIVADAVIA Luciana</v>
      </c>
      <c r="F5678" s="1" t="str">
        <f t="shared" si="1"/>
        <v>RIVADAVIA </v>
      </c>
      <c r="G5678" s="1" t="str">
        <f t="shared" si="2"/>
        <v>Luciana</v>
      </c>
      <c r="H5678" s="1" t="str">
        <f>IFERROR(__xludf.DUMMYFUNCTION("""COMPUTED_VALUE"""),"4/5/2023, 17:00:00")</f>
        <v>4/5/2023, 17:00:00</v>
      </c>
      <c r="I5678" s="1" t="str">
        <f>IFERROR(__xludf.DUMMYFUNCTION("""COMPUTED_VALUE"""),"Recibido en Laboratorio")</f>
        <v>Recibido en Laboratorio</v>
      </c>
      <c r="J5678" s="1">
        <f t="shared" si="3"/>
        <v>2</v>
      </c>
      <c r="K5678" s="1" t="str">
        <f t="shared" si="4"/>
        <v>Nuestro Laboratorio esta trabajando en tus lentes, los entregaremos en la fecha acordada.</v>
      </c>
    </row>
    <row r="5679">
      <c r="A5679" s="1">
        <f>IFERROR(__xludf.DUMMYFUNCTION("""COMPUTED_VALUE"""),90244.0)</f>
        <v>90244</v>
      </c>
      <c r="B5679" s="5">
        <f>IFERROR(__xludf.DUMMYFUNCTION("""COMPUTED_VALUE"""),45034.49384524305)</f>
        <v>45034.49385</v>
      </c>
      <c r="C5679" s="1" t="str">
        <f>IFERROR(__xludf.DUMMYFUNCTION("""COMPUTED_VALUE"""),"FARIAS JORGE")</f>
        <v>FARIAS JORGE</v>
      </c>
      <c r="D5679" s="1" t="str">
        <f>IFERROR(__xludf.DUMMYFUNCTION("""COMPUTED_VALUE"""),"Lentes de STOCK")</f>
        <v>Lentes de STOCK</v>
      </c>
      <c r="E5679" s="1" t="str">
        <f>IFERROR(__xludf.DUMMYFUNCTION("""COMPUTED_VALUE"""),"ARTIGAS Ivana P.")</f>
        <v>ARTIGAS Ivana P.</v>
      </c>
      <c r="F5679" s="1" t="str">
        <f t="shared" si="1"/>
        <v>ARTIGAS </v>
      </c>
      <c r="G5679" s="1" t="str">
        <f t="shared" si="2"/>
        <v>Ivana P.</v>
      </c>
      <c r="H5679" s="1" t="str">
        <f>IFERROR(__xludf.DUMMYFUNCTION("""COMPUTED_VALUE"""),"25/4/2023, 17:00:00")</f>
        <v>25/4/2023, 17:00:00</v>
      </c>
      <c r="I5679" s="1" t="str">
        <f>IFERROR(__xludf.DUMMYFUNCTION("""COMPUTED_VALUE"""),"Recibido en Laboratorio")</f>
        <v>Recibido en Laboratorio</v>
      </c>
      <c r="J5679" s="1">
        <f t="shared" si="3"/>
        <v>2</v>
      </c>
      <c r="K5679" s="1" t="str">
        <f t="shared" si="4"/>
        <v>Nuestro Laboratorio esta trabajando en tus lentes, los entregaremos en la fecha acordada.</v>
      </c>
    </row>
    <row r="5680">
      <c r="A5680" s="1">
        <f>IFERROR(__xludf.DUMMYFUNCTION("""COMPUTED_VALUE"""),90245.0)</f>
        <v>90245</v>
      </c>
      <c r="B5680" s="5">
        <f>IFERROR(__xludf.DUMMYFUNCTION("""COMPUTED_VALUE"""),45034.49410041666)</f>
        <v>45034.4941</v>
      </c>
      <c r="C5680" s="1" t="str">
        <f>IFERROR(__xludf.DUMMYFUNCTION("""COMPUTED_VALUE"""),"solano sonia")</f>
        <v>solano sonia</v>
      </c>
      <c r="D5680" s="1" t="str">
        <f>IFERROR(__xludf.DUMMYFUNCTION("""COMPUTED_VALUE"""),"Reparaciones/Otros")</f>
        <v>Reparaciones/Otros</v>
      </c>
      <c r="E5680" s="1" t="str">
        <f>IFERROR(__xludf.DUMMYFUNCTION("""COMPUTED_VALUE"""),"RIVADAVIA Daniel CM")</f>
        <v>RIVADAVIA Daniel CM</v>
      </c>
      <c r="F5680" s="1" t="str">
        <f t="shared" si="1"/>
        <v>RIVADAVIA </v>
      </c>
      <c r="G5680" s="1" t="str">
        <f t="shared" si="2"/>
        <v>Daniel CM</v>
      </c>
      <c r="H5680" s="1" t="str">
        <f>IFERROR(__xludf.DUMMYFUNCTION("""COMPUTED_VALUE"""),"19/4/2023, 17:00:00")</f>
        <v>19/4/2023, 17:00:00</v>
      </c>
      <c r="I5680" s="1" t="str">
        <f>IFERROR(__xludf.DUMMYFUNCTION("""COMPUTED_VALUE"""),"Completado en SUCURSAL")</f>
        <v>Completado en SUCURSAL</v>
      </c>
      <c r="J5680" s="1">
        <f t="shared" si="3"/>
        <v>5</v>
      </c>
      <c r="K5680" s="1" t="str">
        <f t="shared" si="4"/>
        <v>Tus Lentes estan LISTAS PARA ENTREGAR, te esperamos.</v>
      </c>
    </row>
    <row r="5681">
      <c r="A5681" s="1">
        <f>IFERROR(__xludf.DUMMYFUNCTION("""COMPUTED_VALUE"""),90246.0)</f>
        <v>90246</v>
      </c>
      <c r="B5681" s="5">
        <f>IFERROR(__xludf.DUMMYFUNCTION("""COMPUTED_VALUE"""),45034.49843814815)</f>
        <v>45034.49844</v>
      </c>
      <c r="C5681" s="1" t="str">
        <f>IFERROR(__xludf.DUMMYFUNCTION("""COMPUTED_VALUE"""),"GARRO MARIA ROSA")</f>
        <v>GARRO MARIA ROSA</v>
      </c>
      <c r="D5681" s="1" t="str">
        <f>IFERROR(__xludf.DUMMYFUNCTION("""COMPUTED_VALUE"""),"Lentes de STOCK")</f>
        <v>Lentes de STOCK</v>
      </c>
      <c r="E5681" s="1" t="str">
        <f>IFERROR(__xludf.DUMMYFUNCTION("""COMPUTED_VALUE"""),"ARTIGAS Ivana P.")</f>
        <v>ARTIGAS Ivana P.</v>
      </c>
      <c r="F5681" s="1" t="str">
        <f t="shared" si="1"/>
        <v>ARTIGAS </v>
      </c>
      <c r="G5681" s="1" t="str">
        <f t="shared" si="2"/>
        <v>Ivana P.</v>
      </c>
      <c r="H5681" s="1" t="str">
        <f>IFERROR(__xludf.DUMMYFUNCTION("""COMPUTED_VALUE"""),"25/4/2023, 17:00:00")</f>
        <v>25/4/2023, 17:00:00</v>
      </c>
      <c r="I5681" s="1"/>
      <c r="J5681" s="1">
        <f t="shared" si="3"/>
        <v>0</v>
      </c>
      <c r="K5681" s="1" t="str">
        <f t="shared" si="4"/>
        <v/>
      </c>
    </row>
    <row r="5682">
      <c r="A5682" s="1">
        <f>IFERROR(__xludf.DUMMYFUNCTION("""COMPUTED_VALUE"""),90247.0)</f>
        <v>90247</v>
      </c>
      <c r="B5682" s="5">
        <f>IFERROR(__xludf.DUMMYFUNCTION("""COMPUTED_VALUE"""),45034.499796828706)</f>
        <v>45034.4998</v>
      </c>
      <c r="C5682" s="1" t="str">
        <f>IFERROR(__xludf.DUMMYFUNCTION("""COMPUTED_VALUE"""),"PAEZ MARCELO")</f>
        <v>PAEZ MARCELO</v>
      </c>
      <c r="D5682" s="1" t="str">
        <f>IFERROR(__xludf.DUMMYFUNCTION("""COMPUTED_VALUE"""),"Lentes de STOCK")</f>
        <v>Lentes de STOCK</v>
      </c>
      <c r="E5682" s="1" t="str">
        <f>IFERROR(__xludf.DUMMYFUNCTION("""COMPUTED_VALUE"""),"RIVADAVIA Christian C.")</f>
        <v>RIVADAVIA Christian C.</v>
      </c>
      <c r="F5682" s="1" t="str">
        <f t="shared" si="1"/>
        <v>RIVADAVIA </v>
      </c>
      <c r="G5682" s="1" t="str">
        <f t="shared" si="2"/>
        <v>Christian C.</v>
      </c>
      <c r="H5682" s="1" t="str">
        <f>IFERROR(__xludf.DUMMYFUNCTION("""COMPUTED_VALUE"""),"26/4/2023, 17:00:00")</f>
        <v>26/4/2023, 17:00:00</v>
      </c>
      <c r="I5682" s="1"/>
      <c r="J5682" s="1">
        <f t="shared" si="3"/>
        <v>0</v>
      </c>
      <c r="K5682" s="1" t="str">
        <f t="shared" si="4"/>
        <v/>
      </c>
    </row>
    <row r="5683">
      <c r="A5683" s="1">
        <f>IFERROR(__xludf.DUMMYFUNCTION("""COMPUTED_VALUE"""),90248.0)</f>
        <v>90248</v>
      </c>
      <c r="B5683" s="5">
        <f>IFERROR(__xludf.DUMMYFUNCTION("""COMPUTED_VALUE"""),45034.5081812037)</f>
        <v>45034.50818</v>
      </c>
      <c r="C5683" s="1" t="str">
        <f>IFERROR(__xludf.DUMMYFUNCTION("""COMPUTED_VALUE"""),"ARIAS CARLOS")</f>
        <v>ARIAS CARLOS</v>
      </c>
      <c r="D5683" s="1" t="str">
        <f>IFERROR(__xludf.DUMMYFUNCTION("""COMPUTED_VALUE"""),"Reparaciones/Otros")</f>
        <v>Reparaciones/Otros</v>
      </c>
      <c r="E5683" s="1" t="str">
        <f>IFERROR(__xludf.DUMMYFUNCTION("""COMPUTED_VALUE"""),"ARTIGAS Ivana P.")</f>
        <v>ARTIGAS Ivana P.</v>
      </c>
      <c r="F5683" s="1" t="str">
        <f t="shared" si="1"/>
        <v>ARTIGAS </v>
      </c>
      <c r="G5683" s="1" t="str">
        <f t="shared" si="2"/>
        <v>Ivana P.</v>
      </c>
      <c r="H5683" s="1" t="str">
        <f>IFERROR(__xludf.DUMMYFUNCTION("""COMPUTED_VALUE"""),"19/4/2023, 17:00:00")</f>
        <v>19/4/2023, 17:00:00</v>
      </c>
      <c r="I5683" s="1" t="str">
        <f>IFERROR(__xludf.DUMMYFUNCTION("""COMPUTED_VALUE"""),"Completado en SUCURSAL")</f>
        <v>Completado en SUCURSAL</v>
      </c>
      <c r="J5683" s="1">
        <f t="shared" si="3"/>
        <v>5</v>
      </c>
      <c r="K5683" s="1" t="str">
        <f t="shared" si="4"/>
        <v>Tus Lentes estan LISTAS PARA ENTREGAR, te esperamos.</v>
      </c>
    </row>
    <row r="5684">
      <c r="A5684" s="1">
        <f>IFERROR(__xludf.DUMMYFUNCTION("""COMPUTED_VALUE"""),90249.0)</f>
        <v>90249</v>
      </c>
      <c r="B5684" s="5">
        <f>IFERROR(__xludf.DUMMYFUNCTION("""COMPUTED_VALUE"""),45034.51001103009)</f>
        <v>45034.51001</v>
      </c>
      <c r="C5684" s="1" t="str">
        <f>IFERROR(__xludf.DUMMYFUNCTION("""COMPUTED_VALUE"""),"MIRANDA JUAN")</f>
        <v>MIRANDA JUAN</v>
      </c>
      <c r="D5684" s="1" t="str">
        <f>IFERROR(__xludf.DUMMYFUNCTION("""COMPUTED_VALUE"""),"Lentes de STOCK")</f>
        <v>Lentes de STOCK</v>
      </c>
      <c r="E5684" s="1" t="str">
        <f>IFERROR(__xludf.DUMMYFUNCTION("""COMPUTED_VALUE"""),"ARTIGAS Roció")</f>
        <v>ARTIGAS Roció</v>
      </c>
      <c r="F5684" s="1" t="str">
        <f t="shared" si="1"/>
        <v>ARTIGAS </v>
      </c>
      <c r="G5684" s="1" t="str">
        <f t="shared" si="2"/>
        <v>Roció</v>
      </c>
      <c r="H5684" s="1" t="str">
        <f>IFERROR(__xludf.DUMMYFUNCTION("""COMPUTED_VALUE"""),"25/4/2023, 17:00:00")</f>
        <v>25/4/2023, 17:00:00</v>
      </c>
      <c r="I5684" s="1" t="str">
        <f>IFERROR(__xludf.DUMMYFUNCTION("""COMPUTED_VALUE"""),"Recibido en Laboratorio")</f>
        <v>Recibido en Laboratorio</v>
      </c>
      <c r="J5684" s="1">
        <f t="shared" si="3"/>
        <v>2</v>
      </c>
      <c r="K5684" s="1" t="str">
        <f t="shared" si="4"/>
        <v>Nuestro Laboratorio esta trabajando en tus lentes, los entregaremos en la fecha acordada.</v>
      </c>
    </row>
    <row r="5685">
      <c r="A5685" s="1">
        <f>IFERROR(__xludf.DUMMYFUNCTION("""COMPUTED_VALUE"""),90250.0)</f>
        <v>90250</v>
      </c>
      <c r="B5685" s="5">
        <f>IFERROR(__xludf.DUMMYFUNCTION("""COMPUTED_VALUE"""),45034.516255254624)</f>
        <v>45034.51626</v>
      </c>
      <c r="C5685" s="1" t="str">
        <f>IFERROR(__xludf.DUMMYFUNCTION("""COMPUTED_VALUE"""),"CHAVEZ OSCAR")</f>
        <v>CHAVEZ OSCAR</v>
      </c>
      <c r="D5685" s="1" t="str">
        <f>IFERROR(__xludf.DUMMYFUNCTION("""COMPUTED_VALUE"""),"Lentes BIFOCALES")</f>
        <v>Lentes BIFOCALES</v>
      </c>
      <c r="E5685" s="1" t="str">
        <f>IFERROR(__xludf.DUMMYFUNCTION("""COMPUTED_VALUE"""),"ARTIGAS Ivana P.")</f>
        <v>ARTIGAS Ivana P.</v>
      </c>
      <c r="F5685" s="1" t="str">
        <f t="shared" si="1"/>
        <v>ARTIGAS </v>
      </c>
      <c r="G5685" s="1" t="str">
        <f t="shared" si="2"/>
        <v>Ivana P.</v>
      </c>
      <c r="H5685" s="1" t="str">
        <f>IFERROR(__xludf.DUMMYFUNCTION("""COMPUTED_VALUE"""),"25/4/2023, 17:00:00")</f>
        <v>25/4/2023, 17:00:00</v>
      </c>
      <c r="I5685" s="1" t="str">
        <f>IFERROR(__xludf.DUMMYFUNCTION("""COMPUTED_VALUE"""),"Recibido en Laboratorio")</f>
        <v>Recibido en Laboratorio</v>
      </c>
      <c r="J5685" s="1">
        <f t="shared" si="3"/>
        <v>2</v>
      </c>
      <c r="K5685" s="1" t="str">
        <f t="shared" si="4"/>
        <v>Nuestro Laboratorio esta trabajando en tus lentes, los entregaremos en la fecha acordada.</v>
      </c>
    </row>
    <row r="5686">
      <c r="A5686" s="1">
        <f>IFERROR(__xludf.DUMMYFUNCTION("""COMPUTED_VALUE"""),90251.0)</f>
        <v>90251</v>
      </c>
      <c r="B5686" s="5">
        <f>IFERROR(__xludf.DUMMYFUNCTION("""COMPUTED_VALUE"""),45034.51830431713)</f>
        <v>45034.5183</v>
      </c>
      <c r="C5686" s="1" t="str">
        <f>IFERROR(__xludf.DUMMYFUNCTION("""COMPUTED_VALUE"""),"CALDERON MATIAS AGUSTIN")</f>
        <v>CALDERON MATIAS AGUSTIN</v>
      </c>
      <c r="D5686" s="1" t="str">
        <f>IFERROR(__xludf.DUMMYFUNCTION("""COMPUTED_VALUE"""),"Lentes de STOCK")</f>
        <v>Lentes de STOCK</v>
      </c>
      <c r="E5686" s="1" t="str">
        <f>IFERROR(__xludf.DUMMYFUNCTION("""COMPUTED_VALUE"""),"RIVADAVIA Marcela L")</f>
        <v>RIVADAVIA Marcela L</v>
      </c>
      <c r="F5686" s="1" t="str">
        <f t="shared" si="1"/>
        <v>RIVADAVIA </v>
      </c>
      <c r="G5686" s="1" t="str">
        <f t="shared" si="2"/>
        <v>Marcela L</v>
      </c>
      <c r="H5686" s="1" t="str">
        <f>IFERROR(__xludf.DUMMYFUNCTION("""COMPUTED_VALUE"""),"24/4/2023, 17:00:00")</f>
        <v>24/4/2023, 17:00:00</v>
      </c>
      <c r="I5686" s="1" t="str">
        <f>IFERROR(__xludf.DUMMYFUNCTION("""COMPUTED_VALUE"""),"Recibido en Laboratorio")</f>
        <v>Recibido en Laboratorio</v>
      </c>
      <c r="J5686" s="1">
        <f t="shared" si="3"/>
        <v>2</v>
      </c>
      <c r="K5686" s="1" t="str">
        <f t="shared" si="4"/>
        <v>Nuestro Laboratorio esta trabajando en tus lentes, los entregaremos en la fecha acordada.</v>
      </c>
    </row>
    <row r="5687">
      <c r="A5687" s="1">
        <f>IFERROR(__xludf.DUMMYFUNCTION("""COMPUTED_VALUE"""),90252.0)</f>
        <v>90252</v>
      </c>
      <c r="B5687" s="5">
        <f>IFERROR(__xludf.DUMMYFUNCTION("""COMPUTED_VALUE"""),45034.527099583334)</f>
        <v>45034.5271</v>
      </c>
      <c r="C5687" s="1" t="str">
        <f>IFERROR(__xludf.DUMMYFUNCTION("""COMPUTED_VALUE"""),"LAGOS SUAREZ FRANCO")</f>
        <v>LAGOS SUAREZ FRANCO</v>
      </c>
      <c r="D5687" s="1" t="str">
        <f>IFERROR(__xludf.DUMMYFUNCTION("""COMPUTED_VALUE"""),"Reparaciones/Otros")</f>
        <v>Reparaciones/Otros</v>
      </c>
      <c r="E5687" s="1" t="str">
        <f>IFERROR(__xludf.DUMMYFUNCTION("""COMPUTED_VALUE"""),"RIVADAVIA Christian C.")</f>
        <v>RIVADAVIA Christian C.</v>
      </c>
      <c r="F5687" s="1" t="str">
        <f t="shared" si="1"/>
        <v>RIVADAVIA </v>
      </c>
      <c r="G5687" s="1" t="str">
        <f t="shared" si="2"/>
        <v>Christian C.</v>
      </c>
      <c r="H5687" s="1" t="str">
        <f>IFERROR(__xludf.DUMMYFUNCTION("""COMPUTED_VALUE"""),"19/4/2023, 17:00:00")</f>
        <v>19/4/2023, 17:00:00</v>
      </c>
      <c r="I5687" s="1" t="str">
        <f>IFERROR(__xludf.DUMMYFUNCTION("""COMPUTED_VALUE"""),"Completado en SUCURSAL")</f>
        <v>Completado en SUCURSAL</v>
      </c>
      <c r="J5687" s="1">
        <f t="shared" si="3"/>
        <v>5</v>
      </c>
      <c r="K5687" s="1" t="str">
        <f t="shared" si="4"/>
        <v>Tus Lentes estan LISTAS PARA ENTREGAR, te esperamos.</v>
      </c>
    </row>
    <row r="5688">
      <c r="A5688" s="1">
        <f>IFERROR(__xludf.DUMMYFUNCTION("""COMPUTED_VALUE"""),90253.0)</f>
        <v>90253</v>
      </c>
      <c r="B5688" s="5">
        <f>IFERROR(__xludf.DUMMYFUNCTION("""COMPUTED_VALUE"""),45034.5299953125)</f>
        <v>45034.53</v>
      </c>
      <c r="C5688" s="1" t="str">
        <f>IFERROR(__xludf.DUMMYFUNCTION("""COMPUTED_VALUE"""),"DEMARCO RICARDO HERNAN")</f>
        <v>DEMARCO RICARDO HERNAN</v>
      </c>
      <c r="D5688" s="1" t="str">
        <f>IFERROR(__xludf.DUMMYFUNCTION("""COMPUTED_VALUE"""),"Lentes de STOCK")</f>
        <v>Lentes de STOCK</v>
      </c>
      <c r="E5688" s="1" t="str">
        <f>IFERROR(__xludf.DUMMYFUNCTION("""COMPUTED_VALUE"""),"RIVADAVIA Marcela L")</f>
        <v>RIVADAVIA Marcela L</v>
      </c>
      <c r="F5688" s="1" t="str">
        <f t="shared" si="1"/>
        <v>RIVADAVIA </v>
      </c>
      <c r="G5688" s="1" t="str">
        <f t="shared" si="2"/>
        <v>Marcela L</v>
      </c>
      <c r="H5688" s="1" t="str">
        <f>IFERROR(__xludf.DUMMYFUNCTION("""COMPUTED_VALUE"""),"21/4/2023, 17:00:00")</f>
        <v>21/4/2023, 17:00:00</v>
      </c>
      <c r="I5688" s="1" t="str">
        <f>IFERROR(__xludf.DUMMYFUNCTION("""COMPUTED_VALUE"""),"Recibido en Laboratorio")</f>
        <v>Recibido en Laboratorio</v>
      </c>
      <c r="J5688" s="1">
        <f t="shared" si="3"/>
        <v>2</v>
      </c>
      <c r="K5688" s="1" t="str">
        <f t="shared" si="4"/>
        <v>Nuestro Laboratorio esta trabajando en tus lentes, los entregaremos en la fecha acordada.</v>
      </c>
    </row>
    <row r="5689">
      <c r="A5689" s="1">
        <f>IFERROR(__xludf.DUMMYFUNCTION("""COMPUTED_VALUE"""),90254.0)</f>
        <v>90254</v>
      </c>
      <c r="B5689" s="5">
        <f>IFERROR(__xludf.DUMMYFUNCTION("""COMPUTED_VALUE"""),45034.53950128472)</f>
        <v>45034.5395</v>
      </c>
      <c r="C5689" s="1" t="str">
        <f>IFERROR(__xludf.DUMMYFUNCTION("""COMPUTED_VALUE"""),"FERNANDEZ GLADYS ")</f>
        <v>FERNANDEZ GLADYS </v>
      </c>
      <c r="D5689" s="1" t="str">
        <f>IFERROR(__xludf.DUMMYFUNCTION("""COMPUTED_VALUE"""),"Lentes de STOCK")</f>
        <v>Lentes de STOCK</v>
      </c>
      <c r="E5689" s="1" t="str">
        <f>IFERROR(__xludf.DUMMYFUNCTION("""COMPUTED_VALUE"""),"RIVADAVIA Marcela L")</f>
        <v>RIVADAVIA Marcela L</v>
      </c>
      <c r="F5689" s="1" t="str">
        <f t="shared" si="1"/>
        <v>RIVADAVIA </v>
      </c>
      <c r="G5689" s="1" t="str">
        <f t="shared" si="2"/>
        <v>Marcela L</v>
      </c>
      <c r="H5689" s="1" t="str">
        <f>IFERROR(__xludf.DUMMYFUNCTION("""COMPUTED_VALUE"""),"21/4/2023, 17:00:00")</f>
        <v>21/4/2023, 17:00:00</v>
      </c>
      <c r="I5689" s="1" t="str">
        <f>IFERROR(__xludf.DUMMYFUNCTION("""COMPUTED_VALUE"""),"Recibido en Laboratorio")</f>
        <v>Recibido en Laboratorio</v>
      </c>
      <c r="J5689" s="1">
        <f t="shared" si="3"/>
        <v>2</v>
      </c>
      <c r="K5689" s="1" t="str">
        <f t="shared" si="4"/>
        <v>Nuestro Laboratorio esta trabajando en tus lentes, los entregaremos en la fecha acordada.</v>
      </c>
    </row>
    <row r="5690">
      <c r="A5690" s="1">
        <f>IFERROR(__xludf.DUMMYFUNCTION("""COMPUTED_VALUE"""),90255.0)</f>
        <v>90255</v>
      </c>
      <c r="B5690" s="5">
        <f>IFERROR(__xludf.DUMMYFUNCTION("""COMPUTED_VALUE"""),45034.54119553241)</f>
        <v>45034.5412</v>
      </c>
      <c r="C5690" s="1" t="str">
        <f>IFERROR(__xludf.DUMMYFUNCTION("""COMPUTED_VALUE"""),"PEREZ JORGE ")</f>
        <v>PEREZ JORGE </v>
      </c>
      <c r="D5690" s="1" t="str">
        <f>IFERROR(__xludf.DUMMYFUNCTION("""COMPUTED_VALUE"""),"Lentes de STOCK")</f>
        <v>Lentes de STOCK</v>
      </c>
      <c r="E5690" s="1" t="str">
        <f>IFERROR(__xludf.DUMMYFUNCTION("""COMPUTED_VALUE"""),"ARTIGAS Roció")</f>
        <v>ARTIGAS Roció</v>
      </c>
      <c r="F5690" s="1" t="str">
        <f t="shared" si="1"/>
        <v>ARTIGAS </v>
      </c>
      <c r="G5690" s="1" t="str">
        <f t="shared" si="2"/>
        <v>Roció</v>
      </c>
      <c r="H5690" s="1" t="str">
        <f>IFERROR(__xludf.DUMMYFUNCTION("""COMPUTED_VALUE"""),"25/4/2023, 17:00:00")</f>
        <v>25/4/2023, 17:00:00</v>
      </c>
      <c r="I5690" s="1" t="str">
        <f>IFERROR(__xludf.DUMMYFUNCTION("""COMPUTED_VALUE"""),"Recibido en Laboratorio")</f>
        <v>Recibido en Laboratorio</v>
      </c>
      <c r="J5690" s="1">
        <f t="shared" si="3"/>
        <v>2</v>
      </c>
      <c r="K5690" s="1" t="str">
        <f t="shared" si="4"/>
        <v>Nuestro Laboratorio esta trabajando en tus lentes, los entregaremos en la fecha acordada.</v>
      </c>
    </row>
    <row r="5691">
      <c r="A5691" s="1">
        <f>IFERROR(__xludf.DUMMYFUNCTION("""COMPUTED_VALUE"""),90256.0)</f>
        <v>90256</v>
      </c>
      <c r="B5691" s="5">
        <f>IFERROR(__xludf.DUMMYFUNCTION("""COMPUTED_VALUE"""),45034.54367157407)</f>
        <v>45034.54367</v>
      </c>
      <c r="C5691" s="1" t="str">
        <f>IFERROR(__xludf.DUMMYFUNCTION("""COMPUTED_VALUE"""),"ABDALA MARIA DEL MAR")</f>
        <v>ABDALA MARIA DEL MAR</v>
      </c>
      <c r="D5691" s="1" t="str">
        <f>IFERROR(__xludf.DUMMYFUNCTION("""COMPUTED_VALUE"""),"ANULADO")</f>
        <v>ANULADO</v>
      </c>
      <c r="E5691" s="1" t="str">
        <f>IFERROR(__xludf.DUMMYFUNCTION("""COMPUTED_VALUE"""),"RIVADAVIA Daniel CM")</f>
        <v>RIVADAVIA Daniel CM</v>
      </c>
      <c r="F5691" s="1" t="str">
        <f t="shared" si="1"/>
        <v>RIVADAVIA </v>
      </c>
      <c r="G5691" s="1" t="str">
        <f t="shared" si="2"/>
        <v>Daniel CM</v>
      </c>
      <c r="H5691" s="1" t="str">
        <f>IFERROR(__xludf.DUMMYFUNCTION("""COMPUTED_VALUE"""),"19/4/2023, 17:00:00")</f>
        <v>19/4/2023, 17:00:00</v>
      </c>
      <c r="I5691" s="1"/>
      <c r="J5691" s="1">
        <f t="shared" si="3"/>
        <v>0</v>
      </c>
      <c r="K5691" s="1" t="str">
        <f t="shared" si="4"/>
        <v/>
      </c>
    </row>
    <row r="5692">
      <c r="A5692" s="1">
        <f>IFERROR(__xludf.DUMMYFUNCTION("""COMPUTED_VALUE"""),90257.0)</f>
        <v>90257</v>
      </c>
      <c r="B5692" s="5">
        <f>IFERROR(__xludf.DUMMYFUNCTION("""COMPUTED_VALUE"""),45034.543980104165)</f>
        <v>45034.54398</v>
      </c>
      <c r="C5692" s="1" t="str">
        <f>IFERROR(__xludf.DUMMYFUNCTION("""COMPUTED_VALUE"""),"diaz carlos")</f>
        <v>diaz carlos</v>
      </c>
      <c r="D5692" s="1" t="str">
        <f>IFERROR(__xludf.DUMMYFUNCTION("""COMPUTED_VALUE"""),"Reparaciones/Otros")</f>
        <v>Reparaciones/Otros</v>
      </c>
      <c r="E5692" s="1" t="str">
        <f>IFERROR(__xludf.DUMMYFUNCTION("""COMPUTED_VALUE"""),"ARTIGAS Roció")</f>
        <v>ARTIGAS Roció</v>
      </c>
      <c r="F5692" s="1" t="str">
        <f t="shared" si="1"/>
        <v>ARTIGAS </v>
      </c>
      <c r="G5692" s="1" t="str">
        <f t="shared" si="2"/>
        <v>Roció</v>
      </c>
      <c r="H5692" s="1" t="str">
        <f>IFERROR(__xludf.DUMMYFUNCTION("""COMPUTED_VALUE"""),"19/4/2023, 17:00:00")</f>
        <v>19/4/2023, 17:00:00</v>
      </c>
      <c r="I5692" s="1"/>
      <c r="J5692" s="1">
        <f t="shared" si="3"/>
        <v>0</v>
      </c>
      <c r="K5692" s="1" t="str">
        <f t="shared" si="4"/>
        <v/>
      </c>
    </row>
    <row r="5693">
      <c r="A5693" s="1">
        <f>IFERROR(__xludf.DUMMYFUNCTION("""COMPUTED_VALUE"""),90258.0)</f>
        <v>90258</v>
      </c>
      <c r="B5693" s="5">
        <f>IFERROR(__xludf.DUMMYFUNCTION("""COMPUTED_VALUE"""),45034.70742928241)</f>
        <v>45034.70743</v>
      </c>
      <c r="C5693" s="1" t="str">
        <f>IFERROR(__xludf.DUMMYFUNCTION("""COMPUTED_VALUE"""),"ALCAJE ALBERTO")</f>
        <v>ALCAJE ALBERTO</v>
      </c>
      <c r="D5693" s="1" t="str">
        <f>IFERROR(__xludf.DUMMYFUNCTION("""COMPUTED_VALUE"""),"Lentes de STOCK")</f>
        <v>Lentes de STOCK</v>
      </c>
      <c r="E5693" s="1" t="str">
        <f>IFERROR(__xludf.DUMMYFUNCTION("""COMPUTED_VALUE"""),"RIVADAVIA Santiago LOPEZ")</f>
        <v>RIVADAVIA Santiago LOPEZ</v>
      </c>
      <c r="F5693" s="1" t="str">
        <f t="shared" si="1"/>
        <v>RIVADAVIA </v>
      </c>
      <c r="G5693" s="1" t="str">
        <f t="shared" si="2"/>
        <v>Santiago LOPEZ</v>
      </c>
      <c r="H5693" s="9">
        <f>IFERROR(__xludf.DUMMYFUNCTION("""COMPUTED_VALUE"""),45040.708333333336)</f>
        <v>45040.70833</v>
      </c>
      <c r="I5693" s="1" t="str">
        <f>IFERROR(__xludf.DUMMYFUNCTION("""COMPUTED_VALUE"""),"Recibido en Laboratorio")</f>
        <v>Recibido en Laboratorio</v>
      </c>
      <c r="J5693" s="1">
        <f t="shared" si="3"/>
        <v>2</v>
      </c>
      <c r="K5693" s="1" t="str">
        <f t="shared" si="4"/>
        <v>Nuestro Laboratorio esta trabajando en tus lentes, los entregaremos en la fecha acordada.</v>
      </c>
    </row>
    <row r="5694">
      <c r="A5694" s="1">
        <f>IFERROR(__xludf.DUMMYFUNCTION("""COMPUTED_VALUE"""),90259.0)</f>
        <v>90259</v>
      </c>
      <c r="B5694" s="5">
        <f>IFERROR(__xludf.DUMMYFUNCTION("""COMPUTED_VALUE"""),45034.70839371528)</f>
        <v>45034.70839</v>
      </c>
      <c r="C5694" s="1" t="str">
        <f>IFERROR(__xludf.DUMMYFUNCTION("""COMPUTED_VALUE"""),"test")</f>
        <v>test</v>
      </c>
      <c r="D5694" s="1" t="str">
        <f>IFERROR(__xludf.DUMMYFUNCTION("""COMPUTED_VALUE"""),"Reparaciones/Otros")</f>
        <v>Reparaciones/Otros</v>
      </c>
      <c r="E5694" s="1" t="str">
        <f>IFERROR(__xludf.DUMMYFUNCTION("""COMPUTED_VALUE"""),"Online ADMIN.")</f>
        <v>Online ADMIN.</v>
      </c>
      <c r="F5694" s="1" t="str">
        <f t="shared" si="1"/>
        <v>Online </v>
      </c>
      <c r="G5694" s="1" t="str">
        <f t="shared" si="2"/>
        <v>ADMIN.</v>
      </c>
      <c r="H5694" s="9">
        <f>IFERROR(__xludf.DUMMYFUNCTION("""COMPUTED_VALUE"""),45035.708333333336)</f>
        <v>45035.70833</v>
      </c>
      <c r="I5694" s="1"/>
      <c r="J5694" s="1">
        <f t="shared" si="3"/>
        <v>0</v>
      </c>
      <c r="K5694" s="1" t="str">
        <f t="shared" si="4"/>
        <v/>
      </c>
    </row>
    <row r="5695">
      <c r="A5695" s="1">
        <f>IFERROR(__xludf.DUMMYFUNCTION("""COMPUTED_VALUE"""),90260.0)</f>
        <v>90260</v>
      </c>
      <c r="B5695" s="5">
        <f>IFERROR(__xludf.DUMMYFUNCTION("""COMPUTED_VALUE"""),45034.70907084491)</f>
        <v>45034.70907</v>
      </c>
      <c r="C5695" s="1" t="str">
        <f>IFERROR(__xludf.DUMMYFUNCTION("""COMPUTED_VALUE"""),"SILVA DALMACIO")</f>
        <v>SILVA DALMACIO</v>
      </c>
      <c r="D5695" s="1" t="str">
        <f>IFERROR(__xludf.DUMMYFUNCTION("""COMPUTED_VALUE"""),"Lentes de STOCK")</f>
        <v>Lentes de STOCK</v>
      </c>
      <c r="E5695" s="1" t="str">
        <f>IFERROR(__xludf.DUMMYFUNCTION("""COMPUTED_VALUE"""),"RIVADAVIA Santiago N")</f>
        <v>RIVADAVIA Santiago N</v>
      </c>
      <c r="F5695" s="1" t="str">
        <f t="shared" si="1"/>
        <v>RIVADAVIA </v>
      </c>
      <c r="G5695" s="1" t="str">
        <f t="shared" si="2"/>
        <v>Santiago N</v>
      </c>
      <c r="H5695" s="9">
        <f>IFERROR(__xludf.DUMMYFUNCTION("""COMPUTED_VALUE"""),45037.708333333336)</f>
        <v>45037.70833</v>
      </c>
      <c r="I5695" s="1"/>
      <c r="J5695" s="1">
        <f t="shared" si="3"/>
        <v>0</v>
      </c>
      <c r="K5695" s="1" t="str">
        <f t="shared" si="4"/>
        <v/>
      </c>
    </row>
    <row r="5696">
      <c r="A5696" s="1">
        <f>IFERROR(__xludf.DUMMYFUNCTION("""COMPUTED_VALUE"""),90261.0)</f>
        <v>90261</v>
      </c>
      <c r="B5696" s="5">
        <f>IFERROR(__xludf.DUMMYFUNCTION("""COMPUTED_VALUE"""),45034.710904085645)</f>
        <v>45034.7109</v>
      </c>
      <c r="C5696" s="1" t="str">
        <f>IFERROR(__xludf.DUMMYFUNCTION("""COMPUTED_VALUE"""),"MOYANO MARINA RAMONA")</f>
        <v>MOYANO MARINA RAMONA</v>
      </c>
      <c r="D5696" s="1" t="str">
        <f>IFERROR(__xludf.DUMMYFUNCTION("""COMPUTED_VALUE"""),"Lentes de STOCK")</f>
        <v>Lentes de STOCK</v>
      </c>
      <c r="E5696" s="1" t="str">
        <f>IFERROR(__xludf.DUMMYFUNCTION("""COMPUTED_VALUE"""),"RIVADAVIA Javier")</f>
        <v>RIVADAVIA Javier</v>
      </c>
      <c r="F5696" s="1" t="str">
        <f t="shared" si="1"/>
        <v>RIVADAVIA </v>
      </c>
      <c r="G5696" s="1" t="str">
        <f t="shared" si="2"/>
        <v>Javier</v>
      </c>
      <c r="H5696" s="9">
        <f>IFERROR(__xludf.DUMMYFUNCTION("""COMPUTED_VALUE"""),45037.708333333336)</f>
        <v>45037.70833</v>
      </c>
      <c r="I5696" s="1" t="str">
        <f>IFERROR(__xludf.DUMMYFUNCTION("""COMPUTED_VALUE"""),"Recibido en Laboratorio")</f>
        <v>Recibido en Laboratorio</v>
      </c>
      <c r="J5696" s="1">
        <f t="shared" si="3"/>
        <v>2</v>
      </c>
      <c r="K5696" s="1" t="str">
        <f t="shared" si="4"/>
        <v>Nuestro Laboratorio esta trabajando en tus lentes, los entregaremos en la fecha acordada.</v>
      </c>
    </row>
    <row r="5697">
      <c r="A5697" s="1">
        <f>IFERROR(__xludf.DUMMYFUNCTION("""COMPUTED_VALUE"""),90262.0)</f>
        <v>90262</v>
      </c>
      <c r="B5697" s="5">
        <f>IFERROR(__xludf.DUMMYFUNCTION("""COMPUTED_VALUE"""),45034.71213315972)</f>
        <v>45034.71213</v>
      </c>
      <c r="C5697" s="1" t="str">
        <f>IFERROR(__xludf.DUMMYFUNCTION("""COMPUTED_VALUE"""),"SILVA DALMACIO")</f>
        <v>SILVA DALMACIO</v>
      </c>
      <c r="D5697" s="1" t="str">
        <f>IFERROR(__xludf.DUMMYFUNCTION("""COMPUTED_VALUE"""),"Lentes de STOCK")</f>
        <v>Lentes de STOCK</v>
      </c>
      <c r="E5697" s="1" t="str">
        <f>IFERROR(__xludf.DUMMYFUNCTION("""COMPUTED_VALUE"""),"RIVADAVIA Santiago N")</f>
        <v>RIVADAVIA Santiago N</v>
      </c>
      <c r="F5697" s="1" t="str">
        <f t="shared" si="1"/>
        <v>RIVADAVIA </v>
      </c>
      <c r="G5697" s="1" t="str">
        <f t="shared" si="2"/>
        <v>Santiago N</v>
      </c>
      <c r="H5697" s="9">
        <f>IFERROR(__xludf.DUMMYFUNCTION("""COMPUTED_VALUE"""),45037.708333333336)</f>
        <v>45037.70833</v>
      </c>
      <c r="I5697" s="1" t="str">
        <f>IFERROR(__xludf.DUMMYFUNCTION("""COMPUTED_VALUE"""),"Recibido en Laboratorio")</f>
        <v>Recibido en Laboratorio</v>
      </c>
      <c r="J5697" s="1">
        <f t="shared" si="3"/>
        <v>2</v>
      </c>
      <c r="K5697" s="1" t="str">
        <f t="shared" si="4"/>
        <v>Nuestro Laboratorio esta trabajando en tus lentes, los entregaremos en la fecha acordada.</v>
      </c>
    </row>
    <row r="5698">
      <c r="A5698" s="1">
        <f>IFERROR(__xludf.DUMMYFUNCTION("""COMPUTED_VALUE"""),90263.0)</f>
        <v>90263</v>
      </c>
      <c r="B5698" s="5">
        <f>IFERROR(__xludf.DUMMYFUNCTION("""COMPUTED_VALUE"""),45034.712231261576)</f>
        <v>45034.71223</v>
      </c>
      <c r="C5698" s="1"/>
      <c r="D5698" s="1" t="str">
        <f>IFERROR(__xludf.DUMMYFUNCTION("""COMPUTED_VALUE"""),"Lentes de STOCK")</f>
        <v>Lentes de STOCK</v>
      </c>
      <c r="E5698" s="1" t="str">
        <f>IFERROR(__xludf.DUMMYFUNCTION("""COMPUTED_VALUE"""),"RIVADAVIA Santiago LOPEZ")</f>
        <v>RIVADAVIA Santiago LOPEZ</v>
      </c>
      <c r="F5698" s="1" t="str">
        <f t="shared" si="1"/>
        <v>RIVADAVIA </v>
      </c>
      <c r="G5698" s="1" t="str">
        <f t="shared" si="2"/>
        <v>Santiago LOPEZ</v>
      </c>
      <c r="H5698" s="9">
        <f>IFERROR(__xludf.DUMMYFUNCTION("""COMPUTED_VALUE"""),45040.708333333336)</f>
        <v>45040.70833</v>
      </c>
      <c r="I5698" s="1"/>
      <c r="J5698" s="1">
        <f t="shared" si="3"/>
        <v>0</v>
      </c>
      <c r="K5698" s="1" t="str">
        <f t="shared" si="4"/>
        <v/>
      </c>
    </row>
    <row r="5699">
      <c r="A5699" s="1">
        <f>IFERROR(__xludf.DUMMYFUNCTION("""COMPUTED_VALUE"""),90264.0)</f>
        <v>90264</v>
      </c>
      <c r="B5699" s="5">
        <f>IFERROR(__xludf.DUMMYFUNCTION("""COMPUTED_VALUE"""),45034.71412396991)</f>
        <v>45034.71412</v>
      </c>
      <c r="C5699" s="1" t="str">
        <f>IFERROR(__xludf.DUMMYFUNCTION("""COMPUTED_VALUE"""),"LOPEZ SAUL")</f>
        <v>LOPEZ SAUL</v>
      </c>
      <c r="D5699" s="1" t="str">
        <f>IFERROR(__xludf.DUMMYFUNCTION("""COMPUTED_VALUE"""),"Lentes de STOCK")</f>
        <v>Lentes de STOCK</v>
      </c>
      <c r="E5699" s="1" t="str">
        <f>IFERROR(__xludf.DUMMYFUNCTION("""COMPUTED_VALUE"""),"RIVADAVIA Javier")</f>
        <v>RIVADAVIA Javier</v>
      </c>
      <c r="F5699" s="1" t="str">
        <f t="shared" si="1"/>
        <v>RIVADAVIA </v>
      </c>
      <c r="G5699" s="1" t="str">
        <f t="shared" si="2"/>
        <v>Javier</v>
      </c>
      <c r="H5699" s="9">
        <f>IFERROR(__xludf.DUMMYFUNCTION("""COMPUTED_VALUE"""),45037.708333333336)</f>
        <v>45037.70833</v>
      </c>
      <c r="I5699" s="1" t="str">
        <f>IFERROR(__xludf.DUMMYFUNCTION("""COMPUTED_VALUE"""),"Recibido en Laboratorio")</f>
        <v>Recibido en Laboratorio</v>
      </c>
      <c r="J5699" s="1">
        <f t="shared" si="3"/>
        <v>2</v>
      </c>
      <c r="K5699" s="1" t="str">
        <f t="shared" si="4"/>
        <v>Nuestro Laboratorio esta trabajando en tus lentes, los entregaremos en la fecha acordada.</v>
      </c>
    </row>
    <row r="5700">
      <c r="A5700" s="1">
        <f>IFERROR(__xludf.DUMMYFUNCTION("""COMPUTED_VALUE"""),90265.0)</f>
        <v>90265</v>
      </c>
      <c r="B5700" s="5">
        <f>IFERROR(__xludf.DUMMYFUNCTION("""COMPUTED_VALUE"""),45034.71993516204)</f>
        <v>45034.71994</v>
      </c>
      <c r="C5700" s="1" t="str">
        <f>IFERROR(__xludf.DUMMYFUNCTION("""COMPUTED_VALUE"""),"FERRAMOLA JAVIER")</f>
        <v>FERRAMOLA JAVIER</v>
      </c>
      <c r="D5700" s="1" t="str">
        <f>IFERROR(__xludf.DUMMYFUNCTION("""COMPUTED_VALUE"""),"Lentes de STOCK")</f>
        <v>Lentes de STOCK</v>
      </c>
      <c r="E5700" s="1" t="str">
        <f>IFERROR(__xludf.DUMMYFUNCTION("""COMPUTED_VALUE"""),"ARTIGAS Ivana P.")</f>
        <v>ARTIGAS Ivana P.</v>
      </c>
      <c r="F5700" s="1" t="str">
        <f t="shared" si="1"/>
        <v>ARTIGAS </v>
      </c>
      <c r="G5700" s="1" t="str">
        <f t="shared" si="2"/>
        <v>Ivana P.</v>
      </c>
      <c r="H5700" s="9">
        <f>IFERROR(__xludf.DUMMYFUNCTION("""COMPUTED_VALUE"""),45037.708333333336)</f>
        <v>45037.70833</v>
      </c>
      <c r="I5700" s="1" t="str">
        <f>IFERROR(__xludf.DUMMYFUNCTION("""COMPUTED_VALUE"""),"Recibido en Laboratorio")</f>
        <v>Recibido en Laboratorio</v>
      </c>
      <c r="J5700" s="1">
        <f t="shared" si="3"/>
        <v>2</v>
      </c>
      <c r="K5700" s="1" t="str">
        <f t="shared" si="4"/>
        <v>Nuestro Laboratorio esta trabajando en tus lentes, los entregaremos en la fecha acordada.</v>
      </c>
    </row>
    <row r="5701">
      <c r="A5701" s="1">
        <f>IFERROR(__xludf.DUMMYFUNCTION("""COMPUTED_VALUE"""),90266.0)</f>
        <v>90266</v>
      </c>
      <c r="B5701" s="5">
        <f>IFERROR(__xludf.DUMMYFUNCTION("""COMPUTED_VALUE"""),45034.7406147338)</f>
        <v>45034.74061</v>
      </c>
      <c r="C5701" s="1" t="str">
        <f>IFERROR(__xludf.DUMMYFUNCTION("""COMPUTED_VALUE"""),"PAZQUIER SACARIAS")</f>
        <v>PAZQUIER SACARIAS</v>
      </c>
      <c r="D5701" s="1" t="str">
        <f>IFERROR(__xludf.DUMMYFUNCTION("""COMPUTED_VALUE"""),"Lentes de STOCK")</f>
        <v>Lentes de STOCK</v>
      </c>
      <c r="E5701" s="1" t="str">
        <f>IFERROR(__xludf.DUMMYFUNCTION("""COMPUTED_VALUE"""),"ARTIGAS Roció")</f>
        <v>ARTIGAS Roció</v>
      </c>
      <c r="F5701" s="1" t="str">
        <f t="shared" si="1"/>
        <v>ARTIGAS </v>
      </c>
      <c r="G5701" s="1" t="str">
        <f t="shared" si="2"/>
        <v>Roció</v>
      </c>
      <c r="H5701" s="9">
        <f>IFERROR(__xludf.DUMMYFUNCTION("""COMPUTED_VALUE"""),45041.708333333336)</f>
        <v>45041.70833</v>
      </c>
      <c r="I5701" s="1" t="str">
        <f>IFERROR(__xludf.DUMMYFUNCTION("""COMPUTED_VALUE"""),"Recibido en Laboratorio")</f>
        <v>Recibido en Laboratorio</v>
      </c>
      <c r="J5701" s="1">
        <f t="shared" si="3"/>
        <v>2</v>
      </c>
      <c r="K5701" s="1" t="str">
        <f t="shared" si="4"/>
        <v>Nuestro Laboratorio esta trabajando en tus lentes, los entregaremos en la fecha acordada.</v>
      </c>
    </row>
    <row r="5702">
      <c r="A5702" s="1">
        <f>IFERROR(__xludf.DUMMYFUNCTION("""COMPUTED_VALUE"""),90267.0)</f>
        <v>90267</v>
      </c>
      <c r="B5702" s="5">
        <f>IFERROR(__xludf.DUMMYFUNCTION("""COMPUTED_VALUE"""),45034.74478554398)</f>
        <v>45034.74479</v>
      </c>
      <c r="C5702" s="1" t="str">
        <f>IFERROR(__xludf.DUMMYFUNCTION("""COMPUTED_VALUE"""),"LUCERO MARIANO JEREMIAS")</f>
        <v>LUCERO MARIANO JEREMIAS</v>
      </c>
      <c r="D5702" s="1" t="str">
        <f>IFERROR(__xludf.DUMMYFUNCTION("""COMPUTED_VALUE"""),"Lentes de STOCK")</f>
        <v>Lentes de STOCK</v>
      </c>
      <c r="E5702" s="1" t="str">
        <f>IFERROR(__xludf.DUMMYFUNCTION("""COMPUTED_VALUE"""),"ARTIGAS Roció")</f>
        <v>ARTIGAS Roció</v>
      </c>
      <c r="F5702" s="1" t="str">
        <f t="shared" si="1"/>
        <v>ARTIGAS </v>
      </c>
      <c r="G5702" s="1" t="str">
        <f t="shared" si="2"/>
        <v>Roció</v>
      </c>
      <c r="H5702" s="9">
        <f>IFERROR(__xludf.DUMMYFUNCTION("""COMPUTED_VALUE"""),45042.708333333336)</f>
        <v>45042.70833</v>
      </c>
      <c r="I5702" s="1" t="str">
        <f>IFERROR(__xludf.DUMMYFUNCTION("""COMPUTED_VALUE"""),"Recibido en Laboratorio")</f>
        <v>Recibido en Laboratorio</v>
      </c>
      <c r="J5702" s="1">
        <f t="shared" si="3"/>
        <v>2</v>
      </c>
      <c r="K5702" s="1" t="str">
        <f t="shared" si="4"/>
        <v>Nuestro Laboratorio esta trabajando en tus lentes, los entregaremos en la fecha acordada.</v>
      </c>
    </row>
    <row r="5703">
      <c r="A5703" s="1">
        <f>IFERROR(__xludf.DUMMYFUNCTION("""COMPUTED_VALUE"""),90268.0)</f>
        <v>90268</v>
      </c>
      <c r="B5703" s="5">
        <f>IFERROR(__xludf.DUMMYFUNCTION("""COMPUTED_VALUE"""),45034.75660356482)</f>
        <v>45034.7566</v>
      </c>
      <c r="C5703" s="1" t="str">
        <f>IFERROR(__xludf.DUMMYFUNCTION("""COMPUTED_VALUE"""),"CELI MAYRA ANTONELLA")</f>
        <v>CELI MAYRA ANTONELLA</v>
      </c>
      <c r="D5703" s="1" t="str">
        <f>IFERROR(__xludf.DUMMYFUNCTION("""COMPUTED_VALUE"""),"Lentes de STOCK")</f>
        <v>Lentes de STOCK</v>
      </c>
      <c r="E5703" s="1" t="str">
        <f>IFERROR(__xludf.DUMMYFUNCTION("""COMPUTED_VALUE"""),"RIVADAVIA Javier")</f>
        <v>RIVADAVIA Javier</v>
      </c>
      <c r="F5703" s="1" t="str">
        <f t="shared" si="1"/>
        <v>RIVADAVIA </v>
      </c>
      <c r="G5703" s="1" t="str">
        <f t="shared" si="2"/>
        <v>Javier</v>
      </c>
      <c r="H5703" s="9">
        <f>IFERROR(__xludf.DUMMYFUNCTION("""COMPUTED_VALUE"""),45041.708333333336)</f>
        <v>45041.70833</v>
      </c>
      <c r="I5703" s="1" t="str">
        <f>IFERROR(__xludf.DUMMYFUNCTION("""COMPUTED_VALUE"""),"Recibido en Laboratorio")</f>
        <v>Recibido en Laboratorio</v>
      </c>
      <c r="J5703" s="1">
        <f t="shared" si="3"/>
        <v>2</v>
      </c>
      <c r="K5703" s="1" t="str">
        <f t="shared" si="4"/>
        <v>Nuestro Laboratorio esta trabajando en tus lentes, los entregaremos en la fecha acordada.</v>
      </c>
    </row>
    <row r="5704">
      <c r="A5704" s="1">
        <f>IFERROR(__xludf.DUMMYFUNCTION("""COMPUTED_VALUE"""),90269.0)</f>
        <v>90269</v>
      </c>
      <c r="B5704" s="5">
        <f>IFERROR(__xludf.DUMMYFUNCTION("""COMPUTED_VALUE"""),45034.763497418986)</f>
        <v>45034.7635</v>
      </c>
      <c r="C5704" s="1" t="str">
        <f>IFERROR(__xludf.DUMMYFUNCTION("""COMPUTED_VALUE"""),"FERNANDEZ VERONICA")</f>
        <v>FERNANDEZ VERONICA</v>
      </c>
      <c r="D5704" s="1" t="str">
        <f>IFERROR(__xludf.DUMMYFUNCTION("""COMPUTED_VALUE"""),"Lentes BIFOCALES")</f>
        <v>Lentes BIFOCALES</v>
      </c>
      <c r="E5704" s="1" t="str">
        <f>IFERROR(__xludf.DUMMYFUNCTION("""COMPUTED_VALUE"""),"ARTIGAS Ivana P.")</f>
        <v>ARTIGAS Ivana P.</v>
      </c>
      <c r="F5704" s="1" t="str">
        <f t="shared" si="1"/>
        <v>ARTIGAS </v>
      </c>
      <c r="G5704" s="1" t="str">
        <f t="shared" si="2"/>
        <v>Ivana P.</v>
      </c>
      <c r="H5704" s="9">
        <f>IFERROR(__xludf.DUMMYFUNCTION("""COMPUTED_VALUE"""),45043.708333333336)</f>
        <v>45043.70833</v>
      </c>
      <c r="I5704" s="1" t="str">
        <f>IFERROR(__xludf.DUMMYFUNCTION("""COMPUTED_VALUE"""),"Recibido en Laboratorio")</f>
        <v>Recibido en Laboratorio</v>
      </c>
      <c r="J5704" s="1">
        <f t="shared" si="3"/>
        <v>2</v>
      </c>
      <c r="K5704" s="1" t="str">
        <f t="shared" si="4"/>
        <v>Nuestro Laboratorio esta trabajando en tus lentes, los entregaremos en la fecha acordada.</v>
      </c>
    </row>
    <row r="5705">
      <c r="A5705" s="1">
        <f>IFERROR(__xludf.DUMMYFUNCTION("""COMPUTED_VALUE"""),90270.0)</f>
        <v>90270</v>
      </c>
      <c r="B5705" s="5">
        <f>IFERROR(__xludf.DUMMYFUNCTION("""COMPUTED_VALUE"""),45034.78114622685)</f>
        <v>45034.78115</v>
      </c>
      <c r="C5705" s="1" t="str">
        <f>IFERROR(__xludf.DUMMYFUNCTION("""COMPUTED_VALUE"""),"SUAREZ PAOLA")</f>
        <v>SUAREZ PAOLA</v>
      </c>
      <c r="D5705" s="1" t="str">
        <f>IFERROR(__xludf.DUMMYFUNCTION("""COMPUTED_VALUE"""),"Lentes de STOCK")</f>
        <v>Lentes de STOCK</v>
      </c>
      <c r="E5705" s="1" t="str">
        <f>IFERROR(__xludf.DUMMYFUNCTION("""COMPUTED_VALUE"""),"ARTIGAS Roció")</f>
        <v>ARTIGAS Roció</v>
      </c>
      <c r="F5705" s="1" t="str">
        <f t="shared" si="1"/>
        <v>ARTIGAS </v>
      </c>
      <c r="G5705" s="1" t="str">
        <f t="shared" si="2"/>
        <v>Roció</v>
      </c>
      <c r="H5705" s="9">
        <f>IFERROR(__xludf.DUMMYFUNCTION("""COMPUTED_VALUE"""),45041.708333333336)</f>
        <v>45041.70833</v>
      </c>
      <c r="I5705" s="1" t="str">
        <f>IFERROR(__xludf.DUMMYFUNCTION("""COMPUTED_VALUE"""),"Recibido en Laboratorio")</f>
        <v>Recibido en Laboratorio</v>
      </c>
      <c r="J5705" s="1">
        <f t="shared" si="3"/>
        <v>2</v>
      </c>
      <c r="K5705" s="1" t="str">
        <f t="shared" si="4"/>
        <v>Nuestro Laboratorio esta trabajando en tus lentes, los entregaremos en la fecha acordada.</v>
      </c>
    </row>
    <row r="5706">
      <c r="A5706" s="1">
        <f>IFERROR(__xludf.DUMMYFUNCTION("""COMPUTED_VALUE"""),90271.0)</f>
        <v>90271</v>
      </c>
      <c r="B5706" s="5">
        <f>IFERROR(__xludf.DUMMYFUNCTION("""COMPUTED_VALUE"""),45034.78974763889)</f>
        <v>45034.78975</v>
      </c>
      <c r="C5706" s="1" t="str">
        <f>IFERROR(__xludf.DUMMYFUNCTION("""COMPUTED_VALUE"""),"AICHINO PABLO ALBERTO")</f>
        <v>AICHINO PABLO ALBERTO</v>
      </c>
      <c r="D5706" s="1" t="str">
        <f>IFERROR(__xludf.DUMMYFUNCTION("""COMPUTED_VALUE"""),"Lentes de STOCK")</f>
        <v>Lentes de STOCK</v>
      </c>
      <c r="E5706" s="1" t="str">
        <f>IFERROR(__xludf.DUMMYFUNCTION("""COMPUTED_VALUE"""),"RIVADAVIA Christian C.")</f>
        <v>RIVADAVIA Christian C.</v>
      </c>
      <c r="F5706" s="1" t="str">
        <f t="shared" si="1"/>
        <v>RIVADAVIA </v>
      </c>
      <c r="G5706" s="1" t="str">
        <f t="shared" si="2"/>
        <v>Christian C.</v>
      </c>
      <c r="H5706" s="9">
        <f>IFERROR(__xludf.DUMMYFUNCTION("""COMPUTED_VALUE"""),45042.708333333336)</f>
        <v>45042.70833</v>
      </c>
      <c r="I5706" s="1" t="str">
        <f>IFERROR(__xludf.DUMMYFUNCTION("""COMPUTED_VALUE"""),"Recibido en Laboratorio")</f>
        <v>Recibido en Laboratorio</v>
      </c>
      <c r="J5706" s="1">
        <f t="shared" si="3"/>
        <v>2</v>
      </c>
      <c r="K5706" s="1" t="str">
        <f t="shared" si="4"/>
        <v>Nuestro Laboratorio esta trabajando en tus lentes, los entregaremos en la fecha acordada.</v>
      </c>
    </row>
    <row r="5707">
      <c r="A5707" s="1">
        <f>IFERROR(__xludf.DUMMYFUNCTION("""COMPUTED_VALUE"""),90272.0)</f>
        <v>90272</v>
      </c>
      <c r="B5707" s="5">
        <f>IFERROR(__xludf.DUMMYFUNCTION("""COMPUTED_VALUE"""),45034.797548229166)</f>
        <v>45034.79755</v>
      </c>
      <c r="C5707" s="1" t="str">
        <f>IFERROR(__xludf.DUMMYFUNCTION("""COMPUTED_VALUE"""),"GARRIDO VANESA DEL CARMEN")</f>
        <v>GARRIDO VANESA DEL CARMEN</v>
      </c>
      <c r="D5707" s="1" t="str">
        <f>IFERROR(__xludf.DUMMYFUNCTION("""COMPUTED_VALUE"""),"Lentes de STOCK")</f>
        <v>Lentes de STOCK</v>
      </c>
      <c r="E5707" s="1" t="str">
        <f>IFERROR(__xludf.DUMMYFUNCTION("""COMPUTED_VALUE"""),"RIVADAVIA Javier")</f>
        <v>RIVADAVIA Javier</v>
      </c>
      <c r="F5707" s="1" t="str">
        <f t="shared" si="1"/>
        <v>RIVADAVIA </v>
      </c>
      <c r="G5707" s="1" t="str">
        <f t="shared" si="2"/>
        <v>Javier</v>
      </c>
      <c r="H5707" s="9">
        <f>IFERROR(__xludf.DUMMYFUNCTION("""COMPUTED_VALUE"""),45040.708333333336)</f>
        <v>45040.70833</v>
      </c>
      <c r="I5707" s="1" t="str">
        <f>IFERROR(__xludf.DUMMYFUNCTION("""COMPUTED_VALUE"""),"Recibido en Laboratorio")</f>
        <v>Recibido en Laboratorio</v>
      </c>
      <c r="J5707" s="1">
        <f t="shared" si="3"/>
        <v>2</v>
      </c>
      <c r="K5707" s="1" t="str">
        <f t="shared" si="4"/>
        <v>Nuestro Laboratorio esta trabajando en tus lentes, los entregaremos en la fecha acordada.</v>
      </c>
    </row>
    <row r="5708">
      <c r="A5708" s="1">
        <f>IFERROR(__xludf.DUMMYFUNCTION("""COMPUTED_VALUE"""),90273.0)</f>
        <v>90273</v>
      </c>
      <c r="B5708" s="5">
        <f>IFERROR(__xludf.DUMMYFUNCTION("""COMPUTED_VALUE"""),45034.8074347338)</f>
        <v>45034.80743</v>
      </c>
      <c r="C5708" s="1" t="str">
        <f>IFERROR(__xludf.DUMMYFUNCTION("""COMPUTED_VALUE"""),"FERNANDEZ FAUSTINA")</f>
        <v>FERNANDEZ FAUSTINA</v>
      </c>
      <c r="D5708" s="1" t="str">
        <f>IFERROR(__xludf.DUMMYFUNCTION("""COMPUTED_VALUE"""),"Lentes BIFOCALES")</f>
        <v>Lentes BIFOCALES</v>
      </c>
      <c r="E5708" s="1" t="str">
        <f>IFERROR(__xludf.DUMMYFUNCTION("""COMPUTED_VALUE"""),"ARTIGAS Ivana P.")</f>
        <v>ARTIGAS Ivana P.</v>
      </c>
      <c r="F5708" s="1" t="str">
        <f t="shared" si="1"/>
        <v>ARTIGAS </v>
      </c>
      <c r="G5708" s="1" t="str">
        <f t="shared" si="2"/>
        <v>Ivana P.</v>
      </c>
      <c r="H5708" s="9">
        <f>IFERROR(__xludf.DUMMYFUNCTION("""COMPUTED_VALUE"""),45041.708333333336)</f>
        <v>45041.70833</v>
      </c>
      <c r="I5708" s="1" t="str">
        <f>IFERROR(__xludf.DUMMYFUNCTION("""COMPUTED_VALUE"""),"Recibido en Laboratorio")</f>
        <v>Recibido en Laboratorio</v>
      </c>
      <c r="J5708" s="1">
        <f t="shared" si="3"/>
        <v>2</v>
      </c>
      <c r="K5708" s="1" t="str">
        <f t="shared" si="4"/>
        <v>Nuestro Laboratorio esta trabajando en tus lentes, los entregaremos en la fecha acordada.</v>
      </c>
    </row>
    <row r="5709">
      <c r="A5709" s="1">
        <f>IFERROR(__xludf.DUMMYFUNCTION("""COMPUTED_VALUE"""),90274.0)</f>
        <v>90274</v>
      </c>
      <c r="B5709" s="5">
        <f>IFERROR(__xludf.DUMMYFUNCTION("""COMPUTED_VALUE"""),45034.80792273148)</f>
        <v>45034.80792</v>
      </c>
      <c r="C5709" s="1" t="str">
        <f>IFERROR(__xludf.DUMMYFUNCTION("""COMPUTED_VALUE"""),"BENITEZ GARRO DELFINA")</f>
        <v>BENITEZ GARRO DELFINA</v>
      </c>
      <c r="D5709" s="1" t="str">
        <f>IFERROR(__xludf.DUMMYFUNCTION("""COMPUTED_VALUE"""),"Lentes de STOCK")</f>
        <v>Lentes de STOCK</v>
      </c>
      <c r="E5709" s="1" t="str">
        <f>IFERROR(__xludf.DUMMYFUNCTION("""COMPUTED_VALUE"""),"RIVADAVIA Javier")</f>
        <v>RIVADAVIA Javier</v>
      </c>
      <c r="F5709" s="1" t="str">
        <f t="shared" si="1"/>
        <v>RIVADAVIA </v>
      </c>
      <c r="G5709" s="1" t="str">
        <f t="shared" si="2"/>
        <v>Javier</v>
      </c>
      <c r="H5709" s="9">
        <f>IFERROR(__xludf.DUMMYFUNCTION("""COMPUTED_VALUE"""),45040.708333333336)</f>
        <v>45040.70833</v>
      </c>
      <c r="I5709" s="1" t="str">
        <f>IFERROR(__xludf.DUMMYFUNCTION("""COMPUTED_VALUE"""),"Recibido en Laboratorio")</f>
        <v>Recibido en Laboratorio</v>
      </c>
      <c r="J5709" s="1">
        <f t="shared" si="3"/>
        <v>2</v>
      </c>
      <c r="K5709" s="1" t="str">
        <f t="shared" si="4"/>
        <v>Nuestro Laboratorio esta trabajando en tus lentes, los entregaremos en la fecha acordada.</v>
      </c>
    </row>
    <row r="5710">
      <c r="A5710" s="1">
        <f>IFERROR(__xludf.DUMMYFUNCTION("""COMPUTED_VALUE"""),90275.0)</f>
        <v>90275</v>
      </c>
      <c r="B5710" s="5">
        <f>IFERROR(__xludf.DUMMYFUNCTION("""COMPUTED_VALUE"""),45034.81372303241)</f>
        <v>45034.81372</v>
      </c>
      <c r="C5710" s="1" t="str">
        <f>IFERROR(__xludf.DUMMYFUNCTION("""COMPUTED_VALUE"""),"FARIAS LARA")</f>
        <v>FARIAS LARA</v>
      </c>
      <c r="D5710" s="1" t="str">
        <f>IFERROR(__xludf.DUMMYFUNCTION("""COMPUTED_VALUE"""),"Lentes de STOCK")</f>
        <v>Lentes de STOCK</v>
      </c>
      <c r="E5710" s="1" t="str">
        <f>IFERROR(__xludf.DUMMYFUNCTION("""COMPUTED_VALUE"""),"RIVADAVIA Javier")</f>
        <v>RIVADAVIA Javier</v>
      </c>
      <c r="F5710" s="1" t="str">
        <f t="shared" si="1"/>
        <v>RIVADAVIA </v>
      </c>
      <c r="G5710" s="1" t="str">
        <f t="shared" si="2"/>
        <v>Javier</v>
      </c>
      <c r="H5710" s="9">
        <f>IFERROR(__xludf.DUMMYFUNCTION("""COMPUTED_VALUE"""),45037.708333333336)</f>
        <v>45037.70833</v>
      </c>
      <c r="I5710" s="1" t="str">
        <f>IFERROR(__xludf.DUMMYFUNCTION("""COMPUTED_VALUE"""),"Recibido en Laboratorio")</f>
        <v>Recibido en Laboratorio</v>
      </c>
      <c r="J5710" s="1">
        <f t="shared" si="3"/>
        <v>2</v>
      </c>
      <c r="K5710" s="1" t="str">
        <f t="shared" si="4"/>
        <v>Nuestro Laboratorio esta trabajando en tus lentes, los entregaremos en la fecha acordada.</v>
      </c>
    </row>
    <row r="5711">
      <c r="A5711" s="1">
        <f>IFERROR(__xludf.DUMMYFUNCTION("""COMPUTED_VALUE"""),90276.0)</f>
        <v>90276</v>
      </c>
      <c r="B5711" s="5">
        <f>IFERROR(__xludf.DUMMYFUNCTION("""COMPUTED_VALUE"""),45034.81736832176)</f>
        <v>45034.81737</v>
      </c>
      <c r="C5711" s="1" t="str">
        <f>IFERROR(__xludf.DUMMYFUNCTION("""COMPUTED_VALUE"""),"espinoza melisa")</f>
        <v>espinoza melisa</v>
      </c>
      <c r="D5711" s="1" t="str">
        <f>IFERROR(__xludf.DUMMYFUNCTION("""COMPUTED_VALUE"""),"Reparaciones/Otros")</f>
        <v>Reparaciones/Otros</v>
      </c>
      <c r="E5711" s="1" t="str">
        <f>IFERROR(__xludf.DUMMYFUNCTION("""COMPUTED_VALUE"""),"RIVADAVIA Daniel CM")</f>
        <v>RIVADAVIA Daniel CM</v>
      </c>
      <c r="F5711" s="1" t="str">
        <f t="shared" si="1"/>
        <v>RIVADAVIA </v>
      </c>
      <c r="G5711" s="1" t="str">
        <f t="shared" si="2"/>
        <v>Daniel CM</v>
      </c>
      <c r="H5711" s="9">
        <f>IFERROR(__xludf.DUMMYFUNCTION("""COMPUTED_VALUE"""),45035.708333333336)</f>
        <v>45035.70833</v>
      </c>
      <c r="I5711" s="1" t="str">
        <f>IFERROR(__xludf.DUMMYFUNCTION("""COMPUTED_VALUE"""),"Completado en SUCURSAL")</f>
        <v>Completado en SUCURSAL</v>
      </c>
      <c r="J5711" s="1">
        <f t="shared" si="3"/>
        <v>5</v>
      </c>
      <c r="K5711" s="1" t="str">
        <f t="shared" si="4"/>
        <v>Tus Lentes estan LISTAS PARA ENTREGAR, te esperamos.</v>
      </c>
    </row>
    <row r="5712">
      <c r="A5712" s="1">
        <f>IFERROR(__xludf.DUMMYFUNCTION("""COMPUTED_VALUE"""),90277.0)</f>
        <v>90277</v>
      </c>
      <c r="B5712" s="5">
        <f>IFERROR(__xludf.DUMMYFUNCTION("""COMPUTED_VALUE"""),45034.81834972222)</f>
        <v>45034.81835</v>
      </c>
      <c r="C5712" s="1" t="str">
        <f>IFERROR(__xludf.DUMMYFUNCTION("""COMPUTED_VALUE"""),"SARMIENTO ALICIA MARGARITA")</f>
        <v>SARMIENTO ALICIA MARGARITA</v>
      </c>
      <c r="D5712" s="1" t="str">
        <f>IFERROR(__xludf.DUMMYFUNCTION("""COMPUTED_VALUE"""),"Lentes de STOCK")</f>
        <v>Lentes de STOCK</v>
      </c>
      <c r="E5712" s="1" t="str">
        <f>IFERROR(__xludf.DUMMYFUNCTION("""COMPUTED_VALUE"""),"RIVADAVIA Luciana")</f>
        <v>RIVADAVIA Luciana</v>
      </c>
      <c r="F5712" s="1" t="str">
        <f t="shared" si="1"/>
        <v>RIVADAVIA </v>
      </c>
      <c r="G5712" s="1" t="str">
        <f t="shared" si="2"/>
        <v>Luciana</v>
      </c>
      <c r="H5712" s="9">
        <f>IFERROR(__xludf.DUMMYFUNCTION("""COMPUTED_VALUE"""),45040.708333333336)</f>
        <v>45040.70833</v>
      </c>
      <c r="I5712" s="1" t="str">
        <f>IFERROR(__xludf.DUMMYFUNCTION("""COMPUTED_VALUE"""),"Recibido en Laboratorio")</f>
        <v>Recibido en Laboratorio</v>
      </c>
      <c r="J5712" s="1">
        <f t="shared" si="3"/>
        <v>2</v>
      </c>
      <c r="K5712" s="1" t="str">
        <f t="shared" si="4"/>
        <v>Nuestro Laboratorio esta trabajando en tus lentes, los entregaremos en la fecha acordada.</v>
      </c>
    </row>
    <row r="5713">
      <c r="A5713" s="1">
        <f>IFERROR(__xludf.DUMMYFUNCTION("""COMPUTED_VALUE"""),90278.0)</f>
        <v>90278</v>
      </c>
      <c r="B5713" s="5">
        <f>IFERROR(__xludf.DUMMYFUNCTION("""COMPUTED_VALUE"""),45034.81998684027)</f>
        <v>45034.81999</v>
      </c>
      <c r="C5713" s="1" t="str">
        <f>IFERROR(__xludf.DUMMYFUNCTION("""COMPUTED_VALUE"""),"SACANFERLATO ANA ISABEL")</f>
        <v>SACANFERLATO ANA ISABEL</v>
      </c>
      <c r="D5713" s="1" t="str">
        <f>IFERROR(__xludf.DUMMYFUNCTION("""COMPUTED_VALUE"""),"Lentes BIFOCALES")</f>
        <v>Lentes BIFOCALES</v>
      </c>
      <c r="E5713" s="1" t="str">
        <f>IFERROR(__xludf.DUMMYFUNCTION("""COMPUTED_VALUE"""),"ARTIGAS Roció")</f>
        <v>ARTIGAS Roció</v>
      </c>
      <c r="F5713" s="1" t="str">
        <f t="shared" si="1"/>
        <v>ARTIGAS </v>
      </c>
      <c r="G5713" s="1" t="str">
        <f t="shared" si="2"/>
        <v>Roció</v>
      </c>
      <c r="H5713" s="9">
        <f>IFERROR(__xludf.DUMMYFUNCTION("""COMPUTED_VALUE"""),45042.708333333336)</f>
        <v>45042.70833</v>
      </c>
      <c r="I5713" s="1" t="str">
        <f>IFERROR(__xludf.DUMMYFUNCTION("""COMPUTED_VALUE"""),"Recibido en Laboratorio")</f>
        <v>Recibido en Laboratorio</v>
      </c>
      <c r="J5713" s="1">
        <f t="shared" si="3"/>
        <v>2</v>
      </c>
      <c r="K5713" s="1" t="str">
        <f t="shared" si="4"/>
        <v>Nuestro Laboratorio esta trabajando en tus lentes, los entregaremos en la fecha acordada.</v>
      </c>
    </row>
    <row r="5714">
      <c r="A5714" s="1">
        <f>IFERROR(__xludf.DUMMYFUNCTION("""COMPUTED_VALUE"""),90279.0)</f>
        <v>90279</v>
      </c>
      <c r="B5714" s="5">
        <f>IFERROR(__xludf.DUMMYFUNCTION("""COMPUTED_VALUE"""),45034.82056877315)</f>
        <v>45034.82057</v>
      </c>
      <c r="C5714" s="1" t="str">
        <f>IFERROR(__xludf.DUMMYFUNCTION("""COMPUTED_VALUE"""),"VILCHEZ MIRTA")</f>
        <v>VILCHEZ MIRTA</v>
      </c>
      <c r="D5714" s="1" t="str">
        <f>IFERROR(__xludf.DUMMYFUNCTION("""COMPUTED_VALUE"""),"Reparaciones/Otros")</f>
        <v>Reparaciones/Otros</v>
      </c>
      <c r="E5714" s="1" t="str">
        <f>IFERROR(__xludf.DUMMYFUNCTION("""COMPUTED_VALUE"""),"RIVADAVIA Christian C.")</f>
        <v>RIVADAVIA Christian C.</v>
      </c>
      <c r="F5714" s="1" t="str">
        <f t="shared" si="1"/>
        <v>RIVADAVIA </v>
      </c>
      <c r="G5714" s="1" t="str">
        <f t="shared" si="2"/>
        <v>Christian C.</v>
      </c>
      <c r="H5714" s="9">
        <f>IFERROR(__xludf.DUMMYFUNCTION("""COMPUTED_VALUE"""),45044.708333333336)</f>
        <v>45044.70833</v>
      </c>
      <c r="I5714" s="1" t="str">
        <f>IFERROR(__xludf.DUMMYFUNCTION("""COMPUTED_VALUE"""),"Recibido en Laboratorio")</f>
        <v>Recibido en Laboratorio</v>
      </c>
      <c r="J5714" s="1">
        <f t="shared" si="3"/>
        <v>2</v>
      </c>
      <c r="K5714" s="1" t="str">
        <f t="shared" si="4"/>
        <v>Nuestro Laboratorio esta trabajando en tus lentes, los entregaremos en la fecha acordada.</v>
      </c>
    </row>
    <row r="5715">
      <c r="A5715" s="1">
        <f>IFERROR(__xludf.DUMMYFUNCTION("""COMPUTED_VALUE"""),90280.0)</f>
        <v>90280</v>
      </c>
      <c r="B5715" s="5">
        <f>IFERROR(__xludf.DUMMYFUNCTION("""COMPUTED_VALUE"""),45034.82069119213)</f>
        <v>45034.82069</v>
      </c>
      <c r="C5715" s="1" t="str">
        <f>IFERROR(__xludf.DUMMYFUNCTION("""COMPUTED_VALUE"""),"BERGA SELVA")</f>
        <v>BERGA SELVA</v>
      </c>
      <c r="D5715" s="1" t="str">
        <f>IFERROR(__xludf.DUMMYFUNCTION("""COMPUTED_VALUE"""),"Lentes de STOCK")</f>
        <v>Lentes de STOCK</v>
      </c>
      <c r="E5715" s="1" t="str">
        <f>IFERROR(__xludf.DUMMYFUNCTION("""COMPUTED_VALUE"""),"ARTIGAS Ivana P.")</f>
        <v>ARTIGAS Ivana P.</v>
      </c>
      <c r="F5715" s="1" t="str">
        <f t="shared" si="1"/>
        <v>ARTIGAS </v>
      </c>
      <c r="G5715" s="1" t="str">
        <f t="shared" si="2"/>
        <v>Ivana P.</v>
      </c>
      <c r="H5715" s="9">
        <f>IFERROR(__xludf.DUMMYFUNCTION("""COMPUTED_VALUE"""),45040.708333333336)</f>
        <v>45040.70833</v>
      </c>
      <c r="I5715" s="1" t="str">
        <f>IFERROR(__xludf.DUMMYFUNCTION("""COMPUTED_VALUE"""),"Recibido en Laboratorio")</f>
        <v>Recibido en Laboratorio</v>
      </c>
      <c r="J5715" s="1">
        <f t="shared" si="3"/>
        <v>2</v>
      </c>
      <c r="K5715" s="1" t="str">
        <f t="shared" si="4"/>
        <v>Nuestro Laboratorio esta trabajando en tus lentes, los entregaremos en la fecha acordada.</v>
      </c>
    </row>
    <row r="5716">
      <c r="A5716" s="1">
        <f>IFERROR(__xludf.DUMMYFUNCTION("""COMPUTED_VALUE"""),90281.0)</f>
        <v>90281</v>
      </c>
      <c r="B5716" s="5">
        <f>IFERROR(__xludf.DUMMYFUNCTION("""COMPUTED_VALUE"""),45034.82211979167)</f>
        <v>45034.82212</v>
      </c>
      <c r="C5716" s="1" t="str">
        <f>IFERROR(__xludf.DUMMYFUNCTION("""COMPUTED_VALUE"""),"SARMIENTO ALICIA MARGARITA")</f>
        <v>SARMIENTO ALICIA MARGARITA</v>
      </c>
      <c r="D5716" s="1" t="str">
        <f>IFERROR(__xludf.DUMMYFUNCTION("""COMPUTED_VALUE"""),"Lentes de STOCK")</f>
        <v>Lentes de STOCK</v>
      </c>
      <c r="E5716" s="1" t="str">
        <f>IFERROR(__xludf.DUMMYFUNCTION("""COMPUTED_VALUE"""),"RIVADAVIA Luciana")</f>
        <v>RIVADAVIA Luciana</v>
      </c>
      <c r="F5716" s="1" t="str">
        <f t="shared" si="1"/>
        <v>RIVADAVIA </v>
      </c>
      <c r="G5716" s="1" t="str">
        <f t="shared" si="2"/>
        <v>Luciana</v>
      </c>
      <c r="H5716" s="9">
        <f>IFERROR(__xludf.DUMMYFUNCTION("""COMPUTED_VALUE"""),45040.708333333336)</f>
        <v>45040.70833</v>
      </c>
      <c r="I5716" s="1"/>
      <c r="J5716" s="1">
        <f t="shared" si="3"/>
        <v>0</v>
      </c>
      <c r="K5716" s="1" t="str">
        <f t="shared" si="4"/>
        <v/>
      </c>
    </row>
    <row r="5717">
      <c r="A5717" s="1">
        <f>IFERROR(__xludf.DUMMYFUNCTION("""COMPUTED_VALUE"""),90282.0)</f>
        <v>90282</v>
      </c>
      <c r="B5717" s="5">
        <f>IFERROR(__xludf.DUMMYFUNCTION("""COMPUTED_VALUE"""),45034.83990126157)</f>
        <v>45034.8399</v>
      </c>
      <c r="C5717" s="1" t="str">
        <f>IFERROR(__xludf.DUMMYFUNCTION("""COMPUTED_VALUE"""),"GOMEZ TORRES VIRGINIA ")</f>
        <v>GOMEZ TORRES VIRGINIA </v>
      </c>
      <c r="D5717" s="1" t="str">
        <f>IFERROR(__xludf.DUMMYFUNCTION("""COMPUTED_VALUE"""),"Lentes de STOCK")</f>
        <v>Lentes de STOCK</v>
      </c>
      <c r="E5717" s="1" t="str">
        <f>IFERROR(__xludf.DUMMYFUNCTION("""COMPUTED_VALUE"""),"RIVADAVIA Christian C.")</f>
        <v>RIVADAVIA Christian C.</v>
      </c>
      <c r="F5717" s="1" t="str">
        <f t="shared" si="1"/>
        <v>RIVADAVIA </v>
      </c>
      <c r="G5717" s="1" t="str">
        <f t="shared" si="2"/>
        <v>Christian C.</v>
      </c>
      <c r="H5717" s="9">
        <f>IFERROR(__xludf.DUMMYFUNCTION("""COMPUTED_VALUE"""),45044.708333333336)</f>
        <v>45044.70833</v>
      </c>
      <c r="I5717" s="1" t="str">
        <f>IFERROR(__xludf.DUMMYFUNCTION("""COMPUTED_VALUE"""),"Recibido en Laboratorio")</f>
        <v>Recibido en Laboratorio</v>
      </c>
      <c r="J5717" s="1">
        <f t="shared" si="3"/>
        <v>2</v>
      </c>
      <c r="K5717" s="1" t="str">
        <f t="shared" si="4"/>
        <v>Nuestro Laboratorio esta trabajando en tus lentes, los entregaremos en la fecha acordada.</v>
      </c>
    </row>
    <row r="5718">
      <c r="A5718" s="1">
        <f>IFERROR(__xludf.DUMMYFUNCTION("""COMPUTED_VALUE"""),90283.0)</f>
        <v>90283</v>
      </c>
      <c r="B5718" s="5">
        <f>IFERROR(__xludf.DUMMYFUNCTION("""COMPUTED_VALUE"""),45035.40575116898)</f>
        <v>45035.40575</v>
      </c>
      <c r="C5718" s="1" t="str">
        <f>IFERROR(__xludf.DUMMYFUNCTION("""COMPUTED_VALUE"""),"BARROSO YESICA")</f>
        <v>BARROSO YESICA</v>
      </c>
      <c r="D5718" s="1" t="str">
        <f>IFERROR(__xludf.DUMMYFUNCTION("""COMPUTED_VALUE"""),"Reparaciones/Otros")</f>
        <v>Reparaciones/Otros</v>
      </c>
      <c r="E5718" s="1" t="str">
        <f>IFERROR(__xludf.DUMMYFUNCTION("""COMPUTED_VALUE"""),"ARTIGAS Ivana P.")</f>
        <v>ARTIGAS Ivana P.</v>
      </c>
      <c r="F5718" s="1" t="str">
        <f t="shared" si="1"/>
        <v>ARTIGAS </v>
      </c>
      <c r="G5718" s="1" t="str">
        <f t="shared" si="2"/>
        <v>Ivana P.</v>
      </c>
      <c r="H5718" s="9">
        <f>IFERROR(__xludf.DUMMYFUNCTION("""COMPUTED_VALUE"""),45037.708333333336)</f>
        <v>45037.70833</v>
      </c>
      <c r="I5718" s="1" t="str">
        <f>IFERROR(__xludf.DUMMYFUNCTION("""COMPUTED_VALUE"""),"Completado en SUCURSAL")</f>
        <v>Completado en SUCURSAL</v>
      </c>
      <c r="J5718" s="1">
        <f t="shared" si="3"/>
        <v>5</v>
      </c>
      <c r="K5718" s="1" t="str">
        <f t="shared" si="4"/>
        <v>Tus Lentes estan LISTAS PARA ENTREGAR, te esperamos.</v>
      </c>
    </row>
    <row r="5719">
      <c r="A5719" s="1">
        <f>IFERROR(__xludf.DUMMYFUNCTION("""COMPUTED_VALUE"""),90284.0)</f>
        <v>90284</v>
      </c>
      <c r="B5719" s="5">
        <f>IFERROR(__xludf.DUMMYFUNCTION("""COMPUTED_VALUE"""),45035.40873473379)</f>
        <v>45035.40873</v>
      </c>
      <c r="C5719" s="1" t="str">
        <f>IFERROR(__xludf.DUMMYFUNCTION("""COMPUTED_VALUE"""),"DIAZ AZUCENA")</f>
        <v>DIAZ AZUCENA</v>
      </c>
      <c r="D5719" s="1" t="str">
        <f>IFERROR(__xludf.DUMMYFUNCTION("""COMPUTED_VALUE"""),"Reparaciones/Otros")</f>
        <v>Reparaciones/Otros</v>
      </c>
      <c r="E5719" s="1" t="str">
        <f>IFERROR(__xludf.DUMMYFUNCTION("""COMPUTED_VALUE"""),"ARTIGAS Ivana P.")</f>
        <v>ARTIGAS Ivana P.</v>
      </c>
      <c r="F5719" s="1" t="str">
        <f t="shared" si="1"/>
        <v>ARTIGAS </v>
      </c>
      <c r="G5719" s="1" t="str">
        <f t="shared" si="2"/>
        <v>Ivana P.</v>
      </c>
      <c r="H5719" s="9">
        <f>IFERROR(__xludf.DUMMYFUNCTION("""COMPUTED_VALUE"""),45037.708333333336)</f>
        <v>45037.70833</v>
      </c>
      <c r="I5719" s="1" t="str">
        <f>IFERROR(__xludf.DUMMYFUNCTION("""COMPUTED_VALUE"""),"Recibido en Laboratorio")</f>
        <v>Recibido en Laboratorio</v>
      </c>
      <c r="J5719" s="1">
        <f t="shared" si="3"/>
        <v>2</v>
      </c>
      <c r="K5719" s="1" t="str">
        <f t="shared" si="4"/>
        <v>Nuestro Laboratorio esta trabajando en tus lentes, los entregaremos en la fecha acordada.</v>
      </c>
    </row>
    <row r="5720">
      <c r="A5720" s="1">
        <f>IFERROR(__xludf.DUMMYFUNCTION("""COMPUTED_VALUE"""),90285.0)</f>
        <v>90285</v>
      </c>
      <c r="B5720" s="5">
        <f>IFERROR(__xludf.DUMMYFUNCTION("""COMPUTED_VALUE"""),45035.41358466435)</f>
        <v>45035.41358</v>
      </c>
      <c r="C5720" s="1" t="str">
        <f>IFERROR(__xludf.DUMMYFUNCTION("""COMPUTED_VALUE"""),"SOLIS ROLANDO")</f>
        <v>SOLIS ROLANDO</v>
      </c>
      <c r="D5720" s="1" t="str">
        <f>IFERROR(__xludf.DUMMYFUNCTION("""COMPUTED_VALUE"""),"Lentes MULTIFOCALES")</f>
        <v>Lentes MULTIFOCALES</v>
      </c>
      <c r="E5720" s="1" t="str">
        <f>IFERROR(__xludf.DUMMYFUNCTION("""COMPUTED_VALUE"""),"RIVADAVIA Santiago LOPEZ")</f>
        <v>RIVADAVIA Santiago LOPEZ</v>
      </c>
      <c r="F5720" s="1" t="str">
        <f t="shared" si="1"/>
        <v>RIVADAVIA </v>
      </c>
      <c r="G5720" s="1" t="str">
        <f t="shared" si="2"/>
        <v>Santiago LOPEZ</v>
      </c>
      <c r="H5720" s="9">
        <f>IFERROR(__xludf.DUMMYFUNCTION("""COMPUTED_VALUE"""),45050.708333333336)</f>
        <v>45050.70833</v>
      </c>
      <c r="I5720" s="1" t="str">
        <f>IFERROR(__xludf.DUMMYFUNCTION("""COMPUTED_VALUE"""),"Recibido en Laboratorio")</f>
        <v>Recibido en Laboratorio</v>
      </c>
      <c r="J5720" s="1">
        <f t="shared" si="3"/>
        <v>2</v>
      </c>
      <c r="K5720" s="1" t="str">
        <f t="shared" si="4"/>
        <v>Nuestro Laboratorio esta trabajando en tus lentes, los entregaremos en la fecha acordada.</v>
      </c>
    </row>
    <row r="5721">
      <c r="A5721" s="1">
        <f>IFERROR(__xludf.DUMMYFUNCTION("""COMPUTED_VALUE"""),90286.0)</f>
        <v>90286</v>
      </c>
      <c r="B5721" s="5">
        <f>IFERROR(__xludf.DUMMYFUNCTION("""COMPUTED_VALUE"""),45035.41640693287)</f>
        <v>45035.41641</v>
      </c>
      <c r="C5721" s="1" t="str">
        <f>IFERROR(__xludf.DUMMYFUNCTION("""COMPUTED_VALUE"""),"FLORES JOSE ")</f>
        <v>FLORES JOSE </v>
      </c>
      <c r="D5721" s="1" t="str">
        <f>IFERROR(__xludf.DUMMYFUNCTION("""COMPUTED_VALUE"""),"Reparaciones/Otros")</f>
        <v>Reparaciones/Otros</v>
      </c>
      <c r="E5721" s="1" t="str">
        <f>IFERROR(__xludf.DUMMYFUNCTION("""COMPUTED_VALUE"""),"RIVADAVIA Christian C.")</f>
        <v>RIVADAVIA Christian C.</v>
      </c>
      <c r="F5721" s="1" t="str">
        <f t="shared" si="1"/>
        <v>RIVADAVIA </v>
      </c>
      <c r="G5721" s="1" t="str">
        <f t="shared" si="2"/>
        <v>Christian C.</v>
      </c>
      <c r="H5721" s="9">
        <f>IFERROR(__xludf.DUMMYFUNCTION("""COMPUTED_VALUE"""),45037.708333333336)</f>
        <v>45037.70833</v>
      </c>
      <c r="I5721" s="1" t="str">
        <f>IFERROR(__xludf.DUMMYFUNCTION("""COMPUTED_VALUE"""),"Recibido en Laboratorio")</f>
        <v>Recibido en Laboratorio</v>
      </c>
      <c r="J5721" s="1">
        <f t="shared" si="3"/>
        <v>2</v>
      </c>
      <c r="K5721" s="1" t="str">
        <f t="shared" si="4"/>
        <v>Nuestro Laboratorio esta trabajando en tus lentes, los entregaremos en la fecha acordada.</v>
      </c>
    </row>
    <row r="5722">
      <c r="A5722" s="1">
        <f>IFERROR(__xludf.DUMMYFUNCTION("""COMPUTED_VALUE"""),90287.0)</f>
        <v>90287</v>
      </c>
      <c r="B5722" s="5">
        <f>IFERROR(__xludf.DUMMYFUNCTION("""COMPUTED_VALUE"""),45035.41895533565)</f>
        <v>45035.41896</v>
      </c>
      <c r="C5722" s="1" t="str">
        <f>IFERROR(__xludf.DUMMYFUNCTION("""COMPUTED_VALUE"""),"ESPINOSA JOSE")</f>
        <v>ESPINOSA JOSE</v>
      </c>
      <c r="D5722" s="1" t="str">
        <f>IFERROR(__xludf.DUMMYFUNCTION("""COMPUTED_VALUE"""),"Lentes de STOCK")</f>
        <v>Lentes de STOCK</v>
      </c>
      <c r="E5722" s="1" t="str">
        <f>IFERROR(__xludf.DUMMYFUNCTION("""COMPUTED_VALUE"""),"ARTIGAS Ivana P.")</f>
        <v>ARTIGAS Ivana P.</v>
      </c>
      <c r="F5722" s="1" t="str">
        <f t="shared" si="1"/>
        <v>ARTIGAS </v>
      </c>
      <c r="G5722" s="1" t="str">
        <f t="shared" si="2"/>
        <v>Ivana P.</v>
      </c>
      <c r="H5722" s="9">
        <f>IFERROR(__xludf.DUMMYFUNCTION("""COMPUTED_VALUE"""),45040.708333333336)</f>
        <v>45040.70833</v>
      </c>
      <c r="I5722" s="1" t="str">
        <f>IFERROR(__xludf.DUMMYFUNCTION("""COMPUTED_VALUE"""),"Recibido en Laboratorio")</f>
        <v>Recibido en Laboratorio</v>
      </c>
      <c r="J5722" s="1">
        <f t="shared" si="3"/>
        <v>2</v>
      </c>
      <c r="K5722" s="1" t="str">
        <f t="shared" si="4"/>
        <v>Nuestro Laboratorio esta trabajando en tus lentes, los entregaremos en la fecha acordada.</v>
      </c>
    </row>
    <row r="5723">
      <c r="A5723" s="1">
        <f>IFERROR(__xludf.DUMMYFUNCTION("""COMPUTED_VALUE"""),90288.0)</f>
        <v>90288</v>
      </c>
      <c r="B5723" s="5">
        <f>IFERROR(__xludf.DUMMYFUNCTION("""COMPUTED_VALUE"""),45035.42182045139)</f>
        <v>45035.42182</v>
      </c>
      <c r="C5723" s="1" t="str">
        <f>IFERROR(__xludf.DUMMYFUNCTION("""COMPUTED_VALUE"""),"ZAGAGLIA PATRICIA")</f>
        <v>ZAGAGLIA PATRICIA</v>
      </c>
      <c r="D5723" s="1" t="str">
        <f>IFERROR(__xludf.DUMMYFUNCTION("""COMPUTED_VALUE"""),"Lentes de STOCK")</f>
        <v>Lentes de STOCK</v>
      </c>
      <c r="E5723" s="1" t="str">
        <f>IFERROR(__xludf.DUMMYFUNCTION("""COMPUTED_VALUE"""),"RIVADAVIA Christian C.")</f>
        <v>RIVADAVIA Christian C.</v>
      </c>
      <c r="F5723" s="1" t="str">
        <f t="shared" si="1"/>
        <v>RIVADAVIA </v>
      </c>
      <c r="G5723" s="1" t="str">
        <f t="shared" si="2"/>
        <v>Christian C.</v>
      </c>
      <c r="H5723" s="9">
        <f>IFERROR(__xludf.DUMMYFUNCTION("""COMPUTED_VALUE"""),45040.708333333336)</f>
        <v>45040.70833</v>
      </c>
      <c r="I5723" s="1" t="str">
        <f>IFERROR(__xludf.DUMMYFUNCTION("""COMPUTED_VALUE"""),"Recibido en Laboratorio")</f>
        <v>Recibido en Laboratorio</v>
      </c>
      <c r="J5723" s="1">
        <f t="shared" si="3"/>
        <v>2</v>
      </c>
      <c r="K5723" s="1" t="str">
        <f t="shared" si="4"/>
        <v>Nuestro Laboratorio esta trabajando en tus lentes, los entregaremos en la fecha acordada.</v>
      </c>
    </row>
    <row r="5724">
      <c r="A5724" s="1">
        <f>IFERROR(__xludf.DUMMYFUNCTION("""COMPUTED_VALUE"""),90289.0)</f>
        <v>90289</v>
      </c>
      <c r="B5724" s="5">
        <f>IFERROR(__xludf.DUMMYFUNCTION("""COMPUTED_VALUE"""),45035.42791803241)</f>
        <v>45035.42792</v>
      </c>
      <c r="C5724" s="1" t="str">
        <f>IFERROR(__xludf.DUMMYFUNCTION("""COMPUTED_VALUE"""),"MORALES GERALDINA")</f>
        <v>MORALES GERALDINA</v>
      </c>
      <c r="D5724" s="1" t="str">
        <f>IFERROR(__xludf.DUMMYFUNCTION("""COMPUTED_VALUE"""),"Lentes de STOCK")</f>
        <v>Lentes de STOCK</v>
      </c>
      <c r="E5724" s="1" t="str">
        <f>IFERROR(__xludf.DUMMYFUNCTION("""COMPUTED_VALUE"""),"RIVADAVIA Luciana")</f>
        <v>RIVADAVIA Luciana</v>
      </c>
      <c r="F5724" s="1" t="str">
        <f t="shared" si="1"/>
        <v>RIVADAVIA </v>
      </c>
      <c r="G5724" s="1" t="str">
        <f t="shared" si="2"/>
        <v>Luciana</v>
      </c>
      <c r="H5724" s="9">
        <f>IFERROR(__xludf.DUMMYFUNCTION("""COMPUTED_VALUE"""),45041.708333333336)</f>
        <v>45041.70833</v>
      </c>
      <c r="I5724" s="1" t="str">
        <f>IFERROR(__xludf.DUMMYFUNCTION("""COMPUTED_VALUE"""),"Recibido en Laboratorio")</f>
        <v>Recibido en Laboratorio</v>
      </c>
      <c r="J5724" s="1">
        <f t="shared" si="3"/>
        <v>2</v>
      </c>
      <c r="K5724" s="1" t="str">
        <f t="shared" si="4"/>
        <v>Nuestro Laboratorio esta trabajando en tus lentes, los entregaremos en la fecha acordada.</v>
      </c>
    </row>
    <row r="5725">
      <c r="A5725" s="1">
        <f>IFERROR(__xludf.DUMMYFUNCTION("""COMPUTED_VALUE"""),90290.0)</f>
        <v>90290</v>
      </c>
      <c r="B5725" s="5">
        <f>IFERROR(__xludf.DUMMYFUNCTION("""COMPUTED_VALUE"""),45035.43209545139)</f>
        <v>45035.4321</v>
      </c>
      <c r="C5725" s="1" t="str">
        <f>IFERROR(__xludf.DUMMYFUNCTION("""COMPUTED_VALUE"""),"PAEZ MARIA MORENA DE GUADALUPE")</f>
        <v>PAEZ MARIA MORENA DE GUADALUPE</v>
      </c>
      <c r="D5725" s="1" t="str">
        <f>IFERROR(__xludf.DUMMYFUNCTION("""COMPUTED_VALUE"""),"Lentes de STOCK")</f>
        <v>Lentes de STOCK</v>
      </c>
      <c r="E5725" s="1" t="str">
        <f>IFERROR(__xludf.DUMMYFUNCTION("""COMPUTED_VALUE"""),"RIVADAVIA Marcela L")</f>
        <v>RIVADAVIA Marcela L</v>
      </c>
      <c r="F5725" s="1" t="str">
        <f t="shared" si="1"/>
        <v>RIVADAVIA </v>
      </c>
      <c r="G5725" s="1" t="str">
        <f t="shared" si="2"/>
        <v>Marcela L</v>
      </c>
      <c r="H5725" s="9">
        <f>IFERROR(__xludf.DUMMYFUNCTION("""COMPUTED_VALUE"""),45041.708333333336)</f>
        <v>45041.70833</v>
      </c>
      <c r="I5725" s="1" t="str">
        <f>IFERROR(__xludf.DUMMYFUNCTION("""COMPUTED_VALUE"""),"Recibido en Laboratorio")</f>
        <v>Recibido en Laboratorio</v>
      </c>
      <c r="J5725" s="1">
        <f t="shared" si="3"/>
        <v>2</v>
      </c>
      <c r="K5725" s="1" t="str">
        <f t="shared" si="4"/>
        <v>Nuestro Laboratorio esta trabajando en tus lentes, los entregaremos en la fecha acordada.</v>
      </c>
    </row>
    <row r="5726">
      <c r="A5726" s="1">
        <f>IFERROR(__xludf.DUMMYFUNCTION("""COMPUTED_VALUE"""),90291.0)</f>
        <v>90291</v>
      </c>
      <c r="B5726" s="5">
        <f>IFERROR(__xludf.DUMMYFUNCTION("""COMPUTED_VALUE"""),45035.43429174769)</f>
        <v>45035.43429</v>
      </c>
      <c r="C5726" s="1" t="str">
        <f>IFERROR(__xludf.DUMMYFUNCTION("""COMPUTED_VALUE"""),"OBRADOR AINARA")</f>
        <v>OBRADOR AINARA</v>
      </c>
      <c r="D5726" s="1" t="str">
        <f>IFERROR(__xludf.DUMMYFUNCTION("""COMPUTED_VALUE"""),"Lentes de STOCK")</f>
        <v>Lentes de STOCK</v>
      </c>
      <c r="E5726" s="1" t="str">
        <f>IFERROR(__xludf.DUMMYFUNCTION("""COMPUTED_VALUE"""),"RIVADAVIA Santiago LOPEZ")</f>
        <v>RIVADAVIA Santiago LOPEZ</v>
      </c>
      <c r="F5726" s="1" t="str">
        <f t="shared" si="1"/>
        <v>RIVADAVIA </v>
      </c>
      <c r="G5726" s="1" t="str">
        <f t="shared" si="2"/>
        <v>Santiago LOPEZ</v>
      </c>
      <c r="H5726" s="9">
        <f>IFERROR(__xludf.DUMMYFUNCTION("""COMPUTED_VALUE"""),45040.708333333336)</f>
        <v>45040.70833</v>
      </c>
      <c r="I5726" s="1" t="str">
        <f>IFERROR(__xludf.DUMMYFUNCTION("""COMPUTED_VALUE"""),"Recibido en Laboratorio")</f>
        <v>Recibido en Laboratorio</v>
      </c>
      <c r="J5726" s="1">
        <f t="shared" si="3"/>
        <v>2</v>
      </c>
      <c r="K5726" s="1" t="str">
        <f t="shared" si="4"/>
        <v>Nuestro Laboratorio esta trabajando en tus lentes, los entregaremos en la fecha acordada.</v>
      </c>
    </row>
    <row r="5727">
      <c r="A5727" s="1">
        <f>IFERROR(__xludf.DUMMYFUNCTION("""COMPUTED_VALUE"""),90292.0)</f>
        <v>90292</v>
      </c>
      <c r="B5727" s="5">
        <f>IFERROR(__xludf.DUMMYFUNCTION("""COMPUTED_VALUE"""),45035.4383465625)</f>
        <v>45035.43835</v>
      </c>
      <c r="C5727" s="1" t="str">
        <f>IFERROR(__xludf.DUMMYFUNCTION("""COMPUTED_VALUE"""),"OBREDOR NATASHA")</f>
        <v>OBREDOR NATASHA</v>
      </c>
      <c r="D5727" s="1" t="str">
        <f>IFERROR(__xludf.DUMMYFUNCTION("""COMPUTED_VALUE"""),"Lentes de STOCK")</f>
        <v>Lentes de STOCK</v>
      </c>
      <c r="E5727" s="1" t="str">
        <f>IFERROR(__xludf.DUMMYFUNCTION("""COMPUTED_VALUE"""),"RIVADAVIA Santiago LOPEZ")</f>
        <v>RIVADAVIA Santiago LOPEZ</v>
      </c>
      <c r="F5727" s="1" t="str">
        <f t="shared" si="1"/>
        <v>RIVADAVIA </v>
      </c>
      <c r="G5727" s="1" t="str">
        <f t="shared" si="2"/>
        <v>Santiago LOPEZ</v>
      </c>
      <c r="H5727" s="9">
        <f>IFERROR(__xludf.DUMMYFUNCTION("""COMPUTED_VALUE"""),45037.708333333336)</f>
        <v>45037.70833</v>
      </c>
      <c r="I5727" s="1" t="str">
        <f>IFERROR(__xludf.DUMMYFUNCTION("""COMPUTED_VALUE"""),"Recibido en Laboratorio")</f>
        <v>Recibido en Laboratorio</v>
      </c>
      <c r="J5727" s="1">
        <f t="shared" si="3"/>
        <v>2</v>
      </c>
      <c r="K5727" s="1" t="str">
        <f t="shared" si="4"/>
        <v>Nuestro Laboratorio esta trabajando en tus lentes, los entregaremos en la fecha acordada.</v>
      </c>
    </row>
    <row r="5728">
      <c r="A5728" s="1">
        <f>IFERROR(__xludf.DUMMYFUNCTION("""COMPUTED_VALUE"""),90293.0)</f>
        <v>90293</v>
      </c>
      <c r="B5728" s="5">
        <f>IFERROR(__xludf.DUMMYFUNCTION("""COMPUTED_VALUE"""),45035.4421788426)</f>
        <v>45035.44218</v>
      </c>
      <c r="C5728" s="1" t="str">
        <f>IFERROR(__xludf.DUMMYFUNCTION("""COMPUTED_VALUE"""),"AGUERO ESNALOA MARIA")</f>
        <v>AGUERO ESNALOA MARIA</v>
      </c>
      <c r="D5728" s="1" t="str">
        <f>IFERROR(__xludf.DUMMYFUNCTION("""COMPUTED_VALUE"""),"Lentes de STOCK")</f>
        <v>Lentes de STOCK</v>
      </c>
      <c r="E5728" s="1" t="str">
        <f>IFERROR(__xludf.DUMMYFUNCTION("""COMPUTED_VALUE"""),"RIVADAVIA Santiago LOPEZ")</f>
        <v>RIVADAVIA Santiago LOPEZ</v>
      </c>
      <c r="F5728" s="1" t="str">
        <f t="shared" si="1"/>
        <v>RIVADAVIA </v>
      </c>
      <c r="G5728" s="1" t="str">
        <f t="shared" si="2"/>
        <v>Santiago LOPEZ</v>
      </c>
      <c r="H5728" s="9">
        <f>IFERROR(__xludf.DUMMYFUNCTION("""COMPUTED_VALUE"""),45037.708333333336)</f>
        <v>45037.70833</v>
      </c>
      <c r="I5728" s="1" t="str">
        <f>IFERROR(__xludf.DUMMYFUNCTION("""COMPUTED_VALUE"""),"Recibido en Laboratorio")</f>
        <v>Recibido en Laboratorio</v>
      </c>
      <c r="J5728" s="1">
        <f t="shared" si="3"/>
        <v>2</v>
      </c>
      <c r="K5728" s="1" t="str">
        <f t="shared" si="4"/>
        <v>Nuestro Laboratorio esta trabajando en tus lentes, los entregaremos en la fecha acordada.</v>
      </c>
    </row>
    <row r="5729">
      <c r="A5729" s="1">
        <f>IFERROR(__xludf.DUMMYFUNCTION("""COMPUTED_VALUE"""),90294.0)</f>
        <v>90294</v>
      </c>
      <c r="B5729" s="5">
        <f>IFERROR(__xludf.DUMMYFUNCTION("""COMPUTED_VALUE"""),45035.45224935185)</f>
        <v>45035.45225</v>
      </c>
      <c r="C5729" s="1" t="str">
        <f>IFERROR(__xludf.DUMMYFUNCTION("""COMPUTED_VALUE"""),"CAMPOS IRIS MARGOT")</f>
        <v>CAMPOS IRIS MARGOT</v>
      </c>
      <c r="D5729" s="1" t="str">
        <f>IFERROR(__xludf.DUMMYFUNCTION("""COMPUTED_VALUE"""),"Lentes de STOCK")</f>
        <v>Lentes de STOCK</v>
      </c>
      <c r="E5729" s="1" t="str">
        <f>IFERROR(__xludf.DUMMYFUNCTION("""COMPUTED_VALUE"""),"ARTIGAS Roció")</f>
        <v>ARTIGAS Roció</v>
      </c>
      <c r="F5729" s="1" t="str">
        <f t="shared" si="1"/>
        <v>ARTIGAS </v>
      </c>
      <c r="G5729" s="1" t="str">
        <f t="shared" si="2"/>
        <v>Roció</v>
      </c>
      <c r="H5729" s="9">
        <f>IFERROR(__xludf.DUMMYFUNCTION("""COMPUTED_VALUE"""),45043.708333333336)</f>
        <v>45043.70833</v>
      </c>
      <c r="I5729" s="1" t="str">
        <f>IFERROR(__xludf.DUMMYFUNCTION("""COMPUTED_VALUE"""),"Recibido en Laboratorio")</f>
        <v>Recibido en Laboratorio</v>
      </c>
      <c r="J5729" s="1">
        <f t="shared" si="3"/>
        <v>2</v>
      </c>
      <c r="K5729" s="1" t="str">
        <f t="shared" si="4"/>
        <v>Nuestro Laboratorio esta trabajando en tus lentes, los entregaremos en la fecha acordada.</v>
      </c>
    </row>
    <row r="5730">
      <c r="A5730" s="1">
        <f>IFERROR(__xludf.DUMMYFUNCTION("""COMPUTED_VALUE"""),90295.0)</f>
        <v>90295</v>
      </c>
      <c r="B5730" s="5">
        <f>IFERROR(__xludf.DUMMYFUNCTION("""COMPUTED_VALUE"""),45035.45442488426)</f>
        <v>45035.45442</v>
      </c>
      <c r="C5730" s="1" t="str">
        <f>IFERROR(__xludf.DUMMYFUNCTION("""COMPUTED_VALUE"""),"VIGO LILIANA")</f>
        <v>VIGO LILIANA</v>
      </c>
      <c r="D5730" s="1" t="str">
        <f>IFERROR(__xludf.DUMMYFUNCTION("""COMPUTED_VALUE"""),"Lentes de STOCK")</f>
        <v>Lentes de STOCK</v>
      </c>
      <c r="E5730" s="1" t="str">
        <f>IFERROR(__xludf.DUMMYFUNCTION("""COMPUTED_VALUE"""),"RIVADAVIA Marcela L")</f>
        <v>RIVADAVIA Marcela L</v>
      </c>
      <c r="F5730" s="1" t="str">
        <f t="shared" si="1"/>
        <v>RIVADAVIA </v>
      </c>
      <c r="G5730" s="1" t="str">
        <f t="shared" si="2"/>
        <v>Marcela L</v>
      </c>
      <c r="H5730" s="9">
        <f>IFERROR(__xludf.DUMMYFUNCTION("""COMPUTED_VALUE"""),45037.708333333336)</f>
        <v>45037.70833</v>
      </c>
      <c r="I5730" s="1" t="str">
        <f>IFERROR(__xludf.DUMMYFUNCTION("""COMPUTED_VALUE"""),"Recibido en Laboratorio")</f>
        <v>Recibido en Laboratorio</v>
      </c>
      <c r="J5730" s="1">
        <f t="shared" si="3"/>
        <v>2</v>
      </c>
      <c r="K5730" s="1" t="str">
        <f t="shared" si="4"/>
        <v>Nuestro Laboratorio esta trabajando en tus lentes, los entregaremos en la fecha acordada.</v>
      </c>
    </row>
    <row r="5731">
      <c r="A5731" s="1">
        <f>IFERROR(__xludf.DUMMYFUNCTION("""COMPUTED_VALUE"""),90296.0)</f>
        <v>90296</v>
      </c>
      <c r="B5731" s="5">
        <f>IFERROR(__xludf.DUMMYFUNCTION("""COMPUTED_VALUE"""),45035.4549987037)</f>
        <v>45035.455</v>
      </c>
      <c r="C5731" s="1" t="str">
        <f>IFERROR(__xludf.DUMMYFUNCTION("""COMPUTED_VALUE"""),"DAQUINO ELSA")</f>
        <v>DAQUINO ELSA</v>
      </c>
      <c r="D5731" s="1" t="str">
        <f>IFERROR(__xludf.DUMMYFUNCTION("""COMPUTED_VALUE"""),"Lentes de STOCK")</f>
        <v>Lentes de STOCK</v>
      </c>
      <c r="E5731" s="1" t="str">
        <f>IFERROR(__xludf.DUMMYFUNCTION("""COMPUTED_VALUE"""),"ARTIGAS Sandra G")</f>
        <v>ARTIGAS Sandra G</v>
      </c>
      <c r="F5731" s="1" t="str">
        <f t="shared" si="1"/>
        <v>ARTIGAS </v>
      </c>
      <c r="G5731" s="1" t="str">
        <f t="shared" si="2"/>
        <v>Sandra G</v>
      </c>
      <c r="H5731" s="9">
        <f>IFERROR(__xludf.DUMMYFUNCTION("""COMPUTED_VALUE"""),45038.708333333336)</f>
        <v>45038.70833</v>
      </c>
      <c r="I5731" s="1"/>
      <c r="J5731" s="1">
        <f t="shared" si="3"/>
        <v>0</v>
      </c>
      <c r="K5731" s="1" t="str">
        <f t="shared" si="4"/>
        <v/>
      </c>
    </row>
    <row r="5732">
      <c r="A5732" s="1">
        <f>IFERROR(__xludf.DUMMYFUNCTION("""COMPUTED_VALUE"""),90297.0)</f>
        <v>90297</v>
      </c>
      <c r="B5732" s="5">
        <f>IFERROR(__xludf.DUMMYFUNCTION("""COMPUTED_VALUE"""),45035.45882357639)</f>
        <v>45035.45882</v>
      </c>
      <c r="C5732" s="1" t="str">
        <f>IFERROR(__xludf.DUMMYFUNCTION("""COMPUTED_VALUE"""),"OLGUIN JAVIER ")</f>
        <v>OLGUIN JAVIER </v>
      </c>
      <c r="D5732" s="1" t="str">
        <f>IFERROR(__xludf.DUMMYFUNCTION("""COMPUTED_VALUE"""),"Reparaciones/Otros")</f>
        <v>Reparaciones/Otros</v>
      </c>
      <c r="E5732" s="1" t="str">
        <f>IFERROR(__xludf.DUMMYFUNCTION("""COMPUTED_VALUE"""),"RIVADAVIA Christian C.")</f>
        <v>RIVADAVIA Christian C.</v>
      </c>
      <c r="F5732" s="1" t="str">
        <f t="shared" si="1"/>
        <v>RIVADAVIA </v>
      </c>
      <c r="G5732" s="1" t="str">
        <f t="shared" si="2"/>
        <v>Christian C.</v>
      </c>
      <c r="H5732" s="9">
        <f>IFERROR(__xludf.DUMMYFUNCTION("""COMPUTED_VALUE"""),45037.708333333336)</f>
        <v>45037.70833</v>
      </c>
      <c r="I5732" s="1" t="str">
        <f>IFERROR(__xludf.DUMMYFUNCTION("""COMPUTED_VALUE"""),"Recibido en Laboratorio")</f>
        <v>Recibido en Laboratorio</v>
      </c>
      <c r="J5732" s="1">
        <f t="shared" si="3"/>
        <v>2</v>
      </c>
      <c r="K5732" s="1" t="str">
        <f t="shared" si="4"/>
        <v>Nuestro Laboratorio esta trabajando en tus lentes, los entregaremos en la fecha acordada.</v>
      </c>
    </row>
    <row r="5733">
      <c r="A5733" s="1">
        <f>IFERROR(__xludf.DUMMYFUNCTION("""COMPUTED_VALUE"""),90298.0)</f>
        <v>90298</v>
      </c>
      <c r="B5733" s="5">
        <f>IFERROR(__xludf.DUMMYFUNCTION("""COMPUTED_VALUE"""),45035.46407289352)</f>
        <v>45035.46407</v>
      </c>
      <c r="C5733" s="1" t="str">
        <f>IFERROR(__xludf.DUMMYFUNCTION("""COMPUTED_VALUE"""),"HOC GUSTAVO RICARDO")</f>
        <v>HOC GUSTAVO RICARDO</v>
      </c>
      <c r="D5733" s="1" t="str">
        <f>IFERROR(__xludf.DUMMYFUNCTION("""COMPUTED_VALUE"""),"Lentes MULTIFOCALES")</f>
        <v>Lentes MULTIFOCALES</v>
      </c>
      <c r="E5733" s="1" t="str">
        <f>IFERROR(__xludf.DUMMYFUNCTION("""COMPUTED_VALUE"""),"RIVADAVIA Marcela L")</f>
        <v>RIVADAVIA Marcela L</v>
      </c>
      <c r="F5733" s="1" t="str">
        <f t="shared" si="1"/>
        <v>RIVADAVIA </v>
      </c>
      <c r="G5733" s="1" t="str">
        <f t="shared" si="2"/>
        <v>Marcela L</v>
      </c>
      <c r="H5733" s="9">
        <f>IFERROR(__xludf.DUMMYFUNCTION("""COMPUTED_VALUE"""),45050.708333333336)</f>
        <v>45050.70833</v>
      </c>
      <c r="I5733" s="1" t="str">
        <f>IFERROR(__xludf.DUMMYFUNCTION("""COMPUTED_VALUE"""),"Recibido en Laboratorio")</f>
        <v>Recibido en Laboratorio</v>
      </c>
      <c r="J5733" s="1">
        <f t="shared" si="3"/>
        <v>2</v>
      </c>
      <c r="K5733" s="1" t="str">
        <f t="shared" si="4"/>
        <v>Nuestro Laboratorio esta trabajando en tus lentes, los entregaremos en la fecha acordada.</v>
      </c>
    </row>
    <row r="5734">
      <c r="A5734" s="1">
        <f>IFERROR(__xludf.DUMMYFUNCTION("""COMPUTED_VALUE"""),90299.0)</f>
        <v>90299</v>
      </c>
      <c r="B5734" s="5">
        <f>IFERROR(__xludf.DUMMYFUNCTION("""COMPUTED_VALUE"""),45035.4668590625)</f>
        <v>45035.46686</v>
      </c>
      <c r="C5734" s="1" t="str">
        <f>IFERROR(__xludf.DUMMYFUNCTION("""COMPUTED_VALUE"""),"FERREYRA BRISA")</f>
        <v>FERREYRA BRISA</v>
      </c>
      <c r="D5734" s="1" t="str">
        <f>IFERROR(__xludf.DUMMYFUNCTION("""COMPUTED_VALUE"""),"Lentes de STOCK")</f>
        <v>Lentes de STOCK</v>
      </c>
      <c r="E5734" s="1" t="str">
        <f>IFERROR(__xludf.DUMMYFUNCTION("""COMPUTED_VALUE"""),"ARTIGAS Ivana P.")</f>
        <v>ARTIGAS Ivana P.</v>
      </c>
      <c r="F5734" s="1" t="str">
        <f t="shared" si="1"/>
        <v>ARTIGAS </v>
      </c>
      <c r="G5734" s="1" t="str">
        <f t="shared" si="2"/>
        <v>Ivana P.</v>
      </c>
      <c r="H5734" s="9">
        <f>IFERROR(__xludf.DUMMYFUNCTION("""COMPUTED_VALUE"""),45040.708333333336)</f>
        <v>45040.70833</v>
      </c>
      <c r="I5734" s="1" t="str">
        <f>IFERROR(__xludf.DUMMYFUNCTION("""COMPUTED_VALUE"""),"Recibido en Laboratorio")</f>
        <v>Recibido en Laboratorio</v>
      </c>
      <c r="J5734" s="1">
        <f t="shared" si="3"/>
        <v>2</v>
      </c>
      <c r="K5734" s="1" t="str">
        <f t="shared" si="4"/>
        <v>Nuestro Laboratorio esta trabajando en tus lentes, los entregaremos en la fecha acordada.</v>
      </c>
    </row>
    <row r="5735">
      <c r="A5735" s="1">
        <f>IFERROR(__xludf.DUMMYFUNCTION("""COMPUTED_VALUE"""),90300.0)</f>
        <v>90300</v>
      </c>
      <c r="B5735" s="5">
        <f>IFERROR(__xludf.DUMMYFUNCTION("""COMPUTED_VALUE"""),45035.467649513885)</f>
        <v>45035.46765</v>
      </c>
      <c r="C5735" s="1" t="str">
        <f>IFERROR(__xludf.DUMMYFUNCTION("""COMPUTED_VALUE"""),"rios jorge")</f>
        <v>rios jorge</v>
      </c>
      <c r="D5735" s="1" t="str">
        <f>IFERROR(__xludf.DUMMYFUNCTION("""COMPUTED_VALUE"""),"Reparaciones/Otros")</f>
        <v>Reparaciones/Otros</v>
      </c>
      <c r="E5735" s="1" t="str">
        <f>IFERROR(__xludf.DUMMYFUNCTION("""COMPUTED_VALUE"""),"RIVADAVIA Daniel CM")</f>
        <v>RIVADAVIA Daniel CM</v>
      </c>
      <c r="F5735" s="1" t="str">
        <f t="shared" si="1"/>
        <v>RIVADAVIA </v>
      </c>
      <c r="G5735" s="1" t="str">
        <f t="shared" si="2"/>
        <v>Daniel CM</v>
      </c>
      <c r="H5735" s="9">
        <f>IFERROR(__xludf.DUMMYFUNCTION("""COMPUTED_VALUE"""),45037.708333333336)</f>
        <v>45037.70833</v>
      </c>
      <c r="I5735" s="1" t="str">
        <f>IFERROR(__xludf.DUMMYFUNCTION("""COMPUTED_VALUE"""),"Completado en SUCURSAL")</f>
        <v>Completado en SUCURSAL</v>
      </c>
      <c r="J5735" s="1">
        <f t="shared" si="3"/>
        <v>5</v>
      </c>
      <c r="K5735" s="1" t="str">
        <f t="shared" si="4"/>
        <v>Tus Lentes estan LISTAS PARA ENTREGAR, te esperamos.</v>
      </c>
    </row>
    <row r="5736">
      <c r="A5736" s="1">
        <f>IFERROR(__xludf.DUMMYFUNCTION("""COMPUTED_VALUE"""),90301.0)</f>
        <v>90301</v>
      </c>
      <c r="B5736" s="5">
        <f>IFERROR(__xludf.DUMMYFUNCTION("""COMPUTED_VALUE"""),45035.472444687504)</f>
        <v>45035.47244</v>
      </c>
      <c r="C5736" s="1" t="str">
        <f>IFERROR(__xludf.DUMMYFUNCTION("""COMPUTED_VALUE"""),"Pedernera lesis")</f>
        <v>Pedernera lesis</v>
      </c>
      <c r="D5736" s="1" t="str">
        <f>IFERROR(__xludf.DUMMYFUNCTION("""COMPUTED_VALUE"""),"Reparaciones/Otros")</f>
        <v>Reparaciones/Otros</v>
      </c>
      <c r="E5736" s="1" t="str">
        <f>IFERROR(__xludf.DUMMYFUNCTION("""COMPUTED_VALUE"""),"ARTIGAS Sandra G")</f>
        <v>ARTIGAS Sandra G</v>
      </c>
      <c r="F5736" s="1" t="str">
        <f t="shared" si="1"/>
        <v>ARTIGAS </v>
      </c>
      <c r="G5736" s="1" t="str">
        <f t="shared" si="2"/>
        <v>Sandra G</v>
      </c>
      <c r="H5736" s="9">
        <f>IFERROR(__xludf.DUMMYFUNCTION("""COMPUTED_VALUE"""),45037.708333333336)</f>
        <v>45037.70833</v>
      </c>
      <c r="I5736" s="1" t="str">
        <f>IFERROR(__xludf.DUMMYFUNCTION("""COMPUTED_VALUE"""),"Recibido en Laboratorio")</f>
        <v>Recibido en Laboratorio</v>
      </c>
      <c r="J5736" s="1">
        <f t="shared" si="3"/>
        <v>2</v>
      </c>
      <c r="K5736" s="1" t="str">
        <f t="shared" si="4"/>
        <v>Nuestro Laboratorio esta trabajando en tus lentes, los entregaremos en la fecha acordada.</v>
      </c>
    </row>
    <row r="5737">
      <c r="A5737" s="1">
        <f>IFERROR(__xludf.DUMMYFUNCTION("""COMPUTED_VALUE"""),90302.0)</f>
        <v>90302</v>
      </c>
      <c r="B5737" s="5">
        <f>IFERROR(__xludf.DUMMYFUNCTION("""COMPUTED_VALUE"""),45035.482859606476)</f>
        <v>45035.48286</v>
      </c>
      <c r="C5737" s="1" t="str">
        <f>IFERROR(__xludf.DUMMYFUNCTION("""COMPUTED_VALUE"""),"MALDONADO MARY")</f>
        <v>MALDONADO MARY</v>
      </c>
      <c r="D5737" s="1" t="str">
        <f>IFERROR(__xludf.DUMMYFUNCTION("""COMPUTED_VALUE"""),"Lentes BIFOCALES")</f>
        <v>Lentes BIFOCALES</v>
      </c>
      <c r="E5737" s="1" t="str">
        <f>IFERROR(__xludf.DUMMYFUNCTION("""COMPUTED_VALUE"""),"ARTIGAS Ivana P.")</f>
        <v>ARTIGAS Ivana P.</v>
      </c>
      <c r="F5737" s="1" t="str">
        <f t="shared" si="1"/>
        <v>ARTIGAS </v>
      </c>
      <c r="G5737" s="1" t="str">
        <f t="shared" si="2"/>
        <v>Ivana P.</v>
      </c>
      <c r="H5737" s="9">
        <f>IFERROR(__xludf.DUMMYFUNCTION("""COMPUTED_VALUE"""),45044.708333333336)</f>
        <v>45044.70833</v>
      </c>
      <c r="I5737" s="1" t="str">
        <f>IFERROR(__xludf.DUMMYFUNCTION("""COMPUTED_VALUE"""),"Recibido en Laboratorio")</f>
        <v>Recibido en Laboratorio</v>
      </c>
      <c r="J5737" s="1">
        <f t="shared" si="3"/>
        <v>2</v>
      </c>
      <c r="K5737" s="1" t="str">
        <f t="shared" si="4"/>
        <v>Nuestro Laboratorio esta trabajando en tus lentes, los entregaremos en la fecha acordada.</v>
      </c>
    </row>
    <row r="5738">
      <c r="A5738" s="1">
        <f>IFERROR(__xludf.DUMMYFUNCTION("""COMPUTED_VALUE"""),90303.0)</f>
        <v>90303</v>
      </c>
      <c r="B5738" s="5">
        <f>IFERROR(__xludf.DUMMYFUNCTION("""COMPUTED_VALUE"""),45035.48655634259)</f>
        <v>45035.48656</v>
      </c>
      <c r="C5738" s="1" t="str">
        <f>IFERROR(__xludf.DUMMYFUNCTION("""COMPUTED_VALUE"""),"HERRERA ELIZABETH")</f>
        <v>HERRERA ELIZABETH</v>
      </c>
      <c r="D5738" s="1" t="str">
        <f>IFERROR(__xludf.DUMMYFUNCTION("""COMPUTED_VALUE"""),"Lentes de STOCK")</f>
        <v>Lentes de STOCK</v>
      </c>
      <c r="E5738" s="1" t="str">
        <f>IFERROR(__xludf.DUMMYFUNCTION("""COMPUTED_VALUE"""),"ARTIGAS Roció")</f>
        <v>ARTIGAS Roció</v>
      </c>
      <c r="F5738" s="1" t="str">
        <f t="shared" si="1"/>
        <v>ARTIGAS </v>
      </c>
      <c r="G5738" s="1" t="str">
        <f t="shared" si="2"/>
        <v>Roció</v>
      </c>
      <c r="H5738" s="9">
        <f>IFERROR(__xludf.DUMMYFUNCTION("""COMPUTED_VALUE"""),45048.708333333336)</f>
        <v>45048.70833</v>
      </c>
      <c r="I5738" s="1" t="str">
        <f>IFERROR(__xludf.DUMMYFUNCTION("""COMPUTED_VALUE"""),"Recibido en Laboratorio")</f>
        <v>Recibido en Laboratorio</v>
      </c>
      <c r="J5738" s="1">
        <f t="shared" si="3"/>
        <v>2</v>
      </c>
      <c r="K5738" s="1" t="str">
        <f t="shared" si="4"/>
        <v>Nuestro Laboratorio esta trabajando en tus lentes, los entregaremos en la fecha acordada.</v>
      </c>
    </row>
    <row r="5739">
      <c r="A5739" s="1">
        <f>IFERROR(__xludf.DUMMYFUNCTION("""COMPUTED_VALUE"""),90304.0)</f>
        <v>90304</v>
      </c>
      <c r="B5739" s="5">
        <f>IFERROR(__xludf.DUMMYFUNCTION("""COMPUTED_VALUE"""),45035.489135173615)</f>
        <v>45035.48914</v>
      </c>
      <c r="C5739" s="1" t="str">
        <f>IFERROR(__xludf.DUMMYFUNCTION("""COMPUTED_VALUE"""),"GOMEZ BAIBEITO MILAGROS ")</f>
        <v>GOMEZ BAIBEITO MILAGROS </v>
      </c>
      <c r="D5739" s="1" t="str">
        <f>IFERROR(__xludf.DUMMYFUNCTION("""COMPUTED_VALUE"""),"Lentes de STOCK")</f>
        <v>Lentes de STOCK</v>
      </c>
      <c r="E5739" s="1" t="str">
        <f>IFERROR(__xludf.DUMMYFUNCTION("""COMPUTED_VALUE"""),"RIVADAVIA Christian C.")</f>
        <v>RIVADAVIA Christian C.</v>
      </c>
      <c r="F5739" s="1" t="str">
        <f t="shared" si="1"/>
        <v>RIVADAVIA </v>
      </c>
      <c r="G5739" s="1" t="str">
        <f t="shared" si="2"/>
        <v>Christian C.</v>
      </c>
      <c r="H5739" s="9">
        <f>IFERROR(__xludf.DUMMYFUNCTION("""COMPUTED_VALUE"""),45041.708333333336)</f>
        <v>45041.70833</v>
      </c>
      <c r="I5739" s="1" t="str">
        <f>IFERROR(__xludf.DUMMYFUNCTION("""COMPUTED_VALUE"""),"Recibido en Laboratorio")</f>
        <v>Recibido en Laboratorio</v>
      </c>
      <c r="J5739" s="1">
        <f t="shared" si="3"/>
        <v>2</v>
      </c>
      <c r="K5739" s="1" t="str">
        <f t="shared" si="4"/>
        <v>Nuestro Laboratorio esta trabajando en tus lentes, los entregaremos en la fecha acordada.</v>
      </c>
    </row>
    <row r="5740">
      <c r="A5740" s="1">
        <f>IFERROR(__xludf.DUMMYFUNCTION("""COMPUTED_VALUE"""),90305.0)</f>
        <v>90305</v>
      </c>
      <c r="B5740" s="5">
        <f>IFERROR(__xludf.DUMMYFUNCTION("""COMPUTED_VALUE"""),45035.49030618055)</f>
        <v>45035.49031</v>
      </c>
      <c r="C5740" s="1" t="str">
        <f>IFERROR(__xludf.DUMMYFUNCTION("""COMPUTED_VALUE"""),"ROMERO MARY")</f>
        <v>ROMERO MARY</v>
      </c>
      <c r="D5740" s="1" t="str">
        <f>IFERROR(__xludf.DUMMYFUNCTION("""COMPUTED_VALUE"""),"Lentes de STOCK")</f>
        <v>Lentes de STOCK</v>
      </c>
      <c r="E5740" s="1" t="str">
        <f>IFERROR(__xludf.DUMMYFUNCTION("""COMPUTED_VALUE"""),"RIVADAVIA Luciana")</f>
        <v>RIVADAVIA Luciana</v>
      </c>
      <c r="F5740" s="1" t="str">
        <f t="shared" si="1"/>
        <v>RIVADAVIA </v>
      </c>
      <c r="G5740" s="1" t="str">
        <f t="shared" si="2"/>
        <v>Luciana</v>
      </c>
      <c r="H5740" s="9">
        <f>IFERROR(__xludf.DUMMYFUNCTION("""COMPUTED_VALUE"""),45044.708333333336)</f>
        <v>45044.70833</v>
      </c>
      <c r="I5740" s="1" t="str">
        <f>IFERROR(__xludf.DUMMYFUNCTION("""COMPUTED_VALUE"""),"Recibido en Laboratorio")</f>
        <v>Recibido en Laboratorio</v>
      </c>
      <c r="J5740" s="1">
        <f t="shared" si="3"/>
        <v>2</v>
      </c>
      <c r="K5740" s="1" t="str">
        <f t="shared" si="4"/>
        <v>Nuestro Laboratorio esta trabajando en tus lentes, los entregaremos en la fecha acordada.</v>
      </c>
    </row>
    <row r="5741">
      <c r="A5741" s="1">
        <f>IFERROR(__xludf.DUMMYFUNCTION("""COMPUTED_VALUE"""),90306.0)</f>
        <v>90306</v>
      </c>
      <c r="B5741" s="5">
        <f>IFERROR(__xludf.DUMMYFUNCTION("""COMPUTED_VALUE"""),45035.500098715274)</f>
        <v>45035.5001</v>
      </c>
      <c r="C5741" s="1" t="str">
        <f>IFERROR(__xludf.DUMMYFUNCTION("""COMPUTED_VALUE"""),"BRITO MARI GRACIELA")</f>
        <v>BRITO MARI GRACIELA</v>
      </c>
      <c r="D5741" s="1" t="str">
        <f>IFERROR(__xludf.DUMMYFUNCTION("""COMPUTED_VALUE"""),"Lentes de STOCK")</f>
        <v>Lentes de STOCK</v>
      </c>
      <c r="E5741" s="1" t="str">
        <f>IFERROR(__xludf.DUMMYFUNCTION("""COMPUTED_VALUE"""),"ARTIGAS Roció")</f>
        <v>ARTIGAS Roció</v>
      </c>
      <c r="F5741" s="1" t="str">
        <f t="shared" si="1"/>
        <v>ARTIGAS </v>
      </c>
      <c r="G5741" s="1" t="str">
        <f t="shared" si="2"/>
        <v>Roció</v>
      </c>
      <c r="H5741" s="9">
        <f>IFERROR(__xludf.DUMMYFUNCTION("""COMPUTED_VALUE"""),45044.708333333336)</f>
        <v>45044.70833</v>
      </c>
      <c r="I5741" s="1" t="str">
        <f>IFERROR(__xludf.DUMMYFUNCTION("""COMPUTED_VALUE"""),"Recibido en Laboratorio")</f>
        <v>Recibido en Laboratorio</v>
      </c>
      <c r="J5741" s="1">
        <f t="shared" si="3"/>
        <v>2</v>
      </c>
      <c r="K5741" s="1" t="str">
        <f t="shared" si="4"/>
        <v>Nuestro Laboratorio esta trabajando en tus lentes, los entregaremos en la fecha acordada.</v>
      </c>
    </row>
    <row r="5742">
      <c r="A5742" s="1">
        <f>IFERROR(__xludf.DUMMYFUNCTION("""COMPUTED_VALUE"""),90307.0)</f>
        <v>90307</v>
      </c>
      <c r="B5742" s="5">
        <f>IFERROR(__xludf.DUMMYFUNCTION("""COMPUTED_VALUE"""),45035.50183476852)</f>
        <v>45035.50183</v>
      </c>
      <c r="C5742" s="1" t="str">
        <f>IFERROR(__xludf.DUMMYFUNCTION("""COMPUTED_VALUE"""),"GOMEZ ANTONIO JORGE")</f>
        <v>GOMEZ ANTONIO JORGE</v>
      </c>
      <c r="D5742" s="1" t="str">
        <f>IFERROR(__xludf.DUMMYFUNCTION("""COMPUTED_VALUE"""),"Lentes de STOCK")</f>
        <v>Lentes de STOCK</v>
      </c>
      <c r="E5742" s="1" t="str">
        <f>IFERROR(__xludf.DUMMYFUNCTION("""COMPUTED_VALUE"""),"RIVADAVIA Santiago LOPEZ")</f>
        <v>RIVADAVIA Santiago LOPEZ</v>
      </c>
      <c r="F5742" s="1" t="str">
        <f t="shared" si="1"/>
        <v>RIVADAVIA </v>
      </c>
      <c r="G5742" s="1" t="str">
        <f t="shared" si="2"/>
        <v>Santiago LOPEZ</v>
      </c>
      <c r="H5742" s="9">
        <f>IFERROR(__xludf.DUMMYFUNCTION("""COMPUTED_VALUE"""),45041.708333333336)</f>
        <v>45041.70833</v>
      </c>
      <c r="I5742" s="1" t="str">
        <f>IFERROR(__xludf.DUMMYFUNCTION("""COMPUTED_VALUE"""),"Recibido en Laboratorio")</f>
        <v>Recibido en Laboratorio</v>
      </c>
      <c r="J5742" s="1">
        <f t="shared" si="3"/>
        <v>2</v>
      </c>
      <c r="K5742" s="1" t="str">
        <f t="shared" si="4"/>
        <v>Nuestro Laboratorio esta trabajando en tus lentes, los entregaremos en la fecha acordada.</v>
      </c>
    </row>
    <row r="5743">
      <c r="A5743" s="1">
        <f>IFERROR(__xludf.DUMMYFUNCTION("""COMPUTED_VALUE"""),90308.0)</f>
        <v>90308</v>
      </c>
      <c r="B5743" s="5">
        <f>IFERROR(__xludf.DUMMYFUNCTION("""COMPUTED_VALUE"""),45035.5090886574)</f>
        <v>45035.50909</v>
      </c>
      <c r="C5743" s="1" t="str">
        <f>IFERROR(__xludf.DUMMYFUNCTION("""COMPUTED_VALUE"""),"VALLEJOS JUAN EMILIO")</f>
        <v>VALLEJOS JUAN EMILIO</v>
      </c>
      <c r="D5743" s="1" t="str">
        <f>IFERROR(__xludf.DUMMYFUNCTION("""COMPUTED_VALUE"""),"Lentes de STOCK")</f>
        <v>Lentes de STOCK</v>
      </c>
      <c r="E5743" s="1" t="str">
        <f>IFERROR(__xludf.DUMMYFUNCTION("""COMPUTED_VALUE"""),"RIVADAVIA Luciana")</f>
        <v>RIVADAVIA Luciana</v>
      </c>
      <c r="F5743" s="1" t="str">
        <f t="shared" si="1"/>
        <v>RIVADAVIA </v>
      </c>
      <c r="G5743" s="1" t="str">
        <f t="shared" si="2"/>
        <v>Luciana</v>
      </c>
      <c r="H5743" s="9">
        <f>IFERROR(__xludf.DUMMYFUNCTION("""COMPUTED_VALUE"""),45042.708333333336)</f>
        <v>45042.70833</v>
      </c>
      <c r="I5743" s="1" t="str">
        <f>IFERROR(__xludf.DUMMYFUNCTION("""COMPUTED_VALUE"""),"Recibido en Laboratorio")</f>
        <v>Recibido en Laboratorio</v>
      </c>
      <c r="J5743" s="1">
        <f t="shared" si="3"/>
        <v>2</v>
      </c>
      <c r="K5743" s="1" t="str">
        <f t="shared" si="4"/>
        <v>Nuestro Laboratorio esta trabajando en tus lentes, los entregaremos en la fecha acordada.</v>
      </c>
    </row>
    <row r="5744">
      <c r="A5744" s="1">
        <f>IFERROR(__xludf.DUMMYFUNCTION("""COMPUTED_VALUE"""),90309.0)</f>
        <v>90309</v>
      </c>
      <c r="B5744" s="5">
        <f>IFERROR(__xludf.DUMMYFUNCTION("""COMPUTED_VALUE"""),45035.52029238426)</f>
        <v>45035.52029</v>
      </c>
      <c r="C5744" s="1" t="str">
        <f>IFERROR(__xludf.DUMMYFUNCTION("""COMPUTED_VALUE"""),"HEREDIA ROSA")</f>
        <v>HEREDIA ROSA</v>
      </c>
      <c r="D5744" s="1" t="str">
        <f>IFERROR(__xludf.DUMMYFUNCTION("""COMPUTED_VALUE"""),"Lentes de STOCK")</f>
        <v>Lentes de STOCK</v>
      </c>
      <c r="E5744" s="1" t="str">
        <f>IFERROR(__xludf.DUMMYFUNCTION("""COMPUTED_VALUE"""),"ARTIGAS Ivana P.")</f>
        <v>ARTIGAS Ivana P.</v>
      </c>
      <c r="F5744" s="1" t="str">
        <f t="shared" si="1"/>
        <v>ARTIGAS </v>
      </c>
      <c r="G5744" s="1" t="str">
        <f t="shared" si="2"/>
        <v>Ivana P.</v>
      </c>
      <c r="H5744" s="9">
        <f>IFERROR(__xludf.DUMMYFUNCTION("""COMPUTED_VALUE"""),45037.708333333336)</f>
        <v>45037.70833</v>
      </c>
      <c r="I5744" s="1" t="str">
        <f>IFERROR(__xludf.DUMMYFUNCTION("""COMPUTED_VALUE"""),"Recibido en Laboratorio")</f>
        <v>Recibido en Laboratorio</v>
      </c>
      <c r="J5744" s="1">
        <f t="shared" si="3"/>
        <v>2</v>
      </c>
      <c r="K5744" s="1" t="str">
        <f t="shared" si="4"/>
        <v>Nuestro Laboratorio esta trabajando en tus lentes, los entregaremos en la fecha acordada.</v>
      </c>
    </row>
    <row r="5745">
      <c r="A5745" s="1">
        <f>IFERROR(__xludf.DUMMYFUNCTION("""COMPUTED_VALUE"""),90310.0)</f>
        <v>90310</v>
      </c>
      <c r="B5745" s="5">
        <f>IFERROR(__xludf.DUMMYFUNCTION("""COMPUTED_VALUE"""),45035.52203625)</f>
        <v>45035.52204</v>
      </c>
      <c r="C5745" s="1" t="str">
        <f>IFERROR(__xludf.DUMMYFUNCTION("""COMPUTED_VALUE"""),"Paredes Aixa")</f>
        <v>Paredes Aixa</v>
      </c>
      <c r="D5745" s="1" t="str">
        <f>IFERROR(__xludf.DUMMYFUNCTION("""COMPUTED_VALUE"""),"Reparaciones/Otros")</f>
        <v>Reparaciones/Otros</v>
      </c>
      <c r="E5745" s="1" t="str">
        <f>IFERROR(__xludf.DUMMYFUNCTION("""COMPUTED_VALUE"""),"RIVADAVIA Daniel CM")</f>
        <v>RIVADAVIA Daniel CM</v>
      </c>
      <c r="F5745" s="1" t="str">
        <f t="shared" si="1"/>
        <v>RIVADAVIA </v>
      </c>
      <c r="G5745" s="1" t="str">
        <f t="shared" si="2"/>
        <v>Daniel CM</v>
      </c>
      <c r="H5745" s="9">
        <f>IFERROR(__xludf.DUMMYFUNCTION("""COMPUTED_VALUE"""),45037.708333333336)</f>
        <v>45037.70833</v>
      </c>
      <c r="I5745" s="1" t="str">
        <f>IFERROR(__xludf.DUMMYFUNCTION("""COMPUTED_VALUE"""),"Completado en SUCURSAL")</f>
        <v>Completado en SUCURSAL</v>
      </c>
      <c r="J5745" s="1">
        <f t="shared" si="3"/>
        <v>5</v>
      </c>
      <c r="K5745" s="1" t="str">
        <f t="shared" si="4"/>
        <v>Tus Lentes estan LISTAS PARA ENTREGAR, te esperamos.</v>
      </c>
    </row>
    <row r="5746">
      <c r="A5746" s="1">
        <f>IFERROR(__xludf.DUMMYFUNCTION("""COMPUTED_VALUE"""),90311.0)</f>
        <v>90311</v>
      </c>
      <c r="B5746" s="5">
        <f>IFERROR(__xludf.DUMMYFUNCTION("""COMPUTED_VALUE"""),45035.52377314815)</f>
        <v>45035.52377</v>
      </c>
      <c r="C5746" s="1" t="str">
        <f>IFERROR(__xludf.DUMMYFUNCTION("""COMPUTED_VALUE"""),"LUCERO CAROLINA GRISELDA")</f>
        <v>LUCERO CAROLINA GRISELDA</v>
      </c>
      <c r="D5746" s="1" t="str">
        <f>IFERROR(__xludf.DUMMYFUNCTION("""COMPUTED_VALUE"""),"Lentes de STOCK")</f>
        <v>Lentes de STOCK</v>
      </c>
      <c r="E5746" s="1" t="str">
        <f>IFERROR(__xludf.DUMMYFUNCTION("""COMPUTED_VALUE"""),"RIVADAVIA Marcela L")</f>
        <v>RIVADAVIA Marcela L</v>
      </c>
      <c r="F5746" s="1" t="str">
        <f t="shared" si="1"/>
        <v>RIVADAVIA </v>
      </c>
      <c r="G5746" s="1" t="str">
        <f t="shared" si="2"/>
        <v>Marcela L</v>
      </c>
      <c r="H5746" s="9">
        <f>IFERROR(__xludf.DUMMYFUNCTION("""COMPUTED_VALUE"""),45040.708333333336)</f>
        <v>45040.70833</v>
      </c>
      <c r="I5746" s="1" t="str">
        <f>IFERROR(__xludf.DUMMYFUNCTION("""COMPUTED_VALUE"""),"Recibido en Laboratorio")</f>
        <v>Recibido en Laboratorio</v>
      </c>
      <c r="J5746" s="1">
        <f t="shared" si="3"/>
        <v>2</v>
      </c>
      <c r="K5746" s="1" t="str">
        <f t="shared" si="4"/>
        <v>Nuestro Laboratorio esta trabajando en tus lentes, los entregaremos en la fecha acordada.</v>
      </c>
    </row>
    <row r="5747">
      <c r="A5747" s="1">
        <f>IFERROR(__xludf.DUMMYFUNCTION("""COMPUTED_VALUE"""),90312.0)</f>
        <v>90312</v>
      </c>
      <c r="B5747" s="5">
        <f>IFERROR(__xludf.DUMMYFUNCTION("""COMPUTED_VALUE"""),45035.53482349537)</f>
        <v>45035.53482</v>
      </c>
      <c r="C5747" s="1" t="str">
        <f>IFERROR(__xludf.DUMMYFUNCTION("""COMPUTED_VALUE"""),"PEREZ GUILLERMO")</f>
        <v>PEREZ GUILLERMO</v>
      </c>
      <c r="D5747" s="1" t="str">
        <f>IFERROR(__xludf.DUMMYFUNCTION("""COMPUTED_VALUE"""),"Lentes de STOCK")</f>
        <v>Lentes de STOCK</v>
      </c>
      <c r="E5747" s="1" t="str">
        <f>IFERROR(__xludf.DUMMYFUNCTION("""COMPUTED_VALUE"""),"ARTIGAS Ivana P.")</f>
        <v>ARTIGAS Ivana P.</v>
      </c>
      <c r="F5747" s="1" t="str">
        <f t="shared" si="1"/>
        <v>ARTIGAS </v>
      </c>
      <c r="G5747" s="1" t="str">
        <f t="shared" si="2"/>
        <v>Ivana P.</v>
      </c>
      <c r="H5747" s="9">
        <f>IFERROR(__xludf.DUMMYFUNCTION("""COMPUTED_VALUE"""),45040.708333333336)</f>
        <v>45040.70833</v>
      </c>
      <c r="I5747" s="1" t="str">
        <f>IFERROR(__xludf.DUMMYFUNCTION("""COMPUTED_VALUE"""),"Recibido en Laboratorio")</f>
        <v>Recibido en Laboratorio</v>
      </c>
      <c r="J5747" s="1">
        <f t="shared" si="3"/>
        <v>2</v>
      </c>
      <c r="K5747" s="1" t="str">
        <f t="shared" si="4"/>
        <v>Nuestro Laboratorio esta trabajando en tus lentes, los entregaremos en la fecha acordada.</v>
      </c>
    </row>
    <row r="5748">
      <c r="A5748" s="1">
        <f>IFERROR(__xludf.DUMMYFUNCTION("""COMPUTED_VALUE"""),90313.0)</f>
        <v>90313</v>
      </c>
      <c r="B5748" s="5">
        <f>IFERROR(__xludf.DUMMYFUNCTION("""COMPUTED_VALUE"""),45035.543588726854)</f>
        <v>45035.54359</v>
      </c>
      <c r="C5748" s="1" t="str">
        <f>IFERROR(__xludf.DUMMYFUNCTION("""COMPUTED_VALUE"""),"GOAYCOCHEA BRINIA")</f>
        <v>GOAYCOCHEA BRINIA</v>
      </c>
      <c r="D5748" s="1" t="str">
        <f>IFERROR(__xludf.DUMMYFUNCTION("""COMPUTED_VALUE"""),"Lentes de STOCK")</f>
        <v>Lentes de STOCK</v>
      </c>
      <c r="E5748" s="1" t="str">
        <f>IFERROR(__xludf.DUMMYFUNCTION("""COMPUTED_VALUE"""),"ARTIGAS Roció")</f>
        <v>ARTIGAS Roció</v>
      </c>
      <c r="F5748" s="1" t="str">
        <f t="shared" si="1"/>
        <v>ARTIGAS </v>
      </c>
      <c r="G5748" s="1" t="str">
        <f t="shared" si="2"/>
        <v>Roció</v>
      </c>
      <c r="H5748" s="9">
        <f>IFERROR(__xludf.DUMMYFUNCTION("""COMPUTED_VALUE"""),45043.708333333336)</f>
        <v>45043.70833</v>
      </c>
      <c r="I5748" s="1" t="str">
        <f>IFERROR(__xludf.DUMMYFUNCTION("""COMPUTED_VALUE"""),"Recibido en Laboratorio")</f>
        <v>Recibido en Laboratorio</v>
      </c>
      <c r="J5748" s="1">
        <f t="shared" si="3"/>
        <v>2</v>
      </c>
      <c r="K5748" s="1" t="str">
        <f t="shared" si="4"/>
        <v>Nuestro Laboratorio esta trabajando en tus lentes, los entregaremos en la fecha acordada.</v>
      </c>
    </row>
    <row r="5749">
      <c r="A5749" s="1">
        <f>IFERROR(__xludf.DUMMYFUNCTION("""COMPUTED_VALUE"""),90314.0)</f>
        <v>90314</v>
      </c>
      <c r="B5749" s="5">
        <f>IFERROR(__xludf.DUMMYFUNCTION("""COMPUTED_VALUE"""),45035.54452505787)</f>
        <v>45035.54453</v>
      </c>
      <c r="C5749" s="1" t="str">
        <f>IFERROR(__xludf.DUMMYFUNCTION("""COMPUTED_VALUE"""),"HERRERA CLAUDIA")</f>
        <v>HERRERA CLAUDIA</v>
      </c>
      <c r="D5749" s="1" t="str">
        <f>IFERROR(__xludf.DUMMYFUNCTION("""COMPUTED_VALUE"""),"Lentes de STOCK")</f>
        <v>Lentes de STOCK</v>
      </c>
      <c r="E5749" s="1" t="str">
        <f>IFERROR(__xludf.DUMMYFUNCTION("""COMPUTED_VALUE"""),"ARTIGAS Ivana P.")</f>
        <v>ARTIGAS Ivana P.</v>
      </c>
      <c r="F5749" s="1" t="str">
        <f t="shared" si="1"/>
        <v>ARTIGAS </v>
      </c>
      <c r="G5749" s="1" t="str">
        <f t="shared" si="2"/>
        <v>Ivana P.</v>
      </c>
      <c r="H5749" s="9">
        <f>IFERROR(__xludf.DUMMYFUNCTION("""COMPUTED_VALUE"""),45040.708333333336)</f>
        <v>45040.70833</v>
      </c>
      <c r="I5749" s="1" t="str">
        <f>IFERROR(__xludf.DUMMYFUNCTION("""COMPUTED_VALUE"""),"Recibido en Laboratorio")</f>
        <v>Recibido en Laboratorio</v>
      </c>
      <c r="J5749" s="1">
        <f t="shared" si="3"/>
        <v>2</v>
      </c>
      <c r="K5749" s="1" t="str">
        <f t="shared" si="4"/>
        <v>Nuestro Laboratorio esta trabajando en tus lentes, los entregaremos en la fecha acordada.</v>
      </c>
    </row>
    <row r="5750">
      <c r="A5750" s="1">
        <f>IFERROR(__xludf.DUMMYFUNCTION("""COMPUTED_VALUE"""),90315.0)</f>
        <v>90315</v>
      </c>
      <c r="B5750" s="5">
        <f>IFERROR(__xludf.DUMMYFUNCTION("""COMPUTED_VALUE"""),45035.54779761574)</f>
        <v>45035.5478</v>
      </c>
      <c r="C5750" s="1" t="str">
        <f>IFERROR(__xludf.DUMMYFUNCTION("""COMPUTED_VALUE"""),"BRIZUELA JESUS MARCELO")</f>
        <v>BRIZUELA JESUS MARCELO</v>
      </c>
      <c r="D5750" s="1" t="str">
        <f>IFERROR(__xludf.DUMMYFUNCTION("""COMPUTED_VALUE"""),"Lentes de STOCK")</f>
        <v>Lentes de STOCK</v>
      </c>
      <c r="E5750" s="1" t="str">
        <f>IFERROR(__xludf.DUMMYFUNCTION("""COMPUTED_VALUE"""),"RIVADAVIA Christian C.")</f>
        <v>RIVADAVIA Christian C.</v>
      </c>
      <c r="F5750" s="1" t="str">
        <f t="shared" si="1"/>
        <v>RIVADAVIA </v>
      </c>
      <c r="G5750" s="1" t="str">
        <f t="shared" si="2"/>
        <v>Christian C.</v>
      </c>
      <c r="H5750" s="9">
        <f>IFERROR(__xludf.DUMMYFUNCTION("""COMPUTED_VALUE"""),45041.708333333336)</f>
        <v>45041.70833</v>
      </c>
      <c r="I5750" s="1" t="str">
        <f>IFERROR(__xludf.DUMMYFUNCTION("""COMPUTED_VALUE"""),"Recibido en Laboratorio")</f>
        <v>Recibido en Laboratorio</v>
      </c>
      <c r="J5750" s="1">
        <f t="shared" si="3"/>
        <v>2</v>
      </c>
      <c r="K5750" s="1" t="str">
        <f t="shared" si="4"/>
        <v>Nuestro Laboratorio esta trabajando en tus lentes, los entregaremos en la fecha acordada.</v>
      </c>
    </row>
    <row r="5751">
      <c r="A5751" s="1">
        <f>IFERROR(__xludf.DUMMYFUNCTION("""COMPUTED_VALUE"""),90316.0)</f>
        <v>90316</v>
      </c>
      <c r="B5751" s="5">
        <f>IFERROR(__xludf.DUMMYFUNCTION("""COMPUTED_VALUE"""),45035.55379528935)</f>
        <v>45035.5538</v>
      </c>
      <c r="C5751" s="1" t="str">
        <f>IFERROR(__xludf.DUMMYFUNCTION("""COMPUTED_VALUE"""),"BLANCO FLAVIA ")</f>
        <v>BLANCO FLAVIA </v>
      </c>
      <c r="D5751" s="1" t="str">
        <f>IFERROR(__xludf.DUMMYFUNCTION("""COMPUTED_VALUE"""),"Lentes de STOCK")</f>
        <v>Lentes de STOCK</v>
      </c>
      <c r="E5751" s="1" t="str">
        <f>IFERROR(__xludf.DUMMYFUNCTION("""COMPUTED_VALUE"""),"RIVADAVIA Luciana")</f>
        <v>RIVADAVIA Luciana</v>
      </c>
      <c r="F5751" s="1" t="str">
        <f t="shared" si="1"/>
        <v>RIVADAVIA </v>
      </c>
      <c r="G5751" s="1" t="str">
        <f t="shared" si="2"/>
        <v>Luciana</v>
      </c>
      <c r="H5751" s="9">
        <f>IFERROR(__xludf.DUMMYFUNCTION("""COMPUTED_VALUE"""),45044.708333333336)</f>
        <v>45044.70833</v>
      </c>
      <c r="I5751" s="1" t="str">
        <f>IFERROR(__xludf.DUMMYFUNCTION("""COMPUTED_VALUE"""),"Recibido en Laboratorio")</f>
        <v>Recibido en Laboratorio</v>
      </c>
      <c r="J5751" s="1">
        <f t="shared" si="3"/>
        <v>2</v>
      </c>
      <c r="K5751" s="1" t="str">
        <f t="shared" si="4"/>
        <v>Nuestro Laboratorio esta trabajando en tus lentes, los entregaremos en la fecha acordada.</v>
      </c>
    </row>
    <row r="5752">
      <c r="A5752" s="1">
        <f>IFERROR(__xludf.DUMMYFUNCTION("""COMPUTED_VALUE"""),90317.0)</f>
        <v>90317</v>
      </c>
      <c r="B5752" s="5">
        <f>IFERROR(__xludf.DUMMYFUNCTION("""COMPUTED_VALUE"""),45035.55841099537)</f>
        <v>45035.55841</v>
      </c>
      <c r="C5752" s="1" t="str">
        <f>IFERROR(__xludf.DUMMYFUNCTION("""COMPUTED_VALUE"""),"GAUNA JOSEFA ANESILDA")</f>
        <v>GAUNA JOSEFA ANESILDA</v>
      </c>
      <c r="D5752" s="1" t="str">
        <f>IFERROR(__xludf.DUMMYFUNCTION("""COMPUTED_VALUE"""),"Lentes de STOCK")</f>
        <v>Lentes de STOCK</v>
      </c>
      <c r="E5752" s="1" t="str">
        <f>IFERROR(__xludf.DUMMYFUNCTION("""COMPUTED_VALUE"""),"RIVADAVIA Christian C.")</f>
        <v>RIVADAVIA Christian C.</v>
      </c>
      <c r="F5752" s="1" t="str">
        <f t="shared" si="1"/>
        <v>RIVADAVIA </v>
      </c>
      <c r="G5752" s="1" t="str">
        <f t="shared" si="2"/>
        <v>Christian C.</v>
      </c>
      <c r="H5752" s="9">
        <f>IFERROR(__xludf.DUMMYFUNCTION("""COMPUTED_VALUE"""),45041.708333333336)</f>
        <v>45041.70833</v>
      </c>
      <c r="I5752" s="1" t="str">
        <f>IFERROR(__xludf.DUMMYFUNCTION("""COMPUTED_VALUE"""),"Recibido en Laboratorio")</f>
        <v>Recibido en Laboratorio</v>
      </c>
      <c r="J5752" s="1">
        <f t="shared" si="3"/>
        <v>2</v>
      </c>
      <c r="K5752" s="1" t="str">
        <f t="shared" si="4"/>
        <v>Nuestro Laboratorio esta trabajando en tus lentes, los entregaremos en la fecha acordada.</v>
      </c>
    </row>
    <row r="5753">
      <c r="A5753" s="1">
        <f>IFERROR(__xludf.DUMMYFUNCTION("""COMPUTED_VALUE"""),90318.0)</f>
        <v>90318</v>
      </c>
      <c r="B5753" s="5">
        <f>IFERROR(__xludf.DUMMYFUNCTION("""COMPUTED_VALUE"""),45035.561390856485)</f>
        <v>45035.56139</v>
      </c>
      <c r="C5753" s="1" t="str">
        <f>IFERROR(__xludf.DUMMYFUNCTION("""COMPUTED_VALUE"""),"JURI HECTOR JAVIER")</f>
        <v>JURI HECTOR JAVIER</v>
      </c>
      <c r="D5753" s="1" t="str">
        <f>IFERROR(__xludf.DUMMYFUNCTION("""COMPUTED_VALUE"""),"Lentes BIFOCALES")</f>
        <v>Lentes BIFOCALES</v>
      </c>
      <c r="E5753" s="1" t="str">
        <f>IFERROR(__xludf.DUMMYFUNCTION("""COMPUTED_VALUE"""),"RIVADAVIA Marcela L")</f>
        <v>RIVADAVIA Marcela L</v>
      </c>
      <c r="F5753" s="1" t="str">
        <f t="shared" si="1"/>
        <v>RIVADAVIA </v>
      </c>
      <c r="G5753" s="1" t="str">
        <f t="shared" si="2"/>
        <v>Marcela L</v>
      </c>
      <c r="H5753" s="9">
        <f>IFERROR(__xludf.DUMMYFUNCTION("""COMPUTED_VALUE"""),45051.708333333336)</f>
        <v>45051.70833</v>
      </c>
      <c r="I5753" s="1"/>
      <c r="J5753" s="1">
        <f t="shared" si="3"/>
        <v>0</v>
      </c>
      <c r="K5753" s="1" t="str">
        <f t="shared" si="4"/>
        <v/>
      </c>
    </row>
    <row r="5754">
      <c r="A5754" s="1">
        <f>IFERROR(__xludf.DUMMYFUNCTION("""COMPUTED_VALUE"""),90319.0)</f>
        <v>90319</v>
      </c>
      <c r="B5754" s="5">
        <f>IFERROR(__xludf.DUMMYFUNCTION("""COMPUTED_VALUE"""),45035.566575868055)</f>
        <v>45035.56658</v>
      </c>
      <c r="C5754" s="1" t="str">
        <f>IFERROR(__xludf.DUMMYFUNCTION("""COMPUTED_VALUE"""),"HOMBRE JOSE")</f>
        <v>HOMBRE JOSE</v>
      </c>
      <c r="D5754" s="1" t="str">
        <f>IFERROR(__xludf.DUMMYFUNCTION("""COMPUTED_VALUE"""),"Lentes de STOCK")</f>
        <v>Lentes de STOCK</v>
      </c>
      <c r="E5754" s="1" t="str">
        <f>IFERROR(__xludf.DUMMYFUNCTION("""COMPUTED_VALUE"""),"ARTIGAS Ivana P.")</f>
        <v>ARTIGAS Ivana P.</v>
      </c>
      <c r="F5754" s="1" t="str">
        <f t="shared" si="1"/>
        <v>ARTIGAS </v>
      </c>
      <c r="G5754" s="1" t="str">
        <f t="shared" si="2"/>
        <v>Ivana P.</v>
      </c>
      <c r="H5754" s="9">
        <f>IFERROR(__xludf.DUMMYFUNCTION("""COMPUTED_VALUE"""),45040.708333333336)</f>
        <v>45040.70833</v>
      </c>
      <c r="I5754" s="1" t="str">
        <f>IFERROR(__xludf.DUMMYFUNCTION("""COMPUTED_VALUE"""),"Recibido en Laboratorio")</f>
        <v>Recibido en Laboratorio</v>
      </c>
      <c r="J5754" s="1">
        <f t="shared" si="3"/>
        <v>2</v>
      </c>
      <c r="K5754" s="1" t="str">
        <f t="shared" si="4"/>
        <v>Nuestro Laboratorio esta trabajando en tus lentes, los entregaremos en la fecha acordada.</v>
      </c>
    </row>
    <row r="5755">
      <c r="A5755" s="1">
        <f>IFERROR(__xludf.DUMMYFUNCTION("""COMPUTED_VALUE"""),90320.0)</f>
        <v>90320</v>
      </c>
      <c r="B5755" s="5">
        <f>IFERROR(__xludf.DUMMYFUNCTION("""COMPUTED_VALUE"""),45035.69470431713)</f>
        <v>45035.6947</v>
      </c>
      <c r="C5755" s="1" t="str">
        <f>IFERROR(__xludf.DUMMYFUNCTION("""COMPUTED_VALUE"""),"LEDESMA MARTA HILDA")</f>
        <v>LEDESMA MARTA HILDA</v>
      </c>
      <c r="D5755" s="1" t="str">
        <f>IFERROR(__xludf.DUMMYFUNCTION("""COMPUTED_VALUE"""),"Lentes de STOCK")</f>
        <v>Lentes de STOCK</v>
      </c>
      <c r="E5755" s="1" t="str">
        <f>IFERROR(__xludf.DUMMYFUNCTION("""COMPUTED_VALUE"""),"ARTIGAS Roció")</f>
        <v>ARTIGAS Roció</v>
      </c>
      <c r="F5755" s="1" t="str">
        <f t="shared" si="1"/>
        <v>ARTIGAS </v>
      </c>
      <c r="G5755" s="1" t="str">
        <f t="shared" si="2"/>
        <v>Roció</v>
      </c>
      <c r="H5755" s="9">
        <f>IFERROR(__xludf.DUMMYFUNCTION("""COMPUTED_VALUE"""),45044.708333333336)</f>
        <v>45044.70833</v>
      </c>
      <c r="I5755" s="1" t="str">
        <f>IFERROR(__xludf.DUMMYFUNCTION("""COMPUTED_VALUE"""),"Recibido en Laboratorio")</f>
        <v>Recibido en Laboratorio</v>
      </c>
      <c r="J5755" s="1">
        <f t="shared" si="3"/>
        <v>2</v>
      </c>
      <c r="K5755" s="1" t="str">
        <f t="shared" si="4"/>
        <v>Nuestro Laboratorio esta trabajando en tus lentes, los entregaremos en la fecha acordada.</v>
      </c>
    </row>
    <row r="5756">
      <c r="A5756" s="1">
        <f>IFERROR(__xludf.DUMMYFUNCTION("""COMPUTED_VALUE"""),90321.0)</f>
        <v>90321</v>
      </c>
      <c r="B5756" s="5">
        <f>IFERROR(__xludf.DUMMYFUNCTION("""COMPUTED_VALUE"""),45035.698228402776)</f>
        <v>45035.69823</v>
      </c>
      <c r="C5756" s="1" t="str">
        <f>IFERROR(__xludf.DUMMYFUNCTION("""COMPUTED_VALUE"""),"DESLOOVER ERIKA")</f>
        <v>DESLOOVER ERIKA</v>
      </c>
      <c r="D5756" s="1" t="str">
        <f>IFERROR(__xludf.DUMMYFUNCTION("""COMPUTED_VALUE"""),"Lentes de STOCK")</f>
        <v>Lentes de STOCK</v>
      </c>
      <c r="E5756" s="1" t="str">
        <f>IFERROR(__xludf.DUMMYFUNCTION("""COMPUTED_VALUE"""),"ARTIGAS Roció")</f>
        <v>ARTIGAS Roció</v>
      </c>
      <c r="F5756" s="1" t="str">
        <f t="shared" si="1"/>
        <v>ARTIGAS </v>
      </c>
      <c r="G5756" s="1" t="str">
        <f t="shared" si="2"/>
        <v>Roció</v>
      </c>
      <c r="H5756" s="9">
        <f>IFERROR(__xludf.DUMMYFUNCTION("""COMPUTED_VALUE"""),45044.708333333336)</f>
        <v>45044.70833</v>
      </c>
      <c r="I5756" s="1" t="str">
        <f>IFERROR(__xludf.DUMMYFUNCTION("""COMPUTED_VALUE"""),"Recibido en Laboratorio")</f>
        <v>Recibido en Laboratorio</v>
      </c>
      <c r="J5756" s="1">
        <f t="shared" si="3"/>
        <v>2</v>
      </c>
      <c r="K5756" s="1" t="str">
        <f t="shared" si="4"/>
        <v>Nuestro Laboratorio esta trabajando en tus lentes, los entregaremos en la fecha acordada.</v>
      </c>
    </row>
    <row r="5757">
      <c r="A5757" s="1">
        <f>IFERROR(__xludf.DUMMYFUNCTION("""COMPUTED_VALUE"""),23.0)</f>
        <v>23</v>
      </c>
      <c r="B5757" s="5">
        <f>IFERROR(__xludf.DUMMYFUNCTION("""COMPUTED_VALUE"""),45035.69889167824)</f>
        <v>45035.69889</v>
      </c>
      <c r="C5757" s="1" t="str">
        <f>IFERROR(__xludf.DUMMYFUNCTION("""COMPUTED_VALUE"""),"ESCUDERO LUCIA ")</f>
        <v>ESCUDERO LUCIA </v>
      </c>
      <c r="D5757" s="1" t="str">
        <f>IFERROR(__xludf.DUMMYFUNCTION("""COMPUTED_VALUE"""),"Reparaciones/Otros")</f>
        <v>Reparaciones/Otros</v>
      </c>
      <c r="E5757" s="1" t="str">
        <f>IFERROR(__xludf.DUMMYFUNCTION("""COMPUTED_VALUE"""),"ARTIGAS Micaela")</f>
        <v>ARTIGAS Micaela</v>
      </c>
      <c r="F5757" s="1" t="str">
        <f t="shared" si="1"/>
        <v>ARTIGAS </v>
      </c>
      <c r="G5757" s="1" t="str">
        <f t="shared" si="2"/>
        <v>Micaela</v>
      </c>
      <c r="H5757" s="9">
        <f>IFERROR(__xludf.DUMMYFUNCTION("""COMPUTED_VALUE"""),45037.708333333336)</f>
        <v>45037.70833</v>
      </c>
      <c r="I5757" s="1"/>
      <c r="J5757" s="1">
        <f t="shared" si="3"/>
        <v>0</v>
      </c>
      <c r="K5757" s="1" t="str">
        <f t="shared" si="4"/>
        <v/>
      </c>
    </row>
    <row r="5758">
      <c r="A5758" s="1">
        <f>IFERROR(__xludf.DUMMYFUNCTION("""COMPUTED_VALUE"""),90323.0)</f>
        <v>90323</v>
      </c>
      <c r="B5758" s="5">
        <f>IFERROR(__xludf.DUMMYFUNCTION("""COMPUTED_VALUE"""),45035.701893668986)</f>
        <v>45035.70189</v>
      </c>
      <c r="C5758" s="1" t="str">
        <f>IFERROR(__xludf.DUMMYFUNCTION("""COMPUTED_VALUE"""),"LOPEZ JUAN ")</f>
        <v>LOPEZ JUAN </v>
      </c>
      <c r="D5758" s="1" t="str">
        <f>IFERROR(__xludf.DUMMYFUNCTION("""COMPUTED_VALUE"""),"Lentes de STOCK")</f>
        <v>Lentes de STOCK</v>
      </c>
      <c r="E5758" s="1" t="str">
        <f>IFERROR(__xludf.DUMMYFUNCTION("""COMPUTED_VALUE"""),"RIVADAVIA Santiago LOPEZ")</f>
        <v>RIVADAVIA Santiago LOPEZ</v>
      </c>
      <c r="F5758" s="1" t="str">
        <f t="shared" si="1"/>
        <v>RIVADAVIA </v>
      </c>
      <c r="G5758" s="1" t="str">
        <f t="shared" si="2"/>
        <v>Santiago LOPEZ</v>
      </c>
      <c r="H5758" s="9">
        <f>IFERROR(__xludf.DUMMYFUNCTION("""COMPUTED_VALUE"""),45038.708333333336)</f>
        <v>45038.70833</v>
      </c>
      <c r="I5758" s="1"/>
      <c r="J5758" s="1">
        <f t="shared" si="3"/>
        <v>0</v>
      </c>
      <c r="K5758" s="1" t="str">
        <f t="shared" si="4"/>
        <v/>
      </c>
    </row>
    <row r="5759">
      <c r="A5759" s="1">
        <f>IFERROR(__xludf.DUMMYFUNCTION("""COMPUTED_VALUE"""),90324.0)</f>
        <v>90324</v>
      </c>
      <c r="B5759" s="5">
        <f>IFERROR(__xludf.DUMMYFUNCTION("""COMPUTED_VALUE"""),45035.709209872686)</f>
        <v>45035.70921</v>
      </c>
      <c r="C5759" s="1" t="str">
        <f>IFERROR(__xludf.DUMMYFUNCTION("""COMPUTED_VALUE"""),"BARROSO FLORENCIA")</f>
        <v>BARROSO FLORENCIA</v>
      </c>
      <c r="D5759" s="1" t="str">
        <f>IFERROR(__xludf.DUMMYFUNCTION("""COMPUTED_VALUE"""),"Lentes de STOCK")</f>
        <v>Lentes de STOCK</v>
      </c>
      <c r="E5759" s="1" t="str">
        <f>IFERROR(__xludf.DUMMYFUNCTION("""COMPUTED_VALUE"""),"RIVADAVIA Santiago LOPEZ")</f>
        <v>RIVADAVIA Santiago LOPEZ</v>
      </c>
      <c r="F5759" s="1" t="str">
        <f t="shared" si="1"/>
        <v>RIVADAVIA </v>
      </c>
      <c r="G5759" s="1" t="str">
        <f t="shared" si="2"/>
        <v>Santiago LOPEZ</v>
      </c>
      <c r="H5759" s="9">
        <f>IFERROR(__xludf.DUMMYFUNCTION("""COMPUTED_VALUE"""),45042.708333333336)</f>
        <v>45042.70833</v>
      </c>
      <c r="I5759" s="1" t="str">
        <f>IFERROR(__xludf.DUMMYFUNCTION("""COMPUTED_VALUE"""),"Recibido en Laboratorio")</f>
        <v>Recibido en Laboratorio</v>
      </c>
      <c r="J5759" s="1">
        <f t="shared" si="3"/>
        <v>2</v>
      </c>
      <c r="K5759" s="1" t="str">
        <f t="shared" si="4"/>
        <v>Nuestro Laboratorio esta trabajando en tus lentes, los entregaremos en la fecha acordada.</v>
      </c>
    </row>
    <row r="5760">
      <c r="A5760" s="1">
        <f>IFERROR(__xludf.DUMMYFUNCTION("""COMPUTED_VALUE"""),90325.0)</f>
        <v>90325</v>
      </c>
      <c r="B5760" s="5">
        <f>IFERROR(__xludf.DUMMYFUNCTION("""COMPUTED_VALUE"""),45035.71965924768)</f>
        <v>45035.71966</v>
      </c>
      <c r="C5760" s="1" t="str">
        <f>IFERROR(__xludf.DUMMYFUNCTION("""COMPUTED_VALUE"""),"PEREZ ALEJANDRO")</f>
        <v>PEREZ ALEJANDRO</v>
      </c>
      <c r="D5760" s="1" t="str">
        <f>IFERROR(__xludf.DUMMYFUNCTION("""COMPUTED_VALUE"""),"Lentes de LABORATORIO")</f>
        <v>Lentes de LABORATORIO</v>
      </c>
      <c r="E5760" s="1" t="str">
        <f>IFERROR(__xludf.DUMMYFUNCTION("""COMPUTED_VALUE"""),"ARTIGAS Ivana P.")</f>
        <v>ARTIGAS Ivana P.</v>
      </c>
      <c r="F5760" s="1" t="str">
        <f t="shared" si="1"/>
        <v>ARTIGAS </v>
      </c>
      <c r="G5760" s="1" t="str">
        <f t="shared" si="2"/>
        <v>Ivana P.</v>
      </c>
      <c r="H5760" s="9">
        <f>IFERROR(__xludf.DUMMYFUNCTION("""COMPUTED_VALUE"""),45045.708333333336)</f>
        <v>45045.70833</v>
      </c>
      <c r="I5760" s="1" t="str">
        <f>IFERROR(__xludf.DUMMYFUNCTION("""COMPUTED_VALUE"""),"Recibido en Laboratorio")</f>
        <v>Recibido en Laboratorio</v>
      </c>
      <c r="J5760" s="1">
        <f t="shared" si="3"/>
        <v>2</v>
      </c>
      <c r="K5760" s="1" t="str">
        <f t="shared" si="4"/>
        <v>Nuestro Laboratorio esta trabajando en tus lentes, los entregaremos en la fecha acordada.</v>
      </c>
    </row>
    <row r="5761">
      <c r="A5761" s="1">
        <f>IFERROR(__xludf.DUMMYFUNCTION("""COMPUTED_VALUE"""),90326.0)</f>
        <v>90326</v>
      </c>
      <c r="B5761" s="5">
        <f>IFERROR(__xludf.DUMMYFUNCTION("""COMPUTED_VALUE"""),45035.72704550926)</f>
        <v>45035.72705</v>
      </c>
      <c r="C5761" s="1" t="str">
        <f>IFERROR(__xludf.DUMMYFUNCTION("""COMPUTED_VALUE"""),"LOPEZ FRANCIA")</f>
        <v>LOPEZ FRANCIA</v>
      </c>
      <c r="D5761" s="1" t="str">
        <f>IFERROR(__xludf.DUMMYFUNCTION("""COMPUTED_VALUE"""),"Lentes de STOCK")</f>
        <v>Lentes de STOCK</v>
      </c>
      <c r="E5761" s="1" t="str">
        <f>IFERROR(__xludf.DUMMYFUNCTION("""COMPUTED_VALUE"""),"RIVADAVIA Santiago LOPEZ")</f>
        <v>RIVADAVIA Santiago LOPEZ</v>
      </c>
      <c r="F5761" s="1" t="str">
        <f t="shared" si="1"/>
        <v>RIVADAVIA </v>
      </c>
      <c r="G5761" s="1" t="str">
        <f t="shared" si="2"/>
        <v>Santiago LOPEZ</v>
      </c>
      <c r="H5761" s="9">
        <f>IFERROR(__xludf.DUMMYFUNCTION("""COMPUTED_VALUE"""),45038.708333333336)</f>
        <v>45038.70833</v>
      </c>
      <c r="I5761" s="1" t="str">
        <f>IFERROR(__xludf.DUMMYFUNCTION("""COMPUTED_VALUE"""),"Recibido en Laboratorio")</f>
        <v>Recibido en Laboratorio</v>
      </c>
      <c r="J5761" s="1">
        <f t="shared" si="3"/>
        <v>2</v>
      </c>
      <c r="K5761" s="1" t="str">
        <f t="shared" si="4"/>
        <v>Nuestro Laboratorio esta trabajando en tus lentes, los entregaremos en la fecha acordada.</v>
      </c>
    </row>
    <row r="5762">
      <c r="A5762" s="1">
        <f>IFERROR(__xludf.DUMMYFUNCTION("""COMPUTED_VALUE"""),90327.0)</f>
        <v>90327</v>
      </c>
      <c r="B5762" s="5">
        <f>IFERROR(__xludf.DUMMYFUNCTION("""COMPUTED_VALUE"""),45035.73236984954)</f>
        <v>45035.73237</v>
      </c>
      <c r="C5762" s="1" t="str">
        <f>IFERROR(__xludf.DUMMYFUNCTION("""COMPUTED_VALUE"""),"MARCELA MOLINA ")</f>
        <v>MARCELA MOLINA </v>
      </c>
      <c r="D5762" s="1" t="str">
        <f>IFERROR(__xludf.DUMMYFUNCTION("""COMPUTED_VALUE"""),"Reparaciones/Otros")</f>
        <v>Reparaciones/Otros</v>
      </c>
      <c r="E5762" s="1" t="str">
        <f>IFERROR(__xludf.DUMMYFUNCTION("""COMPUTED_VALUE"""),"ARTIGAS Micaela")</f>
        <v>ARTIGAS Micaela</v>
      </c>
      <c r="F5762" s="1" t="str">
        <f t="shared" si="1"/>
        <v>ARTIGAS </v>
      </c>
      <c r="G5762" s="1" t="str">
        <f t="shared" si="2"/>
        <v>Micaela</v>
      </c>
      <c r="H5762" s="9">
        <f>IFERROR(__xludf.DUMMYFUNCTION("""COMPUTED_VALUE"""),45040.708333333336)</f>
        <v>45040.70833</v>
      </c>
      <c r="I5762" s="1" t="str">
        <f>IFERROR(__xludf.DUMMYFUNCTION("""COMPUTED_VALUE"""),"Recibido en Laboratorio")</f>
        <v>Recibido en Laboratorio</v>
      </c>
      <c r="J5762" s="1">
        <f t="shared" si="3"/>
        <v>2</v>
      </c>
      <c r="K5762" s="1" t="str">
        <f t="shared" si="4"/>
        <v>Nuestro Laboratorio esta trabajando en tus lentes, los entregaremos en la fecha acordada.</v>
      </c>
    </row>
    <row r="5763">
      <c r="A5763" s="1">
        <f>IFERROR(__xludf.DUMMYFUNCTION("""COMPUTED_VALUE"""),90328.0)</f>
        <v>90328</v>
      </c>
      <c r="B5763" s="5">
        <f>IFERROR(__xludf.DUMMYFUNCTION("""COMPUTED_VALUE"""),45035.73299606481)</f>
        <v>45035.733</v>
      </c>
      <c r="C5763" s="1" t="str">
        <f>IFERROR(__xludf.DUMMYFUNCTION("""COMPUTED_VALUE"""),"LOBOS VALERIA ELINA")</f>
        <v>LOBOS VALERIA ELINA</v>
      </c>
      <c r="D5763" s="1" t="str">
        <f>IFERROR(__xludf.DUMMYFUNCTION("""COMPUTED_VALUE"""),"Lentes MULTIFOCALES")</f>
        <v>Lentes MULTIFOCALES</v>
      </c>
      <c r="E5763" s="1" t="str">
        <f>IFERROR(__xludf.DUMMYFUNCTION("""COMPUTED_VALUE"""),"ARTIGAS Roció")</f>
        <v>ARTIGAS Roció</v>
      </c>
      <c r="F5763" s="1" t="str">
        <f t="shared" si="1"/>
        <v>ARTIGAS </v>
      </c>
      <c r="G5763" s="1" t="str">
        <f t="shared" si="2"/>
        <v>Roció</v>
      </c>
      <c r="H5763" s="9">
        <f>IFERROR(__xludf.DUMMYFUNCTION("""COMPUTED_VALUE"""),45051.708333333336)</f>
        <v>45051.70833</v>
      </c>
      <c r="I5763" s="1" t="str">
        <f>IFERROR(__xludf.DUMMYFUNCTION("""COMPUTED_VALUE"""),"Recibido en Laboratorio")</f>
        <v>Recibido en Laboratorio</v>
      </c>
      <c r="J5763" s="1">
        <f t="shared" si="3"/>
        <v>2</v>
      </c>
      <c r="K5763" s="1" t="str">
        <f t="shared" si="4"/>
        <v>Nuestro Laboratorio esta trabajando en tus lentes, los entregaremos en la fecha acordada.</v>
      </c>
    </row>
    <row r="5764">
      <c r="A5764" s="1">
        <f>IFERROR(__xludf.DUMMYFUNCTION("""COMPUTED_VALUE"""),90329.0)</f>
        <v>90329</v>
      </c>
      <c r="B5764" s="5">
        <f>IFERROR(__xludf.DUMMYFUNCTION("""COMPUTED_VALUE"""),45035.735402453705)</f>
        <v>45035.7354</v>
      </c>
      <c r="C5764" s="1" t="str">
        <f>IFERROR(__xludf.DUMMYFUNCTION("""COMPUTED_VALUE"""),"FERNANDEZ BERTHA")</f>
        <v>FERNANDEZ BERTHA</v>
      </c>
      <c r="D5764" s="1" t="str">
        <f>IFERROR(__xludf.DUMMYFUNCTION("""COMPUTED_VALUE"""),"Lentes de STOCK")</f>
        <v>Lentes de STOCK</v>
      </c>
      <c r="E5764" s="1" t="str">
        <f>IFERROR(__xludf.DUMMYFUNCTION("""COMPUTED_VALUE"""),"RIVADAVIA Luciana")</f>
        <v>RIVADAVIA Luciana</v>
      </c>
      <c r="F5764" s="1" t="str">
        <f t="shared" si="1"/>
        <v>RIVADAVIA </v>
      </c>
      <c r="G5764" s="1" t="str">
        <f t="shared" si="2"/>
        <v>Luciana</v>
      </c>
      <c r="H5764" s="9">
        <f>IFERROR(__xludf.DUMMYFUNCTION("""COMPUTED_VALUE"""),45040.708333333336)</f>
        <v>45040.70833</v>
      </c>
      <c r="I5764" s="1" t="str">
        <f>IFERROR(__xludf.DUMMYFUNCTION("""COMPUTED_VALUE"""),"Recibido en Laboratorio")</f>
        <v>Recibido en Laboratorio</v>
      </c>
      <c r="J5764" s="1">
        <f t="shared" si="3"/>
        <v>2</v>
      </c>
      <c r="K5764" s="1" t="str">
        <f t="shared" si="4"/>
        <v>Nuestro Laboratorio esta trabajando en tus lentes, los entregaremos en la fecha acordada.</v>
      </c>
    </row>
    <row r="5765" hidden="1">
      <c r="A5765" s="1">
        <f>IFERROR(__xludf.DUMMYFUNCTION("""COMPUTED_VALUE"""),90330.0)</f>
        <v>90330</v>
      </c>
      <c r="B5765" s="5">
        <f>IFERROR(__xludf.DUMMYFUNCTION("""COMPUTED_VALUE"""),45035.7462683912)</f>
        <v>45035.74627</v>
      </c>
      <c r="C5765" s="1" t="str">
        <f>IFERROR(__xludf.DUMMYFUNCTION("""COMPUTED_VALUE"""),"CALDERON INES ")</f>
        <v>CALDERON INES </v>
      </c>
      <c r="D5765" s="1" t="str">
        <f>IFERROR(__xludf.DUMMYFUNCTION("""COMPUTED_VALUE"""),"Lentes de STOCK")</f>
        <v>Lentes de STOCK</v>
      </c>
      <c r="E5765" s="1" t="str">
        <f>IFERROR(__xludf.DUMMYFUNCTION("""COMPUTED_VALUE"""),"RIVADAVIA Luciana")</f>
        <v>RIVADAVIA Luciana</v>
      </c>
      <c r="F5765" s="1" t="str">
        <f t="shared" si="1"/>
        <v>RIVADAVIA </v>
      </c>
      <c r="G5765" s="1" t="str">
        <f t="shared" si="2"/>
        <v>Luciana</v>
      </c>
      <c r="H5765" s="9">
        <f>IFERROR(__xludf.DUMMYFUNCTION("""COMPUTED_VALUE"""),45044.708333333336)</f>
        <v>45044.70833</v>
      </c>
      <c r="I5765" s="1" t="str">
        <f>IFERROR(__xludf.DUMMYFUNCTION("""COMPUTED_VALUE"""),"Recibido en Laboratorio")</f>
        <v>Recibido en Laboratorio</v>
      </c>
      <c r="J5765" s="1">
        <f t="shared" si="3"/>
        <v>2</v>
      </c>
      <c r="K5765" s="1" t="str">
        <f t="shared" si="4"/>
        <v>Nuestro Laboratorio esta trabajando en tus lentes, los entregaremos en la fecha acordada.</v>
      </c>
    </row>
    <row r="5766" hidden="1">
      <c r="A5766" s="1">
        <f>IFERROR(__xludf.DUMMYFUNCTION("""COMPUTED_VALUE"""),90331.0)</f>
        <v>90331</v>
      </c>
      <c r="B5766" s="5">
        <f>IFERROR(__xludf.DUMMYFUNCTION("""COMPUTED_VALUE"""),45035.75356932871)</f>
        <v>45035.75357</v>
      </c>
      <c r="C5766" s="1" t="str">
        <f>IFERROR(__xludf.DUMMYFUNCTION("""COMPUTED_VALUE"""),"PANIGUTI ANDREA")</f>
        <v>PANIGUTI ANDREA</v>
      </c>
      <c r="D5766" s="1" t="str">
        <f>IFERROR(__xludf.DUMMYFUNCTION("""COMPUTED_VALUE"""),"Reparaciones/Otros")</f>
        <v>Reparaciones/Otros</v>
      </c>
      <c r="E5766" s="1" t="str">
        <f>IFERROR(__xludf.DUMMYFUNCTION("""COMPUTED_VALUE"""),"RIVADAVIA Daniel CM")</f>
        <v>RIVADAVIA Daniel CM</v>
      </c>
      <c r="F5766" s="1" t="str">
        <f t="shared" si="1"/>
        <v>RIVADAVIA </v>
      </c>
      <c r="G5766" s="1" t="str">
        <f t="shared" si="2"/>
        <v>Daniel CM</v>
      </c>
      <c r="H5766" s="9">
        <f>IFERROR(__xludf.DUMMYFUNCTION("""COMPUTED_VALUE"""),45037.708333333336)</f>
        <v>45037.70833</v>
      </c>
      <c r="I5766" s="1"/>
      <c r="J5766" s="1">
        <f t="shared" si="3"/>
        <v>0</v>
      </c>
      <c r="K5766" s="1" t="str">
        <f t="shared" si="4"/>
        <v/>
      </c>
    </row>
    <row r="5767" hidden="1">
      <c r="A5767" s="1">
        <f>IFERROR(__xludf.DUMMYFUNCTION("""COMPUTED_VALUE"""),90332.0)</f>
        <v>90332</v>
      </c>
      <c r="B5767" s="5">
        <f>IFERROR(__xludf.DUMMYFUNCTION("""COMPUTED_VALUE"""),45035.754659513885)</f>
        <v>45035.75466</v>
      </c>
      <c r="C5767" s="1" t="str">
        <f>IFERROR(__xludf.DUMMYFUNCTION("""COMPUTED_VALUE"""),"BORDON MARIA GLADYS")</f>
        <v>BORDON MARIA GLADYS</v>
      </c>
      <c r="D5767" s="1" t="str">
        <f>IFERROR(__xludf.DUMMYFUNCTION("""COMPUTED_VALUE"""),"Lentes MULTIFOCALES")</f>
        <v>Lentes MULTIFOCALES</v>
      </c>
      <c r="E5767" s="1" t="str">
        <f>IFERROR(__xludf.DUMMYFUNCTION("""COMPUTED_VALUE"""),"ARTIGAS Roció")</f>
        <v>ARTIGAS Roció</v>
      </c>
      <c r="F5767" s="1" t="str">
        <f t="shared" si="1"/>
        <v>ARTIGAS </v>
      </c>
      <c r="G5767" s="1" t="str">
        <f t="shared" si="2"/>
        <v>Roció</v>
      </c>
      <c r="H5767" s="9">
        <f>IFERROR(__xludf.DUMMYFUNCTION("""COMPUTED_VALUE"""),45050.708333333336)</f>
        <v>45050.70833</v>
      </c>
      <c r="I5767" s="1" t="str">
        <f>IFERROR(__xludf.DUMMYFUNCTION("""COMPUTED_VALUE"""),"Recibido en Laboratorio")</f>
        <v>Recibido en Laboratorio</v>
      </c>
      <c r="J5767" s="1">
        <f t="shared" si="3"/>
        <v>2</v>
      </c>
      <c r="K5767" s="1" t="str">
        <f t="shared" si="4"/>
        <v>Nuestro Laboratorio esta trabajando en tus lentes, los entregaremos en la fecha acordada.</v>
      </c>
    </row>
    <row r="5768" hidden="1">
      <c r="A5768" s="1">
        <f>IFERROR(__xludf.DUMMYFUNCTION("""COMPUTED_VALUE"""),90333.0)</f>
        <v>90333</v>
      </c>
      <c r="B5768" s="5">
        <f>IFERROR(__xludf.DUMMYFUNCTION("""COMPUTED_VALUE"""),45035.76370148148)</f>
        <v>45035.7637</v>
      </c>
      <c r="C5768" s="1" t="str">
        <f>IFERROR(__xludf.DUMMYFUNCTION("""COMPUTED_VALUE"""),"ETHAN ROSSELL")</f>
        <v>ETHAN ROSSELL</v>
      </c>
      <c r="D5768" s="1" t="str">
        <f>IFERROR(__xludf.DUMMYFUNCTION("""COMPUTED_VALUE"""),"Lentes de STOCK")</f>
        <v>Lentes de STOCK</v>
      </c>
      <c r="E5768" s="1" t="str">
        <f>IFERROR(__xludf.DUMMYFUNCTION("""COMPUTED_VALUE"""),"RIVADAVIA Javier")</f>
        <v>RIVADAVIA Javier</v>
      </c>
      <c r="F5768" s="1" t="str">
        <f t="shared" si="1"/>
        <v>RIVADAVIA </v>
      </c>
      <c r="G5768" s="1" t="str">
        <f t="shared" si="2"/>
        <v>Javier</v>
      </c>
      <c r="H5768" s="9">
        <f>IFERROR(__xludf.DUMMYFUNCTION("""COMPUTED_VALUE"""),45038.708333333336)</f>
        <v>45038.70833</v>
      </c>
      <c r="I5768" s="1" t="str">
        <f>IFERROR(__xludf.DUMMYFUNCTION("""COMPUTED_VALUE"""),"Recibido en Laboratorio")</f>
        <v>Recibido en Laboratorio</v>
      </c>
      <c r="J5768" s="1">
        <f t="shared" si="3"/>
        <v>2</v>
      </c>
      <c r="K5768" s="1" t="str">
        <f t="shared" si="4"/>
        <v>Nuestro Laboratorio esta trabajando en tus lentes, los entregaremos en la fecha acordada.</v>
      </c>
    </row>
    <row r="5769" hidden="1">
      <c r="A5769" s="1">
        <f>IFERROR(__xludf.DUMMYFUNCTION("""COMPUTED_VALUE"""),90334.0)</f>
        <v>90334</v>
      </c>
      <c r="B5769" s="5">
        <f>IFERROR(__xludf.DUMMYFUNCTION("""COMPUTED_VALUE"""),45035.78481509259)</f>
        <v>45035.78482</v>
      </c>
      <c r="C5769" s="1" t="str">
        <f>IFERROR(__xludf.DUMMYFUNCTION("""COMPUTED_VALUE"""),"VILLALVA HORACIO EDUARDO")</f>
        <v>VILLALVA HORACIO EDUARDO</v>
      </c>
      <c r="D5769" s="1" t="str">
        <f>IFERROR(__xludf.DUMMYFUNCTION("""COMPUTED_VALUE"""),"Reparaciones/Otros")</f>
        <v>Reparaciones/Otros</v>
      </c>
      <c r="E5769" s="1" t="str">
        <f>IFERROR(__xludf.DUMMYFUNCTION("""COMPUTED_VALUE"""),"RIVADAVIA Daniel CM")</f>
        <v>RIVADAVIA Daniel CM</v>
      </c>
      <c r="F5769" s="1" t="str">
        <f t="shared" si="1"/>
        <v>RIVADAVIA </v>
      </c>
      <c r="G5769" s="1" t="str">
        <f t="shared" si="2"/>
        <v>Daniel CM</v>
      </c>
      <c r="H5769" s="9">
        <f>IFERROR(__xludf.DUMMYFUNCTION("""COMPUTED_VALUE"""),45037.708333333336)</f>
        <v>45037.70833</v>
      </c>
      <c r="I5769" s="1" t="str">
        <f>IFERROR(__xludf.DUMMYFUNCTION("""COMPUTED_VALUE"""),"Completado en SUCURSAL")</f>
        <v>Completado en SUCURSAL</v>
      </c>
      <c r="J5769" s="1">
        <f t="shared" si="3"/>
        <v>5</v>
      </c>
      <c r="K5769" s="1" t="str">
        <f t="shared" si="4"/>
        <v>Tus Lentes estan LISTAS PARA ENTREGAR, te esperamos.</v>
      </c>
    </row>
    <row r="5770" hidden="1">
      <c r="A5770" s="1">
        <f>IFERROR(__xludf.DUMMYFUNCTION("""COMPUTED_VALUE"""),90335.0)</f>
        <v>90335</v>
      </c>
      <c r="B5770" s="5">
        <f>IFERROR(__xludf.DUMMYFUNCTION("""COMPUTED_VALUE"""),45035.78569123843)</f>
        <v>45035.78569</v>
      </c>
      <c r="C5770" s="1" t="str">
        <f>IFERROR(__xludf.DUMMYFUNCTION("""COMPUTED_VALUE"""),"SANTILLAN MARIA BELEN")</f>
        <v>SANTILLAN MARIA BELEN</v>
      </c>
      <c r="D5770" s="1" t="str">
        <f>IFERROR(__xludf.DUMMYFUNCTION("""COMPUTED_VALUE"""),"Lentes de STOCK")</f>
        <v>Lentes de STOCK</v>
      </c>
      <c r="E5770" s="1" t="str">
        <f>IFERROR(__xludf.DUMMYFUNCTION("""COMPUTED_VALUE"""),"RIVADAVIA Santiago LOPEZ")</f>
        <v>RIVADAVIA Santiago LOPEZ</v>
      </c>
      <c r="F5770" s="1" t="str">
        <f t="shared" si="1"/>
        <v>RIVADAVIA </v>
      </c>
      <c r="G5770" s="1" t="str">
        <f t="shared" si="2"/>
        <v>Santiago LOPEZ</v>
      </c>
      <c r="H5770" s="9">
        <f>IFERROR(__xludf.DUMMYFUNCTION("""COMPUTED_VALUE"""),45040.708333333336)</f>
        <v>45040.70833</v>
      </c>
      <c r="I5770" s="1" t="str">
        <f>IFERROR(__xludf.DUMMYFUNCTION("""COMPUTED_VALUE"""),"Recibido en Laboratorio")</f>
        <v>Recibido en Laboratorio</v>
      </c>
      <c r="J5770" s="1">
        <f t="shared" si="3"/>
        <v>2</v>
      </c>
      <c r="K5770" s="1" t="str">
        <f t="shared" si="4"/>
        <v>Nuestro Laboratorio esta trabajando en tus lentes, los entregaremos en la fecha acordada.</v>
      </c>
    </row>
    <row r="5771" hidden="1">
      <c r="A5771" s="1">
        <f>IFERROR(__xludf.DUMMYFUNCTION("""COMPUTED_VALUE"""),90336.0)</f>
        <v>90336</v>
      </c>
      <c r="B5771" s="5">
        <f>IFERROR(__xludf.DUMMYFUNCTION("""COMPUTED_VALUE"""),45035.7864172338)</f>
        <v>45035.78642</v>
      </c>
      <c r="C5771" s="1" t="str">
        <f>IFERROR(__xludf.DUMMYFUNCTION("""COMPUTED_VALUE"""),"LOMORO MARIA")</f>
        <v>LOMORO MARIA</v>
      </c>
      <c r="D5771" s="1" t="str">
        <f>IFERROR(__xludf.DUMMYFUNCTION("""COMPUTED_VALUE"""),"Lentes de STOCK")</f>
        <v>Lentes de STOCK</v>
      </c>
      <c r="E5771" s="1" t="str">
        <f>IFERROR(__xludf.DUMMYFUNCTION("""COMPUTED_VALUE"""),"RIVADAVIA Luciana")</f>
        <v>RIVADAVIA Luciana</v>
      </c>
      <c r="F5771" s="1" t="str">
        <f t="shared" si="1"/>
        <v>RIVADAVIA </v>
      </c>
      <c r="G5771" s="1" t="str">
        <f t="shared" si="2"/>
        <v>Luciana</v>
      </c>
      <c r="H5771" s="9">
        <f>IFERROR(__xludf.DUMMYFUNCTION("""COMPUTED_VALUE"""),45042.708333333336)</f>
        <v>45042.70833</v>
      </c>
      <c r="I5771" s="1" t="str">
        <f>IFERROR(__xludf.DUMMYFUNCTION("""COMPUTED_VALUE"""),"Recibido en Laboratorio")</f>
        <v>Recibido en Laboratorio</v>
      </c>
      <c r="J5771" s="1">
        <f t="shared" si="3"/>
        <v>2</v>
      </c>
      <c r="K5771" s="1" t="str">
        <f t="shared" si="4"/>
        <v>Nuestro Laboratorio esta trabajando en tus lentes, los entregaremos en la fecha acordada.</v>
      </c>
    </row>
    <row r="5772" hidden="1">
      <c r="A5772" s="1">
        <f>IFERROR(__xludf.DUMMYFUNCTION("""COMPUTED_VALUE"""),90337.0)</f>
        <v>90337</v>
      </c>
      <c r="B5772" s="5">
        <f>IFERROR(__xludf.DUMMYFUNCTION("""COMPUTED_VALUE"""),45035.786532349535)</f>
        <v>45035.78653</v>
      </c>
      <c r="C5772" s="1" t="str">
        <f>IFERROR(__xludf.DUMMYFUNCTION("""COMPUTED_VALUE"""),"GIUNTA HECTOR RAMON")</f>
        <v>GIUNTA HECTOR RAMON</v>
      </c>
      <c r="D5772" s="1" t="str">
        <f>IFERROR(__xludf.DUMMYFUNCTION("""COMPUTED_VALUE"""),"Lentes BIFOCALES")</f>
        <v>Lentes BIFOCALES</v>
      </c>
      <c r="E5772" s="1" t="str">
        <f>IFERROR(__xludf.DUMMYFUNCTION("""COMPUTED_VALUE"""),"RIVADAVIA Javier")</f>
        <v>RIVADAVIA Javier</v>
      </c>
      <c r="F5772" s="1" t="str">
        <f t="shared" si="1"/>
        <v>RIVADAVIA </v>
      </c>
      <c r="G5772" s="1" t="str">
        <f t="shared" si="2"/>
        <v>Javier</v>
      </c>
      <c r="H5772" s="9">
        <f>IFERROR(__xludf.DUMMYFUNCTION("""COMPUTED_VALUE"""),45041.708333333336)</f>
        <v>45041.70833</v>
      </c>
      <c r="I5772" s="1" t="str">
        <f>IFERROR(__xludf.DUMMYFUNCTION("""COMPUTED_VALUE"""),"Recibido en Laboratorio")</f>
        <v>Recibido en Laboratorio</v>
      </c>
      <c r="J5772" s="1">
        <f t="shared" si="3"/>
        <v>2</v>
      </c>
      <c r="K5772" s="1" t="str">
        <f t="shared" si="4"/>
        <v>Nuestro Laboratorio esta trabajando en tus lentes, los entregaremos en la fecha acordada.</v>
      </c>
    </row>
    <row r="5773" hidden="1">
      <c r="A5773" s="1">
        <f>IFERROR(__xludf.DUMMYFUNCTION("""COMPUTED_VALUE"""),90338.0)</f>
        <v>90338</v>
      </c>
      <c r="B5773" s="5">
        <f>IFERROR(__xludf.DUMMYFUNCTION("""COMPUTED_VALUE"""),45035.80514065972)</f>
        <v>45035.80514</v>
      </c>
      <c r="C5773" s="1" t="str">
        <f>IFERROR(__xludf.DUMMYFUNCTION("""COMPUTED_VALUE"""),"CUELLO CANDELA")</f>
        <v>CUELLO CANDELA</v>
      </c>
      <c r="D5773" s="1" t="str">
        <f>IFERROR(__xludf.DUMMYFUNCTION("""COMPUTED_VALUE"""),"Lentes de STOCK")</f>
        <v>Lentes de STOCK</v>
      </c>
      <c r="E5773" s="1" t="str">
        <f>IFERROR(__xludf.DUMMYFUNCTION("""COMPUTED_VALUE"""),"ARTIGAS Ivana P.")</f>
        <v>ARTIGAS Ivana P.</v>
      </c>
      <c r="F5773" s="1" t="str">
        <f t="shared" si="1"/>
        <v>ARTIGAS </v>
      </c>
      <c r="G5773" s="1" t="str">
        <f t="shared" si="2"/>
        <v>Ivana P.</v>
      </c>
      <c r="H5773" s="9">
        <f>IFERROR(__xludf.DUMMYFUNCTION("""COMPUTED_VALUE"""),45038.708333333336)</f>
        <v>45038.70833</v>
      </c>
      <c r="I5773" s="1" t="str">
        <f>IFERROR(__xludf.DUMMYFUNCTION("""COMPUTED_VALUE"""),"Recibido en Laboratorio")</f>
        <v>Recibido en Laboratorio</v>
      </c>
      <c r="J5773" s="1">
        <f t="shared" si="3"/>
        <v>2</v>
      </c>
      <c r="K5773" s="1" t="str">
        <f t="shared" si="4"/>
        <v>Nuestro Laboratorio esta trabajando en tus lentes, los entregaremos en la fecha acordada.</v>
      </c>
    </row>
    <row r="5774" hidden="1">
      <c r="A5774" s="1">
        <f>IFERROR(__xludf.DUMMYFUNCTION("""COMPUTED_VALUE"""),90339.0)</f>
        <v>90339</v>
      </c>
      <c r="B5774" s="5">
        <f>IFERROR(__xludf.DUMMYFUNCTION("""COMPUTED_VALUE"""),45035.80608815972)</f>
        <v>45035.80609</v>
      </c>
      <c r="C5774" s="1" t="str">
        <f>IFERROR(__xludf.DUMMYFUNCTION("""COMPUTED_VALUE"""),"tello silvia")</f>
        <v>tello silvia</v>
      </c>
      <c r="D5774" s="1" t="str">
        <f>IFERROR(__xludf.DUMMYFUNCTION("""COMPUTED_VALUE"""),"Lentes de STOCK")</f>
        <v>Lentes de STOCK</v>
      </c>
      <c r="E5774" s="1" t="str">
        <f>IFERROR(__xludf.DUMMYFUNCTION("""COMPUTED_VALUE"""),"RIVADAVIA Santiago N")</f>
        <v>RIVADAVIA Santiago N</v>
      </c>
      <c r="F5774" s="1" t="str">
        <f t="shared" si="1"/>
        <v>RIVADAVIA </v>
      </c>
      <c r="G5774" s="1" t="str">
        <f t="shared" si="2"/>
        <v>Santiago N</v>
      </c>
      <c r="H5774" s="9">
        <f>IFERROR(__xludf.DUMMYFUNCTION("""COMPUTED_VALUE"""),45041.708333333336)</f>
        <v>45041.70833</v>
      </c>
      <c r="I5774" s="1"/>
      <c r="J5774" s="1">
        <f t="shared" si="3"/>
        <v>0</v>
      </c>
      <c r="K5774" s="1" t="str">
        <f t="shared" si="4"/>
        <v/>
      </c>
    </row>
    <row r="5775" hidden="1">
      <c r="A5775" s="1">
        <f>IFERROR(__xludf.DUMMYFUNCTION("""COMPUTED_VALUE"""),90340.0)</f>
        <v>90340</v>
      </c>
      <c r="B5775" s="5">
        <f>IFERROR(__xludf.DUMMYFUNCTION("""COMPUTED_VALUE"""),45035.80644179398)</f>
        <v>45035.80644</v>
      </c>
      <c r="C5775" s="1" t="str">
        <f>IFERROR(__xludf.DUMMYFUNCTION("""COMPUTED_VALUE"""),"ESCUDERO LUIS CESAR")</f>
        <v>ESCUDERO LUIS CESAR</v>
      </c>
      <c r="D5775" s="1" t="str">
        <f>IFERROR(__xludf.DUMMYFUNCTION("""COMPUTED_VALUE"""),"Lentes de STOCK")</f>
        <v>Lentes de STOCK</v>
      </c>
      <c r="E5775" s="1" t="str">
        <f>IFERROR(__xludf.DUMMYFUNCTION("""COMPUTED_VALUE"""),"ARTIGAS Roció")</f>
        <v>ARTIGAS Roció</v>
      </c>
      <c r="F5775" s="1" t="str">
        <f t="shared" si="1"/>
        <v>ARTIGAS </v>
      </c>
      <c r="G5775" s="1" t="str">
        <f t="shared" si="2"/>
        <v>Roció</v>
      </c>
      <c r="H5775" s="9">
        <f>IFERROR(__xludf.DUMMYFUNCTION("""COMPUTED_VALUE"""),45043.708333333336)</f>
        <v>45043.70833</v>
      </c>
      <c r="I5775" s="1" t="str">
        <f>IFERROR(__xludf.DUMMYFUNCTION("""COMPUTED_VALUE"""),"Recibido en Laboratorio")</f>
        <v>Recibido en Laboratorio</v>
      </c>
      <c r="J5775" s="1">
        <f t="shared" si="3"/>
        <v>2</v>
      </c>
      <c r="K5775" s="1" t="str">
        <f t="shared" si="4"/>
        <v>Nuestro Laboratorio esta trabajando en tus lentes, los entregaremos en la fecha acordada.</v>
      </c>
    </row>
    <row r="5776" hidden="1">
      <c r="A5776" s="1">
        <f>IFERROR(__xludf.DUMMYFUNCTION("""COMPUTED_VALUE"""),90341.0)</f>
        <v>90341</v>
      </c>
      <c r="B5776" s="5">
        <f>IFERROR(__xludf.DUMMYFUNCTION("""COMPUTED_VALUE"""),45035.80651679398)</f>
        <v>45035.80652</v>
      </c>
      <c r="C5776" s="1" t="str">
        <f>IFERROR(__xludf.DUMMYFUNCTION("""COMPUTED_VALUE"""),"DIAZ MARIAM LOURDES")</f>
        <v>DIAZ MARIAM LOURDES</v>
      </c>
      <c r="D5776" s="1" t="str">
        <f>IFERROR(__xludf.DUMMYFUNCTION("""COMPUTED_VALUE"""),"Lentes de STOCK")</f>
        <v>Lentes de STOCK</v>
      </c>
      <c r="E5776" s="1" t="str">
        <f>IFERROR(__xludf.DUMMYFUNCTION("""COMPUTED_VALUE"""),"RIVADAVIA Christian C.")</f>
        <v>RIVADAVIA Christian C.</v>
      </c>
      <c r="F5776" s="1" t="str">
        <f t="shared" si="1"/>
        <v>RIVADAVIA </v>
      </c>
      <c r="G5776" s="1" t="str">
        <f t="shared" si="2"/>
        <v>Christian C.</v>
      </c>
      <c r="H5776" s="9">
        <f>IFERROR(__xludf.DUMMYFUNCTION("""COMPUTED_VALUE"""),45043.708333333336)</f>
        <v>45043.70833</v>
      </c>
      <c r="I5776" s="1" t="str">
        <f>IFERROR(__xludf.DUMMYFUNCTION("""COMPUTED_VALUE"""),"Recibido en Laboratorio")</f>
        <v>Recibido en Laboratorio</v>
      </c>
      <c r="J5776" s="1">
        <f t="shared" si="3"/>
        <v>2</v>
      </c>
      <c r="K5776" s="1" t="str">
        <f t="shared" si="4"/>
        <v>Nuestro Laboratorio esta trabajando en tus lentes, los entregaremos en la fecha acordada.</v>
      </c>
    </row>
    <row r="5777" hidden="1">
      <c r="A5777" s="1">
        <f>IFERROR(__xludf.DUMMYFUNCTION("""COMPUTED_VALUE"""),90342.0)</f>
        <v>90342</v>
      </c>
      <c r="B5777" s="5">
        <f>IFERROR(__xludf.DUMMYFUNCTION("""COMPUTED_VALUE"""),45035.81207288195)</f>
        <v>45035.81207</v>
      </c>
      <c r="C5777" s="1" t="str">
        <f>IFERROR(__xludf.DUMMYFUNCTION("""COMPUTED_VALUE"""),"DIAZ MARIAM LOURDES")</f>
        <v>DIAZ MARIAM LOURDES</v>
      </c>
      <c r="D5777" s="1" t="str">
        <f>IFERROR(__xludf.DUMMYFUNCTION("""COMPUTED_VALUE"""),"Lentes de STOCK")</f>
        <v>Lentes de STOCK</v>
      </c>
      <c r="E5777" s="1" t="str">
        <f>IFERROR(__xludf.DUMMYFUNCTION("""COMPUTED_VALUE"""),"RIVADAVIA Christian C.")</f>
        <v>RIVADAVIA Christian C.</v>
      </c>
      <c r="F5777" s="1" t="str">
        <f t="shared" si="1"/>
        <v>RIVADAVIA </v>
      </c>
      <c r="G5777" s="1" t="str">
        <f t="shared" si="2"/>
        <v>Christian C.</v>
      </c>
      <c r="H5777" s="9">
        <f>IFERROR(__xludf.DUMMYFUNCTION("""COMPUTED_VALUE"""),45043.708333333336)</f>
        <v>45043.70833</v>
      </c>
      <c r="I5777" s="1" t="str">
        <f>IFERROR(__xludf.DUMMYFUNCTION("""COMPUTED_VALUE"""),"Recibido en Laboratorio")</f>
        <v>Recibido en Laboratorio</v>
      </c>
      <c r="J5777" s="1">
        <f t="shared" si="3"/>
        <v>2</v>
      </c>
      <c r="K5777" s="1" t="str">
        <f t="shared" si="4"/>
        <v>Nuestro Laboratorio esta trabajando en tus lentes, los entregaremos en la fecha acordada.</v>
      </c>
    </row>
    <row r="5778" hidden="1">
      <c r="A5778" s="1">
        <f>IFERROR(__xludf.DUMMYFUNCTION("""COMPUTED_VALUE"""),90343.0)</f>
        <v>90343</v>
      </c>
      <c r="B5778" s="5">
        <f>IFERROR(__xludf.DUMMYFUNCTION("""COMPUTED_VALUE"""),45035.81382898148)</f>
        <v>45035.81383</v>
      </c>
      <c r="C5778" s="1" t="str">
        <f>IFERROR(__xludf.DUMMYFUNCTION("""COMPUTED_VALUE"""),"ROJO YASMIN ")</f>
        <v>ROJO YASMIN </v>
      </c>
      <c r="D5778" s="1" t="str">
        <f>IFERROR(__xludf.DUMMYFUNCTION("""COMPUTED_VALUE"""),"Lentes de STOCK")</f>
        <v>Lentes de STOCK</v>
      </c>
      <c r="E5778" s="1" t="str">
        <f>IFERROR(__xludf.DUMMYFUNCTION("""COMPUTED_VALUE"""),"RIVADAVIA Luciana")</f>
        <v>RIVADAVIA Luciana</v>
      </c>
      <c r="F5778" s="1" t="str">
        <f t="shared" si="1"/>
        <v>RIVADAVIA </v>
      </c>
      <c r="G5778" s="1" t="str">
        <f t="shared" si="2"/>
        <v>Luciana</v>
      </c>
      <c r="H5778" s="9">
        <f>IFERROR(__xludf.DUMMYFUNCTION("""COMPUTED_VALUE"""),45042.708333333336)</f>
        <v>45042.70833</v>
      </c>
      <c r="I5778" s="1" t="str">
        <f>IFERROR(__xludf.DUMMYFUNCTION("""COMPUTED_VALUE"""),"Recibido en Laboratorio")</f>
        <v>Recibido en Laboratorio</v>
      </c>
      <c r="J5778" s="1">
        <f t="shared" si="3"/>
        <v>2</v>
      </c>
      <c r="K5778" s="1" t="str">
        <f t="shared" si="4"/>
        <v>Nuestro Laboratorio esta trabajando en tus lentes, los entregaremos en la fecha acordada.</v>
      </c>
    </row>
    <row r="5779" hidden="1">
      <c r="A5779" s="1">
        <f>IFERROR(__xludf.DUMMYFUNCTION("""COMPUTED_VALUE"""),90344.0)</f>
        <v>90344</v>
      </c>
      <c r="B5779" s="5">
        <f>IFERROR(__xludf.DUMMYFUNCTION("""COMPUTED_VALUE"""),45035.81447869213)</f>
        <v>45035.81448</v>
      </c>
      <c r="C5779" s="1" t="str">
        <f>IFERROR(__xludf.DUMMYFUNCTION("""COMPUTED_VALUE"""),"ROBLE CRISTOPHER")</f>
        <v>ROBLE CRISTOPHER</v>
      </c>
      <c r="D5779" s="1" t="str">
        <f>IFERROR(__xludf.DUMMYFUNCTION("""COMPUTED_VALUE"""),"Lentes de STOCK")</f>
        <v>Lentes de STOCK</v>
      </c>
      <c r="E5779" s="1" t="str">
        <f>IFERROR(__xludf.DUMMYFUNCTION("""COMPUTED_VALUE"""),"RIVADAVIA Christian C.")</f>
        <v>RIVADAVIA Christian C.</v>
      </c>
      <c r="F5779" s="1" t="str">
        <f t="shared" si="1"/>
        <v>RIVADAVIA </v>
      </c>
      <c r="G5779" s="1" t="str">
        <f t="shared" si="2"/>
        <v>Christian C.</v>
      </c>
      <c r="H5779" s="9">
        <f>IFERROR(__xludf.DUMMYFUNCTION("""COMPUTED_VALUE"""),45043.708333333336)</f>
        <v>45043.70833</v>
      </c>
      <c r="I5779" s="1" t="str">
        <f>IFERROR(__xludf.DUMMYFUNCTION("""COMPUTED_VALUE"""),"Recibido en Laboratorio")</f>
        <v>Recibido en Laboratorio</v>
      </c>
      <c r="J5779" s="1">
        <f t="shared" si="3"/>
        <v>2</v>
      </c>
      <c r="K5779" s="1" t="str">
        <f t="shared" si="4"/>
        <v>Nuestro Laboratorio esta trabajando en tus lentes, los entregaremos en la fecha acordada.</v>
      </c>
    </row>
    <row r="5780" hidden="1">
      <c r="A5780" s="1">
        <f>IFERROR(__xludf.DUMMYFUNCTION("""COMPUTED_VALUE"""),90345.0)</f>
        <v>90345</v>
      </c>
      <c r="B5780" s="5">
        <f>IFERROR(__xludf.DUMMYFUNCTION("""COMPUTED_VALUE"""),45035.82223326389)</f>
        <v>45035.82223</v>
      </c>
      <c r="C5780" s="1" t="str">
        <f>IFERROR(__xludf.DUMMYFUNCTION("""COMPUTED_VALUE"""),"RIVERO PAULA")</f>
        <v>RIVERO PAULA</v>
      </c>
      <c r="D5780" s="1" t="str">
        <f>IFERROR(__xludf.DUMMYFUNCTION("""COMPUTED_VALUE"""),"Lentes de STOCK")</f>
        <v>Lentes de STOCK</v>
      </c>
      <c r="E5780" s="1" t="str">
        <f>IFERROR(__xludf.DUMMYFUNCTION("""COMPUTED_VALUE"""),"RIVADAVIA Santiago LOPEZ")</f>
        <v>RIVADAVIA Santiago LOPEZ</v>
      </c>
      <c r="F5780" s="1" t="str">
        <f t="shared" si="1"/>
        <v>RIVADAVIA </v>
      </c>
      <c r="G5780" s="1" t="str">
        <f t="shared" si="2"/>
        <v>Santiago LOPEZ</v>
      </c>
      <c r="H5780" s="9">
        <f>IFERROR(__xludf.DUMMYFUNCTION("""COMPUTED_VALUE"""),45040.708333333336)</f>
        <v>45040.70833</v>
      </c>
      <c r="I5780" s="1" t="str">
        <f>IFERROR(__xludf.DUMMYFUNCTION("""COMPUTED_VALUE"""),"Recibido en Laboratorio")</f>
        <v>Recibido en Laboratorio</v>
      </c>
      <c r="J5780" s="1">
        <f t="shared" si="3"/>
        <v>2</v>
      </c>
      <c r="K5780" s="1" t="str">
        <f t="shared" si="4"/>
        <v>Nuestro Laboratorio esta trabajando en tus lentes, los entregaremos en la fecha acordada.</v>
      </c>
    </row>
    <row r="5781" hidden="1">
      <c r="A5781" s="1">
        <f>IFERROR(__xludf.DUMMYFUNCTION("""COMPUTED_VALUE"""),90346.0)</f>
        <v>90346</v>
      </c>
      <c r="B5781" s="5">
        <f>IFERROR(__xludf.DUMMYFUNCTION("""COMPUTED_VALUE"""),45035.83574086806)</f>
        <v>45035.83574</v>
      </c>
      <c r="C5781" s="1" t="str">
        <f>IFERROR(__xludf.DUMMYFUNCTION("""COMPUTED_VALUE"""),"LOZANO ARCE GABRIEL")</f>
        <v>LOZANO ARCE GABRIEL</v>
      </c>
      <c r="D5781" s="1" t="str">
        <f>IFERROR(__xludf.DUMMYFUNCTION("""COMPUTED_VALUE"""),"Lentes de STOCK")</f>
        <v>Lentes de STOCK</v>
      </c>
      <c r="E5781" s="1" t="str">
        <f>IFERROR(__xludf.DUMMYFUNCTION("""COMPUTED_VALUE"""),"RIVADAVIA Santiago LOPEZ")</f>
        <v>RIVADAVIA Santiago LOPEZ</v>
      </c>
      <c r="F5781" s="1" t="str">
        <f t="shared" si="1"/>
        <v>RIVADAVIA </v>
      </c>
      <c r="G5781" s="1" t="str">
        <f t="shared" si="2"/>
        <v>Santiago LOPEZ</v>
      </c>
      <c r="H5781" s="9">
        <f>IFERROR(__xludf.DUMMYFUNCTION("""COMPUTED_VALUE"""),45040.708333333336)</f>
        <v>45040.70833</v>
      </c>
      <c r="I5781" s="1"/>
      <c r="J5781" s="1">
        <f t="shared" si="3"/>
        <v>0</v>
      </c>
      <c r="K5781" s="1" t="str">
        <f t="shared" si="4"/>
        <v/>
      </c>
    </row>
    <row r="5782" hidden="1">
      <c r="A5782" s="1">
        <f>IFERROR(__xludf.DUMMYFUNCTION("""COMPUTED_VALUE"""),90347.0)</f>
        <v>90347</v>
      </c>
      <c r="B5782" s="5">
        <f>IFERROR(__xludf.DUMMYFUNCTION("""COMPUTED_VALUE"""),45035.84630881944)</f>
        <v>45035.84631</v>
      </c>
      <c r="C5782" s="1" t="str">
        <f>IFERROR(__xludf.DUMMYFUNCTION("""COMPUTED_VALUE"""),"camargo juan marcelo")</f>
        <v>camargo juan marcelo</v>
      </c>
      <c r="D5782" s="1" t="str">
        <f>IFERROR(__xludf.DUMMYFUNCTION("""COMPUTED_VALUE"""),"Lentes de STOCK")</f>
        <v>Lentes de STOCK</v>
      </c>
      <c r="E5782" s="1" t="str">
        <f>IFERROR(__xludf.DUMMYFUNCTION("""COMPUTED_VALUE"""),"RIVADAVIA Daniel CM")</f>
        <v>RIVADAVIA Daniel CM</v>
      </c>
      <c r="F5782" s="1" t="str">
        <f t="shared" si="1"/>
        <v>RIVADAVIA </v>
      </c>
      <c r="G5782" s="1" t="str">
        <f t="shared" si="2"/>
        <v>Daniel CM</v>
      </c>
      <c r="H5782" s="9">
        <f>IFERROR(__xludf.DUMMYFUNCTION("""COMPUTED_VALUE"""),45040.708333333336)</f>
        <v>45040.70833</v>
      </c>
      <c r="I5782" s="1" t="str">
        <f>IFERROR(__xludf.DUMMYFUNCTION("""COMPUTED_VALUE"""),"Recibido en Laboratorio")</f>
        <v>Recibido en Laboratorio</v>
      </c>
      <c r="J5782" s="1">
        <f t="shared" si="3"/>
        <v>2</v>
      </c>
      <c r="K5782" s="1" t="str">
        <f t="shared" si="4"/>
        <v>Nuestro Laboratorio esta trabajando en tus lentes, los entregaremos en la fecha acordada.</v>
      </c>
    </row>
    <row r="5783" hidden="1">
      <c r="A5783" s="1">
        <f>IFERROR(__xludf.DUMMYFUNCTION("""COMPUTED_VALUE"""),90348.0)</f>
        <v>90348</v>
      </c>
      <c r="B5783" s="5">
        <f>IFERROR(__xludf.DUMMYFUNCTION("""COMPUTED_VALUE"""),45035.84744084491)</f>
        <v>45035.84744</v>
      </c>
      <c r="C5783" s="1" t="str">
        <f>IFERROR(__xludf.DUMMYFUNCTION("""COMPUTED_VALUE"""),"TAPIA INOSTROSA EZEQUIEL")</f>
        <v>TAPIA INOSTROSA EZEQUIEL</v>
      </c>
      <c r="D5783" s="1" t="str">
        <f>IFERROR(__xludf.DUMMYFUNCTION("""COMPUTED_VALUE"""),"Lentes de STOCK")</f>
        <v>Lentes de STOCK</v>
      </c>
      <c r="E5783" s="1" t="str">
        <f>IFERROR(__xludf.DUMMYFUNCTION("""COMPUTED_VALUE"""),"RIVADAVIA Christian C.")</f>
        <v>RIVADAVIA Christian C.</v>
      </c>
      <c r="F5783" s="1" t="str">
        <f t="shared" si="1"/>
        <v>RIVADAVIA </v>
      </c>
      <c r="G5783" s="1" t="str">
        <f t="shared" si="2"/>
        <v>Christian C.</v>
      </c>
      <c r="H5783" s="9">
        <f>IFERROR(__xludf.DUMMYFUNCTION("""COMPUTED_VALUE"""),45043.708333333336)</f>
        <v>45043.70833</v>
      </c>
      <c r="I5783" s="1" t="str">
        <f>IFERROR(__xludf.DUMMYFUNCTION("""COMPUTED_VALUE"""),"Recibido en Laboratorio")</f>
        <v>Recibido en Laboratorio</v>
      </c>
      <c r="J5783" s="1">
        <f t="shared" si="3"/>
        <v>2</v>
      </c>
      <c r="K5783" s="1" t="str">
        <f t="shared" si="4"/>
        <v>Nuestro Laboratorio esta trabajando en tus lentes, los entregaremos en la fecha acordada.</v>
      </c>
    </row>
    <row r="5784" hidden="1">
      <c r="A5784" s="1">
        <f>IFERROR(__xludf.DUMMYFUNCTION("""COMPUTED_VALUE"""),90349.0)</f>
        <v>90349</v>
      </c>
      <c r="B5784" s="5">
        <f>IFERROR(__xludf.DUMMYFUNCTION("""COMPUTED_VALUE"""),45036.37927907407)</f>
        <v>45036.37928</v>
      </c>
      <c r="C5784" s="1" t="str">
        <f>IFERROR(__xludf.DUMMYFUNCTION("""COMPUTED_VALUE"""),"GODOY JORGE")</f>
        <v>GODOY JORGE</v>
      </c>
      <c r="D5784" s="1" t="str">
        <f>IFERROR(__xludf.DUMMYFUNCTION("""COMPUTED_VALUE"""),"Reparaciones/Otros")</f>
        <v>Reparaciones/Otros</v>
      </c>
      <c r="E5784" s="1" t="str">
        <f>IFERROR(__xludf.DUMMYFUNCTION("""COMPUTED_VALUE"""),"RIVADAVIA Marcela L")</f>
        <v>RIVADAVIA Marcela L</v>
      </c>
      <c r="F5784" s="1" t="str">
        <f t="shared" si="1"/>
        <v>RIVADAVIA </v>
      </c>
      <c r="G5784" s="1" t="str">
        <f t="shared" si="2"/>
        <v>Marcela L</v>
      </c>
      <c r="H5784" s="9">
        <f>IFERROR(__xludf.DUMMYFUNCTION("""COMPUTED_VALUE"""),45037.708333333336)</f>
        <v>45037.70833</v>
      </c>
      <c r="I5784" s="1" t="str">
        <f>IFERROR(__xludf.DUMMYFUNCTION("""COMPUTED_VALUE"""),"Recibido en Laboratorio")</f>
        <v>Recibido en Laboratorio</v>
      </c>
      <c r="J5784" s="1">
        <f t="shared" si="3"/>
        <v>2</v>
      </c>
      <c r="K5784" s="1" t="str">
        <f t="shared" si="4"/>
        <v>Nuestro Laboratorio esta trabajando en tus lentes, los entregaremos en la fecha acordada.</v>
      </c>
    </row>
    <row r="5785" hidden="1">
      <c r="A5785" s="1"/>
      <c r="B5785" s="5">
        <f>IFERROR(__xludf.DUMMYFUNCTION("""COMPUTED_VALUE"""),45036.38406568287)</f>
        <v>45036.38407</v>
      </c>
      <c r="C5785" s="1" t="str">
        <f>IFERROR(__xludf.DUMMYFUNCTION("""COMPUTED_VALUE"""),"ZANGRANDI HUGO")</f>
        <v>ZANGRANDI HUGO</v>
      </c>
      <c r="D5785" s="1" t="str">
        <f>IFERROR(__xludf.DUMMYFUNCTION("""COMPUTED_VALUE"""),"Reparaciones/Otros")</f>
        <v>Reparaciones/Otros</v>
      </c>
      <c r="E5785" s="1" t="str">
        <f>IFERROR(__xludf.DUMMYFUNCTION("""COMPUTED_VALUE"""),"RIVADAVIA Marcela L")</f>
        <v>RIVADAVIA Marcela L</v>
      </c>
      <c r="F5785" s="1" t="str">
        <f t="shared" si="1"/>
        <v/>
      </c>
      <c r="G5785" s="1" t="str">
        <f t="shared" si="2"/>
        <v/>
      </c>
      <c r="H5785" s="9">
        <f>IFERROR(__xludf.DUMMYFUNCTION("""COMPUTED_VALUE"""),45037.708333333336)</f>
        <v>45037.70833</v>
      </c>
      <c r="I5785" s="1" t="str">
        <f>IFERROR(__xludf.DUMMYFUNCTION("""COMPUTED_VALUE"""),"Recibido en Laboratorio")</f>
        <v>Recibido en Laboratorio</v>
      </c>
      <c r="J5785" s="1" t="str">
        <f t="shared" si="3"/>
        <v/>
      </c>
      <c r="K5785" s="1" t="str">
        <f t="shared" si="4"/>
        <v/>
      </c>
    </row>
    <row r="5786" hidden="1">
      <c r="A5786" s="1">
        <f>IFERROR(__xludf.DUMMYFUNCTION("""COMPUTED_VALUE"""),90351.0)</f>
        <v>90351</v>
      </c>
      <c r="B5786" s="5">
        <f>IFERROR(__xludf.DUMMYFUNCTION("""COMPUTED_VALUE"""),45036.384485243056)</f>
        <v>45036.38449</v>
      </c>
      <c r="C5786" s="1" t="str">
        <f>IFERROR(__xludf.DUMMYFUNCTION("""COMPUTED_VALUE"""),"CHACON LIDIA")</f>
        <v>CHACON LIDIA</v>
      </c>
      <c r="D5786" s="1" t="str">
        <f>IFERROR(__xludf.DUMMYFUNCTION("""COMPUTED_VALUE"""),"Reparaciones/Otros")</f>
        <v>Reparaciones/Otros</v>
      </c>
      <c r="E5786" s="1" t="str">
        <f>IFERROR(__xludf.DUMMYFUNCTION("""COMPUTED_VALUE"""),"ARTIGAS Ivana P.")</f>
        <v>ARTIGAS Ivana P.</v>
      </c>
      <c r="F5786" s="1" t="str">
        <f t="shared" si="1"/>
        <v>ARTIGAS </v>
      </c>
      <c r="G5786" s="1" t="str">
        <f t="shared" si="2"/>
        <v>Ivana P.</v>
      </c>
      <c r="H5786" s="9">
        <f>IFERROR(__xludf.DUMMYFUNCTION("""COMPUTED_VALUE"""),45037.708333333336)</f>
        <v>45037.70833</v>
      </c>
      <c r="I5786" s="1" t="str">
        <f>IFERROR(__xludf.DUMMYFUNCTION("""COMPUTED_VALUE"""),"Recibido en Laboratorio")</f>
        <v>Recibido en Laboratorio</v>
      </c>
      <c r="J5786" s="1">
        <f t="shared" si="3"/>
        <v>2</v>
      </c>
      <c r="K5786" s="1" t="str">
        <f t="shared" si="4"/>
        <v>Nuestro Laboratorio esta trabajando en tus lentes, los entregaremos en la fecha acordada.</v>
      </c>
    </row>
    <row r="5787" hidden="1">
      <c r="A5787" s="1">
        <f>IFERROR(__xludf.DUMMYFUNCTION("""COMPUTED_VALUE"""),90352.0)</f>
        <v>90352</v>
      </c>
      <c r="B5787" s="5">
        <f>IFERROR(__xludf.DUMMYFUNCTION("""COMPUTED_VALUE"""),45036.40064381945)</f>
        <v>45036.40064</v>
      </c>
      <c r="C5787" s="1" t="str">
        <f>IFERROR(__xludf.DUMMYFUNCTION("""COMPUTED_VALUE"""),"LLAVER SEGUNDO VICTOR")</f>
        <v>LLAVER SEGUNDO VICTOR</v>
      </c>
      <c r="D5787" s="1" t="str">
        <f>IFERROR(__xludf.DUMMYFUNCTION("""COMPUTED_VALUE"""),"Lentes de STOCK")</f>
        <v>Lentes de STOCK</v>
      </c>
      <c r="E5787" s="1" t="str">
        <f>IFERROR(__xludf.DUMMYFUNCTION("""COMPUTED_VALUE"""),"RIVADAVIA Marcela L")</f>
        <v>RIVADAVIA Marcela L</v>
      </c>
      <c r="F5787" s="1" t="str">
        <f t="shared" si="1"/>
        <v>RIVADAVIA </v>
      </c>
      <c r="G5787" s="1" t="str">
        <f t="shared" si="2"/>
        <v>Marcela L</v>
      </c>
      <c r="H5787" s="9">
        <f>IFERROR(__xludf.DUMMYFUNCTION("""COMPUTED_VALUE"""),45040.708333333336)</f>
        <v>45040.70833</v>
      </c>
      <c r="I5787" s="1" t="str">
        <f>IFERROR(__xludf.DUMMYFUNCTION("""COMPUTED_VALUE"""),"Recibido en Laboratorio")</f>
        <v>Recibido en Laboratorio</v>
      </c>
      <c r="J5787" s="1">
        <f t="shared" si="3"/>
        <v>2</v>
      </c>
      <c r="K5787" s="1" t="str">
        <f t="shared" si="4"/>
        <v>Nuestro Laboratorio esta trabajando en tus lentes, los entregaremos en la fecha acordada.</v>
      </c>
    </row>
    <row r="5788" hidden="1">
      <c r="A5788" s="1">
        <f>IFERROR(__xludf.DUMMYFUNCTION("""COMPUTED_VALUE"""),90353.0)</f>
        <v>90353</v>
      </c>
      <c r="B5788" s="5">
        <f>IFERROR(__xludf.DUMMYFUNCTION("""COMPUTED_VALUE"""),45036.40621105324)</f>
        <v>45036.40621</v>
      </c>
      <c r="C5788" s="1" t="str">
        <f>IFERROR(__xludf.DUMMYFUNCTION("""COMPUTED_VALUE"""),"GUARDIA PEDRO CARLOS")</f>
        <v>GUARDIA PEDRO CARLOS</v>
      </c>
      <c r="D5788" s="1" t="str">
        <f>IFERROR(__xludf.DUMMYFUNCTION("""COMPUTED_VALUE"""),"Lentes de STOCK")</f>
        <v>Lentes de STOCK</v>
      </c>
      <c r="E5788" s="1" t="str">
        <f>IFERROR(__xludf.DUMMYFUNCTION("""COMPUTED_VALUE"""),"ARTIGAS Roció")</f>
        <v>ARTIGAS Roció</v>
      </c>
      <c r="F5788" s="1" t="str">
        <f t="shared" si="1"/>
        <v>ARTIGAS </v>
      </c>
      <c r="G5788" s="1" t="str">
        <f t="shared" si="2"/>
        <v>Roció</v>
      </c>
      <c r="H5788" s="9">
        <f>IFERROR(__xludf.DUMMYFUNCTION("""COMPUTED_VALUE"""),45044.708333333336)</f>
        <v>45044.70833</v>
      </c>
      <c r="I5788" s="1" t="str">
        <f>IFERROR(__xludf.DUMMYFUNCTION("""COMPUTED_VALUE"""),"Recibido en Laboratorio")</f>
        <v>Recibido en Laboratorio</v>
      </c>
      <c r="J5788" s="1">
        <f t="shared" si="3"/>
        <v>2</v>
      </c>
      <c r="K5788" s="1" t="str">
        <f t="shared" si="4"/>
        <v>Nuestro Laboratorio esta trabajando en tus lentes, los entregaremos en la fecha acordada.</v>
      </c>
    </row>
    <row r="5789" hidden="1">
      <c r="A5789" s="1">
        <f>IFERROR(__xludf.DUMMYFUNCTION("""COMPUTED_VALUE"""),90355.0)</f>
        <v>90355</v>
      </c>
      <c r="B5789" s="5">
        <f>IFERROR(__xludf.DUMMYFUNCTION("""COMPUTED_VALUE"""),45036.40889988426)</f>
        <v>45036.4089</v>
      </c>
      <c r="C5789" s="1" t="str">
        <f>IFERROR(__xludf.DUMMYFUNCTION("""COMPUTED_VALUE"""),"LUCERO THIAGO GAEL")</f>
        <v>LUCERO THIAGO GAEL</v>
      </c>
      <c r="D5789" s="1" t="str">
        <f>IFERROR(__xludf.DUMMYFUNCTION("""COMPUTED_VALUE"""),"Lentes de STOCK")</f>
        <v>Lentes de STOCK</v>
      </c>
      <c r="E5789" s="1" t="str">
        <f>IFERROR(__xludf.DUMMYFUNCTION("""COMPUTED_VALUE"""),"RIVADAVIA Luciana")</f>
        <v>RIVADAVIA Luciana</v>
      </c>
      <c r="F5789" s="1" t="str">
        <f t="shared" si="1"/>
        <v>RIVADAVIA </v>
      </c>
      <c r="G5789" s="1" t="str">
        <f t="shared" si="2"/>
        <v>Luciana</v>
      </c>
      <c r="H5789" s="9">
        <f>IFERROR(__xludf.DUMMYFUNCTION("""COMPUTED_VALUE"""),45043.708333333336)</f>
        <v>45043.70833</v>
      </c>
      <c r="I5789" s="1" t="str">
        <f>IFERROR(__xludf.DUMMYFUNCTION("""COMPUTED_VALUE"""),"Recibido en Laboratorio")</f>
        <v>Recibido en Laboratorio</v>
      </c>
      <c r="J5789" s="1">
        <f t="shared" si="3"/>
        <v>2</v>
      </c>
      <c r="K5789" s="1" t="str">
        <f t="shared" si="4"/>
        <v>Nuestro Laboratorio esta trabajando en tus lentes, los entregaremos en la fecha acordada.</v>
      </c>
    </row>
    <row r="5790" hidden="1">
      <c r="A5790" s="1">
        <f>IFERROR(__xludf.DUMMYFUNCTION("""COMPUTED_VALUE"""),90356.0)</f>
        <v>90356</v>
      </c>
      <c r="B5790" s="5">
        <f>IFERROR(__xludf.DUMMYFUNCTION("""COMPUTED_VALUE"""),45036.41329335648)</f>
        <v>45036.41329</v>
      </c>
      <c r="C5790" s="1" t="str">
        <f>IFERROR(__xludf.DUMMYFUNCTION("""COMPUTED_VALUE"""),"VILCHEZ RUBEN TEODORO")</f>
        <v>VILCHEZ RUBEN TEODORO</v>
      </c>
      <c r="D5790" s="1" t="str">
        <f>IFERROR(__xludf.DUMMYFUNCTION("""COMPUTED_VALUE"""),"Lentes BIFOCALES")</f>
        <v>Lentes BIFOCALES</v>
      </c>
      <c r="E5790" s="1" t="str">
        <f>IFERROR(__xludf.DUMMYFUNCTION("""COMPUTED_VALUE"""),"RIVADAVIA Marcela L")</f>
        <v>RIVADAVIA Marcela L</v>
      </c>
      <c r="F5790" s="1" t="str">
        <f t="shared" si="1"/>
        <v>RIVADAVIA </v>
      </c>
      <c r="G5790" s="1" t="str">
        <f t="shared" si="2"/>
        <v>Marcela L</v>
      </c>
      <c r="H5790" s="9">
        <f>IFERROR(__xludf.DUMMYFUNCTION("""COMPUTED_VALUE"""),45041.708333333336)</f>
        <v>45041.70833</v>
      </c>
      <c r="I5790" s="1" t="str">
        <f>IFERROR(__xludf.DUMMYFUNCTION("""COMPUTED_VALUE"""),"Recibido en Laboratorio")</f>
        <v>Recibido en Laboratorio</v>
      </c>
      <c r="J5790" s="1">
        <f t="shared" si="3"/>
        <v>2</v>
      </c>
      <c r="K5790" s="1" t="str">
        <f t="shared" si="4"/>
        <v>Nuestro Laboratorio esta trabajando en tus lentes, los entregaremos en la fecha acordada.</v>
      </c>
    </row>
    <row r="5791" hidden="1">
      <c r="A5791" s="1">
        <f>IFERROR(__xludf.DUMMYFUNCTION("""COMPUTED_VALUE"""),90357.0)</f>
        <v>90357</v>
      </c>
      <c r="B5791" s="5">
        <f>IFERROR(__xludf.DUMMYFUNCTION("""COMPUTED_VALUE"""),45036.41627611111)</f>
        <v>45036.41628</v>
      </c>
      <c r="C5791" s="1" t="str">
        <f>IFERROR(__xludf.DUMMYFUNCTION("""COMPUTED_VALUE"""),"GODOY ALBERTO ORLANDO")</f>
        <v>GODOY ALBERTO ORLANDO</v>
      </c>
      <c r="D5791" s="1" t="str">
        <f>IFERROR(__xludf.DUMMYFUNCTION("""COMPUTED_VALUE"""),"Lentes de STOCK")</f>
        <v>Lentes de STOCK</v>
      </c>
      <c r="E5791" s="1" t="str">
        <f>IFERROR(__xludf.DUMMYFUNCTION("""COMPUTED_VALUE"""),"ARTIGAS Roció")</f>
        <v>ARTIGAS Roció</v>
      </c>
      <c r="F5791" s="1" t="str">
        <f t="shared" si="1"/>
        <v>ARTIGAS </v>
      </c>
      <c r="G5791" s="1" t="str">
        <f t="shared" si="2"/>
        <v>Roció</v>
      </c>
      <c r="H5791" s="9">
        <f>IFERROR(__xludf.DUMMYFUNCTION("""COMPUTED_VALUE"""),45044.708333333336)</f>
        <v>45044.70833</v>
      </c>
      <c r="I5791" s="1" t="str">
        <f>IFERROR(__xludf.DUMMYFUNCTION("""COMPUTED_VALUE"""),"Recibido en Laboratorio")</f>
        <v>Recibido en Laboratorio</v>
      </c>
      <c r="J5791" s="1">
        <f t="shared" si="3"/>
        <v>2</v>
      </c>
      <c r="K5791" s="1" t="str">
        <f t="shared" si="4"/>
        <v>Nuestro Laboratorio esta trabajando en tus lentes, los entregaremos en la fecha acordada.</v>
      </c>
    </row>
    <row r="5792" hidden="1">
      <c r="A5792" s="1">
        <f>IFERROR(__xludf.DUMMYFUNCTION("""COMPUTED_VALUE"""),90358.0)</f>
        <v>90358</v>
      </c>
      <c r="B5792" s="5">
        <f>IFERROR(__xludf.DUMMYFUNCTION("""COMPUTED_VALUE"""),45036.4166393287)</f>
        <v>45036.41664</v>
      </c>
      <c r="C5792" s="1" t="str">
        <f>IFERROR(__xludf.DUMMYFUNCTION("""COMPUTED_VALUE"""),"CARDELLINO HECTOR")</f>
        <v>CARDELLINO HECTOR</v>
      </c>
      <c r="D5792" s="1" t="str">
        <f>IFERROR(__xludf.DUMMYFUNCTION("""COMPUTED_VALUE"""),"Lentes de STOCK")</f>
        <v>Lentes de STOCK</v>
      </c>
      <c r="E5792" s="1" t="str">
        <f>IFERROR(__xludf.DUMMYFUNCTION("""COMPUTED_VALUE"""),"RIVADAVIA Santiago N")</f>
        <v>RIVADAVIA Santiago N</v>
      </c>
      <c r="F5792" s="1" t="str">
        <f t="shared" si="1"/>
        <v>RIVADAVIA </v>
      </c>
      <c r="G5792" s="1" t="str">
        <f t="shared" si="2"/>
        <v>Santiago N</v>
      </c>
      <c r="H5792" s="9">
        <f>IFERROR(__xludf.DUMMYFUNCTION("""COMPUTED_VALUE"""),45040.708333333336)</f>
        <v>45040.70833</v>
      </c>
      <c r="I5792" s="1" t="str">
        <f>IFERROR(__xludf.DUMMYFUNCTION("""COMPUTED_VALUE"""),"Recibido en Laboratorio")</f>
        <v>Recibido en Laboratorio</v>
      </c>
      <c r="J5792" s="1">
        <f t="shared" si="3"/>
        <v>2</v>
      </c>
      <c r="K5792" s="1" t="str">
        <f t="shared" si="4"/>
        <v>Nuestro Laboratorio esta trabajando en tus lentes, los entregaremos en la fecha acordada.</v>
      </c>
    </row>
    <row r="5793" hidden="1">
      <c r="A5793" s="1">
        <f>IFERROR(__xludf.DUMMYFUNCTION("""COMPUTED_VALUE"""),90359.0)</f>
        <v>90359</v>
      </c>
      <c r="B5793" s="5">
        <f>IFERROR(__xludf.DUMMYFUNCTION("""COMPUTED_VALUE"""),45036.41932854167)</f>
        <v>45036.41933</v>
      </c>
      <c r="C5793" s="1" t="str">
        <f>IFERROR(__xludf.DUMMYFUNCTION("""COMPUTED_VALUE"""),"BARLOA IARA CAMILA")</f>
        <v>BARLOA IARA CAMILA</v>
      </c>
      <c r="D5793" s="1" t="str">
        <f>IFERROR(__xludf.DUMMYFUNCTION("""COMPUTED_VALUE"""),"Lentes de STOCK")</f>
        <v>Lentes de STOCK</v>
      </c>
      <c r="E5793" s="1" t="str">
        <f>IFERROR(__xludf.DUMMYFUNCTION("""COMPUTED_VALUE"""),"RIVADAVIA Santiago N")</f>
        <v>RIVADAVIA Santiago N</v>
      </c>
      <c r="F5793" s="1" t="str">
        <f t="shared" si="1"/>
        <v>RIVADAVIA </v>
      </c>
      <c r="G5793" s="1" t="str">
        <f t="shared" si="2"/>
        <v>Santiago N</v>
      </c>
      <c r="H5793" s="9">
        <f>IFERROR(__xludf.DUMMYFUNCTION("""COMPUTED_VALUE"""),45041.708333333336)</f>
        <v>45041.70833</v>
      </c>
      <c r="I5793" s="1" t="str">
        <f>IFERROR(__xludf.DUMMYFUNCTION("""COMPUTED_VALUE"""),"Recibido en Laboratorio")</f>
        <v>Recibido en Laboratorio</v>
      </c>
      <c r="J5793" s="1">
        <f t="shared" si="3"/>
        <v>2</v>
      </c>
      <c r="K5793" s="1" t="str">
        <f t="shared" si="4"/>
        <v>Nuestro Laboratorio esta trabajando en tus lentes, los entregaremos en la fecha acordada.</v>
      </c>
    </row>
    <row r="5794" hidden="1">
      <c r="A5794" s="1">
        <f>IFERROR(__xludf.DUMMYFUNCTION("""COMPUTED_VALUE"""),90360.0)</f>
        <v>90360</v>
      </c>
      <c r="B5794" s="5">
        <f>IFERROR(__xludf.DUMMYFUNCTION("""COMPUTED_VALUE"""),45036.423158969905)</f>
        <v>45036.42316</v>
      </c>
      <c r="C5794" s="1" t="str">
        <f>IFERROR(__xludf.DUMMYFUNCTION("""COMPUTED_VALUE"""),"LUCERO CLAUDIA OLGA")</f>
        <v>LUCERO CLAUDIA OLGA</v>
      </c>
      <c r="D5794" s="1" t="str">
        <f>IFERROR(__xludf.DUMMYFUNCTION("""COMPUTED_VALUE"""),"Lentes de STOCK")</f>
        <v>Lentes de STOCK</v>
      </c>
      <c r="E5794" s="1" t="str">
        <f>IFERROR(__xludf.DUMMYFUNCTION("""COMPUTED_VALUE"""),"RIVADAVIA Santiago LOPEZ")</f>
        <v>RIVADAVIA Santiago LOPEZ</v>
      </c>
      <c r="F5794" s="1" t="str">
        <f t="shared" si="1"/>
        <v>RIVADAVIA </v>
      </c>
      <c r="G5794" s="1" t="str">
        <f t="shared" si="2"/>
        <v>Santiago LOPEZ</v>
      </c>
      <c r="H5794" s="9">
        <f>IFERROR(__xludf.DUMMYFUNCTION("""COMPUTED_VALUE"""),45040.708333333336)</f>
        <v>45040.70833</v>
      </c>
      <c r="I5794" s="1" t="str">
        <f>IFERROR(__xludf.DUMMYFUNCTION("""COMPUTED_VALUE"""),"Recibido en Laboratorio")</f>
        <v>Recibido en Laboratorio</v>
      </c>
      <c r="J5794" s="1">
        <f t="shared" si="3"/>
        <v>2</v>
      </c>
      <c r="K5794" s="1" t="str">
        <f t="shared" si="4"/>
        <v>Nuestro Laboratorio esta trabajando en tus lentes, los entregaremos en la fecha acordada.</v>
      </c>
    </row>
    <row r="5795" hidden="1">
      <c r="A5795" s="1">
        <f>IFERROR(__xludf.DUMMYFUNCTION("""COMPUTED_VALUE"""),90361.0)</f>
        <v>90361</v>
      </c>
      <c r="B5795" s="5">
        <f>IFERROR(__xludf.DUMMYFUNCTION("""COMPUTED_VALUE"""),45036.424073946764)</f>
        <v>45036.42407</v>
      </c>
      <c r="C5795" s="1" t="str">
        <f>IFERROR(__xludf.DUMMYFUNCTION("""COMPUTED_VALUE"""),"COÑETE JORGE RAMON")</f>
        <v>COÑETE JORGE RAMON</v>
      </c>
      <c r="D5795" s="1" t="str">
        <f>IFERROR(__xludf.DUMMYFUNCTION("""COMPUTED_VALUE"""),"Lentes de STOCK")</f>
        <v>Lentes de STOCK</v>
      </c>
      <c r="E5795" s="1" t="str">
        <f>IFERROR(__xludf.DUMMYFUNCTION("""COMPUTED_VALUE"""),"RIVADAVIA Christian C.")</f>
        <v>RIVADAVIA Christian C.</v>
      </c>
      <c r="F5795" s="1" t="str">
        <f t="shared" si="1"/>
        <v>RIVADAVIA </v>
      </c>
      <c r="G5795" s="1" t="str">
        <f t="shared" si="2"/>
        <v>Christian C.</v>
      </c>
      <c r="H5795" s="9">
        <f>IFERROR(__xludf.DUMMYFUNCTION("""COMPUTED_VALUE"""),45044.708333333336)</f>
        <v>45044.70833</v>
      </c>
      <c r="I5795" s="1"/>
      <c r="J5795" s="1">
        <f t="shared" si="3"/>
        <v>0</v>
      </c>
      <c r="K5795" s="1" t="str">
        <f t="shared" si="4"/>
        <v/>
      </c>
    </row>
    <row r="5796" hidden="1">
      <c r="A5796" s="1">
        <f>IFERROR(__xludf.DUMMYFUNCTION("""COMPUTED_VALUE"""),90362.0)</f>
        <v>90362</v>
      </c>
      <c r="B5796" s="5">
        <f>IFERROR(__xludf.DUMMYFUNCTION("""COMPUTED_VALUE"""),45036.425032025465)</f>
        <v>45036.42503</v>
      </c>
      <c r="C5796" s="1" t="str">
        <f>IFERROR(__xludf.DUMMYFUNCTION("""COMPUTED_VALUE"""),"RIGO ANDRES")</f>
        <v>RIGO ANDRES</v>
      </c>
      <c r="D5796" s="1" t="str">
        <f>IFERROR(__xludf.DUMMYFUNCTION("""COMPUTED_VALUE"""),"Lentes de STOCK")</f>
        <v>Lentes de STOCK</v>
      </c>
      <c r="E5796" s="1" t="str">
        <f>IFERROR(__xludf.DUMMYFUNCTION("""COMPUTED_VALUE"""),"RIVADAVIA Santiago N")</f>
        <v>RIVADAVIA Santiago N</v>
      </c>
      <c r="F5796" s="1" t="str">
        <f t="shared" si="1"/>
        <v>RIVADAVIA </v>
      </c>
      <c r="G5796" s="1" t="str">
        <f t="shared" si="2"/>
        <v>Santiago N</v>
      </c>
      <c r="H5796" s="9">
        <f>IFERROR(__xludf.DUMMYFUNCTION("""COMPUTED_VALUE"""),45040.708333333336)</f>
        <v>45040.70833</v>
      </c>
      <c r="I5796" s="1" t="str">
        <f>IFERROR(__xludf.DUMMYFUNCTION("""COMPUTED_VALUE"""),"Recibido en Laboratorio")</f>
        <v>Recibido en Laboratorio</v>
      </c>
      <c r="J5796" s="1">
        <f t="shared" si="3"/>
        <v>2</v>
      </c>
      <c r="K5796" s="1" t="str">
        <f t="shared" si="4"/>
        <v>Nuestro Laboratorio esta trabajando en tus lentes, los entregaremos en la fecha acordada.</v>
      </c>
    </row>
    <row r="5797" hidden="1">
      <c r="A5797" s="1">
        <f>IFERROR(__xludf.DUMMYFUNCTION("""COMPUTED_VALUE"""),90363.0)</f>
        <v>90363</v>
      </c>
      <c r="B5797" s="5">
        <f>IFERROR(__xludf.DUMMYFUNCTION("""COMPUTED_VALUE"""),45036.4297481713)</f>
        <v>45036.42975</v>
      </c>
      <c r="C5797" s="1" t="str">
        <f>IFERROR(__xludf.DUMMYFUNCTION("""COMPUTED_VALUE"""),"OJEDA CRISTIAN")</f>
        <v>OJEDA CRISTIAN</v>
      </c>
      <c r="D5797" s="1" t="str">
        <f>IFERROR(__xludf.DUMMYFUNCTION("""COMPUTED_VALUE"""),"Lentes de STOCK")</f>
        <v>Lentes de STOCK</v>
      </c>
      <c r="E5797" s="1" t="str">
        <f>IFERROR(__xludf.DUMMYFUNCTION("""COMPUTED_VALUE"""),"RIVADAVIA Santiago N")</f>
        <v>RIVADAVIA Santiago N</v>
      </c>
      <c r="F5797" s="1" t="str">
        <f t="shared" si="1"/>
        <v>RIVADAVIA </v>
      </c>
      <c r="G5797" s="1" t="str">
        <f t="shared" si="2"/>
        <v>Santiago N</v>
      </c>
      <c r="H5797" s="9">
        <f>IFERROR(__xludf.DUMMYFUNCTION("""COMPUTED_VALUE"""),45040.708333333336)</f>
        <v>45040.70833</v>
      </c>
      <c r="I5797" s="1" t="str">
        <f>IFERROR(__xludf.DUMMYFUNCTION("""COMPUTED_VALUE"""),"Recibido en Laboratorio")</f>
        <v>Recibido en Laboratorio</v>
      </c>
      <c r="J5797" s="1">
        <f t="shared" si="3"/>
        <v>2</v>
      </c>
      <c r="K5797" s="1" t="str">
        <f t="shared" si="4"/>
        <v>Nuestro Laboratorio esta trabajando en tus lentes, los entregaremos en la fecha acordada.</v>
      </c>
    </row>
    <row r="5798" hidden="1">
      <c r="A5798" s="1">
        <f>IFERROR(__xludf.DUMMYFUNCTION("""COMPUTED_VALUE"""),90364.0)</f>
        <v>90364</v>
      </c>
      <c r="B5798" s="5">
        <f>IFERROR(__xludf.DUMMYFUNCTION("""COMPUTED_VALUE"""),45036.4362684838)</f>
        <v>45036.43627</v>
      </c>
      <c r="C5798" s="1" t="str">
        <f>IFERROR(__xludf.DUMMYFUNCTION("""COMPUTED_VALUE"""),"SUARES CARLOS RAMON")</f>
        <v>SUARES CARLOS RAMON</v>
      </c>
      <c r="D5798" s="1" t="str">
        <f>IFERROR(__xludf.DUMMYFUNCTION("""COMPUTED_VALUE"""),"Lentes de STOCK")</f>
        <v>Lentes de STOCK</v>
      </c>
      <c r="E5798" s="1" t="str">
        <f>IFERROR(__xludf.DUMMYFUNCTION("""COMPUTED_VALUE"""),"RIVADAVIA Santiago LOPEZ")</f>
        <v>RIVADAVIA Santiago LOPEZ</v>
      </c>
      <c r="F5798" s="1" t="str">
        <f t="shared" si="1"/>
        <v>RIVADAVIA </v>
      </c>
      <c r="G5798" s="1" t="str">
        <f t="shared" si="2"/>
        <v>Santiago LOPEZ</v>
      </c>
      <c r="H5798" s="9">
        <f>IFERROR(__xludf.DUMMYFUNCTION("""COMPUTED_VALUE"""),45040.708333333336)</f>
        <v>45040.70833</v>
      </c>
      <c r="I5798" s="1" t="str">
        <f>IFERROR(__xludf.DUMMYFUNCTION("""COMPUTED_VALUE"""),"Recibido en Laboratorio")</f>
        <v>Recibido en Laboratorio</v>
      </c>
      <c r="J5798" s="1">
        <f t="shared" si="3"/>
        <v>2</v>
      </c>
      <c r="K5798" s="1" t="str">
        <f t="shared" si="4"/>
        <v>Nuestro Laboratorio esta trabajando en tus lentes, los entregaremos en la fecha acordada.</v>
      </c>
    </row>
    <row r="5799" hidden="1">
      <c r="A5799" s="1">
        <f>IFERROR(__xludf.DUMMYFUNCTION("""COMPUTED_VALUE"""),90365.0)</f>
        <v>90365</v>
      </c>
      <c r="B5799" s="5">
        <f>IFERROR(__xludf.DUMMYFUNCTION("""COMPUTED_VALUE"""),45036.44039041667)</f>
        <v>45036.44039</v>
      </c>
      <c r="C5799" s="1" t="str">
        <f>IFERROR(__xludf.DUMMYFUNCTION("""COMPUTED_VALUE"""),"BARROSO NANCY ")</f>
        <v>BARROSO NANCY </v>
      </c>
      <c r="D5799" s="1" t="str">
        <f>IFERROR(__xludf.DUMMYFUNCTION("""COMPUTED_VALUE"""),"Lentes BIFOCALES")</f>
        <v>Lentes BIFOCALES</v>
      </c>
      <c r="E5799" s="1" t="str">
        <f>IFERROR(__xludf.DUMMYFUNCTION("""COMPUTED_VALUE"""),"RIVADAVIA Marcela L")</f>
        <v>RIVADAVIA Marcela L</v>
      </c>
      <c r="F5799" s="1" t="str">
        <f t="shared" si="1"/>
        <v>RIVADAVIA </v>
      </c>
      <c r="G5799" s="1" t="str">
        <f t="shared" si="2"/>
        <v>Marcela L</v>
      </c>
      <c r="H5799" s="9">
        <f>IFERROR(__xludf.DUMMYFUNCTION("""COMPUTED_VALUE"""),45042.708333333336)</f>
        <v>45042.70833</v>
      </c>
      <c r="I5799" s="1" t="str">
        <f>IFERROR(__xludf.DUMMYFUNCTION("""COMPUTED_VALUE"""),"Recibido en Laboratorio")</f>
        <v>Recibido en Laboratorio</v>
      </c>
      <c r="J5799" s="1">
        <f t="shared" si="3"/>
        <v>2</v>
      </c>
      <c r="K5799" s="1" t="str">
        <f t="shared" si="4"/>
        <v>Nuestro Laboratorio esta trabajando en tus lentes, los entregaremos en la fecha acordada.</v>
      </c>
    </row>
    <row r="5800" hidden="1">
      <c r="A5800" s="1">
        <f>IFERROR(__xludf.DUMMYFUNCTION("""COMPUTED_VALUE"""),90366.0)</f>
        <v>90366</v>
      </c>
      <c r="B5800" s="5">
        <f>IFERROR(__xludf.DUMMYFUNCTION("""COMPUTED_VALUE"""),45036.44429804398)</f>
        <v>45036.4443</v>
      </c>
      <c r="C5800" s="1" t="str">
        <f>IFERROR(__xludf.DUMMYFUNCTION("""COMPUTED_VALUE"""),"ROSALES IRMA")</f>
        <v>ROSALES IRMA</v>
      </c>
      <c r="D5800" s="1" t="str">
        <f>IFERROR(__xludf.DUMMYFUNCTION("""COMPUTED_VALUE"""),"Lentes de STOCK")</f>
        <v>Lentes de STOCK</v>
      </c>
      <c r="E5800" s="1" t="str">
        <f>IFERROR(__xludf.DUMMYFUNCTION("""COMPUTED_VALUE"""),"ARTIGAS Ivana P.")</f>
        <v>ARTIGAS Ivana P.</v>
      </c>
      <c r="F5800" s="1" t="str">
        <f t="shared" si="1"/>
        <v>ARTIGAS </v>
      </c>
      <c r="G5800" s="1" t="str">
        <f t="shared" si="2"/>
        <v>Ivana P.</v>
      </c>
      <c r="H5800" s="9">
        <f>IFERROR(__xludf.DUMMYFUNCTION("""COMPUTED_VALUE"""),45040.708333333336)</f>
        <v>45040.70833</v>
      </c>
      <c r="I5800" s="1" t="str">
        <f>IFERROR(__xludf.DUMMYFUNCTION("""COMPUTED_VALUE"""),"Recibido en Laboratorio")</f>
        <v>Recibido en Laboratorio</v>
      </c>
      <c r="J5800" s="1">
        <f t="shared" si="3"/>
        <v>2</v>
      </c>
      <c r="K5800" s="1" t="str">
        <f t="shared" si="4"/>
        <v>Nuestro Laboratorio esta trabajando en tus lentes, los entregaremos en la fecha acordada.</v>
      </c>
    </row>
    <row r="5801" hidden="1">
      <c r="A5801" s="1">
        <f>IFERROR(__xludf.DUMMYFUNCTION("""COMPUTED_VALUE"""),90367.0)</f>
        <v>90367</v>
      </c>
      <c r="B5801" s="5">
        <f>IFERROR(__xludf.DUMMYFUNCTION("""COMPUTED_VALUE"""),45036.45860421297)</f>
        <v>45036.4586</v>
      </c>
      <c r="C5801" s="1" t="str">
        <f>IFERROR(__xludf.DUMMYFUNCTION("""COMPUTED_VALUE"""),"FARIAS ALBORNOZ MARCELA MARISOL")</f>
        <v>FARIAS ALBORNOZ MARCELA MARISOL</v>
      </c>
      <c r="D5801" s="1" t="str">
        <f>IFERROR(__xludf.DUMMYFUNCTION("""COMPUTED_VALUE"""),"Reparaciones/Otros")</f>
        <v>Reparaciones/Otros</v>
      </c>
      <c r="E5801" s="1" t="str">
        <f>IFERROR(__xludf.DUMMYFUNCTION("""COMPUTED_VALUE"""),"RIVADAVIA Santiago LOPEZ")</f>
        <v>RIVADAVIA Santiago LOPEZ</v>
      </c>
      <c r="F5801" s="1" t="str">
        <f t="shared" si="1"/>
        <v>RIVADAVIA </v>
      </c>
      <c r="G5801" s="1" t="str">
        <f t="shared" si="2"/>
        <v>Santiago LOPEZ</v>
      </c>
      <c r="H5801" s="9">
        <f>IFERROR(__xludf.DUMMYFUNCTION("""COMPUTED_VALUE"""),45037.708333333336)</f>
        <v>45037.70833</v>
      </c>
      <c r="I5801" s="1"/>
      <c r="J5801" s="1">
        <f t="shared" si="3"/>
        <v>0</v>
      </c>
      <c r="K5801" s="1" t="str">
        <f t="shared" si="4"/>
        <v/>
      </c>
    </row>
    <row r="5802" hidden="1">
      <c r="A5802" s="1">
        <f>IFERROR(__xludf.DUMMYFUNCTION("""COMPUTED_VALUE"""),90368.0)</f>
        <v>90368</v>
      </c>
      <c r="B5802" s="5">
        <f>IFERROR(__xludf.DUMMYFUNCTION("""COMPUTED_VALUE"""),45036.46027991898)</f>
        <v>45036.46028</v>
      </c>
      <c r="C5802" s="1" t="str">
        <f>IFERROR(__xludf.DUMMYFUNCTION("""COMPUTED_VALUE"""),"UFANO ELISABETH")</f>
        <v>UFANO ELISABETH</v>
      </c>
      <c r="D5802" s="1" t="str">
        <f>IFERROR(__xludf.DUMMYFUNCTION("""COMPUTED_VALUE"""),"Lentes de STOCK")</f>
        <v>Lentes de STOCK</v>
      </c>
      <c r="E5802" s="1" t="str">
        <f>IFERROR(__xludf.DUMMYFUNCTION("""COMPUTED_VALUE"""),"RIVADAVIA Christian C.")</f>
        <v>RIVADAVIA Christian C.</v>
      </c>
      <c r="F5802" s="1" t="str">
        <f t="shared" si="1"/>
        <v>RIVADAVIA </v>
      </c>
      <c r="G5802" s="1" t="str">
        <f t="shared" si="2"/>
        <v>Christian C.</v>
      </c>
      <c r="H5802" s="9">
        <f>IFERROR(__xludf.DUMMYFUNCTION("""COMPUTED_VALUE"""),45044.708333333336)</f>
        <v>45044.70833</v>
      </c>
      <c r="I5802" s="1" t="str">
        <f>IFERROR(__xludf.DUMMYFUNCTION("""COMPUTED_VALUE"""),"Recibido en Laboratorio")</f>
        <v>Recibido en Laboratorio</v>
      </c>
      <c r="J5802" s="1">
        <f t="shared" si="3"/>
        <v>2</v>
      </c>
      <c r="K5802" s="1" t="str">
        <f t="shared" si="4"/>
        <v>Nuestro Laboratorio esta trabajando en tus lentes, los entregaremos en la fecha acordada.</v>
      </c>
    </row>
    <row r="5803" hidden="1">
      <c r="A5803" s="1">
        <f>IFERROR(__xludf.DUMMYFUNCTION("""COMPUTED_VALUE"""),90369.0)</f>
        <v>90369</v>
      </c>
      <c r="B5803" s="5">
        <f>IFERROR(__xludf.DUMMYFUNCTION("""COMPUTED_VALUE"""),45036.46395822917)</f>
        <v>45036.46396</v>
      </c>
      <c r="C5803" s="1" t="str">
        <f>IFERROR(__xludf.DUMMYFUNCTION("""COMPUTED_VALUE"""),"MARTINEZ MARIANA")</f>
        <v>MARTINEZ MARIANA</v>
      </c>
      <c r="D5803" s="1" t="str">
        <f>IFERROR(__xludf.DUMMYFUNCTION("""COMPUTED_VALUE"""),"Lentes de STOCK")</f>
        <v>Lentes de STOCK</v>
      </c>
      <c r="E5803" s="1" t="str">
        <f>IFERROR(__xludf.DUMMYFUNCTION("""COMPUTED_VALUE"""),"ARTIGAS Roció")</f>
        <v>ARTIGAS Roció</v>
      </c>
      <c r="F5803" s="1" t="str">
        <f t="shared" si="1"/>
        <v>ARTIGAS </v>
      </c>
      <c r="G5803" s="1" t="str">
        <f t="shared" si="2"/>
        <v>Roció</v>
      </c>
      <c r="H5803" s="9">
        <f>IFERROR(__xludf.DUMMYFUNCTION("""COMPUTED_VALUE"""),45044.708333333336)</f>
        <v>45044.70833</v>
      </c>
      <c r="I5803" s="1" t="str">
        <f>IFERROR(__xludf.DUMMYFUNCTION("""COMPUTED_VALUE"""),"Recibido en Laboratorio")</f>
        <v>Recibido en Laboratorio</v>
      </c>
      <c r="J5803" s="1">
        <f t="shared" si="3"/>
        <v>2</v>
      </c>
      <c r="K5803" s="1" t="str">
        <f t="shared" si="4"/>
        <v>Nuestro Laboratorio esta trabajando en tus lentes, los entregaremos en la fecha acordada.</v>
      </c>
    </row>
    <row r="5804" hidden="1">
      <c r="A5804" s="1">
        <f>IFERROR(__xludf.DUMMYFUNCTION("""COMPUTED_VALUE"""),90370.0)</f>
        <v>90370</v>
      </c>
      <c r="B5804" s="5">
        <f>IFERROR(__xludf.DUMMYFUNCTION("""COMPUTED_VALUE"""),45036.46424913194)</f>
        <v>45036.46425</v>
      </c>
      <c r="C5804" s="1" t="str">
        <f>IFERROR(__xludf.DUMMYFUNCTION("""COMPUTED_VALUE"""),"MARTIN ILEANA")</f>
        <v>MARTIN ILEANA</v>
      </c>
      <c r="D5804" s="1" t="str">
        <f>IFERROR(__xludf.DUMMYFUNCTION("""COMPUTED_VALUE"""),"Lentes de STOCK")</f>
        <v>Lentes de STOCK</v>
      </c>
      <c r="E5804" s="1" t="str">
        <f>IFERROR(__xludf.DUMMYFUNCTION("""COMPUTED_VALUE"""),"RIVADAVIA Luciana")</f>
        <v>RIVADAVIA Luciana</v>
      </c>
      <c r="F5804" s="1" t="str">
        <f t="shared" si="1"/>
        <v>RIVADAVIA </v>
      </c>
      <c r="G5804" s="1" t="str">
        <f t="shared" si="2"/>
        <v>Luciana</v>
      </c>
      <c r="H5804" s="9">
        <f>IFERROR(__xludf.DUMMYFUNCTION("""COMPUTED_VALUE"""),45043.708333333336)</f>
        <v>45043.70833</v>
      </c>
      <c r="I5804" s="1" t="str">
        <f>IFERROR(__xludf.DUMMYFUNCTION("""COMPUTED_VALUE"""),"Recibido en Laboratorio")</f>
        <v>Recibido en Laboratorio</v>
      </c>
      <c r="J5804" s="1">
        <f t="shared" si="3"/>
        <v>2</v>
      </c>
      <c r="K5804" s="1" t="str">
        <f t="shared" si="4"/>
        <v>Nuestro Laboratorio esta trabajando en tus lentes, los entregaremos en la fecha acordada.</v>
      </c>
    </row>
    <row r="5805" hidden="1">
      <c r="A5805" s="1">
        <f>IFERROR(__xludf.DUMMYFUNCTION("""COMPUTED_VALUE"""),90371.0)</f>
        <v>90371</v>
      </c>
      <c r="B5805" s="5">
        <f>IFERROR(__xludf.DUMMYFUNCTION("""COMPUTED_VALUE"""),45036.47183928241)</f>
        <v>45036.47184</v>
      </c>
      <c r="C5805" s="1" t="str">
        <f>IFERROR(__xludf.DUMMYFUNCTION("""COMPUTED_VALUE"""),"LARA FERRERO ALEJANDRO")</f>
        <v>LARA FERRERO ALEJANDRO</v>
      </c>
      <c r="D5805" s="1" t="str">
        <f>IFERROR(__xludf.DUMMYFUNCTION("""COMPUTED_VALUE"""),"Lentes de STOCK")</f>
        <v>Lentes de STOCK</v>
      </c>
      <c r="E5805" s="1" t="str">
        <f>IFERROR(__xludf.DUMMYFUNCTION("""COMPUTED_VALUE"""),"ARTIGAS Ivana P.")</f>
        <v>ARTIGAS Ivana P.</v>
      </c>
      <c r="F5805" s="1" t="str">
        <f t="shared" si="1"/>
        <v>ARTIGAS </v>
      </c>
      <c r="G5805" s="1" t="str">
        <f t="shared" si="2"/>
        <v>Ivana P.</v>
      </c>
      <c r="H5805" s="9">
        <f>IFERROR(__xludf.DUMMYFUNCTION("""COMPUTED_VALUE"""),45043.708333333336)</f>
        <v>45043.70833</v>
      </c>
      <c r="I5805" s="1"/>
      <c r="J5805" s="1">
        <f t="shared" si="3"/>
        <v>0</v>
      </c>
      <c r="K5805" s="1" t="str">
        <f t="shared" si="4"/>
        <v/>
      </c>
    </row>
    <row r="5806" hidden="1">
      <c r="A5806" s="1">
        <f>IFERROR(__xludf.DUMMYFUNCTION("""COMPUTED_VALUE"""),90372.0)</f>
        <v>90372</v>
      </c>
      <c r="B5806" s="5">
        <f>IFERROR(__xludf.DUMMYFUNCTION("""COMPUTED_VALUE"""),45036.47371358796)</f>
        <v>45036.47371</v>
      </c>
      <c r="C5806" s="1" t="str">
        <f>IFERROR(__xludf.DUMMYFUNCTION("""COMPUTED_VALUE"""),"MOREIRA SOFIA MARIA AGOSTINA")</f>
        <v>MOREIRA SOFIA MARIA AGOSTINA</v>
      </c>
      <c r="D5806" s="1" t="str">
        <f>IFERROR(__xludf.DUMMYFUNCTION("""COMPUTED_VALUE"""),"Lentes de STOCK")</f>
        <v>Lentes de STOCK</v>
      </c>
      <c r="E5806" s="1" t="str">
        <f>IFERROR(__xludf.DUMMYFUNCTION("""COMPUTED_VALUE"""),"RIVADAVIA Marcela L")</f>
        <v>RIVADAVIA Marcela L</v>
      </c>
      <c r="F5806" s="1" t="str">
        <f t="shared" si="1"/>
        <v>RIVADAVIA </v>
      </c>
      <c r="G5806" s="1" t="str">
        <f t="shared" si="2"/>
        <v>Marcela L</v>
      </c>
      <c r="H5806" s="9">
        <f>IFERROR(__xludf.DUMMYFUNCTION("""COMPUTED_VALUE"""),45040.708333333336)</f>
        <v>45040.70833</v>
      </c>
      <c r="I5806" s="1" t="str">
        <f>IFERROR(__xludf.DUMMYFUNCTION("""COMPUTED_VALUE"""),"Recibido en Laboratorio")</f>
        <v>Recibido en Laboratorio</v>
      </c>
      <c r="J5806" s="1">
        <f t="shared" si="3"/>
        <v>2</v>
      </c>
      <c r="K5806" s="1" t="str">
        <f t="shared" si="4"/>
        <v>Nuestro Laboratorio esta trabajando en tus lentes, los entregaremos en la fecha acordada.</v>
      </c>
    </row>
    <row r="5807" hidden="1">
      <c r="A5807" s="1">
        <f>IFERROR(__xludf.DUMMYFUNCTION("""COMPUTED_VALUE"""),90373.0)</f>
        <v>90373</v>
      </c>
      <c r="B5807" s="5">
        <f>IFERROR(__xludf.DUMMYFUNCTION("""COMPUTED_VALUE"""),45036.47402146991)</f>
        <v>45036.47402</v>
      </c>
      <c r="C5807" s="1" t="str">
        <f>IFERROR(__xludf.DUMMYFUNCTION("""COMPUTED_VALUE"""),"VARGAS NELLY")</f>
        <v>VARGAS NELLY</v>
      </c>
      <c r="D5807" s="1" t="str">
        <f>IFERROR(__xludf.DUMMYFUNCTION("""COMPUTED_VALUE"""),"Reparaciones/Otros")</f>
        <v>Reparaciones/Otros</v>
      </c>
      <c r="E5807" s="1" t="str">
        <f>IFERROR(__xludf.DUMMYFUNCTION("""COMPUTED_VALUE"""),"RIVADAVIA Luciana")</f>
        <v>RIVADAVIA Luciana</v>
      </c>
      <c r="F5807" s="1" t="str">
        <f t="shared" si="1"/>
        <v>RIVADAVIA </v>
      </c>
      <c r="G5807" s="1" t="str">
        <f t="shared" si="2"/>
        <v>Luciana</v>
      </c>
      <c r="H5807" s="9">
        <f>IFERROR(__xludf.DUMMYFUNCTION("""COMPUTED_VALUE"""),45038.5)</f>
        <v>45038.5</v>
      </c>
      <c r="I5807" s="1"/>
      <c r="J5807" s="1">
        <f t="shared" si="3"/>
        <v>0</v>
      </c>
      <c r="K5807" s="1" t="str">
        <f t="shared" si="4"/>
        <v/>
      </c>
    </row>
    <row r="5808" hidden="1">
      <c r="A5808" s="1">
        <f>IFERROR(__xludf.DUMMYFUNCTION("""COMPUTED_VALUE"""),90374.0)</f>
        <v>90374</v>
      </c>
      <c r="B5808" s="5">
        <f>IFERROR(__xludf.DUMMYFUNCTION("""COMPUTED_VALUE"""),45036.47497039352)</f>
        <v>45036.47497</v>
      </c>
      <c r="C5808" s="1" t="str">
        <f>IFERROR(__xludf.DUMMYFUNCTION("""COMPUTED_VALUE"""),"ibañez claudia")</f>
        <v>ibañez claudia</v>
      </c>
      <c r="D5808" s="1" t="str">
        <f>IFERROR(__xludf.DUMMYFUNCTION("""COMPUTED_VALUE"""),"Reparaciones/Otros")</f>
        <v>Reparaciones/Otros</v>
      </c>
      <c r="E5808" s="1" t="str">
        <f>IFERROR(__xludf.DUMMYFUNCTION("""COMPUTED_VALUE"""),"RIVADAVIA Daniel CM")</f>
        <v>RIVADAVIA Daniel CM</v>
      </c>
      <c r="F5808" s="1" t="str">
        <f t="shared" si="1"/>
        <v>RIVADAVIA </v>
      </c>
      <c r="G5808" s="1" t="str">
        <f t="shared" si="2"/>
        <v>Daniel CM</v>
      </c>
      <c r="H5808" s="9">
        <f>IFERROR(__xludf.DUMMYFUNCTION("""COMPUTED_VALUE"""),45040.708333333336)</f>
        <v>45040.70833</v>
      </c>
      <c r="I5808" s="1" t="str">
        <f>IFERROR(__xludf.DUMMYFUNCTION("""COMPUTED_VALUE"""),"Recibido en Laboratorio")</f>
        <v>Recibido en Laboratorio</v>
      </c>
      <c r="J5808" s="1">
        <f t="shared" si="3"/>
        <v>2</v>
      </c>
      <c r="K5808" s="1" t="str">
        <f t="shared" si="4"/>
        <v>Nuestro Laboratorio esta trabajando en tus lentes, los entregaremos en la fecha acordada.</v>
      </c>
    </row>
    <row r="5809" hidden="1">
      <c r="A5809" s="1">
        <f>IFERROR(__xludf.DUMMYFUNCTION("""COMPUTED_VALUE"""),90375.0)</f>
        <v>90375</v>
      </c>
      <c r="B5809" s="5">
        <f>IFERROR(__xludf.DUMMYFUNCTION("""COMPUTED_VALUE"""),45036.47950119213)</f>
        <v>45036.4795</v>
      </c>
      <c r="C5809" s="1" t="str">
        <f>IFERROR(__xludf.DUMMYFUNCTION("""COMPUTED_VALUE"""),"IBACETA IVANA")</f>
        <v>IBACETA IVANA</v>
      </c>
      <c r="D5809" s="1" t="str">
        <f>IFERROR(__xludf.DUMMYFUNCTION("""COMPUTED_VALUE"""),"Reparaciones/Otros")</f>
        <v>Reparaciones/Otros</v>
      </c>
      <c r="E5809" s="1" t="str">
        <f>IFERROR(__xludf.DUMMYFUNCTION("""COMPUTED_VALUE"""),"RIVADAVIA Marcela L")</f>
        <v>RIVADAVIA Marcela L</v>
      </c>
      <c r="F5809" s="1" t="str">
        <f t="shared" si="1"/>
        <v>RIVADAVIA </v>
      </c>
      <c r="G5809" s="1" t="str">
        <f t="shared" si="2"/>
        <v>Marcela L</v>
      </c>
      <c r="H5809" s="9">
        <f>IFERROR(__xludf.DUMMYFUNCTION("""COMPUTED_VALUE"""),45037.708333333336)</f>
        <v>45037.70833</v>
      </c>
      <c r="I5809" s="1" t="str">
        <f>IFERROR(__xludf.DUMMYFUNCTION("""COMPUTED_VALUE"""),"Recibido en Laboratorio")</f>
        <v>Recibido en Laboratorio</v>
      </c>
      <c r="J5809" s="1">
        <f t="shared" si="3"/>
        <v>2</v>
      </c>
      <c r="K5809" s="1" t="str">
        <f t="shared" si="4"/>
        <v>Nuestro Laboratorio esta trabajando en tus lentes, los entregaremos en la fecha acordada.</v>
      </c>
    </row>
    <row r="5810" hidden="1">
      <c r="A5810" s="1">
        <f>IFERROR(__xludf.DUMMYFUNCTION("""COMPUTED_VALUE"""),90376.0)</f>
        <v>90376</v>
      </c>
      <c r="B5810" s="5">
        <f>IFERROR(__xludf.DUMMYFUNCTION("""COMPUTED_VALUE"""),45036.482693750004)</f>
        <v>45036.48269</v>
      </c>
      <c r="C5810" s="1" t="str">
        <f>IFERROR(__xludf.DUMMYFUNCTION("""COMPUTED_VALUE"""),"OLGUIN ADRANA")</f>
        <v>OLGUIN ADRANA</v>
      </c>
      <c r="D5810" s="1" t="str">
        <f>IFERROR(__xludf.DUMMYFUNCTION("""COMPUTED_VALUE"""),"Reparaciones/Otros")</f>
        <v>Reparaciones/Otros</v>
      </c>
      <c r="E5810" s="1" t="str">
        <f>IFERROR(__xludf.DUMMYFUNCTION("""COMPUTED_VALUE"""),"RIVADAVIA Marcela L")</f>
        <v>RIVADAVIA Marcela L</v>
      </c>
      <c r="F5810" s="1" t="str">
        <f t="shared" si="1"/>
        <v>RIVADAVIA </v>
      </c>
      <c r="G5810" s="1" t="str">
        <f t="shared" si="2"/>
        <v>Marcela L</v>
      </c>
      <c r="H5810" s="9">
        <f>IFERROR(__xludf.DUMMYFUNCTION("""COMPUTED_VALUE"""),45037.708333333336)</f>
        <v>45037.70833</v>
      </c>
      <c r="I5810" s="1" t="str">
        <f>IFERROR(__xludf.DUMMYFUNCTION("""COMPUTED_VALUE"""),"Recibido en Laboratorio")</f>
        <v>Recibido en Laboratorio</v>
      </c>
      <c r="J5810" s="1">
        <f t="shared" si="3"/>
        <v>2</v>
      </c>
      <c r="K5810" s="1" t="str">
        <f t="shared" si="4"/>
        <v>Nuestro Laboratorio esta trabajando en tus lentes, los entregaremos en la fecha acordada.</v>
      </c>
    </row>
    <row r="5811" hidden="1">
      <c r="A5811" s="1">
        <f>IFERROR(__xludf.DUMMYFUNCTION("""COMPUTED_VALUE"""),90377.0)</f>
        <v>90377</v>
      </c>
      <c r="B5811" s="5">
        <f>IFERROR(__xludf.DUMMYFUNCTION("""COMPUTED_VALUE"""),45036.491641307875)</f>
        <v>45036.49164</v>
      </c>
      <c r="C5811" s="1" t="str">
        <f>IFERROR(__xludf.DUMMYFUNCTION("""COMPUTED_VALUE"""),"ELVIRA ELISA SCHEIERMANN")</f>
        <v>ELVIRA ELISA SCHEIERMANN</v>
      </c>
      <c r="D5811" s="1" t="str">
        <f>IFERROR(__xludf.DUMMYFUNCTION("""COMPUTED_VALUE"""),"Lentes de STOCK")</f>
        <v>Lentes de STOCK</v>
      </c>
      <c r="E5811" s="1" t="str">
        <f>IFERROR(__xludf.DUMMYFUNCTION("""COMPUTED_VALUE"""),"RIVADAVIA Santiago LOPEZ")</f>
        <v>RIVADAVIA Santiago LOPEZ</v>
      </c>
      <c r="F5811" s="1" t="str">
        <f t="shared" si="1"/>
        <v>RIVADAVIA </v>
      </c>
      <c r="G5811" s="1" t="str">
        <f t="shared" si="2"/>
        <v>Santiago LOPEZ</v>
      </c>
      <c r="H5811" s="9">
        <f>IFERROR(__xludf.DUMMYFUNCTION("""COMPUTED_VALUE"""),45040.708333333336)</f>
        <v>45040.70833</v>
      </c>
      <c r="I5811" s="1"/>
      <c r="J5811" s="1">
        <f t="shared" si="3"/>
        <v>0</v>
      </c>
      <c r="K5811" s="1" t="str">
        <f t="shared" si="4"/>
        <v/>
      </c>
    </row>
    <row r="5812" hidden="1">
      <c r="A5812" s="1">
        <f>IFERROR(__xludf.DUMMYFUNCTION("""COMPUTED_VALUE"""),90378.0)</f>
        <v>90378</v>
      </c>
      <c r="B5812" s="5">
        <f>IFERROR(__xludf.DUMMYFUNCTION("""COMPUTED_VALUE"""),45036.5019870949)</f>
        <v>45036.50199</v>
      </c>
      <c r="C5812" s="1" t="str">
        <f>IFERROR(__xludf.DUMMYFUNCTION("""COMPUTED_VALUE"""),"PONCE MARIA ESTHER")</f>
        <v>PONCE MARIA ESTHER</v>
      </c>
      <c r="D5812" s="1" t="str">
        <f>IFERROR(__xludf.DUMMYFUNCTION("""COMPUTED_VALUE"""),"Reparaciones/Otros")</f>
        <v>Reparaciones/Otros</v>
      </c>
      <c r="E5812" s="1" t="str">
        <f>IFERROR(__xludf.DUMMYFUNCTION("""COMPUTED_VALUE"""),"ARTIGAS Roció")</f>
        <v>ARTIGAS Roció</v>
      </c>
      <c r="F5812" s="1" t="str">
        <f t="shared" si="1"/>
        <v>ARTIGAS </v>
      </c>
      <c r="G5812" s="1" t="str">
        <f t="shared" si="2"/>
        <v>Roció</v>
      </c>
      <c r="H5812" s="9">
        <f>IFERROR(__xludf.DUMMYFUNCTION("""COMPUTED_VALUE"""),45037.708333333336)</f>
        <v>45037.70833</v>
      </c>
      <c r="I5812" s="1"/>
      <c r="J5812" s="1">
        <f t="shared" si="3"/>
        <v>0</v>
      </c>
      <c r="K5812" s="1" t="str">
        <f t="shared" si="4"/>
        <v/>
      </c>
    </row>
    <row r="5813" hidden="1">
      <c r="A5813" s="1">
        <f>IFERROR(__xludf.DUMMYFUNCTION("""COMPUTED_VALUE"""),90379.0)</f>
        <v>90379</v>
      </c>
      <c r="B5813" s="5">
        <f>IFERROR(__xludf.DUMMYFUNCTION("""COMPUTED_VALUE"""),45036.50289841435)</f>
        <v>45036.5029</v>
      </c>
      <c r="C5813" s="1" t="str">
        <f>IFERROR(__xludf.DUMMYFUNCTION("""COMPUTED_VALUE"""),"MARTINEZ GONZALO JAVIER")</f>
        <v>MARTINEZ GONZALO JAVIER</v>
      </c>
      <c r="D5813" s="1" t="str">
        <f>IFERROR(__xludf.DUMMYFUNCTION("""COMPUTED_VALUE"""),"Lentes de STOCK")</f>
        <v>Lentes de STOCK</v>
      </c>
      <c r="E5813" s="1" t="str">
        <f>IFERROR(__xludf.DUMMYFUNCTION("""COMPUTED_VALUE"""),"RIVADAVIA Marcela L")</f>
        <v>RIVADAVIA Marcela L</v>
      </c>
      <c r="F5813" s="1" t="str">
        <f t="shared" si="1"/>
        <v>RIVADAVIA </v>
      </c>
      <c r="G5813" s="1" t="str">
        <f t="shared" si="2"/>
        <v>Marcela L</v>
      </c>
      <c r="H5813" s="9">
        <f>IFERROR(__xludf.DUMMYFUNCTION("""COMPUTED_VALUE"""),45041.708333333336)</f>
        <v>45041.70833</v>
      </c>
      <c r="I5813" s="1" t="str">
        <f>IFERROR(__xludf.DUMMYFUNCTION("""COMPUTED_VALUE"""),"Recibido en Laboratorio")</f>
        <v>Recibido en Laboratorio</v>
      </c>
      <c r="J5813" s="1">
        <f t="shared" si="3"/>
        <v>2</v>
      </c>
      <c r="K5813" s="1" t="str">
        <f t="shared" si="4"/>
        <v>Nuestro Laboratorio esta trabajando en tus lentes, los entregaremos en la fecha acordada.</v>
      </c>
    </row>
    <row r="5814" hidden="1">
      <c r="A5814" s="1">
        <f>IFERROR(__xludf.DUMMYFUNCTION("""COMPUTED_VALUE"""),90380.0)</f>
        <v>90380</v>
      </c>
      <c r="B5814" s="5">
        <f>IFERROR(__xludf.DUMMYFUNCTION("""COMPUTED_VALUE"""),45036.506232581014)</f>
        <v>45036.50623</v>
      </c>
      <c r="C5814" s="1" t="str">
        <f>IFERROR(__xludf.DUMMYFUNCTION("""COMPUTED_VALUE"""),"SALVARREDI ADRIAN")</f>
        <v>SALVARREDI ADRIAN</v>
      </c>
      <c r="D5814" s="1" t="str">
        <f>IFERROR(__xludf.DUMMYFUNCTION("""COMPUTED_VALUE"""),"Lentes de STOCK")</f>
        <v>Lentes de STOCK</v>
      </c>
      <c r="E5814" s="1" t="str">
        <f>IFERROR(__xludf.DUMMYFUNCTION("""COMPUTED_VALUE"""),"RIVADAVIA Christian C.")</f>
        <v>RIVADAVIA Christian C.</v>
      </c>
      <c r="F5814" s="1" t="str">
        <f t="shared" si="1"/>
        <v>RIVADAVIA </v>
      </c>
      <c r="G5814" s="1" t="str">
        <f t="shared" si="2"/>
        <v>Christian C.</v>
      </c>
      <c r="H5814" s="9">
        <f>IFERROR(__xludf.DUMMYFUNCTION("""COMPUTED_VALUE"""),45044.708333333336)</f>
        <v>45044.70833</v>
      </c>
      <c r="I5814" s="1" t="str">
        <f>IFERROR(__xludf.DUMMYFUNCTION("""COMPUTED_VALUE"""),"Recibido en Laboratorio")</f>
        <v>Recibido en Laboratorio</v>
      </c>
      <c r="J5814" s="1">
        <f t="shared" si="3"/>
        <v>2</v>
      </c>
      <c r="K5814" s="1" t="str">
        <f t="shared" si="4"/>
        <v>Nuestro Laboratorio esta trabajando en tus lentes, los entregaremos en la fecha acordada.</v>
      </c>
    </row>
    <row r="5815" hidden="1">
      <c r="A5815" s="1">
        <f>IFERROR(__xludf.DUMMYFUNCTION("""COMPUTED_VALUE"""),90381.0)</f>
        <v>90381</v>
      </c>
      <c r="B5815" s="5">
        <f>IFERROR(__xludf.DUMMYFUNCTION("""COMPUTED_VALUE"""),45036.510741631944)</f>
        <v>45036.51074</v>
      </c>
      <c r="C5815" s="1" t="str">
        <f>IFERROR(__xludf.DUMMYFUNCTION("""COMPUTED_VALUE"""),"BREY LUIS")</f>
        <v>BREY LUIS</v>
      </c>
      <c r="D5815" s="1" t="str">
        <f>IFERROR(__xludf.DUMMYFUNCTION("""COMPUTED_VALUE"""),"Lentes de STOCK")</f>
        <v>Lentes de STOCK</v>
      </c>
      <c r="E5815" s="1" t="str">
        <f>IFERROR(__xludf.DUMMYFUNCTION("""COMPUTED_VALUE"""),"ARTIGAS Ivana P.")</f>
        <v>ARTIGAS Ivana P.</v>
      </c>
      <c r="F5815" s="1" t="str">
        <f t="shared" si="1"/>
        <v>ARTIGAS </v>
      </c>
      <c r="G5815" s="1" t="str">
        <f t="shared" si="2"/>
        <v>Ivana P.</v>
      </c>
      <c r="H5815" s="9">
        <f>IFERROR(__xludf.DUMMYFUNCTION("""COMPUTED_VALUE"""),45040.708333333336)</f>
        <v>45040.70833</v>
      </c>
      <c r="I5815" s="1" t="str">
        <f>IFERROR(__xludf.DUMMYFUNCTION("""COMPUTED_VALUE"""),"Recibido en Laboratorio")</f>
        <v>Recibido en Laboratorio</v>
      </c>
      <c r="J5815" s="1">
        <f t="shared" si="3"/>
        <v>2</v>
      </c>
      <c r="K5815" s="1" t="str">
        <f t="shared" si="4"/>
        <v>Nuestro Laboratorio esta trabajando en tus lentes, los entregaremos en la fecha acordada.</v>
      </c>
    </row>
    <row r="5816" hidden="1">
      <c r="A5816" s="1">
        <f>IFERROR(__xludf.DUMMYFUNCTION("""COMPUTED_VALUE"""),90382.0)</f>
        <v>90382</v>
      </c>
      <c r="B5816" s="5">
        <f>IFERROR(__xludf.DUMMYFUNCTION("""COMPUTED_VALUE"""),45036.52016907407)</f>
        <v>45036.52017</v>
      </c>
      <c r="C5816" s="1" t="str">
        <f>IFERROR(__xludf.DUMMYFUNCTION("""COMPUTED_VALUE"""),"ALVAREZ NAZARENA")</f>
        <v>ALVAREZ NAZARENA</v>
      </c>
      <c r="D5816" s="1" t="str">
        <f>IFERROR(__xludf.DUMMYFUNCTION("""COMPUTED_VALUE"""),"Lentes de STOCK")</f>
        <v>Lentes de STOCK</v>
      </c>
      <c r="E5816" s="1" t="str">
        <f>IFERROR(__xludf.DUMMYFUNCTION("""COMPUTED_VALUE"""),"RIVADAVIA Luciana")</f>
        <v>RIVADAVIA Luciana</v>
      </c>
      <c r="F5816" s="1" t="str">
        <f t="shared" si="1"/>
        <v>RIVADAVIA </v>
      </c>
      <c r="G5816" s="1" t="str">
        <f t="shared" si="2"/>
        <v>Luciana</v>
      </c>
      <c r="H5816" s="9">
        <f>IFERROR(__xludf.DUMMYFUNCTION("""COMPUTED_VALUE"""),45042.708333333336)</f>
        <v>45042.70833</v>
      </c>
      <c r="I5816" s="1"/>
      <c r="J5816" s="1">
        <f t="shared" si="3"/>
        <v>0</v>
      </c>
      <c r="K5816" s="1" t="str">
        <f t="shared" si="4"/>
        <v/>
      </c>
    </row>
    <row r="5817" hidden="1">
      <c r="A5817" s="1">
        <f>IFERROR(__xludf.DUMMYFUNCTION("""COMPUTED_VALUE"""),90383.0)</f>
        <v>90383</v>
      </c>
      <c r="B5817" s="5">
        <f>IFERROR(__xludf.DUMMYFUNCTION("""COMPUTED_VALUE"""),45036.54016259259)</f>
        <v>45036.54016</v>
      </c>
      <c r="C5817" s="1" t="str">
        <f>IFERROR(__xludf.DUMMYFUNCTION("""COMPUTED_VALUE"""),"RIVERO ARIEL ")</f>
        <v>RIVERO ARIEL </v>
      </c>
      <c r="D5817" s="1" t="str">
        <f>IFERROR(__xludf.DUMMYFUNCTION("""COMPUTED_VALUE"""),"Lentes de STOCK")</f>
        <v>Lentes de STOCK</v>
      </c>
      <c r="E5817" s="1" t="str">
        <f>IFERROR(__xludf.DUMMYFUNCTION("""COMPUTED_VALUE"""),"RIVADAVIA Luciana")</f>
        <v>RIVADAVIA Luciana</v>
      </c>
      <c r="F5817" s="1" t="str">
        <f t="shared" si="1"/>
        <v>RIVADAVIA </v>
      </c>
      <c r="G5817" s="1" t="str">
        <f t="shared" si="2"/>
        <v>Luciana</v>
      </c>
      <c r="H5817" s="9">
        <f>IFERROR(__xludf.DUMMYFUNCTION("""COMPUTED_VALUE"""),45042.708333333336)</f>
        <v>45042.70833</v>
      </c>
      <c r="I5817" s="1"/>
      <c r="J5817" s="1">
        <f t="shared" si="3"/>
        <v>0</v>
      </c>
      <c r="K5817" s="1" t="str">
        <f t="shared" si="4"/>
        <v/>
      </c>
    </row>
    <row r="5818" hidden="1">
      <c r="A5818" s="1">
        <f>IFERROR(__xludf.DUMMYFUNCTION("""COMPUTED_VALUE"""),90384.0)</f>
        <v>90384</v>
      </c>
      <c r="B5818" s="5">
        <f>IFERROR(__xludf.DUMMYFUNCTION("""COMPUTED_VALUE"""),45036.54341989583)</f>
        <v>45036.54342</v>
      </c>
      <c r="C5818" s="1" t="str">
        <f>IFERROR(__xludf.DUMMYFUNCTION("""COMPUTED_VALUE"""),"godoy kamil antonela")</f>
        <v>godoy kamil antonela</v>
      </c>
      <c r="D5818" s="1" t="str">
        <f>IFERROR(__xludf.DUMMYFUNCTION("""COMPUTED_VALUE"""),"Lentes de STOCK")</f>
        <v>Lentes de STOCK</v>
      </c>
      <c r="E5818" s="1" t="str">
        <f>IFERROR(__xludf.DUMMYFUNCTION("""COMPUTED_VALUE"""),"RIVADAVIA Daniel CM")</f>
        <v>RIVADAVIA Daniel CM</v>
      </c>
      <c r="F5818" s="1" t="str">
        <f t="shared" si="1"/>
        <v>RIVADAVIA </v>
      </c>
      <c r="G5818" s="1" t="str">
        <f t="shared" si="2"/>
        <v>Daniel CM</v>
      </c>
      <c r="H5818" s="9">
        <f>IFERROR(__xludf.DUMMYFUNCTION("""COMPUTED_VALUE"""),45040.708333333336)</f>
        <v>45040.70833</v>
      </c>
      <c r="I5818" s="1" t="str">
        <f>IFERROR(__xludf.DUMMYFUNCTION("""COMPUTED_VALUE"""),"Recibido en Laboratorio")</f>
        <v>Recibido en Laboratorio</v>
      </c>
      <c r="J5818" s="1">
        <f t="shared" si="3"/>
        <v>2</v>
      </c>
      <c r="K5818" s="1" t="str">
        <f t="shared" si="4"/>
        <v>Nuestro Laboratorio esta trabajando en tus lentes, los entregaremos en la fecha acordada.</v>
      </c>
    </row>
    <row r="5819" hidden="1">
      <c r="A5819" s="1">
        <f>IFERROR(__xludf.DUMMYFUNCTION("""COMPUTED_VALUE"""),90385.0)</f>
        <v>90385</v>
      </c>
      <c r="B5819" s="5">
        <f>IFERROR(__xludf.DUMMYFUNCTION("""COMPUTED_VALUE"""),45036.546765983796)</f>
        <v>45036.54677</v>
      </c>
      <c r="C5819" s="1" t="str">
        <f>IFERROR(__xludf.DUMMYFUNCTION("""COMPUTED_VALUE"""),"LOPEZ MARIA LUISA")</f>
        <v>LOPEZ MARIA LUISA</v>
      </c>
      <c r="D5819" s="1" t="str">
        <f>IFERROR(__xludf.DUMMYFUNCTION("""COMPUTED_VALUE"""),"Lentes de STOCK")</f>
        <v>Lentes de STOCK</v>
      </c>
      <c r="E5819" s="1" t="str">
        <f>IFERROR(__xludf.DUMMYFUNCTION("""COMPUTED_VALUE"""),"RIVADAVIA Santiago LOPEZ")</f>
        <v>RIVADAVIA Santiago LOPEZ</v>
      </c>
      <c r="F5819" s="1" t="str">
        <f t="shared" si="1"/>
        <v>RIVADAVIA </v>
      </c>
      <c r="G5819" s="1" t="str">
        <f t="shared" si="2"/>
        <v>Santiago LOPEZ</v>
      </c>
      <c r="H5819" s="9">
        <f>IFERROR(__xludf.DUMMYFUNCTION("""COMPUTED_VALUE"""),45040.708333333336)</f>
        <v>45040.70833</v>
      </c>
      <c r="I5819" s="1" t="str">
        <f>IFERROR(__xludf.DUMMYFUNCTION("""COMPUTED_VALUE"""),"Recibido en Laboratorio")</f>
        <v>Recibido en Laboratorio</v>
      </c>
      <c r="J5819" s="1">
        <f t="shared" si="3"/>
        <v>2</v>
      </c>
      <c r="K5819" s="1" t="str">
        <f t="shared" si="4"/>
        <v>Nuestro Laboratorio esta trabajando en tus lentes, los entregaremos en la fecha acordada.</v>
      </c>
    </row>
    <row r="5820" hidden="1">
      <c r="A5820" s="1">
        <f>IFERROR(__xludf.DUMMYFUNCTION("""COMPUTED_VALUE"""),90386.0)</f>
        <v>90386</v>
      </c>
      <c r="B5820" s="5">
        <f>IFERROR(__xludf.DUMMYFUNCTION("""COMPUTED_VALUE"""),45036.558314062495)</f>
        <v>45036.55831</v>
      </c>
      <c r="C5820" s="1" t="str">
        <f>IFERROR(__xludf.DUMMYFUNCTION("""COMPUTED_VALUE"""),"RIVERO ARIEL ")</f>
        <v>RIVERO ARIEL </v>
      </c>
      <c r="D5820" s="1" t="str">
        <f>IFERROR(__xludf.DUMMYFUNCTION("""COMPUTED_VALUE"""),"Lentes de STOCK")</f>
        <v>Lentes de STOCK</v>
      </c>
      <c r="E5820" s="1" t="str">
        <f>IFERROR(__xludf.DUMMYFUNCTION("""COMPUTED_VALUE"""),"RIVADAVIA Luciana")</f>
        <v>RIVADAVIA Luciana</v>
      </c>
      <c r="F5820" s="1" t="str">
        <f t="shared" si="1"/>
        <v>RIVADAVIA </v>
      </c>
      <c r="G5820" s="1" t="str">
        <f t="shared" si="2"/>
        <v>Luciana</v>
      </c>
      <c r="H5820" s="9">
        <f>IFERROR(__xludf.DUMMYFUNCTION("""COMPUTED_VALUE"""),45044.708333333336)</f>
        <v>45044.70833</v>
      </c>
      <c r="I5820" s="1"/>
      <c r="J5820" s="1">
        <f t="shared" si="3"/>
        <v>0</v>
      </c>
      <c r="K5820" s="1" t="str">
        <f t="shared" si="4"/>
        <v/>
      </c>
    </row>
    <row r="5821" hidden="1">
      <c r="A5821" s="1">
        <f>IFERROR(__xludf.DUMMYFUNCTION("""COMPUTED_VALUE"""),90387.0)</f>
        <v>90387</v>
      </c>
      <c r="B5821" s="5">
        <f>IFERROR(__xludf.DUMMYFUNCTION("""COMPUTED_VALUE"""),45036.55951747685)</f>
        <v>45036.55952</v>
      </c>
      <c r="C5821" s="1" t="str">
        <f>IFERROR(__xludf.DUMMYFUNCTION("""COMPUTED_VALUE"""),"DOSPITAL CLAUDIA")</f>
        <v>DOSPITAL CLAUDIA</v>
      </c>
      <c r="D5821" s="1" t="str">
        <f>IFERROR(__xludf.DUMMYFUNCTION("""COMPUTED_VALUE"""),"Lentes de STOCK")</f>
        <v>Lentes de STOCK</v>
      </c>
      <c r="E5821" s="1" t="str">
        <f>IFERROR(__xludf.DUMMYFUNCTION("""COMPUTED_VALUE"""),"RIVADAVIA Santiago LOPEZ")</f>
        <v>RIVADAVIA Santiago LOPEZ</v>
      </c>
      <c r="F5821" s="1" t="str">
        <f t="shared" si="1"/>
        <v>RIVADAVIA </v>
      </c>
      <c r="G5821" s="1" t="str">
        <f t="shared" si="2"/>
        <v>Santiago LOPEZ</v>
      </c>
      <c r="H5821" s="9">
        <f>IFERROR(__xludf.DUMMYFUNCTION("""COMPUTED_VALUE"""),45040.708333333336)</f>
        <v>45040.70833</v>
      </c>
      <c r="I5821" s="1" t="str">
        <f>IFERROR(__xludf.DUMMYFUNCTION("""COMPUTED_VALUE"""),"Recibido en Laboratorio")</f>
        <v>Recibido en Laboratorio</v>
      </c>
      <c r="J5821" s="1">
        <f t="shared" si="3"/>
        <v>2</v>
      </c>
      <c r="K5821" s="1" t="str">
        <f t="shared" si="4"/>
        <v>Nuestro Laboratorio esta trabajando en tus lentes, los entregaremos en la fecha acordada.</v>
      </c>
    </row>
    <row r="5822" hidden="1">
      <c r="A5822" s="1">
        <f>IFERROR(__xludf.DUMMYFUNCTION("""COMPUTED_VALUE"""),90388.0)</f>
        <v>90388</v>
      </c>
      <c r="B5822" s="5">
        <f>IFERROR(__xludf.DUMMYFUNCTION("""COMPUTED_VALUE"""),45036.55973083334)</f>
        <v>45036.55973</v>
      </c>
      <c r="C5822" s="1" t="str">
        <f>IFERROR(__xludf.DUMMYFUNCTION("""COMPUTED_VALUE"""),"ROMERO CARLOS")</f>
        <v>ROMERO CARLOS</v>
      </c>
      <c r="D5822" s="1" t="str">
        <f>IFERROR(__xludf.DUMMYFUNCTION("""COMPUTED_VALUE"""),"Lentes de STOCK")</f>
        <v>Lentes de STOCK</v>
      </c>
      <c r="E5822" s="1" t="str">
        <f>IFERROR(__xludf.DUMMYFUNCTION("""COMPUTED_VALUE"""),"ARTIGAS Ivana P.")</f>
        <v>ARTIGAS Ivana P.</v>
      </c>
      <c r="F5822" s="1" t="str">
        <f t="shared" si="1"/>
        <v>ARTIGAS </v>
      </c>
      <c r="G5822" s="1" t="str">
        <f t="shared" si="2"/>
        <v>Ivana P.</v>
      </c>
      <c r="H5822" s="9">
        <f>IFERROR(__xludf.DUMMYFUNCTION("""COMPUTED_VALUE"""),45040.708333333336)</f>
        <v>45040.70833</v>
      </c>
      <c r="I5822" s="1"/>
      <c r="J5822" s="1">
        <f t="shared" si="3"/>
        <v>0</v>
      </c>
      <c r="K5822" s="1" t="str">
        <f t="shared" si="4"/>
        <v/>
      </c>
    </row>
    <row r="5823" hidden="1">
      <c r="A5823" s="1">
        <f>IFERROR(__xludf.DUMMYFUNCTION("""COMPUTED_VALUE"""),90389.0)</f>
        <v>90389</v>
      </c>
      <c r="B5823" s="5">
        <f>IFERROR(__xludf.DUMMYFUNCTION("""COMPUTED_VALUE"""),45036.56016898148)</f>
        <v>45036.56017</v>
      </c>
      <c r="C5823" s="1" t="str">
        <f>IFERROR(__xludf.DUMMYFUNCTION("""COMPUTED_VALUE"""),"RIVERO ELINA")</f>
        <v>RIVERO ELINA</v>
      </c>
      <c r="D5823" s="1" t="str">
        <f>IFERROR(__xludf.DUMMYFUNCTION("""COMPUTED_VALUE"""),"Lentes de STOCK")</f>
        <v>Lentes de STOCK</v>
      </c>
      <c r="E5823" s="1" t="str">
        <f>IFERROR(__xludf.DUMMYFUNCTION("""COMPUTED_VALUE"""),"RIVADAVIA Luciana")</f>
        <v>RIVADAVIA Luciana</v>
      </c>
      <c r="F5823" s="1" t="str">
        <f t="shared" si="1"/>
        <v>RIVADAVIA </v>
      </c>
      <c r="G5823" s="1" t="str">
        <f t="shared" si="2"/>
        <v>Luciana</v>
      </c>
      <c r="H5823" s="9">
        <f>IFERROR(__xludf.DUMMYFUNCTION("""COMPUTED_VALUE"""),45044.708333333336)</f>
        <v>45044.70833</v>
      </c>
      <c r="I5823" s="1"/>
      <c r="J5823" s="1">
        <f t="shared" si="3"/>
        <v>0</v>
      </c>
      <c r="K5823" s="1" t="str">
        <f t="shared" si="4"/>
        <v/>
      </c>
    </row>
    <row r="5824" hidden="1">
      <c r="A5824" s="1">
        <f>IFERROR(__xludf.DUMMYFUNCTION("""COMPUTED_VALUE"""),90390.0)</f>
        <v>90390</v>
      </c>
      <c r="B5824" s="5">
        <f>IFERROR(__xludf.DUMMYFUNCTION("""COMPUTED_VALUE"""),45036.70339465278)</f>
        <v>45036.70339</v>
      </c>
      <c r="C5824" s="1" t="str">
        <f>IFERROR(__xludf.DUMMYFUNCTION("""COMPUTED_VALUE"""),"MAGALLANES NOEMI")</f>
        <v>MAGALLANES NOEMI</v>
      </c>
      <c r="D5824" s="1" t="str">
        <f>IFERROR(__xludf.DUMMYFUNCTION("""COMPUTED_VALUE"""),"Reparaciones/Otros")</f>
        <v>Reparaciones/Otros</v>
      </c>
      <c r="E5824" s="1" t="str">
        <f>IFERROR(__xludf.DUMMYFUNCTION("""COMPUTED_VALUE"""),"ARTIGAS Micaela")</f>
        <v>ARTIGAS Micaela</v>
      </c>
      <c r="F5824" s="1" t="str">
        <f t="shared" si="1"/>
        <v>ARTIGAS </v>
      </c>
      <c r="G5824" s="1" t="str">
        <f t="shared" si="2"/>
        <v>Micaela</v>
      </c>
      <c r="H5824" s="9">
        <f>IFERROR(__xludf.DUMMYFUNCTION("""COMPUTED_VALUE"""),45037.708333333336)</f>
        <v>45037.70833</v>
      </c>
      <c r="I5824" s="1"/>
      <c r="J5824" s="1">
        <f t="shared" si="3"/>
        <v>0</v>
      </c>
      <c r="K5824" s="1" t="str">
        <f t="shared" si="4"/>
        <v/>
      </c>
    </row>
    <row r="5825" hidden="1">
      <c r="A5825" s="1">
        <f>IFERROR(__xludf.DUMMYFUNCTION("""COMPUTED_VALUE"""),90391.0)</f>
        <v>90391</v>
      </c>
      <c r="B5825" s="5">
        <f>IFERROR(__xludf.DUMMYFUNCTION("""COMPUTED_VALUE"""),45036.704284120366)</f>
        <v>45036.70428</v>
      </c>
      <c r="C5825" s="1" t="str">
        <f>IFERROR(__xludf.DUMMYFUNCTION("""COMPUTED_VALUE"""),"ELVIRA ELISA SCHEIERMANN")</f>
        <v>ELVIRA ELISA SCHEIERMANN</v>
      </c>
      <c r="D5825" s="1" t="str">
        <f>IFERROR(__xludf.DUMMYFUNCTION("""COMPUTED_VALUE"""),"Lentes de STOCK")</f>
        <v>Lentes de STOCK</v>
      </c>
      <c r="E5825" s="1" t="str">
        <f>IFERROR(__xludf.DUMMYFUNCTION("""COMPUTED_VALUE"""),"RIVADAVIA Santiago LOPEZ")</f>
        <v>RIVADAVIA Santiago LOPEZ</v>
      </c>
      <c r="F5825" s="1" t="str">
        <f t="shared" si="1"/>
        <v>RIVADAVIA </v>
      </c>
      <c r="G5825" s="1" t="str">
        <f t="shared" si="2"/>
        <v>Santiago LOPEZ</v>
      </c>
      <c r="H5825" s="9">
        <f>IFERROR(__xludf.DUMMYFUNCTION("""COMPUTED_VALUE"""),45040.708333333336)</f>
        <v>45040.70833</v>
      </c>
      <c r="I5825" s="1" t="str">
        <f>IFERROR(__xludf.DUMMYFUNCTION("""COMPUTED_VALUE"""),"Recibido en Laboratorio")</f>
        <v>Recibido en Laboratorio</v>
      </c>
      <c r="J5825" s="1">
        <f t="shared" si="3"/>
        <v>2</v>
      </c>
      <c r="K5825" s="1" t="str">
        <f t="shared" si="4"/>
        <v>Nuestro Laboratorio esta trabajando en tus lentes, los entregaremos en la fecha acordada.</v>
      </c>
    </row>
    <row r="5826" hidden="1">
      <c r="A5826" s="1">
        <f>IFERROR(__xludf.DUMMYFUNCTION("""COMPUTED_VALUE"""),90392.0)</f>
        <v>90392</v>
      </c>
      <c r="B5826" s="5">
        <f>IFERROR(__xludf.DUMMYFUNCTION("""COMPUTED_VALUE"""),45036.705641782406)</f>
        <v>45036.70564</v>
      </c>
      <c r="C5826" s="1" t="str">
        <f>IFERROR(__xludf.DUMMYFUNCTION("""COMPUTED_VALUE"""),"ROCCO BLANCA ")</f>
        <v>ROCCO BLANCA </v>
      </c>
      <c r="D5826" s="1" t="str">
        <f>IFERROR(__xludf.DUMMYFUNCTION("""COMPUTED_VALUE"""),"Lentes de STOCK")</f>
        <v>Lentes de STOCK</v>
      </c>
      <c r="E5826" s="1" t="str">
        <f>IFERROR(__xludf.DUMMYFUNCTION("""COMPUTED_VALUE"""),"RIVADAVIA Santiago N")</f>
        <v>RIVADAVIA Santiago N</v>
      </c>
      <c r="F5826" s="1" t="str">
        <f t="shared" si="1"/>
        <v>RIVADAVIA </v>
      </c>
      <c r="G5826" s="1" t="str">
        <f t="shared" si="2"/>
        <v>Santiago N</v>
      </c>
      <c r="H5826" s="9">
        <f>IFERROR(__xludf.DUMMYFUNCTION("""COMPUTED_VALUE"""),45041.708333333336)</f>
        <v>45041.70833</v>
      </c>
      <c r="I5826" s="1"/>
      <c r="J5826" s="1">
        <f t="shared" si="3"/>
        <v>0</v>
      </c>
      <c r="K5826" s="1" t="str">
        <f t="shared" si="4"/>
        <v/>
      </c>
    </row>
    <row r="5827" hidden="1">
      <c r="A5827" s="1">
        <f>IFERROR(__xludf.DUMMYFUNCTION("""COMPUTED_VALUE"""),90393.0)</f>
        <v>90393</v>
      </c>
      <c r="B5827" s="5">
        <f>IFERROR(__xludf.DUMMYFUNCTION("""COMPUTED_VALUE"""),45036.71176517361)</f>
        <v>45036.71177</v>
      </c>
      <c r="C5827" s="1" t="str">
        <f>IFERROR(__xludf.DUMMYFUNCTION("""COMPUTED_VALUE"""),"QUISTAPACE LOURDES")</f>
        <v>QUISTAPACE LOURDES</v>
      </c>
      <c r="D5827" s="1" t="str">
        <f>IFERROR(__xludf.DUMMYFUNCTION("""COMPUTED_VALUE"""),"Lentes de STOCK")</f>
        <v>Lentes de STOCK</v>
      </c>
      <c r="E5827" s="1" t="str">
        <f>IFERROR(__xludf.DUMMYFUNCTION("""COMPUTED_VALUE"""),"ARTIGAS Ivana P.")</f>
        <v>ARTIGAS Ivana P.</v>
      </c>
      <c r="F5827" s="1" t="str">
        <f t="shared" si="1"/>
        <v>ARTIGAS </v>
      </c>
      <c r="G5827" s="1" t="str">
        <f t="shared" si="2"/>
        <v>Ivana P.</v>
      </c>
      <c r="H5827" s="9">
        <f>IFERROR(__xludf.DUMMYFUNCTION("""COMPUTED_VALUE"""),45043.708333333336)</f>
        <v>45043.70833</v>
      </c>
      <c r="I5827" s="1"/>
      <c r="J5827" s="1">
        <f t="shared" si="3"/>
        <v>0</v>
      </c>
      <c r="K5827" s="1" t="str">
        <f t="shared" si="4"/>
        <v/>
      </c>
    </row>
    <row r="5828" hidden="1">
      <c r="A5828" s="1">
        <f>IFERROR(__xludf.DUMMYFUNCTION("""COMPUTED_VALUE"""),90394.0)</f>
        <v>90394</v>
      </c>
      <c r="B5828" s="5">
        <f>IFERROR(__xludf.DUMMYFUNCTION("""COMPUTED_VALUE"""),45036.713862627315)</f>
        <v>45036.71386</v>
      </c>
      <c r="C5828" s="1" t="str">
        <f>IFERROR(__xludf.DUMMYFUNCTION("""COMPUTED_VALUE"""),"PEREYRA ANTONIA")</f>
        <v>PEREYRA ANTONIA</v>
      </c>
      <c r="D5828" s="1" t="str">
        <f>IFERROR(__xludf.DUMMYFUNCTION("""COMPUTED_VALUE"""),"Reparaciones/Otros")</f>
        <v>Reparaciones/Otros</v>
      </c>
      <c r="E5828" s="1" t="str">
        <f>IFERROR(__xludf.DUMMYFUNCTION("""COMPUTED_VALUE"""),"RIVADAVIA Luciana")</f>
        <v>RIVADAVIA Luciana</v>
      </c>
      <c r="F5828" s="1" t="str">
        <f t="shared" si="1"/>
        <v>RIVADAVIA </v>
      </c>
      <c r="G5828" s="1" t="str">
        <f t="shared" si="2"/>
        <v>Luciana</v>
      </c>
      <c r="H5828" s="9">
        <f>IFERROR(__xludf.DUMMYFUNCTION("""COMPUTED_VALUE"""),45040.708333333336)</f>
        <v>45040.70833</v>
      </c>
      <c r="I5828" s="1"/>
      <c r="J5828" s="1">
        <f t="shared" si="3"/>
        <v>0</v>
      </c>
      <c r="K5828" s="1" t="str">
        <f t="shared" si="4"/>
        <v/>
      </c>
    </row>
    <row r="5829" hidden="1">
      <c r="A5829" s="1">
        <f>IFERROR(__xludf.DUMMYFUNCTION("""COMPUTED_VALUE"""),90395.0)</f>
        <v>90395</v>
      </c>
      <c r="B5829" s="5">
        <f>IFERROR(__xludf.DUMMYFUNCTION("""COMPUTED_VALUE"""),45036.73565643519)</f>
        <v>45036.73566</v>
      </c>
      <c r="C5829" s="1" t="str">
        <f>IFERROR(__xludf.DUMMYFUNCTION("""COMPUTED_VALUE"""),"SOSA MIGUEL ANGEL")</f>
        <v>SOSA MIGUEL ANGEL</v>
      </c>
      <c r="D5829" s="1" t="str">
        <f>IFERROR(__xludf.DUMMYFUNCTION("""COMPUTED_VALUE"""),"Lentes de LABORATORIO")</f>
        <v>Lentes de LABORATORIO</v>
      </c>
      <c r="E5829" s="1" t="str">
        <f>IFERROR(__xludf.DUMMYFUNCTION("""COMPUTED_VALUE"""),"RIVADAVIA Luciana")</f>
        <v>RIVADAVIA Luciana</v>
      </c>
      <c r="F5829" s="1" t="str">
        <f t="shared" si="1"/>
        <v>RIVADAVIA </v>
      </c>
      <c r="G5829" s="1" t="str">
        <f t="shared" si="2"/>
        <v>Luciana</v>
      </c>
      <c r="H5829" s="9">
        <f>IFERROR(__xludf.DUMMYFUNCTION("""COMPUTED_VALUE"""),45044.708333333336)</f>
        <v>45044.70833</v>
      </c>
      <c r="I5829" s="1"/>
      <c r="J5829" s="1">
        <f t="shared" si="3"/>
        <v>0</v>
      </c>
      <c r="K5829" s="1" t="str">
        <f t="shared" si="4"/>
        <v/>
      </c>
    </row>
    <row r="5830" hidden="1">
      <c r="A5830" s="1">
        <f>IFERROR(__xludf.DUMMYFUNCTION("""COMPUTED_VALUE"""),90396.0)</f>
        <v>90396</v>
      </c>
      <c r="B5830" s="5">
        <f>IFERROR(__xludf.DUMMYFUNCTION("""COMPUTED_VALUE"""),45036.738614918984)</f>
        <v>45036.73861</v>
      </c>
      <c r="C5830" s="1" t="str">
        <f>IFERROR(__xludf.DUMMYFUNCTION("""COMPUTED_VALUE"""),"ARCO MARTINA")</f>
        <v>ARCO MARTINA</v>
      </c>
      <c r="D5830" s="1" t="str">
        <f>IFERROR(__xludf.DUMMYFUNCTION("""COMPUTED_VALUE"""),"Lentes de STOCK")</f>
        <v>Lentes de STOCK</v>
      </c>
      <c r="E5830" s="1" t="str">
        <f>IFERROR(__xludf.DUMMYFUNCTION("""COMPUTED_VALUE"""),"RIVADAVIA Javier")</f>
        <v>RIVADAVIA Javier</v>
      </c>
      <c r="F5830" s="1" t="str">
        <f t="shared" si="1"/>
        <v>RIVADAVIA </v>
      </c>
      <c r="G5830" s="1" t="str">
        <f t="shared" si="2"/>
        <v>Javier</v>
      </c>
      <c r="H5830" s="9">
        <f>IFERROR(__xludf.DUMMYFUNCTION("""COMPUTED_VALUE"""),45041.708333333336)</f>
        <v>45041.70833</v>
      </c>
      <c r="I5830" s="1"/>
      <c r="J5830" s="1">
        <f t="shared" si="3"/>
        <v>0</v>
      </c>
      <c r="K5830" s="1" t="str">
        <f t="shared" si="4"/>
        <v/>
      </c>
    </row>
    <row r="5831" hidden="1">
      <c r="A5831" s="1">
        <f>IFERROR(__xludf.DUMMYFUNCTION("""COMPUTED_VALUE"""),90397.0)</f>
        <v>90397</v>
      </c>
      <c r="B5831" s="5">
        <f>IFERROR(__xludf.DUMMYFUNCTION("""COMPUTED_VALUE"""),45036.7519253125)</f>
        <v>45036.75193</v>
      </c>
      <c r="C5831" s="1" t="str">
        <f>IFERROR(__xludf.DUMMYFUNCTION("""COMPUTED_VALUE"""),"gonzalez cristina del carmen")</f>
        <v>gonzalez cristina del carmen</v>
      </c>
      <c r="D5831" s="1" t="str">
        <f>IFERROR(__xludf.DUMMYFUNCTION("""COMPUTED_VALUE"""),"Reparaciones/Otros")</f>
        <v>Reparaciones/Otros</v>
      </c>
      <c r="E5831" s="1" t="str">
        <f>IFERROR(__xludf.DUMMYFUNCTION("""COMPUTED_VALUE"""),"ARTIGAS Roció")</f>
        <v>ARTIGAS Roció</v>
      </c>
      <c r="F5831" s="1" t="str">
        <f t="shared" si="1"/>
        <v>ARTIGAS </v>
      </c>
      <c r="G5831" s="1" t="str">
        <f t="shared" si="2"/>
        <v>Roció</v>
      </c>
      <c r="H5831" s="9">
        <f>IFERROR(__xludf.DUMMYFUNCTION("""COMPUTED_VALUE"""),45040.708333333336)</f>
        <v>45040.70833</v>
      </c>
      <c r="I5831" s="1"/>
      <c r="J5831" s="1">
        <f t="shared" si="3"/>
        <v>0</v>
      </c>
      <c r="K5831" s="1" t="str">
        <f t="shared" si="4"/>
        <v/>
      </c>
    </row>
    <row r="5832" hidden="1">
      <c r="A5832" s="1">
        <f>IFERROR(__xludf.DUMMYFUNCTION("""COMPUTED_VALUE"""),90398.0)</f>
        <v>90398</v>
      </c>
      <c r="B5832" s="5">
        <f>IFERROR(__xludf.DUMMYFUNCTION("""COMPUTED_VALUE"""),45036.754227627316)</f>
        <v>45036.75423</v>
      </c>
      <c r="C5832" s="1" t="str">
        <f>IFERROR(__xludf.DUMMYFUNCTION("""COMPUTED_VALUE"""),"RIVEROS GUSTAVO")</f>
        <v>RIVEROS GUSTAVO</v>
      </c>
      <c r="D5832" s="1" t="str">
        <f>IFERROR(__xludf.DUMMYFUNCTION("""COMPUTED_VALUE"""),"Lentes de STOCK")</f>
        <v>Lentes de STOCK</v>
      </c>
      <c r="E5832" s="1" t="str">
        <f>IFERROR(__xludf.DUMMYFUNCTION("""COMPUTED_VALUE"""),"ARTIGAS Ivana P.")</f>
        <v>ARTIGAS Ivana P.</v>
      </c>
      <c r="F5832" s="1" t="str">
        <f t="shared" si="1"/>
        <v>ARTIGAS </v>
      </c>
      <c r="G5832" s="1" t="str">
        <f t="shared" si="2"/>
        <v>Ivana P.</v>
      </c>
      <c r="H5832" s="9">
        <f>IFERROR(__xludf.DUMMYFUNCTION("""COMPUTED_VALUE"""),45041.708333333336)</f>
        <v>45041.70833</v>
      </c>
      <c r="I5832" s="1"/>
      <c r="J5832" s="1">
        <f t="shared" si="3"/>
        <v>0</v>
      </c>
      <c r="K5832" s="1" t="str">
        <f t="shared" si="4"/>
        <v/>
      </c>
    </row>
    <row r="5833" hidden="1">
      <c r="A5833" s="1"/>
      <c r="B5833" s="1"/>
      <c r="C5833" s="1"/>
      <c r="D5833" s="1"/>
      <c r="E5833" s="1"/>
      <c r="F5833" s="1" t="str">
        <f t="shared" si="1"/>
        <v/>
      </c>
      <c r="G5833" s="1" t="str">
        <f t="shared" si="2"/>
        <v/>
      </c>
      <c r="H5833" s="1"/>
      <c r="I5833" s="1"/>
      <c r="J5833" s="1" t="str">
        <f t="shared" si="3"/>
        <v/>
      </c>
      <c r="K5833" s="1" t="str">
        <f t="shared" si="4"/>
        <v/>
      </c>
    </row>
    <row r="5834" hidden="1">
      <c r="A5834" s="1"/>
      <c r="B5834" s="1"/>
      <c r="C5834" s="1"/>
      <c r="D5834" s="1"/>
      <c r="E5834" s="1"/>
      <c r="F5834" s="1" t="str">
        <f t="shared" si="1"/>
        <v/>
      </c>
      <c r="G5834" s="1" t="str">
        <f t="shared" si="2"/>
        <v/>
      </c>
      <c r="H5834" s="1"/>
      <c r="I5834" s="1"/>
      <c r="J5834" s="1" t="str">
        <f t="shared" si="3"/>
        <v/>
      </c>
      <c r="K5834" s="1" t="str">
        <f t="shared" si="4"/>
        <v/>
      </c>
    </row>
    <row r="5835" hidden="1">
      <c r="A5835" s="1"/>
      <c r="B5835" s="1"/>
      <c r="C5835" s="1"/>
      <c r="D5835" s="1"/>
      <c r="E5835" s="1"/>
      <c r="F5835" s="1" t="str">
        <f t="shared" si="1"/>
        <v/>
      </c>
      <c r="G5835" s="1" t="str">
        <f t="shared" si="2"/>
        <v/>
      </c>
      <c r="H5835" s="1"/>
      <c r="I5835" s="1"/>
      <c r="J5835" s="1" t="str">
        <f t="shared" si="3"/>
        <v/>
      </c>
      <c r="K5835" s="1" t="str">
        <f t="shared" si="4"/>
        <v/>
      </c>
    </row>
    <row r="5836" hidden="1">
      <c r="A5836" s="1"/>
      <c r="B5836" s="1"/>
      <c r="C5836" s="1"/>
      <c r="D5836" s="1"/>
      <c r="E5836" s="1"/>
      <c r="F5836" s="1" t="str">
        <f t="shared" si="1"/>
        <v/>
      </c>
      <c r="G5836" s="1" t="str">
        <f t="shared" si="2"/>
        <v/>
      </c>
      <c r="H5836" s="1"/>
      <c r="I5836" s="1"/>
      <c r="J5836" s="1" t="str">
        <f t="shared" si="3"/>
        <v/>
      </c>
      <c r="K5836" s="1" t="str">
        <f t="shared" si="4"/>
        <v/>
      </c>
    </row>
    <row r="5837" hidden="1">
      <c r="A5837" s="1"/>
      <c r="B5837" s="1"/>
      <c r="C5837" s="1"/>
      <c r="D5837" s="1"/>
      <c r="E5837" s="1"/>
      <c r="F5837" s="1" t="str">
        <f t="shared" si="1"/>
        <v/>
      </c>
      <c r="G5837" s="1" t="str">
        <f t="shared" si="2"/>
        <v/>
      </c>
      <c r="H5837" s="1"/>
      <c r="I5837" s="1"/>
      <c r="J5837" s="1" t="str">
        <f t="shared" si="3"/>
        <v/>
      </c>
      <c r="K5837" s="1" t="str">
        <f t="shared" si="4"/>
        <v/>
      </c>
    </row>
    <row r="5838" hidden="1">
      <c r="A5838" s="1"/>
      <c r="B5838" s="1"/>
      <c r="C5838" s="1"/>
      <c r="D5838" s="1"/>
      <c r="E5838" s="1"/>
      <c r="F5838" s="1" t="str">
        <f t="shared" si="1"/>
        <v/>
      </c>
      <c r="G5838" s="1" t="str">
        <f t="shared" si="2"/>
        <v/>
      </c>
      <c r="H5838" s="1"/>
      <c r="I5838" s="1"/>
      <c r="J5838" s="1" t="str">
        <f t="shared" si="3"/>
        <v/>
      </c>
      <c r="K5838" s="1" t="str">
        <f t="shared" si="4"/>
        <v/>
      </c>
    </row>
    <row r="5839" hidden="1">
      <c r="A5839" s="1"/>
      <c r="B5839" s="1"/>
      <c r="C5839" s="1"/>
      <c r="D5839" s="1"/>
      <c r="E5839" s="1"/>
      <c r="F5839" s="1" t="str">
        <f t="shared" si="1"/>
        <v/>
      </c>
      <c r="G5839" s="1" t="str">
        <f t="shared" si="2"/>
        <v/>
      </c>
      <c r="H5839" s="1"/>
      <c r="I5839" s="1"/>
      <c r="J5839" s="1" t="str">
        <f t="shared" si="3"/>
        <v/>
      </c>
      <c r="K5839" s="1" t="str">
        <f t="shared" si="4"/>
        <v/>
      </c>
    </row>
    <row r="5840" hidden="1">
      <c r="A5840" s="1"/>
      <c r="B5840" s="1"/>
      <c r="C5840" s="1"/>
      <c r="D5840" s="1"/>
      <c r="E5840" s="1"/>
      <c r="F5840" s="1" t="str">
        <f t="shared" si="1"/>
        <v/>
      </c>
      <c r="G5840" s="1" t="str">
        <f t="shared" si="2"/>
        <v/>
      </c>
      <c r="H5840" s="1"/>
      <c r="I5840" s="1"/>
      <c r="J5840" s="1" t="str">
        <f t="shared" si="3"/>
        <v/>
      </c>
      <c r="K5840" s="1" t="str">
        <f t="shared" si="4"/>
        <v/>
      </c>
    </row>
    <row r="5841" hidden="1">
      <c r="A5841" s="1"/>
      <c r="B5841" s="1"/>
      <c r="C5841" s="1"/>
      <c r="D5841" s="1"/>
      <c r="E5841" s="1"/>
      <c r="F5841" s="1" t="str">
        <f t="shared" si="1"/>
        <v/>
      </c>
      <c r="G5841" s="1" t="str">
        <f t="shared" si="2"/>
        <v/>
      </c>
      <c r="H5841" s="1"/>
      <c r="I5841" s="1"/>
      <c r="J5841" s="1" t="str">
        <f t="shared" si="3"/>
        <v/>
      </c>
      <c r="K5841" s="1" t="str">
        <f t="shared" si="4"/>
        <v/>
      </c>
    </row>
    <row r="5842" hidden="1">
      <c r="A5842" s="1"/>
      <c r="B5842" s="1"/>
      <c r="C5842" s="1"/>
      <c r="D5842" s="1"/>
      <c r="E5842" s="1"/>
      <c r="F5842" s="1" t="str">
        <f t="shared" si="1"/>
        <v/>
      </c>
      <c r="G5842" s="1" t="str">
        <f t="shared" si="2"/>
        <v/>
      </c>
      <c r="H5842" s="1"/>
      <c r="I5842" s="1"/>
      <c r="J5842" s="1" t="str">
        <f t="shared" si="3"/>
        <v/>
      </c>
      <c r="K5842" s="1" t="str">
        <f t="shared" si="4"/>
        <v/>
      </c>
    </row>
    <row r="5843" hidden="1">
      <c r="A5843" s="1"/>
      <c r="B5843" s="1"/>
      <c r="C5843" s="1"/>
      <c r="D5843" s="1"/>
      <c r="E5843" s="1"/>
      <c r="F5843" s="1" t="str">
        <f t="shared" si="1"/>
        <v/>
      </c>
      <c r="G5843" s="1" t="str">
        <f t="shared" si="2"/>
        <v/>
      </c>
      <c r="H5843" s="1"/>
      <c r="I5843" s="1"/>
      <c r="J5843" s="1" t="str">
        <f t="shared" si="3"/>
        <v/>
      </c>
      <c r="K5843" s="1" t="str">
        <f t="shared" si="4"/>
        <v/>
      </c>
    </row>
    <row r="5844" hidden="1">
      <c r="A5844" s="1"/>
      <c r="B5844" s="1"/>
      <c r="C5844" s="1"/>
      <c r="D5844" s="1"/>
      <c r="E5844" s="1"/>
      <c r="F5844" s="1" t="str">
        <f t="shared" si="1"/>
        <v/>
      </c>
      <c r="G5844" s="1" t="str">
        <f t="shared" si="2"/>
        <v/>
      </c>
      <c r="H5844" s="1"/>
      <c r="I5844" s="1"/>
      <c r="J5844" s="1" t="str">
        <f t="shared" si="3"/>
        <v/>
      </c>
      <c r="K5844" s="1" t="str">
        <f t="shared" si="4"/>
        <v/>
      </c>
    </row>
    <row r="5845" hidden="1">
      <c r="A5845" s="1"/>
      <c r="B5845" s="1"/>
      <c r="C5845" s="1"/>
      <c r="D5845" s="1"/>
      <c r="E5845" s="1"/>
      <c r="F5845" s="1" t="str">
        <f t="shared" si="1"/>
        <v/>
      </c>
      <c r="G5845" s="1" t="str">
        <f t="shared" si="2"/>
        <v/>
      </c>
      <c r="H5845" s="1"/>
      <c r="I5845" s="1"/>
      <c r="J5845" s="1" t="str">
        <f t="shared" si="3"/>
        <v/>
      </c>
      <c r="K5845" s="1" t="str">
        <f t="shared" si="4"/>
        <v/>
      </c>
    </row>
    <row r="5846" hidden="1">
      <c r="A5846" s="1"/>
      <c r="B5846" s="1"/>
      <c r="C5846" s="1"/>
      <c r="D5846" s="1"/>
      <c r="E5846" s="1"/>
      <c r="F5846" s="1" t="str">
        <f t="shared" si="1"/>
        <v/>
      </c>
      <c r="G5846" s="1" t="str">
        <f t="shared" si="2"/>
        <v/>
      </c>
      <c r="H5846" s="1"/>
      <c r="I5846" s="1"/>
      <c r="J5846" s="1" t="str">
        <f t="shared" si="3"/>
        <v/>
      </c>
      <c r="K5846" s="1" t="str">
        <f t="shared" si="4"/>
        <v/>
      </c>
    </row>
    <row r="5847" hidden="1">
      <c r="A5847" s="1"/>
      <c r="B5847" s="1"/>
      <c r="C5847" s="1"/>
      <c r="D5847" s="1"/>
      <c r="E5847" s="1"/>
      <c r="F5847" s="1" t="str">
        <f t="shared" si="1"/>
        <v/>
      </c>
      <c r="G5847" s="1" t="str">
        <f t="shared" si="2"/>
        <v/>
      </c>
      <c r="H5847" s="1"/>
      <c r="I5847" s="1"/>
      <c r="J5847" s="1" t="str">
        <f t="shared" si="3"/>
        <v/>
      </c>
      <c r="K5847" s="1" t="str">
        <f t="shared" si="4"/>
        <v/>
      </c>
    </row>
    <row r="5848" hidden="1">
      <c r="A5848" s="1"/>
      <c r="B5848" s="1"/>
      <c r="C5848" s="1"/>
      <c r="D5848" s="1"/>
      <c r="E5848" s="1"/>
      <c r="F5848" s="1" t="str">
        <f t="shared" si="1"/>
        <v/>
      </c>
      <c r="G5848" s="1" t="str">
        <f t="shared" si="2"/>
        <v/>
      </c>
      <c r="H5848" s="1"/>
      <c r="I5848" s="1"/>
      <c r="J5848" s="1" t="str">
        <f t="shared" si="3"/>
        <v/>
      </c>
      <c r="K5848" s="1" t="str">
        <f t="shared" si="4"/>
        <v/>
      </c>
    </row>
    <row r="5849" hidden="1">
      <c r="A5849" s="1"/>
      <c r="B5849" s="1"/>
      <c r="C5849" s="1"/>
      <c r="D5849" s="1"/>
      <c r="E5849" s="1"/>
      <c r="F5849" s="1" t="str">
        <f t="shared" si="1"/>
        <v/>
      </c>
      <c r="G5849" s="1" t="str">
        <f t="shared" si="2"/>
        <v/>
      </c>
      <c r="H5849" s="1"/>
      <c r="I5849" s="1"/>
      <c r="J5849" s="1" t="str">
        <f t="shared" si="3"/>
        <v/>
      </c>
      <c r="K5849" s="1" t="str">
        <f t="shared" si="4"/>
        <v/>
      </c>
    </row>
    <row r="5850" hidden="1">
      <c r="A5850" s="1"/>
      <c r="B5850" s="1"/>
      <c r="C5850" s="1"/>
      <c r="D5850" s="1"/>
      <c r="E5850" s="1"/>
      <c r="F5850" s="1" t="str">
        <f t="shared" si="1"/>
        <v/>
      </c>
      <c r="G5850" s="1" t="str">
        <f t="shared" si="2"/>
        <v/>
      </c>
      <c r="H5850" s="1"/>
      <c r="I5850" s="1"/>
      <c r="J5850" s="1" t="str">
        <f t="shared" si="3"/>
        <v/>
      </c>
      <c r="K5850" s="1" t="str">
        <f t="shared" si="4"/>
        <v/>
      </c>
    </row>
    <row r="5851" hidden="1">
      <c r="A5851" s="1"/>
      <c r="B5851" s="1"/>
      <c r="C5851" s="1"/>
      <c r="D5851" s="1"/>
      <c r="E5851" s="1"/>
      <c r="F5851" s="1" t="str">
        <f t="shared" si="1"/>
        <v/>
      </c>
      <c r="G5851" s="1" t="str">
        <f t="shared" si="2"/>
        <v/>
      </c>
      <c r="H5851" s="1"/>
      <c r="I5851" s="1"/>
      <c r="J5851" s="1" t="str">
        <f t="shared" si="3"/>
        <v/>
      </c>
      <c r="K5851" s="1" t="str">
        <f t="shared" si="4"/>
        <v/>
      </c>
    </row>
    <row r="5852" hidden="1">
      <c r="A5852" s="1"/>
      <c r="B5852" s="1"/>
      <c r="C5852" s="1"/>
      <c r="D5852" s="1"/>
      <c r="E5852" s="1"/>
      <c r="F5852" s="1" t="str">
        <f t="shared" si="1"/>
        <v/>
      </c>
      <c r="G5852" s="1" t="str">
        <f t="shared" si="2"/>
        <v/>
      </c>
      <c r="H5852" s="1"/>
      <c r="I5852" s="1"/>
      <c r="J5852" s="1" t="str">
        <f t="shared" si="3"/>
        <v/>
      </c>
      <c r="K5852" s="1" t="str">
        <f t="shared" si="4"/>
        <v/>
      </c>
    </row>
    <row r="5853" hidden="1">
      <c r="A5853" s="1"/>
      <c r="B5853" s="1"/>
      <c r="C5853" s="1"/>
      <c r="D5853" s="1"/>
      <c r="E5853" s="1"/>
      <c r="F5853" s="1" t="str">
        <f t="shared" si="1"/>
        <v/>
      </c>
      <c r="G5853" s="1" t="str">
        <f t="shared" si="2"/>
        <v/>
      </c>
      <c r="H5853" s="1"/>
      <c r="I5853" s="1"/>
      <c r="J5853" s="1" t="str">
        <f t="shared" si="3"/>
        <v/>
      </c>
      <c r="K5853" s="1" t="str">
        <f t="shared" si="4"/>
        <v/>
      </c>
    </row>
    <row r="5854" hidden="1">
      <c r="A5854" s="1"/>
      <c r="B5854" s="1"/>
      <c r="C5854" s="1"/>
      <c r="D5854" s="1"/>
      <c r="E5854" s="1"/>
      <c r="F5854" s="1" t="str">
        <f t="shared" si="1"/>
        <v/>
      </c>
      <c r="G5854" s="1" t="str">
        <f t="shared" si="2"/>
        <v/>
      </c>
      <c r="H5854" s="1"/>
      <c r="I5854" s="1"/>
      <c r="J5854" s="1" t="str">
        <f t="shared" si="3"/>
        <v/>
      </c>
      <c r="K5854" s="1" t="str">
        <f t="shared" si="4"/>
        <v/>
      </c>
    </row>
    <row r="5855" hidden="1">
      <c r="A5855" s="1"/>
      <c r="B5855" s="1"/>
      <c r="C5855" s="1"/>
      <c r="D5855" s="1"/>
      <c r="E5855" s="1"/>
      <c r="F5855" s="1" t="str">
        <f t="shared" si="1"/>
        <v/>
      </c>
      <c r="G5855" s="1" t="str">
        <f t="shared" si="2"/>
        <v/>
      </c>
      <c r="H5855" s="1"/>
      <c r="I5855" s="1"/>
      <c r="J5855" s="1" t="str">
        <f t="shared" si="3"/>
        <v/>
      </c>
      <c r="K5855" s="1" t="str">
        <f t="shared" si="4"/>
        <v/>
      </c>
    </row>
    <row r="5856" hidden="1">
      <c r="A5856" s="1"/>
      <c r="B5856" s="1"/>
      <c r="C5856" s="1"/>
      <c r="D5856" s="1"/>
      <c r="E5856" s="1"/>
      <c r="F5856" s="1" t="str">
        <f t="shared" si="1"/>
        <v/>
      </c>
      <c r="G5856" s="1" t="str">
        <f t="shared" si="2"/>
        <v/>
      </c>
      <c r="H5856" s="1"/>
      <c r="I5856" s="1"/>
      <c r="J5856" s="1" t="str">
        <f t="shared" si="3"/>
        <v/>
      </c>
      <c r="K5856" s="1" t="str">
        <f t="shared" si="4"/>
        <v/>
      </c>
    </row>
    <row r="5857" hidden="1">
      <c r="A5857" s="1"/>
      <c r="B5857" s="1"/>
      <c r="C5857" s="1"/>
      <c r="D5857" s="1"/>
      <c r="E5857" s="1"/>
      <c r="F5857" s="1" t="str">
        <f t="shared" si="1"/>
        <v/>
      </c>
      <c r="G5857" s="1" t="str">
        <f t="shared" si="2"/>
        <v/>
      </c>
      <c r="H5857" s="1"/>
      <c r="I5857" s="1"/>
      <c r="J5857" s="1" t="str">
        <f t="shared" si="3"/>
        <v/>
      </c>
      <c r="K5857" s="1" t="str">
        <f t="shared" si="4"/>
        <v/>
      </c>
    </row>
    <row r="5858" hidden="1">
      <c r="A5858" s="1"/>
      <c r="B5858" s="1"/>
      <c r="C5858" s="1"/>
      <c r="D5858" s="1"/>
      <c r="E5858" s="1"/>
      <c r="F5858" s="1" t="str">
        <f t="shared" si="1"/>
        <v/>
      </c>
      <c r="G5858" s="1" t="str">
        <f t="shared" si="2"/>
        <v/>
      </c>
      <c r="H5858" s="1"/>
      <c r="I5858" s="1"/>
      <c r="J5858" s="1" t="str">
        <f t="shared" si="3"/>
        <v/>
      </c>
      <c r="K5858" s="1" t="str">
        <f t="shared" si="4"/>
        <v/>
      </c>
    </row>
    <row r="5859" hidden="1">
      <c r="A5859" s="1"/>
      <c r="B5859" s="1"/>
      <c r="C5859" s="1"/>
      <c r="D5859" s="1"/>
      <c r="E5859" s="1"/>
      <c r="F5859" s="1" t="str">
        <f t="shared" si="1"/>
        <v/>
      </c>
      <c r="G5859" s="1" t="str">
        <f t="shared" si="2"/>
        <v/>
      </c>
      <c r="H5859" s="1"/>
      <c r="I5859" s="1"/>
      <c r="J5859" s="1" t="str">
        <f t="shared" si="3"/>
        <v/>
      </c>
      <c r="K5859" s="1" t="str">
        <f t="shared" si="4"/>
        <v/>
      </c>
    </row>
    <row r="5860" hidden="1">
      <c r="A5860" s="1"/>
      <c r="B5860" s="1"/>
      <c r="C5860" s="1"/>
      <c r="D5860" s="1"/>
      <c r="E5860" s="1"/>
      <c r="F5860" s="1" t="str">
        <f t="shared" si="1"/>
        <v/>
      </c>
      <c r="G5860" s="1" t="str">
        <f t="shared" si="2"/>
        <v/>
      </c>
      <c r="H5860" s="1"/>
      <c r="I5860" s="1"/>
      <c r="J5860" s="1" t="str">
        <f t="shared" si="3"/>
        <v/>
      </c>
      <c r="K5860" s="1" t="str">
        <f t="shared" si="4"/>
        <v/>
      </c>
    </row>
    <row r="5861" hidden="1">
      <c r="A5861" s="1"/>
      <c r="B5861" s="1"/>
      <c r="C5861" s="1"/>
      <c r="D5861" s="1"/>
      <c r="E5861" s="1"/>
      <c r="F5861" s="1" t="str">
        <f t="shared" si="1"/>
        <v/>
      </c>
      <c r="G5861" s="1" t="str">
        <f t="shared" si="2"/>
        <v/>
      </c>
      <c r="H5861" s="1"/>
      <c r="I5861" s="1"/>
      <c r="J5861" s="1" t="str">
        <f t="shared" si="3"/>
        <v/>
      </c>
      <c r="K5861" s="1" t="str">
        <f t="shared" si="4"/>
        <v/>
      </c>
    </row>
    <row r="5862" hidden="1">
      <c r="A5862" s="1"/>
      <c r="B5862" s="1"/>
      <c r="C5862" s="1"/>
      <c r="D5862" s="1"/>
      <c r="E5862" s="1"/>
      <c r="F5862" s="1" t="str">
        <f t="shared" si="1"/>
        <v/>
      </c>
      <c r="G5862" s="1" t="str">
        <f t="shared" si="2"/>
        <v/>
      </c>
      <c r="H5862" s="1"/>
      <c r="I5862" s="1"/>
      <c r="J5862" s="1" t="str">
        <f t="shared" si="3"/>
        <v/>
      </c>
      <c r="K5862" s="1" t="str">
        <f t="shared" si="4"/>
        <v/>
      </c>
    </row>
    <row r="5863" hidden="1">
      <c r="A5863" s="1"/>
      <c r="B5863" s="1"/>
      <c r="C5863" s="1"/>
      <c r="D5863" s="1"/>
      <c r="E5863" s="1"/>
      <c r="F5863" s="1" t="str">
        <f t="shared" si="1"/>
        <v/>
      </c>
      <c r="G5863" s="1" t="str">
        <f t="shared" si="2"/>
        <v/>
      </c>
      <c r="H5863" s="1"/>
      <c r="I5863" s="1"/>
      <c r="J5863" s="1" t="str">
        <f t="shared" si="3"/>
        <v/>
      </c>
      <c r="K5863" s="1" t="str">
        <f t="shared" si="4"/>
        <v/>
      </c>
    </row>
    <row r="5864" hidden="1">
      <c r="A5864" s="1"/>
      <c r="B5864" s="1"/>
      <c r="C5864" s="1"/>
      <c r="D5864" s="1"/>
      <c r="E5864" s="1"/>
      <c r="F5864" s="1" t="str">
        <f t="shared" si="1"/>
        <v/>
      </c>
      <c r="G5864" s="1" t="str">
        <f t="shared" si="2"/>
        <v/>
      </c>
      <c r="H5864" s="1"/>
      <c r="I5864" s="1"/>
      <c r="J5864" s="1" t="str">
        <f t="shared" si="3"/>
        <v/>
      </c>
      <c r="K5864" s="1" t="str">
        <f t="shared" si="4"/>
        <v/>
      </c>
    </row>
    <row r="5865" hidden="1">
      <c r="A5865" s="1"/>
      <c r="B5865" s="1"/>
      <c r="C5865" s="1"/>
      <c r="D5865" s="1"/>
      <c r="E5865" s="1"/>
      <c r="F5865" s="1" t="str">
        <f t="shared" si="1"/>
        <v/>
      </c>
      <c r="G5865" s="1" t="str">
        <f t="shared" si="2"/>
        <v/>
      </c>
      <c r="H5865" s="1"/>
      <c r="I5865" s="1"/>
      <c r="J5865" s="1" t="str">
        <f t="shared" si="3"/>
        <v/>
      </c>
      <c r="K5865" s="1" t="str">
        <f t="shared" si="4"/>
        <v/>
      </c>
    </row>
    <row r="5866" hidden="1">
      <c r="A5866" s="1"/>
      <c r="B5866" s="1"/>
      <c r="C5866" s="1"/>
      <c r="D5866" s="1"/>
      <c r="E5866" s="1"/>
      <c r="F5866" s="1" t="str">
        <f t="shared" si="1"/>
        <v/>
      </c>
      <c r="G5866" s="1" t="str">
        <f t="shared" si="2"/>
        <v/>
      </c>
      <c r="H5866" s="1"/>
      <c r="I5866" s="1"/>
      <c r="J5866" s="1" t="str">
        <f t="shared" si="3"/>
        <v/>
      </c>
      <c r="K5866" s="1" t="str">
        <f t="shared" si="4"/>
        <v/>
      </c>
    </row>
    <row r="5867" hidden="1">
      <c r="A5867" s="1"/>
      <c r="B5867" s="1"/>
      <c r="C5867" s="1"/>
      <c r="D5867" s="1"/>
      <c r="E5867" s="1"/>
      <c r="F5867" s="1" t="str">
        <f t="shared" si="1"/>
        <v/>
      </c>
      <c r="G5867" s="1" t="str">
        <f t="shared" si="2"/>
        <v/>
      </c>
      <c r="H5867" s="1"/>
      <c r="I5867" s="1"/>
      <c r="J5867" s="1" t="str">
        <f t="shared" si="3"/>
        <v/>
      </c>
      <c r="K5867" s="1" t="str">
        <f t="shared" si="4"/>
        <v/>
      </c>
    </row>
    <row r="5868" hidden="1">
      <c r="A5868" s="1"/>
      <c r="B5868" s="1"/>
      <c r="C5868" s="1"/>
      <c r="D5868" s="1"/>
      <c r="E5868" s="1"/>
      <c r="F5868" s="1" t="str">
        <f t="shared" si="1"/>
        <v/>
      </c>
      <c r="G5868" s="1" t="str">
        <f t="shared" si="2"/>
        <v/>
      </c>
      <c r="H5868" s="1"/>
      <c r="I5868" s="1"/>
      <c r="J5868" s="1" t="str">
        <f t="shared" si="3"/>
        <v/>
      </c>
      <c r="K5868" s="1" t="str">
        <f t="shared" si="4"/>
        <v/>
      </c>
    </row>
    <row r="5869" hidden="1">
      <c r="A5869" s="1"/>
      <c r="B5869" s="1"/>
      <c r="C5869" s="1"/>
      <c r="D5869" s="1"/>
      <c r="E5869" s="1"/>
      <c r="F5869" s="1" t="str">
        <f t="shared" si="1"/>
        <v/>
      </c>
      <c r="G5869" s="1" t="str">
        <f t="shared" si="2"/>
        <v/>
      </c>
      <c r="H5869" s="1"/>
      <c r="I5869" s="1"/>
      <c r="J5869" s="1" t="str">
        <f t="shared" si="3"/>
        <v/>
      </c>
      <c r="K5869" s="1" t="str">
        <f t="shared" si="4"/>
        <v/>
      </c>
    </row>
    <row r="5870" hidden="1">
      <c r="A5870" s="1"/>
      <c r="B5870" s="1"/>
      <c r="C5870" s="1"/>
      <c r="D5870" s="1"/>
      <c r="E5870" s="1"/>
      <c r="F5870" s="1" t="str">
        <f t="shared" si="1"/>
        <v/>
      </c>
      <c r="G5870" s="1" t="str">
        <f t="shared" si="2"/>
        <v/>
      </c>
      <c r="H5870" s="1"/>
      <c r="I5870" s="1"/>
      <c r="J5870" s="1" t="str">
        <f t="shared" si="3"/>
        <v/>
      </c>
      <c r="K5870" s="1" t="str">
        <f t="shared" si="4"/>
        <v/>
      </c>
    </row>
    <row r="5871" hidden="1">
      <c r="A5871" s="1"/>
      <c r="B5871" s="1"/>
      <c r="C5871" s="1"/>
      <c r="D5871" s="1"/>
      <c r="E5871" s="1"/>
      <c r="F5871" s="1" t="str">
        <f t="shared" si="1"/>
        <v/>
      </c>
      <c r="G5871" s="1" t="str">
        <f t="shared" si="2"/>
        <v/>
      </c>
      <c r="H5871" s="1"/>
      <c r="I5871" s="1"/>
      <c r="J5871" s="1" t="str">
        <f t="shared" si="3"/>
        <v/>
      </c>
      <c r="K5871" s="1" t="str">
        <f t="shared" si="4"/>
        <v/>
      </c>
    </row>
    <row r="5872" hidden="1">
      <c r="A5872" s="1"/>
      <c r="B5872" s="1"/>
      <c r="C5872" s="1"/>
      <c r="D5872" s="1"/>
      <c r="E5872" s="1"/>
      <c r="F5872" s="1" t="str">
        <f t="shared" si="1"/>
        <v/>
      </c>
      <c r="G5872" s="1" t="str">
        <f t="shared" si="2"/>
        <v/>
      </c>
      <c r="H5872" s="1"/>
      <c r="I5872" s="1"/>
      <c r="J5872" s="1" t="str">
        <f t="shared" si="3"/>
        <v/>
      </c>
      <c r="K5872" s="1" t="str">
        <f t="shared" si="4"/>
        <v/>
      </c>
    </row>
    <row r="5873" hidden="1">
      <c r="A5873" s="1"/>
      <c r="B5873" s="1"/>
      <c r="C5873" s="1"/>
      <c r="D5873" s="1"/>
      <c r="E5873" s="1"/>
      <c r="F5873" s="1" t="str">
        <f t="shared" si="1"/>
        <v/>
      </c>
      <c r="G5873" s="1" t="str">
        <f t="shared" si="2"/>
        <v/>
      </c>
      <c r="H5873" s="1"/>
      <c r="I5873" s="1"/>
      <c r="J5873" s="1" t="str">
        <f t="shared" si="3"/>
        <v/>
      </c>
      <c r="K5873" s="1" t="str">
        <f t="shared" si="4"/>
        <v/>
      </c>
    </row>
    <row r="5874" hidden="1">
      <c r="A5874" s="1"/>
      <c r="B5874" s="1"/>
      <c r="C5874" s="1"/>
      <c r="D5874" s="1"/>
      <c r="E5874" s="1"/>
      <c r="F5874" s="1" t="str">
        <f t="shared" si="1"/>
        <v/>
      </c>
      <c r="G5874" s="1" t="str">
        <f t="shared" si="2"/>
        <v/>
      </c>
      <c r="H5874" s="1"/>
      <c r="I5874" s="1"/>
      <c r="J5874" s="1" t="str">
        <f t="shared" si="3"/>
        <v/>
      </c>
      <c r="K5874" s="1" t="str">
        <f t="shared" si="4"/>
        <v/>
      </c>
    </row>
    <row r="5875" hidden="1">
      <c r="A5875" s="1"/>
      <c r="B5875" s="1"/>
      <c r="C5875" s="1"/>
      <c r="D5875" s="1"/>
      <c r="E5875" s="1"/>
      <c r="F5875" s="1" t="str">
        <f t="shared" si="1"/>
        <v/>
      </c>
      <c r="G5875" s="1" t="str">
        <f t="shared" si="2"/>
        <v/>
      </c>
      <c r="H5875" s="1"/>
      <c r="I5875" s="1"/>
      <c r="J5875" s="1" t="str">
        <f t="shared" si="3"/>
        <v/>
      </c>
      <c r="K5875" s="1" t="str">
        <f t="shared" si="4"/>
        <v/>
      </c>
    </row>
    <row r="5876" hidden="1">
      <c r="A5876" s="1"/>
      <c r="B5876" s="1"/>
      <c r="C5876" s="1"/>
      <c r="D5876" s="1"/>
      <c r="E5876" s="1"/>
      <c r="F5876" s="1" t="str">
        <f t="shared" si="1"/>
        <v/>
      </c>
      <c r="G5876" s="1" t="str">
        <f t="shared" si="2"/>
        <v/>
      </c>
      <c r="H5876" s="1"/>
      <c r="I5876" s="1"/>
      <c r="J5876" s="1" t="str">
        <f t="shared" si="3"/>
        <v/>
      </c>
      <c r="K5876" s="1" t="str">
        <f t="shared" si="4"/>
        <v/>
      </c>
    </row>
    <row r="5877" hidden="1">
      <c r="A5877" s="1"/>
      <c r="B5877" s="1"/>
      <c r="C5877" s="1"/>
      <c r="D5877" s="1"/>
      <c r="E5877" s="1"/>
      <c r="F5877" s="1" t="str">
        <f t="shared" si="1"/>
        <v/>
      </c>
      <c r="G5877" s="1" t="str">
        <f t="shared" si="2"/>
        <v/>
      </c>
      <c r="H5877" s="1"/>
      <c r="I5877" s="1"/>
      <c r="J5877" s="1" t="str">
        <f t="shared" si="3"/>
        <v/>
      </c>
      <c r="K5877" s="1" t="str">
        <f t="shared" si="4"/>
        <v/>
      </c>
    </row>
    <row r="5878" hidden="1">
      <c r="A5878" s="1"/>
      <c r="B5878" s="1"/>
      <c r="C5878" s="1"/>
      <c r="D5878" s="1"/>
      <c r="E5878" s="1"/>
      <c r="F5878" s="1" t="str">
        <f t="shared" si="1"/>
        <v/>
      </c>
      <c r="G5878" s="1" t="str">
        <f t="shared" si="2"/>
        <v/>
      </c>
      <c r="H5878" s="1"/>
      <c r="I5878" s="1"/>
      <c r="J5878" s="1" t="str">
        <f t="shared" si="3"/>
        <v/>
      </c>
      <c r="K5878" s="1" t="str">
        <f t="shared" si="4"/>
        <v/>
      </c>
    </row>
    <row r="5879" hidden="1">
      <c r="A5879" s="1"/>
      <c r="B5879" s="1"/>
      <c r="C5879" s="1"/>
      <c r="D5879" s="1"/>
      <c r="E5879" s="1"/>
      <c r="F5879" s="1" t="str">
        <f t="shared" si="1"/>
        <v/>
      </c>
      <c r="G5879" s="1" t="str">
        <f t="shared" si="2"/>
        <v/>
      </c>
      <c r="H5879" s="1"/>
      <c r="I5879" s="1"/>
      <c r="J5879" s="1" t="str">
        <f t="shared" si="3"/>
        <v/>
      </c>
      <c r="K5879" s="1" t="str">
        <f t="shared" si="4"/>
        <v/>
      </c>
    </row>
    <row r="5880" hidden="1">
      <c r="A5880" s="1"/>
      <c r="B5880" s="1"/>
      <c r="C5880" s="1"/>
      <c r="D5880" s="1"/>
      <c r="E5880" s="1"/>
      <c r="F5880" s="1" t="str">
        <f t="shared" si="1"/>
        <v/>
      </c>
      <c r="G5880" s="1" t="str">
        <f t="shared" si="2"/>
        <v/>
      </c>
      <c r="H5880" s="1"/>
      <c r="I5880" s="1"/>
      <c r="J5880" s="1" t="str">
        <f t="shared" si="3"/>
        <v/>
      </c>
      <c r="K5880" s="1" t="str">
        <f t="shared" si="4"/>
        <v/>
      </c>
    </row>
    <row r="5881" hidden="1">
      <c r="A5881" s="1"/>
      <c r="B5881" s="1"/>
      <c r="C5881" s="1"/>
      <c r="D5881" s="1"/>
      <c r="E5881" s="1"/>
      <c r="F5881" s="1" t="str">
        <f t="shared" si="1"/>
        <v/>
      </c>
      <c r="G5881" s="1" t="str">
        <f t="shared" si="2"/>
        <v/>
      </c>
      <c r="H5881" s="1"/>
      <c r="I5881" s="1"/>
      <c r="J5881" s="1" t="str">
        <f t="shared" si="3"/>
        <v/>
      </c>
      <c r="K5881" s="1" t="str">
        <f t="shared" si="4"/>
        <v/>
      </c>
    </row>
    <row r="5882" hidden="1">
      <c r="A5882" s="1"/>
      <c r="B5882" s="1"/>
      <c r="C5882" s="1"/>
      <c r="D5882" s="1"/>
      <c r="E5882" s="1"/>
      <c r="F5882" s="1" t="str">
        <f t="shared" si="1"/>
        <v/>
      </c>
      <c r="G5882" s="1" t="str">
        <f t="shared" si="2"/>
        <v/>
      </c>
      <c r="H5882" s="1"/>
      <c r="I5882" s="1"/>
      <c r="J5882" s="1" t="str">
        <f t="shared" si="3"/>
        <v/>
      </c>
      <c r="K5882" s="1" t="str">
        <f t="shared" si="4"/>
        <v/>
      </c>
    </row>
    <row r="5883" hidden="1">
      <c r="A5883" s="1"/>
      <c r="B5883" s="1"/>
      <c r="C5883" s="1"/>
      <c r="D5883" s="1"/>
      <c r="E5883" s="1"/>
      <c r="F5883" s="1" t="str">
        <f t="shared" si="1"/>
        <v/>
      </c>
      <c r="G5883" s="1" t="str">
        <f t="shared" si="2"/>
        <v/>
      </c>
      <c r="H5883" s="1"/>
      <c r="I5883" s="1"/>
      <c r="J5883" s="1" t="str">
        <f t="shared" si="3"/>
        <v/>
      </c>
      <c r="K5883" s="1" t="str">
        <f t="shared" si="4"/>
        <v/>
      </c>
    </row>
    <row r="5884" hidden="1">
      <c r="A5884" s="1"/>
      <c r="B5884" s="1"/>
      <c r="C5884" s="1"/>
      <c r="D5884" s="1"/>
      <c r="E5884" s="1"/>
      <c r="F5884" s="1" t="str">
        <f t="shared" si="1"/>
        <v/>
      </c>
      <c r="G5884" s="1" t="str">
        <f t="shared" si="2"/>
        <v/>
      </c>
      <c r="H5884" s="1"/>
      <c r="I5884" s="1"/>
      <c r="J5884" s="1" t="str">
        <f t="shared" si="3"/>
        <v/>
      </c>
      <c r="K5884" s="1" t="str">
        <f t="shared" si="4"/>
        <v/>
      </c>
    </row>
    <row r="5885" hidden="1">
      <c r="A5885" s="1"/>
      <c r="B5885" s="1"/>
      <c r="C5885" s="1"/>
      <c r="D5885" s="1"/>
      <c r="E5885" s="1"/>
      <c r="F5885" s="1" t="str">
        <f t="shared" si="1"/>
        <v/>
      </c>
      <c r="G5885" s="1" t="str">
        <f t="shared" si="2"/>
        <v/>
      </c>
      <c r="H5885" s="1"/>
      <c r="I5885" s="1"/>
      <c r="J5885" s="1" t="str">
        <f t="shared" si="3"/>
        <v/>
      </c>
      <c r="K5885" s="1" t="str">
        <f t="shared" si="4"/>
        <v/>
      </c>
    </row>
    <row r="5886" hidden="1">
      <c r="A5886" s="1"/>
      <c r="B5886" s="1"/>
      <c r="C5886" s="1"/>
      <c r="D5886" s="1"/>
      <c r="E5886" s="1"/>
      <c r="F5886" s="1" t="str">
        <f t="shared" si="1"/>
        <v/>
      </c>
      <c r="G5886" s="1" t="str">
        <f t="shared" si="2"/>
        <v/>
      </c>
      <c r="H5886" s="1"/>
      <c r="I5886" s="1"/>
      <c r="J5886" s="1" t="str">
        <f t="shared" si="3"/>
        <v/>
      </c>
      <c r="K5886" s="1" t="str">
        <f t="shared" si="4"/>
        <v/>
      </c>
    </row>
    <row r="5887" hidden="1">
      <c r="A5887" s="1"/>
      <c r="B5887" s="1"/>
      <c r="C5887" s="1"/>
      <c r="D5887" s="1"/>
      <c r="E5887" s="1"/>
      <c r="F5887" s="1" t="str">
        <f t="shared" si="1"/>
        <v/>
      </c>
      <c r="G5887" s="1" t="str">
        <f t="shared" si="2"/>
        <v/>
      </c>
      <c r="H5887" s="1"/>
      <c r="I5887" s="1"/>
      <c r="J5887" s="1" t="str">
        <f t="shared" si="3"/>
        <v/>
      </c>
      <c r="K5887" s="1" t="str">
        <f t="shared" si="4"/>
        <v/>
      </c>
    </row>
    <row r="5888" hidden="1">
      <c r="A5888" s="1"/>
      <c r="B5888" s="1"/>
      <c r="C5888" s="1"/>
      <c r="D5888" s="1"/>
      <c r="E5888" s="1"/>
      <c r="F5888" s="1" t="str">
        <f t="shared" si="1"/>
        <v/>
      </c>
      <c r="G5888" s="1" t="str">
        <f t="shared" si="2"/>
        <v/>
      </c>
      <c r="H5888" s="1"/>
      <c r="I5888" s="1"/>
      <c r="J5888" s="1" t="str">
        <f t="shared" si="3"/>
        <v/>
      </c>
      <c r="K5888" s="1" t="str">
        <f t="shared" si="4"/>
        <v/>
      </c>
    </row>
    <row r="5889" hidden="1">
      <c r="A5889" s="1"/>
      <c r="B5889" s="1"/>
      <c r="C5889" s="1"/>
      <c r="D5889" s="1"/>
      <c r="E5889" s="1"/>
      <c r="F5889" s="1" t="str">
        <f t="shared" si="1"/>
        <v/>
      </c>
      <c r="G5889" s="1" t="str">
        <f t="shared" si="2"/>
        <v/>
      </c>
      <c r="H5889" s="1"/>
      <c r="I5889" s="1"/>
      <c r="J5889" s="1" t="str">
        <f t="shared" si="3"/>
        <v/>
      </c>
      <c r="K5889" s="1" t="str">
        <f t="shared" si="4"/>
        <v/>
      </c>
    </row>
    <row r="5890" hidden="1">
      <c r="A5890" s="1"/>
      <c r="B5890" s="1"/>
      <c r="C5890" s="1"/>
      <c r="D5890" s="1"/>
      <c r="E5890" s="1"/>
      <c r="F5890" s="1" t="str">
        <f t="shared" si="1"/>
        <v/>
      </c>
      <c r="G5890" s="1" t="str">
        <f t="shared" si="2"/>
        <v/>
      </c>
      <c r="H5890" s="1"/>
      <c r="I5890" s="1"/>
      <c r="J5890" s="1" t="str">
        <f t="shared" si="3"/>
        <v/>
      </c>
      <c r="K5890" s="1" t="str">
        <f t="shared" si="4"/>
        <v/>
      </c>
    </row>
    <row r="5891" hidden="1">
      <c r="A5891" s="1"/>
      <c r="B5891" s="1"/>
      <c r="C5891" s="1"/>
      <c r="D5891" s="1"/>
      <c r="E5891" s="1"/>
      <c r="F5891" s="1" t="str">
        <f t="shared" si="1"/>
        <v/>
      </c>
      <c r="G5891" s="1" t="str">
        <f t="shared" si="2"/>
        <v/>
      </c>
      <c r="H5891" s="1"/>
      <c r="I5891" s="1"/>
      <c r="J5891" s="1" t="str">
        <f t="shared" si="3"/>
        <v/>
      </c>
      <c r="K5891" s="1" t="str">
        <f t="shared" si="4"/>
        <v/>
      </c>
    </row>
    <row r="5892" hidden="1">
      <c r="A5892" s="1"/>
      <c r="B5892" s="1"/>
      <c r="C5892" s="1"/>
      <c r="D5892" s="1"/>
      <c r="E5892" s="1"/>
      <c r="F5892" s="1" t="str">
        <f t="shared" si="1"/>
        <v/>
      </c>
      <c r="G5892" s="1" t="str">
        <f t="shared" si="2"/>
        <v/>
      </c>
      <c r="H5892" s="1"/>
      <c r="I5892" s="1"/>
      <c r="J5892" s="1" t="str">
        <f t="shared" si="3"/>
        <v/>
      </c>
      <c r="K5892" s="1" t="str">
        <f t="shared" si="4"/>
        <v/>
      </c>
    </row>
    <row r="5893" hidden="1">
      <c r="A5893" s="1"/>
      <c r="B5893" s="1"/>
      <c r="C5893" s="1"/>
      <c r="D5893" s="1"/>
      <c r="E5893" s="1"/>
      <c r="F5893" s="1" t="str">
        <f t="shared" si="1"/>
        <v/>
      </c>
      <c r="G5893" s="1" t="str">
        <f t="shared" si="2"/>
        <v/>
      </c>
      <c r="H5893" s="1"/>
      <c r="I5893" s="1"/>
      <c r="J5893" s="1" t="str">
        <f t="shared" si="3"/>
        <v/>
      </c>
      <c r="K5893" s="1" t="str">
        <f t="shared" si="4"/>
        <v/>
      </c>
    </row>
    <row r="5894" hidden="1">
      <c r="A5894" s="1"/>
      <c r="B5894" s="1"/>
      <c r="C5894" s="1"/>
      <c r="D5894" s="1"/>
      <c r="E5894" s="1"/>
      <c r="F5894" s="1" t="str">
        <f t="shared" si="1"/>
        <v/>
      </c>
      <c r="G5894" s="1" t="str">
        <f t="shared" si="2"/>
        <v/>
      </c>
      <c r="H5894" s="1"/>
      <c r="I5894" s="1"/>
      <c r="J5894" s="1" t="str">
        <f t="shared" si="3"/>
        <v/>
      </c>
      <c r="K5894" s="1" t="str">
        <f t="shared" si="4"/>
        <v/>
      </c>
    </row>
    <row r="5895" hidden="1">
      <c r="A5895" s="1"/>
      <c r="B5895" s="1"/>
      <c r="C5895" s="1"/>
      <c r="D5895" s="1"/>
      <c r="E5895" s="1"/>
      <c r="F5895" s="1" t="str">
        <f t="shared" si="1"/>
        <v/>
      </c>
      <c r="G5895" s="1" t="str">
        <f t="shared" si="2"/>
        <v/>
      </c>
      <c r="H5895" s="1"/>
      <c r="I5895" s="1"/>
      <c r="J5895" s="1" t="str">
        <f t="shared" si="3"/>
        <v/>
      </c>
      <c r="K5895" s="1" t="str">
        <f t="shared" si="4"/>
        <v/>
      </c>
    </row>
    <row r="5896" hidden="1">
      <c r="A5896" s="1"/>
      <c r="B5896" s="1"/>
      <c r="C5896" s="1"/>
      <c r="D5896" s="1"/>
      <c r="E5896" s="1"/>
      <c r="F5896" s="1" t="str">
        <f t="shared" si="1"/>
        <v/>
      </c>
      <c r="G5896" s="1" t="str">
        <f t="shared" si="2"/>
        <v/>
      </c>
      <c r="H5896" s="1"/>
      <c r="I5896" s="1"/>
      <c r="J5896" s="1" t="str">
        <f t="shared" si="3"/>
        <v/>
      </c>
      <c r="K5896" s="1" t="str">
        <f t="shared" si="4"/>
        <v/>
      </c>
    </row>
    <row r="5897" hidden="1">
      <c r="A5897" s="1"/>
      <c r="B5897" s="1"/>
      <c r="C5897" s="1"/>
      <c r="D5897" s="1"/>
      <c r="E5897" s="1"/>
      <c r="F5897" s="1" t="str">
        <f t="shared" si="1"/>
        <v/>
      </c>
      <c r="G5897" s="1" t="str">
        <f t="shared" si="2"/>
        <v/>
      </c>
      <c r="H5897" s="1"/>
      <c r="I5897" s="1"/>
      <c r="J5897" s="1" t="str">
        <f t="shared" si="3"/>
        <v/>
      </c>
      <c r="K5897" s="1" t="str">
        <f t="shared" si="4"/>
        <v/>
      </c>
    </row>
    <row r="5898" hidden="1">
      <c r="A5898" s="1"/>
      <c r="B5898" s="1"/>
      <c r="C5898" s="1"/>
      <c r="D5898" s="1"/>
      <c r="E5898" s="1"/>
      <c r="F5898" s="1" t="str">
        <f t="shared" si="1"/>
        <v/>
      </c>
      <c r="G5898" s="1" t="str">
        <f t="shared" si="2"/>
        <v/>
      </c>
      <c r="H5898" s="1"/>
      <c r="I5898" s="1"/>
      <c r="J5898" s="1" t="str">
        <f t="shared" si="3"/>
        <v/>
      </c>
      <c r="K5898" s="1" t="str">
        <f t="shared" si="4"/>
        <v/>
      </c>
    </row>
    <row r="5899" hidden="1">
      <c r="A5899" s="1"/>
      <c r="B5899" s="1"/>
      <c r="C5899" s="1"/>
      <c r="D5899" s="1"/>
      <c r="E5899" s="1"/>
      <c r="F5899" s="1" t="str">
        <f t="shared" si="1"/>
        <v/>
      </c>
      <c r="G5899" s="1" t="str">
        <f t="shared" si="2"/>
        <v/>
      </c>
      <c r="H5899" s="1"/>
      <c r="I5899" s="1"/>
      <c r="J5899" s="1" t="str">
        <f t="shared" si="3"/>
        <v/>
      </c>
      <c r="K5899" s="1" t="str">
        <f t="shared" si="4"/>
        <v/>
      </c>
    </row>
    <row r="5900" hidden="1">
      <c r="A5900" s="1"/>
      <c r="B5900" s="1"/>
      <c r="C5900" s="1"/>
      <c r="D5900" s="1"/>
      <c r="E5900" s="1"/>
      <c r="F5900" s="1" t="str">
        <f t="shared" si="1"/>
        <v/>
      </c>
      <c r="G5900" s="1" t="str">
        <f t="shared" si="2"/>
        <v/>
      </c>
      <c r="H5900" s="1"/>
      <c r="I5900" s="1"/>
      <c r="J5900" s="1" t="str">
        <f t="shared" si="3"/>
        <v/>
      </c>
      <c r="K5900" s="1" t="str">
        <f t="shared" si="4"/>
        <v/>
      </c>
    </row>
    <row r="5901" hidden="1">
      <c r="A5901" s="1"/>
      <c r="B5901" s="1"/>
      <c r="C5901" s="1"/>
      <c r="D5901" s="1"/>
      <c r="E5901" s="1"/>
      <c r="F5901" s="1" t="str">
        <f t="shared" si="1"/>
        <v/>
      </c>
      <c r="G5901" s="1" t="str">
        <f t="shared" si="2"/>
        <v/>
      </c>
      <c r="H5901" s="1"/>
      <c r="I5901" s="1"/>
      <c r="J5901" s="1" t="str">
        <f t="shared" si="3"/>
        <v/>
      </c>
      <c r="K5901" s="1" t="str">
        <f t="shared" si="4"/>
        <v/>
      </c>
    </row>
    <row r="5902" hidden="1">
      <c r="A5902" s="1"/>
      <c r="B5902" s="1"/>
      <c r="C5902" s="1"/>
      <c r="D5902" s="1"/>
      <c r="E5902" s="1"/>
      <c r="F5902" s="1" t="str">
        <f t="shared" si="1"/>
        <v/>
      </c>
      <c r="G5902" s="1" t="str">
        <f t="shared" si="2"/>
        <v/>
      </c>
      <c r="H5902" s="1"/>
      <c r="I5902" s="1"/>
      <c r="J5902" s="1" t="str">
        <f t="shared" si="3"/>
        <v/>
      </c>
      <c r="K5902" s="1" t="str">
        <f t="shared" si="4"/>
        <v/>
      </c>
    </row>
    <row r="5903" hidden="1">
      <c r="A5903" s="1"/>
      <c r="B5903" s="1"/>
      <c r="C5903" s="1"/>
      <c r="D5903" s="1"/>
      <c r="E5903" s="1"/>
      <c r="F5903" s="1" t="str">
        <f t="shared" si="1"/>
        <v/>
      </c>
      <c r="G5903" s="1" t="str">
        <f t="shared" si="2"/>
        <v/>
      </c>
      <c r="H5903" s="1"/>
      <c r="I5903" s="1"/>
      <c r="J5903" s="1" t="str">
        <f t="shared" si="3"/>
        <v/>
      </c>
      <c r="K5903" s="1" t="str">
        <f t="shared" si="4"/>
        <v/>
      </c>
    </row>
    <row r="5904" hidden="1">
      <c r="A5904" s="1"/>
      <c r="B5904" s="1"/>
      <c r="C5904" s="1"/>
      <c r="D5904" s="1"/>
      <c r="E5904" s="1"/>
      <c r="F5904" s="1" t="str">
        <f t="shared" si="1"/>
        <v/>
      </c>
      <c r="G5904" s="1" t="str">
        <f t="shared" si="2"/>
        <v/>
      </c>
      <c r="H5904" s="1"/>
      <c r="I5904" s="1"/>
      <c r="J5904" s="1" t="str">
        <f t="shared" si="3"/>
        <v/>
      </c>
      <c r="K5904" s="1" t="str">
        <f t="shared" si="4"/>
        <v/>
      </c>
    </row>
    <row r="5905" hidden="1">
      <c r="A5905" s="1"/>
      <c r="B5905" s="1"/>
      <c r="C5905" s="1"/>
      <c r="D5905" s="1"/>
      <c r="E5905" s="1"/>
      <c r="F5905" s="1" t="str">
        <f t="shared" si="1"/>
        <v/>
      </c>
      <c r="G5905" s="1" t="str">
        <f t="shared" si="2"/>
        <v/>
      </c>
      <c r="H5905" s="1"/>
      <c r="I5905" s="1"/>
      <c r="J5905" s="1" t="str">
        <f t="shared" si="3"/>
        <v/>
      </c>
      <c r="K5905" s="1" t="str">
        <f t="shared" si="4"/>
        <v/>
      </c>
    </row>
    <row r="5906" hidden="1">
      <c r="A5906" s="1"/>
      <c r="B5906" s="1"/>
      <c r="C5906" s="1"/>
      <c r="D5906" s="1"/>
      <c r="E5906" s="1"/>
      <c r="F5906" s="1" t="str">
        <f t="shared" si="1"/>
        <v/>
      </c>
      <c r="G5906" s="1" t="str">
        <f t="shared" si="2"/>
        <v/>
      </c>
      <c r="H5906" s="1"/>
      <c r="I5906" s="1"/>
      <c r="J5906" s="1" t="str">
        <f t="shared" si="3"/>
        <v/>
      </c>
      <c r="K5906" s="1" t="str">
        <f t="shared" si="4"/>
        <v/>
      </c>
    </row>
    <row r="5907" hidden="1">
      <c r="A5907" s="1"/>
      <c r="B5907" s="1"/>
      <c r="C5907" s="1"/>
      <c r="D5907" s="1"/>
      <c r="E5907" s="1"/>
      <c r="F5907" s="1" t="str">
        <f t="shared" si="1"/>
        <v/>
      </c>
      <c r="G5907" s="1" t="str">
        <f t="shared" si="2"/>
        <v/>
      </c>
      <c r="H5907" s="1"/>
      <c r="I5907" s="1"/>
      <c r="J5907" s="1" t="str">
        <f t="shared" si="3"/>
        <v/>
      </c>
      <c r="K5907" s="1" t="str">
        <f t="shared" si="4"/>
        <v/>
      </c>
    </row>
    <row r="5908" hidden="1">
      <c r="A5908" s="1"/>
      <c r="B5908" s="1"/>
      <c r="C5908" s="1"/>
      <c r="D5908" s="1"/>
      <c r="E5908" s="1"/>
      <c r="F5908" s="1" t="str">
        <f t="shared" si="1"/>
        <v/>
      </c>
      <c r="G5908" s="1" t="str">
        <f t="shared" si="2"/>
        <v/>
      </c>
      <c r="H5908" s="1"/>
      <c r="I5908" s="1"/>
      <c r="J5908" s="1" t="str">
        <f t="shared" si="3"/>
        <v/>
      </c>
      <c r="K5908" s="1" t="str">
        <f t="shared" si="4"/>
        <v/>
      </c>
    </row>
    <row r="5909" hidden="1">
      <c r="A5909" s="1"/>
      <c r="B5909" s="1"/>
      <c r="C5909" s="1"/>
      <c r="D5909" s="1"/>
      <c r="E5909" s="1"/>
      <c r="F5909" s="1" t="str">
        <f t="shared" si="1"/>
        <v/>
      </c>
      <c r="G5909" s="1" t="str">
        <f t="shared" si="2"/>
        <v/>
      </c>
      <c r="H5909" s="1"/>
      <c r="I5909" s="1"/>
      <c r="J5909" s="1" t="str">
        <f t="shared" si="3"/>
        <v/>
      </c>
      <c r="K5909" s="1" t="str">
        <f t="shared" si="4"/>
        <v/>
      </c>
    </row>
    <row r="5910" hidden="1">
      <c r="A5910" s="1"/>
      <c r="B5910" s="1"/>
      <c r="C5910" s="1"/>
      <c r="D5910" s="1"/>
      <c r="E5910" s="1"/>
      <c r="F5910" s="1" t="str">
        <f t="shared" si="1"/>
        <v/>
      </c>
      <c r="G5910" s="1" t="str">
        <f t="shared" si="2"/>
        <v/>
      </c>
      <c r="H5910" s="1"/>
      <c r="I5910" s="1"/>
      <c r="J5910" s="1" t="str">
        <f t="shared" si="3"/>
        <v/>
      </c>
      <c r="K5910" s="1" t="str">
        <f t="shared" si="4"/>
        <v/>
      </c>
    </row>
    <row r="5911" hidden="1">
      <c r="A5911" s="1"/>
      <c r="B5911" s="1"/>
      <c r="C5911" s="1"/>
      <c r="D5911" s="1"/>
      <c r="E5911" s="1"/>
      <c r="F5911" s="1" t="str">
        <f t="shared" si="1"/>
        <v/>
      </c>
      <c r="G5911" s="1" t="str">
        <f t="shared" si="2"/>
        <v/>
      </c>
      <c r="H5911" s="1"/>
      <c r="I5911" s="1"/>
      <c r="J5911" s="1" t="str">
        <f t="shared" si="3"/>
        <v/>
      </c>
      <c r="K5911" s="1" t="str">
        <f t="shared" si="4"/>
        <v/>
      </c>
    </row>
    <row r="5912" hidden="1">
      <c r="A5912" s="1"/>
      <c r="B5912" s="1"/>
      <c r="C5912" s="1"/>
      <c r="D5912" s="1"/>
      <c r="E5912" s="1"/>
      <c r="F5912" s="1" t="str">
        <f t="shared" si="1"/>
        <v/>
      </c>
      <c r="G5912" s="1" t="str">
        <f t="shared" si="2"/>
        <v/>
      </c>
      <c r="H5912" s="1"/>
      <c r="I5912" s="1"/>
      <c r="J5912" s="1" t="str">
        <f t="shared" si="3"/>
        <v/>
      </c>
      <c r="K5912" s="1" t="str">
        <f t="shared" si="4"/>
        <v/>
      </c>
    </row>
    <row r="5913" hidden="1">
      <c r="A5913" s="1"/>
      <c r="B5913" s="1"/>
      <c r="C5913" s="1"/>
      <c r="D5913" s="1"/>
      <c r="E5913" s="1"/>
      <c r="F5913" s="1" t="str">
        <f t="shared" si="1"/>
        <v/>
      </c>
      <c r="G5913" s="1" t="str">
        <f t="shared" si="2"/>
        <v/>
      </c>
      <c r="H5913" s="1"/>
      <c r="I5913" s="1"/>
      <c r="J5913" s="1" t="str">
        <f t="shared" si="3"/>
        <v/>
      </c>
      <c r="K5913" s="1" t="str">
        <f t="shared" si="4"/>
        <v/>
      </c>
    </row>
    <row r="5914" hidden="1">
      <c r="A5914" s="1"/>
      <c r="B5914" s="1"/>
      <c r="C5914" s="1"/>
      <c r="D5914" s="1"/>
      <c r="E5914" s="1"/>
      <c r="F5914" s="1" t="str">
        <f t="shared" si="1"/>
        <v/>
      </c>
      <c r="G5914" s="1" t="str">
        <f t="shared" si="2"/>
        <v/>
      </c>
      <c r="H5914" s="1"/>
      <c r="I5914" s="1"/>
      <c r="J5914" s="1" t="str">
        <f t="shared" si="3"/>
        <v/>
      </c>
      <c r="K5914" s="1" t="str">
        <f t="shared" si="4"/>
        <v/>
      </c>
    </row>
    <row r="5915" hidden="1">
      <c r="A5915" s="1"/>
      <c r="B5915" s="1"/>
      <c r="C5915" s="1"/>
      <c r="D5915" s="1"/>
      <c r="E5915" s="1"/>
      <c r="F5915" s="1" t="str">
        <f t="shared" si="1"/>
        <v/>
      </c>
      <c r="G5915" s="1" t="str">
        <f t="shared" si="2"/>
        <v/>
      </c>
      <c r="H5915" s="1"/>
      <c r="I5915" s="1"/>
      <c r="J5915" s="1" t="str">
        <f t="shared" si="3"/>
        <v/>
      </c>
      <c r="K5915" s="1" t="str">
        <f t="shared" si="4"/>
        <v/>
      </c>
    </row>
    <row r="5916" hidden="1">
      <c r="A5916" s="1"/>
      <c r="B5916" s="1"/>
      <c r="C5916" s="1"/>
      <c r="D5916" s="1"/>
      <c r="E5916" s="1"/>
      <c r="F5916" s="1" t="str">
        <f t="shared" si="1"/>
        <v/>
      </c>
      <c r="G5916" s="1" t="str">
        <f t="shared" si="2"/>
        <v/>
      </c>
      <c r="H5916" s="1"/>
      <c r="I5916" s="1"/>
      <c r="J5916" s="1" t="str">
        <f t="shared" si="3"/>
        <v/>
      </c>
      <c r="K5916" s="1" t="str">
        <f t="shared" si="4"/>
        <v/>
      </c>
    </row>
    <row r="5917" hidden="1">
      <c r="A5917" s="1"/>
      <c r="B5917" s="1"/>
      <c r="C5917" s="1"/>
      <c r="D5917" s="1"/>
      <c r="E5917" s="1"/>
      <c r="F5917" s="1" t="str">
        <f t="shared" si="1"/>
        <v/>
      </c>
      <c r="G5917" s="1" t="str">
        <f t="shared" si="2"/>
        <v/>
      </c>
      <c r="H5917" s="1"/>
      <c r="I5917" s="1"/>
      <c r="J5917" s="1" t="str">
        <f t="shared" si="3"/>
        <v/>
      </c>
      <c r="K5917" s="1" t="str">
        <f t="shared" si="4"/>
        <v/>
      </c>
    </row>
    <row r="5918" hidden="1">
      <c r="A5918" s="1"/>
      <c r="B5918" s="1"/>
      <c r="C5918" s="1"/>
      <c r="D5918" s="1"/>
      <c r="E5918" s="1"/>
      <c r="F5918" s="1" t="str">
        <f t="shared" si="1"/>
        <v/>
      </c>
      <c r="G5918" s="1" t="str">
        <f t="shared" si="2"/>
        <v/>
      </c>
      <c r="H5918" s="1"/>
      <c r="I5918" s="1"/>
      <c r="J5918" s="1" t="str">
        <f t="shared" si="3"/>
        <v/>
      </c>
      <c r="K5918" s="1" t="str">
        <f t="shared" si="4"/>
        <v/>
      </c>
    </row>
    <row r="5919" hidden="1">
      <c r="A5919" s="1"/>
      <c r="B5919" s="1"/>
      <c r="C5919" s="1"/>
      <c r="D5919" s="1"/>
      <c r="E5919" s="1"/>
      <c r="F5919" s="1" t="str">
        <f t="shared" si="1"/>
        <v/>
      </c>
      <c r="G5919" s="1" t="str">
        <f t="shared" si="2"/>
        <v/>
      </c>
      <c r="H5919" s="1"/>
      <c r="I5919" s="1"/>
      <c r="J5919" s="1" t="str">
        <f t="shared" si="3"/>
        <v/>
      </c>
      <c r="K5919" s="1" t="str">
        <f t="shared" si="4"/>
        <v/>
      </c>
    </row>
    <row r="5920" hidden="1">
      <c r="A5920" s="1"/>
      <c r="B5920" s="1"/>
      <c r="C5920" s="1"/>
      <c r="D5920" s="1"/>
      <c r="E5920" s="1"/>
      <c r="F5920" s="1" t="str">
        <f t="shared" si="1"/>
        <v/>
      </c>
      <c r="G5920" s="1" t="str">
        <f t="shared" si="2"/>
        <v/>
      </c>
      <c r="H5920" s="1"/>
      <c r="I5920" s="1"/>
      <c r="J5920" s="1" t="str">
        <f t="shared" si="3"/>
        <v/>
      </c>
      <c r="K5920" s="1" t="str">
        <f t="shared" si="4"/>
        <v/>
      </c>
    </row>
    <row r="5921" hidden="1">
      <c r="A5921" s="1"/>
      <c r="B5921" s="1"/>
      <c r="C5921" s="1"/>
      <c r="D5921" s="1"/>
      <c r="E5921" s="1"/>
      <c r="F5921" s="1" t="str">
        <f t="shared" si="1"/>
        <v/>
      </c>
      <c r="G5921" s="1" t="str">
        <f t="shared" si="2"/>
        <v/>
      </c>
      <c r="H5921" s="1"/>
      <c r="I5921" s="1"/>
      <c r="J5921" s="1" t="str">
        <f t="shared" si="3"/>
        <v/>
      </c>
      <c r="K5921" s="1" t="str">
        <f t="shared" si="4"/>
        <v/>
      </c>
    </row>
    <row r="5922" hidden="1">
      <c r="A5922" s="1"/>
      <c r="B5922" s="1"/>
      <c r="C5922" s="1"/>
      <c r="D5922" s="1"/>
      <c r="E5922" s="1"/>
      <c r="F5922" s="1" t="str">
        <f t="shared" si="1"/>
        <v/>
      </c>
      <c r="G5922" s="1" t="str">
        <f t="shared" si="2"/>
        <v/>
      </c>
      <c r="H5922" s="1"/>
      <c r="I5922" s="1"/>
      <c r="J5922" s="1" t="str">
        <f t="shared" si="3"/>
        <v/>
      </c>
      <c r="K5922" s="1" t="str">
        <f t="shared" si="4"/>
        <v/>
      </c>
    </row>
    <row r="5923" hidden="1">
      <c r="A5923" s="1"/>
      <c r="B5923" s="1"/>
      <c r="C5923" s="1"/>
      <c r="D5923" s="1"/>
      <c r="E5923" s="1"/>
      <c r="F5923" s="1" t="str">
        <f t="shared" si="1"/>
        <v/>
      </c>
      <c r="G5923" s="1" t="str">
        <f t="shared" si="2"/>
        <v/>
      </c>
      <c r="H5923" s="1"/>
      <c r="I5923" s="1"/>
      <c r="J5923" s="1" t="str">
        <f t="shared" si="3"/>
        <v/>
      </c>
      <c r="K5923" s="1" t="str">
        <f t="shared" si="4"/>
        <v/>
      </c>
    </row>
    <row r="5924" hidden="1">
      <c r="A5924" s="1"/>
      <c r="B5924" s="1"/>
      <c r="C5924" s="1"/>
      <c r="D5924" s="1"/>
      <c r="E5924" s="1"/>
      <c r="F5924" s="1" t="str">
        <f t="shared" si="1"/>
        <v/>
      </c>
      <c r="G5924" s="1" t="str">
        <f t="shared" si="2"/>
        <v/>
      </c>
      <c r="H5924" s="1"/>
      <c r="I5924" s="1"/>
      <c r="J5924" s="1" t="str">
        <f t="shared" si="3"/>
        <v/>
      </c>
      <c r="K5924" s="1" t="str">
        <f t="shared" si="4"/>
        <v/>
      </c>
    </row>
    <row r="5925" hidden="1">
      <c r="A5925" s="1"/>
      <c r="B5925" s="1"/>
      <c r="C5925" s="1"/>
      <c r="D5925" s="1"/>
      <c r="E5925" s="1"/>
      <c r="F5925" s="1" t="str">
        <f t="shared" si="1"/>
        <v/>
      </c>
      <c r="G5925" s="1" t="str">
        <f t="shared" si="2"/>
        <v/>
      </c>
      <c r="H5925" s="1"/>
      <c r="I5925" s="1"/>
      <c r="J5925" s="1" t="str">
        <f t="shared" si="3"/>
        <v/>
      </c>
      <c r="K5925" s="1" t="str">
        <f t="shared" si="4"/>
        <v/>
      </c>
    </row>
    <row r="5926" hidden="1">
      <c r="A5926" s="1"/>
      <c r="B5926" s="1"/>
      <c r="C5926" s="1"/>
      <c r="D5926" s="1"/>
      <c r="E5926" s="1"/>
      <c r="F5926" s="1" t="str">
        <f t="shared" si="1"/>
        <v/>
      </c>
      <c r="G5926" s="1" t="str">
        <f t="shared" si="2"/>
        <v/>
      </c>
      <c r="H5926" s="1"/>
      <c r="I5926" s="1"/>
      <c r="J5926" s="1" t="str">
        <f t="shared" si="3"/>
        <v/>
      </c>
      <c r="K5926" s="1" t="str">
        <f t="shared" si="4"/>
        <v/>
      </c>
    </row>
    <row r="5927" hidden="1">
      <c r="A5927" s="1"/>
      <c r="B5927" s="1"/>
      <c r="C5927" s="1"/>
      <c r="D5927" s="1"/>
      <c r="E5927" s="1"/>
      <c r="F5927" s="1" t="str">
        <f t="shared" si="1"/>
        <v/>
      </c>
      <c r="G5927" s="1" t="str">
        <f t="shared" si="2"/>
        <v/>
      </c>
      <c r="H5927" s="1"/>
      <c r="I5927" s="1"/>
      <c r="J5927" s="1" t="str">
        <f t="shared" si="3"/>
        <v/>
      </c>
      <c r="K5927" s="1" t="str">
        <f t="shared" si="4"/>
        <v/>
      </c>
    </row>
    <row r="5928" hidden="1">
      <c r="A5928" s="1"/>
      <c r="B5928" s="1"/>
      <c r="C5928" s="1"/>
      <c r="D5928" s="1"/>
      <c r="E5928" s="1"/>
      <c r="F5928" s="1" t="str">
        <f t="shared" si="1"/>
        <v/>
      </c>
      <c r="G5928" s="1" t="str">
        <f t="shared" si="2"/>
        <v/>
      </c>
      <c r="H5928" s="1"/>
      <c r="I5928" s="1"/>
      <c r="J5928" s="1" t="str">
        <f t="shared" si="3"/>
        <v/>
      </c>
      <c r="K5928" s="1" t="str">
        <f t="shared" si="4"/>
        <v/>
      </c>
    </row>
    <row r="5929" hidden="1">
      <c r="A5929" s="1"/>
      <c r="B5929" s="1"/>
      <c r="C5929" s="1"/>
      <c r="D5929" s="1"/>
      <c r="E5929" s="1"/>
      <c r="F5929" s="1" t="str">
        <f t="shared" si="1"/>
        <v/>
      </c>
      <c r="G5929" s="1" t="str">
        <f t="shared" si="2"/>
        <v/>
      </c>
      <c r="H5929" s="1"/>
      <c r="I5929" s="1"/>
      <c r="J5929" s="1" t="str">
        <f t="shared" si="3"/>
        <v/>
      </c>
      <c r="K5929" s="1" t="str">
        <f t="shared" si="4"/>
        <v/>
      </c>
    </row>
    <row r="5930" hidden="1">
      <c r="A5930" s="1"/>
      <c r="B5930" s="1"/>
      <c r="C5930" s="1"/>
      <c r="D5930" s="1"/>
      <c r="E5930" s="1"/>
      <c r="F5930" s="1" t="str">
        <f t="shared" si="1"/>
        <v/>
      </c>
      <c r="G5930" s="1" t="str">
        <f t="shared" si="2"/>
        <v/>
      </c>
      <c r="H5930" s="1"/>
      <c r="I5930" s="1"/>
      <c r="J5930" s="1" t="str">
        <f t="shared" si="3"/>
        <v/>
      </c>
      <c r="K5930" s="1" t="str">
        <f t="shared" si="4"/>
        <v/>
      </c>
    </row>
    <row r="5931" hidden="1">
      <c r="A5931" s="1"/>
      <c r="B5931" s="1"/>
      <c r="C5931" s="1"/>
      <c r="D5931" s="1"/>
      <c r="E5931" s="1"/>
      <c r="F5931" s="1" t="str">
        <f t="shared" si="1"/>
        <v/>
      </c>
      <c r="G5931" s="1" t="str">
        <f t="shared" si="2"/>
        <v/>
      </c>
      <c r="H5931" s="1"/>
      <c r="I5931" s="1"/>
      <c r="J5931" s="1" t="str">
        <f t="shared" si="3"/>
        <v/>
      </c>
      <c r="K5931" s="1" t="str">
        <f t="shared" si="4"/>
        <v/>
      </c>
    </row>
    <row r="5932" hidden="1">
      <c r="A5932" s="1"/>
      <c r="B5932" s="1"/>
      <c r="C5932" s="1"/>
      <c r="D5932" s="1"/>
      <c r="E5932" s="1"/>
      <c r="F5932" s="1" t="str">
        <f t="shared" si="1"/>
        <v/>
      </c>
      <c r="G5932" s="1" t="str">
        <f t="shared" si="2"/>
        <v/>
      </c>
      <c r="H5932" s="1"/>
      <c r="I5932" s="1"/>
      <c r="J5932" s="1" t="str">
        <f t="shared" si="3"/>
        <v/>
      </c>
      <c r="K5932" s="1" t="str">
        <f t="shared" si="4"/>
        <v/>
      </c>
    </row>
    <row r="5933" hidden="1">
      <c r="A5933" s="1"/>
      <c r="B5933" s="1"/>
      <c r="C5933" s="1"/>
      <c r="D5933" s="1"/>
      <c r="E5933" s="1"/>
      <c r="F5933" s="1" t="str">
        <f t="shared" si="1"/>
        <v/>
      </c>
      <c r="G5933" s="1" t="str">
        <f t="shared" si="2"/>
        <v/>
      </c>
      <c r="H5933" s="1"/>
      <c r="I5933" s="1"/>
      <c r="J5933" s="1" t="str">
        <f t="shared" si="3"/>
        <v/>
      </c>
      <c r="K5933" s="1" t="str">
        <f t="shared" si="4"/>
        <v/>
      </c>
    </row>
    <row r="5934" hidden="1">
      <c r="A5934" s="1"/>
      <c r="B5934" s="1"/>
      <c r="C5934" s="1"/>
      <c r="D5934" s="1"/>
      <c r="E5934" s="1"/>
      <c r="F5934" s="1" t="str">
        <f t="shared" si="1"/>
        <v/>
      </c>
      <c r="G5934" s="1" t="str">
        <f t="shared" si="2"/>
        <v/>
      </c>
      <c r="H5934" s="1"/>
      <c r="I5934" s="1"/>
      <c r="J5934" s="1" t="str">
        <f t="shared" si="3"/>
        <v/>
      </c>
      <c r="K5934" s="1" t="str">
        <f t="shared" si="4"/>
        <v/>
      </c>
    </row>
    <row r="5935" hidden="1">
      <c r="A5935" s="1"/>
      <c r="B5935" s="1"/>
      <c r="C5935" s="1"/>
      <c r="D5935" s="1"/>
      <c r="E5935" s="1"/>
      <c r="F5935" s="1" t="str">
        <f t="shared" si="1"/>
        <v/>
      </c>
      <c r="G5935" s="1" t="str">
        <f t="shared" si="2"/>
        <v/>
      </c>
      <c r="H5935" s="1"/>
      <c r="I5935" s="1"/>
      <c r="J5935" s="1" t="str">
        <f t="shared" si="3"/>
        <v/>
      </c>
      <c r="K5935" s="1" t="str">
        <f t="shared" si="4"/>
        <v/>
      </c>
    </row>
    <row r="5936" hidden="1">
      <c r="A5936" s="1"/>
      <c r="B5936" s="1"/>
      <c r="C5936" s="1"/>
      <c r="D5936" s="1"/>
      <c r="E5936" s="1"/>
      <c r="F5936" s="1" t="str">
        <f t="shared" si="1"/>
        <v/>
      </c>
      <c r="G5936" s="1" t="str">
        <f t="shared" si="2"/>
        <v/>
      </c>
      <c r="H5936" s="1"/>
      <c r="I5936" s="1"/>
      <c r="J5936" s="1" t="str">
        <f t="shared" si="3"/>
        <v/>
      </c>
      <c r="K5936" s="1" t="str">
        <f t="shared" si="4"/>
        <v/>
      </c>
    </row>
    <row r="5937" hidden="1">
      <c r="A5937" s="1"/>
      <c r="B5937" s="1"/>
      <c r="C5937" s="1"/>
      <c r="D5937" s="1"/>
      <c r="E5937" s="1"/>
      <c r="F5937" s="1" t="str">
        <f t="shared" si="1"/>
        <v/>
      </c>
      <c r="G5937" s="1" t="str">
        <f t="shared" si="2"/>
        <v/>
      </c>
      <c r="H5937" s="1"/>
      <c r="I5937" s="1"/>
      <c r="J5937" s="1" t="str">
        <f t="shared" si="3"/>
        <v/>
      </c>
      <c r="K5937" s="1" t="str">
        <f t="shared" si="4"/>
        <v/>
      </c>
    </row>
    <row r="5938" hidden="1">
      <c r="A5938" s="1"/>
      <c r="B5938" s="1"/>
      <c r="C5938" s="1"/>
      <c r="D5938" s="1"/>
      <c r="E5938" s="1"/>
      <c r="F5938" s="1" t="str">
        <f t="shared" si="1"/>
        <v/>
      </c>
      <c r="G5938" s="1" t="str">
        <f t="shared" si="2"/>
        <v/>
      </c>
      <c r="H5938" s="1"/>
      <c r="I5938" s="1"/>
      <c r="J5938" s="1" t="str">
        <f t="shared" si="3"/>
        <v/>
      </c>
      <c r="K5938" s="1" t="str">
        <f t="shared" si="4"/>
        <v/>
      </c>
    </row>
    <row r="5939" hidden="1">
      <c r="A5939" s="1"/>
      <c r="B5939" s="1"/>
      <c r="C5939" s="1"/>
      <c r="D5939" s="1"/>
      <c r="E5939" s="1"/>
      <c r="F5939" s="1" t="str">
        <f t="shared" si="1"/>
        <v/>
      </c>
      <c r="G5939" s="1" t="str">
        <f t="shared" si="2"/>
        <v/>
      </c>
      <c r="H5939" s="1"/>
      <c r="I5939" s="1"/>
      <c r="J5939" s="1" t="str">
        <f t="shared" si="3"/>
        <v/>
      </c>
      <c r="K5939" s="1" t="str">
        <f t="shared" si="4"/>
        <v/>
      </c>
    </row>
    <row r="5940" hidden="1">
      <c r="A5940" s="1"/>
      <c r="B5940" s="1"/>
      <c r="C5940" s="1"/>
      <c r="D5940" s="1"/>
      <c r="E5940" s="1"/>
      <c r="F5940" s="1" t="str">
        <f t="shared" si="1"/>
        <v/>
      </c>
      <c r="G5940" s="1" t="str">
        <f t="shared" si="2"/>
        <v/>
      </c>
      <c r="H5940" s="1"/>
      <c r="I5940" s="1"/>
      <c r="J5940" s="1" t="str">
        <f t="shared" si="3"/>
        <v/>
      </c>
      <c r="K5940" s="1" t="str">
        <f t="shared" si="4"/>
        <v/>
      </c>
    </row>
    <row r="5941" hidden="1">
      <c r="A5941" s="1"/>
      <c r="B5941" s="1"/>
      <c r="C5941" s="1"/>
      <c r="D5941" s="1"/>
      <c r="E5941" s="1"/>
      <c r="F5941" s="1" t="str">
        <f t="shared" si="1"/>
        <v/>
      </c>
      <c r="G5941" s="1" t="str">
        <f t="shared" si="2"/>
        <v/>
      </c>
      <c r="H5941" s="1"/>
      <c r="I5941" s="1"/>
      <c r="J5941" s="1" t="str">
        <f t="shared" si="3"/>
        <v/>
      </c>
      <c r="K5941" s="1" t="str">
        <f t="shared" si="4"/>
        <v/>
      </c>
    </row>
    <row r="5942" hidden="1">
      <c r="A5942" s="1"/>
      <c r="B5942" s="1"/>
      <c r="C5942" s="1"/>
      <c r="D5942" s="1"/>
      <c r="E5942" s="1"/>
      <c r="F5942" s="1" t="str">
        <f t="shared" si="1"/>
        <v/>
      </c>
      <c r="G5942" s="1" t="str">
        <f t="shared" si="2"/>
        <v/>
      </c>
      <c r="H5942" s="1"/>
      <c r="I5942" s="1"/>
      <c r="J5942" s="1" t="str">
        <f t="shared" si="3"/>
        <v/>
      </c>
      <c r="K5942" s="1" t="str">
        <f t="shared" si="4"/>
        <v/>
      </c>
    </row>
    <row r="5943" hidden="1">
      <c r="A5943" s="1"/>
      <c r="B5943" s="1"/>
      <c r="C5943" s="1"/>
      <c r="D5943" s="1"/>
      <c r="E5943" s="1"/>
      <c r="F5943" s="1" t="str">
        <f t="shared" si="1"/>
        <v/>
      </c>
      <c r="G5943" s="1" t="str">
        <f t="shared" si="2"/>
        <v/>
      </c>
      <c r="H5943" s="1"/>
      <c r="I5943" s="1"/>
      <c r="J5943" s="1" t="str">
        <f t="shared" si="3"/>
        <v/>
      </c>
      <c r="K5943" s="1" t="str">
        <f t="shared" si="4"/>
        <v/>
      </c>
    </row>
    <row r="5944" hidden="1">
      <c r="A5944" s="1"/>
      <c r="B5944" s="1"/>
      <c r="C5944" s="1"/>
      <c r="D5944" s="1"/>
      <c r="E5944" s="1"/>
      <c r="F5944" s="1" t="str">
        <f t="shared" si="1"/>
        <v/>
      </c>
      <c r="G5944" s="1" t="str">
        <f t="shared" si="2"/>
        <v/>
      </c>
      <c r="H5944" s="1"/>
      <c r="I5944" s="1"/>
      <c r="J5944" s="1" t="str">
        <f t="shared" si="3"/>
        <v/>
      </c>
      <c r="K5944" s="1" t="str">
        <f t="shared" si="4"/>
        <v/>
      </c>
    </row>
    <row r="5945" hidden="1">
      <c r="A5945" s="1"/>
      <c r="B5945" s="1"/>
      <c r="C5945" s="1"/>
      <c r="D5945" s="1"/>
      <c r="E5945" s="1"/>
      <c r="F5945" s="1" t="str">
        <f t="shared" si="1"/>
        <v/>
      </c>
      <c r="G5945" s="1" t="str">
        <f t="shared" si="2"/>
        <v/>
      </c>
      <c r="H5945" s="1"/>
      <c r="I5945" s="1"/>
      <c r="J5945" s="1" t="str">
        <f t="shared" si="3"/>
        <v/>
      </c>
      <c r="K5945" s="1" t="str">
        <f t="shared" si="4"/>
        <v/>
      </c>
    </row>
    <row r="5946" hidden="1">
      <c r="A5946" s="1"/>
      <c r="B5946" s="1"/>
      <c r="C5946" s="1"/>
      <c r="D5946" s="1"/>
      <c r="E5946" s="1"/>
      <c r="F5946" s="1" t="str">
        <f t="shared" si="1"/>
        <v/>
      </c>
      <c r="G5946" s="1" t="str">
        <f t="shared" si="2"/>
        <v/>
      </c>
      <c r="H5946" s="1"/>
      <c r="I5946" s="1"/>
      <c r="J5946" s="1" t="str">
        <f t="shared" si="3"/>
        <v/>
      </c>
      <c r="K5946" s="1" t="str">
        <f t="shared" si="4"/>
        <v/>
      </c>
    </row>
    <row r="5947" hidden="1">
      <c r="A5947" s="1"/>
      <c r="B5947" s="1"/>
      <c r="C5947" s="1"/>
      <c r="D5947" s="1"/>
      <c r="E5947" s="1"/>
      <c r="F5947" s="1" t="str">
        <f t="shared" si="1"/>
        <v/>
      </c>
      <c r="G5947" s="1" t="str">
        <f t="shared" si="2"/>
        <v/>
      </c>
      <c r="H5947" s="1"/>
      <c r="I5947" s="1"/>
      <c r="J5947" s="1" t="str">
        <f t="shared" si="3"/>
        <v/>
      </c>
      <c r="K5947" s="1" t="str">
        <f t="shared" si="4"/>
        <v/>
      </c>
    </row>
    <row r="5948" hidden="1">
      <c r="A5948" s="1"/>
      <c r="B5948" s="1"/>
      <c r="C5948" s="1"/>
      <c r="D5948" s="1"/>
      <c r="E5948" s="1"/>
      <c r="F5948" s="1" t="str">
        <f t="shared" si="1"/>
        <v/>
      </c>
      <c r="G5948" s="1" t="str">
        <f t="shared" si="2"/>
        <v/>
      </c>
      <c r="H5948" s="1"/>
      <c r="I5948" s="1"/>
      <c r="J5948" s="1" t="str">
        <f t="shared" si="3"/>
        <v/>
      </c>
      <c r="K5948" s="1" t="str">
        <f t="shared" si="4"/>
        <v/>
      </c>
    </row>
    <row r="5949" hidden="1">
      <c r="A5949" s="1"/>
      <c r="B5949" s="1"/>
      <c r="C5949" s="1"/>
      <c r="D5949" s="1"/>
      <c r="E5949" s="1"/>
      <c r="F5949" s="1" t="str">
        <f t="shared" si="1"/>
        <v/>
      </c>
      <c r="G5949" s="1" t="str">
        <f t="shared" si="2"/>
        <v/>
      </c>
      <c r="H5949" s="1"/>
      <c r="I5949" s="1"/>
      <c r="J5949" s="1" t="str">
        <f t="shared" si="3"/>
        <v/>
      </c>
      <c r="K5949" s="1" t="str">
        <f t="shared" si="4"/>
        <v/>
      </c>
    </row>
    <row r="5950" hidden="1">
      <c r="A5950" s="1"/>
      <c r="B5950" s="1"/>
      <c r="C5950" s="1"/>
      <c r="D5950" s="1"/>
      <c r="E5950" s="1"/>
      <c r="F5950" s="1" t="str">
        <f t="shared" si="1"/>
        <v/>
      </c>
      <c r="G5950" s="1" t="str">
        <f t="shared" si="2"/>
        <v/>
      </c>
      <c r="H5950" s="1"/>
      <c r="I5950" s="1"/>
      <c r="J5950" s="1" t="str">
        <f t="shared" si="3"/>
        <v/>
      </c>
      <c r="K5950" s="1" t="str">
        <f t="shared" si="4"/>
        <v/>
      </c>
    </row>
    <row r="5951" hidden="1">
      <c r="A5951" s="1"/>
      <c r="B5951" s="1"/>
      <c r="C5951" s="1"/>
      <c r="D5951" s="1"/>
      <c r="E5951" s="1"/>
      <c r="F5951" s="1" t="str">
        <f t="shared" si="1"/>
        <v/>
      </c>
      <c r="G5951" s="1" t="str">
        <f t="shared" si="2"/>
        <v/>
      </c>
      <c r="H5951" s="1"/>
      <c r="I5951" s="1"/>
      <c r="J5951" s="1" t="str">
        <f t="shared" si="3"/>
        <v/>
      </c>
      <c r="K5951" s="1" t="str">
        <f t="shared" si="4"/>
        <v/>
      </c>
    </row>
    <row r="5952" hidden="1">
      <c r="A5952" s="1"/>
      <c r="B5952" s="1"/>
      <c r="C5952" s="1"/>
      <c r="D5952" s="1"/>
      <c r="E5952" s="1"/>
      <c r="F5952" s="1" t="str">
        <f t="shared" si="1"/>
        <v/>
      </c>
      <c r="G5952" s="1" t="str">
        <f t="shared" si="2"/>
        <v/>
      </c>
      <c r="H5952" s="1"/>
      <c r="I5952" s="1"/>
      <c r="J5952" s="1" t="str">
        <f t="shared" si="3"/>
        <v/>
      </c>
      <c r="K5952" s="1" t="str">
        <f t="shared" si="4"/>
        <v/>
      </c>
    </row>
    <row r="5953" hidden="1">
      <c r="A5953" s="1"/>
      <c r="B5953" s="1"/>
      <c r="C5953" s="1"/>
      <c r="D5953" s="1"/>
      <c r="E5953" s="1"/>
      <c r="F5953" s="1" t="str">
        <f t="shared" si="1"/>
        <v/>
      </c>
      <c r="G5953" s="1" t="str">
        <f t="shared" si="2"/>
        <v/>
      </c>
      <c r="H5953" s="1"/>
      <c r="I5953" s="1"/>
      <c r="J5953" s="1" t="str">
        <f t="shared" si="3"/>
        <v/>
      </c>
      <c r="K5953" s="1" t="str">
        <f t="shared" si="4"/>
        <v/>
      </c>
    </row>
    <row r="5954" hidden="1">
      <c r="A5954" s="1"/>
      <c r="B5954" s="1"/>
      <c r="C5954" s="1"/>
      <c r="D5954" s="1"/>
      <c r="E5954" s="1"/>
      <c r="F5954" s="1" t="str">
        <f t="shared" si="1"/>
        <v/>
      </c>
      <c r="G5954" s="1" t="str">
        <f t="shared" si="2"/>
        <v/>
      </c>
      <c r="H5954" s="1"/>
      <c r="I5954" s="1"/>
      <c r="J5954" s="1" t="str">
        <f t="shared" si="3"/>
        <v/>
      </c>
      <c r="K5954" s="1" t="str">
        <f t="shared" si="4"/>
        <v/>
      </c>
    </row>
    <row r="5955" hidden="1">
      <c r="A5955" s="1"/>
      <c r="B5955" s="1"/>
      <c r="C5955" s="1"/>
      <c r="D5955" s="1"/>
      <c r="E5955" s="1"/>
      <c r="F5955" s="1" t="str">
        <f t="shared" si="1"/>
        <v/>
      </c>
      <c r="G5955" s="1" t="str">
        <f t="shared" si="2"/>
        <v/>
      </c>
      <c r="H5955" s="1"/>
      <c r="I5955" s="1"/>
      <c r="J5955" s="1" t="str">
        <f t="shared" si="3"/>
        <v/>
      </c>
      <c r="K5955" s="1" t="str">
        <f t="shared" si="4"/>
        <v/>
      </c>
    </row>
    <row r="5956" hidden="1">
      <c r="A5956" s="1"/>
      <c r="B5956" s="1"/>
      <c r="C5956" s="1"/>
      <c r="D5956" s="1"/>
      <c r="E5956" s="1"/>
      <c r="F5956" s="1" t="str">
        <f t="shared" si="1"/>
        <v/>
      </c>
      <c r="G5956" s="1" t="str">
        <f t="shared" si="2"/>
        <v/>
      </c>
      <c r="H5956" s="1"/>
      <c r="I5956" s="1"/>
      <c r="J5956" s="1" t="str">
        <f t="shared" si="3"/>
        <v/>
      </c>
      <c r="K5956" s="1" t="str">
        <f t="shared" si="4"/>
        <v/>
      </c>
    </row>
    <row r="5957" hidden="1">
      <c r="A5957" s="1"/>
      <c r="B5957" s="1"/>
      <c r="C5957" s="1"/>
      <c r="D5957" s="1"/>
      <c r="E5957" s="1"/>
      <c r="F5957" s="1" t="str">
        <f t="shared" si="1"/>
        <v/>
      </c>
      <c r="G5957" s="1" t="str">
        <f t="shared" si="2"/>
        <v/>
      </c>
      <c r="H5957" s="1"/>
      <c r="I5957" s="1"/>
      <c r="J5957" s="1" t="str">
        <f t="shared" si="3"/>
        <v/>
      </c>
      <c r="K5957" s="1" t="str">
        <f t="shared" si="4"/>
        <v/>
      </c>
    </row>
    <row r="5958" hidden="1">
      <c r="A5958" s="1"/>
      <c r="B5958" s="1"/>
      <c r="C5958" s="1"/>
      <c r="D5958" s="1"/>
      <c r="E5958" s="1"/>
      <c r="F5958" s="1" t="str">
        <f t="shared" si="1"/>
        <v/>
      </c>
      <c r="G5958" s="1" t="str">
        <f t="shared" si="2"/>
        <v/>
      </c>
      <c r="H5958" s="1"/>
      <c r="I5958" s="1"/>
      <c r="J5958" s="1" t="str">
        <f t="shared" si="3"/>
        <v/>
      </c>
      <c r="K5958" s="1" t="str">
        <f t="shared" si="4"/>
        <v/>
      </c>
    </row>
    <row r="5959" hidden="1">
      <c r="A5959" s="1"/>
      <c r="B5959" s="1"/>
      <c r="C5959" s="1"/>
      <c r="D5959" s="1"/>
      <c r="E5959" s="1"/>
      <c r="F5959" s="1" t="str">
        <f t="shared" si="1"/>
        <v/>
      </c>
      <c r="G5959" s="1" t="str">
        <f t="shared" si="2"/>
        <v/>
      </c>
      <c r="H5959" s="1"/>
      <c r="I5959" s="1"/>
      <c r="J5959" s="1" t="str">
        <f t="shared" si="3"/>
        <v/>
      </c>
      <c r="K5959" s="1" t="str">
        <f t="shared" si="4"/>
        <v/>
      </c>
    </row>
    <row r="5960" hidden="1">
      <c r="A5960" s="1"/>
      <c r="B5960" s="1"/>
      <c r="C5960" s="1"/>
      <c r="D5960" s="1"/>
      <c r="E5960" s="1"/>
      <c r="F5960" s="1" t="str">
        <f t="shared" si="1"/>
        <v/>
      </c>
      <c r="G5960" s="1" t="str">
        <f t="shared" si="2"/>
        <v/>
      </c>
      <c r="H5960" s="1"/>
      <c r="I5960" s="1"/>
      <c r="J5960" s="1" t="str">
        <f t="shared" si="3"/>
        <v/>
      </c>
      <c r="K5960" s="1" t="str">
        <f t="shared" si="4"/>
        <v/>
      </c>
    </row>
    <row r="5961" hidden="1">
      <c r="A5961" s="1"/>
      <c r="B5961" s="1"/>
      <c r="C5961" s="1"/>
      <c r="D5961" s="1"/>
      <c r="E5961" s="1"/>
      <c r="F5961" s="1" t="str">
        <f t="shared" si="1"/>
        <v/>
      </c>
      <c r="G5961" s="1" t="str">
        <f t="shared" si="2"/>
        <v/>
      </c>
      <c r="H5961" s="1"/>
      <c r="I5961" s="1"/>
      <c r="J5961" s="1" t="str">
        <f t="shared" si="3"/>
        <v/>
      </c>
      <c r="K5961" s="1" t="str">
        <f t="shared" si="4"/>
        <v/>
      </c>
    </row>
    <row r="5962" hidden="1">
      <c r="A5962" s="1"/>
      <c r="B5962" s="1"/>
      <c r="C5962" s="1"/>
      <c r="D5962" s="1"/>
      <c r="E5962" s="1"/>
      <c r="F5962" s="1" t="str">
        <f t="shared" si="1"/>
        <v/>
      </c>
      <c r="G5962" s="1" t="str">
        <f t="shared" si="2"/>
        <v/>
      </c>
      <c r="H5962" s="1"/>
      <c r="I5962" s="1"/>
      <c r="J5962" s="1" t="str">
        <f t="shared" si="3"/>
        <v/>
      </c>
      <c r="K5962" s="1" t="str">
        <f t="shared" si="4"/>
        <v/>
      </c>
    </row>
    <row r="5963" hidden="1">
      <c r="A5963" s="1"/>
      <c r="B5963" s="1"/>
      <c r="C5963" s="1"/>
      <c r="D5963" s="1"/>
      <c r="E5963" s="1"/>
      <c r="F5963" s="1" t="str">
        <f t="shared" si="1"/>
        <v/>
      </c>
      <c r="G5963" s="1" t="str">
        <f t="shared" si="2"/>
        <v/>
      </c>
      <c r="H5963" s="1"/>
      <c r="I5963" s="1"/>
      <c r="J5963" s="1" t="str">
        <f t="shared" si="3"/>
        <v/>
      </c>
      <c r="K5963" s="1" t="str">
        <f t="shared" si="4"/>
        <v/>
      </c>
    </row>
    <row r="5964" hidden="1">
      <c r="A5964" s="1"/>
      <c r="B5964" s="1"/>
      <c r="C5964" s="1"/>
      <c r="D5964" s="1"/>
      <c r="E5964" s="1"/>
      <c r="F5964" s="1" t="str">
        <f t="shared" si="1"/>
        <v/>
      </c>
      <c r="G5964" s="1" t="str">
        <f t="shared" si="2"/>
        <v/>
      </c>
      <c r="H5964" s="1"/>
      <c r="I5964" s="1"/>
      <c r="J5964" s="1" t="str">
        <f t="shared" si="3"/>
        <v/>
      </c>
      <c r="K5964" s="1" t="str">
        <f t="shared" si="4"/>
        <v/>
      </c>
    </row>
    <row r="5965" hidden="1">
      <c r="A5965" s="1"/>
      <c r="B5965" s="1"/>
      <c r="C5965" s="1"/>
      <c r="D5965" s="1"/>
      <c r="E5965" s="1"/>
      <c r="F5965" s="1" t="str">
        <f t="shared" si="1"/>
        <v/>
      </c>
      <c r="G5965" s="1" t="str">
        <f t="shared" si="2"/>
        <v/>
      </c>
      <c r="H5965" s="1"/>
      <c r="I5965" s="1"/>
      <c r="J5965" s="1" t="str">
        <f t="shared" si="3"/>
        <v/>
      </c>
      <c r="K5965" s="1" t="str">
        <f t="shared" si="4"/>
        <v/>
      </c>
    </row>
    <row r="5966" hidden="1">
      <c r="A5966" s="1"/>
      <c r="B5966" s="1"/>
      <c r="C5966" s="1"/>
      <c r="D5966" s="1"/>
      <c r="E5966" s="1"/>
      <c r="F5966" s="1" t="str">
        <f t="shared" si="1"/>
        <v/>
      </c>
      <c r="G5966" s="1" t="str">
        <f t="shared" si="2"/>
        <v/>
      </c>
      <c r="H5966" s="1"/>
      <c r="I5966" s="1"/>
      <c r="J5966" s="1" t="str">
        <f t="shared" si="3"/>
        <v/>
      </c>
      <c r="K5966" s="1" t="str">
        <f t="shared" si="4"/>
        <v/>
      </c>
    </row>
    <row r="5967" hidden="1">
      <c r="A5967" s="1"/>
      <c r="B5967" s="1"/>
      <c r="C5967" s="1"/>
      <c r="D5967" s="1"/>
      <c r="E5967" s="1"/>
      <c r="F5967" s="1" t="str">
        <f t="shared" si="1"/>
        <v/>
      </c>
      <c r="G5967" s="1" t="str">
        <f t="shared" si="2"/>
        <v/>
      </c>
      <c r="H5967" s="1"/>
      <c r="I5967" s="1"/>
      <c r="J5967" s="1" t="str">
        <f t="shared" si="3"/>
        <v/>
      </c>
      <c r="K5967" s="1" t="str">
        <f t="shared" si="4"/>
        <v/>
      </c>
    </row>
    <row r="5968" hidden="1">
      <c r="A5968" s="1"/>
      <c r="B5968" s="1"/>
      <c r="C5968" s="1"/>
      <c r="D5968" s="1"/>
      <c r="E5968" s="1"/>
      <c r="F5968" s="1" t="str">
        <f t="shared" si="1"/>
        <v/>
      </c>
      <c r="G5968" s="1" t="str">
        <f t="shared" si="2"/>
        <v/>
      </c>
      <c r="H5968" s="1"/>
      <c r="I5968" s="1"/>
      <c r="J5968" s="1" t="str">
        <f t="shared" si="3"/>
        <v/>
      </c>
      <c r="K5968" s="1" t="str">
        <f t="shared" si="4"/>
        <v/>
      </c>
    </row>
    <row r="5969" hidden="1">
      <c r="A5969" s="1"/>
      <c r="B5969" s="1"/>
      <c r="C5969" s="1"/>
      <c r="D5969" s="1"/>
      <c r="E5969" s="1"/>
      <c r="F5969" s="1" t="str">
        <f t="shared" si="1"/>
        <v/>
      </c>
      <c r="G5969" s="1" t="str">
        <f t="shared" si="2"/>
        <v/>
      </c>
      <c r="H5969" s="1"/>
      <c r="I5969" s="1"/>
      <c r="J5969" s="1" t="str">
        <f t="shared" si="3"/>
        <v/>
      </c>
      <c r="K5969" s="1" t="str">
        <f t="shared" si="4"/>
        <v/>
      </c>
    </row>
    <row r="5970" hidden="1">
      <c r="A5970" s="1"/>
      <c r="B5970" s="1"/>
      <c r="C5970" s="1"/>
      <c r="D5970" s="1"/>
      <c r="E5970" s="1"/>
      <c r="F5970" s="1" t="str">
        <f t="shared" si="1"/>
        <v/>
      </c>
      <c r="G5970" s="1" t="str">
        <f t="shared" si="2"/>
        <v/>
      </c>
      <c r="H5970" s="1"/>
      <c r="I5970" s="1"/>
      <c r="J5970" s="1" t="str">
        <f t="shared" si="3"/>
        <v/>
      </c>
      <c r="K5970" s="1" t="str">
        <f t="shared" si="4"/>
        <v/>
      </c>
    </row>
    <row r="5971" hidden="1">
      <c r="A5971" s="1"/>
      <c r="B5971" s="1"/>
      <c r="C5971" s="1"/>
      <c r="D5971" s="1"/>
      <c r="E5971" s="1"/>
      <c r="F5971" s="1" t="str">
        <f t="shared" si="1"/>
        <v/>
      </c>
      <c r="G5971" s="1" t="str">
        <f t="shared" si="2"/>
        <v/>
      </c>
      <c r="H5971" s="1"/>
      <c r="I5971" s="1"/>
      <c r="J5971" s="1" t="str">
        <f t="shared" si="3"/>
        <v/>
      </c>
      <c r="K5971" s="1" t="str">
        <f t="shared" si="4"/>
        <v/>
      </c>
    </row>
    <row r="5972" hidden="1">
      <c r="A5972" s="1"/>
      <c r="B5972" s="1"/>
      <c r="C5972" s="1"/>
      <c r="D5972" s="1"/>
      <c r="E5972" s="1"/>
      <c r="F5972" s="1" t="str">
        <f t="shared" si="1"/>
        <v/>
      </c>
      <c r="G5972" s="1" t="str">
        <f t="shared" si="2"/>
        <v/>
      </c>
      <c r="H5972" s="1"/>
      <c r="I5972" s="1"/>
      <c r="J5972" s="1" t="str">
        <f t="shared" si="3"/>
        <v/>
      </c>
      <c r="K5972" s="1" t="str">
        <f t="shared" si="4"/>
        <v/>
      </c>
    </row>
    <row r="5973" hidden="1">
      <c r="A5973" s="1"/>
      <c r="B5973" s="1"/>
      <c r="C5973" s="1"/>
      <c r="D5973" s="1"/>
      <c r="E5973" s="1"/>
      <c r="F5973" s="1" t="str">
        <f t="shared" si="1"/>
        <v/>
      </c>
      <c r="G5973" s="1" t="str">
        <f t="shared" si="2"/>
        <v/>
      </c>
      <c r="H5973" s="1"/>
      <c r="I5973" s="1"/>
      <c r="J5973" s="1" t="str">
        <f t="shared" si="3"/>
        <v/>
      </c>
      <c r="K5973" s="1" t="str">
        <f t="shared" si="4"/>
        <v/>
      </c>
    </row>
    <row r="5974" hidden="1">
      <c r="A5974" s="1"/>
      <c r="B5974" s="1"/>
      <c r="C5974" s="1"/>
      <c r="D5974" s="1"/>
      <c r="E5974" s="1"/>
      <c r="F5974" s="1" t="str">
        <f t="shared" si="1"/>
        <v/>
      </c>
      <c r="G5974" s="1" t="str">
        <f t="shared" si="2"/>
        <v/>
      </c>
      <c r="H5974" s="1"/>
      <c r="I5974" s="1"/>
      <c r="J5974" s="1" t="str">
        <f t="shared" si="3"/>
        <v/>
      </c>
      <c r="K5974" s="1" t="str">
        <f t="shared" si="4"/>
        <v/>
      </c>
    </row>
    <row r="5975" hidden="1">
      <c r="A5975" s="1"/>
      <c r="B5975" s="1"/>
      <c r="C5975" s="1"/>
      <c r="D5975" s="1"/>
      <c r="E5975" s="1"/>
      <c r="F5975" s="1" t="str">
        <f t="shared" si="1"/>
        <v/>
      </c>
      <c r="G5975" s="1" t="str">
        <f t="shared" si="2"/>
        <v/>
      </c>
      <c r="H5975" s="1"/>
      <c r="I5975" s="1"/>
      <c r="J5975" s="1" t="str">
        <f t="shared" si="3"/>
        <v/>
      </c>
      <c r="K5975" s="1" t="str">
        <f t="shared" si="4"/>
        <v/>
      </c>
    </row>
    <row r="5976" hidden="1">
      <c r="A5976" s="1"/>
      <c r="B5976" s="1"/>
      <c r="C5976" s="1"/>
      <c r="D5976" s="1"/>
      <c r="E5976" s="1"/>
      <c r="F5976" s="1" t="str">
        <f t="shared" si="1"/>
        <v/>
      </c>
      <c r="G5976" s="1" t="str">
        <f t="shared" si="2"/>
        <v/>
      </c>
      <c r="H5976" s="1"/>
      <c r="I5976" s="1"/>
      <c r="J5976" s="1" t="str">
        <f t="shared" si="3"/>
        <v/>
      </c>
      <c r="K5976" s="1" t="str">
        <f t="shared" si="4"/>
        <v/>
      </c>
    </row>
    <row r="5977" hidden="1">
      <c r="A5977" s="1"/>
      <c r="B5977" s="1"/>
      <c r="C5977" s="1"/>
      <c r="D5977" s="1"/>
      <c r="E5977" s="1"/>
      <c r="F5977" s="1" t="str">
        <f t="shared" si="1"/>
        <v/>
      </c>
      <c r="G5977" s="1" t="str">
        <f t="shared" si="2"/>
        <v/>
      </c>
      <c r="H5977" s="1"/>
      <c r="I5977" s="1"/>
      <c r="J5977" s="1" t="str">
        <f t="shared" si="3"/>
        <v/>
      </c>
      <c r="K5977" s="1" t="str">
        <f t="shared" si="4"/>
        <v/>
      </c>
    </row>
    <row r="5978" hidden="1">
      <c r="A5978" s="1"/>
      <c r="B5978" s="1"/>
      <c r="C5978" s="1"/>
      <c r="D5978" s="1"/>
      <c r="E5978" s="1"/>
      <c r="F5978" s="1" t="str">
        <f t="shared" si="1"/>
        <v/>
      </c>
      <c r="G5978" s="1" t="str">
        <f t="shared" si="2"/>
        <v/>
      </c>
      <c r="H5978" s="1"/>
      <c r="I5978" s="1"/>
      <c r="J5978" s="1" t="str">
        <f t="shared" si="3"/>
        <v/>
      </c>
      <c r="K5978" s="1" t="str">
        <f t="shared" si="4"/>
        <v/>
      </c>
    </row>
    <row r="5979" hidden="1">
      <c r="A5979" s="1"/>
      <c r="B5979" s="1"/>
      <c r="C5979" s="1"/>
      <c r="D5979" s="1"/>
      <c r="E5979" s="1"/>
      <c r="F5979" s="1" t="str">
        <f t="shared" si="1"/>
        <v/>
      </c>
      <c r="G5979" s="1" t="str">
        <f t="shared" si="2"/>
        <v/>
      </c>
      <c r="H5979" s="1"/>
      <c r="I5979" s="1"/>
      <c r="J5979" s="1" t="str">
        <f t="shared" si="3"/>
        <v/>
      </c>
      <c r="K5979" s="1" t="str">
        <f t="shared" si="4"/>
        <v/>
      </c>
    </row>
    <row r="5980" hidden="1">
      <c r="A5980" s="1"/>
      <c r="B5980" s="1"/>
      <c r="C5980" s="1"/>
      <c r="D5980" s="1"/>
      <c r="E5980" s="1"/>
      <c r="F5980" s="1" t="str">
        <f t="shared" si="1"/>
        <v/>
      </c>
      <c r="G5980" s="1" t="str">
        <f t="shared" si="2"/>
        <v/>
      </c>
      <c r="H5980" s="1"/>
      <c r="I5980" s="1"/>
      <c r="J5980" s="1" t="str">
        <f t="shared" si="3"/>
        <v/>
      </c>
      <c r="K5980" s="1" t="str">
        <f t="shared" si="4"/>
        <v/>
      </c>
    </row>
    <row r="5981" hidden="1">
      <c r="A5981" s="1"/>
      <c r="B5981" s="1"/>
      <c r="C5981" s="1"/>
      <c r="D5981" s="1"/>
      <c r="E5981" s="1"/>
      <c r="F5981" s="1" t="str">
        <f t="shared" si="1"/>
        <v/>
      </c>
      <c r="G5981" s="1" t="str">
        <f t="shared" si="2"/>
        <v/>
      </c>
      <c r="H5981" s="1"/>
      <c r="I5981" s="1"/>
      <c r="J5981" s="1" t="str">
        <f t="shared" si="3"/>
        <v/>
      </c>
      <c r="K5981" s="1" t="str">
        <f t="shared" si="4"/>
        <v/>
      </c>
    </row>
    <row r="5982" hidden="1">
      <c r="A5982" s="1"/>
      <c r="B5982" s="1"/>
      <c r="C5982" s="1"/>
      <c r="D5982" s="1"/>
      <c r="E5982" s="1"/>
      <c r="F5982" s="1" t="str">
        <f t="shared" si="1"/>
        <v/>
      </c>
      <c r="G5982" s="1" t="str">
        <f t="shared" si="2"/>
        <v/>
      </c>
      <c r="H5982" s="1"/>
      <c r="I5982" s="1"/>
      <c r="J5982" s="1" t="str">
        <f t="shared" si="3"/>
        <v/>
      </c>
      <c r="K5982" s="1" t="str">
        <f t="shared" si="4"/>
        <v/>
      </c>
    </row>
    <row r="5983" hidden="1">
      <c r="A5983" s="1"/>
      <c r="B5983" s="1"/>
      <c r="C5983" s="1"/>
      <c r="D5983" s="1"/>
      <c r="E5983" s="1"/>
      <c r="F5983" s="1" t="str">
        <f t="shared" si="1"/>
        <v/>
      </c>
      <c r="G5983" s="1" t="str">
        <f t="shared" si="2"/>
        <v/>
      </c>
      <c r="H5983" s="1"/>
      <c r="I5983" s="1"/>
      <c r="J5983" s="1" t="str">
        <f t="shared" si="3"/>
        <v/>
      </c>
      <c r="K5983" s="1" t="str">
        <f t="shared" si="4"/>
        <v/>
      </c>
    </row>
    <row r="5984" hidden="1">
      <c r="A5984" s="1"/>
      <c r="B5984" s="1"/>
      <c r="C5984" s="1"/>
      <c r="D5984" s="1"/>
      <c r="E5984" s="1"/>
      <c r="F5984" s="1" t="str">
        <f t="shared" si="1"/>
        <v/>
      </c>
      <c r="G5984" s="1" t="str">
        <f t="shared" si="2"/>
        <v/>
      </c>
      <c r="H5984" s="1"/>
      <c r="I5984" s="1"/>
      <c r="J5984" s="1" t="str">
        <f t="shared" si="3"/>
        <v/>
      </c>
      <c r="K5984" s="1" t="str">
        <f t="shared" si="4"/>
        <v/>
      </c>
    </row>
    <row r="5985" hidden="1">
      <c r="A5985" s="1"/>
      <c r="B5985" s="1"/>
      <c r="C5985" s="1"/>
      <c r="D5985" s="1"/>
      <c r="E5985" s="1"/>
      <c r="F5985" s="1" t="str">
        <f t="shared" si="1"/>
        <v/>
      </c>
      <c r="G5985" s="1" t="str">
        <f t="shared" si="2"/>
        <v/>
      </c>
      <c r="H5985" s="1"/>
      <c r="I5985" s="1"/>
      <c r="J5985" s="1" t="str">
        <f t="shared" si="3"/>
        <v/>
      </c>
      <c r="K5985" s="1" t="str">
        <f t="shared" si="4"/>
        <v/>
      </c>
    </row>
    <row r="5986" hidden="1">
      <c r="A5986" s="1"/>
      <c r="B5986" s="1"/>
      <c r="C5986" s="1"/>
      <c r="D5986" s="1"/>
      <c r="E5986" s="1"/>
      <c r="F5986" s="1" t="str">
        <f t="shared" si="1"/>
        <v/>
      </c>
      <c r="G5986" s="1" t="str">
        <f t="shared" si="2"/>
        <v/>
      </c>
      <c r="H5986" s="1"/>
      <c r="I5986" s="1"/>
      <c r="J5986" s="1" t="str">
        <f t="shared" si="3"/>
        <v/>
      </c>
      <c r="K5986" s="1" t="str">
        <f t="shared" si="4"/>
        <v/>
      </c>
    </row>
    <row r="5987" hidden="1">
      <c r="A5987" s="1"/>
      <c r="B5987" s="1"/>
      <c r="C5987" s="1"/>
      <c r="D5987" s="1"/>
      <c r="E5987" s="1"/>
      <c r="F5987" s="1" t="str">
        <f t="shared" si="1"/>
        <v/>
      </c>
      <c r="G5987" s="1" t="str">
        <f t="shared" si="2"/>
        <v/>
      </c>
      <c r="H5987" s="1"/>
      <c r="I5987" s="1"/>
      <c r="J5987" s="1" t="str">
        <f t="shared" si="3"/>
        <v/>
      </c>
      <c r="K5987" s="1" t="str">
        <f t="shared" si="4"/>
        <v/>
      </c>
    </row>
    <row r="5988" hidden="1">
      <c r="A5988" s="1"/>
      <c r="B5988" s="1"/>
      <c r="C5988" s="1"/>
      <c r="D5988" s="1"/>
      <c r="E5988" s="1"/>
      <c r="F5988" s="1" t="str">
        <f t="shared" si="1"/>
        <v/>
      </c>
      <c r="G5988" s="1" t="str">
        <f t="shared" si="2"/>
        <v/>
      </c>
      <c r="H5988" s="1"/>
      <c r="I5988" s="1"/>
      <c r="J5988" s="1" t="str">
        <f t="shared" si="3"/>
        <v/>
      </c>
      <c r="K5988" s="1" t="str">
        <f t="shared" si="4"/>
        <v/>
      </c>
    </row>
    <row r="5989" hidden="1">
      <c r="A5989" s="1"/>
      <c r="B5989" s="1"/>
      <c r="C5989" s="1"/>
      <c r="D5989" s="1"/>
      <c r="E5989" s="1"/>
      <c r="F5989" s="1" t="str">
        <f t="shared" si="1"/>
        <v/>
      </c>
      <c r="G5989" s="1" t="str">
        <f t="shared" si="2"/>
        <v/>
      </c>
      <c r="H5989" s="1"/>
      <c r="I5989" s="1"/>
      <c r="J5989" s="1" t="str">
        <f t="shared" si="3"/>
        <v/>
      </c>
      <c r="K5989" s="1" t="str">
        <f t="shared" si="4"/>
        <v/>
      </c>
    </row>
    <row r="5990" hidden="1">
      <c r="A5990" s="1"/>
      <c r="B5990" s="1"/>
      <c r="C5990" s="1"/>
      <c r="D5990" s="1"/>
      <c r="E5990" s="1"/>
      <c r="F5990" s="1" t="str">
        <f t="shared" si="1"/>
        <v/>
      </c>
      <c r="G5990" s="1" t="str">
        <f t="shared" si="2"/>
        <v/>
      </c>
      <c r="H5990" s="1"/>
      <c r="I5990" s="1"/>
      <c r="J5990" s="1" t="str">
        <f t="shared" si="3"/>
        <v/>
      </c>
      <c r="K5990" s="1" t="str">
        <f t="shared" si="4"/>
        <v/>
      </c>
    </row>
    <row r="5991" hidden="1">
      <c r="A5991" s="1"/>
      <c r="B5991" s="1"/>
      <c r="C5991" s="1"/>
      <c r="D5991" s="1"/>
      <c r="E5991" s="1"/>
      <c r="F5991" s="1" t="str">
        <f t="shared" si="1"/>
        <v/>
      </c>
      <c r="G5991" s="1" t="str">
        <f t="shared" si="2"/>
        <v/>
      </c>
      <c r="H5991" s="1"/>
      <c r="I5991" s="1"/>
      <c r="J5991" s="1" t="str">
        <f t="shared" si="3"/>
        <v/>
      </c>
      <c r="K5991" s="1" t="str">
        <f t="shared" si="4"/>
        <v/>
      </c>
    </row>
    <row r="5992" hidden="1">
      <c r="A5992" s="1"/>
      <c r="B5992" s="1"/>
      <c r="C5992" s="1"/>
      <c r="D5992" s="1"/>
      <c r="E5992" s="1"/>
      <c r="F5992" s="1" t="str">
        <f t="shared" si="1"/>
        <v/>
      </c>
      <c r="G5992" s="1" t="str">
        <f t="shared" si="2"/>
        <v/>
      </c>
      <c r="H5992" s="1"/>
      <c r="I5992" s="1"/>
      <c r="J5992" s="1" t="str">
        <f t="shared" si="3"/>
        <v/>
      </c>
      <c r="K5992" s="1" t="str">
        <f t="shared" si="4"/>
        <v/>
      </c>
    </row>
    <row r="5993" hidden="1">
      <c r="A5993" s="1"/>
      <c r="B5993" s="1"/>
      <c r="C5993" s="1"/>
      <c r="D5993" s="1"/>
      <c r="E5993" s="1"/>
      <c r="F5993" s="1" t="str">
        <f t="shared" si="1"/>
        <v/>
      </c>
      <c r="G5993" s="1" t="str">
        <f t="shared" si="2"/>
        <v/>
      </c>
      <c r="H5993" s="1"/>
      <c r="I5993" s="1"/>
      <c r="J5993" s="1" t="str">
        <f t="shared" si="3"/>
        <v/>
      </c>
      <c r="K5993" s="1" t="str">
        <f t="shared" si="4"/>
        <v/>
      </c>
    </row>
    <row r="5994" hidden="1">
      <c r="A5994" s="1"/>
      <c r="B5994" s="1"/>
      <c r="C5994" s="1"/>
      <c r="D5994" s="1"/>
      <c r="E5994" s="1"/>
      <c r="F5994" s="1" t="str">
        <f t="shared" si="1"/>
        <v/>
      </c>
      <c r="G5994" s="1" t="str">
        <f t="shared" si="2"/>
        <v/>
      </c>
      <c r="H5994" s="1"/>
      <c r="I5994" s="1"/>
      <c r="J5994" s="1" t="str">
        <f t="shared" si="3"/>
        <v/>
      </c>
      <c r="K5994" s="1" t="str">
        <f t="shared" si="4"/>
        <v/>
      </c>
    </row>
    <row r="5995" hidden="1">
      <c r="A5995" s="1"/>
      <c r="B5995" s="1"/>
      <c r="C5995" s="1"/>
      <c r="D5995" s="1"/>
      <c r="E5995" s="1"/>
      <c r="F5995" s="1" t="str">
        <f t="shared" si="1"/>
        <v/>
      </c>
      <c r="G5995" s="1" t="str">
        <f t="shared" si="2"/>
        <v/>
      </c>
      <c r="H5995" s="1"/>
      <c r="I5995" s="1"/>
      <c r="J5995" s="1" t="str">
        <f t="shared" si="3"/>
        <v/>
      </c>
      <c r="K5995" s="1" t="str">
        <f t="shared" si="4"/>
        <v/>
      </c>
    </row>
    <row r="5996" hidden="1">
      <c r="A5996" s="1"/>
      <c r="B5996" s="1"/>
      <c r="C5996" s="1"/>
      <c r="D5996" s="1"/>
      <c r="E5996" s="1"/>
      <c r="F5996" s="1" t="str">
        <f t="shared" si="1"/>
        <v/>
      </c>
      <c r="G5996" s="1" t="str">
        <f t="shared" si="2"/>
        <v/>
      </c>
      <c r="H5996" s="1"/>
      <c r="I5996" s="1"/>
      <c r="J5996" s="1" t="str">
        <f t="shared" si="3"/>
        <v/>
      </c>
      <c r="K5996" s="1" t="str">
        <f t="shared" si="4"/>
        <v/>
      </c>
    </row>
    <row r="5997" hidden="1">
      <c r="A5997" s="1"/>
      <c r="B5997" s="1"/>
      <c r="C5997" s="1"/>
      <c r="D5997" s="1"/>
      <c r="E5997" s="1"/>
      <c r="F5997" s="1" t="str">
        <f t="shared" si="1"/>
        <v/>
      </c>
      <c r="G5997" s="1" t="str">
        <f t="shared" si="2"/>
        <v/>
      </c>
      <c r="H5997" s="1"/>
      <c r="I5997" s="1"/>
      <c r="J5997" s="1" t="str">
        <f t="shared" si="3"/>
        <v/>
      </c>
      <c r="K5997" s="1" t="str">
        <f t="shared" si="4"/>
        <v/>
      </c>
    </row>
    <row r="5998" hidden="1">
      <c r="A5998" s="1"/>
      <c r="B5998" s="1"/>
      <c r="C5998" s="1"/>
      <c r="D5998" s="1"/>
      <c r="E5998" s="1"/>
      <c r="F5998" s="1" t="str">
        <f t="shared" si="1"/>
        <v/>
      </c>
      <c r="G5998" s="1" t="str">
        <f t="shared" si="2"/>
        <v/>
      </c>
      <c r="H5998" s="1"/>
      <c r="I5998" s="1"/>
      <c r="J5998" s="1" t="str">
        <f t="shared" si="3"/>
        <v/>
      </c>
      <c r="K5998" s="1" t="str">
        <f t="shared" si="4"/>
        <v/>
      </c>
    </row>
    <row r="5999" hidden="1">
      <c r="A5999" s="1"/>
      <c r="B5999" s="1"/>
      <c r="C5999" s="1"/>
      <c r="D5999" s="1"/>
      <c r="E5999" s="1"/>
      <c r="F5999" s="1" t="str">
        <f t="shared" si="1"/>
        <v/>
      </c>
      <c r="G5999" s="1" t="str">
        <f t="shared" si="2"/>
        <v/>
      </c>
      <c r="H5999" s="1"/>
      <c r="I5999" s="1"/>
      <c r="J5999" s="1" t="str">
        <f t="shared" si="3"/>
        <v/>
      </c>
      <c r="K5999" s="1" t="str">
        <f t="shared" si="4"/>
        <v/>
      </c>
    </row>
    <row r="6000" hidden="1">
      <c r="A6000" s="1"/>
      <c r="B6000" s="1"/>
      <c r="C6000" s="1"/>
      <c r="D6000" s="1"/>
      <c r="E6000" s="1"/>
      <c r="F6000" s="1" t="str">
        <f t="shared" si="1"/>
        <v/>
      </c>
      <c r="G6000" s="1" t="str">
        <f t="shared" si="2"/>
        <v/>
      </c>
      <c r="H6000" s="1"/>
      <c r="I6000" s="1"/>
      <c r="J6000" s="1" t="str">
        <f t="shared" si="3"/>
        <v/>
      </c>
      <c r="K6000" s="1" t="str">
        <f t="shared" si="4"/>
        <v/>
      </c>
    </row>
    <row r="6001" hidden="1">
      <c r="A6001" s="1"/>
      <c r="B6001" s="1"/>
      <c r="C6001" s="1"/>
      <c r="D6001" s="1"/>
      <c r="E6001" s="1"/>
      <c r="F6001" s="1" t="str">
        <f t="shared" si="1"/>
        <v/>
      </c>
      <c r="G6001" s="1" t="str">
        <f t="shared" si="2"/>
        <v/>
      </c>
      <c r="H6001" s="1"/>
      <c r="I6001" s="1"/>
      <c r="J6001" s="1" t="str">
        <f t="shared" si="3"/>
        <v/>
      </c>
      <c r="K6001" s="1" t="str">
        <f t="shared" si="4"/>
        <v/>
      </c>
    </row>
    <row r="6002" hidden="1">
      <c r="A6002" s="1"/>
      <c r="B6002" s="1"/>
      <c r="C6002" s="1"/>
      <c r="D6002" s="1"/>
      <c r="E6002" s="1"/>
      <c r="F6002" s="1" t="str">
        <f t="shared" si="1"/>
        <v/>
      </c>
      <c r="G6002" s="1" t="str">
        <f t="shared" si="2"/>
        <v/>
      </c>
      <c r="H6002" s="1"/>
      <c r="I6002" s="1"/>
      <c r="J6002" s="1" t="str">
        <f t="shared" si="3"/>
        <v/>
      </c>
      <c r="K6002" s="1" t="str">
        <f t="shared" si="4"/>
        <v/>
      </c>
    </row>
    <row r="6003" hidden="1">
      <c r="A6003" s="1"/>
      <c r="B6003" s="1"/>
      <c r="C6003" s="1"/>
      <c r="D6003" s="1"/>
      <c r="E6003" s="1"/>
      <c r="F6003" s="1" t="str">
        <f t="shared" si="1"/>
        <v/>
      </c>
      <c r="G6003" s="1" t="str">
        <f t="shared" si="2"/>
        <v/>
      </c>
      <c r="H6003" s="1"/>
      <c r="I6003" s="1"/>
      <c r="J6003" s="1" t="str">
        <f t="shared" si="3"/>
        <v/>
      </c>
      <c r="K6003" s="1" t="str">
        <f t="shared" si="4"/>
        <v/>
      </c>
    </row>
    <row r="6004" hidden="1">
      <c r="A6004" s="1"/>
      <c r="B6004" s="1"/>
      <c r="C6004" s="1"/>
      <c r="D6004" s="1"/>
      <c r="E6004" s="1"/>
      <c r="F6004" s="1" t="str">
        <f t="shared" si="1"/>
        <v/>
      </c>
      <c r="G6004" s="1" t="str">
        <f t="shared" si="2"/>
        <v/>
      </c>
      <c r="H6004" s="1"/>
      <c r="I6004" s="1"/>
      <c r="J6004" s="1" t="str">
        <f t="shared" si="3"/>
        <v/>
      </c>
      <c r="K6004" s="1" t="str">
        <f t="shared" si="4"/>
        <v/>
      </c>
    </row>
    <row r="6005" hidden="1">
      <c r="A6005" s="1"/>
      <c r="B6005" s="1"/>
      <c r="C6005" s="1"/>
      <c r="D6005" s="1"/>
      <c r="E6005" s="1"/>
      <c r="F6005" s="1" t="str">
        <f t="shared" si="1"/>
        <v/>
      </c>
      <c r="G6005" s="1" t="str">
        <f t="shared" si="2"/>
        <v/>
      </c>
      <c r="H6005" s="1"/>
      <c r="I6005" s="1"/>
      <c r="J6005" s="1" t="str">
        <f t="shared" si="3"/>
        <v/>
      </c>
      <c r="K6005" s="1" t="str">
        <f t="shared" si="4"/>
        <v/>
      </c>
    </row>
    <row r="6006" hidden="1">
      <c r="A6006" s="1"/>
      <c r="B6006" s="1"/>
      <c r="C6006" s="1"/>
      <c r="D6006" s="1"/>
      <c r="E6006" s="1"/>
      <c r="F6006" s="1" t="str">
        <f t="shared" si="1"/>
        <v/>
      </c>
      <c r="G6006" s="1" t="str">
        <f t="shared" si="2"/>
        <v/>
      </c>
      <c r="H6006" s="1"/>
      <c r="I6006" s="1"/>
      <c r="J6006" s="1" t="str">
        <f t="shared" si="3"/>
        <v/>
      </c>
      <c r="K6006" s="1" t="str">
        <f t="shared" si="4"/>
        <v/>
      </c>
    </row>
    <row r="6007" hidden="1">
      <c r="A6007" s="1"/>
      <c r="B6007" s="1"/>
      <c r="C6007" s="1"/>
      <c r="D6007" s="1"/>
      <c r="E6007" s="1"/>
      <c r="F6007" s="1" t="str">
        <f t="shared" si="1"/>
        <v/>
      </c>
      <c r="G6007" s="1" t="str">
        <f t="shared" si="2"/>
        <v/>
      </c>
      <c r="H6007" s="1"/>
      <c r="I6007" s="1"/>
      <c r="J6007" s="1" t="str">
        <f t="shared" si="3"/>
        <v/>
      </c>
      <c r="K6007" s="1" t="str">
        <f t="shared" si="4"/>
        <v/>
      </c>
    </row>
    <row r="6008" hidden="1">
      <c r="A6008" s="1"/>
      <c r="B6008" s="1"/>
      <c r="C6008" s="1"/>
      <c r="D6008" s="1"/>
      <c r="E6008" s="1"/>
      <c r="F6008" s="1" t="str">
        <f t="shared" si="1"/>
        <v/>
      </c>
      <c r="G6008" s="1" t="str">
        <f t="shared" si="2"/>
        <v/>
      </c>
      <c r="H6008" s="1"/>
      <c r="I6008" s="1"/>
      <c r="J6008" s="1" t="str">
        <f t="shared" si="3"/>
        <v/>
      </c>
      <c r="K6008" s="1" t="str">
        <f t="shared" si="4"/>
        <v/>
      </c>
    </row>
    <row r="6009" hidden="1">
      <c r="A6009" s="1"/>
      <c r="B6009" s="1"/>
      <c r="C6009" s="1"/>
      <c r="D6009" s="1"/>
      <c r="E6009" s="1"/>
      <c r="F6009" s="1" t="str">
        <f t="shared" si="1"/>
        <v/>
      </c>
      <c r="G6009" s="1" t="str">
        <f t="shared" si="2"/>
        <v/>
      </c>
      <c r="H6009" s="1"/>
      <c r="I6009" s="1"/>
      <c r="J6009" s="1" t="str">
        <f t="shared" si="3"/>
        <v/>
      </c>
      <c r="K6009" s="1" t="str">
        <f t="shared" si="4"/>
        <v/>
      </c>
    </row>
    <row r="6010" hidden="1">
      <c r="A6010" s="1"/>
      <c r="B6010" s="1"/>
      <c r="C6010" s="1"/>
      <c r="D6010" s="1"/>
      <c r="E6010" s="1"/>
      <c r="F6010" s="1" t="str">
        <f t="shared" si="1"/>
        <v/>
      </c>
      <c r="G6010" s="1" t="str">
        <f t="shared" si="2"/>
        <v/>
      </c>
      <c r="H6010" s="1"/>
      <c r="I6010" s="1"/>
      <c r="J6010" s="1" t="str">
        <f t="shared" si="3"/>
        <v/>
      </c>
      <c r="K6010" s="1" t="str">
        <f t="shared" si="4"/>
        <v/>
      </c>
    </row>
    <row r="6011" hidden="1">
      <c r="A6011" s="1"/>
      <c r="B6011" s="1"/>
      <c r="C6011" s="1"/>
      <c r="D6011" s="1"/>
      <c r="E6011" s="1"/>
      <c r="F6011" s="1" t="str">
        <f t="shared" si="1"/>
        <v/>
      </c>
      <c r="G6011" s="1" t="str">
        <f t="shared" si="2"/>
        <v/>
      </c>
      <c r="H6011" s="1"/>
      <c r="I6011" s="1"/>
      <c r="J6011" s="1" t="str">
        <f t="shared" si="3"/>
        <v/>
      </c>
      <c r="K6011" s="1" t="str">
        <f t="shared" si="4"/>
        <v/>
      </c>
    </row>
    <row r="6012" hidden="1">
      <c r="A6012" s="1"/>
      <c r="B6012" s="1"/>
      <c r="C6012" s="1"/>
      <c r="D6012" s="1"/>
      <c r="E6012" s="1"/>
      <c r="F6012" s="1" t="str">
        <f t="shared" si="1"/>
        <v/>
      </c>
      <c r="G6012" s="1" t="str">
        <f t="shared" si="2"/>
        <v/>
      </c>
      <c r="H6012" s="1"/>
      <c r="I6012" s="1"/>
      <c r="J6012" s="1" t="str">
        <f t="shared" si="3"/>
        <v/>
      </c>
      <c r="K6012" s="1" t="str">
        <f t="shared" si="4"/>
        <v/>
      </c>
    </row>
    <row r="6013" hidden="1">
      <c r="A6013" s="1"/>
      <c r="B6013" s="1"/>
      <c r="C6013" s="1"/>
      <c r="D6013" s="1"/>
      <c r="E6013" s="1"/>
      <c r="F6013" s="1" t="str">
        <f t="shared" si="1"/>
        <v/>
      </c>
      <c r="G6013" s="1" t="str">
        <f t="shared" si="2"/>
        <v/>
      </c>
      <c r="H6013" s="1"/>
      <c r="I6013" s="1"/>
      <c r="J6013" s="1" t="str">
        <f t="shared" si="3"/>
        <v/>
      </c>
      <c r="K6013" s="1" t="str">
        <f t="shared" si="4"/>
        <v/>
      </c>
    </row>
    <row r="6014" hidden="1">
      <c r="A6014" s="1"/>
      <c r="B6014" s="1"/>
      <c r="C6014" s="1"/>
      <c r="D6014" s="1"/>
      <c r="E6014" s="1"/>
      <c r="F6014" s="1" t="str">
        <f t="shared" si="1"/>
        <v/>
      </c>
      <c r="G6014" s="1" t="str">
        <f t="shared" si="2"/>
        <v/>
      </c>
      <c r="H6014" s="1"/>
      <c r="I6014" s="1"/>
      <c r="J6014" s="1" t="str">
        <f t="shared" si="3"/>
        <v/>
      </c>
      <c r="K6014" s="1" t="str">
        <f t="shared" si="4"/>
        <v/>
      </c>
    </row>
    <row r="6015" hidden="1">
      <c r="A6015" s="1"/>
      <c r="B6015" s="1"/>
      <c r="C6015" s="1"/>
      <c r="D6015" s="1"/>
      <c r="E6015" s="1"/>
      <c r="F6015" s="1" t="str">
        <f t="shared" si="1"/>
        <v/>
      </c>
      <c r="G6015" s="1" t="str">
        <f t="shared" si="2"/>
        <v/>
      </c>
      <c r="H6015" s="1"/>
      <c r="I6015" s="1"/>
      <c r="J6015" s="1" t="str">
        <f t="shared" si="3"/>
        <v/>
      </c>
      <c r="K6015" s="1" t="str">
        <f t="shared" si="4"/>
        <v/>
      </c>
    </row>
    <row r="6016" hidden="1">
      <c r="A6016" s="1"/>
      <c r="B6016" s="1"/>
      <c r="C6016" s="1"/>
      <c r="D6016" s="1"/>
      <c r="E6016" s="1"/>
      <c r="F6016" s="1" t="str">
        <f t="shared" si="1"/>
        <v/>
      </c>
      <c r="G6016" s="1" t="str">
        <f t="shared" si="2"/>
        <v/>
      </c>
      <c r="H6016" s="1"/>
      <c r="I6016" s="1"/>
      <c r="J6016" s="1" t="str">
        <f t="shared" si="3"/>
        <v/>
      </c>
      <c r="K6016" s="1" t="str">
        <f t="shared" si="4"/>
        <v/>
      </c>
    </row>
    <row r="6017" hidden="1">
      <c r="A6017" s="1"/>
      <c r="B6017" s="1"/>
      <c r="C6017" s="1"/>
      <c r="D6017" s="1"/>
      <c r="E6017" s="1"/>
      <c r="F6017" s="1" t="str">
        <f t="shared" si="1"/>
        <v/>
      </c>
      <c r="G6017" s="1" t="str">
        <f t="shared" si="2"/>
        <v/>
      </c>
      <c r="H6017" s="1"/>
      <c r="I6017" s="1"/>
      <c r="J6017" s="1" t="str">
        <f t="shared" si="3"/>
        <v/>
      </c>
      <c r="K6017" s="1" t="str">
        <f t="shared" si="4"/>
        <v/>
      </c>
    </row>
    <row r="6018" hidden="1">
      <c r="A6018" s="1"/>
      <c r="B6018" s="1"/>
      <c r="C6018" s="1"/>
      <c r="D6018" s="1"/>
      <c r="E6018" s="1"/>
      <c r="F6018" s="1" t="str">
        <f t="shared" si="1"/>
        <v/>
      </c>
      <c r="G6018" s="1" t="str">
        <f t="shared" si="2"/>
        <v/>
      </c>
      <c r="H6018" s="1"/>
      <c r="I6018" s="1"/>
      <c r="J6018" s="1" t="str">
        <f t="shared" si="3"/>
        <v/>
      </c>
      <c r="K6018" s="1" t="str">
        <f t="shared" si="4"/>
        <v/>
      </c>
    </row>
    <row r="6019" hidden="1">
      <c r="A6019" s="1"/>
      <c r="B6019" s="1"/>
      <c r="C6019" s="1"/>
      <c r="D6019" s="1"/>
      <c r="E6019" s="1"/>
      <c r="F6019" s="1" t="str">
        <f t="shared" si="1"/>
        <v/>
      </c>
      <c r="G6019" s="1" t="str">
        <f t="shared" si="2"/>
        <v/>
      </c>
      <c r="H6019" s="1"/>
      <c r="I6019" s="1"/>
      <c r="J6019" s="1" t="str">
        <f t="shared" si="3"/>
        <v/>
      </c>
      <c r="K6019" s="1" t="str">
        <f t="shared" si="4"/>
        <v/>
      </c>
    </row>
    <row r="6020" hidden="1">
      <c r="A6020" s="1"/>
      <c r="B6020" s="1"/>
      <c r="C6020" s="1"/>
      <c r="D6020" s="1"/>
      <c r="E6020" s="1"/>
      <c r="F6020" s="1" t="str">
        <f t="shared" si="1"/>
        <v/>
      </c>
      <c r="G6020" s="1" t="str">
        <f t="shared" si="2"/>
        <v/>
      </c>
      <c r="H6020" s="1"/>
      <c r="I6020" s="1"/>
      <c r="J6020" s="1" t="str">
        <f t="shared" si="3"/>
        <v/>
      </c>
      <c r="K6020" s="1" t="str">
        <f t="shared" si="4"/>
        <v/>
      </c>
    </row>
    <row r="6021" hidden="1">
      <c r="A6021" s="1"/>
      <c r="B6021" s="1"/>
      <c r="C6021" s="1"/>
      <c r="D6021" s="1"/>
      <c r="E6021" s="1"/>
      <c r="F6021" s="1" t="str">
        <f t="shared" si="1"/>
        <v/>
      </c>
      <c r="G6021" s="1" t="str">
        <f t="shared" si="2"/>
        <v/>
      </c>
      <c r="H6021" s="1"/>
      <c r="I6021" s="1"/>
      <c r="J6021" s="1" t="str">
        <f t="shared" si="3"/>
        <v/>
      </c>
      <c r="K6021" s="1" t="str">
        <f t="shared" si="4"/>
        <v/>
      </c>
    </row>
    <row r="6022" hidden="1">
      <c r="A6022" s="1"/>
      <c r="B6022" s="1"/>
      <c r="C6022" s="1"/>
      <c r="D6022" s="1"/>
      <c r="E6022" s="1"/>
      <c r="F6022" s="1" t="str">
        <f t="shared" si="1"/>
        <v/>
      </c>
      <c r="G6022" s="1" t="str">
        <f t="shared" si="2"/>
        <v/>
      </c>
      <c r="H6022" s="1"/>
      <c r="I6022" s="1"/>
      <c r="J6022" s="1" t="str">
        <f t="shared" si="3"/>
        <v/>
      </c>
      <c r="K6022" s="1" t="str">
        <f t="shared" si="4"/>
        <v/>
      </c>
    </row>
    <row r="6023" hidden="1">
      <c r="A6023" s="1"/>
      <c r="B6023" s="1"/>
      <c r="C6023" s="1"/>
      <c r="D6023" s="1"/>
      <c r="E6023" s="1"/>
      <c r="F6023" s="1" t="str">
        <f t="shared" si="1"/>
        <v/>
      </c>
      <c r="G6023" s="1" t="str">
        <f t="shared" si="2"/>
        <v/>
      </c>
      <c r="H6023" s="1"/>
      <c r="I6023" s="1"/>
      <c r="J6023" s="1" t="str">
        <f t="shared" si="3"/>
        <v/>
      </c>
      <c r="K6023" s="1" t="str">
        <f t="shared" si="4"/>
        <v/>
      </c>
    </row>
    <row r="6024" hidden="1">
      <c r="A6024" s="1"/>
      <c r="B6024" s="1"/>
      <c r="C6024" s="1"/>
      <c r="D6024" s="1"/>
      <c r="E6024" s="1"/>
      <c r="F6024" s="1" t="str">
        <f t="shared" si="1"/>
        <v/>
      </c>
      <c r="G6024" s="1" t="str">
        <f t="shared" si="2"/>
        <v/>
      </c>
      <c r="H6024" s="1"/>
      <c r="I6024" s="1"/>
      <c r="J6024" s="1" t="str">
        <f t="shared" si="3"/>
        <v/>
      </c>
      <c r="K6024" s="1" t="str">
        <f t="shared" si="4"/>
        <v/>
      </c>
    </row>
    <row r="6025" hidden="1">
      <c r="A6025" s="1"/>
      <c r="B6025" s="1"/>
      <c r="C6025" s="1"/>
      <c r="D6025" s="1"/>
      <c r="E6025" s="1"/>
      <c r="F6025" s="1" t="str">
        <f t="shared" si="1"/>
        <v/>
      </c>
      <c r="G6025" s="1" t="str">
        <f t="shared" si="2"/>
        <v/>
      </c>
      <c r="H6025" s="1"/>
      <c r="I6025" s="1"/>
      <c r="J6025" s="1" t="str">
        <f t="shared" si="3"/>
        <v/>
      </c>
      <c r="K6025" s="1" t="str">
        <f t="shared" si="4"/>
        <v/>
      </c>
    </row>
    <row r="6026" hidden="1">
      <c r="A6026" s="1"/>
      <c r="B6026" s="1"/>
      <c r="C6026" s="1"/>
      <c r="D6026" s="1"/>
      <c r="E6026" s="1"/>
      <c r="F6026" s="1" t="str">
        <f t="shared" si="1"/>
        <v/>
      </c>
      <c r="G6026" s="1" t="str">
        <f t="shared" si="2"/>
        <v/>
      </c>
      <c r="H6026" s="1"/>
      <c r="I6026" s="1"/>
      <c r="J6026" s="1" t="str">
        <f t="shared" si="3"/>
        <v/>
      </c>
      <c r="K6026" s="1" t="str">
        <f t="shared" si="4"/>
        <v/>
      </c>
    </row>
    <row r="6027" hidden="1">
      <c r="A6027" s="1"/>
      <c r="B6027" s="1"/>
      <c r="C6027" s="1"/>
      <c r="D6027" s="1"/>
      <c r="E6027" s="1"/>
      <c r="F6027" s="1" t="str">
        <f t="shared" si="1"/>
        <v/>
      </c>
      <c r="G6027" s="1" t="str">
        <f t="shared" si="2"/>
        <v/>
      </c>
      <c r="H6027" s="1"/>
      <c r="I6027" s="1"/>
      <c r="J6027" s="1" t="str">
        <f t="shared" si="3"/>
        <v/>
      </c>
      <c r="K6027" s="1" t="str">
        <f t="shared" si="4"/>
        <v/>
      </c>
    </row>
    <row r="6028" hidden="1">
      <c r="A6028" s="1"/>
      <c r="B6028" s="1"/>
      <c r="C6028" s="1"/>
      <c r="D6028" s="1"/>
      <c r="E6028" s="1"/>
      <c r="F6028" s="1" t="str">
        <f t="shared" si="1"/>
        <v/>
      </c>
      <c r="G6028" s="1" t="str">
        <f t="shared" si="2"/>
        <v/>
      </c>
      <c r="H6028" s="1"/>
      <c r="I6028" s="1"/>
      <c r="J6028" s="1" t="str">
        <f t="shared" si="3"/>
        <v/>
      </c>
      <c r="K6028" s="1" t="str">
        <f t="shared" si="4"/>
        <v/>
      </c>
    </row>
    <row r="6029" hidden="1">
      <c r="A6029" s="1"/>
      <c r="B6029" s="1"/>
      <c r="C6029" s="1"/>
      <c r="D6029" s="1"/>
      <c r="E6029" s="1"/>
      <c r="F6029" s="1" t="str">
        <f t="shared" si="1"/>
        <v/>
      </c>
      <c r="G6029" s="1" t="str">
        <f t="shared" si="2"/>
        <v/>
      </c>
      <c r="H6029" s="1"/>
      <c r="I6029" s="1"/>
      <c r="J6029" s="1" t="str">
        <f t="shared" si="3"/>
        <v/>
      </c>
      <c r="K6029" s="1" t="str">
        <f t="shared" si="4"/>
        <v/>
      </c>
    </row>
    <row r="6030" hidden="1">
      <c r="A6030" s="1"/>
      <c r="B6030" s="1"/>
      <c r="C6030" s="1"/>
      <c r="D6030" s="1"/>
      <c r="E6030" s="1"/>
      <c r="F6030" s="1" t="str">
        <f t="shared" si="1"/>
        <v/>
      </c>
      <c r="G6030" s="1" t="str">
        <f t="shared" si="2"/>
        <v/>
      </c>
      <c r="H6030" s="1"/>
      <c r="I6030" s="1"/>
      <c r="J6030" s="1" t="str">
        <f t="shared" si="3"/>
        <v/>
      </c>
      <c r="K6030" s="1" t="str">
        <f t="shared" si="4"/>
        <v/>
      </c>
    </row>
    <row r="6031" hidden="1">
      <c r="A6031" s="1"/>
      <c r="B6031" s="1"/>
      <c r="C6031" s="1"/>
      <c r="D6031" s="1"/>
      <c r="E6031" s="1"/>
      <c r="F6031" s="1" t="str">
        <f t="shared" si="1"/>
        <v/>
      </c>
      <c r="G6031" s="1" t="str">
        <f t="shared" si="2"/>
        <v/>
      </c>
      <c r="H6031" s="1"/>
      <c r="I6031" s="1"/>
      <c r="J6031" s="1" t="str">
        <f t="shared" si="3"/>
        <v/>
      </c>
      <c r="K6031" s="1" t="str">
        <f t="shared" si="4"/>
        <v/>
      </c>
    </row>
    <row r="6032" hidden="1">
      <c r="A6032" s="1"/>
      <c r="B6032" s="1"/>
      <c r="C6032" s="1"/>
      <c r="D6032" s="1"/>
      <c r="E6032" s="1"/>
      <c r="F6032" s="1" t="str">
        <f t="shared" si="1"/>
        <v/>
      </c>
      <c r="G6032" s="1" t="str">
        <f t="shared" si="2"/>
        <v/>
      </c>
      <c r="H6032" s="1"/>
      <c r="I6032" s="1"/>
      <c r="J6032" s="1" t="str">
        <f t="shared" si="3"/>
        <v/>
      </c>
      <c r="K6032" s="1" t="str">
        <f t="shared" si="4"/>
        <v/>
      </c>
    </row>
    <row r="6033" hidden="1">
      <c r="A6033" s="1"/>
      <c r="B6033" s="1"/>
      <c r="C6033" s="1"/>
      <c r="D6033" s="1"/>
      <c r="E6033" s="1"/>
      <c r="F6033" s="1" t="str">
        <f t="shared" si="1"/>
        <v/>
      </c>
      <c r="G6033" s="1" t="str">
        <f t="shared" si="2"/>
        <v/>
      </c>
      <c r="H6033" s="1"/>
      <c r="I6033" s="1"/>
      <c r="J6033" s="1" t="str">
        <f t="shared" si="3"/>
        <v/>
      </c>
      <c r="K6033" s="1" t="str">
        <f t="shared" si="4"/>
        <v/>
      </c>
    </row>
    <row r="6034" hidden="1">
      <c r="A6034" s="1"/>
      <c r="B6034" s="1"/>
      <c r="C6034" s="1"/>
      <c r="D6034" s="1"/>
      <c r="E6034" s="1"/>
      <c r="F6034" s="1" t="str">
        <f t="shared" si="1"/>
        <v/>
      </c>
      <c r="G6034" s="1" t="str">
        <f t="shared" si="2"/>
        <v/>
      </c>
      <c r="H6034" s="1"/>
      <c r="I6034" s="1"/>
      <c r="J6034" s="1" t="str">
        <f t="shared" si="3"/>
        <v/>
      </c>
      <c r="K6034" s="1" t="str">
        <f t="shared" si="4"/>
        <v/>
      </c>
    </row>
    <row r="6035" hidden="1">
      <c r="A6035" s="1"/>
      <c r="B6035" s="1"/>
      <c r="C6035" s="1"/>
      <c r="D6035" s="1"/>
      <c r="E6035" s="1"/>
      <c r="F6035" s="1" t="str">
        <f t="shared" si="1"/>
        <v/>
      </c>
      <c r="G6035" s="1" t="str">
        <f t="shared" si="2"/>
        <v/>
      </c>
      <c r="H6035" s="1"/>
      <c r="I6035" s="1"/>
      <c r="J6035" s="1" t="str">
        <f t="shared" si="3"/>
        <v/>
      </c>
      <c r="K6035" s="1" t="str">
        <f t="shared" si="4"/>
        <v/>
      </c>
    </row>
    <row r="6036" hidden="1">
      <c r="A6036" s="1"/>
      <c r="B6036" s="1"/>
      <c r="C6036" s="1"/>
      <c r="D6036" s="1"/>
      <c r="E6036" s="1"/>
      <c r="F6036" s="1" t="str">
        <f t="shared" si="1"/>
        <v/>
      </c>
      <c r="G6036" s="1" t="str">
        <f t="shared" si="2"/>
        <v/>
      </c>
      <c r="H6036" s="1"/>
      <c r="I6036" s="1"/>
      <c r="J6036" s="1" t="str">
        <f t="shared" si="3"/>
        <v/>
      </c>
      <c r="K6036" s="1" t="str">
        <f t="shared" si="4"/>
        <v/>
      </c>
    </row>
    <row r="6037" hidden="1">
      <c r="A6037" s="1"/>
      <c r="B6037" s="1"/>
      <c r="C6037" s="1"/>
      <c r="D6037" s="1"/>
      <c r="E6037" s="1"/>
      <c r="F6037" s="1" t="str">
        <f t="shared" si="1"/>
        <v/>
      </c>
      <c r="G6037" s="1" t="str">
        <f t="shared" si="2"/>
        <v/>
      </c>
      <c r="H6037" s="1"/>
      <c r="I6037" s="1"/>
      <c r="J6037" s="1" t="str">
        <f t="shared" si="3"/>
        <v/>
      </c>
      <c r="K6037" s="1" t="str">
        <f t="shared" si="4"/>
        <v/>
      </c>
    </row>
    <row r="6038" hidden="1">
      <c r="A6038" s="1"/>
      <c r="B6038" s="1"/>
      <c r="C6038" s="1"/>
      <c r="D6038" s="1"/>
      <c r="E6038" s="1"/>
      <c r="F6038" s="1" t="str">
        <f t="shared" si="1"/>
        <v/>
      </c>
      <c r="G6038" s="1" t="str">
        <f t="shared" si="2"/>
        <v/>
      </c>
      <c r="H6038" s="1"/>
      <c r="I6038" s="1"/>
      <c r="J6038" s="1" t="str">
        <f t="shared" si="3"/>
        <v/>
      </c>
      <c r="K6038" s="1" t="str">
        <f t="shared" si="4"/>
        <v/>
      </c>
    </row>
    <row r="6039" hidden="1">
      <c r="A6039" s="1"/>
      <c r="B6039" s="1"/>
      <c r="C6039" s="1"/>
      <c r="D6039" s="1"/>
      <c r="E6039" s="1"/>
      <c r="F6039" s="1" t="str">
        <f t="shared" si="1"/>
        <v/>
      </c>
      <c r="G6039" s="1" t="str">
        <f t="shared" si="2"/>
        <v/>
      </c>
      <c r="H6039" s="1"/>
      <c r="I6039" s="1"/>
      <c r="J6039" s="1" t="str">
        <f t="shared" si="3"/>
        <v/>
      </c>
      <c r="K6039" s="1" t="str">
        <f t="shared" si="4"/>
        <v/>
      </c>
    </row>
    <row r="6040" hidden="1">
      <c r="A6040" s="1"/>
      <c r="B6040" s="1"/>
      <c r="C6040" s="1"/>
      <c r="D6040" s="1"/>
      <c r="E6040" s="1"/>
      <c r="F6040" s="1" t="str">
        <f t="shared" si="1"/>
        <v/>
      </c>
      <c r="G6040" s="1" t="str">
        <f t="shared" si="2"/>
        <v/>
      </c>
      <c r="H6040" s="1"/>
      <c r="I6040" s="1"/>
      <c r="J6040" s="1" t="str">
        <f t="shared" si="3"/>
        <v/>
      </c>
      <c r="K6040" s="1" t="str">
        <f t="shared" si="4"/>
        <v/>
      </c>
    </row>
    <row r="6041" hidden="1">
      <c r="A6041" s="1"/>
      <c r="B6041" s="1"/>
      <c r="C6041" s="1"/>
      <c r="D6041" s="1"/>
      <c r="E6041" s="1"/>
      <c r="F6041" s="1" t="str">
        <f t="shared" si="1"/>
        <v/>
      </c>
      <c r="G6041" s="1" t="str">
        <f t="shared" si="2"/>
        <v/>
      </c>
      <c r="H6041" s="1"/>
      <c r="I6041" s="1"/>
      <c r="J6041" s="1" t="str">
        <f t="shared" si="3"/>
        <v/>
      </c>
      <c r="K6041" s="1" t="str">
        <f t="shared" si="4"/>
        <v/>
      </c>
    </row>
    <row r="6042" hidden="1">
      <c r="A6042" s="1"/>
      <c r="B6042" s="1"/>
      <c r="C6042" s="1"/>
      <c r="D6042" s="1"/>
      <c r="E6042" s="1"/>
      <c r="F6042" s="1" t="str">
        <f t="shared" si="1"/>
        <v/>
      </c>
      <c r="G6042" s="1" t="str">
        <f t="shared" si="2"/>
        <v/>
      </c>
      <c r="H6042" s="1"/>
      <c r="I6042" s="1"/>
      <c r="J6042" s="1" t="str">
        <f t="shared" si="3"/>
        <v/>
      </c>
      <c r="K6042" s="1" t="str">
        <f t="shared" si="4"/>
        <v/>
      </c>
    </row>
    <row r="6043" hidden="1">
      <c r="A6043" s="1"/>
      <c r="B6043" s="1"/>
      <c r="C6043" s="1"/>
      <c r="D6043" s="1"/>
      <c r="E6043" s="1"/>
      <c r="F6043" s="1" t="str">
        <f t="shared" si="1"/>
        <v/>
      </c>
      <c r="G6043" s="1" t="str">
        <f t="shared" si="2"/>
        <v/>
      </c>
      <c r="H6043" s="1"/>
      <c r="I6043" s="1"/>
      <c r="J6043" s="1" t="str">
        <f t="shared" si="3"/>
        <v/>
      </c>
      <c r="K6043" s="1" t="str">
        <f t="shared" si="4"/>
        <v/>
      </c>
    </row>
    <row r="6044" hidden="1">
      <c r="A6044" s="1"/>
      <c r="B6044" s="1"/>
      <c r="C6044" s="1"/>
      <c r="D6044" s="1"/>
      <c r="E6044" s="1"/>
      <c r="F6044" s="1" t="str">
        <f t="shared" si="1"/>
        <v/>
      </c>
      <c r="G6044" s="1" t="str">
        <f t="shared" si="2"/>
        <v/>
      </c>
      <c r="H6044" s="1"/>
      <c r="I6044" s="1"/>
      <c r="J6044" s="1" t="str">
        <f t="shared" si="3"/>
        <v/>
      </c>
      <c r="K6044" s="1" t="str">
        <f t="shared" si="4"/>
        <v/>
      </c>
    </row>
    <row r="6045" hidden="1">
      <c r="A6045" s="1"/>
      <c r="B6045" s="1"/>
      <c r="C6045" s="1"/>
      <c r="D6045" s="1"/>
      <c r="E6045" s="1"/>
      <c r="F6045" s="1" t="str">
        <f t="shared" si="1"/>
        <v/>
      </c>
      <c r="G6045" s="1" t="str">
        <f t="shared" si="2"/>
        <v/>
      </c>
      <c r="H6045" s="1"/>
      <c r="I6045" s="1"/>
      <c r="J6045" s="1" t="str">
        <f t="shared" si="3"/>
        <v/>
      </c>
      <c r="K6045" s="1" t="str">
        <f t="shared" si="4"/>
        <v/>
      </c>
    </row>
    <row r="6046" hidden="1">
      <c r="A6046" s="1"/>
      <c r="B6046" s="1"/>
      <c r="C6046" s="1"/>
      <c r="D6046" s="1"/>
      <c r="E6046" s="1"/>
      <c r="F6046" s="1" t="str">
        <f t="shared" si="1"/>
        <v/>
      </c>
      <c r="G6046" s="1" t="str">
        <f t="shared" si="2"/>
        <v/>
      </c>
      <c r="H6046" s="1"/>
      <c r="I6046" s="1"/>
      <c r="J6046" s="1" t="str">
        <f t="shared" si="3"/>
        <v/>
      </c>
      <c r="K6046" s="1" t="str">
        <f t="shared" si="4"/>
        <v/>
      </c>
    </row>
    <row r="6047" hidden="1">
      <c r="A6047" s="1"/>
      <c r="B6047" s="1"/>
      <c r="C6047" s="1"/>
      <c r="D6047" s="1"/>
      <c r="E6047" s="1"/>
      <c r="F6047" s="1" t="str">
        <f t="shared" si="1"/>
        <v/>
      </c>
      <c r="G6047" s="1" t="str">
        <f t="shared" si="2"/>
        <v/>
      </c>
      <c r="H6047" s="1"/>
      <c r="I6047" s="1"/>
      <c r="J6047" s="1" t="str">
        <f t="shared" si="3"/>
        <v/>
      </c>
      <c r="K6047" s="1" t="str">
        <f t="shared" si="4"/>
        <v/>
      </c>
    </row>
    <row r="6048" hidden="1">
      <c r="A6048" s="1"/>
      <c r="B6048" s="1"/>
      <c r="C6048" s="1"/>
      <c r="D6048" s="1"/>
      <c r="E6048" s="1"/>
      <c r="F6048" s="1" t="str">
        <f t="shared" si="1"/>
        <v/>
      </c>
      <c r="G6048" s="1" t="str">
        <f t="shared" si="2"/>
        <v/>
      </c>
      <c r="H6048" s="1"/>
      <c r="I6048" s="1"/>
      <c r="J6048" s="1" t="str">
        <f t="shared" si="3"/>
        <v/>
      </c>
      <c r="K6048" s="1" t="str">
        <f t="shared" si="4"/>
        <v/>
      </c>
    </row>
    <row r="6049" hidden="1">
      <c r="A6049" s="1"/>
      <c r="B6049" s="1"/>
      <c r="C6049" s="1"/>
      <c r="D6049" s="1"/>
      <c r="E6049" s="1"/>
      <c r="F6049" s="1" t="str">
        <f t="shared" si="1"/>
        <v/>
      </c>
      <c r="G6049" s="1" t="str">
        <f t="shared" si="2"/>
        <v/>
      </c>
      <c r="H6049" s="1"/>
      <c r="I6049" s="1"/>
      <c r="J6049" s="1" t="str">
        <f t="shared" si="3"/>
        <v/>
      </c>
      <c r="K6049" s="1" t="str">
        <f t="shared" si="4"/>
        <v/>
      </c>
    </row>
    <row r="6050" hidden="1">
      <c r="A6050" s="1"/>
      <c r="B6050" s="1"/>
      <c r="C6050" s="1"/>
      <c r="D6050" s="1"/>
      <c r="E6050" s="1"/>
      <c r="F6050" s="1" t="str">
        <f t="shared" si="1"/>
        <v/>
      </c>
      <c r="G6050" s="1" t="str">
        <f t="shared" si="2"/>
        <v/>
      </c>
      <c r="H6050" s="1"/>
      <c r="I6050" s="1"/>
      <c r="J6050" s="1" t="str">
        <f t="shared" si="3"/>
        <v/>
      </c>
      <c r="K6050" s="1" t="str">
        <f t="shared" si="4"/>
        <v/>
      </c>
    </row>
    <row r="6051" hidden="1">
      <c r="A6051" s="1"/>
      <c r="B6051" s="1"/>
      <c r="C6051" s="1"/>
      <c r="D6051" s="1"/>
      <c r="E6051" s="1"/>
      <c r="F6051" s="1" t="str">
        <f t="shared" si="1"/>
        <v/>
      </c>
      <c r="G6051" s="1" t="str">
        <f t="shared" si="2"/>
        <v/>
      </c>
      <c r="H6051" s="1"/>
      <c r="I6051" s="1"/>
      <c r="J6051" s="1" t="str">
        <f t="shared" si="3"/>
        <v/>
      </c>
      <c r="K6051" s="1" t="str">
        <f t="shared" si="4"/>
        <v/>
      </c>
    </row>
    <row r="6052" hidden="1">
      <c r="A6052" s="1"/>
      <c r="B6052" s="1"/>
      <c r="C6052" s="1"/>
      <c r="D6052" s="1"/>
      <c r="E6052" s="1"/>
      <c r="F6052" s="1" t="str">
        <f t="shared" si="1"/>
        <v/>
      </c>
      <c r="G6052" s="1" t="str">
        <f t="shared" si="2"/>
        <v/>
      </c>
      <c r="H6052" s="1"/>
      <c r="I6052" s="1"/>
      <c r="J6052" s="1" t="str">
        <f t="shared" si="3"/>
        <v/>
      </c>
      <c r="K6052" s="1" t="str">
        <f t="shared" si="4"/>
        <v/>
      </c>
    </row>
    <row r="6053" hidden="1">
      <c r="A6053" s="1"/>
      <c r="B6053" s="1"/>
      <c r="C6053" s="1"/>
      <c r="D6053" s="1"/>
      <c r="E6053" s="1"/>
      <c r="F6053" s="1" t="str">
        <f t="shared" si="1"/>
        <v/>
      </c>
      <c r="G6053" s="1" t="str">
        <f t="shared" si="2"/>
        <v/>
      </c>
      <c r="H6053" s="1"/>
      <c r="I6053" s="1"/>
      <c r="J6053" s="1" t="str">
        <f t="shared" si="3"/>
        <v/>
      </c>
      <c r="K6053" s="1" t="str">
        <f t="shared" si="4"/>
        <v/>
      </c>
    </row>
    <row r="6054" hidden="1">
      <c r="A6054" s="1"/>
      <c r="B6054" s="1"/>
      <c r="C6054" s="1"/>
      <c r="D6054" s="1"/>
      <c r="E6054" s="1"/>
      <c r="F6054" s="1" t="str">
        <f t="shared" si="1"/>
        <v/>
      </c>
      <c r="G6054" s="1" t="str">
        <f t="shared" si="2"/>
        <v/>
      </c>
      <c r="H6054" s="1"/>
      <c r="I6054" s="1"/>
      <c r="J6054" s="1" t="str">
        <f t="shared" si="3"/>
        <v/>
      </c>
      <c r="K6054" s="1" t="str">
        <f t="shared" si="4"/>
        <v/>
      </c>
    </row>
    <row r="6055" hidden="1">
      <c r="A6055" s="1"/>
      <c r="B6055" s="1"/>
      <c r="C6055" s="1"/>
      <c r="D6055" s="1"/>
      <c r="E6055" s="1"/>
      <c r="F6055" s="1" t="str">
        <f t="shared" si="1"/>
        <v/>
      </c>
      <c r="G6055" s="1" t="str">
        <f t="shared" si="2"/>
        <v/>
      </c>
      <c r="H6055" s="1"/>
      <c r="I6055" s="1"/>
      <c r="J6055" s="1" t="str">
        <f t="shared" si="3"/>
        <v/>
      </c>
      <c r="K6055" s="1" t="str">
        <f t="shared" si="4"/>
        <v/>
      </c>
    </row>
    <row r="6056" hidden="1">
      <c r="A6056" s="1"/>
      <c r="B6056" s="1"/>
      <c r="C6056" s="1"/>
      <c r="D6056" s="1"/>
      <c r="E6056" s="1"/>
      <c r="F6056" s="1" t="str">
        <f t="shared" si="1"/>
        <v/>
      </c>
      <c r="G6056" s="1" t="str">
        <f t="shared" si="2"/>
        <v/>
      </c>
      <c r="H6056" s="1"/>
      <c r="I6056" s="1"/>
      <c r="J6056" s="1" t="str">
        <f t="shared" si="3"/>
        <v/>
      </c>
      <c r="K6056" s="1" t="str">
        <f t="shared" si="4"/>
        <v/>
      </c>
    </row>
    <row r="6057" hidden="1">
      <c r="A6057" s="1"/>
      <c r="B6057" s="1"/>
      <c r="C6057" s="1"/>
      <c r="D6057" s="1"/>
      <c r="E6057" s="1"/>
      <c r="F6057" s="1" t="str">
        <f t="shared" si="1"/>
        <v/>
      </c>
      <c r="G6057" s="1" t="str">
        <f t="shared" si="2"/>
        <v/>
      </c>
      <c r="H6057" s="1"/>
      <c r="I6057" s="1"/>
      <c r="J6057" s="1" t="str">
        <f t="shared" si="3"/>
        <v/>
      </c>
      <c r="K6057" s="1" t="str">
        <f t="shared" si="4"/>
        <v/>
      </c>
    </row>
    <row r="6058" hidden="1">
      <c r="A6058" s="1"/>
      <c r="B6058" s="1"/>
      <c r="C6058" s="1"/>
      <c r="D6058" s="1"/>
      <c r="E6058" s="1"/>
      <c r="F6058" s="1" t="str">
        <f t="shared" si="1"/>
        <v/>
      </c>
      <c r="G6058" s="1" t="str">
        <f t="shared" si="2"/>
        <v/>
      </c>
      <c r="H6058" s="1"/>
      <c r="I6058" s="1"/>
      <c r="J6058" s="1" t="str">
        <f t="shared" si="3"/>
        <v/>
      </c>
      <c r="K6058" s="1" t="str">
        <f t="shared" si="4"/>
        <v/>
      </c>
    </row>
    <row r="6059" hidden="1">
      <c r="A6059" s="1"/>
      <c r="B6059" s="1"/>
      <c r="C6059" s="1"/>
      <c r="D6059" s="1"/>
      <c r="E6059" s="1"/>
      <c r="F6059" s="1" t="str">
        <f t="shared" si="1"/>
        <v/>
      </c>
      <c r="G6059" s="1" t="str">
        <f t="shared" si="2"/>
        <v/>
      </c>
      <c r="H6059" s="1"/>
      <c r="I6059" s="1"/>
      <c r="J6059" s="1" t="str">
        <f t="shared" si="3"/>
        <v/>
      </c>
      <c r="K6059" s="1" t="str">
        <f t="shared" si="4"/>
        <v/>
      </c>
    </row>
    <row r="6060" hidden="1">
      <c r="A6060" s="1"/>
      <c r="B6060" s="1"/>
      <c r="C6060" s="1"/>
      <c r="D6060" s="1"/>
      <c r="E6060" s="1"/>
      <c r="F6060" s="1" t="str">
        <f t="shared" si="1"/>
        <v/>
      </c>
      <c r="G6060" s="1" t="str">
        <f t="shared" si="2"/>
        <v/>
      </c>
      <c r="H6060" s="1"/>
      <c r="I6060" s="1"/>
      <c r="J6060" s="1" t="str">
        <f t="shared" si="3"/>
        <v/>
      </c>
      <c r="K6060" s="1" t="str">
        <f t="shared" si="4"/>
        <v/>
      </c>
    </row>
    <row r="6061" hidden="1">
      <c r="A6061" s="1"/>
      <c r="B6061" s="1"/>
      <c r="C6061" s="1"/>
      <c r="D6061" s="1"/>
      <c r="E6061" s="1"/>
      <c r="F6061" s="1" t="str">
        <f t="shared" si="1"/>
        <v/>
      </c>
      <c r="G6061" s="1" t="str">
        <f t="shared" si="2"/>
        <v/>
      </c>
      <c r="H6061" s="1"/>
      <c r="I6061" s="1"/>
      <c r="J6061" s="1" t="str">
        <f t="shared" si="3"/>
        <v/>
      </c>
      <c r="K6061" s="1" t="str">
        <f t="shared" si="4"/>
        <v/>
      </c>
    </row>
    <row r="6062" hidden="1">
      <c r="A6062" s="1"/>
      <c r="B6062" s="1"/>
      <c r="C6062" s="1"/>
      <c r="D6062" s="1"/>
      <c r="E6062" s="1"/>
      <c r="F6062" s="1" t="str">
        <f t="shared" si="1"/>
        <v/>
      </c>
      <c r="G6062" s="1" t="str">
        <f t="shared" si="2"/>
        <v/>
      </c>
      <c r="H6062" s="1"/>
      <c r="I6062" s="1"/>
      <c r="J6062" s="1" t="str">
        <f t="shared" si="3"/>
        <v/>
      </c>
      <c r="K6062" s="1" t="str">
        <f t="shared" si="4"/>
        <v/>
      </c>
    </row>
    <row r="6063" hidden="1">
      <c r="A6063" s="1"/>
      <c r="B6063" s="1"/>
      <c r="C6063" s="1"/>
      <c r="D6063" s="1"/>
      <c r="E6063" s="1"/>
      <c r="F6063" s="1" t="str">
        <f t="shared" si="1"/>
        <v/>
      </c>
      <c r="G6063" s="1" t="str">
        <f t="shared" si="2"/>
        <v/>
      </c>
      <c r="H6063" s="1"/>
      <c r="I6063" s="1"/>
      <c r="J6063" s="1" t="str">
        <f t="shared" si="3"/>
        <v/>
      </c>
      <c r="K6063" s="1" t="str">
        <f t="shared" si="4"/>
        <v/>
      </c>
    </row>
    <row r="6064" hidden="1">
      <c r="A6064" s="1"/>
      <c r="B6064" s="1"/>
      <c r="C6064" s="1"/>
      <c r="D6064" s="1"/>
      <c r="E6064" s="1"/>
      <c r="F6064" s="1" t="str">
        <f t="shared" si="1"/>
        <v/>
      </c>
      <c r="G6064" s="1" t="str">
        <f t="shared" si="2"/>
        <v/>
      </c>
      <c r="H6064" s="1"/>
      <c r="I6064" s="1"/>
      <c r="J6064" s="1" t="str">
        <f t="shared" si="3"/>
        <v/>
      </c>
      <c r="K6064" s="1" t="str">
        <f t="shared" si="4"/>
        <v/>
      </c>
    </row>
    <row r="6065" hidden="1">
      <c r="A6065" s="1"/>
      <c r="B6065" s="1"/>
      <c r="C6065" s="1"/>
      <c r="D6065" s="1"/>
      <c r="E6065" s="1"/>
      <c r="F6065" s="1" t="str">
        <f t="shared" si="1"/>
        <v/>
      </c>
      <c r="G6065" s="1" t="str">
        <f t="shared" si="2"/>
        <v/>
      </c>
      <c r="H6065" s="1"/>
      <c r="I6065" s="1"/>
      <c r="J6065" s="1" t="str">
        <f t="shared" si="3"/>
        <v/>
      </c>
      <c r="K6065" s="1" t="str">
        <f t="shared" si="4"/>
        <v/>
      </c>
    </row>
    <row r="6066" hidden="1">
      <c r="A6066" s="1"/>
      <c r="B6066" s="1"/>
      <c r="C6066" s="1"/>
      <c r="D6066" s="1"/>
      <c r="E6066" s="1"/>
      <c r="F6066" s="1" t="str">
        <f t="shared" si="1"/>
        <v/>
      </c>
      <c r="G6066" s="1" t="str">
        <f t="shared" si="2"/>
        <v/>
      </c>
      <c r="H6066" s="1"/>
      <c r="I6066" s="1"/>
      <c r="J6066" s="1" t="str">
        <f t="shared" si="3"/>
        <v/>
      </c>
      <c r="K6066" s="1" t="str">
        <f t="shared" si="4"/>
        <v/>
      </c>
    </row>
    <row r="6067" hidden="1">
      <c r="A6067" s="1"/>
      <c r="B6067" s="1"/>
      <c r="C6067" s="1"/>
      <c r="D6067" s="1"/>
      <c r="E6067" s="1"/>
      <c r="F6067" s="1" t="str">
        <f t="shared" si="1"/>
        <v/>
      </c>
      <c r="G6067" s="1" t="str">
        <f t="shared" si="2"/>
        <v/>
      </c>
      <c r="H6067" s="1"/>
      <c r="I6067" s="1"/>
      <c r="J6067" s="1" t="str">
        <f t="shared" si="3"/>
        <v/>
      </c>
      <c r="K6067" s="1" t="str">
        <f t="shared" si="4"/>
        <v/>
      </c>
    </row>
    <row r="6068" hidden="1">
      <c r="A6068" s="1"/>
      <c r="B6068" s="1"/>
      <c r="C6068" s="1"/>
      <c r="D6068" s="1"/>
      <c r="E6068" s="1"/>
      <c r="F6068" s="1" t="str">
        <f t="shared" si="1"/>
        <v/>
      </c>
      <c r="G6068" s="1" t="str">
        <f t="shared" si="2"/>
        <v/>
      </c>
      <c r="H6068" s="1"/>
      <c r="I6068" s="1"/>
      <c r="J6068" s="1" t="str">
        <f t="shared" si="3"/>
        <v/>
      </c>
      <c r="K6068" s="1" t="str">
        <f t="shared" si="4"/>
        <v/>
      </c>
    </row>
    <row r="6069" hidden="1">
      <c r="A6069" s="1"/>
      <c r="B6069" s="1"/>
      <c r="C6069" s="1"/>
      <c r="D6069" s="1"/>
      <c r="E6069" s="1"/>
      <c r="F6069" s="1" t="str">
        <f t="shared" si="1"/>
        <v/>
      </c>
      <c r="G6069" s="1" t="str">
        <f t="shared" si="2"/>
        <v/>
      </c>
      <c r="H6069" s="1"/>
      <c r="I6069" s="1"/>
      <c r="J6069" s="1" t="str">
        <f t="shared" si="3"/>
        <v/>
      </c>
      <c r="K6069" s="1" t="str">
        <f t="shared" si="4"/>
        <v/>
      </c>
    </row>
    <row r="6070" hidden="1">
      <c r="A6070" s="1"/>
      <c r="B6070" s="1"/>
      <c r="C6070" s="1"/>
      <c r="D6070" s="1"/>
      <c r="E6070" s="1"/>
      <c r="F6070" s="1" t="str">
        <f t="shared" si="1"/>
        <v/>
      </c>
      <c r="G6070" s="1" t="str">
        <f t="shared" si="2"/>
        <v/>
      </c>
      <c r="H6070" s="1"/>
      <c r="I6070" s="1"/>
      <c r="J6070" s="1" t="str">
        <f t="shared" si="3"/>
        <v/>
      </c>
      <c r="K6070" s="1" t="str">
        <f t="shared" si="4"/>
        <v/>
      </c>
    </row>
    <row r="6071" hidden="1">
      <c r="A6071" s="1"/>
      <c r="B6071" s="1"/>
      <c r="C6071" s="1"/>
      <c r="D6071" s="1"/>
      <c r="E6071" s="1"/>
      <c r="F6071" s="1" t="str">
        <f t="shared" si="1"/>
        <v/>
      </c>
      <c r="G6071" s="1" t="str">
        <f t="shared" si="2"/>
        <v/>
      </c>
      <c r="H6071" s="1"/>
      <c r="I6071" s="1"/>
      <c r="J6071" s="1" t="str">
        <f t="shared" si="3"/>
        <v/>
      </c>
      <c r="K6071" s="1" t="str">
        <f t="shared" si="4"/>
        <v/>
      </c>
    </row>
    <row r="6072" hidden="1">
      <c r="A6072" s="1"/>
      <c r="B6072" s="1"/>
      <c r="C6072" s="1"/>
      <c r="D6072" s="1"/>
      <c r="E6072" s="1"/>
      <c r="F6072" s="1" t="str">
        <f t="shared" si="1"/>
        <v/>
      </c>
      <c r="G6072" s="1" t="str">
        <f t="shared" si="2"/>
        <v/>
      </c>
      <c r="H6072" s="1"/>
      <c r="I6072" s="1"/>
      <c r="J6072" s="1" t="str">
        <f t="shared" si="3"/>
        <v/>
      </c>
      <c r="K6072" s="1" t="str">
        <f t="shared" si="4"/>
        <v/>
      </c>
    </row>
    <row r="6073" hidden="1">
      <c r="A6073" s="1"/>
      <c r="B6073" s="1"/>
      <c r="C6073" s="1"/>
      <c r="D6073" s="1"/>
      <c r="E6073" s="1"/>
      <c r="F6073" s="1" t="str">
        <f t="shared" si="1"/>
        <v/>
      </c>
      <c r="G6073" s="1" t="str">
        <f t="shared" si="2"/>
        <v/>
      </c>
      <c r="H6073" s="1"/>
      <c r="I6073" s="1"/>
      <c r="J6073" s="1" t="str">
        <f t="shared" si="3"/>
        <v/>
      </c>
      <c r="K6073" s="1" t="str">
        <f t="shared" si="4"/>
        <v/>
      </c>
    </row>
    <row r="6074" hidden="1">
      <c r="A6074" s="1"/>
      <c r="B6074" s="1"/>
      <c r="C6074" s="1"/>
      <c r="D6074" s="1"/>
      <c r="E6074" s="1"/>
      <c r="F6074" s="1" t="str">
        <f t="shared" si="1"/>
        <v/>
      </c>
      <c r="G6074" s="1" t="str">
        <f t="shared" si="2"/>
        <v/>
      </c>
      <c r="H6074" s="1"/>
      <c r="I6074" s="1"/>
      <c r="J6074" s="1" t="str">
        <f t="shared" si="3"/>
        <v/>
      </c>
      <c r="K6074" s="1" t="str">
        <f t="shared" si="4"/>
        <v/>
      </c>
    </row>
    <row r="6075" hidden="1">
      <c r="A6075" s="1"/>
      <c r="B6075" s="1"/>
      <c r="C6075" s="1"/>
      <c r="D6075" s="1"/>
      <c r="E6075" s="1"/>
      <c r="F6075" s="1" t="str">
        <f t="shared" si="1"/>
        <v/>
      </c>
      <c r="G6075" s="1" t="str">
        <f t="shared" si="2"/>
        <v/>
      </c>
      <c r="H6075" s="1"/>
      <c r="I6075" s="1"/>
      <c r="J6075" s="1" t="str">
        <f t="shared" si="3"/>
        <v/>
      </c>
      <c r="K6075" s="1" t="str">
        <f t="shared" si="4"/>
        <v/>
      </c>
    </row>
    <row r="6076" hidden="1">
      <c r="A6076" s="1"/>
      <c r="B6076" s="1"/>
      <c r="C6076" s="1"/>
      <c r="D6076" s="1"/>
      <c r="E6076" s="1"/>
      <c r="F6076" s="1" t="str">
        <f t="shared" si="1"/>
        <v/>
      </c>
      <c r="G6076" s="1" t="str">
        <f t="shared" si="2"/>
        <v/>
      </c>
      <c r="H6076" s="1"/>
      <c r="I6076" s="1"/>
      <c r="J6076" s="1" t="str">
        <f t="shared" si="3"/>
        <v/>
      </c>
      <c r="K6076" s="1" t="str">
        <f t="shared" si="4"/>
        <v/>
      </c>
    </row>
    <row r="6077" hidden="1">
      <c r="A6077" s="1"/>
      <c r="B6077" s="1"/>
      <c r="C6077" s="1"/>
      <c r="D6077" s="1"/>
      <c r="E6077" s="1"/>
      <c r="F6077" s="1" t="str">
        <f t="shared" si="1"/>
        <v/>
      </c>
      <c r="G6077" s="1" t="str">
        <f t="shared" si="2"/>
        <v/>
      </c>
      <c r="H6077" s="1"/>
      <c r="I6077" s="1"/>
      <c r="J6077" s="1" t="str">
        <f t="shared" si="3"/>
        <v/>
      </c>
      <c r="K6077" s="1" t="str">
        <f t="shared" si="4"/>
        <v/>
      </c>
    </row>
    <row r="6078" hidden="1">
      <c r="A6078" s="1"/>
      <c r="B6078" s="1"/>
      <c r="C6078" s="1"/>
      <c r="D6078" s="1"/>
      <c r="E6078" s="1"/>
      <c r="F6078" s="1" t="str">
        <f t="shared" si="1"/>
        <v/>
      </c>
      <c r="G6078" s="1" t="str">
        <f t="shared" si="2"/>
        <v/>
      </c>
      <c r="H6078" s="1"/>
      <c r="I6078" s="1"/>
      <c r="J6078" s="1" t="str">
        <f t="shared" si="3"/>
        <v/>
      </c>
      <c r="K6078" s="1" t="str">
        <f t="shared" si="4"/>
        <v/>
      </c>
    </row>
    <row r="6079" hidden="1">
      <c r="A6079" s="1"/>
      <c r="B6079" s="1"/>
      <c r="C6079" s="1"/>
      <c r="D6079" s="1"/>
      <c r="E6079" s="1"/>
      <c r="F6079" s="1" t="str">
        <f t="shared" si="1"/>
        <v/>
      </c>
      <c r="G6079" s="1" t="str">
        <f t="shared" si="2"/>
        <v/>
      </c>
      <c r="H6079" s="1"/>
      <c r="I6079" s="1"/>
      <c r="J6079" s="1" t="str">
        <f t="shared" si="3"/>
        <v/>
      </c>
      <c r="K6079" s="1" t="str">
        <f t="shared" si="4"/>
        <v/>
      </c>
    </row>
    <row r="6080" hidden="1">
      <c r="A6080" s="1"/>
      <c r="B6080" s="1"/>
      <c r="C6080" s="1"/>
      <c r="D6080" s="1"/>
      <c r="E6080" s="1"/>
      <c r="F6080" s="1" t="str">
        <f t="shared" si="1"/>
        <v/>
      </c>
      <c r="G6080" s="1" t="str">
        <f t="shared" si="2"/>
        <v/>
      </c>
      <c r="H6080" s="1"/>
      <c r="I6080" s="1"/>
      <c r="J6080" s="1" t="str">
        <f t="shared" si="3"/>
        <v/>
      </c>
      <c r="K6080" s="1" t="str">
        <f t="shared" si="4"/>
        <v/>
      </c>
    </row>
    <row r="6081" hidden="1">
      <c r="A6081" s="1"/>
      <c r="B6081" s="1"/>
      <c r="C6081" s="1"/>
      <c r="D6081" s="1"/>
      <c r="E6081" s="1"/>
      <c r="F6081" s="1" t="str">
        <f t="shared" si="1"/>
        <v/>
      </c>
      <c r="G6081" s="1" t="str">
        <f t="shared" si="2"/>
        <v/>
      </c>
      <c r="H6081" s="1"/>
      <c r="I6081" s="1"/>
      <c r="J6081" s="1" t="str">
        <f t="shared" si="3"/>
        <v/>
      </c>
      <c r="K6081" s="1" t="str">
        <f t="shared" si="4"/>
        <v/>
      </c>
    </row>
    <row r="6082" hidden="1">
      <c r="A6082" s="1"/>
      <c r="B6082" s="1"/>
      <c r="C6082" s="1"/>
      <c r="D6082" s="1"/>
      <c r="E6082" s="1"/>
      <c r="F6082" s="1" t="str">
        <f t="shared" si="1"/>
        <v/>
      </c>
      <c r="G6082" s="1" t="str">
        <f t="shared" si="2"/>
        <v/>
      </c>
      <c r="H6082" s="1"/>
      <c r="I6082" s="1"/>
      <c r="J6082" s="1" t="str">
        <f t="shared" si="3"/>
        <v/>
      </c>
      <c r="K6082" s="1" t="str">
        <f t="shared" si="4"/>
        <v/>
      </c>
    </row>
    <row r="6083" hidden="1">
      <c r="A6083" s="1"/>
      <c r="B6083" s="1"/>
      <c r="C6083" s="1"/>
      <c r="D6083" s="1"/>
      <c r="E6083" s="1"/>
      <c r="F6083" s="1" t="str">
        <f t="shared" si="1"/>
        <v/>
      </c>
      <c r="G6083" s="1" t="str">
        <f t="shared" si="2"/>
        <v/>
      </c>
      <c r="H6083" s="1"/>
      <c r="I6083" s="1"/>
      <c r="J6083" s="1" t="str">
        <f t="shared" si="3"/>
        <v/>
      </c>
      <c r="K6083" s="1" t="str">
        <f t="shared" si="4"/>
        <v/>
      </c>
    </row>
    <row r="6084" hidden="1">
      <c r="A6084" s="1"/>
      <c r="B6084" s="1"/>
      <c r="C6084" s="1"/>
      <c r="D6084" s="1"/>
      <c r="E6084" s="1"/>
      <c r="F6084" s="1" t="str">
        <f t="shared" si="1"/>
        <v/>
      </c>
      <c r="G6084" s="1" t="str">
        <f t="shared" si="2"/>
        <v/>
      </c>
      <c r="H6084" s="1"/>
      <c r="I6084" s="1"/>
      <c r="J6084" s="1" t="str">
        <f t="shared" si="3"/>
        <v/>
      </c>
      <c r="K6084" s="1" t="str">
        <f t="shared" si="4"/>
        <v/>
      </c>
    </row>
    <row r="6085" hidden="1">
      <c r="A6085" s="1"/>
      <c r="B6085" s="1"/>
      <c r="C6085" s="1"/>
      <c r="D6085" s="1"/>
      <c r="E6085" s="1"/>
      <c r="F6085" s="1" t="str">
        <f t="shared" si="1"/>
        <v/>
      </c>
      <c r="G6085" s="1" t="str">
        <f t="shared" si="2"/>
        <v/>
      </c>
      <c r="H6085" s="1"/>
      <c r="I6085" s="1"/>
      <c r="J6085" s="1" t="str">
        <f t="shared" si="3"/>
        <v/>
      </c>
      <c r="K6085" s="1" t="str">
        <f t="shared" si="4"/>
        <v/>
      </c>
    </row>
    <row r="6086" hidden="1">
      <c r="A6086" s="1"/>
      <c r="B6086" s="1"/>
      <c r="C6086" s="1"/>
      <c r="D6086" s="1"/>
      <c r="E6086" s="1"/>
      <c r="F6086" s="1" t="str">
        <f t="shared" si="1"/>
        <v/>
      </c>
      <c r="G6086" s="1" t="str">
        <f t="shared" si="2"/>
        <v/>
      </c>
      <c r="H6086" s="1"/>
      <c r="I6086" s="1"/>
      <c r="J6086" s="1" t="str">
        <f t="shared" si="3"/>
        <v/>
      </c>
      <c r="K6086" s="1" t="str">
        <f t="shared" si="4"/>
        <v/>
      </c>
    </row>
    <row r="6087" hidden="1">
      <c r="A6087" s="1"/>
      <c r="B6087" s="1"/>
      <c r="C6087" s="1"/>
      <c r="D6087" s="1"/>
      <c r="E6087" s="1"/>
      <c r="F6087" s="1" t="str">
        <f t="shared" si="1"/>
        <v/>
      </c>
      <c r="G6087" s="1" t="str">
        <f t="shared" si="2"/>
        <v/>
      </c>
      <c r="H6087" s="1"/>
      <c r="I6087" s="1"/>
      <c r="J6087" s="1" t="str">
        <f t="shared" si="3"/>
        <v/>
      </c>
      <c r="K6087" s="1" t="str">
        <f t="shared" si="4"/>
        <v/>
      </c>
    </row>
    <row r="6088" hidden="1">
      <c r="A6088" s="1"/>
      <c r="B6088" s="1"/>
      <c r="C6088" s="1"/>
      <c r="D6088" s="1"/>
      <c r="E6088" s="1"/>
      <c r="F6088" s="1" t="str">
        <f t="shared" si="1"/>
        <v/>
      </c>
      <c r="G6088" s="1" t="str">
        <f t="shared" si="2"/>
        <v/>
      </c>
      <c r="H6088" s="1"/>
      <c r="I6088" s="1"/>
      <c r="J6088" s="1" t="str">
        <f t="shared" si="3"/>
        <v/>
      </c>
      <c r="K6088" s="1" t="str">
        <f t="shared" si="4"/>
        <v/>
      </c>
    </row>
    <row r="6089" hidden="1">
      <c r="A6089" s="1"/>
      <c r="B6089" s="1"/>
      <c r="C6089" s="1"/>
      <c r="D6089" s="1"/>
      <c r="E6089" s="1"/>
      <c r="F6089" s="1" t="str">
        <f t="shared" si="1"/>
        <v/>
      </c>
      <c r="G6089" s="1" t="str">
        <f t="shared" si="2"/>
        <v/>
      </c>
      <c r="H6089" s="1"/>
      <c r="I6089" s="1"/>
      <c r="J6089" s="1" t="str">
        <f t="shared" si="3"/>
        <v/>
      </c>
      <c r="K6089" s="1" t="str">
        <f t="shared" si="4"/>
        <v/>
      </c>
    </row>
    <row r="6090" hidden="1">
      <c r="A6090" s="1"/>
      <c r="B6090" s="1"/>
      <c r="C6090" s="1"/>
      <c r="D6090" s="1"/>
      <c r="E6090" s="1"/>
      <c r="F6090" s="1" t="str">
        <f t="shared" si="1"/>
        <v/>
      </c>
      <c r="G6090" s="1" t="str">
        <f t="shared" si="2"/>
        <v/>
      </c>
      <c r="H6090" s="1"/>
      <c r="I6090" s="1"/>
      <c r="J6090" s="1" t="str">
        <f t="shared" si="3"/>
        <v/>
      </c>
      <c r="K6090" s="1" t="str">
        <f t="shared" si="4"/>
        <v/>
      </c>
    </row>
    <row r="6091" hidden="1">
      <c r="A6091" s="1"/>
      <c r="B6091" s="1"/>
      <c r="C6091" s="1"/>
      <c r="D6091" s="1"/>
      <c r="E6091" s="1"/>
      <c r="F6091" s="1" t="str">
        <f t="shared" si="1"/>
        <v/>
      </c>
      <c r="G6091" s="1" t="str">
        <f t="shared" si="2"/>
        <v/>
      </c>
      <c r="H6091" s="1"/>
      <c r="I6091" s="1"/>
      <c r="J6091" s="1" t="str">
        <f t="shared" si="3"/>
        <v/>
      </c>
      <c r="K6091" s="1" t="str">
        <f t="shared" si="4"/>
        <v/>
      </c>
    </row>
    <row r="6092" hidden="1">
      <c r="A6092" s="1"/>
      <c r="B6092" s="1"/>
      <c r="C6092" s="1"/>
      <c r="D6092" s="1"/>
      <c r="E6092" s="1"/>
      <c r="F6092" s="1" t="str">
        <f t="shared" si="1"/>
        <v/>
      </c>
      <c r="G6092" s="1" t="str">
        <f t="shared" si="2"/>
        <v/>
      </c>
      <c r="H6092" s="1"/>
      <c r="I6092" s="1"/>
      <c r="J6092" s="1" t="str">
        <f t="shared" si="3"/>
        <v/>
      </c>
      <c r="K6092" s="1" t="str">
        <f t="shared" si="4"/>
        <v/>
      </c>
    </row>
    <row r="6093" hidden="1">
      <c r="A6093" s="1"/>
      <c r="B6093" s="1"/>
      <c r="C6093" s="1"/>
      <c r="D6093" s="1"/>
      <c r="E6093" s="1"/>
      <c r="F6093" s="1" t="str">
        <f t="shared" si="1"/>
        <v/>
      </c>
      <c r="G6093" s="1" t="str">
        <f t="shared" si="2"/>
        <v/>
      </c>
      <c r="H6093" s="1"/>
      <c r="I6093" s="1"/>
      <c r="J6093" s="1" t="str">
        <f t="shared" si="3"/>
        <v/>
      </c>
      <c r="K6093" s="1" t="str">
        <f t="shared" si="4"/>
        <v/>
      </c>
    </row>
    <row r="6094" hidden="1">
      <c r="A6094" s="1"/>
      <c r="B6094" s="1"/>
      <c r="C6094" s="1"/>
      <c r="D6094" s="1"/>
      <c r="E6094" s="1"/>
      <c r="F6094" s="1" t="str">
        <f t="shared" si="1"/>
        <v/>
      </c>
      <c r="G6094" s="1" t="str">
        <f t="shared" si="2"/>
        <v/>
      </c>
      <c r="H6094" s="1"/>
      <c r="I6094" s="1"/>
      <c r="J6094" s="1" t="str">
        <f t="shared" si="3"/>
        <v/>
      </c>
      <c r="K6094" s="1" t="str">
        <f t="shared" si="4"/>
        <v/>
      </c>
    </row>
    <row r="6095" hidden="1">
      <c r="A6095" s="1"/>
      <c r="B6095" s="1"/>
      <c r="C6095" s="1"/>
      <c r="D6095" s="1"/>
      <c r="E6095" s="1"/>
      <c r="F6095" s="1" t="str">
        <f t="shared" si="1"/>
        <v/>
      </c>
      <c r="G6095" s="1" t="str">
        <f t="shared" si="2"/>
        <v/>
      </c>
      <c r="H6095" s="1"/>
      <c r="I6095" s="1"/>
      <c r="J6095" s="1" t="str">
        <f t="shared" si="3"/>
        <v/>
      </c>
      <c r="K6095" s="1" t="str">
        <f t="shared" si="4"/>
        <v/>
      </c>
    </row>
    <row r="6096" hidden="1">
      <c r="A6096" s="1"/>
      <c r="B6096" s="1"/>
      <c r="C6096" s="1"/>
      <c r="D6096" s="1"/>
      <c r="E6096" s="1"/>
      <c r="F6096" s="1" t="str">
        <f t="shared" si="1"/>
        <v/>
      </c>
      <c r="G6096" s="1" t="str">
        <f t="shared" si="2"/>
        <v/>
      </c>
      <c r="H6096" s="1"/>
      <c r="I6096" s="1"/>
      <c r="J6096" s="1" t="str">
        <f t="shared" si="3"/>
        <v/>
      </c>
      <c r="K6096" s="1" t="str">
        <f t="shared" si="4"/>
        <v/>
      </c>
    </row>
    <row r="6097" hidden="1">
      <c r="A6097" s="1"/>
      <c r="B6097" s="1"/>
      <c r="C6097" s="1"/>
      <c r="D6097" s="1"/>
      <c r="E6097" s="1"/>
      <c r="F6097" s="1" t="str">
        <f t="shared" si="1"/>
        <v/>
      </c>
      <c r="G6097" s="1" t="str">
        <f t="shared" si="2"/>
        <v/>
      </c>
      <c r="H6097" s="1"/>
      <c r="I6097" s="1"/>
      <c r="J6097" s="1" t="str">
        <f t="shared" si="3"/>
        <v/>
      </c>
      <c r="K6097" s="1" t="str">
        <f t="shared" si="4"/>
        <v/>
      </c>
    </row>
    <row r="6098" hidden="1">
      <c r="A6098" s="1"/>
      <c r="B6098" s="1"/>
      <c r="C6098" s="1"/>
      <c r="D6098" s="1"/>
      <c r="E6098" s="1"/>
      <c r="F6098" s="1" t="str">
        <f t="shared" si="1"/>
        <v/>
      </c>
      <c r="G6098" s="1" t="str">
        <f t="shared" si="2"/>
        <v/>
      </c>
      <c r="H6098" s="1"/>
      <c r="I6098" s="1"/>
      <c r="J6098" s="1" t="str">
        <f t="shared" si="3"/>
        <v/>
      </c>
      <c r="K6098" s="1" t="str">
        <f t="shared" si="4"/>
        <v/>
      </c>
    </row>
    <row r="6099" hidden="1">
      <c r="A6099" s="1"/>
      <c r="B6099" s="1"/>
      <c r="C6099" s="1"/>
      <c r="D6099" s="1"/>
      <c r="E6099" s="1"/>
      <c r="F6099" s="1" t="str">
        <f t="shared" si="1"/>
        <v/>
      </c>
      <c r="G6099" s="1" t="str">
        <f t="shared" si="2"/>
        <v/>
      </c>
      <c r="H6099" s="1"/>
      <c r="I6099" s="1"/>
      <c r="J6099" s="1" t="str">
        <f t="shared" si="3"/>
        <v/>
      </c>
      <c r="K6099" s="1" t="str">
        <f t="shared" si="4"/>
        <v/>
      </c>
    </row>
    <row r="6100" hidden="1">
      <c r="A6100" s="1"/>
      <c r="B6100" s="1"/>
      <c r="C6100" s="1"/>
      <c r="D6100" s="1"/>
      <c r="E6100" s="1"/>
      <c r="F6100" s="1" t="str">
        <f t="shared" si="1"/>
        <v/>
      </c>
      <c r="G6100" s="1" t="str">
        <f t="shared" si="2"/>
        <v/>
      </c>
      <c r="H6100" s="1"/>
      <c r="I6100" s="1"/>
      <c r="J6100" s="1" t="str">
        <f t="shared" si="3"/>
        <v/>
      </c>
      <c r="K6100" s="1" t="str">
        <f t="shared" si="4"/>
        <v/>
      </c>
    </row>
    <row r="6101" hidden="1">
      <c r="A6101" s="1"/>
      <c r="B6101" s="1"/>
      <c r="C6101" s="1"/>
      <c r="D6101" s="1"/>
      <c r="E6101" s="1"/>
      <c r="F6101" s="1" t="str">
        <f t="shared" si="1"/>
        <v/>
      </c>
      <c r="G6101" s="1" t="str">
        <f t="shared" si="2"/>
        <v/>
      </c>
      <c r="H6101" s="1"/>
      <c r="I6101" s="1"/>
      <c r="J6101" s="1" t="str">
        <f t="shared" si="3"/>
        <v/>
      </c>
      <c r="K6101" s="1" t="str">
        <f t="shared" si="4"/>
        <v/>
      </c>
    </row>
    <row r="6102" hidden="1">
      <c r="A6102" s="1"/>
      <c r="B6102" s="1"/>
      <c r="C6102" s="1"/>
      <c r="D6102" s="1"/>
      <c r="E6102" s="1"/>
      <c r="F6102" s="1" t="str">
        <f t="shared" si="1"/>
        <v/>
      </c>
      <c r="G6102" s="1" t="str">
        <f t="shared" si="2"/>
        <v/>
      </c>
      <c r="H6102" s="1"/>
      <c r="I6102" s="1"/>
      <c r="J6102" s="1" t="str">
        <f t="shared" si="3"/>
        <v/>
      </c>
      <c r="K6102" s="1" t="str">
        <f t="shared" si="4"/>
        <v/>
      </c>
    </row>
    <row r="6103" hidden="1">
      <c r="A6103" s="1"/>
      <c r="B6103" s="1"/>
      <c r="C6103" s="1"/>
      <c r="D6103" s="1"/>
      <c r="E6103" s="1"/>
      <c r="F6103" s="1" t="str">
        <f t="shared" si="1"/>
        <v/>
      </c>
      <c r="G6103" s="1" t="str">
        <f t="shared" si="2"/>
        <v/>
      </c>
      <c r="H6103" s="1"/>
      <c r="I6103" s="1"/>
      <c r="J6103" s="1" t="str">
        <f t="shared" si="3"/>
        <v/>
      </c>
      <c r="K6103" s="1" t="str">
        <f t="shared" si="4"/>
        <v/>
      </c>
    </row>
    <row r="6104" hidden="1">
      <c r="A6104" s="1"/>
      <c r="B6104" s="1"/>
      <c r="C6104" s="1"/>
      <c r="D6104" s="1"/>
      <c r="E6104" s="1"/>
      <c r="F6104" s="1" t="str">
        <f t="shared" si="1"/>
        <v/>
      </c>
      <c r="G6104" s="1" t="str">
        <f t="shared" si="2"/>
        <v/>
      </c>
      <c r="H6104" s="1"/>
      <c r="I6104" s="1"/>
      <c r="J6104" s="1" t="str">
        <f t="shared" si="3"/>
        <v/>
      </c>
      <c r="K6104" s="1" t="str">
        <f t="shared" si="4"/>
        <v/>
      </c>
    </row>
    <row r="6105" hidden="1">
      <c r="A6105" s="1"/>
      <c r="B6105" s="1"/>
      <c r="C6105" s="1"/>
      <c r="D6105" s="1"/>
      <c r="E6105" s="1"/>
      <c r="F6105" s="1" t="str">
        <f t="shared" si="1"/>
        <v/>
      </c>
      <c r="G6105" s="1" t="str">
        <f t="shared" si="2"/>
        <v/>
      </c>
      <c r="H6105" s="1"/>
      <c r="I6105" s="1"/>
      <c r="J6105" s="1" t="str">
        <f t="shared" si="3"/>
        <v/>
      </c>
      <c r="K6105" s="1" t="str">
        <f t="shared" si="4"/>
        <v/>
      </c>
    </row>
    <row r="6106" hidden="1">
      <c r="A6106" s="1"/>
      <c r="B6106" s="1"/>
      <c r="C6106" s="1"/>
      <c r="D6106" s="1"/>
      <c r="E6106" s="1"/>
      <c r="F6106" s="1" t="str">
        <f t="shared" si="1"/>
        <v/>
      </c>
      <c r="G6106" s="1" t="str">
        <f t="shared" si="2"/>
        <v/>
      </c>
      <c r="H6106" s="1"/>
      <c r="I6106" s="1"/>
      <c r="J6106" s="1" t="str">
        <f t="shared" si="3"/>
        <v/>
      </c>
      <c r="K6106" s="1" t="str">
        <f t="shared" si="4"/>
        <v/>
      </c>
    </row>
    <row r="6107" hidden="1">
      <c r="A6107" s="1"/>
      <c r="B6107" s="1"/>
      <c r="C6107" s="1"/>
      <c r="D6107" s="1"/>
      <c r="E6107" s="1"/>
      <c r="F6107" s="1" t="str">
        <f t="shared" si="1"/>
        <v/>
      </c>
      <c r="G6107" s="1" t="str">
        <f t="shared" si="2"/>
        <v/>
      </c>
      <c r="H6107" s="1"/>
      <c r="I6107" s="1"/>
      <c r="J6107" s="1" t="str">
        <f t="shared" si="3"/>
        <v/>
      </c>
      <c r="K6107" s="1" t="str">
        <f t="shared" si="4"/>
        <v/>
      </c>
    </row>
    <row r="6108" hidden="1">
      <c r="A6108" s="1"/>
      <c r="B6108" s="1"/>
      <c r="C6108" s="1"/>
      <c r="D6108" s="1"/>
      <c r="E6108" s="1"/>
      <c r="F6108" s="1" t="str">
        <f t="shared" si="1"/>
        <v/>
      </c>
      <c r="G6108" s="1" t="str">
        <f t="shared" si="2"/>
        <v/>
      </c>
      <c r="H6108" s="1"/>
      <c r="I6108" s="1"/>
      <c r="J6108" s="1" t="str">
        <f t="shared" si="3"/>
        <v/>
      </c>
      <c r="K6108" s="1" t="str">
        <f t="shared" si="4"/>
        <v/>
      </c>
    </row>
    <row r="6109" hidden="1">
      <c r="A6109" s="1"/>
      <c r="B6109" s="1"/>
      <c r="C6109" s="1"/>
      <c r="D6109" s="1"/>
      <c r="E6109" s="1"/>
      <c r="F6109" s="1" t="str">
        <f t="shared" si="1"/>
        <v/>
      </c>
      <c r="G6109" s="1" t="str">
        <f t="shared" si="2"/>
        <v/>
      </c>
      <c r="H6109" s="1"/>
      <c r="I6109" s="1"/>
      <c r="J6109" s="1" t="str">
        <f t="shared" si="3"/>
        <v/>
      </c>
      <c r="K6109" s="1" t="str">
        <f t="shared" si="4"/>
        <v/>
      </c>
    </row>
    <row r="6110" hidden="1">
      <c r="A6110" s="1"/>
      <c r="B6110" s="1"/>
      <c r="C6110" s="1"/>
      <c r="D6110" s="1"/>
      <c r="E6110" s="1"/>
      <c r="F6110" s="1" t="str">
        <f t="shared" si="1"/>
        <v/>
      </c>
      <c r="G6110" s="1" t="str">
        <f t="shared" si="2"/>
        <v/>
      </c>
      <c r="H6110" s="1"/>
      <c r="I6110" s="1"/>
      <c r="J6110" s="1" t="str">
        <f t="shared" si="3"/>
        <v/>
      </c>
      <c r="K6110" s="1" t="str">
        <f t="shared" si="4"/>
        <v/>
      </c>
    </row>
    <row r="6111" hidden="1">
      <c r="A6111" s="1"/>
      <c r="B6111" s="1"/>
      <c r="C6111" s="1"/>
      <c r="D6111" s="1"/>
      <c r="E6111" s="1"/>
      <c r="F6111" s="1" t="str">
        <f t="shared" si="1"/>
        <v/>
      </c>
      <c r="G6111" s="1" t="str">
        <f t="shared" si="2"/>
        <v/>
      </c>
      <c r="H6111" s="1"/>
      <c r="I6111" s="1"/>
      <c r="J6111" s="1" t="str">
        <f t="shared" si="3"/>
        <v/>
      </c>
      <c r="K6111" s="1" t="str">
        <f t="shared" si="4"/>
        <v/>
      </c>
    </row>
    <row r="6112" hidden="1">
      <c r="A6112" s="1"/>
      <c r="B6112" s="1"/>
      <c r="C6112" s="1"/>
      <c r="D6112" s="1"/>
      <c r="E6112" s="1"/>
      <c r="F6112" s="1" t="str">
        <f t="shared" si="1"/>
        <v/>
      </c>
      <c r="G6112" s="1" t="str">
        <f t="shared" si="2"/>
        <v/>
      </c>
      <c r="H6112" s="1"/>
      <c r="I6112" s="1"/>
      <c r="J6112" s="1" t="str">
        <f t="shared" si="3"/>
        <v/>
      </c>
      <c r="K6112" s="1" t="str">
        <f t="shared" si="4"/>
        <v/>
      </c>
    </row>
    <row r="6113" hidden="1">
      <c r="A6113" s="1"/>
      <c r="B6113" s="1"/>
      <c r="C6113" s="1"/>
      <c r="D6113" s="1"/>
      <c r="E6113" s="1"/>
      <c r="F6113" s="1" t="str">
        <f t="shared" si="1"/>
        <v/>
      </c>
      <c r="G6113" s="1" t="str">
        <f t="shared" si="2"/>
        <v/>
      </c>
      <c r="H6113" s="1"/>
      <c r="I6113" s="1"/>
      <c r="J6113" s="1" t="str">
        <f t="shared" si="3"/>
        <v/>
      </c>
      <c r="K6113" s="1" t="str">
        <f t="shared" si="4"/>
        <v/>
      </c>
    </row>
    <row r="6114" hidden="1">
      <c r="A6114" s="1"/>
      <c r="B6114" s="1"/>
      <c r="C6114" s="1"/>
      <c r="D6114" s="1"/>
      <c r="E6114" s="1"/>
      <c r="F6114" s="1" t="str">
        <f t="shared" si="1"/>
        <v/>
      </c>
      <c r="G6114" s="1" t="str">
        <f t="shared" si="2"/>
        <v/>
      </c>
      <c r="H6114" s="1"/>
      <c r="I6114" s="1"/>
      <c r="J6114" s="1" t="str">
        <f t="shared" si="3"/>
        <v/>
      </c>
      <c r="K6114" s="1" t="str">
        <f t="shared" si="4"/>
        <v/>
      </c>
    </row>
    <row r="6115" hidden="1">
      <c r="A6115" s="1"/>
      <c r="B6115" s="1"/>
      <c r="C6115" s="1"/>
      <c r="D6115" s="1"/>
      <c r="E6115" s="1"/>
      <c r="F6115" s="1" t="str">
        <f t="shared" si="1"/>
        <v/>
      </c>
      <c r="G6115" s="1" t="str">
        <f t="shared" si="2"/>
        <v/>
      </c>
      <c r="H6115" s="1"/>
      <c r="I6115" s="1"/>
      <c r="J6115" s="1" t="str">
        <f t="shared" si="3"/>
        <v/>
      </c>
      <c r="K6115" s="1" t="str">
        <f t="shared" si="4"/>
        <v/>
      </c>
    </row>
    <row r="6116" hidden="1">
      <c r="A6116" s="1"/>
      <c r="B6116" s="1"/>
      <c r="C6116" s="1"/>
      <c r="D6116" s="1"/>
      <c r="E6116" s="1"/>
      <c r="F6116" s="1" t="str">
        <f t="shared" si="1"/>
        <v/>
      </c>
      <c r="G6116" s="1" t="str">
        <f t="shared" si="2"/>
        <v/>
      </c>
      <c r="H6116" s="1"/>
      <c r="I6116" s="1"/>
      <c r="J6116" s="1" t="str">
        <f t="shared" si="3"/>
        <v/>
      </c>
      <c r="K6116" s="1" t="str">
        <f t="shared" si="4"/>
        <v/>
      </c>
    </row>
    <row r="6117" hidden="1">
      <c r="A6117" s="1"/>
      <c r="B6117" s="1"/>
      <c r="C6117" s="1"/>
      <c r="D6117" s="1"/>
      <c r="E6117" s="1"/>
      <c r="F6117" s="1" t="str">
        <f t="shared" si="1"/>
        <v/>
      </c>
      <c r="G6117" s="1" t="str">
        <f t="shared" si="2"/>
        <v/>
      </c>
      <c r="H6117" s="1"/>
      <c r="I6117" s="1"/>
      <c r="J6117" s="1" t="str">
        <f t="shared" si="3"/>
        <v/>
      </c>
      <c r="K6117" s="1" t="str">
        <f t="shared" si="4"/>
        <v/>
      </c>
    </row>
    <row r="6118" hidden="1">
      <c r="A6118" s="1"/>
      <c r="B6118" s="1"/>
      <c r="C6118" s="1"/>
      <c r="D6118" s="1"/>
      <c r="E6118" s="1"/>
      <c r="F6118" s="1" t="str">
        <f t="shared" si="1"/>
        <v/>
      </c>
      <c r="G6118" s="1" t="str">
        <f t="shared" si="2"/>
        <v/>
      </c>
      <c r="H6118" s="1"/>
      <c r="I6118" s="1"/>
      <c r="J6118" s="1" t="str">
        <f t="shared" si="3"/>
        <v/>
      </c>
      <c r="K6118" s="1" t="str">
        <f t="shared" si="4"/>
        <v/>
      </c>
    </row>
    <row r="6119" hidden="1">
      <c r="A6119" s="1"/>
      <c r="B6119" s="1"/>
      <c r="C6119" s="1"/>
      <c r="D6119" s="1"/>
      <c r="E6119" s="1"/>
      <c r="F6119" s="1" t="str">
        <f t="shared" si="1"/>
        <v/>
      </c>
      <c r="G6119" s="1" t="str">
        <f t="shared" si="2"/>
        <v/>
      </c>
      <c r="H6119" s="1"/>
      <c r="I6119" s="1"/>
      <c r="J6119" s="1" t="str">
        <f t="shared" si="3"/>
        <v/>
      </c>
      <c r="K6119" s="1" t="str">
        <f t="shared" si="4"/>
        <v/>
      </c>
    </row>
    <row r="6120" hidden="1">
      <c r="A6120" s="1"/>
      <c r="B6120" s="1"/>
      <c r="C6120" s="1"/>
      <c r="D6120" s="1"/>
      <c r="E6120" s="1"/>
      <c r="F6120" s="1" t="str">
        <f t="shared" si="1"/>
        <v/>
      </c>
      <c r="G6120" s="1" t="str">
        <f t="shared" si="2"/>
        <v/>
      </c>
      <c r="H6120" s="1"/>
      <c r="I6120" s="1"/>
      <c r="J6120" s="1" t="str">
        <f t="shared" si="3"/>
        <v/>
      </c>
      <c r="K6120" s="1" t="str">
        <f t="shared" si="4"/>
        <v/>
      </c>
    </row>
    <row r="6121" hidden="1">
      <c r="A6121" s="1"/>
      <c r="B6121" s="1"/>
      <c r="C6121" s="1"/>
      <c r="D6121" s="1"/>
      <c r="E6121" s="1"/>
      <c r="F6121" s="1" t="str">
        <f t="shared" si="1"/>
        <v/>
      </c>
      <c r="G6121" s="1" t="str">
        <f t="shared" si="2"/>
        <v/>
      </c>
      <c r="H6121" s="1"/>
      <c r="I6121" s="1"/>
      <c r="J6121" s="1" t="str">
        <f t="shared" si="3"/>
        <v/>
      </c>
      <c r="K6121" s="1" t="str">
        <f t="shared" si="4"/>
        <v/>
      </c>
    </row>
    <row r="6122" hidden="1">
      <c r="A6122" s="1"/>
      <c r="B6122" s="1"/>
      <c r="C6122" s="1"/>
      <c r="D6122" s="1"/>
      <c r="E6122" s="1"/>
      <c r="F6122" s="1" t="str">
        <f t="shared" si="1"/>
        <v/>
      </c>
      <c r="G6122" s="1" t="str">
        <f t="shared" si="2"/>
        <v/>
      </c>
      <c r="H6122" s="1"/>
      <c r="I6122" s="1"/>
      <c r="J6122" s="1" t="str">
        <f t="shared" si="3"/>
        <v/>
      </c>
      <c r="K6122" s="1" t="str">
        <f t="shared" si="4"/>
        <v/>
      </c>
    </row>
    <row r="6123" hidden="1">
      <c r="A6123" s="1"/>
      <c r="B6123" s="1"/>
      <c r="C6123" s="1"/>
      <c r="D6123" s="1"/>
      <c r="E6123" s="1"/>
      <c r="F6123" s="1" t="str">
        <f t="shared" si="1"/>
        <v/>
      </c>
      <c r="G6123" s="1" t="str">
        <f t="shared" si="2"/>
        <v/>
      </c>
      <c r="H6123" s="1"/>
      <c r="I6123" s="1"/>
      <c r="J6123" s="1" t="str">
        <f t="shared" si="3"/>
        <v/>
      </c>
      <c r="K6123" s="1" t="str">
        <f t="shared" si="4"/>
        <v/>
      </c>
    </row>
    <row r="6124" hidden="1">
      <c r="A6124" s="1"/>
      <c r="B6124" s="1"/>
      <c r="C6124" s="1"/>
      <c r="D6124" s="1"/>
      <c r="E6124" s="1"/>
      <c r="F6124" s="1" t="str">
        <f t="shared" si="1"/>
        <v/>
      </c>
      <c r="G6124" s="1" t="str">
        <f t="shared" si="2"/>
        <v/>
      </c>
      <c r="H6124" s="1"/>
      <c r="I6124" s="1"/>
      <c r="J6124" s="1" t="str">
        <f t="shared" si="3"/>
        <v/>
      </c>
      <c r="K6124" s="1" t="str">
        <f t="shared" si="4"/>
        <v/>
      </c>
    </row>
    <row r="6125" hidden="1">
      <c r="A6125" s="1"/>
      <c r="B6125" s="1"/>
      <c r="C6125" s="1"/>
      <c r="D6125" s="1"/>
      <c r="E6125" s="1"/>
      <c r="F6125" s="1" t="str">
        <f t="shared" si="1"/>
        <v/>
      </c>
      <c r="G6125" s="1" t="str">
        <f t="shared" si="2"/>
        <v/>
      </c>
      <c r="H6125" s="1"/>
      <c r="I6125" s="1"/>
      <c r="J6125" s="1" t="str">
        <f t="shared" si="3"/>
        <v/>
      </c>
      <c r="K6125" s="1" t="str">
        <f t="shared" si="4"/>
        <v/>
      </c>
    </row>
    <row r="6126" hidden="1">
      <c r="A6126" s="1"/>
      <c r="B6126" s="1"/>
      <c r="C6126" s="1"/>
      <c r="D6126" s="1"/>
      <c r="E6126" s="1"/>
      <c r="F6126" s="1" t="str">
        <f t="shared" si="1"/>
        <v/>
      </c>
      <c r="G6126" s="1" t="str">
        <f t="shared" si="2"/>
        <v/>
      </c>
      <c r="H6126" s="1"/>
      <c r="I6126" s="1"/>
      <c r="J6126" s="1" t="str">
        <f t="shared" si="3"/>
        <v/>
      </c>
      <c r="K6126" s="1" t="str">
        <f t="shared" si="4"/>
        <v/>
      </c>
    </row>
    <row r="6127" hidden="1">
      <c r="A6127" s="1"/>
      <c r="B6127" s="1"/>
      <c r="C6127" s="1"/>
      <c r="D6127" s="1"/>
      <c r="E6127" s="1"/>
      <c r="F6127" s="1" t="str">
        <f t="shared" si="1"/>
        <v/>
      </c>
      <c r="G6127" s="1" t="str">
        <f t="shared" si="2"/>
        <v/>
      </c>
      <c r="H6127" s="1"/>
      <c r="I6127" s="1"/>
      <c r="J6127" s="1" t="str">
        <f t="shared" si="3"/>
        <v/>
      </c>
      <c r="K6127" s="1" t="str">
        <f t="shared" si="4"/>
        <v/>
      </c>
    </row>
    <row r="6128" hidden="1">
      <c r="A6128" s="1"/>
      <c r="B6128" s="1"/>
      <c r="C6128" s="1"/>
      <c r="D6128" s="1"/>
      <c r="E6128" s="1"/>
      <c r="F6128" s="1" t="str">
        <f t="shared" si="1"/>
        <v/>
      </c>
      <c r="G6128" s="1" t="str">
        <f t="shared" si="2"/>
        <v/>
      </c>
      <c r="H6128" s="1"/>
      <c r="I6128" s="1"/>
      <c r="J6128" s="1" t="str">
        <f t="shared" si="3"/>
        <v/>
      </c>
      <c r="K6128" s="1" t="str">
        <f t="shared" si="4"/>
        <v/>
      </c>
    </row>
    <row r="6129" hidden="1">
      <c r="A6129" s="1"/>
      <c r="B6129" s="1"/>
      <c r="C6129" s="1"/>
      <c r="D6129" s="1"/>
      <c r="E6129" s="1"/>
      <c r="F6129" s="1" t="str">
        <f t="shared" si="1"/>
        <v/>
      </c>
      <c r="G6129" s="1" t="str">
        <f t="shared" si="2"/>
        <v/>
      </c>
      <c r="H6129" s="1"/>
      <c r="I6129" s="1"/>
      <c r="J6129" s="1" t="str">
        <f t="shared" si="3"/>
        <v/>
      </c>
      <c r="K6129" s="1" t="str">
        <f t="shared" si="4"/>
        <v/>
      </c>
    </row>
    <row r="6130" hidden="1">
      <c r="A6130" s="1"/>
      <c r="B6130" s="1"/>
      <c r="C6130" s="1"/>
      <c r="D6130" s="1"/>
      <c r="E6130" s="1"/>
      <c r="F6130" s="1" t="str">
        <f t="shared" si="1"/>
        <v/>
      </c>
      <c r="G6130" s="1" t="str">
        <f t="shared" si="2"/>
        <v/>
      </c>
      <c r="H6130" s="1"/>
      <c r="I6130" s="1"/>
      <c r="J6130" s="1" t="str">
        <f t="shared" si="3"/>
        <v/>
      </c>
      <c r="K6130" s="1" t="str">
        <f t="shared" si="4"/>
        <v/>
      </c>
    </row>
    <row r="6131" hidden="1">
      <c r="A6131" s="1"/>
      <c r="B6131" s="1"/>
      <c r="C6131" s="1"/>
      <c r="D6131" s="1"/>
      <c r="E6131" s="1"/>
      <c r="F6131" s="1" t="str">
        <f t="shared" si="1"/>
        <v/>
      </c>
      <c r="G6131" s="1" t="str">
        <f t="shared" si="2"/>
        <v/>
      </c>
      <c r="H6131" s="1"/>
      <c r="I6131" s="1"/>
      <c r="J6131" s="1" t="str">
        <f t="shared" si="3"/>
        <v/>
      </c>
      <c r="K6131" s="1" t="str">
        <f t="shared" si="4"/>
        <v/>
      </c>
    </row>
    <row r="6132" hidden="1">
      <c r="A6132" s="1"/>
      <c r="B6132" s="1"/>
      <c r="C6132" s="1"/>
      <c r="D6132" s="1"/>
      <c r="E6132" s="1"/>
      <c r="F6132" s="1" t="str">
        <f t="shared" si="1"/>
        <v/>
      </c>
      <c r="G6132" s="1" t="str">
        <f t="shared" si="2"/>
        <v/>
      </c>
      <c r="H6132" s="1"/>
      <c r="I6132" s="1"/>
      <c r="J6132" s="1" t="str">
        <f t="shared" si="3"/>
        <v/>
      </c>
      <c r="K6132" s="1" t="str">
        <f t="shared" si="4"/>
        <v/>
      </c>
    </row>
    <row r="6133" hidden="1">
      <c r="A6133" s="1"/>
      <c r="B6133" s="1"/>
      <c r="C6133" s="1"/>
      <c r="D6133" s="1"/>
      <c r="E6133" s="1"/>
      <c r="F6133" s="1" t="str">
        <f t="shared" si="1"/>
        <v/>
      </c>
      <c r="G6133" s="1" t="str">
        <f t="shared" si="2"/>
        <v/>
      </c>
      <c r="H6133" s="1"/>
      <c r="I6133" s="1"/>
      <c r="J6133" s="1" t="str">
        <f t="shared" si="3"/>
        <v/>
      </c>
      <c r="K6133" s="1" t="str">
        <f t="shared" si="4"/>
        <v/>
      </c>
    </row>
    <row r="6134" hidden="1">
      <c r="A6134" s="1"/>
      <c r="B6134" s="1"/>
      <c r="C6134" s="1"/>
      <c r="D6134" s="1"/>
      <c r="E6134" s="1"/>
      <c r="F6134" s="1" t="str">
        <f t="shared" si="1"/>
        <v/>
      </c>
      <c r="G6134" s="1" t="str">
        <f t="shared" si="2"/>
        <v/>
      </c>
      <c r="H6134" s="1"/>
      <c r="I6134" s="1"/>
      <c r="J6134" s="1" t="str">
        <f t="shared" si="3"/>
        <v/>
      </c>
      <c r="K6134" s="1" t="str">
        <f t="shared" si="4"/>
        <v/>
      </c>
    </row>
    <row r="6135" hidden="1">
      <c r="A6135" s="1"/>
      <c r="B6135" s="1"/>
      <c r="C6135" s="1"/>
      <c r="D6135" s="1"/>
      <c r="E6135" s="1"/>
      <c r="F6135" s="1" t="str">
        <f t="shared" si="1"/>
        <v/>
      </c>
      <c r="G6135" s="1" t="str">
        <f t="shared" si="2"/>
        <v/>
      </c>
      <c r="H6135" s="1"/>
      <c r="I6135" s="1"/>
      <c r="J6135" s="1" t="str">
        <f t="shared" si="3"/>
        <v/>
      </c>
      <c r="K6135" s="1" t="str">
        <f t="shared" si="4"/>
        <v/>
      </c>
    </row>
    <row r="6136" hidden="1">
      <c r="A6136" s="1"/>
      <c r="B6136" s="1"/>
      <c r="C6136" s="1"/>
      <c r="D6136" s="1"/>
      <c r="E6136" s="1"/>
      <c r="F6136" s="1" t="str">
        <f t="shared" si="1"/>
        <v/>
      </c>
      <c r="G6136" s="1" t="str">
        <f t="shared" si="2"/>
        <v/>
      </c>
      <c r="H6136" s="1"/>
      <c r="I6136" s="1"/>
      <c r="J6136" s="1" t="str">
        <f t="shared" si="3"/>
        <v/>
      </c>
      <c r="K6136" s="1" t="str">
        <f t="shared" si="4"/>
        <v/>
      </c>
    </row>
    <row r="6137" hidden="1">
      <c r="A6137" s="1"/>
      <c r="B6137" s="1"/>
      <c r="C6137" s="1"/>
      <c r="D6137" s="1"/>
      <c r="E6137" s="1"/>
      <c r="F6137" s="1" t="str">
        <f t="shared" si="1"/>
        <v/>
      </c>
      <c r="G6137" s="1" t="str">
        <f t="shared" si="2"/>
        <v/>
      </c>
      <c r="H6137" s="1"/>
      <c r="I6137" s="1"/>
      <c r="J6137" s="1" t="str">
        <f t="shared" si="3"/>
        <v/>
      </c>
      <c r="K6137" s="1" t="str">
        <f t="shared" si="4"/>
        <v/>
      </c>
    </row>
    <row r="6138" hidden="1">
      <c r="A6138" s="1"/>
      <c r="B6138" s="1"/>
      <c r="C6138" s="1"/>
      <c r="D6138" s="1"/>
      <c r="E6138" s="1"/>
      <c r="F6138" s="1" t="str">
        <f t="shared" si="1"/>
        <v/>
      </c>
      <c r="G6138" s="1" t="str">
        <f t="shared" si="2"/>
        <v/>
      </c>
      <c r="H6138" s="1"/>
      <c r="I6138" s="1"/>
      <c r="J6138" s="1" t="str">
        <f t="shared" si="3"/>
        <v/>
      </c>
      <c r="K6138" s="1" t="str">
        <f t="shared" si="4"/>
        <v/>
      </c>
    </row>
    <row r="6139" hidden="1">
      <c r="A6139" s="1"/>
      <c r="B6139" s="1"/>
      <c r="C6139" s="1"/>
      <c r="D6139" s="1"/>
      <c r="E6139" s="1"/>
      <c r="F6139" s="1" t="str">
        <f t="shared" si="1"/>
        <v/>
      </c>
      <c r="G6139" s="1" t="str">
        <f t="shared" si="2"/>
        <v/>
      </c>
      <c r="H6139" s="1"/>
      <c r="I6139" s="1"/>
      <c r="J6139" s="1" t="str">
        <f t="shared" si="3"/>
        <v/>
      </c>
      <c r="K6139" s="1" t="str">
        <f t="shared" si="4"/>
        <v/>
      </c>
    </row>
    <row r="6140" hidden="1">
      <c r="A6140" s="1"/>
      <c r="B6140" s="1"/>
      <c r="C6140" s="1"/>
      <c r="D6140" s="1"/>
      <c r="E6140" s="1"/>
      <c r="F6140" s="1" t="str">
        <f t="shared" si="1"/>
        <v/>
      </c>
      <c r="G6140" s="1" t="str">
        <f t="shared" si="2"/>
        <v/>
      </c>
      <c r="H6140" s="1"/>
      <c r="I6140" s="1"/>
      <c r="J6140" s="1" t="str">
        <f t="shared" si="3"/>
        <v/>
      </c>
      <c r="K6140" s="1" t="str">
        <f t="shared" si="4"/>
        <v/>
      </c>
    </row>
    <row r="6141" hidden="1">
      <c r="A6141" s="1"/>
      <c r="B6141" s="1"/>
      <c r="C6141" s="1"/>
      <c r="D6141" s="1"/>
      <c r="E6141" s="1"/>
      <c r="F6141" s="1" t="str">
        <f t="shared" si="1"/>
        <v/>
      </c>
      <c r="G6141" s="1" t="str">
        <f t="shared" si="2"/>
        <v/>
      </c>
      <c r="H6141" s="1"/>
      <c r="I6141" s="1"/>
      <c r="J6141" s="1" t="str">
        <f t="shared" si="3"/>
        <v/>
      </c>
      <c r="K6141" s="1" t="str">
        <f t="shared" si="4"/>
        <v/>
      </c>
    </row>
    <row r="6142" hidden="1">
      <c r="A6142" s="1"/>
      <c r="B6142" s="1"/>
      <c r="C6142" s="1"/>
      <c r="D6142" s="1"/>
      <c r="E6142" s="1"/>
      <c r="F6142" s="1" t="str">
        <f t="shared" si="1"/>
        <v/>
      </c>
      <c r="G6142" s="1" t="str">
        <f t="shared" si="2"/>
        <v/>
      </c>
      <c r="H6142" s="1"/>
      <c r="I6142" s="1"/>
      <c r="J6142" s="1" t="str">
        <f t="shared" si="3"/>
        <v/>
      </c>
      <c r="K6142" s="1" t="str">
        <f t="shared" si="4"/>
        <v/>
      </c>
    </row>
    <row r="6143" hidden="1">
      <c r="A6143" s="1"/>
      <c r="B6143" s="1"/>
      <c r="C6143" s="1"/>
      <c r="D6143" s="1"/>
      <c r="E6143" s="1"/>
      <c r="F6143" s="1" t="str">
        <f t="shared" si="1"/>
        <v/>
      </c>
      <c r="G6143" s="1" t="str">
        <f t="shared" si="2"/>
        <v/>
      </c>
      <c r="H6143" s="1"/>
      <c r="I6143" s="1"/>
      <c r="J6143" s="1" t="str">
        <f t="shared" si="3"/>
        <v/>
      </c>
      <c r="K6143" s="1" t="str">
        <f t="shared" si="4"/>
        <v/>
      </c>
    </row>
    <row r="6144" hidden="1">
      <c r="A6144" s="1"/>
      <c r="B6144" s="1"/>
      <c r="C6144" s="1"/>
      <c r="D6144" s="1"/>
      <c r="E6144" s="1"/>
      <c r="F6144" s="1" t="str">
        <f t="shared" si="1"/>
        <v/>
      </c>
      <c r="G6144" s="1" t="str">
        <f t="shared" si="2"/>
        <v/>
      </c>
      <c r="H6144" s="1"/>
      <c r="I6144" s="1"/>
      <c r="J6144" s="1" t="str">
        <f t="shared" si="3"/>
        <v/>
      </c>
      <c r="K6144" s="1" t="str">
        <f t="shared" si="4"/>
        <v/>
      </c>
    </row>
    <row r="6145" hidden="1">
      <c r="A6145" s="1"/>
      <c r="B6145" s="1"/>
      <c r="C6145" s="1"/>
      <c r="D6145" s="1"/>
      <c r="E6145" s="1"/>
      <c r="F6145" s="1" t="str">
        <f t="shared" si="1"/>
        <v/>
      </c>
      <c r="G6145" s="1" t="str">
        <f t="shared" si="2"/>
        <v/>
      </c>
      <c r="H6145" s="1"/>
      <c r="I6145" s="1"/>
      <c r="J6145" s="1" t="str">
        <f t="shared" si="3"/>
        <v/>
      </c>
      <c r="K6145" s="1" t="str">
        <f t="shared" si="4"/>
        <v/>
      </c>
    </row>
    <row r="6146" hidden="1">
      <c r="A6146" s="1"/>
      <c r="B6146" s="1"/>
      <c r="C6146" s="1"/>
      <c r="D6146" s="1"/>
      <c r="E6146" s="1"/>
      <c r="F6146" s="1" t="str">
        <f t="shared" si="1"/>
        <v/>
      </c>
      <c r="G6146" s="1" t="str">
        <f t="shared" si="2"/>
        <v/>
      </c>
      <c r="H6146" s="1"/>
      <c r="I6146" s="1"/>
      <c r="J6146" s="1" t="str">
        <f t="shared" si="3"/>
        <v/>
      </c>
      <c r="K6146" s="1" t="str">
        <f t="shared" si="4"/>
        <v/>
      </c>
    </row>
    <row r="6147" hidden="1">
      <c r="A6147" s="1"/>
      <c r="B6147" s="1"/>
      <c r="C6147" s="1"/>
      <c r="D6147" s="1"/>
      <c r="E6147" s="1"/>
      <c r="F6147" s="1" t="str">
        <f t="shared" si="1"/>
        <v/>
      </c>
      <c r="G6147" s="1" t="str">
        <f t="shared" si="2"/>
        <v/>
      </c>
      <c r="H6147" s="1"/>
      <c r="I6147" s="1"/>
      <c r="J6147" s="1" t="str">
        <f t="shared" si="3"/>
        <v/>
      </c>
      <c r="K6147" s="1" t="str">
        <f t="shared" si="4"/>
        <v/>
      </c>
    </row>
    <row r="6148" hidden="1">
      <c r="A6148" s="1"/>
      <c r="B6148" s="1"/>
      <c r="C6148" s="1"/>
      <c r="D6148" s="1"/>
      <c r="E6148" s="1"/>
      <c r="F6148" s="1" t="str">
        <f t="shared" si="1"/>
        <v/>
      </c>
      <c r="G6148" s="1" t="str">
        <f t="shared" si="2"/>
        <v/>
      </c>
      <c r="H6148" s="1"/>
      <c r="I6148" s="1"/>
      <c r="J6148" s="1" t="str">
        <f t="shared" si="3"/>
        <v/>
      </c>
      <c r="K6148" s="1" t="str">
        <f t="shared" si="4"/>
        <v/>
      </c>
    </row>
    <row r="6149" hidden="1">
      <c r="A6149" s="1"/>
      <c r="B6149" s="1"/>
      <c r="C6149" s="1"/>
      <c r="D6149" s="1"/>
      <c r="E6149" s="1"/>
      <c r="F6149" s="1" t="str">
        <f t="shared" si="1"/>
        <v/>
      </c>
      <c r="G6149" s="1" t="str">
        <f t="shared" si="2"/>
        <v/>
      </c>
      <c r="H6149" s="1"/>
      <c r="I6149" s="1"/>
      <c r="J6149" s="1" t="str">
        <f t="shared" si="3"/>
        <v/>
      </c>
      <c r="K6149" s="1" t="str">
        <f t="shared" si="4"/>
        <v/>
      </c>
    </row>
    <row r="6150" hidden="1">
      <c r="A6150" s="1"/>
      <c r="B6150" s="1"/>
      <c r="C6150" s="1"/>
      <c r="D6150" s="1"/>
      <c r="E6150" s="1"/>
      <c r="F6150" s="1" t="str">
        <f t="shared" si="1"/>
        <v/>
      </c>
      <c r="G6150" s="1" t="str">
        <f t="shared" si="2"/>
        <v/>
      </c>
      <c r="H6150" s="1"/>
      <c r="I6150" s="1"/>
      <c r="J6150" s="1" t="str">
        <f t="shared" si="3"/>
        <v/>
      </c>
      <c r="K6150" s="1" t="str">
        <f t="shared" si="4"/>
        <v/>
      </c>
    </row>
    <row r="6151" hidden="1">
      <c r="A6151" s="1"/>
      <c r="B6151" s="1"/>
      <c r="C6151" s="1"/>
      <c r="D6151" s="1"/>
      <c r="E6151" s="1"/>
      <c r="F6151" s="1" t="str">
        <f t="shared" si="1"/>
        <v/>
      </c>
      <c r="G6151" s="1" t="str">
        <f t="shared" si="2"/>
        <v/>
      </c>
      <c r="H6151" s="1"/>
      <c r="I6151" s="1"/>
      <c r="J6151" s="1" t="str">
        <f t="shared" si="3"/>
        <v/>
      </c>
      <c r="K6151" s="1" t="str">
        <f t="shared" si="4"/>
        <v/>
      </c>
    </row>
    <row r="6152" hidden="1">
      <c r="A6152" s="1"/>
      <c r="B6152" s="1"/>
      <c r="C6152" s="1"/>
      <c r="D6152" s="1"/>
      <c r="E6152" s="1"/>
      <c r="F6152" s="1" t="str">
        <f t="shared" si="1"/>
        <v/>
      </c>
      <c r="G6152" s="1" t="str">
        <f t="shared" si="2"/>
        <v/>
      </c>
      <c r="H6152" s="1"/>
      <c r="I6152" s="1"/>
      <c r="J6152" s="1" t="str">
        <f t="shared" si="3"/>
        <v/>
      </c>
      <c r="K6152" s="1" t="str">
        <f t="shared" si="4"/>
        <v/>
      </c>
    </row>
    <row r="6153" hidden="1">
      <c r="A6153" s="1"/>
      <c r="B6153" s="1"/>
      <c r="C6153" s="1"/>
      <c r="D6153" s="1"/>
      <c r="E6153" s="1"/>
      <c r="F6153" s="1" t="str">
        <f t="shared" si="1"/>
        <v/>
      </c>
      <c r="G6153" s="1" t="str">
        <f t="shared" si="2"/>
        <v/>
      </c>
      <c r="H6153" s="1"/>
      <c r="I6153" s="1"/>
      <c r="J6153" s="1" t="str">
        <f t="shared" si="3"/>
        <v/>
      </c>
      <c r="K6153" s="1" t="str">
        <f t="shared" si="4"/>
        <v/>
      </c>
    </row>
    <row r="6154" hidden="1">
      <c r="A6154" s="1"/>
      <c r="B6154" s="1"/>
      <c r="C6154" s="1"/>
      <c r="D6154" s="1"/>
      <c r="E6154" s="1"/>
      <c r="F6154" s="1" t="str">
        <f t="shared" si="1"/>
        <v/>
      </c>
      <c r="G6154" s="1" t="str">
        <f t="shared" si="2"/>
        <v/>
      </c>
      <c r="H6154" s="1"/>
      <c r="I6154" s="1"/>
      <c r="J6154" s="1" t="str">
        <f t="shared" si="3"/>
        <v/>
      </c>
      <c r="K6154" s="1" t="str">
        <f t="shared" si="4"/>
        <v/>
      </c>
    </row>
    <row r="6155" hidden="1">
      <c r="A6155" s="1"/>
      <c r="B6155" s="1"/>
      <c r="C6155" s="1"/>
      <c r="D6155" s="1"/>
      <c r="E6155" s="1"/>
      <c r="F6155" s="1" t="str">
        <f t="shared" si="1"/>
        <v/>
      </c>
      <c r="G6155" s="1" t="str">
        <f t="shared" si="2"/>
        <v/>
      </c>
      <c r="H6155" s="1"/>
      <c r="I6155" s="1"/>
      <c r="J6155" s="1" t="str">
        <f t="shared" si="3"/>
        <v/>
      </c>
      <c r="K6155" s="1" t="str">
        <f t="shared" si="4"/>
        <v/>
      </c>
    </row>
    <row r="6156" hidden="1">
      <c r="A6156" s="1"/>
      <c r="B6156" s="1"/>
      <c r="C6156" s="1"/>
      <c r="D6156" s="1"/>
      <c r="E6156" s="1"/>
      <c r="F6156" s="1" t="str">
        <f t="shared" si="1"/>
        <v/>
      </c>
      <c r="G6156" s="1" t="str">
        <f t="shared" si="2"/>
        <v/>
      </c>
      <c r="H6156" s="1"/>
      <c r="I6156" s="1"/>
      <c r="J6156" s="1" t="str">
        <f t="shared" si="3"/>
        <v/>
      </c>
      <c r="K6156" s="1" t="str">
        <f t="shared" si="4"/>
        <v/>
      </c>
    </row>
    <row r="6157" hidden="1">
      <c r="A6157" s="1"/>
      <c r="B6157" s="1"/>
      <c r="C6157" s="1"/>
      <c r="D6157" s="1"/>
      <c r="E6157" s="1"/>
      <c r="F6157" s="1" t="str">
        <f t="shared" si="1"/>
        <v/>
      </c>
      <c r="G6157" s="1" t="str">
        <f t="shared" si="2"/>
        <v/>
      </c>
      <c r="H6157" s="1"/>
      <c r="I6157" s="1"/>
      <c r="J6157" s="1" t="str">
        <f t="shared" si="3"/>
        <v/>
      </c>
      <c r="K6157" s="1" t="str">
        <f t="shared" si="4"/>
        <v/>
      </c>
    </row>
    <row r="6158" hidden="1">
      <c r="A6158" s="1"/>
      <c r="B6158" s="1"/>
      <c r="C6158" s="1"/>
      <c r="D6158" s="1"/>
      <c r="E6158" s="1"/>
      <c r="F6158" s="1" t="str">
        <f t="shared" si="1"/>
        <v/>
      </c>
      <c r="G6158" s="1" t="str">
        <f t="shared" si="2"/>
        <v/>
      </c>
      <c r="H6158" s="1"/>
      <c r="I6158" s="1"/>
      <c r="J6158" s="1" t="str">
        <f t="shared" si="3"/>
        <v/>
      </c>
      <c r="K6158" s="1" t="str">
        <f t="shared" si="4"/>
        <v/>
      </c>
    </row>
    <row r="6159" hidden="1">
      <c r="A6159" s="1"/>
      <c r="B6159" s="1"/>
      <c r="C6159" s="1"/>
      <c r="D6159" s="1"/>
      <c r="E6159" s="1"/>
      <c r="F6159" s="1" t="str">
        <f t="shared" si="1"/>
        <v/>
      </c>
      <c r="G6159" s="1" t="str">
        <f t="shared" si="2"/>
        <v/>
      </c>
      <c r="H6159" s="1"/>
      <c r="I6159" s="1"/>
      <c r="J6159" s="1" t="str">
        <f t="shared" si="3"/>
        <v/>
      </c>
      <c r="K6159" s="1" t="str">
        <f t="shared" si="4"/>
        <v/>
      </c>
    </row>
    <row r="6160" hidden="1">
      <c r="A6160" s="1"/>
      <c r="B6160" s="1"/>
      <c r="C6160" s="1"/>
      <c r="D6160" s="1"/>
      <c r="E6160" s="1"/>
      <c r="F6160" s="1" t="str">
        <f t="shared" si="1"/>
        <v/>
      </c>
      <c r="G6160" s="1" t="str">
        <f t="shared" si="2"/>
        <v/>
      </c>
      <c r="H6160" s="1"/>
      <c r="I6160" s="1"/>
      <c r="J6160" s="1" t="str">
        <f t="shared" si="3"/>
        <v/>
      </c>
      <c r="K6160" s="1" t="str">
        <f t="shared" si="4"/>
        <v/>
      </c>
    </row>
    <row r="6161" hidden="1">
      <c r="A6161" s="1"/>
      <c r="B6161" s="1"/>
      <c r="C6161" s="1"/>
      <c r="D6161" s="1"/>
      <c r="E6161" s="1"/>
      <c r="F6161" s="1" t="str">
        <f t="shared" si="1"/>
        <v/>
      </c>
      <c r="G6161" s="1" t="str">
        <f t="shared" si="2"/>
        <v/>
      </c>
      <c r="H6161" s="1"/>
      <c r="I6161" s="1"/>
      <c r="J6161" s="1" t="str">
        <f t="shared" si="3"/>
        <v/>
      </c>
      <c r="K6161" s="1" t="str">
        <f t="shared" si="4"/>
        <v/>
      </c>
    </row>
    <row r="6162" hidden="1">
      <c r="A6162" s="1"/>
      <c r="B6162" s="1"/>
      <c r="C6162" s="1"/>
      <c r="D6162" s="1"/>
      <c r="E6162" s="1"/>
      <c r="F6162" s="1" t="str">
        <f t="shared" si="1"/>
        <v/>
      </c>
      <c r="G6162" s="1" t="str">
        <f t="shared" si="2"/>
        <v/>
      </c>
      <c r="H6162" s="1"/>
      <c r="I6162" s="1"/>
      <c r="J6162" s="1" t="str">
        <f t="shared" si="3"/>
        <v/>
      </c>
      <c r="K6162" s="1" t="str">
        <f t="shared" si="4"/>
        <v/>
      </c>
    </row>
    <row r="6163" hidden="1">
      <c r="A6163" s="1"/>
      <c r="B6163" s="1"/>
      <c r="C6163" s="1"/>
      <c r="D6163" s="1"/>
      <c r="E6163" s="1"/>
      <c r="F6163" s="1" t="str">
        <f t="shared" si="1"/>
        <v/>
      </c>
      <c r="G6163" s="1" t="str">
        <f t="shared" si="2"/>
        <v/>
      </c>
      <c r="H6163" s="1"/>
      <c r="I6163" s="1"/>
      <c r="J6163" s="1" t="str">
        <f t="shared" si="3"/>
        <v/>
      </c>
      <c r="K6163" s="1" t="str">
        <f t="shared" si="4"/>
        <v/>
      </c>
    </row>
    <row r="6164" hidden="1">
      <c r="A6164" s="1"/>
      <c r="B6164" s="1"/>
      <c r="C6164" s="1"/>
      <c r="D6164" s="1"/>
      <c r="E6164" s="1"/>
      <c r="F6164" s="1" t="str">
        <f t="shared" si="1"/>
        <v/>
      </c>
      <c r="G6164" s="1" t="str">
        <f t="shared" si="2"/>
        <v/>
      </c>
      <c r="H6164" s="1"/>
      <c r="I6164" s="1"/>
      <c r="J6164" s="1" t="str">
        <f t="shared" si="3"/>
        <v/>
      </c>
      <c r="K6164" s="1" t="str">
        <f t="shared" si="4"/>
        <v/>
      </c>
    </row>
    <row r="6165" hidden="1">
      <c r="A6165" s="1"/>
      <c r="B6165" s="1"/>
      <c r="C6165" s="1"/>
      <c r="D6165" s="1"/>
      <c r="E6165" s="1"/>
      <c r="F6165" s="1" t="str">
        <f t="shared" si="1"/>
        <v/>
      </c>
      <c r="G6165" s="1" t="str">
        <f t="shared" si="2"/>
        <v/>
      </c>
      <c r="H6165" s="1"/>
      <c r="I6165" s="1"/>
      <c r="J6165" s="1" t="str">
        <f t="shared" si="3"/>
        <v/>
      </c>
      <c r="K6165" s="1" t="str">
        <f t="shared" si="4"/>
        <v/>
      </c>
    </row>
    <row r="6166" hidden="1">
      <c r="A6166" s="1"/>
      <c r="B6166" s="1"/>
      <c r="C6166" s="1"/>
      <c r="D6166" s="1"/>
      <c r="E6166" s="1"/>
      <c r="F6166" s="1" t="str">
        <f t="shared" si="1"/>
        <v/>
      </c>
      <c r="G6166" s="1" t="str">
        <f t="shared" si="2"/>
        <v/>
      </c>
      <c r="H6166" s="1"/>
      <c r="I6166" s="1"/>
      <c r="J6166" s="1" t="str">
        <f t="shared" si="3"/>
        <v/>
      </c>
      <c r="K6166" s="1" t="str">
        <f t="shared" si="4"/>
        <v/>
      </c>
    </row>
    <row r="6167" hidden="1">
      <c r="A6167" s="1"/>
      <c r="B6167" s="1"/>
      <c r="C6167" s="1"/>
      <c r="D6167" s="1"/>
      <c r="E6167" s="1"/>
      <c r="F6167" s="1" t="str">
        <f t="shared" si="1"/>
        <v/>
      </c>
      <c r="G6167" s="1" t="str">
        <f t="shared" si="2"/>
        <v/>
      </c>
      <c r="H6167" s="1"/>
      <c r="I6167" s="1"/>
      <c r="J6167" s="1" t="str">
        <f t="shared" si="3"/>
        <v/>
      </c>
      <c r="K6167" s="1" t="str">
        <f t="shared" si="4"/>
        <v/>
      </c>
    </row>
    <row r="6168" hidden="1">
      <c r="A6168" s="1"/>
      <c r="B6168" s="1"/>
      <c r="C6168" s="1"/>
      <c r="D6168" s="1"/>
      <c r="E6168" s="1"/>
      <c r="F6168" s="1" t="str">
        <f t="shared" si="1"/>
        <v/>
      </c>
      <c r="G6168" s="1" t="str">
        <f t="shared" si="2"/>
        <v/>
      </c>
      <c r="H6168" s="1"/>
      <c r="I6168" s="1"/>
      <c r="J6168" s="1" t="str">
        <f t="shared" si="3"/>
        <v/>
      </c>
      <c r="K6168" s="1" t="str">
        <f t="shared" si="4"/>
        <v/>
      </c>
    </row>
    <row r="6169" hidden="1">
      <c r="A6169" s="1"/>
      <c r="B6169" s="1"/>
      <c r="C6169" s="1"/>
      <c r="D6169" s="1"/>
      <c r="E6169" s="1"/>
      <c r="F6169" s="1" t="str">
        <f t="shared" si="1"/>
        <v/>
      </c>
      <c r="G6169" s="1" t="str">
        <f t="shared" si="2"/>
        <v/>
      </c>
      <c r="H6169" s="1"/>
      <c r="I6169" s="1"/>
      <c r="J6169" s="1" t="str">
        <f t="shared" si="3"/>
        <v/>
      </c>
      <c r="K6169" s="1" t="str">
        <f t="shared" si="4"/>
        <v/>
      </c>
    </row>
    <row r="6170" hidden="1">
      <c r="A6170" s="1"/>
      <c r="B6170" s="1"/>
      <c r="C6170" s="1"/>
      <c r="D6170" s="1"/>
      <c r="E6170" s="1"/>
      <c r="F6170" s="1" t="str">
        <f t="shared" si="1"/>
        <v/>
      </c>
      <c r="G6170" s="1" t="str">
        <f t="shared" si="2"/>
        <v/>
      </c>
      <c r="H6170" s="1"/>
      <c r="I6170" s="1"/>
      <c r="J6170" s="1" t="str">
        <f t="shared" si="3"/>
        <v/>
      </c>
      <c r="K6170" s="1" t="str">
        <f t="shared" si="4"/>
        <v/>
      </c>
    </row>
    <row r="6171" hidden="1">
      <c r="A6171" s="1"/>
      <c r="B6171" s="1"/>
      <c r="C6171" s="1"/>
      <c r="D6171" s="1"/>
      <c r="E6171" s="1"/>
      <c r="F6171" s="1" t="str">
        <f t="shared" si="1"/>
        <v/>
      </c>
      <c r="G6171" s="1" t="str">
        <f t="shared" si="2"/>
        <v/>
      </c>
      <c r="H6171" s="1"/>
      <c r="I6171" s="1"/>
      <c r="J6171" s="1" t="str">
        <f t="shared" si="3"/>
        <v/>
      </c>
      <c r="K6171" s="1" t="str">
        <f t="shared" si="4"/>
        <v/>
      </c>
    </row>
    <row r="6172" hidden="1">
      <c r="A6172" s="1"/>
      <c r="B6172" s="1"/>
      <c r="C6172" s="1"/>
      <c r="D6172" s="1"/>
      <c r="E6172" s="1"/>
      <c r="F6172" s="1" t="str">
        <f t="shared" si="1"/>
        <v/>
      </c>
      <c r="G6172" s="1" t="str">
        <f t="shared" si="2"/>
        <v/>
      </c>
      <c r="H6172" s="1"/>
      <c r="I6172" s="1"/>
      <c r="J6172" s="1" t="str">
        <f t="shared" si="3"/>
        <v/>
      </c>
      <c r="K6172" s="1" t="str">
        <f t="shared" si="4"/>
        <v/>
      </c>
    </row>
    <row r="6173" hidden="1">
      <c r="A6173" s="1"/>
      <c r="B6173" s="1"/>
      <c r="C6173" s="1"/>
      <c r="D6173" s="1"/>
      <c r="E6173" s="1"/>
      <c r="F6173" s="1" t="str">
        <f t="shared" si="1"/>
        <v/>
      </c>
      <c r="G6173" s="1" t="str">
        <f t="shared" si="2"/>
        <v/>
      </c>
      <c r="H6173" s="1"/>
      <c r="I6173" s="1"/>
      <c r="J6173" s="1" t="str">
        <f t="shared" si="3"/>
        <v/>
      </c>
      <c r="K6173" s="1" t="str">
        <f t="shared" si="4"/>
        <v/>
      </c>
    </row>
    <row r="6174" hidden="1">
      <c r="A6174" s="1"/>
      <c r="B6174" s="1"/>
      <c r="C6174" s="1"/>
      <c r="D6174" s="1"/>
      <c r="E6174" s="1"/>
      <c r="F6174" s="1" t="str">
        <f t="shared" si="1"/>
        <v/>
      </c>
      <c r="G6174" s="1" t="str">
        <f t="shared" si="2"/>
        <v/>
      </c>
      <c r="H6174" s="1"/>
      <c r="I6174" s="1"/>
      <c r="J6174" s="1" t="str">
        <f t="shared" si="3"/>
        <v/>
      </c>
      <c r="K6174" s="1" t="str">
        <f t="shared" si="4"/>
        <v/>
      </c>
    </row>
    <row r="6175" hidden="1">
      <c r="A6175" s="1"/>
      <c r="B6175" s="1"/>
      <c r="C6175" s="1"/>
      <c r="D6175" s="1"/>
      <c r="E6175" s="1"/>
      <c r="F6175" s="1" t="str">
        <f t="shared" si="1"/>
        <v/>
      </c>
      <c r="G6175" s="1" t="str">
        <f t="shared" si="2"/>
        <v/>
      </c>
      <c r="H6175" s="1"/>
      <c r="I6175" s="1"/>
      <c r="J6175" s="1" t="str">
        <f t="shared" si="3"/>
        <v/>
      </c>
      <c r="K6175" s="1" t="str">
        <f t="shared" si="4"/>
        <v/>
      </c>
    </row>
    <row r="6176" hidden="1">
      <c r="A6176" s="1"/>
      <c r="B6176" s="1"/>
      <c r="C6176" s="1"/>
      <c r="D6176" s="1"/>
      <c r="E6176" s="1"/>
      <c r="F6176" s="1" t="str">
        <f t="shared" si="1"/>
        <v/>
      </c>
      <c r="G6176" s="1" t="str">
        <f t="shared" si="2"/>
        <v/>
      </c>
      <c r="H6176" s="1"/>
      <c r="I6176" s="1"/>
      <c r="J6176" s="1" t="str">
        <f t="shared" si="3"/>
        <v/>
      </c>
      <c r="K6176" s="1" t="str">
        <f t="shared" si="4"/>
        <v/>
      </c>
    </row>
    <row r="6177" hidden="1">
      <c r="A6177" s="1"/>
      <c r="B6177" s="1"/>
      <c r="C6177" s="1"/>
      <c r="D6177" s="1"/>
      <c r="E6177" s="1"/>
      <c r="F6177" s="1" t="str">
        <f t="shared" si="1"/>
        <v/>
      </c>
      <c r="G6177" s="1" t="str">
        <f t="shared" si="2"/>
        <v/>
      </c>
      <c r="H6177" s="1"/>
      <c r="I6177" s="1"/>
      <c r="J6177" s="1" t="str">
        <f t="shared" si="3"/>
        <v/>
      </c>
      <c r="K6177" s="1" t="str">
        <f t="shared" si="4"/>
        <v/>
      </c>
    </row>
    <row r="6178" hidden="1">
      <c r="A6178" s="1"/>
      <c r="B6178" s="1"/>
      <c r="C6178" s="1"/>
      <c r="D6178" s="1"/>
      <c r="E6178" s="1"/>
      <c r="F6178" s="1" t="str">
        <f t="shared" si="1"/>
        <v/>
      </c>
      <c r="G6178" s="1" t="str">
        <f t="shared" si="2"/>
        <v/>
      </c>
      <c r="H6178" s="1"/>
      <c r="I6178" s="1"/>
      <c r="J6178" s="1" t="str">
        <f t="shared" si="3"/>
        <v/>
      </c>
      <c r="K6178" s="1" t="str">
        <f t="shared" si="4"/>
        <v/>
      </c>
    </row>
    <row r="6179" hidden="1">
      <c r="A6179" s="1"/>
      <c r="B6179" s="1"/>
      <c r="C6179" s="1"/>
      <c r="D6179" s="1"/>
      <c r="E6179" s="1"/>
      <c r="F6179" s="1" t="str">
        <f t="shared" si="1"/>
        <v/>
      </c>
      <c r="G6179" s="1" t="str">
        <f t="shared" si="2"/>
        <v/>
      </c>
      <c r="H6179" s="1"/>
      <c r="I6179" s="1"/>
      <c r="J6179" s="1" t="str">
        <f t="shared" si="3"/>
        <v/>
      </c>
      <c r="K6179" s="1" t="str">
        <f t="shared" si="4"/>
        <v/>
      </c>
    </row>
    <row r="6180" hidden="1">
      <c r="A6180" s="1"/>
      <c r="B6180" s="1"/>
      <c r="C6180" s="1"/>
      <c r="D6180" s="1"/>
      <c r="E6180" s="1"/>
      <c r="F6180" s="1" t="str">
        <f t="shared" si="1"/>
        <v/>
      </c>
      <c r="G6180" s="1" t="str">
        <f t="shared" si="2"/>
        <v/>
      </c>
      <c r="H6180" s="1"/>
      <c r="I6180" s="1"/>
      <c r="J6180" s="1" t="str">
        <f t="shared" si="3"/>
        <v/>
      </c>
      <c r="K6180" s="1" t="str">
        <f t="shared" si="4"/>
        <v/>
      </c>
    </row>
    <row r="6181" hidden="1">
      <c r="A6181" s="1"/>
      <c r="B6181" s="1"/>
      <c r="C6181" s="1"/>
      <c r="D6181" s="1"/>
      <c r="E6181" s="1"/>
      <c r="F6181" s="1" t="str">
        <f t="shared" si="1"/>
        <v/>
      </c>
      <c r="G6181" s="1" t="str">
        <f t="shared" si="2"/>
        <v/>
      </c>
      <c r="H6181" s="1"/>
      <c r="I6181" s="1"/>
      <c r="J6181" s="1" t="str">
        <f t="shared" si="3"/>
        <v/>
      </c>
      <c r="K6181" s="1" t="str">
        <f t="shared" si="4"/>
        <v/>
      </c>
    </row>
    <row r="6182" hidden="1">
      <c r="A6182" s="1"/>
      <c r="B6182" s="1"/>
      <c r="C6182" s="1"/>
      <c r="D6182" s="1"/>
      <c r="E6182" s="1"/>
      <c r="F6182" s="1" t="str">
        <f t="shared" si="1"/>
        <v/>
      </c>
      <c r="G6182" s="1" t="str">
        <f t="shared" si="2"/>
        <v/>
      </c>
      <c r="H6182" s="1"/>
      <c r="I6182" s="1"/>
      <c r="J6182" s="1" t="str">
        <f t="shared" si="3"/>
        <v/>
      </c>
      <c r="K6182" s="1" t="str">
        <f t="shared" si="4"/>
        <v/>
      </c>
    </row>
    <row r="6183" hidden="1">
      <c r="A6183" s="1"/>
      <c r="B6183" s="1"/>
      <c r="C6183" s="1"/>
      <c r="D6183" s="1"/>
      <c r="E6183" s="1"/>
      <c r="F6183" s="1" t="str">
        <f t="shared" si="1"/>
        <v/>
      </c>
      <c r="G6183" s="1" t="str">
        <f t="shared" si="2"/>
        <v/>
      </c>
      <c r="H6183" s="1"/>
      <c r="I6183" s="1"/>
      <c r="J6183" s="1" t="str">
        <f t="shared" si="3"/>
        <v/>
      </c>
      <c r="K6183" s="1" t="str">
        <f t="shared" si="4"/>
        <v/>
      </c>
    </row>
    <row r="6184" hidden="1">
      <c r="A6184" s="1"/>
      <c r="B6184" s="1"/>
      <c r="C6184" s="1"/>
      <c r="D6184" s="1"/>
      <c r="E6184" s="1"/>
      <c r="F6184" s="1" t="str">
        <f t="shared" si="1"/>
        <v/>
      </c>
      <c r="G6184" s="1" t="str">
        <f t="shared" si="2"/>
        <v/>
      </c>
      <c r="H6184" s="1"/>
      <c r="I6184" s="1"/>
      <c r="J6184" s="1" t="str">
        <f t="shared" si="3"/>
        <v/>
      </c>
      <c r="K6184" s="1" t="str">
        <f t="shared" si="4"/>
        <v/>
      </c>
    </row>
    <row r="6185" hidden="1">
      <c r="A6185" s="1"/>
      <c r="B6185" s="1"/>
      <c r="C6185" s="1"/>
      <c r="D6185" s="1"/>
      <c r="E6185" s="1"/>
      <c r="F6185" s="1" t="str">
        <f t="shared" si="1"/>
        <v/>
      </c>
      <c r="G6185" s="1" t="str">
        <f t="shared" si="2"/>
        <v/>
      </c>
      <c r="H6185" s="1"/>
      <c r="I6185" s="1"/>
      <c r="J6185" s="1" t="str">
        <f t="shared" si="3"/>
        <v/>
      </c>
      <c r="K6185" s="1" t="str">
        <f t="shared" si="4"/>
        <v/>
      </c>
    </row>
    <row r="6186" hidden="1">
      <c r="A6186" s="1"/>
      <c r="B6186" s="1"/>
      <c r="C6186" s="1"/>
      <c r="D6186" s="1"/>
      <c r="E6186" s="1"/>
      <c r="F6186" s="1" t="str">
        <f t="shared" si="1"/>
        <v/>
      </c>
      <c r="G6186" s="1" t="str">
        <f t="shared" si="2"/>
        <v/>
      </c>
      <c r="H6186" s="1"/>
      <c r="I6186" s="1"/>
      <c r="J6186" s="1" t="str">
        <f t="shared" si="3"/>
        <v/>
      </c>
      <c r="K6186" s="1" t="str">
        <f t="shared" si="4"/>
        <v/>
      </c>
    </row>
    <row r="6187" hidden="1">
      <c r="A6187" s="1"/>
      <c r="B6187" s="1"/>
      <c r="C6187" s="1"/>
      <c r="D6187" s="1"/>
      <c r="E6187" s="1"/>
      <c r="F6187" s="1" t="str">
        <f t="shared" si="1"/>
        <v/>
      </c>
      <c r="G6187" s="1" t="str">
        <f t="shared" si="2"/>
        <v/>
      </c>
      <c r="H6187" s="1"/>
      <c r="I6187" s="1"/>
      <c r="J6187" s="1" t="str">
        <f t="shared" si="3"/>
        <v/>
      </c>
      <c r="K6187" s="1" t="str">
        <f t="shared" si="4"/>
        <v/>
      </c>
    </row>
    <row r="6188" hidden="1">
      <c r="A6188" s="1"/>
      <c r="B6188" s="1"/>
      <c r="C6188" s="1"/>
      <c r="D6188" s="1"/>
      <c r="E6188" s="1"/>
      <c r="F6188" s="1" t="str">
        <f t="shared" si="1"/>
        <v/>
      </c>
      <c r="G6188" s="1" t="str">
        <f t="shared" si="2"/>
        <v/>
      </c>
      <c r="H6188" s="1"/>
      <c r="I6188" s="1"/>
      <c r="J6188" s="1" t="str">
        <f t="shared" si="3"/>
        <v/>
      </c>
      <c r="K6188" s="1" t="str">
        <f t="shared" si="4"/>
        <v/>
      </c>
    </row>
    <row r="6189" hidden="1">
      <c r="A6189" s="1"/>
      <c r="B6189" s="1"/>
      <c r="C6189" s="1"/>
      <c r="D6189" s="1"/>
      <c r="E6189" s="1"/>
      <c r="F6189" s="1" t="str">
        <f t="shared" si="1"/>
        <v/>
      </c>
      <c r="G6189" s="1" t="str">
        <f t="shared" si="2"/>
        <v/>
      </c>
      <c r="H6189" s="1"/>
      <c r="I6189" s="1"/>
      <c r="J6189" s="1" t="str">
        <f t="shared" si="3"/>
        <v/>
      </c>
      <c r="K6189" s="1" t="str">
        <f t="shared" si="4"/>
        <v/>
      </c>
    </row>
    <row r="6190" hidden="1">
      <c r="A6190" s="1"/>
      <c r="B6190" s="1"/>
      <c r="C6190" s="1"/>
      <c r="D6190" s="1"/>
      <c r="E6190" s="1"/>
      <c r="F6190" s="1" t="str">
        <f t="shared" si="1"/>
        <v/>
      </c>
      <c r="G6190" s="1" t="str">
        <f t="shared" si="2"/>
        <v/>
      </c>
      <c r="H6190" s="1"/>
      <c r="I6190" s="1"/>
      <c r="J6190" s="1" t="str">
        <f t="shared" si="3"/>
        <v/>
      </c>
      <c r="K6190" s="1" t="str">
        <f t="shared" si="4"/>
        <v/>
      </c>
    </row>
    <row r="6191" hidden="1">
      <c r="A6191" s="1"/>
      <c r="B6191" s="1"/>
      <c r="C6191" s="1"/>
      <c r="D6191" s="1"/>
      <c r="E6191" s="1"/>
      <c r="F6191" s="1" t="str">
        <f t="shared" si="1"/>
        <v/>
      </c>
      <c r="G6191" s="1" t="str">
        <f t="shared" si="2"/>
        <v/>
      </c>
      <c r="H6191" s="1"/>
      <c r="I6191" s="1"/>
      <c r="J6191" s="1" t="str">
        <f t="shared" si="3"/>
        <v/>
      </c>
      <c r="K6191" s="1" t="str">
        <f t="shared" si="4"/>
        <v/>
      </c>
    </row>
    <row r="6192" hidden="1">
      <c r="A6192" s="1"/>
      <c r="B6192" s="1"/>
      <c r="C6192" s="1"/>
      <c r="D6192" s="1"/>
      <c r="E6192" s="1"/>
      <c r="F6192" s="1" t="str">
        <f t="shared" si="1"/>
        <v/>
      </c>
      <c r="G6192" s="1" t="str">
        <f t="shared" si="2"/>
        <v/>
      </c>
      <c r="H6192" s="1"/>
      <c r="I6192" s="1"/>
      <c r="J6192" s="1" t="str">
        <f t="shared" si="3"/>
        <v/>
      </c>
      <c r="K6192" s="1" t="str">
        <f t="shared" si="4"/>
        <v/>
      </c>
    </row>
    <row r="6193" hidden="1">
      <c r="A6193" s="1"/>
      <c r="B6193" s="1"/>
      <c r="C6193" s="1"/>
      <c r="D6193" s="1"/>
      <c r="E6193" s="1"/>
      <c r="F6193" s="1" t="str">
        <f t="shared" si="1"/>
        <v/>
      </c>
      <c r="G6193" s="1" t="str">
        <f t="shared" si="2"/>
        <v/>
      </c>
      <c r="H6193" s="1"/>
      <c r="I6193" s="1"/>
      <c r="J6193" s="1" t="str">
        <f t="shared" si="3"/>
        <v/>
      </c>
      <c r="K6193" s="1" t="str">
        <f t="shared" si="4"/>
        <v/>
      </c>
    </row>
    <row r="6194" hidden="1">
      <c r="A6194" s="1"/>
      <c r="B6194" s="1"/>
      <c r="C6194" s="1"/>
      <c r="D6194" s="1"/>
      <c r="E6194" s="1"/>
      <c r="F6194" s="1" t="str">
        <f t="shared" si="1"/>
        <v/>
      </c>
      <c r="G6194" s="1" t="str">
        <f t="shared" si="2"/>
        <v/>
      </c>
      <c r="H6194" s="1"/>
      <c r="I6194" s="1"/>
      <c r="J6194" s="1" t="str">
        <f t="shared" si="3"/>
        <v/>
      </c>
      <c r="K6194" s="1" t="str">
        <f t="shared" si="4"/>
        <v/>
      </c>
    </row>
    <row r="6195" hidden="1">
      <c r="A6195" s="1"/>
      <c r="B6195" s="1"/>
      <c r="C6195" s="1"/>
      <c r="D6195" s="1"/>
      <c r="E6195" s="1"/>
      <c r="F6195" s="1" t="str">
        <f t="shared" si="1"/>
        <v/>
      </c>
      <c r="G6195" s="1" t="str">
        <f t="shared" si="2"/>
        <v/>
      </c>
      <c r="H6195" s="1"/>
      <c r="I6195" s="1"/>
      <c r="J6195" s="1" t="str">
        <f t="shared" si="3"/>
        <v/>
      </c>
      <c r="K6195" s="1" t="str">
        <f t="shared" si="4"/>
        <v/>
      </c>
    </row>
    <row r="6196" hidden="1">
      <c r="A6196" s="1"/>
      <c r="B6196" s="1"/>
      <c r="C6196" s="1"/>
      <c r="D6196" s="1"/>
      <c r="E6196" s="1"/>
      <c r="F6196" s="1" t="str">
        <f t="shared" si="1"/>
        <v/>
      </c>
      <c r="G6196" s="1" t="str">
        <f t="shared" si="2"/>
        <v/>
      </c>
      <c r="H6196" s="1"/>
      <c r="I6196" s="1"/>
      <c r="J6196" s="1" t="str">
        <f t="shared" si="3"/>
        <v/>
      </c>
      <c r="K6196" s="1" t="str">
        <f t="shared" si="4"/>
        <v/>
      </c>
    </row>
    <row r="6197" hidden="1">
      <c r="A6197" s="1"/>
      <c r="B6197" s="1"/>
      <c r="C6197" s="1"/>
      <c r="D6197" s="1"/>
      <c r="E6197" s="1"/>
      <c r="F6197" s="1" t="str">
        <f t="shared" si="1"/>
        <v/>
      </c>
      <c r="G6197" s="1" t="str">
        <f t="shared" si="2"/>
        <v/>
      </c>
      <c r="H6197" s="1"/>
      <c r="I6197" s="1"/>
      <c r="J6197" s="1" t="str">
        <f t="shared" si="3"/>
        <v/>
      </c>
      <c r="K6197" s="1" t="str">
        <f t="shared" si="4"/>
        <v/>
      </c>
    </row>
    <row r="6198" hidden="1">
      <c r="A6198" s="1"/>
      <c r="B6198" s="1"/>
      <c r="C6198" s="1"/>
      <c r="D6198" s="1"/>
      <c r="E6198" s="1"/>
      <c r="F6198" s="1" t="str">
        <f t="shared" si="1"/>
        <v/>
      </c>
      <c r="G6198" s="1" t="str">
        <f t="shared" si="2"/>
        <v/>
      </c>
      <c r="H6198" s="1"/>
      <c r="I6198" s="1"/>
      <c r="J6198" s="1" t="str">
        <f t="shared" si="3"/>
        <v/>
      </c>
      <c r="K6198" s="1" t="str">
        <f t="shared" si="4"/>
        <v/>
      </c>
    </row>
    <row r="6199" hidden="1">
      <c r="A6199" s="1"/>
      <c r="B6199" s="1"/>
      <c r="C6199" s="1"/>
      <c r="D6199" s="1"/>
      <c r="E6199" s="1"/>
      <c r="F6199" s="1" t="str">
        <f t="shared" si="1"/>
        <v/>
      </c>
      <c r="G6199" s="1" t="str">
        <f t="shared" si="2"/>
        <v/>
      </c>
      <c r="H6199" s="1"/>
      <c r="I6199" s="1"/>
      <c r="J6199" s="1" t="str">
        <f t="shared" si="3"/>
        <v/>
      </c>
      <c r="K6199" s="1" t="str">
        <f t="shared" si="4"/>
        <v/>
      </c>
    </row>
    <row r="6200" hidden="1">
      <c r="A6200" s="1"/>
      <c r="B6200" s="1"/>
      <c r="C6200" s="1"/>
      <c r="D6200" s="1"/>
      <c r="E6200" s="1"/>
      <c r="F6200" s="1" t="str">
        <f t="shared" si="1"/>
        <v/>
      </c>
      <c r="G6200" s="1" t="str">
        <f t="shared" si="2"/>
        <v/>
      </c>
      <c r="H6200" s="1"/>
      <c r="I6200" s="1"/>
      <c r="J6200" s="1" t="str">
        <f t="shared" si="3"/>
        <v/>
      </c>
      <c r="K6200" s="1" t="str">
        <f t="shared" si="4"/>
        <v/>
      </c>
    </row>
    <row r="6201" hidden="1">
      <c r="A6201" s="1"/>
      <c r="B6201" s="1"/>
      <c r="C6201" s="1"/>
      <c r="D6201" s="1"/>
      <c r="E6201" s="1"/>
      <c r="F6201" s="1" t="str">
        <f t="shared" si="1"/>
        <v/>
      </c>
      <c r="G6201" s="1" t="str">
        <f t="shared" si="2"/>
        <v/>
      </c>
      <c r="H6201" s="1"/>
      <c r="I6201" s="1"/>
      <c r="J6201" s="1" t="str">
        <f t="shared" si="3"/>
        <v/>
      </c>
      <c r="K6201" s="1" t="str">
        <f t="shared" si="4"/>
        <v/>
      </c>
    </row>
    <row r="6202" hidden="1">
      <c r="A6202" s="1"/>
      <c r="B6202" s="1"/>
      <c r="C6202" s="1"/>
      <c r="D6202" s="1"/>
      <c r="E6202" s="1"/>
      <c r="F6202" s="1" t="str">
        <f t="shared" si="1"/>
        <v/>
      </c>
      <c r="G6202" s="1" t="str">
        <f t="shared" si="2"/>
        <v/>
      </c>
      <c r="H6202" s="1"/>
      <c r="I6202" s="1"/>
      <c r="J6202" s="1" t="str">
        <f t="shared" si="3"/>
        <v/>
      </c>
      <c r="K6202" s="1" t="str">
        <f t="shared" si="4"/>
        <v/>
      </c>
    </row>
    <row r="6203" hidden="1">
      <c r="A6203" s="1"/>
      <c r="B6203" s="1"/>
      <c r="C6203" s="1"/>
      <c r="D6203" s="1"/>
      <c r="E6203" s="1"/>
      <c r="F6203" s="1" t="str">
        <f t="shared" si="1"/>
        <v/>
      </c>
      <c r="G6203" s="1" t="str">
        <f t="shared" si="2"/>
        <v/>
      </c>
      <c r="H6203" s="1"/>
      <c r="I6203" s="1"/>
      <c r="J6203" s="1" t="str">
        <f t="shared" si="3"/>
        <v/>
      </c>
      <c r="K6203" s="1" t="str">
        <f t="shared" si="4"/>
        <v/>
      </c>
    </row>
    <row r="6204" hidden="1">
      <c r="A6204" s="1"/>
      <c r="B6204" s="1"/>
      <c r="C6204" s="1"/>
      <c r="D6204" s="1"/>
      <c r="E6204" s="1"/>
      <c r="F6204" s="1" t="str">
        <f t="shared" si="1"/>
        <v/>
      </c>
      <c r="G6204" s="1" t="str">
        <f t="shared" si="2"/>
        <v/>
      </c>
      <c r="H6204" s="1"/>
      <c r="I6204" s="1"/>
      <c r="J6204" s="1" t="str">
        <f t="shared" si="3"/>
        <v/>
      </c>
      <c r="K6204" s="1" t="str">
        <f t="shared" si="4"/>
        <v/>
      </c>
    </row>
    <row r="6205" hidden="1">
      <c r="A6205" s="1"/>
      <c r="B6205" s="1"/>
      <c r="C6205" s="1"/>
      <c r="D6205" s="1"/>
      <c r="E6205" s="1"/>
      <c r="F6205" s="1" t="str">
        <f t="shared" si="1"/>
        <v/>
      </c>
      <c r="G6205" s="1" t="str">
        <f t="shared" si="2"/>
        <v/>
      </c>
      <c r="H6205" s="1"/>
      <c r="I6205" s="1"/>
      <c r="J6205" s="1" t="str">
        <f t="shared" si="3"/>
        <v/>
      </c>
      <c r="K6205" s="1" t="str">
        <f t="shared" si="4"/>
        <v/>
      </c>
    </row>
    <row r="6206" hidden="1">
      <c r="A6206" s="1"/>
      <c r="B6206" s="1"/>
      <c r="C6206" s="1"/>
      <c r="D6206" s="1"/>
      <c r="E6206" s="1"/>
      <c r="F6206" s="1" t="str">
        <f t="shared" si="1"/>
        <v/>
      </c>
      <c r="G6206" s="1" t="str">
        <f t="shared" si="2"/>
        <v/>
      </c>
      <c r="H6206" s="1"/>
      <c r="I6206" s="1"/>
      <c r="J6206" s="1" t="str">
        <f t="shared" si="3"/>
        <v/>
      </c>
      <c r="K6206" s="1" t="str">
        <f t="shared" si="4"/>
        <v/>
      </c>
    </row>
    <row r="6207" hidden="1">
      <c r="A6207" s="1"/>
      <c r="B6207" s="1"/>
      <c r="C6207" s="1"/>
      <c r="D6207" s="1"/>
      <c r="E6207" s="1"/>
      <c r="F6207" s="1" t="str">
        <f t="shared" si="1"/>
        <v/>
      </c>
      <c r="G6207" s="1" t="str">
        <f t="shared" si="2"/>
        <v/>
      </c>
      <c r="H6207" s="1"/>
      <c r="I6207" s="1"/>
      <c r="J6207" s="1" t="str">
        <f t="shared" si="3"/>
        <v/>
      </c>
      <c r="K6207" s="1" t="str">
        <f t="shared" si="4"/>
        <v/>
      </c>
    </row>
    <row r="6208" hidden="1">
      <c r="A6208" s="1"/>
      <c r="B6208" s="1"/>
      <c r="C6208" s="1"/>
      <c r="D6208" s="1"/>
      <c r="E6208" s="1"/>
      <c r="F6208" s="1" t="str">
        <f t="shared" si="1"/>
        <v/>
      </c>
      <c r="G6208" s="1" t="str">
        <f t="shared" si="2"/>
        <v/>
      </c>
      <c r="H6208" s="1"/>
      <c r="I6208" s="1"/>
      <c r="J6208" s="1" t="str">
        <f t="shared" si="3"/>
        <v/>
      </c>
      <c r="K6208" s="1" t="str">
        <f t="shared" si="4"/>
        <v/>
      </c>
    </row>
    <row r="6209" hidden="1">
      <c r="A6209" s="1"/>
      <c r="B6209" s="1"/>
      <c r="C6209" s="1"/>
      <c r="D6209" s="1"/>
      <c r="E6209" s="1"/>
      <c r="F6209" s="1" t="str">
        <f t="shared" si="1"/>
        <v/>
      </c>
      <c r="G6209" s="1" t="str">
        <f t="shared" si="2"/>
        <v/>
      </c>
      <c r="H6209" s="1"/>
      <c r="I6209" s="1"/>
      <c r="J6209" s="1" t="str">
        <f t="shared" si="3"/>
        <v/>
      </c>
      <c r="K6209" s="1" t="str">
        <f t="shared" si="4"/>
        <v/>
      </c>
    </row>
    <row r="6210" hidden="1">
      <c r="A6210" s="1"/>
      <c r="B6210" s="1"/>
      <c r="C6210" s="1"/>
      <c r="D6210" s="1"/>
      <c r="E6210" s="1"/>
      <c r="F6210" s="1" t="str">
        <f t="shared" si="1"/>
        <v/>
      </c>
      <c r="G6210" s="1" t="str">
        <f t="shared" si="2"/>
        <v/>
      </c>
      <c r="H6210" s="1"/>
      <c r="I6210" s="1"/>
      <c r="J6210" s="1" t="str">
        <f t="shared" si="3"/>
        <v/>
      </c>
      <c r="K6210" s="1" t="str">
        <f t="shared" si="4"/>
        <v/>
      </c>
    </row>
    <row r="6211" hidden="1">
      <c r="A6211" s="1"/>
      <c r="B6211" s="1"/>
      <c r="C6211" s="1"/>
      <c r="D6211" s="1"/>
      <c r="E6211" s="1"/>
      <c r="F6211" s="1" t="str">
        <f t="shared" si="1"/>
        <v/>
      </c>
      <c r="G6211" s="1" t="str">
        <f t="shared" si="2"/>
        <v/>
      </c>
      <c r="H6211" s="1"/>
      <c r="I6211" s="1"/>
      <c r="J6211" s="1" t="str">
        <f t="shared" si="3"/>
        <v/>
      </c>
      <c r="K6211" s="1" t="str">
        <f t="shared" si="4"/>
        <v/>
      </c>
    </row>
    <row r="6212" hidden="1">
      <c r="A6212" s="1"/>
      <c r="B6212" s="1"/>
      <c r="C6212" s="1"/>
      <c r="D6212" s="1"/>
      <c r="E6212" s="1"/>
      <c r="F6212" s="1" t="str">
        <f t="shared" si="1"/>
        <v/>
      </c>
      <c r="G6212" s="1" t="str">
        <f t="shared" si="2"/>
        <v/>
      </c>
      <c r="H6212" s="1"/>
      <c r="I6212" s="1"/>
      <c r="J6212" s="1" t="str">
        <f t="shared" si="3"/>
        <v/>
      </c>
      <c r="K6212" s="1" t="str">
        <f t="shared" si="4"/>
        <v/>
      </c>
    </row>
    <row r="6213" hidden="1">
      <c r="A6213" s="1"/>
      <c r="B6213" s="1"/>
      <c r="C6213" s="1"/>
      <c r="D6213" s="1"/>
      <c r="E6213" s="1"/>
      <c r="F6213" s="1" t="str">
        <f t="shared" si="1"/>
        <v/>
      </c>
      <c r="G6213" s="1" t="str">
        <f t="shared" si="2"/>
        <v/>
      </c>
      <c r="H6213" s="1"/>
      <c r="I6213" s="1"/>
      <c r="J6213" s="1" t="str">
        <f t="shared" si="3"/>
        <v/>
      </c>
      <c r="K6213" s="1" t="str">
        <f t="shared" si="4"/>
        <v/>
      </c>
    </row>
    <row r="6214" hidden="1">
      <c r="A6214" s="1"/>
      <c r="B6214" s="1"/>
      <c r="C6214" s="1"/>
      <c r="D6214" s="1"/>
      <c r="E6214" s="1"/>
      <c r="F6214" s="1" t="str">
        <f t="shared" si="1"/>
        <v/>
      </c>
      <c r="G6214" s="1" t="str">
        <f t="shared" si="2"/>
        <v/>
      </c>
      <c r="H6214" s="1"/>
      <c r="I6214" s="1"/>
      <c r="J6214" s="1" t="str">
        <f t="shared" si="3"/>
        <v/>
      </c>
      <c r="K6214" s="1" t="str">
        <f t="shared" si="4"/>
        <v/>
      </c>
    </row>
    <row r="6215" hidden="1">
      <c r="A6215" s="1"/>
      <c r="B6215" s="1"/>
      <c r="C6215" s="1"/>
      <c r="D6215" s="1"/>
      <c r="E6215" s="1"/>
      <c r="F6215" s="1" t="str">
        <f t="shared" si="1"/>
        <v/>
      </c>
      <c r="G6215" s="1" t="str">
        <f t="shared" si="2"/>
        <v/>
      </c>
      <c r="H6215" s="1"/>
      <c r="I6215" s="1"/>
      <c r="J6215" s="1" t="str">
        <f t="shared" si="3"/>
        <v/>
      </c>
      <c r="K6215" s="1" t="str">
        <f t="shared" si="4"/>
        <v/>
      </c>
    </row>
    <row r="6216" hidden="1">
      <c r="A6216" s="1"/>
      <c r="B6216" s="1"/>
      <c r="C6216" s="1"/>
      <c r="D6216" s="1"/>
      <c r="E6216" s="1"/>
      <c r="F6216" s="1" t="str">
        <f t="shared" si="1"/>
        <v/>
      </c>
      <c r="G6216" s="1" t="str">
        <f t="shared" si="2"/>
        <v/>
      </c>
      <c r="H6216" s="1"/>
      <c r="I6216" s="1"/>
      <c r="J6216" s="1" t="str">
        <f t="shared" si="3"/>
        <v/>
      </c>
      <c r="K6216" s="1" t="str">
        <f t="shared" si="4"/>
        <v/>
      </c>
    </row>
    <row r="6217" hidden="1">
      <c r="A6217" s="1"/>
      <c r="B6217" s="1"/>
      <c r="C6217" s="1"/>
      <c r="D6217" s="1"/>
      <c r="E6217" s="1"/>
      <c r="F6217" s="1" t="str">
        <f t="shared" si="1"/>
        <v/>
      </c>
      <c r="G6217" s="1" t="str">
        <f t="shared" si="2"/>
        <v/>
      </c>
      <c r="H6217" s="1"/>
      <c r="I6217" s="1"/>
      <c r="J6217" s="1" t="str">
        <f t="shared" si="3"/>
        <v/>
      </c>
      <c r="K6217" s="1" t="str">
        <f t="shared" si="4"/>
        <v/>
      </c>
    </row>
    <row r="6218" hidden="1">
      <c r="A6218" s="1"/>
      <c r="B6218" s="1"/>
      <c r="C6218" s="1"/>
      <c r="D6218" s="1"/>
      <c r="E6218" s="1"/>
      <c r="F6218" s="1" t="str">
        <f t="shared" si="1"/>
        <v/>
      </c>
      <c r="G6218" s="1" t="str">
        <f t="shared" si="2"/>
        <v/>
      </c>
      <c r="H6218" s="1"/>
      <c r="I6218" s="1"/>
      <c r="J6218" s="1" t="str">
        <f t="shared" si="3"/>
        <v/>
      </c>
      <c r="K6218" s="1" t="str">
        <f t="shared" si="4"/>
        <v/>
      </c>
    </row>
    <row r="6219" hidden="1">
      <c r="A6219" s="1"/>
      <c r="B6219" s="1"/>
      <c r="C6219" s="1"/>
      <c r="D6219" s="1"/>
      <c r="E6219" s="1"/>
      <c r="F6219" s="1" t="str">
        <f t="shared" si="1"/>
        <v/>
      </c>
      <c r="G6219" s="1" t="str">
        <f t="shared" si="2"/>
        <v/>
      </c>
      <c r="H6219" s="1"/>
      <c r="I6219" s="1"/>
      <c r="J6219" s="1" t="str">
        <f t="shared" si="3"/>
        <v/>
      </c>
      <c r="K6219" s="1" t="str">
        <f t="shared" si="4"/>
        <v/>
      </c>
    </row>
    <row r="6220" hidden="1">
      <c r="A6220" s="1"/>
      <c r="B6220" s="1"/>
      <c r="C6220" s="1"/>
      <c r="D6220" s="1"/>
      <c r="E6220" s="1"/>
      <c r="F6220" s="1" t="str">
        <f t="shared" si="1"/>
        <v/>
      </c>
      <c r="G6220" s="1" t="str">
        <f t="shared" si="2"/>
        <v/>
      </c>
      <c r="H6220" s="1"/>
      <c r="I6220" s="1"/>
      <c r="J6220" s="1" t="str">
        <f t="shared" si="3"/>
        <v/>
      </c>
      <c r="K6220" s="1" t="str">
        <f t="shared" si="4"/>
        <v/>
      </c>
    </row>
    <row r="6221" hidden="1">
      <c r="A6221" s="1"/>
      <c r="B6221" s="1"/>
      <c r="C6221" s="1"/>
      <c r="D6221" s="1"/>
      <c r="E6221" s="1"/>
      <c r="F6221" s="1" t="str">
        <f t="shared" si="1"/>
        <v/>
      </c>
      <c r="G6221" s="1" t="str">
        <f t="shared" si="2"/>
        <v/>
      </c>
      <c r="H6221" s="1"/>
      <c r="I6221" s="1"/>
      <c r="J6221" s="1" t="str">
        <f t="shared" si="3"/>
        <v/>
      </c>
      <c r="K6221" s="1" t="str">
        <f t="shared" si="4"/>
        <v/>
      </c>
    </row>
    <row r="6222" hidden="1">
      <c r="A6222" s="1"/>
      <c r="B6222" s="1"/>
      <c r="C6222" s="1"/>
      <c r="D6222" s="1"/>
      <c r="E6222" s="1"/>
      <c r="F6222" s="1" t="str">
        <f t="shared" si="1"/>
        <v/>
      </c>
      <c r="G6222" s="1" t="str">
        <f t="shared" si="2"/>
        <v/>
      </c>
      <c r="H6222" s="1"/>
      <c r="I6222" s="1"/>
      <c r="J6222" s="1" t="str">
        <f t="shared" si="3"/>
        <v/>
      </c>
      <c r="K6222" s="1" t="str">
        <f t="shared" si="4"/>
        <v/>
      </c>
    </row>
    <row r="6223" hidden="1">
      <c r="A6223" s="1"/>
      <c r="B6223" s="1"/>
      <c r="C6223" s="1"/>
      <c r="D6223" s="1"/>
      <c r="E6223" s="1"/>
      <c r="F6223" s="1" t="str">
        <f t="shared" si="1"/>
        <v/>
      </c>
      <c r="G6223" s="1" t="str">
        <f t="shared" si="2"/>
        <v/>
      </c>
      <c r="H6223" s="1"/>
      <c r="I6223" s="1"/>
      <c r="J6223" s="1" t="str">
        <f t="shared" si="3"/>
        <v/>
      </c>
      <c r="K6223" s="1" t="str">
        <f t="shared" si="4"/>
        <v/>
      </c>
    </row>
    <row r="6224" hidden="1">
      <c r="A6224" s="1"/>
      <c r="B6224" s="1"/>
      <c r="C6224" s="1"/>
      <c r="D6224" s="1"/>
      <c r="E6224" s="1"/>
      <c r="F6224" s="1" t="str">
        <f t="shared" si="1"/>
        <v/>
      </c>
      <c r="G6224" s="1" t="str">
        <f t="shared" si="2"/>
        <v/>
      </c>
      <c r="H6224" s="1"/>
      <c r="I6224" s="1"/>
      <c r="J6224" s="1" t="str">
        <f t="shared" si="3"/>
        <v/>
      </c>
      <c r="K6224" s="1" t="str">
        <f t="shared" si="4"/>
        <v/>
      </c>
    </row>
    <row r="6225" hidden="1">
      <c r="A6225" s="1"/>
      <c r="B6225" s="1"/>
      <c r="C6225" s="1"/>
      <c r="D6225" s="1"/>
      <c r="E6225" s="1"/>
      <c r="F6225" s="1" t="str">
        <f t="shared" si="1"/>
        <v/>
      </c>
      <c r="G6225" s="1" t="str">
        <f t="shared" si="2"/>
        <v/>
      </c>
      <c r="H6225" s="1"/>
      <c r="I6225" s="1"/>
      <c r="J6225" s="1" t="str">
        <f t="shared" si="3"/>
        <v/>
      </c>
      <c r="K6225" s="1" t="str">
        <f t="shared" si="4"/>
        <v/>
      </c>
    </row>
    <row r="6226" hidden="1">
      <c r="A6226" s="1"/>
      <c r="B6226" s="1"/>
      <c r="C6226" s="1"/>
      <c r="D6226" s="1"/>
      <c r="E6226" s="1"/>
      <c r="F6226" s="1" t="str">
        <f t="shared" si="1"/>
        <v/>
      </c>
      <c r="G6226" s="1" t="str">
        <f t="shared" si="2"/>
        <v/>
      </c>
      <c r="H6226" s="1"/>
      <c r="I6226" s="1"/>
      <c r="J6226" s="1" t="str">
        <f t="shared" si="3"/>
        <v/>
      </c>
      <c r="K6226" s="1" t="str">
        <f t="shared" si="4"/>
        <v/>
      </c>
    </row>
    <row r="6227" hidden="1">
      <c r="A6227" s="1"/>
      <c r="B6227" s="1"/>
      <c r="C6227" s="1"/>
      <c r="D6227" s="1"/>
      <c r="E6227" s="1"/>
      <c r="F6227" s="1" t="str">
        <f t="shared" si="1"/>
        <v/>
      </c>
      <c r="G6227" s="1" t="str">
        <f t="shared" si="2"/>
        <v/>
      </c>
      <c r="H6227" s="1"/>
      <c r="I6227" s="1"/>
      <c r="J6227" s="1" t="str">
        <f t="shared" si="3"/>
        <v/>
      </c>
      <c r="K6227" s="1" t="str">
        <f t="shared" si="4"/>
        <v/>
      </c>
    </row>
    <row r="6228" hidden="1">
      <c r="A6228" s="1"/>
      <c r="B6228" s="1"/>
      <c r="C6228" s="1"/>
      <c r="D6228" s="1"/>
      <c r="E6228" s="1"/>
      <c r="F6228" s="1" t="str">
        <f t="shared" si="1"/>
        <v/>
      </c>
      <c r="G6228" s="1" t="str">
        <f t="shared" si="2"/>
        <v/>
      </c>
      <c r="H6228" s="1"/>
      <c r="I6228" s="1"/>
      <c r="J6228" s="1" t="str">
        <f t="shared" si="3"/>
        <v/>
      </c>
      <c r="K6228" s="1" t="str">
        <f t="shared" si="4"/>
        <v/>
      </c>
    </row>
    <row r="6229" hidden="1">
      <c r="A6229" s="1"/>
      <c r="B6229" s="1"/>
      <c r="C6229" s="1"/>
      <c r="D6229" s="1"/>
      <c r="E6229" s="1"/>
      <c r="F6229" s="1" t="str">
        <f t="shared" si="1"/>
        <v/>
      </c>
      <c r="G6229" s="1" t="str">
        <f t="shared" si="2"/>
        <v/>
      </c>
      <c r="H6229" s="1"/>
      <c r="I6229" s="1"/>
      <c r="J6229" s="1" t="str">
        <f t="shared" si="3"/>
        <v/>
      </c>
      <c r="K6229" s="1" t="str">
        <f t="shared" si="4"/>
        <v/>
      </c>
    </row>
    <row r="6230" hidden="1">
      <c r="A6230" s="1"/>
      <c r="B6230" s="1"/>
      <c r="C6230" s="1"/>
      <c r="D6230" s="1"/>
      <c r="E6230" s="1"/>
      <c r="F6230" s="1" t="str">
        <f t="shared" si="1"/>
        <v/>
      </c>
      <c r="G6230" s="1" t="str">
        <f t="shared" si="2"/>
        <v/>
      </c>
      <c r="H6230" s="1"/>
      <c r="I6230" s="1"/>
      <c r="J6230" s="1" t="str">
        <f t="shared" si="3"/>
        <v/>
      </c>
      <c r="K6230" s="1" t="str">
        <f t="shared" si="4"/>
        <v/>
      </c>
    </row>
    <row r="6231" hidden="1">
      <c r="A6231" s="1"/>
      <c r="B6231" s="1"/>
      <c r="C6231" s="1"/>
      <c r="D6231" s="1"/>
      <c r="E6231" s="1"/>
      <c r="F6231" s="1" t="str">
        <f t="shared" si="1"/>
        <v/>
      </c>
      <c r="G6231" s="1" t="str">
        <f t="shared" si="2"/>
        <v/>
      </c>
      <c r="H6231" s="1"/>
      <c r="I6231" s="1"/>
      <c r="J6231" s="1" t="str">
        <f t="shared" si="3"/>
        <v/>
      </c>
      <c r="K6231" s="1" t="str">
        <f t="shared" si="4"/>
        <v/>
      </c>
    </row>
    <row r="6232" hidden="1">
      <c r="A6232" s="1"/>
      <c r="B6232" s="1"/>
      <c r="C6232" s="1"/>
      <c r="D6232" s="1"/>
      <c r="E6232" s="1"/>
      <c r="F6232" s="1" t="str">
        <f t="shared" si="1"/>
        <v/>
      </c>
      <c r="G6232" s="1" t="str">
        <f t="shared" si="2"/>
        <v/>
      </c>
      <c r="H6232" s="1"/>
      <c r="I6232" s="1"/>
      <c r="J6232" s="1" t="str">
        <f t="shared" si="3"/>
        <v/>
      </c>
      <c r="K6232" s="1" t="str">
        <f t="shared" si="4"/>
        <v/>
      </c>
    </row>
    <row r="6233" hidden="1">
      <c r="A6233" s="1"/>
      <c r="B6233" s="1"/>
      <c r="C6233" s="1"/>
      <c r="D6233" s="1"/>
      <c r="E6233" s="1"/>
      <c r="F6233" s="1" t="str">
        <f t="shared" si="1"/>
        <v/>
      </c>
      <c r="G6233" s="1" t="str">
        <f t="shared" si="2"/>
        <v/>
      </c>
      <c r="H6233" s="1"/>
      <c r="I6233" s="1"/>
      <c r="J6233" s="1" t="str">
        <f t="shared" si="3"/>
        <v/>
      </c>
      <c r="K6233" s="1" t="str">
        <f t="shared" si="4"/>
        <v/>
      </c>
    </row>
    <row r="6234" hidden="1">
      <c r="A6234" s="1"/>
      <c r="B6234" s="1"/>
      <c r="C6234" s="1"/>
      <c r="D6234" s="1"/>
      <c r="E6234" s="1"/>
      <c r="F6234" s="1" t="str">
        <f t="shared" si="1"/>
        <v/>
      </c>
      <c r="G6234" s="1" t="str">
        <f t="shared" si="2"/>
        <v/>
      </c>
      <c r="H6234" s="1"/>
      <c r="I6234" s="1"/>
      <c r="J6234" s="1" t="str">
        <f t="shared" si="3"/>
        <v/>
      </c>
      <c r="K6234" s="1" t="str">
        <f t="shared" si="4"/>
        <v/>
      </c>
    </row>
    <row r="6235" hidden="1">
      <c r="A6235" s="1"/>
      <c r="B6235" s="1"/>
      <c r="C6235" s="1"/>
      <c r="D6235" s="1"/>
      <c r="E6235" s="1"/>
      <c r="F6235" s="1" t="str">
        <f t="shared" si="1"/>
        <v/>
      </c>
      <c r="G6235" s="1" t="str">
        <f t="shared" si="2"/>
        <v/>
      </c>
      <c r="H6235" s="1"/>
      <c r="I6235" s="1"/>
      <c r="J6235" s="1" t="str">
        <f t="shared" si="3"/>
        <v/>
      </c>
      <c r="K6235" s="1" t="str">
        <f t="shared" si="4"/>
        <v/>
      </c>
    </row>
    <row r="6236" hidden="1">
      <c r="A6236" s="1"/>
      <c r="B6236" s="1"/>
      <c r="C6236" s="1"/>
      <c r="D6236" s="1"/>
      <c r="E6236" s="1"/>
      <c r="F6236" s="1" t="str">
        <f t="shared" si="1"/>
        <v/>
      </c>
      <c r="G6236" s="1" t="str">
        <f t="shared" si="2"/>
        <v/>
      </c>
      <c r="H6236" s="1"/>
      <c r="I6236" s="1"/>
      <c r="J6236" s="1" t="str">
        <f t="shared" si="3"/>
        <v/>
      </c>
      <c r="K6236" s="1" t="str">
        <f t="shared" si="4"/>
        <v/>
      </c>
    </row>
    <row r="6237" hidden="1">
      <c r="A6237" s="1"/>
      <c r="B6237" s="1"/>
      <c r="C6237" s="1"/>
      <c r="D6237" s="1"/>
      <c r="E6237" s="1"/>
      <c r="F6237" s="1" t="str">
        <f t="shared" si="1"/>
        <v/>
      </c>
      <c r="G6237" s="1" t="str">
        <f t="shared" si="2"/>
        <v/>
      </c>
      <c r="H6237" s="1"/>
      <c r="I6237" s="1"/>
      <c r="J6237" s="1" t="str">
        <f t="shared" si="3"/>
        <v/>
      </c>
      <c r="K6237" s="1" t="str">
        <f t="shared" si="4"/>
        <v/>
      </c>
    </row>
    <row r="6238" hidden="1">
      <c r="A6238" s="1"/>
      <c r="B6238" s="1"/>
      <c r="C6238" s="1"/>
      <c r="D6238" s="1"/>
      <c r="E6238" s="1"/>
      <c r="F6238" s="1" t="str">
        <f t="shared" si="1"/>
        <v/>
      </c>
      <c r="G6238" s="1" t="str">
        <f t="shared" si="2"/>
        <v/>
      </c>
      <c r="H6238" s="1"/>
      <c r="I6238" s="1"/>
      <c r="J6238" s="1" t="str">
        <f t="shared" si="3"/>
        <v/>
      </c>
      <c r="K6238" s="1" t="str">
        <f t="shared" si="4"/>
        <v/>
      </c>
    </row>
    <row r="6239" hidden="1">
      <c r="A6239" s="1"/>
      <c r="B6239" s="1"/>
      <c r="C6239" s="1"/>
      <c r="D6239" s="1"/>
      <c r="E6239" s="1"/>
      <c r="F6239" s="1" t="str">
        <f t="shared" si="1"/>
        <v/>
      </c>
      <c r="G6239" s="1" t="str">
        <f t="shared" si="2"/>
        <v/>
      </c>
      <c r="H6239" s="1"/>
      <c r="I6239" s="1"/>
      <c r="J6239" s="1" t="str">
        <f t="shared" si="3"/>
        <v/>
      </c>
      <c r="K6239" s="1" t="str">
        <f t="shared" si="4"/>
        <v/>
      </c>
    </row>
    <row r="6240" hidden="1">
      <c r="A6240" s="1"/>
      <c r="B6240" s="1"/>
      <c r="C6240" s="1"/>
      <c r="D6240" s="1"/>
      <c r="E6240" s="1"/>
      <c r="F6240" s="1" t="str">
        <f t="shared" si="1"/>
        <v/>
      </c>
      <c r="G6240" s="1" t="str">
        <f t="shared" si="2"/>
        <v/>
      </c>
      <c r="H6240" s="1"/>
      <c r="I6240" s="1"/>
      <c r="J6240" s="1" t="str">
        <f t="shared" si="3"/>
        <v/>
      </c>
      <c r="K6240" s="1" t="str">
        <f t="shared" si="4"/>
        <v/>
      </c>
    </row>
    <row r="6241" hidden="1">
      <c r="A6241" s="1"/>
      <c r="B6241" s="1"/>
      <c r="C6241" s="1"/>
      <c r="D6241" s="1"/>
      <c r="E6241" s="1"/>
      <c r="F6241" s="1" t="str">
        <f t="shared" si="1"/>
        <v/>
      </c>
      <c r="G6241" s="1" t="str">
        <f t="shared" si="2"/>
        <v/>
      </c>
      <c r="H6241" s="1"/>
      <c r="I6241" s="1"/>
      <c r="J6241" s="1" t="str">
        <f t="shared" si="3"/>
        <v/>
      </c>
      <c r="K6241" s="1" t="str">
        <f t="shared" si="4"/>
        <v/>
      </c>
    </row>
    <row r="6242" hidden="1">
      <c r="A6242" s="1"/>
      <c r="B6242" s="1"/>
      <c r="C6242" s="1"/>
      <c r="D6242" s="1"/>
      <c r="E6242" s="1"/>
      <c r="F6242" s="1" t="str">
        <f t="shared" si="1"/>
        <v/>
      </c>
      <c r="G6242" s="1" t="str">
        <f t="shared" si="2"/>
        <v/>
      </c>
      <c r="H6242" s="1"/>
      <c r="I6242" s="1"/>
      <c r="J6242" s="1" t="str">
        <f t="shared" si="3"/>
        <v/>
      </c>
      <c r="K6242" s="1" t="str">
        <f t="shared" si="4"/>
        <v/>
      </c>
    </row>
    <row r="6243" hidden="1">
      <c r="A6243" s="1"/>
      <c r="B6243" s="1"/>
      <c r="C6243" s="1"/>
      <c r="D6243" s="1"/>
      <c r="E6243" s="1"/>
      <c r="F6243" s="1" t="str">
        <f t="shared" si="1"/>
        <v/>
      </c>
      <c r="G6243" s="1" t="str">
        <f t="shared" si="2"/>
        <v/>
      </c>
      <c r="H6243" s="1"/>
      <c r="I6243" s="1"/>
      <c r="J6243" s="1" t="str">
        <f t="shared" si="3"/>
        <v/>
      </c>
      <c r="K6243" s="1" t="str">
        <f t="shared" si="4"/>
        <v/>
      </c>
    </row>
    <row r="6244" hidden="1">
      <c r="A6244" s="1"/>
      <c r="B6244" s="1"/>
      <c r="C6244" s="1"/>
      <c r="D6244" s="1"/>
      <c r="E6244" s="1"/>
      <c r="F6244" s="1" t="str">
        <f t="shared" si="1"/>
        <v/>
      </c>
      <c r="G6244" s="1" t="str">
        <f t="shared" si="2"/>
        <v/>
      </c>
      <c r="H6244" s="1"/>
      <c r="I6244" s="1"/>
      <c r="J6244" s="1" t="str">
        <f t="shared" si="3"/>
        <v/>
      </c>
      <c r="K6244" s="1" t="str">
        <f t="shared" si="4"/>
        <v/>
      </c>
    </row>
    <row r="6245" hidden="1">
      <c r="A6245" s="1"/>
      <c r="B6245" s="1"/>
      <c r="C6245" s="1"/>
      <c r="D6245" s="1"/>
      <c r="E6245" s="1"/>
      <c r="F6245" s="1" t="str">
        <f t="shared" si="1"/>
        <v/>
      </c>
      <c r="G6245" s="1" t="str">
        <f t="shared" si="2"/>
        <v/>
      </c>
      <c r="H6245" s="1"/>
      <c r="I6245" s="1"/>
      <c r="J6245" s="1" t="str">
        <f t="shared" si="3"/>
        <v/>
      </c>
      <c r="K6245" s="1" t="str">
        <f t="shared" si="4"/>
        <v/>
      </c>
    </row>
    <row r="6246" hidden="1">
      <c r="A6246" s="1"/>
      <c r="B6246" s="1"/>
      <c r="C6246" s="1"/>
      <c r="D6246" s="1"/>
      <c r="E6246" s="1"/>
      <c r="F6246" s="1" t="str">
        <f t="shared" si="1"/>
        <v/>
      </c>
      <c r="G6246" s="1" t="str">
        <f t="shared" si="2"/>
        <v/>
      </c>
      <c r="H6246" s="1"/>
      <c r="I6246" s="1"/>
      <c r="J6246" s="1" t="str">
        <f t="shared" si="3"/>
        <v/>
      </c>
      <c r="K6246" s="1" t="str">
        <f t="shared" si="4"/>
        <v/>
      </c>
    </row>
    <row r="6247" hidden="1">
      <c r="A6247" s="1"/>
      <c r="B6247" s="1"/>
      <c r="C6247" s="1"/>
      <c r="D6247" s="1"/>
      <c r="E6247" s="1"/>
      <c r="F6247" s="1" t="str">
        <f t="shared" si="1"/>
        <v/>
      </c>
      <c r="G6247" s="1" t="str">
        <f t="shared" si="2"/>
        <v/>
      </c>
      <c r="H6247" s="1"/>
      <c r="I6247" s="1"/>
      <c r="J6247" s="1" t="str">
        <f t="shared" si="3"/>
        <v/>
      </c>
      <c r="K6247" s="1" t="str">
        <f t="shared" si="4"/>
        <v/>
      </c>
    </row>
    <row r="6248" hidden="1">
      <c r="A6248" s="1"/>
      <c r="B6248" s="1"/>
      <c r="C6248" s="1"/>
      <c r="D6248" s="1"/>
      <c r="E6248" s="1"/>
      <c r="F6248" s="1" t="str">
        <f t="shared" si="1"/>
        <v/>
      </c>
      <c r="G6248" s="1" t="str">
        <f t="shared" si="2"/>
        <v/>
      </c>
      <c r="H6248" s="1"/>
      <c r="I6248" s="1"/>
      <c r="J6248" s="1" t="str">
        <f t="shared" si="3"/>
        <v/>
      </c>
      <c r="K6248" s="1" t="str">
        <f t="shared" si="4"/>
        <v/>
      </c>
    </row>
    <row r="6249" hidden="1">
      <c r="A6249" s="1"/>
      <c r="B6249" s="1"/>
      <c r="C6249" s="1"/>
      <c r="D6249" s="1"/>
      <c r="E6249" s="1"/>
      <c r="F6249" s="1" t="str">
        <f t="shared" si="1"/>
        <v/>
      </c>
      <c r="G6249" s="1" t="str">
        <f t="shared" si="2"/>
        <v/>
      </c>
      <c r="H6249" s="1"/>
      <c r="I6249" s="1"/>
      <c r="J6249" s="1" t="str">
        <f t="shared" si="3"/>
        <v/>
      </c>
      <c r="K6249" s="1" t="str">
        <f t="shared" si="4"/>
        <v/>
      </c>
    </row>
    <row r="6250" hidden="1">
      <c r="A6250" s="1"/>
      <c r="B6250" s="1"/>
      <c r="C6250" s="1"/>
      <c r="D6250" s="1"/>
      <c r="E6250" s="1"/>
      <c r="F6250" s="1" t="str">
        <f t="shared" si="1"/>
        <v/>
      </c>
      <c r="G6250" s="1" t="str">
        <f t="shared" si="2"/>
        <v/>
      </c>
      <c r="H6250" s="1"/>
      <c r="I6250" s="1"/>
      <c r="J6250" s="1" t="str">
        <f t="shared" si="3"/>
        <v/>
      </c>
      <c r="K6250" s="1" t="str">
        <f t="shared" si="4"/>
        <v/>
      </c>
    </row>
    <row r="6251" hidden="1">
      <c r="A6251" s="1"/>
      <c r="B6251" s="1"/>
      <c r="C6251" s="1"/>
      <c r="D6251" s="1"/>
      <c r="E6251" s="1"/>
      <c r="F6251" s="1" t="str">
        <f t="shared" si="1"/>
        <v/>
      </c>
      <c r="G6251" s="1" t="str">
        <f t="shared" si="2"/>
        <v/>
      </c>
      <c r="H6251" s="1"/>
      <c r="I6251" s="1"/>
      <c r="J6251" s="1" t="str">
        <f t="shared" si="3"/>
        <v/>
      </c>
      <c r="K6251" s="1" t="str">
        <f t="shared" si="4"/>
        <v/>
      </c>
    </row>
    <row r="6252" hidden="1">
      <c r="A6252" s="1"/>
      <c r="B6252" s="1"/>
      <c r="C6252" s="1"/>
      <c r="D6252" s="1"/>
      <c r="E6252" s="1"/>
      <c r="F6252" s="1" t="str">
        <f t="shared" si="1"/>
        <v/>
      </c>
      <c r="G6252" s="1" t="str">
        <f t="shared" si="2"/>
        <v/>
      </c>
      <c r="H6252" s="1"/>
      <c r="I6252" s="1"/>
      <c r="J6252" s="1" t="str">
        <f t="shared" si="3"/>
        <v/>
      </c>
      <c r="K6252" s="1" t="str">
        <f t="shared" si="4"/>
        <v/>
      </c>
    </row>
    <row r="6253" hidden="1">
      <c r="A6253" s="1"/>
      <c r="B6253" s="1"/>
      <c r="C6253" s="1"/>
      <c r="D6253" s="1"/>
      <c r="E6253" s="1"/>
      <c r="F6253" s="1" t="str">
        <f t="shared" si="1"/>
        <v/>
      </c>
      <c r="G6253" s="1" t="str">
        <f t="shared" si="2"/>
        <v/>
      </c>
      <c r="H6253" s="1"/>
      <c r="I6253" s="1"/>
      <c r="J6253" s="1" t="str">
        <f t="shared" si="3"/>
        <v/>
      </c>
      <c r="K6253" s="1" t="str">
        <f t="shared" si="4"/>
        <v/>
      </c>
    </row>
    <row r="6254" hidden="1">
      <c r="A6254" s="1"/>
      <c r="B6254" s="1"/>
      <c r="C6254" s="1"/>
      <c r="D6254" s="1"/>
      <c r="E6254" s="1"/>
      <c r="F6254" s="1" t="str">
        <f t="shared" si="1"/>
        <v/>
      </c>
      <c r="G6254" s="1" t="str">
        <f t="shared" si="2"/>
        <v/>
      </c>
      <c r="H6254" s="1"/>
      <c r="I6254" s="1"/>
      <c r="J6254" s="1" t="str">
        <f t="shared" si="3"/>
        <v/>
      </c>
      <c r="K6254" s="1" t="str">
        <f t="shared" si="4"/>
        <v/>
      </c>
    </row>
    <row r="6255" hidden="1">
      <c r="A6255" s="1"/>
      <c r="B6255" s="1"/>
      <c r="C6255" s="1"/>
      <c r="D6255" s="1"/>
      <c r="E6255" s="1"/>
      <c r="F6255" s="1" t="str">
        <f t="shared" si="1"/>
        <v/>
      </c>
      <c r="G6255" s="1" t="str">
        <f t="shared" si="2"/>
        <v/>
      </c>
      <c r="H6255" s="1"/>
      <c r="I6255" s="1"/>
      <c r="J6255" s="1" t="str">
        <f t="shared" si="3"/>
        <v/>
      </c>
      <c r="K6255" s="1" t="str">
        <f t="shared" si="4"/>
        <v/>
      </c>
    </row>
    <row r="6256" hidden="1">
      <c r="A6256" s="1"/>
      <c r="B6256" s="1"/>
      <c r="C6256" s="1"/>
      <c r="D6256" s="1"/>
      <c r="E6256" s="1"/>
      <c r="F6256" s="1" t="str">
        <f t="shared" si="1"/>
        <v/>
      </c>
      <c r="G6256" s="1" t="str">
        <f t="shared" si="2"/>
        <v/>
      </c>
      <c r="H6256" s="1"/>
      <c r="I6256" s="1"/>
      <c r="J6256" s="1" t="str">
        <f t="shared" si="3"/>
        <v/>
      </c>
      <c r="K6256" s="1" t="str">
        <f t="shared" si="4"/>
        <v/>
      </c>
    </row>
    <row r="6257" hidden="1">
      <c r="A6257" s="1"/>
      <c r="B6257" s="1"/>
      <c r="C6257" s="1"/>
      <c r="D6257" s="1"/>
      <c r="E6257" s="1"/>
      <c r="F6257" s="1" t="str">
        <f t="shared" si="1"/>
        <v/>
      </c>
      <c r="G6257" s="1" t="str">
        <f t="shared" si="2"/>
        <v/>
      </c>
      <c r="H6257" s="1"/>
      <c r="I6257" s="1"/>
      <c r="J6257" s="1" t="str">
        <f t="shared" si="3"/>
        <v/>
      </c>
      <c r="K6257" s="1" t="str">
        <f t="shared" si="4"/>
        <v/>
      </c>
    </row>
    <row r="6258" hidden="1">
      <c r="A6258" s="1"/>
      <c r="B6258" s="1"/>
      <c r="C6258" s="1"/>
      <c r="D6258" s="1"/>
      <c r="E6258" s="1"/>
      <c r="F6258" s="1" t="str">
        <f t="shared" si="1"/>
        <v/>
      </c>
      <c r="G6258" s="1" t="str">
        <f t="shared" si="2"/>
        <v/>
      </c>
      <c r="H6258" s="1"/>
      <c r="I6258" s="1"/>
      <c r="J6258" s="1" t="str">
        <f t="shared" si="3"/>
        <v/>
      </c>
      <c r="K6258" s="1" t="str">
        <f t="shared" si="4"/>
        <v/>
      </c>
    </row>
    <row r="6259" hidden="1">
      <c r="A6259" s="1"/>
      <c r="B6259" s="1"/>
      <c r="C6259" s="1"/>
      <c r="D6259" s="1"/>
      <c r="E6259" s="1"/>
      <c r="F6259" s="1" t="str">
        <f t="shared" si="1"/>
        <v/>
      </c>
      <c r="G6259" s="1" t="str">
        <f t="shared" si="2"/>
        <v/>
      </c>
      <c r="H6259" s="1"/>
      <c r="I6259" s="1"/>
      <c r="J6259" s="1" t="str">
        <f t="shared" si="3"/>
        <v/>
      </c>
      <c r="K6259" s="1" t="str">
        <f t="shared" si="4"/>
        <v/>
      </c>
    </row>
    <row r="6260" hidden="1">
      <c r="A6260" s="1"/>
      <c r="B6260" s="1"/>
      <c r="C6260" s="1"/>
      <c r="D6260" s="1"/>
      <c r="E6260" s="1"/>
      <c r="F6260" s="1" t="str">
        <f t="shared" si="1"/>
        <v/>
      </c>
      <c r="G6260" s="1" t="str">
        <f t="shared" si="2"/>
        <v/>
      </c>
      <c r="H6260" s="1"/>
      <c r="I6260" s="1"/>
      <c r="J6260" s="1" t="str">
        <f t="shared" si="3"/>
        <v/>
      </c>
      <c r="K6260" s="1" t="str">
        <f t="shared" si="4"/>
        <v/>
      </c>
    </row>
    <row r="6261" hidden="1">
      <c r="A6261" s="1"/>
      <c r="B6261" s="1"/>
      <c r="C6261" s="1"/>
      <c r="D6261" s="1"/>
      <c r="E6261" s="1"/>
      <c r="F6261" s="1" t="str">
        <f t="shared" si="1"/>
        <v/>
      </c>
      <c r="G6261" s="1" t="str">
        <f t="shared" si="2"/>
        <v/>
      </c>
      <c r="H6261" s="1"/>
      <c r="I6261" s="1"/>
      <c r="J6261" s="1" t="str">
        <f t="shared" si="3"/>
        <v/>
      </c>
      <c r="K6261" s="1" t="str">
        <f t="shared" si="4"/>
        <v/>
      </c>
    </row>
    <row r="6262" hidden="1">
      <c r="A6262" s="1"/>
      <c r="B6262" s="1"/>
      <c r="C6262" s="1"/>
      <c r="D6262" s="1"/>
      <c r="E6262" s="1"/>
      <c r="F6262" s="1" t="str">
        <f t="shared" si="1"/>
        <v/>
      </c>
      <c r="G6262" s="1" t="str">
        <f t="shared" si="2"/>
        <v/>
      </c>
      <c r="H6262" s="1"/>
      <c r="I6262" s="1"/>
      <c r="J6262" s="1" t="str">
        <f t="shared" si="3"/>
        <v/>
      </c>
      <c r="K6262" s="1" t="str">
        <f t="shared" si="4"/>
        <v/>
      </c>
    </row>
    <row r="6263" hidden="1">
      <c r="A6263" s="1"/>
      <c r="B6263" s="1"/>
      <c r="C6263" s="1"/>
      <c r="D6263" s="1"/>
      <c r="E6263" s="1"/>
      <c r="F6263" s="1" t="str">
        <f t="shared" si="1"/>
        <v/>
      </c>
      <c r="G6263" s="1" t="str">
        <f t="shared" si="2"/>
        <v/>
      </c>
      <c r="H6263" s="1"/>
      <c r="I6263" s="1"/>
      <c r="J6263" s="1" t="str">
        <f t="shared" si="3"/>
        <v/>
      </c>
      <c r="K6263" s="1" t="str">
        <f t="shared" si="4"/>
        <v/>
      </c>
    </row>
    <row r="6264" hidden="1">
      <c r="A6264" s="1"/>
      <c r="B6264" s="1"/>
      <c r="C6264" s="1"/>
      <c r="D6264" s="1"/>
      <c r="E6264" s="1"/>
      <c r="F6264" s="1" t="str">
        <f t="shared" si="1"/>
        <v/>
      </c>
      <c r="G6264" s="1" t="str">
        <f t="shared" si="2"/>
        <v/>
      </c>
      <c r="H6264" s="1"/>
      <c r="I6264" s="1"/>
      <c r="J6264" s="1" t="str">
        <f t="shared" si="3"/>
        <v/>
      </c>
      <c r="K6264" s="1" t="str">
        <f t="shared" si="4"/>
        <v/>
      </c>
    </row>
    <row r="6265" hidden="1">
      <c r="A6265" s="1"/>
      <c r="B6265" s="1"/>
      <c r="C6265" s="1"/>
      <c r="D6265" s="1"/>
      <c r="E6265" s="1"/>
      <c r="F6265" s="1" t="str">
        <f t="shared" si="1"/>
        <v/>
      </c>
      <c r="G6265" s="1" t="str">
        <f t="shared" si="2"/>
        <v/>
      </c>
      <c r="H6265" s="1"/>
      <c r="I6265" s="1"/>
      <c r="J6265" s="1" t="str">
        <f t="shared" si="3"/>
        <v/>
      </c>
      <c r="K6265" s="1" t="str">
        <f t="shared" si="4"/>
        <v/>
      </c>
    </row>
    <row r="6266" hidden="1">
      <c r="A6266" s="1"/>
      <c r="B6266" s="1"/>
      <c r="C6266" s="1"/>
      <c r="D6266" s="1"/>
      <c r="E6266" s="1"/>
      <c r="F6266" s="1" t="str">
        <f t="shared" si="1"/>
        <v/>
      </c>
      <c r="G6266" s="1" t="str">
        <f t="shared" si="2"/>
        <v/>
      </c>
      <c r="H6266" s="1"/>
      <c r="I6266" s="1"/>
      <c r="J6266" s="1" t="str">
        <f t="shared" si="3"/>
        <v/>
      </c>
      <c r="K6266" s="1" t="str">
        <f t="shared" si="4"/>
        <v/>
      </c>
    </row>
    <row r="6267" hidden="1">
      <c r="A6267" s="1"/>
      <c r="B6267" s="1"/>
      <c r="C6267" s="1"/>
      <c r="D6267" s="1"/>
      <c r="E6267" s="1"/>
      <c r="F6267" s="1" t="str">
        <f t="shared" si="1"/>
        <v/>
      </c>
      <c r="G6267" s="1" t="str">
        <f t="shared" si="2"/>
        <v/>
      </c>
      <c r="H6267" s="1"/>
      <c r="I6267" s="1"/>
      <c r="J6267" s="1" t="str">
        <f t="shared" si="3"/>
        <v/>
      </c>
      <c r="K6267" s="1" t="str">
        <f t="shared" si="4"/>
        <v/>
      </c>
    </row>
    <row r="6268" hidden="1">
      <c r="A6268" s="1"/>
      <c r="B6268" s="1"/>
      <c r="C6268" s="1"/>
      <c r="D6268" s="1"/>
      <c r="E6268" s="1"/>
      <c r="F6268" s="1" t="str">
        <f t="shared" si="1"/>
        <v/>
      </c>
      <c r="G6268" s="1" t="str">
        <f t="shared" si="2"/>
        <v/>
      </c>
      <c r="H6268" s="1"/>
      <c r="I6268" s="1"/>
      <c r="J6268" s="1" t="str">
        <f t="shared" si="3"/>
        <v/>
      </c>
      <c r="K6268" s="1" t="str">
        <f t="shared" si="4"/>
        <v/>
      </c>
    </row>
    <row r="6269" hidden="1">
      <c r="A6269" s="1"/>
      <c r="B6269" s="1"/>
      <c r="C6269" s="1"/>
      <c r="D6269" s="1"/>
      <c r="E6269" s="1"/>
      <c r="F6269" s="1" t="str">
        <f t="shared" si="1"/>
        <v/>
      </c>
      <c r="G6269" s="1" t="str">
        <f t="shared" si="2"/>
        <v/>
      </c>
      <c r="H6269" s="1"/>
      <c r="I6269" s="1"/>
      <c r="J6269" s="1" t="str">
        <f t="shared" si="3"/>
        <v/>
      </c>
      <c r="K6269" s="1" t="str">
        <f t="shared" si="4"/>
        <v/>
      </c>
    </row>
    <row r="6270" hidden="1">
      <c r="A6270" s="1"/>
      <c r="B6270" s="1"/>
      <c r="C6270" s="1"/>
      <c r="D6270" s="1"/>
      <c r="E6270" s="1"/>
      <c r="F6270" s="1" t="str">
        <f t="shared" si="1"/>
        <v/>
      </c>
      <c r="G6270" s="1" t="str">
        <f t="shared" si="2"/>
        <v/>
      </c>
      <c r="H6270" s="1"/>
      <c r="I6270" s="1"/>
      <c r="J6270" s="1" t="str">
        <f t="shared" si="3"/>
        <v/>
      </c>
      <c r="K6270" s="1" t="str">
        <f t="shared" si="4"/>
        <v/>
      </c>
    </row>
    <row r="6271" hidden="1">
      <c r="A6271" s="1"/>
      <c r="B6271" s="1"/>
      <c r="C6271" s="1"/>
      <c r="D6271" s="1"/>
      <c r="E6271" s="1"/>
      <c r="F6271" s="1" t="str">
        <f t="shared" si="1"/>
        <v/>
      </c>
      <c r="G6271" s="1" t="str">
        <f t="shared" si="2"/>
        <v/>
      </c>
      <c r="H6271" s="1"/>
      <c r="I6271" s="1"/>
      <c r="J6271" s="1" t="str">
        <f t="shared" si="3"/>
        <v/>
      </c>
      <c r="K6271" s="1" t="str">
        <f t="shared" si="4"/>
        <v/>
      </c>
    </row>
    <row r="6272" hidden="1">
      <c r="A6272" s="1"/>
      <c r="B6272" s="1"/>
      <c r="C6272" s="1"/>
      <c r="D6272" s="1"/>
      <c r="E6272" s="1"/>
      <c r="F6272" s="1" t="str">
        <f t="shared" si="1"/>
        <v/>
      </c>
      <c r="G6272" s="1" t="str">
        <f t="shared" si="2"/>
        <v/>
      </c>
      <c r="H6272" s="1"/>
      <c r="I6272" s="1"/>
      <c r="J6272" s="1" t="str">
        <f t="shared" si="3"/>
        <v/>
      </c>
      <c r="K6272" s="1" t="str">
        <f t="shared" si="4"/>
        <v/>
      </c>
    </row>
    <row r="6273" hidden="1">
      <c r="A6273" s="1"/>
      <c r="B6273" s="1"/>
      <c r="C6273" s="1"/>
      <c r="D6273" s="1"/>
      <c r="E6273" s="1"/>
      <c r="F6273" s="1" t="str">
        <f t="shared" si="1"/>
        <v/>
      </c>
      <c r="G6273" s="1" t="str">
        <f t="shared" si="2"/>
        <v/>
      </c>
      <c r="H6273" s="1"/>
      <c r="I6273" s="1"/>
      <c r="J6273" s="1" t="str">
        <f t="shared" si="3"/>
        <v/>
      </c>
      <c r="K6273" s="1" t="str">
        <f t="shared" si="4"/>
        <v/>
      </c>
    </row>
    <row r="6274" hidden="1">
      <c r="A6274" s="1"/>
      <c r="B6274" s="1"/>
      <c r="C6274" s="1"/>
      <c r="D6274" s="1"/>
      <c r="E6274" s="1"/>
      <c r="F6274" s="1" t="str">
        <f t="shared" si="1"/>
        <v/>
      </c>
      <c r="G6274" s="1" t="str">
        <f t="shared" si="2"/>
        <v/>
      </c>
      <c r="H6274" s="1"/>
      <c r="I6274" s="1"/>
      <c r="J6274" s="1" t="str">
        <f t="shared" si="3"/>
        <v/>
      </c>
      <c r="K6274" s="1" t="str">
        <f t="shared" si="4"/>
        <v/>
      </c>
    </row>
    <row r="6275" hidden="1">
      <c r="A6275" s="1"/>
      <c r="B6275" s="1"/>
      <c r="C6275" s="1"/>
      <c r="D6275" s="1"/>
      <c r="E6275" s="1"/>
      <c r="F6275" s="1" t="str">
        <f t="shared" si="1"/>
        <v/>
      </c>
      <c r="G6275" s="1" t="str">
        <f t="shared" si="2"/>
        <v/>
      </c>
      <c r="H6275" s="1"/>
      <c r="I6275" s="1"/>
      <c r="J6275" s="1" t="str">
        <f t="shared" si="3"/>
        <v/>
      </c>
      <c r="K6275" s="1" t="str">
        <f t="shared" si="4"/>
        <v/>
      </c>
    </row>
    <row r="6276" hidden="1">
      <c r="A6276" s="1"/>
      <c r="B6276" s="1"/>
      <c r="C6276" s="1"/>
      <c r="D6276" s="1"/>
      <c r="E6276" s="1"/>
      <c r="F6276" s="1" t="str">
        <f t="shared" si="1"/>
        <v/>
      </c>
      <c r="G6276" s="1" t="str">
        <f t="shared" si="2"/>
        <v/>
      </c>
      <c r="H6276" s="1"/>
      <c r="I6276" s="1"/>
      <c r="J6276" s="1" t="str">
        <f t="shared" si="3"/>
        <v/>
      </c>
      <c r="K6276" s="1" t="str">
        <f t="shared" si="4"/>
        <v/>
      </c>
    </row>
    <row r="6277" hidden="1">
      <c r="A6277" s="1"/>
      <c r="B6277" s="1"/>
      <c r="C6277" s="1"/>
      <c r="D6277" s="1"/>
      <c r="E6277" s="1"/>
      <c r="F6277" s="1" t="str">
        <f t="shared" si="1"/>
        <v/>
      </c>
      <c r="G6277" s="1" t="str">
        <f t="shared" si="2"/>
        <v/>
      </c>
      <c r="H6277" s="1"/>
      <c r="I6277" s="1"/>
      <c r="J6277" s="1" t="str">
        <f t="shared" si="3"/>
        <v/>
      </c>
      <c r="K6277" s="1" t="str">
        <f t="shared" si="4"/>
        <v/>
      </c>
    </row>
    <row r="6278" hidden="1">
      <c r="A6278" s="1"/>
      <c r="B6278" s="1"/>
      <c r="C6278" s="1"/>
      <c r="D6278" s="1"/>
      <c r="E6278" s="1"/>
      <c r="F6278" s="1" t="str">
        <f t="shared" si="1"/>
        <v/>
      </c>
      <c r="G6278" s="1" t="str">
        <f t="shared" si="2"/>
        <v/>
      </c>
      <c r="H6278" s="1"/>
      <c r="I6278" s="1"/>
      <c r="J6278" s="1" t="str">
        <f t="shared" si="3"/>
        <v/>
      </c>
      <c r="K6278" s="1" t="str">
        <f t="shared" si="4"/>
        <v/>
      </c>
    </row>
    <row r="6279" hidden="1">
      <c r="A6279" s="1"/>
      <c r="B6279" s="1"/>
      <c r="C6279" s="1"/>
      <c r="D6279" s="1"/>
      <c r="E6279" s="1"/>
      <c r="F6279" s="1" t="str">
        <f t="shared" si="1"/>
        <v/>
      </c>
      <c r="G6279" s="1" t="str">
        <f t="shared" si="2"/>
        <v/>
      </c>
      <c r="H6279" s="1"/>
      <c r="I6279" s="1"/>
      <c r="J6279" s="1" t="str">
        <f t="shared" si="3"/>
        <v/>
      </c>
      <c r="K6279" s="1" t="str">
        <f t="shared" si="4"/>
        <v/>
      </c>
    </row>
    <row r="6280" hidden="1">
      <c r="A6280" s="1"/>
      <c r="B6280" s="1"/>
      <c r="C6280" s="1"/>
      <c r="D6280" s="1"/>
      <c r="E6280" s="1"/>
      <c r="F6280" s="1" t="str">
        <f t="shared" si="1"/>
        <v/>
      </c>
      <c r="G6280" s="1" t="str">
        <f t="shared" si="2"/>
        <v/>
      </c>
      <c r="H6280" s="1"/>
      <c r="I6280" s="1"/>
      <c r="J6280" s="1" t="str">
        <f t="shared" si="3"/>
        <v/>
      </c>
      <c r="K6280" s="1" t="str">
        <f t="shared" si="4"/>
        <v/>
      </c>
    </row>
    <row r="6281" hidden="1">
      <c r="A6281" s="1"/>
      <c r="B6281" s="1"/>
      <c r="C6281" s="1"/>
      <c r="D6281" s="1"/>
      <c r="E6281" s="1"/>
      <c r="F6281" s="1" t="str">
        <f t="shared" si="1"/>
        <v/>
      </c>
      <c r="G6281" s="1" t="str">
        <f t="shared" si="2"/>
        <v/>
      </c>
      <c r="H6281" s="1"/>
      <c r="I6281" s="1"/>
      <c r="J6281" s="1" t="str">
        <f t="shared" si="3"/>
        <v/>
      </c>
      <c r="K6281" s="1" t="str">
        <f t="shared" si="4"/>
        <v/>
      </c>
    </row>
    <row r="6282" hidden="1">
      <c r="A6282" s="1"/>
      <c r="B6282" s="1"/>
      <c r="C6282" s="1"/>
      <c r="D6282" s="1"/>
      <c r="E6282" s="1"/>
      <c r="F6282" s="1" t="str">
        <f t="shared" si="1"/>
        <v/>
      </c>
      <c r="G6282" s="1" t="str">
        <f t="shared" si="2"/>
        <v/>
      </c>
      <c r="H6282" s="1"/>
      <c r="I6282" s="1"/>
      <c r="J6282" s="1" t="str">
        <f t="shared" si="3"/>
        <v/>
      </c>
      <c r="K6282" s="1" t="str">
        <f t="shared" si="4"/>
        <v/>
      </c>
    </row>
    <row r="6283" hidden="1">
      <c r="A6283" s="1"/>
      <c r="B6283" s="1"/>
      <c r="C6283" s="1"/>
      <c r="D6283" s="1"/>
      <c r="E6283" s="1"/>
      <c r="F6283" s="1" t="str">
        <f t="shared" si="1"/>
        <v/>
      </c>
      <c r="G6283" s="1" t="str">
        <f t="shared" si="2"/>
        <v/>
      </c>
      <c r="H6283" s="1"/>
      <c r="I6283" s="1"/>
      <c r="J6283" s="1" t="str">
        <f t="shared" si="3"/>
        <v/>
      </c>
      <c r="K6283" s="1" t="str">
        <f t="shared" si="4"/>
        <v/>
      </c>
    </row>
    <row r="6284" hidden="1">
      <c r="A6284" s="1"/>
      <c r="B6284" s="1"/>
      <c r="C6284" s="1"/>
      <c r="D6284" s="1"/>
      <c r="E6284" s="1"/>
      <c r="F6284" s="1" t="str">
        <f t="shared" si="1"/>
        <v/>
      </c>
      <c r="G6284" s="1" t="str">
        <f t="shared" si="2"/>
        <v/>
      </c>
      <c r="H6284" s="1"/>
      <c r="I6284" s="1"/>
      <c r="J6284" s="1" t="str">
        <f t="shared" si="3"/>
        <v/>
      </c>
      <c r="K6284" s="1" t="str">
        <f t="shared" si="4"/>
        <v/>
      </c>
    </row>
    <row r="6285" hidden="1">
      <c r="A6285" s="1"/>
      <c r="B6285" s="1"/>
      <c r="C6285" s="1"/>
      <c r="D6285" s="1"/>
      <c r="E6285" s="1"/>
      <c r="F6285" s="1" t="str">
        <f t="shared" si="1"/>
        <v/>
      </c>
      <c r="G6285" s="1" t="str">
        <f t="shared" si="2"/>
        <v/>
      </c>
      <c r="H6285" s="1"/>
      <c r="I6285" s="1"/>
      <c r="J6285" s="1" t="str">
        <f t="shared" si="3"/>
        <v/>
      </c>
      <c r="K6285" s="1" t="str">
        <f t="shared" si="4"/>
        <v/>
      </c>
    </row>
    <row r="6286" hidden="1">
      <c r="A6286" s="1"/>
      <c r="B6286" s="1"/>
      <c r="C6286" s="1"/>
      <c r="D6286" s="1"/>
      <c r="E6286" s="1"/>
      <c r="F6286" s="1" t="str">
        <f t="shared" si="1"/>
        <v/>
      </c>
      <c r="G6286" s="1" t="str">
        <f t="shared" si="2"/>
        <v/>
      </c>
      <c r="H6286" s="1"/>
      <c r="I6286" s="1"/>
      <c r="J6286" s="1" t="str">
        <f t="shared" si="3"/>
        <v/>
      </c>
      <c r="K6286" s="1" t="str">
        <f t="shared" si="4"/>
        <v/>
      </c>
    </row>
    <row r="6287" hidden="1">
      <c r="A6287" s="1"/>
      <c r="B6287" s="1"/>
      <c r="C6287" s="1"/>
      <c r="D6287" s="1"/>
      <c r="E6287" s="1"/>
      <c r="F6287" s="1" t="str">
        <f t="shared" si="1"/>
        <v/>
      </c>
      <c r="G6287" s="1" t="str">
        <f t="shared" si="2"/>
        <v/>
      </c>
      <c r="H6287" s="1"/>
      <c r="I6287" s="1"/>
      <c r="J6287" s="1" t="str">
        <f t="shared" si="3"/>
        <v/>
      </c>
      <c r="K6287" s="1" t="str">
        <f t="shared" si="4"/>
        <v/>
      </c>
    </row>
    <row r="6288" hidden="1">
      <c r="A6288" s="1"/>
      <c r="B6288" s="1"/>
      <c r="C6288" s="1"/>
      <c r="D6288" s="1"/>
      <c r="E6288" s="1"/>
      <c r="F6288" s="1" t="str">
        <f t="shared" si="1"/>
        <v/>
      </c>
      <c r="G6288" s="1" t="str">
        <f t="shared" si="2"/>
        <v/>
      </c>
      <c r="H6288" s="1"/>
      <c r="I6288" s="1"/>
      <c r="J6288" s="1" t="str">
        <f t="shared" si="3"/>
        <v/>
      </c>
      <c r="K6288" s="1" t="str">
        <f t="shared" si="4"/>
        <v/>
      </c>
    </row>
    <row r="6289" hidden="1">
      <c r="A6289" s="1"/>
      <c r="B6289" s="1"/>
      <c r="C6289" s="1"/>
      <c r="D6289" s="1"/>
      <c r="E6289" s="1"/>
      <c r="F6289" s="1" t="str">
        <f t="shared" si="1"/>
        <v/>
      </c>
      <c r="G6289" s="1" t="str">
        <f t="shared" si="2"/>
        <v/>
      </c>
      <c r="H6289" s="1"/>
      <c r="I6289" s="1"/>
      <c r="J6289" s="1" t="str">
        <f t="shared" si="3"/>
        <v/>
      </c>
      <c r="K6289" s="1" t="str">
        <f t="shared" si="4"/>
        <v/>
      </c>
    </row>
    <row r="6290" hidden="1">
      <c r="A6290" s="1"/>
      <c r="B6290" s="1"/>
      <c r="C6290" s="1"/>
      <c r="D6290" s="1"/>
      <c r="E6290" s="1"/>
      <c r="F6290" s="1" t="str">
        <f t="shared" si="1"/>
        <v/>
      </c>
      <c r="G6290" s="1" t="str">
        <f t="shared" si="2"/>
        <v/>
      </c>
      <c r="H6290" s="1"/>
      <c r="I6290" s="1"/>
      <c r="J6290" s="1" t="str">
        <f t="shared" si="3"/>
        <v/>
      </c>
      <c r="K6290" s="1" t="str">
        <f t="shared" si="4"/>
        <v/>
      </c>
    </row>
    <row r="6291" hidden="1">
      <c r="A6291" s="1"/>
      <c r="B6291" s="1"/>
      <c r="C6291" s="1"/>
      <c r="D6291" s="1"/>
      <c r="E6291" s="1"/>
      <c r="F6291" s="1" t="str">
        <f t="shared" si="1"/>
        <v/>
      </c>
      <c r="G6291" s="1" t="str">
        <f t="shared" si="2"/>
        <v/>
      </c>
      <c r="H6291" s="1"/>
      <c r="I6291" s="1"/>
      <c r="J6291" s="1" t="str">
        <f t="shared" si="3"/>
        <v/>
      </c>
      <c r="K6291" s="1" t="str">
        <f t="shared" si="4"/>
        <v/>
      </c>
    </row>
    <row r="6292" hidden="1">
      <c r="A6292" s="1"/>
      <c r="B6292" s="1"/>
      <c r="C6292" s="1"/>
      <c r="D6292" s="1"/>
      <c r="E6292" s="1"/>
      <c r="F6292" s="1" t="str">
        <f t="shared" si="1"/>
        <v/>
      </c>
      <c r="G6292" s="1" t="str">
        <f t="shared" si="2"/>
        <v/>
      </c>
      <c r="H6292" s="1"/>
      <c r="I6292" s="1"/>
      <c r="J6292" s="1" t="str">
        <f t="shared" si="3"/>
        <v/>
      </c>
      <c r="K6292" s="1" t="str">
        <f t="shared" si="4"/>
        <v/>
      </c>
    </row>
    <row r="6293" hidden="1">
      <c r="A6293" s="1"/>
      <c r="B6293" s="1"/>
      <c r="C6293" s="1"/>
      <c r="D6293" s="1"/>
      <c r="E6293" s="1"/>
      <c r="F6293" s="1" t="str">
        <f t="shared" si="1"/>
        <v/>
      </c>
      <c r="G6293" s="1" t="str">
        <f t="shared" si="2"/>
        <v/>
      </c>
      <c r="H6293" s="1"/>
      <c r="I6293" s="1"/>
      <c r="J6293" s="1" t="str">
        <f t="shared" si="3"/>
        <v/>
      </c>
      <c r="K6293" s="1" t="str">
        <f t="shared" si="4"/>
        <v/>
      </c>
    </row>
    <row r="6294" hidden="1">
      <c r="A6294" s="1"/>
      <c r="B6294" s="1"/>
      <c r="C6294" s="1"/>
      <c r="D6294" s="1"/>
      <c r="E6294" s="1"/>
      <c r="F6294" s="1" t="str">
        <f t="shared" si="1"/>
        <v/>
      </c>
      <c r="G6294" s="1" t="str">
        <f t="shared" si="2"/>
        <v/>
      </c>
      <c r="H6294" s="1"/>
      <c r="I6294" s="1"/>
      <c r="J6294" s="1" t="str">
        <f t="shared" si="3"/>
        <v/>
      </c>
      <c r="K6294" s="1" t="str">
        <f t="shared" si="4"/>
        <v/>
      </c>
    </row>
    <row r="6295" hidden="1">
      <c r="A6295" s="1"/>
      <c r="B6295" s="1"/>
      <c r="C6295" s="1"/>
      <c r="D6295" s="1"/>
      <c r="E6295" s="1"/>
      <c r="F6295" s="1" t="str">
        <f t="shared" si="1"/>
        <v/>
      </c>
      <c r="G6295" s="1" t="str">
        <f t="shared" si="2"/>
        <v/>
      </c>
      <c r="H6295" s="1"/>
      <c r="I6295" s="1"/>
      <c r="J6295" s="1" t="str">
        <f t="shared" si="3"/>
        <v/>
      </c>
      <c r="K6295" s="1" t="str">
        <f t="shared" si="4"/>
        <v/>
      </c>
    </row>
    <row r="6296" hidden="1">
      <c r="A6296" s="1"/>
      <c r="B6296" s="1"/>
      <c r="C6296" s="1"/>
      <c r="D6296" s="1"/>
      <c r="E6296" s="1"/>
      <c r="F6296" s="1" t="str">
        <f t="shared" si="1"/>
        <v/>
      </c>
      <c r="G6296" s="1" t="str">
        <f t="shared" si="2"/>
        <v/>
      </c>
      <c r="H6296" s="1"/>
      <c r="I6296" s="1"/>
      <c r="J6296" s="1" t="str">
        <f t="shared" si="3"/>
        <v/>
      </c>
      <c r="K6296" s="1" t="str">
        <f t="shared" si="4"/>
        <v/>
      </c>
    </row>
    <row r="6297" hidden="1">
      <c r="A6297" s="1"/>
      <c r="B6297" s="1"/>
      <c r="C6297" s="1"/>
      <c r="D6297" s="1"/>
      <c r="E6297" s="1"/>
      <c r="F6297" s="1" t="str">
        <f t="shared" si="1"/>
        <v/>
      </c>
      <c r="G6297" s="1" t="str">
        <f t="shared" si="2"/>
        <v/>
      </c>
      <c r="H6297" s="1"/>
      <c r="I6297" s="1"/>
      <c r="J6297" s="1" t="str">
        <f t="shared" si="3"/>
        <v/>
      </c>
      <c r="K6297" s="1" t="str">
        <f t="shared" si="4"/>
        <v/>
      </c>
    </row>
    <row r="6298" hidden="1">
      <c r="A6298" s="1"/>
      <c r="B6298" s="1"/>
      <c r="C6298" s="1"/>
      <c r="D6298" s="1"/>
      <c r="E6298" s="1"/>
      <c r="F6298" s="1" t="str">
        <f t="shared" si="1"/>
        <v/>
      </c>
      <c r="G6298" s="1" t="str">
        <f t="shared" si="2"/>
        <v/>
      </c>
      <c r="H6298" s="1"/>
      <c r="I6298" s="1"/>
      <c r="J6298" s="1" t="str">
        <f t="shared" si="3"/>
        <v/>
      </c>
      <c r="K6298" s="1" t="str">
        <f t="shared" si="4"/>
        <v/>
      </c>
    </row>
    <row r="6299" hidden="1">
      <c r="A6299" s="1"/>
      <c r="B6299" s="1"/>
      <c r="C6299" s="1"/>
      <c r="D6299" s="1"/>
      <c r="E6299" s="1"/>
      <c r="F6299" s="1" t="str">
        <f t="shared" si="1"/>
        <v/>
      </c>
      <c r="G6299" s="1" t="str">
        <f t="shared" si="2"/>
        <v/>
      </c>
      <c r="H6299" s="1"/>
      <c r="I6299" s="1"/>
      <c r="J6299" s="1" t="str">
        <f t="shared" si="3"/>
        <v/>
      </c>
      <c r="K6299" s="1" t="str">
        <f t="shared" si="4"/>
        <v/>
      </c>
    </row>
    <row r="6300" hidden="1">
      <c r="A6300" s="1"/>
      <c r="B6300" s="1"/>
      <c r="C6300" s="1"/>
      <c r="D6300" s="1"/>
      <c r="E6300" s="1"/>
      <c r="F6300" s="1" t="str">
        <f t="shared" si="1"/>
        <v/>
      </c>
      <c r="G6300" s="1" t="str">
        <f t="shared" si="2"/>
        <v/>
      </c>
      <c r="H6300" s="1"/>
      <c r="I6300" s="1"/>
      <c r="J6300" s="1" t="str">
        <f t="shared" si="3"/>
        <v/>
      </c>
      <c r="K6300" s="1" t="str">
        <f t="shared" si="4"/>
        <v/>
      </c>
    </row>
    <row r="6301" hidden="1">
      <c r="A6301" s="1"/>
      <c r="B6301" s="1"/>
      <c r="C6301" s="1"/>
      <c r="D6301" s="1"/>
      <c r="E6301" s="1"/>
      <c r="F6301" s="1" t="str">
        <f t="shared" si="1"/>
        <v/>
      </c>
      <c r="G6301" s="1" t="str">
        <f t="shared" si="2"/>
        <v/>
      </c>
      <c r="H6301" s="1"/>
      <c r="I6301" s="1"/>
      <c r="J6301" s="1" t="str">
        <f t="shared" si="3"/>
        <v/>
      </c>
      <c r="K6301" s="1" t="str">
        <f t="shared" si="4"/>
        <v/>
      </c>
    </row>
    <row r="6302" hidden="1">
      <c r="A6302" s="1"/>
      <c r="B6302" s="1"/>
      <c r="C6302" s="1"/>
      <c r="D6302" s="1"/>
      <c r="E6302" s="1"/>
      <c r="F6302" s="1" t="str">
        <f t="shared" si="1"/>
        <v/>
      </c>
      <c r="G6302" s="1" t="str">
        <f t="shared" si="2"/>
        <v/>
      </c>
      <c r="H6302" s="1"/>
      <c r="I6302" s="1"/>
      <c r="J6302" s="1" t="str">
        <f t="shared" si="3"/>
        <v/>
      </c>
      <c r="K6302" s="1" t="str">
        <f t="shared" si="4"/>
        <v/>
      </c>
    </row>
    <row r="6303" hidden="1">
      <c r="A6303" s="1"/>
      <c r="B6303" s="1"/>
      <c r="C6303" s="1"/>
      <c r="D6303" s="1"/>
      <c r="E6303" s="1"/>
      <c r="F6303" s="1" t="str">
        <f t="shared" si="1"/>
        <v/>
      </c>
      <c r="G6303" s="1" t="str">
        <f t="shared" si="2"/>
        <v/>
      </c>
      <c r="H6303" s="1"/>
      <c r="I6303" s="1"/>
      <c r="J6303" s="1" t="str">
        <f t="shared" si="3"/>
        <v/>
      </c>
      <c r="K6303" s="1" t="str">
        <f t="shared" si="4"/>
        <v/>
      </c>
    </row>
    <row r="6304" hidden="1">
      <c r="A6304" s="1"/>
      <c r="B6304" s="1"/>
      <c r="C6304" s="1"/>
      <c r="D6304" s="1"/>
      <c r="E6304" s="1"/>
      <c r="F6304" s="1" t="str">
        <f t="shared" si="1"/>
        <v/>
      </c>
      <c r="G6304" s="1" t="str">
        <f t="shared" si="2"/>
        <v/>
      </c>
      <c r="H6304" s="1"/>
      <c r="I6304" s="1"/>
      <c r="J6304" s="1" t="str">
        <f t="shared" si="3"/>
        <v/>
      </c>
      <c r="K6304" s="1" t="str">
        <f t="shared" si="4"/>
        <v/>
      </c>
    </row>
    <row r="6305" hidden="1">
      <c r="A6305" s="1"/>
      <c r="B6305" s="1"/>
      <c r="C6305" s="1"/>
      <c r="D6305" s="1"/>
      <c r="E6305" s="1"/>
      <c r="F6305" s="1" t="str">
        <f t="shared" si="1"/>
        <v/>
      </c>
      <c r="G6305" s="1" t="str">
        <f t="shared" si="2"/>
        <v/>
      </c>
      <c r="H6305" s="1"/>
      <c r="I6305" s="1"/>
      <c r="J6305" s="1" t="str">
        <f t="shared" si="3"/>
        <v/>
      </c>
      <c r="K6305" s="1" t="str">
        <f t="shared" si="4"/>
        <v/>
      </c>
    </row>
    <row r="6306" hidden="1">
      <c r="A6306" s="1"/>
      <c r="B6306" s="1"/>
      <c r="C6306" s="1"/>
      <c r="D6306" s="1"/>
      <c r="E6306" s="1"/>
      <c r="F6306" s="1" t="str">
        <f t="shared" si="1"/>
        <v/>
      </c>
      <c r="G6306" s="1" t="str">
        <f t="shared" si="2"/>
        <v/>
      </c>
      <c r="H6306" s="1"/>
      <c r="I6306" s="1"/>
      <c r="J6306" s="1" t="str">
        <f t="shared" si="3"/>
        <v/>
      </c>
      <c r="K6306" s="1" t="str">
        <f t="shared" si="4"/>
        <v/>
      </c>
    </row>
    <row r="6307" hidden="1">
      <c r="A6307" s="1"/>
      <c r="B6307" s="1"/>
      <c r="C6307" s="1"/>
      <c r="D6307" s="1"/>
      <c r="E6307" s="1"/>
      <c r="F6307" s="1" t="str">
        <f t="shared" si="1"/>
        <v/>
      </c>
      <c r="G6307" s="1" t="str">
        <f t="shared" si="2"/>
        <v/>
      </c>
      <c r="H6307" s="1"/>
      <c r="I6307" s="1"/>
      <c r="J6307" s="1" t="str">
        <f t="shared" si="3"/>
        <v/>
      </c>
      <c r="K6307" s="1" t="str">
        <f t="shared" si="4"/>
        <v/>
      </c>
    </row>
    <row r="6308" hidden="1">
      <c r="A6308" s="1"/>
      <c r="B6308" s="1"/>
      <c r="C6308" s="1"/>
      <c r="D6308" s="1"/>
      <c r="E6308" s="1"/>
      <c r="F6308" s="1" t="str">
        <f t="shared" si="1"/>
        <v/>
      </c>
      <c r="G6308" s="1" t="str">
        <f t="shared" si="2"/>
        <v/>
      </c>
      <c r="H6308" s="1"/>
      <c r="I6308" s="1"/>
      <c r="J6308" s="1" t="str">
        <f t="shared" si="3"/>
        <v/>
      </c>
      <c r="K6308" s="1" t="str">
        <f t="shared" si="4"/>
        <v/>
      </c>
    </row>
    <row r="6309" hidden="1">
      <c r="A6309" s="1"/>
      <c r="B6309" s="1"/>
      <c r="C6309" s="1"/>
      <c r="D6309" s="1"/>
      <c r="E6309" s="1"/>
      <c r="F6309" s="1" t="str">
        <f t="shared" si="1"/>
        <v/>
      </c>
      <c r="G6309" s="1" t="str">
        <f t="shared" si="2"/>
        <v/>
      </c>
      <c r="H6309" s="1"/>
      <c r="I6309" s="1"/>
      <c r="J6309" s="1" t="str">
        <f t="shared" si="3"/>
        <v/>
      </c>
      <c r="K6309" s="1" t="str">
        <f t="shared" si="4"/>
        <v/>
      </c>
    </row>
    <row r="6310" hidden="1">
      <c r="A6310" s="1"/>
      <c r="B6310" s="1"/>
      <c r="C6310" s="1"/>
      <c r="D6310" s="1"/>
      <c r="E6310" s="1"/>
      <c r="F6310" s="1" t="str">
        <f t="shared" si="1"/>
        <v/>
      </c>
      <c r="G6310" s="1" t="str">
        <f t="shared" si="2"/>
        <v/>
      </c>
      <c r="H6310" s="1"/>
      <c r="I6310" s="1"/>
      <c r="J6310" s="1" t="str">
        <f t="shared" si="3"/>
        <v/>
      </c>
      <c r="K6310" s="1" t="str">
        <f t="shared" si="4"/>
        <v/>
      </c>
    </row>
    <row r="6311" hidden="1">
      <c r="A6311" s="1"/>
      <c r="B6311" s="1"/>
      <c r="C6311" s="1"/>
      <c r="D6311" s="1"/>
      <c r="E6311" s="1"/>
      <c r="F6311" s="1" t="str">
        <f t="shared" si="1"/>
        <v/>
      </c>
      <c r="G6311" s="1" t="str">
        <f t="shared" si="2"/>
        <v/>
      </c>
      <c r="H6311" s="1"/>
      <c r="I6311" s="1"/>
      <c r="J6311" s="1" t="str">
        <f t="shared" si="3"/>
        <v/>
      </c>
      <c r="K6311" s="1" t="str">
        <f t="shared" si="4"/>
        <v/>
      </c>
    </row>
    <row r="6312" hidden="1">
      <c r="A6312" s="1"/>
      <c r="B6312" s="1"/>
      <c r="C6312" s="1"/>
      <c r="D6312" s="1"/>
      <c r="E6312" s="1"/>
      <c r="F6312" s="1" t="str">
        <f t="shared" si="1"/>
        <v/>
      </c>
      <c r="G6312" s="1" t="str">
        <f t="shared" si="2"/>
        <v/>
      </c>
      <c r="H6312" s="1"/>
      <c r="I6312" s="1"/>
      <c r="J6312" s="1" t="str">
        <f t="shared" si="3"/>
        <v/>
      </c>
      <c r="K6312" s="1" t="str">
        <f t="shared" si="4"/>
        <v/>
      </c>
    </row>
    <row r="6313" hidden="1">
      <c r="A6313" s="1"/>
      <c r="B6313" s="1"/>
      <c r="C6313" s="1"/>
      <c r="D6313" s="1"/>
      <c r="E6313" s="1"/>
      <c r="F6313" s="1" t="str">
        <f t="shared" si="1"/>
        <v/>
      </c>
      <c r="G6313" s="1" t="str">
        <f t="shared" si="2"/>
        <v/>
      </c>
      <c r="H6313" s="1"/>
      <c r="I6313" s="1"/>
      <c r="J6313" s="1" t="str">
        <f t="shared" si="3"/>
        <v/>
      </c>
      <c r="K6313" s="1" t="str">
        <f t="shared" si="4"/>
        <v/>
      </c>
    </row>
    <row r="6314" hidden="1">
      <c r="A6314" s="1"/>
      <c r="B6314" s="1"/>
      <c r="C6314" s="1"/>
      <c r="D6314" s="1"/>
      <c r="E6314" s="1"/>
      <c r="F6314" s="1" t="str">
        <f t="shared" si="1"/>
        <v/>
      </c>
      <c r="G6314" s="1" t="str">
        <f t="shared" si="2"/>
        <v/>
      </c>
      <c r="H6314" s="1"/>
      <c r="I6314" s="1"/>
      <c r="J6314" s="1" t="str">
        <f t="shared" si="3"/>
        <v/>
      </c>
      <c r="K6314" s="1" t="str">
        <f t="shared" si="4"/>
        <v/>
      </c>
    </row>
    <row r="6315" hidden="1">
      <c r="A6315" s="1"/>
      <c r="B6315" s="1"/>
      <c r="C6315" s="1"/>
      <c r="D6315" s="1"/>
      <c r="E6315" s="1"/>
      <c r="F6315" s="1" t="str">
        <f t="shared" si="1"/>
        <v/>
      </c>
      <c r="G6315" s="1" t="str">
        <f t="shared" si="2"/>
        <v/>
      </c>
      <c r="H6315" s="1"/>
      <c r="I6315" s="1"/>
      <c r="J6315" s="1" t="str">
        <f t="shared" si="3"/>
        <v/>
      </c>
      <c r="K6315" s="1" t="str">
        <f t="shared" si="4"/>
        <v/>
      </c>
    </row>
    <row r="6316" hidden="1">
      <c r="A6316" s="1"/>
      <c r="B6316" s="1"/>
      <c r="C6316" s="1"/>
      <c r="D6316" s="1"/>
      <c r="E6316" s="1"/>
      <c r="F6316" s="1" t="str">
        <f t="shared" si="1"/>
        <v/>
      </c>
      <c r="G6316" s="1" t="str">
        <f t="shared" si="2"/>
        <v/>
      </c>
      <c r="H6316" s="1"/>
      <c r="I6316" s="1"/>
      <c r="J6316" s="1" t="str">
        <f t="shared" si="3"/>
        <v/>
      </c>
      <c r="K6316" s="1" t="str">
        <f t="shared" si="4"/>
        <v/>
      </c>
    </row>
    <row r="6317" hidden="1">
      <c r="A6317" s="1"/>
      <c r="B6317" s="1"/>
      <c r="C6317" s="1"/>
      <c r="D6317" s="1"/>
      <c r="E6317" s="1"/>
      <c r="F6317" s="1" t="str">
        <f t="shared" si="1"/>
        <v/>
      </c>
      <c r="G6317" s="1" t="str">
        <f t="shared" si="2"/>
        <v/>
      </c>
      <c r="H6317" s="1"/>
      <c r="I6317" s="1"/>
      <c r="J6317" s="1" t="str">
        <f t="shared" si="3"/>
        <v/>
      </c>
      <c r="K6317" s="1" t="str">
        <f t="shared" si="4"/>
        <v/>
      </c>
    </row>
    <row r="6318" hidden="1">
      <c r="A6318" s="1"/>
      <c r="B6318" s="1"/>
      <c r="C6318" s="1"/>
      <c r="D6318" s="1"/>
      <c r="E6318" s="1"/>
      <c r="F6318" s="1" t="str">
        <f t="shared" si="1"/>
        <v/>
      </c>
      <c r="G6318" s="1" t="str">
        <f t="shared" si="2"/>
        <v/>
      </c>
      <c r="H6318" s="1"/>
      <c r="I6318" s="1"/>
      <c r="J6318" s="1" t="str">
        <f t="shared" si="3"/>
        <v/>
      </c>
      <c r="K6318" s="1" t="str">
        <f t="shared" si="4"/>
        <v/>
      </c>
    </row>
    <row r="6319" hidden="1">
      <c r="A6319" s="1"/>
      <c r="B6319" s="1"/>
      <c r="C6319" s="1"/>
      <c r="D6319" s="1"/>
      <c r="E6319" s="1"/>
      <c r="F6319" s="1" t="str">
        <f t="shared" si="1"/>
        <v/>
      </c>
      <c r="G6319" s="1" t="str">
        <f t="shared" si="2"/>
        <v/>
      </c>
      <c r="H6319" s="1"/>
      <c r="I6319" s="1"/>
      <c r="J6319" s="1" t="str">
        <f t="shared" si="3"/>
        <v/>
      </c>
      <c r="K6319" s="1" t="str">
        <f t="shared" si="4"/>
        <v/>
      </c>
    </row>
    <row r="6320" hidden="1">
      <c r="A6320" s="1"/>
      <c r="B6320" s="1"/>
      <c r="C6320" s="1"/>
      <c r="D6320" s="1"/>
      <c r="E6320" s="1"/>
      <c r="F6320" s="1" t="str">
        <f t="shared" si="1"/>
        <v/>
      </c>
      <c r="G6320" s="1" t="str">
        <f t="shared" si="2"/>
        <v/>
      </c>
      <c r="H6320" s="1"/>
      <c r="I6320" s="1"/>
      <c r="J6320" s="1" t="str">
        <f t="shared" si="3"/>
        <v/>
      </c>
      <c r="K6320" s="1" t="str">
        <f t="shared" si="4"/>
        <v/>
      </c>
    </row>
    <row r="6321" hidden="1">
      <c r="A6321" s="1"/>
      <c r="B6321" s="1"/>
      <c r="C6321" s="1"/>
      <c r="D6321" s="1"/>
      <c r="E6321" s="1"/>
      <c r="F6321" s="1" t="str">
        <f t="shared" si="1"/>
        <v/>
      </c>
      <c r="G6321" s="1" t="str">
        <f t="shared" si="2"/>
        <v/>
      </c>
      <c r="H6321" s="1"/>
      <c r="I6321" s="1"/>
      <c r="J6321" s="1" t="str">
        <f t="shared" si="3"/>
        <v/>
      </c>
      <c r="K6321" s="1" t="str">
        <f t="shared" si="4"/>
        <v/>
      </c>
    </row>
    <row r="6322" hidden="1">
      <c r="A6322" s="1"/>
      <c r="B6322" s="1"/>
      <c r="C6322" s="1"/>
      <c r="D6322" s="1"/>
      <c r="E6322" s="1"/>
      <c r="F6322" s="1" t="str">
        <f t="shared" si="1"/>
        <v/>
      </c>
      <c r="G6322" s="1" t="str">
        <f t="shared" si="2"/>
        <v/>
      </c>
      <c r="H6322" s="1"/>
      <c r="I6322" s="1"/>
      <c r="J6322" s="1" t="str">
        <f t="shared" si="3"/>
        <v/>
      </c>
      <c r="K6322" s="1" t="str">
        <f t="shared" si="4"/>
        <v/>
      </c>
    </row>
    <row r="6323" hidden="1">
      <c r="A6323" s="1"/>
      <c r="B6323" s="1"/>
      <c r="C6323" s="1"/>
      <c r="D6323" s="1"/>
      <c r="E6323" s="1"/>
      <c r="F6323" s="1" t="str">
        <f t="shared" si="1"/>
        <v/>
      </c>
      <c r="G6323" s="1" t="str">
        <f t="shared" si="2"/>
        <v/>
      </c>
      <c r="H6323" s="1"/>
      <c r="I6323" s="1"/>
      <c r="J6323" s="1" t="str">
        <f t="shared" si="3"/>
        <v/>
      </c>
      <c r="K6323" s="1" t="str">
        <f t="shared" si="4"/>
        <v/>
      </c>
    </row>
    <row r="6324" hidden="1">
      <c r="A6324" s="1"/>
      <c r="B6324" s="1"/>
      <c r="C6324" s="1"/>
      <c r="D6324" s="1"/>
      <c r="E6324" s="1"/>
      <c r="F6324" s="1" t="str">
        <f t="shared" si="1"/>
        <v/>
      </c>
      <c r="G6324" s="1" t="str">
        <f t="shared" si="2"/>
        <v/>
      </c>
      <c r="H6324" s="1"/>
      <c r="I6324" s="1"/>
      <c r="J6324" s="1" t="str">
        <f t="shared" si="3"/>
        <v/>
      </c>
      <c r="K6324" s="1" t="str">
        <f t="shared" si="4"/>
        <v/>
      </c>
    </row>
    <row r="6325" hidden="1">
      <c r="A6325" s="1"/>
      <c r="B6325" s="1"/>
      <c r="C6325" s="1"/>
      <c r="D6325" s="1"/>
      <c r="E6325" s="1"/>
      <c r="F6325" s="1" t="str">
        <f t="shared" si="1"/>
        <v/>
      </c>
      <c r="G6325" s="1" t="str">
        <f t="shared" si="2"/>
        <v/>
      </c>
      <c r="H6325" s="1"/>
      <c r="I6325" s="1"/>
      <c r="J6325" s="1" t="str">
        <f t="shared" si="3"/>
        <v/>
      </c>
      <c r="K6325" s="1" t="str">
        <f t="shared" si="4"/>
        <v/>
      </c>
    </row>
    <row r="6326" hidden="1">
      <c r="A6326" s="1"/>
      <c r="B6326" s="1"/>
      <c r="C6326" s="1"/>
      <c r="D6326" s="1"/>
      <c r="E6326" s="1"/>
      <c r="F6326" s="1" t="str">
        <f t="shared" si="1"/>
        <v/>
      </c>
      <c r="G6326" s="1" t="str">
        <f t="shared" si="2"/>
        <v/>
      </c>
      <c r="H6326" s="1"/>
      <c r="I6326" s="1"/>
      <c r="J6326" s="1" t="str">
        <f t="shared" si="3"/>
        <v/>
      </c>
      <c r="K6326" s="1" t="str">
        <f t="shared" si="4"/>
        <v/>
      </c>
    </row>
    <row r="6327" hidden="1">
      <c r="A6327" s="1"/>
      <c r="B6327" s="1"/>
      <c r="C6327" s="1"/>
      <c r="D6327" s="1"/>
      <c r="E6327" s="1"/>
      <c r="F6327" s="1" t="str">
        <f t="shared" si="1"/>
        <v/>
      </c>
      <c r="G6327" s="1" t="str">
        <f t="shared" si="2"/>
        <v/>
      </c>
      <c r="H6327" s="1"/>
      <c r="I6327" s="1"/>
      <c r="J6327" s="1" t="str">
        <f t="shared" si="3"/>
        <v/>
      </c>
      <c r="K6327" s="1" t="str">
        <f t="shared" si="4"/>
        <v/>
      </c>
    </row>
    <row r="6328" hidden="1">
      <c r="A6328" s="1"/>
      <c r="B6328" s="1"/>
      <c r="C6328" s="1"/>
      <c r="D6328" s="1"/>
      <c r="E6328" s="1"/>
      <c r="F6328" s="1" t="str">
        <f t="shared" si="1"/>
        <v/>
      </c>
      <c r="G6328" s="1" t="str">
        <f t="shared" si="2"/>
        <v/>
      </c>
      <c r="H6328" s="1"/>
      <c r="I6328" s="1"/>
      <c r="J6328" s="1" t="str">
        <f t="shared" si="3"/>
        <v/>
      </c>
      <c r="K6328" s="1" t="str">
        <f t="shared" si="4"/>
        <v/>
      </c>
    </row>
    <row r="6329" hidden="1">
      <c r="A6329" s="1"/>
      <c r="B6329" s="1"/>
      <c r="C6329" s="1"/>
      <c r="D6329" s="1"/>
      <c r="E6329" s="1"/>
      <c r="F6329" s="1" t="str">
        <f t="shared" si="1"/>
        <v/>
      </c>
      <c r="G6329" s="1" t="str">
        <f t="shared" si="2"/>
        <v/>
      </c>
      <c r="H6329" s="1"/>
      <c r="I6329" s="1"/>
      <c r="J6329" s="1" t="str">
        <f t="shared" si="3"/>
        <v/>
      </c>
      <c r="K6329" s="1" t="str">
        <f t="shared" si="4"/>
        <v/>
      </c>
    </row>
    <row r="6330" hidden="1">
      <c r="A6330" s="1"/>
      <c r="B6330" s="1"/>
      <c r="C6330" s="1"/>
      <c r="D6330" s="1"/>
      <c r="E6330" s="1"/>
      <c r="F6330" s="1" t="str">
        <f t="shared" si="1"/>
        <v/>
      </c>
      <c r="G6330" s="1" t="str">
        <f t="shared" si="2"/>
        <v/>
      </c>
      <c r="H6330" s="1"/>
      <c r="I6330" s="1"/>
      <c r="J6330" s="1" t="str">
        <f t="shared" si="3"/>
        <v/>
      </c>
      <c r="K6330" s="1" t="str">
        <f t="shared" si="4"/>
        <v/>
      </c>
    </row>
    <row r="6331" hidden="1">
      <c r="A6331" s="1"/>
      <c r="B6331" s="1"/>
      <c r="C6331" s="1"/>
      <c r="D6331" s="1"/>
      <c r="E6331" s="1"/>
      <c r="F6331" s="1" t="str">
        <f t="shared" si="1"/>
        <v/>
      </c>
      <c r="G6331" s="1" t="str">
        <f t="shared" si="2"/>
        <v/>
      </c>
      <c r="H6331" s="1"/>
      <c r="I6331" s="1"/>
      <c r="J6331" s="1" t="str">
        <f t="shared" si="3"/>
        <v/>
      </c>
      <c r="K6331" s="1" t="str">
        <f t="shared" si="4"/>
        <v/>
      </c>
    </row>
    <row r="6332" hidden="1">
      <c r="A6332" s="1"/>
      <c r="B6332" s="1"/>
      <c r="C6332" s="1"/>
      <c r="D6332" s="1"/>
      <c r="E6332" s="1"/>
      <c r="F6332" s="1" t="str">
        <f t="shared" si="1"/>
        <v/>
      </c>
      <c r="G6332" s="1" t="str">
        <f t="shared" si="2"/>
        <v/>
      </c>
      <c r="H6332" s="1"/>
      <c r="I6332" s="1"/>
      <c r="J6332" s="1" t="str">
        <f t="shared" si="3"/>
        <v/>
      </c>
      <c r="K6332" s="1" t="str">
        <f t="shared" si="4"/>
        <v/>
      </c>
    </row>
    <row r="6333" hidden="1">
      <c r="A6333" s="1"/>
      <c r="B6333" s="1"/>
      <c r="C6333" s="1"/>
      <c r="D6333" s="1"/>
      <c r="E6333" s="1"/>
      <c r="F6333" s="1" t="str">
        <f t="shared" si="1"/>
        <v/>
      </c>
      <c r="G6333" s="1" t="str">
        <f t="shared" si="2"/>
        <v/>
      </c>
      <c r="H6333" s="1"/>
      <c r="I6333" s="1"/>
      <c r="J6333" s="1" t="str">
        <f t="shared" si="3"/>
        <v/>
      </c>
      <c r="K6333" s="1" t="str">
        <f t="shared" si="4"/>
        <v/>
      </c>
    </row>
    <row r="6334" hidden="1">
      <c r="A6334" s="1"/>
      <c r="B6334" s="1"/>
      <c r="C6334" s="1"/>
      <c r="D6334" s="1"/>
      <c r="E6334" s="1"/>
      <c r="F6334" s="1" t="str">
        <f t="shared" si="1"/>
        <v/>
      </c>
      <c r="G6334" s="1" t="str">
        <f t="shared" si="2"/>
        <v/>
      </c>
      <c r="H6334" s="1"/>
      <c r="I6334" s="1"/>
      <c r="J6334" s="1" t="str">
        <f t="shared" si="3"/>
        <v/>
      </c>
      <c r="K6334" s="1" t="str">
        <f t="shared" si="4"/>
        <v/>
      </c>
    </row>
    <row r="6335" hidden="1">
      <c r="A6335" s="1"/>
      <c r="B6335" s="1"/>
      <c r="C6335" s="1"/>
      <c r="D6335" s="1"/>
      <c r="E6335" s="1"/>
      <c r="F6335" s="1" t="str">
        <f t="shared" si="1"/>
        <v/>
      </c>
      <c r="G6335" s="1" t="str">
        <f t="shared" si="2"/>
        <v/>
      </c>
      <c r="H6335" s="1"/>
      <c r="I6335" s="1"/>
      <c r="J6335" s="1" t="str">
        <f t="shared" si="3"/>
        <v/>
      </c>
      <c r="K6335" s="1" t="str">
        <f t="shared" si="4"/>
        <v/>
      </c>
    </row>
    <row r="6336" hidden="1">
      <c r="A6336" s="1"/>
      <c r="B6336" s="1"/>
      <c r="C6336" s="1"/>
      <c r="D6336" s="1"/>
      <c r="E6336" s="1"/>
      <c r="F6336" s="1" t="str">
        <f t="shared" si="1"/>
        <v/>
      </c>
      <c r="G6336" s="1" t="str">
        <f t="shared" si="2"/>
        <v/>
      </c>
      <c r="H6336" s="1"/>
      <c r="I6336" s="1"/>
      <c r="J6336" s="1" t="str">
        <f t="shared" si="3"/>
        <v/>
      </c>
      <c r="K6336" s="1" t="str">
        <f t="shared" si="4"/>
        <v/>
      </c>
    </row>
    <row r="6337" hidden="1">
      <c r="A6337" s="1"/>
      <c r="B6337" s="1"/>
      <c r="C6337" s="1"/>
      <c r="D6337" s="1"/>
      <c r="E6337" s="1"/>
      <c r="F6337" s="1" t="str">
        <f t="shared" si="1"/>
        <v/>
      </c>
      <c r="G6337" s="1" t="str">
        <f t="shared" si="2"/>
        <v/>
      </c>
      <c r="H6337" s="1"/>
      <c r="I6337" s="1"/>
      <c r="J6337" s="1" t="str">
        <f t="shared" si="3"/>
        <v/>
      </c>
      <c r="K6337" s="1" t="str">
        <f t="shared" si="4"/>
        <v/>
      </c>
    </row>
    <row r="6338" hidden="1">
      <c r="A6338" s="1"/>
      <c r="B6338" s="1"/>
      <c r="C6338" s="1"/>
      <c r="D6338" s="1"/>
      <c r="E6338" s="1"/>
      <c r="F6338" s="1" t="str">
        <f t="shared" si="1"/>
        <v/>
      </c>
      <c r="G6338" s="1" t="str">
        <f t="shared" si="2"/>
        <v/>
      </c>
      <c r="H6338" s="1"/>
      <c r="I6338" s="1"/>
      <c r="J6338" s="1" t="str">
        <f t="shared" si="3"/>
        <v/>
      </c>
      <c r="K6338" s="1" t="str">
        <f t="shared" si="4"/>
        <v/>
      </c>
    </row>
    <row r="6339" hidden="1">
      <c r="A6339" s="1"/>
      <c r="B6339" s="1"/>
      <c r="C6339" s="1"/>
      <c r="D6339" s="1"/>
      <c r="E6339" s="1"/>
      <c r="F6339" s="1" t="str">
        <f t="shared" si="1"/>
        <v/>
      </c>
      <c r="G6339" s="1" t="str">
        <f t="shared" si="2"/>
        <v/>
      </c>
      <c r="H6339" s="1"/>
      <c r="I6339" s="1"/>
      <c r="J6339" s="1" t="str">
        <f t="shared" si="3"/>
        <v/>
      </c>
      <c r="K6339" s="1" t="str">
        <f t="shared" si="4"/>
        <v/>
      </c>
    </row>
    <row r="6340" hidden="1">
      <c r="A6340" s="1"/>
      <c r="B6340" s="1"/>
      <c r="C6340" s="1"/>
      <c r="D6340" s="1"/>
      <c r="E6340" s="1"/>
      <c r="F6340" s="1" t="str">
        <f t="shared" si="1"/>
        <v/>
      </c>
      <c r="G6340" s="1" t="str">
        <f t="shared" si="2"/>
        <v/>
      </c>
      <c r="H6340" s="1"/>
      <c r="I6340" s="1"/>
      <c r="J6340" s="1" t="str">
        <f t="shared" si="3"/>
        <v/>
      </c>
      <c r="K6340" s="1" t="str">
        <f t="shared" si="4"/>
        <v/>
      </c>
    </row>
    <row r="6341" hidden="1">
      <c r="A6341" s="1"/>
      <c r="B6341" s="1"/>
      <c r="C6341" s="1"/>
      <c r="D6341" s="1"/>
      <c r="E6341" s="1"/>
      <c r="F6341" s="1" t="str">
        <f t="shared" si="1"/>
        <v/>
      </c>
      <c r="G6341" s="1" t="str">
        <f t="shared" si="2"/>
        <v/>
      </c>
      <c r="H6341" s="1"/>
      <c r="I6341" s="1"/>
      <c r="J6341" s="1" t="str">
        <f t="shared" si="3"/>
        <v/>
      </c>
      <c r="K6341" s="1" t="str">
        <f t="shared" si="4"/>
        <v/>
      </c>
    </row>
    <row r="6342" hidden="1">
      <c r="A6342" s="1"/>
      <c r="B6342" s="1"/>
      <c r="C6342" s="1"/>
      <c r="D6342" s="1"/>
      <c r="E6342" s="1"/>
      <c r="F6342" s="1" t="str">
        <f t="shared" si="1"/>
        <v/>
      </c>
      <c r="G6342" s="1" t="str">
        <f t="shared" si="2"/>
        <v/>
      </c>
      <c r="H6342" s="1"/>
      <c r="I6342" s="1"/>
      <c r="J6342" s="1" t="str">
        <f t="shared" si="3"/>
        <v/>
      </c>
      <c r="K6342" s="1" t="str">
        <f t="shared" si="4"/>
        <v/>
      </c>
    </row>
    <row r="6343" hidden="1">
      <c r="A6343" s="1"/>
      <c r="B6343" s="1"/>
      <c r="C6343" s="1"/>
      <c r="D6343" s="1"/>
      <c r="E6343" s="1"/>
      <c r="F6343" s="1" t="str">
        <f t="shared" si="1"/>
        <v/>
      </c>
      <c r="G6343" s="1" t="str">
        <f t="shared" si="2"/>
        <v/>
      </c>
      <c r="H6343" s="1"/>
      <c r="I6343" s="1"/>
      <c r="J6343" s="1" t="str">
        <f t="shared" si="3"/>
        <v/>
      </c>
      <c r="K6343" s="1" t="str">
        <f t="shared" si="4"/>
        <v/>
      </c>
    </row>
    <row r="6344" hidden="1">
      <c r="A6344" s="1"/>
      <c r="B6344" s="1"/>
      <c r="C6344" s="1"/>
      <c r="D6344" s="1"/>
      <c r="E6344" s="1"/>
      <c r="F6344" s="1" t="str">
        <f t="shared" si="1"/>
        <v/>
      </c>
      <c r="G6344" s="1" t="str">
        <f t="shared" si="2"/>
        <v/>
      </c>
      <c r="H6344" s="1"/>
      <c r="I6344" s="1"/>
      <c r="J6344" s="1" t="str">
        <f t="shared" si="3"/>
        <v/>
      </c>
      <c r="K6344" s="1" t="str">
        <f t="shared" si="4"/>
        <v/>
      </c>
    </row>
    <row r="6345" hidden="1">
      <c r="A6345" s="1"/>
      <c r="B6345" s="1"/>
      <c r="C6345" s="1"/>
      <c r="D6345" s="1"/>
      <c r="E6345" s="1"/>
      <c r="F6345" s="1" t="str">
        <f t="shared" si="1"/>
        <v/>
      </c>
      <c r="G6345" s="1" t="str">
        <f t="shared" si="2"/>
        <v/>
      </c>
      <c r="H6345" s="1"/>
      <c r="I6345" s="1"/>
      <c r="J6345" s="1" t="str">
        <f t="shared" si="3"/>
        <v/>
      </c>
      <c r="K6345" s="1" t="str">
        <f t="shared" si="4"/>
        <v/>
      </c>
    </row>
    <row r="6346" hidden="1">
      <c r="A6346" s="1"/>
      <c r="B6346" s="1"/>
      <c r="C6346" s="1"/>
      <c r="D6346" s="1"/>
      <c r="E6346" s="1"/>
      <c r="F6346" s="1" t="str">
        <f t="shared" si="1"/>
        <v/>
      </c>
      <c r="G6346" s="1" t="str">
        <f t="shared" si="2"/>
        <v/>
      </c>
      <c r="H6346" s="1"/>
      <c r="I6346" s="1"/>
      <c r="J6346" s="1" t="str">
        <f t="shared" si="3"/>
        <v/>
      </c>
      <c r="K6346" s="1" t="str">
        <f t="shared" si="4"/>
        <v/>
      </c>
    </row>
    <row r="6347" hidden="1">
      <c r="A6347" s="1"/>
      <c r="B6347" s="1"/>
      <c r="C6347" s="1"/>
      <c r="D6347" s="1"/>
      <c r="E6347" s="1"/>
      <c r="F6347" s="1" t="str">
        <f t="shared" si="1"/>
        <v/>
      </c>
      <c r="G6347" s="1" t="str">
        <f t="shared" si="2"/>
        <v/>
      </c>
      <c r="H6347" s="1"/>
      <c r="I6347" s="1"/>
      <c r="J6347" s="1" t="str">
        <f t="shared" si="3"/>
        <v/>
      </c>
      <c r="K6347" s="1" t="str">
        <f t="shared" si="4"/>
        <v/>
      </c>
    </row>
    <row r="6348" hidden="1">
      <c r="A6348" s="1"/>
      <c r="B6348" s="1"/>
      <c r="C6348" s="1"/>
      <c r="D6348" s="1"/>
      <c r="E6348" s="1"/>
      <c r="F6348" s="1" t="str">
        <f t="shared" si="1"/>
        <v/>
      </c>
      <c r="G6348" s="1" t="str">
        <f t="shared" si="2"/>
        <v/>
      </c>
      <c r="H6348" s="1"/>
      <c r="I6348" s="1"/>
      <c r="J6348" s="1" t="str">
        <f t="shared" si="3"/>
        <v/>
      </c>
      <c r="K6348" s="1" t="str">
        <f t="shared" si="4"/>
        <v/>
      </c>
    </row>
    <row r="6349" hidden="1">
      <c r="A6349" s="1"/>
      <c r="B6349" s="1"/>
      <c r="C6349" s="1"/>
      <c r="D6349" s="1"/>
      <c r="E6349" s="1"/>
      <c r="F6349" s="1" t="str">
        <f t="shared" si="1"/>
        <v/>
      </c>
      <c r="G6349" s="1" t="str">
        <f t="shared" si="2"/>
        <v/>
      </c>
      <c r="H6349" s="1"/>
      <c r="I6349" s="1"/>
      <c r="J6349" s="1" t="str">
        <f t="shared" si="3"/>
        <v/>
      </c>
      <c r="K6349" s="1" t="str">
        <f t="shared" si="4"/>
        <v/>
      </c>
    </row>
    <row r="6350" hidden="1">
      <c r="A6350" s="1"/>
      <c r="B6350" s="1"/>
      <c r="C6350" s="1"/>
      <c r="D6350" s="1"/>
      <c r="E6350" s="1"/>
      <c r="F6350" s="1" t="str">
        <f t="shared" si="1"/>
        <v/>
      </c>
      <c r="G6350" s="1" t="str">
        <f t="shared" si="2"/>
        <v/>
      </c>
      <c r="H6350" s="1"/>
      <c r="I6350" s="1"/>
      <c r="J6350" s="1" t="str">
        <f t="shared" si="3"/>
        <v/>
      </c>
      <c r="K6350" s="1" t="str">
        <f t="shared" si="4"/>
        <v/>
      </c>
    </row>
    <row r="6351" hidden="1">
      <c r="A6351" s="1"/>
      <c r="B6351" s="1"/>
      <c r="C6351" s="1"/>
      <c r="D6351" s="1"/>
      <c r="E6351" s="1"/>
      <c r="F6351" s="1" t="str">
        <f t="shared" si="1"/>
        <v/>
      </c>
      <c r="G6351" s="1" t="str">
        <f t="shared" si="2"/>
        <v/>
      </c>
      <c r="H6351" s="1"/>
      <c r="I6351" s="1"/>
      <c r="J6351" s="1" t="str">
        <f t="shared" si="3"/>
        <v/>
      </c>
      <c r="K6351" s="1" t="str">
        <f t="shared" si="4"/>
        <v/>
      </c>
    </row>
    <row r="6352" hidden="1">
      <c r="A6352" s="1"/>
      <c r="B6352" s="1"/>
      <c r="C6352" s="1"/>
      <c r="D6352" s="1"/>
      <c r="E6352" s="1"/>
      <c r="F6352" s="1" t="str">
        <f t="shared" si="1"/>
        <v/>
      </c>
      <c r="G6352" s="1" t="str">
        <f t="shared" si="2"/>
        <v/>
      </c>
      <c r="H6352" s="1"/>
      <c r="I6352" s="1"/>
      <c r="J6352" s="1" t="str">
        <f t="shared" si="3"/>
        <v/>
      </c>
      <c r="K6352" s="1" t="str">
        <f t="shared" si="4"/>
        <v/>
      </c>
    </row>
    <row r="6353" hidden="1">
      <c r="A6353" s="1"/>
      <c r="B6353" s="1"/>
      <c r="C6353" s="1"/>
      <c r="D6353" s="1"/>
      <c r="E6353" s="1"/>
      <c r="F6353" s="1" t="str">
        <f t="shared" si="1"/>
        <v/>
      </c>
      <c r="G6353" s="1" t="str">
        <f t="shared" si="2"/>
        <v/>
      </c>
      <c r="H6353" s="1"/>
      <c r="I6353" s="1"/>
      <c r="J6353" s="1" t="str">
        <f t="shared" si="3"/>
        <v/>
      </c>
      <c r="K6353" s="1" t="str">
        <f t="shared" si="4"/>
        <v/>
      </c>
    </row>
    <row r="6354" hidden="1">
      <c r="A6354" s="1"/>
      <c r="B6354" s="1"/>
      <c r="C6354" s="1"/>
      <c r="D6354" s="1"/>
      <c r="E6354" s="1"/>
      <c r="F6354" s="1" t="str">
        <f t="shared" si="1"/>
        <v/>
      </c>
      <c r="G6354" s="1" t="str">
        <f t="shared" si="2"/>
        <v/>
      </c>
      <c r="H6354" s="1"/>
      <c r="I6354" s="1"/>
      <c r="J6354" s="1" t="str">
        <f t="shared" si="3"/>
        <v/>
      </c>
      <c r="K6354" s="1" t="str">
        <f t="shared" si="4"/>
        <v/>
      </c>
    </row>
    <row r="6355" hidden="1">
      <c r="A6355" s="1"/>
      <c r="B6355" s="1"/>
      <c r="C6355" s="1"/>
      <c r="D6355" s="1"/>
      <c r="E6355" s="1"/>
      <c r="F6355" s="1" t="str">
        <f t="shared" si="1"/>
        <v/>
      </c>
      <c r="G6355" s="1" t="str">
        <f t="shared" si="2"/>
        <v/>
      </c>
      <c r="H6355" s="1"/>
      <c r="I6355" s="1"/>
      <c r="J6355" s="1" t="str">
        <f t="shared" si="3"/>
        <v/>
      </c>
      <c r="K6355" s="1" t="str">
        <f t="shared" si="4"/>
        <v/>
      </c>
    </row>
    <row r="6356" hidden="1">
      <c r="A6356" s="1"/>
      <c r="B6356" s="1"/>
      <c r="C6356" s="1"/>
      <c r="D6356" s="1"/>
      <c r="E6356" s="1"/>
      <c r="F6356" s="1" t="str">
        <f t="shared" si="1"/>
        <v/>
      </c>
      <c r="G6356" s="1" t="str">
        <f t="shared" si="2"/>
        <v/>
      </c>
      <c r="H6356" s="1"/>
      <c r="I6356" s="1"/>
      <c r="J6356" s="1" t="str">
        <f t="shared" si="3"/>
        <v/>
      </c>
      <c r="K6356" s="1" t="str">
        <f t="shared" si="4"/>
        <v/>
      </c>
    </row>
    <row r="6357" hidden="1">
      <c r="A6357" s="1"/>
      <c r="B6357" s="1"/>
      <c r="C6357" s="1"/>
      <c r="D6357" s="1"/>
      <c r="E6357" s="1"/>
      <c r="F6357" s="1" t="str">
        <f t="shared" si="1"/>
        <v/>
      </c>
      <c r="G6357" s="1" t="str">
        <f t="shared" si="2"/>
        <v/>
      </c>
      <c r="H6357" s="1"/>
      <c r="I6357" s="1"/>
      <c r="J6357" s="1" t="str">
        <f t="shared" si="3"/>
        <v/>
      </c>
      <c r="K6357" s="1" t="str">
        <f t="shared" si="4"/>
        <v/>
      </c>
    </row>
    <row r="6358" hidden="1">
      <c r="A6358" s="1"/>
      <c r="B6358" s="1"/>
      <c r="C6358" s="1"/>
      <c r="D6358" s="1"/>
      <c r="E6358" s="1"/>
      <c r="F6358" s="1" t="str">
        <f t="shared" si="1"/>
        <v/>
      </c>
      <c r="G6358" s="1" t="str">
        <f t="shared" si="2"/>
        <v/>
      </c>
      <c r="H6358" s="1"/>
      <c r="I6358" s="1"/>
      <c r="J6358" s="1" t="str">
        <f t="shared" si="3"/>
        <v/>
      </c>
      <c r="K6358" s="1" t="str">
        <f t="shared" si="4"/>
        <v/>
      </c>
    </row>
    <row r="6359" hidden="1">
      <c r="A6359" s="1"/>
      <c r="B6359" s="1"/>
      <c r="C6359" s="1"/>
      <c r="D6359" s="1"/>
      <c r="E6359" s="1"/>
      <c r="F6359" s="1" t="str">
        <f t="shared" si="1"/>
        <v/>
      </c>
      <c r="G6359" s="1" t="str">
        <f t="shared" si="2"/>
        <v/>
      </c>
      <c r="H6359" s="1"/>
      <c r="I6359" s="1"/>
      <c r="J6359" s="1" t="str">
        <f t="shared" si="3"/>
        <v/>
      </c>
      <c r="K6359" s="1" t="str">
        <f t="shared" si="4"/>
        <v/>
      </c>
    </row>
    <row r="6360" hidden="1">
      <c r="A6360" s="1"/>
      <c r="B6360" s="1"/>
      <c r="C6360" s="1"/>
      <c r="D6360" s="1"/>
      <c r="E6360" s="1"/>
      <c r="F6360" s="1" t="str">
        <f t="shared" si="1"/>
        <v/>
      </c>
      <c r="G6360" s="1" t="str">
        <f t="shared" si="2"/>
        <v/>
      </c>
      <c r="H6360" s="1"/>
      <c r="I6360" s="1"/>
      <c r="J6360" s="1" t="str">
        <f t="shared" si="3"/>
        <v/>
      </c>
      <c r="K6360" s="1" t="str">
        <f t="shared" si="4"/>
        <v/>
      </c>
    </row>
    <row r="6361" hidden="1">
      <c r="A6361" s="1"/>
      <c r="B6361" s="1"/>
      <c r="C6361" s="1"/>
      <c r="D6361" s="1"/>
      <c r="E6361" s="1"/>
      <c r="F6361" s="1" t="str">
        <f t="shared" si="1"/>
        <v/>
      </c>
      <c r="G6361" s="1" t="str">
        <f t="shared" si="2"/>
        <v/>
      </c>
      <c r="H6361" s="1"/>
      <c r="I6361" s="1"/>
      <c r="J6361" s="1" t="str">
        <f t="shared" si="3"/>
        <v/>
      </c>
      <c r="K6361" s="1" t="str">
        <f t="shared" si="4"/>
        <v/>
      </c>
    </row>
    <row r="6362" hidden="1">
      <c r="A6362" s="1"/>
      <c r="B6362" s="1"/>
      <c r="C6362" s="1"/>
      <c r="D6362" s="1"/>
      <c r="E6362" s="1"/>
      <c r="F6362" s="1" t="str">
        <f t="shared" si="1"/>
        <v/>
      </c>
      <c r="G6362" s="1" t="str">
        <f t="shared" si="2"/>
        <v/>
      </c>
      <c r="H6362" s="1"/>
      <c r="I6362" s="1"/>
      <c r="J6362" s="1" t="str">
        <f t="shared" si="3"/>
        <v/>
      </c>
      <c r="K6362" s="1" t="str">
        <f t="shared" si="4"/>
        <v/>
      </c>
    </row>
    <row r="6363" hidden="1">
      <c r="A6363" s="1"/>
      <c r="B6363" s="1"/>
      <c r="C6363" s="1"/>
      <c r="D6363" s="1"/>
      <c r="E6363" s="1"/>
      <c r="F6363" s="1" t="str">
        <f t="shared" si="1"/>
        <v/>
      </c>
      <c r="G6363" s="1" t="str">
        <f t="shared" si="2"/>
        <v/>
      </c>
      <c r="H6363" s="1"/>
      <c r="I6363" s="1"/>
      <c r="J6363" s="1" t="str">
        <f t="shared" si="3"/>
        <v/>
      </c>
      <c r="K6363" s="1" t="str">
        <f t="shared" si="4"/>
        <v/>
      </c>
    </row>
    <row r="6364" hidden="1">
      <c r="A6364" s="1"/>
      <c r="B6364" s="1"/>
      <c r="C6364" s="1"/>
      <c r="D6364" s="1"/>
      <c r="E6364" s="1"/>
      <c r="F6364" s="1" t="str">
        <f t="shared" si="1"/>
        <v/>
      </c>
      <c r="G6364" s="1" t="str">
        <f t="shared" si="2"/>
        <v/>
      </c>
      <c r="H6364" s="1"/>
      <c r="I6364" s="1"/>
      <c r="J6364" s="1" t="str">
        <f t="shared" si="3"/>
        <v/>
      </c>
      <c r="K6364" s="1" t="str">
        <f t="shared" si="4"/>
        <v/>
      </c>
    </row>
    <row r="6365" hidden="1">
      <c r="A6365" s="1"/>
      <c r="B6365" s="1"/>
      <c r="C6365" s="1"/>
      <c r="D6365" s="1"/>
      <c r="E6365" s="1"/>
      <c r="F6365" s="1" t="str">
        <f t="shared" si="1"/>
        <v/>
      </c>
      <c r="G6365" s="1" t="str">
        <f t="shared" si="2"/>
        <v/>
      </c>
      <c r="H6365" s="1"/>
      <c r="I6365" s="1"/>
      <c r="J6365" s="1" t="str">
        <f t="shared" si="3"/>
        <v/>
      </c>
      <c r="K6365" s="1" t="str">
        <f t="shared" si="4"/>
        <v/>
      </c>
    </row>
    <row r="6366" hidden="1">
      <c r="A6366" s="1"/>
      <c r="B6366" s="1"/>
      <c r="C6366" s="1"/>
      <c r="D6366" s="1"/>
      <c r="E6366" s="1"/>
      <c r="F6366" s="1" t="str">
        <f t="shared" si="1"/>
        <v/>
      </c>
      <c r="G6366" s="1" t="str">
        <f t="shared" si="2"/>
        <v/>
      </c>
      <c r="H6366" s="1"/>
      <c r="I6366" s="1"/>
      <c r="J6366" s="1" t="str">
        <f t="shared" si="3"/>
        <v/>
      </c>
      <c r="K6366" s="1" t="str">
        <f t="shared" si="4"/>
        <v/>
      </c>
    </row>
    <row r="6367" hidden="1">
      <c r="A6367" s="1"/>
      <c r="B6367" s="1"/>
      <c r="C6367" s="1"/>
      <c r="D6367" s="1"/>
      <c r="E6367" s="1"/>
      <c r="F6367" s="1" t="str">
        <f t="shared" si="1"/>
        <v/>
      </c>
      <c r="G6367" s="1" t="str">
        <f t="shared" si="2"/>
        <v/>
      </c>
      <c r="H6367" s="1"/>
      <c r="I6367" s="1"/>
      <c r="J6367" s="1" t="str">
        <f t="shared" si="3"/>
        <v/>
      </c>
      <c r="K6367" s="1" t="str">
        <f t="shared" si="4"/>
        <v/>
      </c>
    </row>
    <row r="6368" hidden="1">
      <c r="A6368" s="1"/>
      <c r="B6368" s="1"/>
      <c r="C6368" s="1"/>
      <c r="D6368" s="1"/>
      <c r="E6368" s="1"/>
      <c r="F6368" s="1" t="str">
        <f t="shared" si="1"/>
        <v/>
      </c>
      <c r="G6368" s="1" t="str">
        <f t="shared" si="2"/>
        <v/>
      </c>
      <c r="H6368" s="1"/>
      <c r="I6368" s="1"/>
      <c r="J6368" s="1" t="str">
        <f t="shared" si="3"/>
        <v/>
      </c>
      <c r="K6368" s="1" t="str">
        <f t="shared" si="4"/>
        <v/>
      </c>
    </row>
    <row r="6369" hidden="1">
      <c r="A6369" s="1"/>
      <c r="B6369" s="1"/>
      <c r="C6369" s="1"/>
      <c r="D6369" s="1"/>
      <c r="E6369" s="1"/>
      <c r="F6369" s="1" t="str">
        <f t="shared" si="1"/>
        <v/>
      </c>
      <c r="G6369" s="1" t="str">
        <f t="shared" si="2"/>
        <v/>
      </c>
      <c r="H6369" s="1"/>
      <c r="I6369" s="1"/>
      <c r="J6369" s="1" t="str">
        <f t="shared" si="3"/>
        <v/>
      </c>
      <c r="K6369" s="1" t="str">
        <f t="shared" si="4"/>
        <v/>
      </c>
    </row>
    <row r="6370" hidden="1">
      <c r="A6370" s="1"/>
      <c r="B6370" s="1"/>
      <c r="C6370" s="1"/>
      <c r="D6370" s="1"/>
      <c r="E6370" s="1"/>
      <c r="F6370" s="1" t="str">
        <f t="shared" si="1"/>
        <v/>
      </c>
      <c r="G6370" s="1" t="str">
        <f t="shared" si="2"/>
        <v/>
      </c>
      <c r="H6370" s="1"/>
      <c r="I6370" s="1"/>
      <c r="J6370" s="1" t="str">
        <f t="shared" si="3"/>
        <v/>
      </c>
      <c r="K6370" s="1" t="str">
        <f t="shared" si="4"/>
        <v/>
      </c>
    </row>
    <row r="6371" hidden="1">
      <c r="A6371" s="1"/>
      <c r="B6371" s="1"/>
      <c r="C6371" s="1"/>
      <c r="D6371" s="1"/>
      <c r="E6371" s="1"/>
      <c r="F6371" s="1" t="str">
        <f t="shared" si="1"/>
        <v/>
      </c>
      <c r="G6371" s="1" t="str">
        <f t="shared" si="2"/>
        <v/>
      </c>
      <c r="H6371" s="1"/>
      <c r="I6371" s="1"/>
      <c r="J6371" s="1" t="str">
        <f t="shared" si="3"/>
        <v/>
      </c>
      <c r="K6371" s="1" t="str">
        <f t="shared" si="4"/>
        <v/>
      </c>
    </row>
    <row r="6372" hidden="1">
      <c r="A6372" s="1"/>
      <c r="B6372" s="1"/>
      <c r="C6372" s="1"/>
      <c r="D6372" s="1"/>
      <c r="E6372" s="1"/>
      <c r="F6372" s="1" t="str">
        <f t="shared" si="1"/>
        <v/>
      </c>
      <c r="G6372" s="1" t="str">
        <f t="shared" si="2"/>
        <v/>
      </c>
      <c r="H6372" s="1"/>
      <c r="I6372" s="1"/>
      <c r="J6372" s="1" t="str">
        <f t="shared" si="3"/>
        <v/>
      </c>
      <c r="K6372" s="1" t="str">
        <f t="shared" si="4"/>
        <v/>
      </c>
    </row>
    <row r="6373" hidden="1">
      <c r="A6373" s="1"/>
      <c r="B6373" s="1"/>
      <c r="C6373" s="1"/>
      <c r="D6373" s="1"/>
      <c r="E6373" s="1"/>
      <c r="F6373" s="1" t="str">
        <f t="shared" si="1"/>
        <v/>
      </c>
      <c r="G6373" s="1" t="str">
        <f t="shared" si="2"/>
        <v/>
      </c>
      <c r="H6373" s="1"/>
      <c r="I6373" s="1"/>
      <c r="J6373" s="1" t="str">
        <f t="shared" si="3"/>
        <v/>
      </c>
      <c r="K6373" s="1" t="str">
        <f t="shared" si="4"/>
        <v/>
      </c>
    </row>
    <row r="6374" hidden="1">
      <c r="A6374" s="1"/>
      <c r="B6374" s="1"/>
      <c r="C6374" s="1"/>
      <c r="D6374" s="1"/>
      <c r="E6374" s="1"/>
      <c r="F6374" s="1" t="str">
        <f t="shared" si="1"/>
        <v/>
      </c>
      <c r="G6374" s="1" t="str">
        <f t="shared" si="2"/>
        <v/>
      </c>
      <c r="H6374" s="1"/>
      <c r="I6374" s="1"/>
      <c r="J6374" s="1" t="str">
        <f t="shared" si="3"/>
        <v/>
      </c>
      <c r="K6374" s="1" t="str">
        <f t="shared" si="4"/>
        <v/>
      </c>
    </row>
    <row r="6375" hidden="1">
      <c r="A6375" s="1"/>
      <c r="B6375" s="1"/>
      <c r="C6375" s="1"/>
      <c r="D6375" s="1"/>
      <c r="E6375" s="1"/>
      <c r="F6375" s="1" t="str">
        <f t="shared" si="1"/>
        <v/>
      </c>
      <c r="G6375" s="1" t="str">
        <f t="shared" si="2"/>
        <v/>
      </c>
      <c r="H6375" s="1"/>
      <c r="I6375" s="1"/>
      <c r="J6375" s="1" t="str">
        <f t="shared" si="3"/>
        <v/>
      </c>
      <c r="K6375" s="1" t="str">
        <f t="shared" si="4"/>
        <v/>
      </c>
    </row>
    <row r="6376" hidden="1">
      <c r="A6376" s="1"/>
      <c r="B6376" s="1"/>
      <c r="C6376" s="1"/>
      <c r="D6376" s="1"/>
      <c r="E6376" s="1"/>
      <c r="F6376" s="1" t="str">
        <f t="shared" si="1"/>
        <v/>
      </c>
      <c r="G6376" s="1" t="str">
        <f t="shared" si="2"/>
        <v/>
      </c>
      <c r="H6376" s="1"/>
      <c r="I6376" s="1"/>
      <c r="J6376" s="1" t="str">
        <f t="shared" si="3"/>
        <v/>
      </c>
      <c r="K6376" s="1" t="str">
        <f t="shared" si="4"/>
        <v/>
      </c>
    </row>
    <row r="6377" hidden="1">
      <c r="A6377" s="1"/>
      <c r="B6377" s="1"/>
      <c r="C6377" s="1"/>
      <c r="D6377" s="1"/>
      <c r="E6377" s="1"/>
      <c r="F6377" s="1" t="str">
        <f t="shared" si="1"/>
        <v/>
      </c>
      <c r="G6377" s="1" t="str">
        <f t="shared" si="2"/>
        <v/>
      </c>
      <c r="H6377" s="1"/>
      <c r="I6377" s="1"/>
      <c r="J6377" s="1" t="str">
        <f t="shared" si="3"/>
        <v/>
      </c>
      <c r="K6377" s="1" t="str">
        <f t="shared" si="4"/>
        <v/>
      </c>
    </row>
    <row r="6378" hidden="1">
      <c r="A6378" s="1"/>
      <c r="B6378" s="1"/>
      <c r="C6378" s="1"/>
      <c r="D6378" s="1"/>
      <c r="E6378" s="1"/>
      <c r="F6378" s="1" t="str">
        <f t="shared" si="1"/>
        <v/>
      </c>
      <c r="G6378" s="1" t="str">
        <f t="shared" si="2"/>
        <v/>
      </c>
      <c r="H6378" s="1"/>
      <c r="I6378" s="1"/>
      <c r="J6378" s="1" t="str">
        <f t="shared" si="3"/>
        <v/>
      </c>
      <c r="K6378" s="1" t="str">
        <f t="shared" si="4"/>
        <v/>
      </c>
    </row>
    <row r="6379" hidden="1">
      <c r="A6379" s="1"/>
      <c r="B6379" s="1"/>
      <c r="C6379" s="1"/>
      <c r="D6379" s="1"/>
      <c r="E6379" s="1"/>
      <c r="F6379" s="1" t="str">
        <f t="shared" si="1"/>
        <v/>
      </c>
      <c r="G6379" s="1" t="str">
        <f t="shared" si="2"/>
        <v/>
      </c>
      <c r="H6379" s="1"/>
      <c r="I6379" s="1"/>
      <c r="J6379" s="1" t="str">
        <f t="shared" si="3"/>
        <v/>
      </c>
      <c r="K6379" s="1" t="str">
        <f t="shared" si="4"/>
        <v/>
      </c>
    </row>
    <row r="6380" hidden="1">
      <c r="A6380" s="1"/>
      <c r="B6380" s="1"/>
      <c r="C6380" s="1"/>
      <c r="D6380" s="1"/>
      <c r="E6380" s="1"/>
      <c r="F6380" s="1" t="str">
        <f t="shared" si="1"/>
        <v/>
      </c>
      <c r="G6380" s="1" t="str">
        <f t="shared" si="2"/>
        <v/>
      </c>
      <c r="H6380" s="1"/>
      <c r="I6380" s="1"/>
      <c r="J6380" s="1" t="str">
        <f t="shared" si="3"/>
        <v/>
      </c>
      <c r="K6380" s="1" t="str">
        <f t="shared" si="4"/>
        <v/>
      </c>
    </row>
    <row r="6381" hidden="1">
      <c r="A6381" s="1"/>
      <c r="B6381" s="1"/>
      <c r="C6381" s="1"/>
      <c r="D6381" s="1"/>
      <c r="E6381" s="1"/>
      <c r="F6381" s="1" t="str">
        <f t="shared" si="1"/>
        <v/>
      </c>
      <c r="G6381" s="1" t="str">
        <f t="shared" si="2"/>
        <v/>
      </c>
      <c r="H6381" s="1"/>
      <c r="I6381" s="1"/>
      <c r="J6381" s="1" t="str">
        <f t="shared" si="3"/>
        <v/>
      </c>
      <c r="K6381" s="1" t="str">
        <f t="shared" si="4"/>
        <v/>
      </c>
    </row>
    <row r="6382" hidden="1">
      <c r="A6382" s="1"/>
      <c r="B6382" s="1"/>
      <c r="C6382" s="1"/>
      <c r="D6382" s="1"/>
      <c r="E6382" s="1"/>
      <c r="F6382" s="1" t="str">
        <f t="shared" si="1"/>
        <v/>
      </c>
      <c r="G6382" s="1" t="str">
        <f t="shared" si="2"/>
        <v/>
      </c>
      <c r="H6382" s="1"/>
      <c r="I6382" s="1"/>
      <c r="J6382" s="1" t="str">
        <f t="shared" si="3"/>
        <v/>
      </c>
      <c r="K6382" s="1" t="str">
        <f t="shared" si="4"/>
        <v/>
      </c>
    </row>
    <row r="6383" hidden="1">
      <c r="A6383" s="1"/>
      <c r="B6383" s="1"/>
      <c r="C6383" s="1"/>
      <c r="D6383" s="1"/>
      <c r="E6383" s="1"/>
      <c r="F6383" s="1" t="str">
        <f t="shared" si="1"/>
        <v/>
      </c>
      <c r="G6383" s="1" t="str">
        <f t="shared" si="2"/>
        <v/>
      </c>
      <c r="H6383" s="1"/>
      <c r="I6383" s="1"/>
      <c r="J6383" s="1" t="str">
        <f t="shared" si="3"/>
        <v/>
      </c>
      <c r="K6383" s="1" t="str">
        <f t="shared" si="4"/>
        <v/>
      </c>
    </row>
    <row r="6384" hidden="1">
      <c r="A6384" s="1"/>
      <c r="B6384" s="1"/>
      <c r="C6384" s="1"/>
      <c r="D6384" s="1"/>
      <c r="E6384" s="1"/>
      <c r="F6384" s="1" t="str">
        <f t="shared" si="1"/>
        <v/>
      </c>
      <c r="G6384" s="1" t="str">
        <f t="shared" si="2"/>
        <v/>
      </c>
      <c r="H6384" s="1"/>
      <c r="I6384" s="1"/>
      <c r="J6384" s="1" t="str">
        <f t="shared" si="3"/>
        <v/>
      </c>
      <c r="K6384" s="1" t="str">
        <f t="shared" si="4"/>
        <v/>
      </c>
    </row>
    <row r="6385" hidden="1">
      <c r="A6385" s="1"/>
      <c r="B6385" s="1"/>
      <c r="C6385" s="1"/>
      <c r="D6385" s="1"/>
      <c r="E6385" s="1"/>
      <c r="F6385" s="1" t="str">
        <f t="shared" si="1"/>
        <v/>
      </c>
      <c r="G6385" s="1" t="str">
        <f t="shared" si="2"/>
        <v/>
      </c>
      <c r="H6385" s="1"/>
      <c r="I6385" s="1"/>
      <c r="J6385" s="1" t="str">
        <f t="shared" si="3"/>
        <v/>
      </c>
      <c r="K6385" s="1" t="str">
        <f t="shared" si="4"/>
        <v/>
      </c>
    </row>
    <row r="6386" hidden="1">
      <c r="A6386" s="1"/>
      <c r="B6386" s="1"/>
      <c r="C6386" s="1"/>
      <c r="D6386" s="1"/>
      <c r="E6386" s="1"/>
      <c r="F6386" s="1" t="str">
        <f t="shared" si="1"/>
        <v/>
      </c>
      <c r="G6386" s="1" t="str">
        <f t="shared" si="2"/>
        <v/>
      </c>
      <c r="H6386" s="1"/>
      <c r="I6386" s="1"/>
      <c r="J6386" s="1" t="str">
        <f t="shared" si="3"/>
        <v/>
      </c>
      <c r="K6386" s="1" t="str">
        <f t="shared" si="4"/>
        <v/>
      </c>
    </row>
    <row r="6387" hidden="1">
      <c r="A6387" s="1"/>
      <c r="B6387" s="1"/>
      <c r="C6387" s="1"/>
      <c r="D6387" s="1"/>
      <c r="E6387" s="1"/>
      <c r="F6387" s="1" t="str">
        <f t="shared" si="1"/>
        <v/>
      </c>
      <c r="G6387" s="1" t="str">
        <f t="shared" si="2"/>
        <v/>
      </c>
      <c r="H6387" s="1"/>
      <c r="I6387" s="1"/>
      <c r="J6387" s="1" t="str">
        <f t="shared" si="3"/>
        <v/>
      </c>
      <c r="K6387" s="1" t="str">
        <f t="shared" si="4"/>
        <v/>
      </c>
    </row>
    <row r="6388" hidden="1">
      <c r="A6388" s="1"/>
      <c r="B6388" s="1"/>
      <c r="C6388" s="1"/>
      <c r="D6388" s="1"/>
      <c r="E6388" s="1"/>
      <c r="F6388" s="1" t="str">
        <f t="shared" si="1"/>
        <v/>
      </c>
      <c r="G6388" s="1" t="str">
        <f t="shared" si="2"/>
        <v/>
      </c>
      <c r="H6388" s="1"/>
      <c r="I6388" s="1"/>
      <c r="J6388" s="1" t="str">
        <f t="shared" si="3"/>
        <v/>
      </c>
      <c r="K6388" s="1" t="str">
        <f t="shared" si="4"/>
        <v/>
      </c>
    </row>
    <row r="6389" hidden="1">
      <c r="A6389" s="1"/>
      <c r="B6389" s="1"/>
      <c r="C6389" s="1"/>
      <c r="D6389" s="1"/>
      <c r="E6389" s="1"/>
      <c r="F6389" s="1" t="str">
        <f t="shared" si="1"/>
        <v/>
      </c>
      <c r="G6389" s="1" t="str">
        <f t="shared" si="2"/>
        <v/>
      </c>
      <c r="H6389" s="1"/>
      <c r="I6389" s="1"/>
      <c r="J6389" s="1" t="str">
        <f t="shared" si="3"/>
        <v/>
      </c>
      <c r="K6389" s="1" t="str">
        <f t="shared" si="4"/>
        <v/>
      </c>
    </row>
    <row r="6390" hidden="1">
      <c r="A6390" s="1"/>
      <c r="B6390" s="1"/>
      <c r="C6390" s="1"/>
      <c r="D6390" s="1"/>
      <c r="E6390" s="1"/>
      <c r="F6390" s="1" t="str">
        <f t="shared" si="1"/>
        <v/>
      </c>
      <c r="G6390" s="1" t="str">
        <f t="shared" si="2"/>
        <v/>
      </c>
      <c r="H6390" s="1"/>
      <c r="I6390" s="1"/>
      <c r="J6390" s="1" t="str">
        <f t="shared" si="3"/>
        <v/>
      </c>
      <c r="K6390" s="1" t="str">
        <f t="shared" si="4"/>
        <v/>
      </c>
    </row>
    <row r="6391" hidden="1">
      <c r="A6391" s="1"/>
      <c r="B6391" s="1"/>
      <c r="C6391" s="1"/>
      <c r="D6391" s="1"/>
      <c r="E6391" s="1"/>
      <c r="F6391" s="1" t="str">
        <f t="shared" si="1"/>
        <v/>
      </c>
      <c r="G6391" s="1" t="str">
        <f t="shared" si="2"/>
        <v/>
      </c>
      <c r="H6391" s="1"/>
      <c r="I6391" s="1"/>
      <c r="J6391" s="1" t="str">
        <f t="shared" si="3"/>
        <v/>
      </c>
      <c r="K6391" s="1" t="str">
        <f t="shared" si="4"/>
        <v/>
      </c>
    </row>
    <row r="6392" hidden="1">
      <c r="A6392" s="1"/>
      <c r="B6392" s="1"/>
      <c r="C6392" s="1"/>
      <c r="D6392" s="1"/>
      <c r="E6392" s="1"/>
      <c r="F6392" s="1" t="str">
        <f t="shared" si="1"/>
        <v/>
      </c>
      <c r="G6392" s="1" t="str">
        <f t="shared" si="2"/>
        <v/>
      </c>
      <c r="H6392" s="1"/>
      <c r="I6392" s="1"/>
      <c r="J6392" s="1" t="str">
        <f t="shared" si="3"/>
        <v/>
      </c>
      <c r="K6392" s="1" t="str">
        <f t="shared" si="4"/>
        <v/>
      </c>
    </row>
    <row r="6393" hidden="1">
      <c r="A6393" s="1"/>
      <c r="B6393" s="1"/>
      <c r="C6393" s="1"/>
      <c r="D6393" s="1"/>
      <c r="E6393" s="1"/>
      <c r="F6393" s="1" t="str">
        <f t="shared" si="1"/>
        <v/>
      </c>
      <c r="G6393" s="1" t="str">
        <f t="shared" si="2"/>
        <v/>
      </c>
      <c r="H6393" s="1"/>
      <c r="I6393" s="1"/>
      <c r="J6393" s="1" t="str">
        <f t="shared" si="3"/>
        <v/>
      </c>
      <c r="K6393" s="1" t="str">
        <f t="shared" si="4"/>
        <v/>
      </c>
    </row>
    <row r="6394" hidden="1">
      <c r="A6394" s="1"/>
      <c r="B6394" s="1"/>
      <c r="C6394" s="1"/>
      <c r="D6394" s="1"/>
      <c r="E6394" s="1"/>
      <c r="F6394" s="1" t="str">
        <f t="shared" si="1"/>
        <v/>
      </c>
      <c r="G6394" s="1" t="str">
        <f t="shared" si="2"/>
        <v/>
      </c>
      <c r="H6394" s="1"/>
      <c r="I6394" s="1"/>
      <c r="J6394" s="1" t="str">
        <f t="shared" si="3"/>
        <v/>
      </c>
      <c r="K6394" s="1" t="str">
        <f t="shared" si="4"/>
        <v/>
      </c>
    </row>
    <row r="6395" hidden="1">
      <c r="A6395" s="1"/>
      <c r="B6395" s="1"/>
      <c r="C6395" s="1"/>
      <c r="D6395" s="1"/>
      <c r="E6395" s="1"/>
      <c r="F6395" s="1" t="str">
        <f t="shared" si="1"/>
        <v/>
      </c>
      <c r="G6395" s="1" t="str">
        <f t="shared" si="2"/>
        <v/>
      </c>
      <c r="H6395" s="1"/>
      <c r="I6395" s="1"/>
      <c r="J6395" s="1" t="str">
        <f t="shared" si="3"/>
        <v/>
      </c>
      <c r="K6395" s="1" t="str">
        <f t="shared" si="4"/>
        <v/>
      </c>
    </row>
    <row r="6396" hidden="1">
      <c r="A6396" s="1"/>
      <c r="B6396" s="1"/>
      <c r="C6396" s="1"/>
      <c r="D6396" s="1"/>
      <c r="E6396" s="1"/>
      <c r="F6396" s="1" t="str">
        <f t="shared" si="1"/>
        <v/>
      </c>
      <c r="G6396" s="1" t="str">
        <f t="shared" si="2"/>
        <v/>
      </c>
      <c r="H6396" s="1"/>
      <c r="I6396" s="1"/>
      <c r="J6396" s="1" t="str">
        <f t="shared" si="3"/>
        <v/>
      </c>
      <c r="K6396" s="1" t="str">
        <f t="shared" si="4"/>
        <v/>
      </c>
    </row>
    <row r="6397" hidden="1">
      <c r="A6397" s="1"/>
      <c r="B6397" s="1"/>
      <c r="C6397" s="1"/>
      <c r="D6397" s="1"/>
      <c r="E6397" s="1"/>
      <c r="F6397" s="1" t="str">
        <f t="shared" si="1"/>
        <v/>
      </c>
      <c r="G6397" s="1" t="str">
        <f t="shared" si="2"/>
        <v/>
      </c>
      <c r="H6397" s="1"/>
      <c r="I6397" s="1"/>
      <c r="J6397" s="1" t="str">
        <f t="shared" si="3"/>
        <v/>
      </c>
      <c r="K6397" s="1" t="str">
        <f t="shared" si="4"/>
        <v/>
      </c>
    </row>
    <row r="6398" hidden="1">
      <c r="A6398" s="1"/>
      <c r="B6398" s="1"/>
      <c r="C6398" s="1"/>
      <c r="D6398" s="1"/>
      <c r="E6398" s="1"/>
      <c r="F6398" s="1" t="str">
        <f t="shared" si="1"/>
        <v/>
      </c>
      <c r="G6398" s="1" t="str">
        <f t="shared" si="2"/>
        <v/>
      </c>
      <c r="H6398" s="1"/>
      <c r="I6398" s="1"/>
      <c r="J6398" s="1" t="str">
        <f t="shared" si="3"/>
        <v/>
      </c>
      <c r="K6398" s="1" t="str">
        <f t="shared" si="4"/>
        <v/>
      </c>
    </row>
    <row r="6399" hidden="1">
      <c r="A6399" s="1"/>
      <c r="B6399" s="1"/>
      <c r="C6399" s="1"/>
      <c r="D6399" s="1"/>
      <c r="E6399" s="1"/>
      <c r="F6399" s="1" t="str">
        <f t="shared" si="1"/>
        <v/>
      </c>
      <c r="G6399" s="1" t="str">
        <f t="shared" si="2"/>
        <v/>
      </c>
      <c r="H6399" s="1"/>
      <c r="I6399" s="1"/>
      <c r="J6399" s="1" t="str">
        <f t="shared" si="3"/>
        <v/>
      </c>
      <c r="K6399" s="1" t="str">
        <f t="shared" si="4"/>
        <v/>
      </c>
    </row>
    <row r="6400" hidden="1">
      <c r="A6400" s="1"/>
      <c r="B6400" s="1"/>
      <c r="C6400" s="1"/>
      <c r="D6400" s="1"/>
      <c r="E6400" s="1"/>
      <c r="F6400" s="1" t="str">
        <f t="shared" si="1"/>
        <v/>
      </c>
      <c r="G6400" s="1" t="str">
        <f t="shared" si="2"/>
        <v/>
      </c>
      <c r="H6400" s="1"/>
      <c r="I6400" s="1"/>
      <c r="J6400" s="1" t="str">
        <f t="shared" si="3"/>
        <v/>
      </c>
      <c r="K6400" s="1" t="str">
        <f t="shared" si="4"/>
        <v/>
      </c>
    </row>
    <row r="6401" hidden="1">
      <c r="A6401" s="1"/>
      <c r="B6401" s="1"/>
      <c r="C6401" s="1"/>
      <c r="D6401" s="1"/>
      <c r="E6401" s="1"/>
      <c r="F6401" s="1" t="str">
        <f t="shared" si="1"/>
        <v/>
      </c>
      <c r="G6401" s="1" t="str">
        <f t="shared" si="2"/>
        <v/>
      </c>
      <c r="H6401" s="1"/>
      <c r="I6401" s="1"/>
      <c r="J6401" s="1" t="str">
        <f t="shared" si="3"/>
        <v/>
      </c>
      <c r="K6401" s="1" t="str">
        <f t="shared" si="4"/>
        <v/>
      </c>
    </row>
    <row r="6402" hidden="1">
      <c r="A6402" s="1"/>
      <c r="B6402" s="1"/>
      <c r="C6402" s="1"/>
      <c r="D6402" s="1"/>
      <c r="E6402" s="1"/>
      <c r="F6402" s="1" t="str">
        <f t="shared" si="1"/>
        <v/>
      </c>
      <c r="G6402" s="1" t="str">
        <f t="shared" si="2"/>
        <v/>
      </c>
      <c r="H6402" s="1"/>
      <c r="I6402" s="1"/>
      <c r="J6402" s="1" t="str">
        <f t="shared" si="3"/>
        <v/>
      </c>
      <c r="K6402" s="1" t="str">
        <f t="shared" si="4"/>
        <v/>
      </c>
    </row>
    <row r="6403" hidden="1">
      <c r="A6403" s="1"/>
      <c r="B6403" s="1"/>
      <c r="C6403" s="1"/>
      <c r="D6403" s="1"/>
      <c r="E6403" s="1"/>
      <c r="F6403" s="1" t="str">
        <f t="shared" si="1"/>
        <v/>
      </c>
      <c r="G6403" s="1" t="str">
        <f t="shared" si="2"/>
        <v/>
      </c>
      <c r="H6403" s="1"/>
      <c r="I6403" s="1"/>
      <c r="J6403" s="1" t="str">
        <f t="shared" si="3"/>
        <v/>
      </c>
      <c r="K6403" s="1" t="str">
        <f t="shared" si="4"/>
        <v/>
      </c>
    </row>
    <row r="6404" hidden="1">
      <c r="A6404" s="1"/>
      <c r="B6404" s="1"/>
      <c r="C6404" s="1"/>
      <c r="D6404" s="1"/>
      <c r="E6404" s="1"/>
      <c r="F6404" s="1" t="str">
        <f t="shared" si="1"/>
        <v/>
      </c>
      <c r="G6404" s="1" t="str">
        <f t="shared" si="2"/>
        <v/>
      </c>
      <c r="H6404" s="1"/>
      <c r="I6404" s="1"/>
      <c r="J6404" s="1" t="str">
        <f t="shared" si="3"/>
        <v/>
      </c>
      <c r="K6404" s="1" t="str">
        <f t="shared" si="4"/>
        <v/>
      </c>
    </row>
    <row r="6405" hidden="1">
      <c r="A6405" s="1"/>
      <c r="B6405" s="1"/>
      <c r="C6405" s="1"/>
      <c r="D6405" s="1"/>
      <c r="E6405" s="1"/>
      <c r="F6405" s="1" t="str">
        <f t="shared" si="1"/>
        <v/>
      </c>
      <c r="G6405" s="1" t="str">
        <f t="shared" si="2"/>
        <v/>
      </c>
      <c r="H6405" s="1"/>
      <c r="I6405" s="1"/>
      <c r="J6405" s="1" t="str">
        <f t="shared" si="3"/>
        <v/>
      </c>
      <c r="K6405" s="1" t="str">
        <f t="shared" si="4"/>
        <v/>
      </c>
    </row>
    <row r="6406" hidden="1">
      <c r="A6406" s="1"/>
      <c r="B6406" s="1"/>
      <c r="C6406" s="1"/>
      <c r="D6406" s="1"/>
      <c r="E6406" s="1"/>
      <c r="F6406" s="1" t="str">
        <f t="shared" si="1"/>
        <v/>
      </c>
      <c r="G6406" s="1" t="str">
        <f t="shared" si="2"/>
        <v/>
      </c>
      <c r="H6406" s="1"/>
      <c r="I6406" s="1"/>
      <c r="J6406" s="1" t="str">
        <f t="shared" si="3"/>
        <v/>
      </c>
      <c r="K6406" s="1" t="str">
        <f t="shared" si="4"/>
        <v/>
      </c>
    </row>
    <row r="6407" hidden="1">
      <c r="A6407" s="1"/>
      <c r="B6407" s="1"/>
      <c r="C6407" s="1"/>
      <c r="D6407" s="1"/>
      <c r="E6407" s="1"/>
      <c r="F6407" s="1" t="str">
        <f t="shared" si="1"/>
        <v/>
      </c>
      <c r="G6407" s="1" t="str">
        <f t="shared" si="2"/>
        <v/>
      </c>
      <c r="H6407" s="1"/>
      <c r="I6407" s="1"/>
      <c r="J6407" s="1" t="str">
        <f t="shared" si="3"/>
        <v/>
      </c>
      <c r="K6407" s="1" t="str">
        <f t="shared" si="4"/>
        <v/>
      </c>
    </row>
    <row r="6408" hidden="1">
      <c r="A6408" s="1"/>
      <c r="B6408" s="1"/>
      <c r="C6408" s="1"/>
      <c r="D6408" s="1"/>
      <c r="E6408" s="1"/>
      <c r="F6408" s="1" t="str">
        <f t="shared" si="1"/>
        <v/>
      </c>
      <c r="G6408" s="1" t="str">
        <f t="shared" si="2"/>
        <v/>
      </c>
      <c r="H6408" s="1"/>
      <c r="I6408" s="1"/>
      <c r="J6408" s="1" t="str">
        <f t="shared" si="3"/>
        <v/>
      </c>
      <c r="K6408" s="1" t="str">
        <f t="shared" si="4"/>
        <v/>
      </c>
    </row>
    <row r="6409" hidden="1">
      <c r="A6409" s="1"/>
      <c r="B6409" s="1"/>
      <c r="C6409" s="1"/>
      <c r="D6409" s="1"/>
      <c r="E6409" s="1"/>
      <c r="F6409" s="1" t="str">
        <f t="shared" si="1"/>
        <v/>
      </c>
      <c r="G6409" s="1" t="str">
        <f t="shared" si="2"/>
        <v/>
      </c>
      <c r="H6409" s="1"/>
      <c r="I6409" s="1"/>
      <c r="J6409" s="1" t="str">
        <f t="shared" si="3"/>
        <v/>
      </c>
      <c r="K6409" s="1" t="str">
        <f t="shared" si="4"/>
        <v/>
      </c>
    </row>
    <row r="6410" hidden="1">
      <c r="A6410" s="1"/>
      <c r="B6410" s="1"/>
      <c r="C6410" s="1"/>
      <c r="D6410" s="1"/>
      <c r="E6410" s="1"/>
      <c r="F6410" s="1" t="str">
        <f t="shared" si="1"/>
        <v/>
      </c>
      <c r="G6410" s="1" t="str">
        <f t="shared" si="2"/>
        <v/>
      </c>
      <c r="H6410" s="1"/>
      <c r="I6410" s="1"/>
      <c r="J6410" s="1" t="str">
        <f t="shared" si="3"/>
        <v/>
      </c>
      <c r="K6410" s="1" t="str">
        <f t="shared" si="4"/>
        <v/>
      </c>
    </row>
    <row r="6411" hidden="1">
      <c r="A6411" s="1"/>
      <c r="B6411" s="1"/>
      <c r="C6411" s="1"/>
      <c r="D6411" s="1"/>
      <c r="E6411" s="1"/>
      <c r="F6411" s="1" t="str">
        <f t="shared" si="1"/>
        <v/>
      </c>
      <c r="G6411" s="1" t="str">
        <f t="shared" si="2"/>
        <v/>
      </c>
      <c r="H6411" s="1"/>
      <c r="I6411" s="1"/>
      <c r="J6411" s="1" t="str">
        <f t="shared" si="3"/>
        <v/>
      </c>
      <c r="K6411" s="1" t="str">
        <f t="shared" si="4"/>
        <v/>
      </c>
    </row>
    <row r="6412" hidden="1">
      <c r="A6412" s="1"/>
      <c r="B6412" s="1"/>
      <c r="C6412" s="1"/>
      <c r="D6412" s="1"/>
      <c r="E6412" s="1"/>
      <c r="F6412" s="1" t="str">
        <f t="shared" si="1"/>
        <v/>
      </c>
      <c r="G6412" s="1" t="str">
        <f t="shared" si="2"/>
        <v/>
      </c>
      <c r="H6412" s="1"/>
      <c r="I6412" s="1"/>
      <c r="J6412" s="1" t="str">
        <f t="shared" si="3"/>
        <v/>
      </c>
      <c r="K6412" s="1" t="str">
        <f t="shared" si="4"/>
        <v/>
      </c>
    </row>
    <row r="6413" hidden="1">
      <c r="A6413" s="1"/>
      <c r="B6413" s="1"/>
      <c r="C6413" s="1"/>
      <c r="D6413" s="1"/>
      <c r="E6413" s="1"/>
      <c r="F6413" s="1" t="str">
        <f t="shared" si="1"/>
        <v/>
      </c>
      <c r="G6413" s="1" t="str">
        <f t="shared" si="2"/>
        <v/>
      </c>
      <c r="H6413" s="1"/>
      <c r="I6413" s="1"/>
      <c r="J6413" s="1" t="str">
        <f t="shared" si="3"/>
        <v/>
      </c>
      <c r="K6413" s="1" t="str">
        <f t="shared" si="4"/>
        <v/>
      </c>
    </row>
    <row r="6414" hidden="1">
      <c r="A6414" s="1"/>
      <c r="B6414" s="1"/>
      <c r="C6414" s="1"/>
      <c r="D6414" s="1"/>
      <c r="E6414" s="1"/>
      <c r="F6414" s="1" t="str">
        <f t="shared" si="1"/>
        <v/>
      </c>
      <c r="G6414" s="1" t="str">
        <f t="shared" si="2"/>
        <v/>
      </c>
      <c r="H6414" s="1"/>
      <c r="I6414" s="1"/>
      <c r="J6414" s="1" t="str">
        <f t="shared" si="3"/>
        <v/>
      </c>
      <c r="K6414" s="1" t="str">
        <f t="shared" si="4"/>
        <v/>
      </c>
    </row>
    <row r="6415" hidden="1">
      <c r="A6415" s="1"/>
      <c r="B6415" s="1"/>
      <c r="C6415" s="1"/>
      <c r="D6415" s="1"/>
      <c r="E6415" s="1"/>
      <c r="F6415" s="1" t="str">
        <f t="shared" si="1"/>
        <v/>
      </c>
      <c r="G6415" s="1" t="str">
        <f t="shared" si="2"/>
        <v/>
      </c>
      <c r="H6415" s="1"/>
      <c r="I6415" s="1"/>
      <c r="J6415" s="1" t="str">
        <f t="shared" si="3"/>
        <v/>
      </c>
      <c r="K6415" s="1" t="str">
        <f t="shared" si="4"/>
        <v/>
      </c>
    </row>
    <row r="6416" hidden="1">
      <c r="A6416" s="1"/>
      <c r="B6416" s="1"/>
      <c r="C6416" s="1"/>
      <c r="D6416" s="1"/>
      <c r="E6416" s="1"/>
      <c r="F6416" s="1" t="str">
        <f t="shared" si="1"/>
        <v/>
      </c>
      <c r="G6416" s="1" t="str">
        <f t="shared" si="2"/>
        <v/>
      </c>
      <c r="H6416" s="1"/>
      <c r="I6416" s="1"/>
      <c r="J6416" s="1" t="str">
        <f t="shared" si="3"/>
        <v/>
      </c>
      <c r="K6416" s="1" t="str">
        <f t="shared" si="4"/>
        <v/>
      </c>
    </row>
    <row r="6417" hidden="1">
      <c r="A6417" s="1"/>
      <c r="B6417" s="1"/>
      <c r="C6417" s="1"/>
      <c r="D6417" s="1"/>
      <c r="E6417" s="1"/>
      <c r="F6417" s="1" t="str">
        <f t="shared" si="1"/>
        <v/>
      </c>
      <c r="G6417" s="1" t="str">
        <f t="shared" si="2"/>
        <v/>
      </c>
      <c r="H6417" s="1"/>
      <c r="I6417" s="1"/>
      <c r="J6417" s="1" t="str">
        <f t="shared" si="3"/>
        <v/>
      </c>
      <c r="K6417" s="1" t="str">
        <f t="shared" si="4"/>
        <v/>
      </c>
    </row>
    <row r="6418" hidden="1">
      <c r="A6418" s="1"/>
      <c r="B6418" s="1"/>
      <c r="C6418" s="1"/>
      <c r="D6418" s="1"/>
      <c r="E6418" s="1"/>
      <c r="F6418" s="1" t="str">
        <f t="shared" si="1"/>
        <v/>
      </c>
      <c r="G6418" s="1" t="str">
        <f t="shared" si="2"/>
        <v/>
      </c>
      <c r="H6418" s="1"/>
      <c r="I6418" s="1"/>
      <c r="J6418" s="1" t="str">
        <f t="shared" si="3"/>
        <v/>
      </c>
      <c r="K6418" s="1" t="str">
        <f t="shared" si="4"/>
        <v/>
      </c>
    </row>
    <row r="6419" hidden="1">
      <c r="A6419" s="1"/>
      <c r="B6419" s="1"/>
      <c r="C6419" s="1"/>
      <c r="D6419" s="1"/>
      <c r="E6419" s="1"/>
      <c r="F6419" s="1" t="str">
        <f t="shared" si="1"/>
        <v/>
      </c>
      <c r="G6419" s="1" t="str">
        <f t="shared" si="2"/>
        <v/>
      </c>
      <c r="H6419" s="1"/>
      <c r="I6419" s="1"/>
      <c r="J6419" s="1" t="str">
        <f t="shared" si="3"/>
        <v/>
      </c>
      <c r="K6419" s="1" t="str">
        <f t="shared" si="4"/>
        <v/>
      </c>
    </row>
    <row r="6420" hidden="1">
      <c r="A6420" s="1"/>
      <c r="B6420" s="1"/>
      <c r="C6420" s="1"/>
      <c r="D6420" s="1"/>
      <c r="E6420" s="1"/>
      <c r="F6420" s="1" t="str">
        <f t="shared" si="1"/>
        <v/>
      </c>
      <c r="G6420" s="1" t="str">
        <f t="shared" si="2"/>
        <v/>
      </c>
      <c r="H6420" s="1"/>
      <c r="I6420" s="1"/>
      <c r="J6420" s="1" t="str">
        <f t="shared" si="3"/>
        <v/>
      </c>
      <c r="K6420" s="1" t="str">
        <f t="shared" si="4"/>
        <v/>
      </c>
    </row>
    <row r="6421" hidden="1">
      <c r="A6421" s="1"/>
      <c r="B6421" s="1"/>
      <c r="C6421" s="1"/>
      <c r="D6421" s="1"/>
      <c r="E6421" s="1"/>
      <c r="F6421" s="1" t="str">
        <f t="shared" si="1"/>
        <v/>
      </c>
      <c r="G6421" s="1" t="str">
        <f t="shared" si="2"/>
        <v/>
      </c>
      <c r="H6421" s="1"/>
      <c r="I6421" s="1"/>
      <c r="J6421" s="1" t="str">
        <f t="shared" si="3"/>
        <v/>
      </c>
      <c r="K6421" s="1" t="str">
        <f t="shared" si="4"/>
        <v/>
      </c>
    </row>
    <row r="6422" hidden="1">
      <c r="A6422" s="1"/>
      <c r="B6422" s="1"/>
      <c r="C6422" s="1"/>
      <c r="D6422" s="1"/>
      <c r="E6422" s="1"/>
      <c r="F6422" s="1" t="str">
        <f t="shared" si="1"/>
        <v/>
      </c>
      <c r="G6422" s="1" t="str">
        <f t="shared" si="2"/>
        <v/>
      </c>
      <c r="H6422" s="1"/>
      <c r="I6422" s="1"/>
      <c r="J6422" s="1" t="str">
        <f t="shared" si="3"/>
        <v/>
      </c>
      <c r="K6422" s="1" t="str">
        <f t="shared" si="4"/>
        <v/>
      </c>
    </row>
    <row r="6423" hidden="1">
      <c r="A6423" s="1"/>
      <c r="B6423" s="1"/>
      <c r="C6423" s="1"/>
      <c r="D6423" s="1"/>
      <c r="E6423" s="1"/>
      <c r="F6423" s="1" t="str">
        <f t="shared" si="1"/>
        <v/>
      </c>
      <c r="G6423" s="1" t="str">
        <f t="shared" si="2"/>
        <v/>
      </c>
      <c r="H6423" s="1"/>
      <c r="I6423" s="1"/>
      <c r="J6423" s="1" t="str">
        <f t="shared" si="3"/>
        <v/>
      </c>
      <c r="K6423" s="1" t="str">
        <f t="shared" si="4"/>
        <v/>
      </c>
    </row>
    <row r="6424" hidden="1">
      <c r="A6424" s="1"/>
      <c r="B6424" s="1"/>
      <c r="C6424" s="1"/>
      <c r="D6424" s="1"/>
      <c r="E6424" s="1"/>
      <c r="F6424" s="1" t="str">
        <f t="shared" si="1"/>
        <v/>
      </c>
      <c r="G6424" s="1" t="str">
        <f t="shared" si="2"/>
        <v/>
      </c>
      <c r="H6424" s="1"/>
      <c r="I6424" s="1"/>
      <c r="J6424" s="1" t="str">
        <f t="shared" si="3"/>
        <v/>
      </c>
      <c r="K6424" s="1" t="str">
        <f t="shared" si="4"/>
        <v/>
      </c>
    </row>
    <row r="6425" hidden="1">
      <c r="A6425" s="1"/>
      <c r="B6425" s="1"/>
      <c r="C6425" s="1"/>
      <c r="D6425" s="1"/>
      <c r="E6425" s="1"/>
      <c r="F6425" s="1" t="str">
        <f t="shared" si="1"/>
        <v/>
      </c>
      <c r="G6425" s="1" t="str">
        <f t="shared" si="2"/>
        <v/>
      </c>
      <c r="H6425" s="1"/>
      <c r="I6425" s="1"/>
      <c r="J6425" s="1" t="str">
        <f t="shared" si="3"/>
        <v/>
      </c>
      <c r="K6425" s="1" t="str">
        <f t="shared" si="4"/>
        <v/>
      </c>
    </row>
    <row r="6426" hidden="1">
      <c r="A6426" s="1"/>
      <c r="B6426" s="1"/>
      <c r="C6426" s="1"/>
      <c r="D6426" s="1"/>
      <c r="E6426" s="1"/>
      <c r="F6426" s="1" t="str">
        <f t="shared" si="1"/>
        <v/>
      </c>
      <c r="G6426" s="1" t="str">
        <f t="shared" si="2"/>
        <v/>
      </c>
      <c r="H6426" s="1"/>
      <c r="I6426" s="1"/>
      <c r="J6426" s="1" t="str">
        <f t="shared" si="3"/>
        <v/>
      </c>
      <c r="K6426" s="1" t="str">
        <f t="shared" si="4"/>
        <v/>
      </c>
    </row>
    <row r="6427" hidden="1">
      <c r="A6427" s="1"/>
      <c r="B6427" s="1"/>
      <c r="C6427" s="1"/>
      <c r="D6427" s="1"/>
      <c r="E6427" s="1"/>
      <c r="F6427" s="1" t="str">
        <f t="shared" si="1"/>
        <v/>
      </c>
      <c r="G6427" s="1" t="str">
        <f t="shared" si="2"/>
        <v/>
      </c>
      <c r="H6427" s="1"/>
      <c r="I6427" s="1"/>
      <c r="J6427" s="1" t="str">
        <f t="shared" si="3"/>
        <v/>
      </c>
      <c r="K6427" s="1" t="str">
        <f t="shared" si="4"/>
        <v/>
      </c>
    </row>
    <row r="6428" hidden="1">
      <c r="A6428" s="1"/>
      <c r="B6428" s="1"/>
      <c r="C6428" s="1"/>
      <c r="D6428" s="1"/>
      <c r="E6428" s="1"/>
      <c r="F6428" s="1" t="str">
        <f t="shared" si="1"/>
        <v/>
      </c>
      <c r="G6428" s="1" t="str">
        <f t="shared" si="2"/>
        <v/>
      </c>
      <c r="H6428" s="1"/>
      <c r="I6428" s="1"/>
      <c r="J6428" s="1" t="str">
        <f t="shared" si="3"/>
        <v/>
      </c>
      <c r="K6428" s="1" t="str">
        <f t="shared" si="4"/>
        <v/>
      </c>
    </row>
    <row r="6429" hidden="1">
      <c r="A6429" s="1"/>
      <c r="B6429" s="1"/>
      <c r="C6429" s="1"/>
      <c r="D6429" s="1"/>
      <c r="E6429" s="1"/>
      <c r="F6429" s="1" t="str">
        <f t="shared" si="1"/>
        <v/>
      </c>
      <c r="G6429" s="1" t="str">
        <f t="shared" si="2"/>
        <v/>
      </c>
      <c r="H6429" s="1"/>
      <c r="I6429" s="1"/>
      <c r="J6429" s="1" t="str">
        <f t="shared" si="3"/>
        <v/>
      </c>
      <c r="K6429" s="1" t="str">
        <f t="shared" si="4"/>
        <v/>
      </c>
    </row>
    <row r="6430" hidden="1">
      <c r="A6430" s="1"/>
      <c r="B6430" s="1"/>
      <c r="C6430" s="1"/>
      <c r="D6430" s="1"/>
      <c r="E6430" s="1"/>
      <c r="F6430" s="1" t="str">
        <f t="shared" si="1"/>
        <v/>
      </c>
      <c r="G6430" s="1" t="str">
        <f t="shared" si="2"/>
        <v/>
      </c>
      <c r="H6430" s="1"/>
      <c r="I6430" s="1"/>
      <c r="J6430" s="1" t="str">
        <f t="shared" si="3"/>
        <v/>
      </c>
      <c r="K6430" s="1" t="str">
        <f t="shared" si="4"/>
        <v/>
      </c>
    </row>
    <row r="6431" hidden="1">
      <c r="A6431" s="1"/>
      <c r="B6431" s="1"/>
      <c r="C6431" s="1"/>
      <c r="D6431" s="1"/>
      <c r="E6431" s="1"/>
      <c r="F6431" s="1" t="str">
        <f t="shared" si="1"/>
        <v/>
      </c>
      <c r="G6431" s="1" t="str">
        <f t="shared" si="2"/>
        <v/>
      </c>
      <c r="H6431" s="1"/>
      <c r="I6431" s="1"/>
      <c r="J6431" s="1" t="str">
        <f t="shared" si="3"/>
        <v/>
      </c>
      <c r="K6431" s="1" t="str">
        <f t="shared" si="4"/>
        <v/>
      </c>
    </row>
    <row r="6432" hidden="1">
      <c r="A6432" s="1"/>
      <c r="B6432" s="1"/>
      <c r="C6432" s="1"/>
      <c r="D6432" s="1"/>
      <c r="E6432" s="1"/>
      <c r="F6432" s="1" t="str">
        <f t="shared" si="1"/>
        <v/>
      </c>
      <c r="G6432" s="1" t="str">
        <f t="shared" si="2"/>
        <v/>
      </c>
      <c r="H6432" s="1"/>
      <c r="I6432" s="1"/>
      <c r="J6432" s="1" t="str">
        <f t="shared" si="3"/>
        <v/>
      </c>
      <c r="K6432" s="1" t="str">
        <f t="shared" si="4"/>
        <v/>
      </c>
    </row>
    <row r="6433" hidden="1">
      <c r="A6433" s="1"/>
      <c r="B6433" s="1"/>
      <c r="C6433" s="1"/>
      <c r="D6433" s="1"/>
      <c r="E6433" s="1"/>
      <c r="F6433" s="1" t="str">
        <f t="shared" si="1"/>
        <v/>
      </c>
      <c r="G6433" s="1" t="str">
        <f t="shared" si="2"/>
        <v/>
      </c>
      <c r="H6433" s="1"/>
      <c r="I6433" s="1"/>
      <c r="J6433" s="1" t="str">
        <f t="shared" si="3"/>
        <v/>
      </c>
      <c r="K6433" s="1" t="str">
        <f t="shared" si="4"/>
        <v/>
      </c>
    </row>
    <row r="6434" hidden="1">
      <c r="A6434" s="1"/>
      <c r="B6434" s="1"/>
      <c r="C6434" s="1"/>
      <c r="D6434" s="1"/>
      <c r="E6434" s="1"/>
      <c r="F6434" s="1" t="str">
        <f t="shared" si="1"/>
        <v/>
      </c>
      <c r="G6434" s="1" t="str">
        <f t="shared" si="2"/>
        <v/>
      </c>
      <c r="H6434" s="1"/>
      <c r="I6434" s="1"/>
      <c r="J6434" s="1" t="str">
        <f t="shared" si="3"/>
        <v/>
      </c>
      <c r="K6434" s="1" t="str">
        <f t="shared" si="4"/>
        <v/>
      </c>
    </row>
    <row r="6435" hidden="1">
      <c r="A6435" s="1"/>
      <c r="B6435" s="1"/>
      <c r="C6435" s="1"/>
      <c r="D6435" s="1"/>
      <c r="E6435" s="1"/>
      <c r="F6435" s="1" t="str">
        <f t="shared" si="1"/>
        <v/>
      </c>
      <c r="G6435" s="1" t="str">
        <f t="shared" si="2"/>
        <v/>
      </c>
      <c r="H6435" s="1"/>
      <c r="I6435" s="1"/>
      <c r="J6435" s="1" t="str">
        <f t="shared" si="3"/>
        <v/>
      </c>
      <c r="K6435" s="1" t="str">
        <f t="shared" si="4"/>
        <v/>
      </c>
    </row>
    <row r="6436" hidden="1">
      <c r="A6436" s="1"/>
      <c r="B6436" s="1"/>
      <c r="C6436" s="1"/>
      <c r="D6436" s="1"/>
      <c r="E6436" s="1"/>
      <c r="F6436" s="1" t="str">
        <f t="shared" si="1"/>
        <v/>
      </c>
      <c r="G6436" s="1" t="str">
        <f t="shared" si="2"/>
        <v/>
      </c>
      <c r="H6436" s="1"/>
      <c r="I6436" s="1"/>
      <c r="J6436" s="1" t="str">
        <f t="shared" si="3"/>
        <v/>
      </c>
      <c r="K6436" s="1" t="str">
        <f t="shared" si="4"/>
        <v/>
      </c>
    </row>
    <row r="6437" hidden="1">
      <c r="A6437" s="1"/>
      <c r="B6437" s="1"/>
      <c r="C6437" s="1"/>
      <c r="D6437" s="1"/>
      <c r="E6437" s="1"/>
      <c r="F6437" s="1" t="str">
        <f t="shared" si="1"/>
        <v/>
      </c>
      <c r="G6437" s="1" t="str">
        <f t="shared" si="2"/>
        <v/>
      </c>
      <c r="H6437" s="1"/>
      <c r="I6437" s="1"/>
      <c r="J6437" s="1" t="str">
        <f t="shared" si="3"/>
        <v/>
      </c>
      <c r="K6437" s="1" t="str">
        <f t="shared" si="4"/>
        <v/>
      </c>
    </row>
    <row r="6438" hidden="1">
      <c r="A6438" s="1"/>
      <c r="B6438" s="1"/>
      <c r="C6438" s="1"/>
      <c r="D6438" s="1"/>
      <c r="E6438" s="1"/>
      <c r="F6438" s="1" t="str">
        <f t="shared" si="1"/>
        <v/>
      </c>
      <c r="G6438" s="1" t="str">
        <f t="shared" si="2"/>
        <v/>
      </c>
      <c r="H6438" s="1"/>
      <c r="I6438" s="1"/>
      <c r="J6438" s="1" t="str">
        <f t="shared" si="3"/>
        <v/>
      </c>
      <c r="K6438" s="1" t="str">
        <f t="shared" si="4"/>
        <v/>
      </c>
    </row>
    <row r="6439" hidden="1">
      <c r="A6439" s="1"/>
      <c r="B6439" s="1"/>
      <c r="C6439" s="1"/>
      <c r="D6439" s="1"/>
      <c r="E6439" s="1"/>
      <c r="F6439" s="1" t="str">
        <f t="shared" si="1"/>
        <v/>
      </c>
      <c r="G6439" s="1" t="str">
        <f t="shared" si="2"/>
        <v/>
      </c>
      <c r="H6439" s="1"/>
      <c r="I6439" s="1"/>
      <c r="J6439" s="1" t="str">
        <f t="shared" si="3"/>
        <v/>
      </c>
      <c r="K6439" s="1" t="str">
        <f t="shared" si="4"/>
        <v/>
      </c>
    </row>
    <row r="6440" hidden="1">
      <c r="A6440" s="1"/>
      <c r="B6440" s="1"/>
      <c r="C6440" s="1"/>
      <c r="D6440" s="1"/>
      <c r="E6440" s="1"/>
      <c r="F6440" s="1" t="str">
        <f t="shared" si="1"/>
        <v/>
      </c>
      <c r="G6440" s="1" t="str">
        <f t="shared" si="2"/>
        <v/>
      </c>
      <c r="H6440" s="1"/>
      <c r="I6440" s="1"/>
      <c r="J6440" s="1" t="str">
        <f t="shared" si="3"/>
        <v/>
      </c>
      <c r="K6440" s="1" t="str">
        <f t="shared" si="4"/>
        <v/>
      </c>
    </row>
    <row r="6441" hidden="1">
      <c r="A6441" s="1"/>
      <c r="B6441" s="1"/>
      <c r="C6441" s="1"/>
      <c r="D6441" s="1"/>
      <c r="E6441" s="1"/>
      <c r="F6441" s="1" t="str">
        <f t="shared" si="1"/>
        <v/>
      </c>
      <c r="G6441" s="1" t="str">
        <f t="shared" si="2"/>
        <v/>
      </c>
      <c r="H6441" s="1"/>
      <c r="I6441" s="1"/>
      <c r="J6441" s="1" t="str">
        <f t="shared" si="3"/>
        <v/>
      </c>
      <c r="K6441" s="1" t="str">
        <f t="shared" si="4"/>
        <v/>
      </c>
    </row>
    <row r="6442" hidden="1">
      <c r="A6442" s="1"/>
      <c r="B6442" s="1"/>
      <c r="C6442" s="1"/>
      <c r="D6442" s="1"/>
      <c r="E6442" s="1"/>
      <c r="F6442" s="1" t="str">
        <f t="shared" si="1"/>
        <v/>
      </c>
      <c r="G6442" s="1" t="str">
        <f t="shared" si="2"/>
        <v/>
      </c>
      <c r="H6442" s="1"/>
      <c r="I6442" s="1"/>
      <c r="J6442" s="1" t="str">
        <f t="shared" si="3"/>
        <v/>
      </c>
      <c r="K6442" s="1" t="str">
        <f t="shared" si="4"/>
        <v/>
      </c>
    </row>
    <row r="6443" hidden="1">
      <c r="A6443" s="1"/>
      <c r="B6443" s="1"/>
      <c r="C6443" s="1"/>
      <c r="D6443" s="1"/>
      <c r="E6443" s="1"/>
      <c r="F6443" s="1" t="str">
        <f t="shared" si="1"/>
        <v/>
      </c>
      <c r="G6443" s="1" t="str">
        <f t="shared" si="2"/>
        <v/>
      </c>
      <c r="H6443" s="1"/>
      <c r="I6443" s="1"/>
      <c r="J6443" s="1" t="str">
        <f t="shared" si="3"/>
        <v/>
      </c>
      <c r="K6443" s="1" t="str">
        <f t="shared" si="4"/>
        <v/>
      </c>
    </row>
    <row r="6444" hidden="1">
      <c r="A6444" s="1"/>
      <c r="B6444" s="1"/>
      <c r="C6444" s="1"/>
      <c r="D6444" s="1"/>
      <c r="E6444" s="1"/>
      <c r="F6444" s="1" t="str">
        <f t="shared" si="1"/>
        <v/>
      </c>
      <c r="G6444" s="1" t="str">
        <f t="shared" si="2"/>
        <v/>
      </c>
      <c r="H6444" s="1"/>
      <c r="I6444" s="1"/>
      <c r="J6444" s="1" t="str">
        <f t="shared" si="3"/>
        <v/>
      </c>
      <c r="K6444" s="1" t="str">
        <f t="shared" si="4"/>
        <v/>
      </c>
    </row>
    <row r="6445" hidden="1">
      <c r="A6445" s="1"/>
      <c r="B6445" s="1"/>
      <c r="C6445" s="1"/>
      <c r="D6445" s="1"/>
      <c r="E6445" s="1"/>
      <c r="F6445" s="1" t="str">
        <f t="shared" si="1"/>
        <v/>
      </c>
      <c r="G6445" s="1" t="str">
        <f t="shared" si="2"/>
        <v/>
      </c>
      <c r="H6445" s="1"/>
      <c r="I6445" s="1"/>
      <c r="J6445" s="1" t="str">
        <f t="shared" si="3"/>
        <v/>
      </c>
      <c r="K6445" s="1" t="str">
        <f t="shared" si="4"/>
        <v/>
      </c>
    </row>
    <row r="6446" hidden="1">
      <c r="A6446" s="1"/>
      <c r="B6446" s="1"/>
      <c r="C6446" s="1"/>
      <c r="D6446" s="1"/>
      <c r="E6446" s="1"/>
      <c r="F6446" s="1" t="str">
        <f t="shared" si="1"/>
        <v/>
      </c>
      <c r="G6446" s="1" t="str">
        <f t="shared" si="2"/>
        <v/>
      </c>
      <c r="H6446" s="1"/>
      <c r="I6446" s="1"/>
      <c r="J6446" s="1" t="str">
        <f t="shared" si="3"/>
        <v/>
      </c>
      <c r="K6446" s="1" t="str">
        <f t="shared" si="4"/>
        <v/>
      </c>
    </row>
    <row r="6447" hidden="1">
      <c r="A6447" s="1"/>
      <c r="B6447" s="1"/>
      <c r="C6447" s="1"/>
      <c r="D6447" s="1"/>
      <c r="E6447" s="1"/>
      <c r="F6447" s="1" t="str">
        <f t="shared" si="1"/>
        <v/>
      </c>
      <c r="G6447" s="1" t="str">
        <f t="shared" si="2"/>
        <v/>
      </c>
      <c r="H6447" s="1"/>
      <c r="I6447" s="1"/>
      <c r="J6447" s="1" t="str">
        <f t="shared" si="3"/>
        <v/>
      </c>
      <c r="K6447" s="1" t="str">
        <f t="shared" si="4"/>
        <v/>
      </c>
    </row>
    <row r="6448" hidden="1">
      <c r="A6448" s="1"/>
      <c r="B6448" s="1"/>
      <c r="C6448" s="1"/>
      <c r="D6448" s="1"/>
      <c r="E6448" s="1"/>
      <c r="F6448" s="1" t="str">
        <f t="shared" si="1"/>
        <v/>
      </c>
      <c r="G6448" s="1" t="str">
        <f t="shared" si="2"/>
        <v/>
      </c>
      <c r="H6448" s="1"/>
      <c r="I6448" s="1"/>
      <c r="J6448" s="1" t="str">
        <f t="shared" si="3"/>
        <v/>
      </c>
      <c r="K6448" s="1" t="str">
        <f t="shared" si="4"/>
        <v/>
      </c>
    </row>
    <row r="6449" hidden="1">
      <c r="A6449" s="1"/>
      <c r="B6449" s="1"/>
      <c r="C6449" s="1"/>
      <c r="D6449" s="1"/>
      <c r="E6449" s="1"/>
      <c r="F6449" s="1" t="str">
        <f t="shared" si="1"/>
        <v/>
      </c>
      <c r="G6449" s="1" t="str">
        <f t="shared" si="2"/>
        <v/>
      </c>
      <c r="H6449" s="1"/>
      <c r="I6449" s="1"/>
      <c r="J6449" s="1" t="str">
        <f t="shared" si="3"/>
        <v/>
      </c>
      <c r="K6449" s="1" t="str">
        <f t="shared" si="4"/>
        <v/>
      </c>
    </row>
    <row r="6450" hidden="1">
      <c r="A6450" s="1"/>
      <c r="B6450" s="1"/>
      <c r="C6450" s="1"/>
      <c r="D6450" s="1"/>
      <c r="E6450" s="1"/>
      <c r="F6450" s="1" t="str">
        <f t="shared" si="1"/>
        <v/>
      </c>
      <c r="G6450" s="1" t="str">
        <f t="shared" si="2"/>
        <v/>
      </c>
      <c r="H6450" s="1"/>
      <c r="I6450" s="1"/>
      <c r="J6450" s="1" t="str">
        <f t="shared" si="3"/>
        <v/>
      </c>
      <c r="K6450" s="1" t="str">
        <f t="shared" si="4"/>
        <v/>
      </c>
    </row>
    <row r="6451" hidden="1">
      <c r="A6451" s="1"/>
      <c r="B6451" s="1"/>
      <c r="C6451" s="1"/>
      <c r="D6451" s="1"/>
      <c r="E6451" s="1"/>
      <c r="F6451" s="1" t="str">
        <f t="shared" si="1"/>
        <v/>
      </c>
      <c r="G6451" s="1" t="str">
        <f t="shared" si="2"/>
        <v/>
      </c>
      <c r="H6451" s="1"/>
      <c r="I6451" s="1"/>
      <c r="J6451" s="1" t="str">
        <f t="shared" si="3"/>
        <v/>
      </c>
      <c r="K6451" s="1" t="str">
        <f t="shared" si="4"/>
        <v/>
      </c>
    </row>
    <row r="6452" hidden="1">
      <c r="A6452" s="1"/>
      <c r="B6452" s="1"/>
      <c r="C6452" s="1"/>
      <c r="D6452" s="1"/>
      <c r="E6452" s="1"/>
      <c r="F6452" s="1" t="str">
        <f t="shared" si="1"/>
        <v/>
      </c>
      <c r="G6452" s="1" t="str">
        <f t="shared" si="2"/>
        <v/>
      </c>
      <c r="H6452" s="1"/>
      <c r="I6452" s="1"/>
      <c r="J6452" s="1" t="str">
        <f t="shared" si="3"/>
        <v/>
      </c>
      <c r="K6452" s="1" t="str">
        <f t="shared" si="4"/>
        <v/>
      </c>
    </row>
    <row r="6453" hidden="1">
      <c r="A6453" s="1"/>
      <c r="B6453" s="1"/>
      <c r="C6453" s="1"/>
      <c r="D6453" s="1"/>
      <c r="E6453" s="1"/>
      <c r="F6453" s="1" t="str">
        <f t="shared" si="1"/>
        <v/>
      </c>
      <c r="G6453" s="1" t="str">
        <f t="shared" si="2"/>
        <v/>
      </c>
      <c r="H6453" s="1"/>
      <c r="I6453" s="1"/>
      <c r="J6453" s="1" t="str">
        <f t="shared" si="3"/>
        <v/>
      </c>
      <c r="K6453" s="1" t="str">
        <f t="shared" si="4"/>
        <v/>
      </c>
    </row>
    <row r="6454" hidden="1">
      <c r="A6454" s="1"/>
      <c r="B6454" s="1"/>
      <c r="C6454" s="1"/>
      <c r="D6454" s="1"/>
      <c r="E6454" s="1"/>
      <c r="F6454" s="1" t="str">
        <f t="shared" si="1"/>
        <v/>
      </c>
      <c r="G6454" s="1" t="str">
        <f t="shared" si="2"/>
        <v/>
      </c>
      <c r="H6454" s="1"/>
      <c r="I6454" s="1"/>
      <c r="J6454" s="1" t="str">
        <f t="shared" si="3"/>
        <v/>
      </c>
      <c r="K6454" s="1" t="str">
        <f t="shared" si="4"/>
        <v/>
      </c>
    </row>
    <row r="6455" hidden="1">
      <c r="A6455" s="1"/>
      <c r="B6455" s="1"/>
      <c r="C6455" s="1"/>
      <c r="D6455" s="1"/>
      <c r="E6455" s="1"/>
      <c r="F6455" s="1" t="str">
        <f t="shared" si="1"/>
        <v/>
      </c>
      <c r="G6455" s="1" t="str">
        <f t="shared" si="2"/>
        <v/>
      </c>
      <c r="H6455" s="1"/>
      <c r="I6455" s="1"/>
      <c r="J6455" s="1" t="str">
        <f t="shared" si="3"/>
        <v/>
      </c>
      <c r="K6455" s="1" t="str">
        <f t="shared" si="4"/>
        <v/>
      </c>
    </row>
    <row r="6456" hidden="1">
      <c r="A6456" s="1"/>
      <c r="B6456" s="1"/>
      <c r="C6456" s="1"/>
      <c r="D6456" s="1"/>
      <c r="E6456" s="1"/>
      <c r="F6456" s="1" t="str">
        <f t="shared" si="1"/>
        <v/>
      </c>
      <c r="G6456" s="1" t="str">
        <f t="shared" si="2"/>
        <v/>
      </c>
      <c r="H6456" s="1"/>
      <c r="I6456" s="1"/>
      <c r="J6456" s="1" t="str">
        <f t="shared" si="3"/>
        <v/>
      </c>
      <c r="K6456" s="1" t="str">
        <f t="shared" si="4"/>
        <v/>
      </c>
    </row>
    <row r="6457" hidden="1">
      <c r="A6457" s="1"/>
      <c r="B6457" s="1"/>
      <c r="C6457" s="1"/>
      <c r="D6457" s="1"/>
      <c r="E6457" s="1"/>
      <c r="F6457" s="1" t="str">
        <f t="shared" si="1"/>
        <v/>
      </c>
      <c r="G6457" s="1" t="str">
        <f t="shared" si="2"/>
        <v/>
      </c>
      <c r="H6457" s="1"/>
      <c r="I6457" s="1"/>
      <c r="J6457" s="1" t="str">
        <f t="shared" si="3"/>
        <v/>
      </c>
      <c r="K6457" s="1" t="str">
        <f t="shared" si="4"/>
        <v/>
      </c>
    </row>
    <row r="6458" hidden="1">
      <c r="A6458" s="1"/>
      <c r="B6458" s="1"/>
      <c r="C6458" s="1"/>
      <c r="D6458" s="1"/>
      <c r="E6458" s="1"/>
      <c r="F6458" s="1" t="str">
        <f t="shared" si="1"/>
        <v/>
      </c>
      <c r="G6458" s="1" t="str">
        <f t="shared" si="2"/>
        <v/>
      </c>
      <c r="H6458" s="1"/>
      <c r="I6458" s="1"/>
      <c r="J6458" s="1" t="str">
        <f t="shared" si="3"/>
        <v/>
      </c>
      <c r="K6458" s="1" t="str">
        <f t="shared" si="4"/>
        <v/>
      </c>
    </row>
    <row r="6459" hidden="1">
      <c r="A6459" s="1"/>
      <c r="B6459" s="1"/>
      <c r="C6459" s="1"/>
      <c r="D6459" s="1"/>
      <c r="E6459" s="1"/>
      <c r="F6459" s="1" t="str">
        <f t="shared" si="1"/>
        <v/>
      </c>
      <c r="G6459" s="1" t="str">
        <f t="shared" si="2"/>
        <v/>
      </c>
      <c r="H6459" s="1"/>
      <c r="I6459" s="1"/>
      <c r="J6459" s="1" t="str">
        <f t="shared" si="3"/>
        <v/>
      </c>
      <c r="K6459" s="1" t="str">
        <f t="shared" si="4"/>
        <v/>
      </c>
    </row>
    <row r="6460" hidden="1">
      <c r="A6460" s="1"/>
      <c r="B6460" s="1"/>
      <c r="C6460" s="1"/>
      <c r="D6460" s="1"/>
      <c r="E6460" s="1"/>
      <c r="F6460" s="1" t="str">
        <f t="shared" si="1"/>
        <v/>
      </c>
      <c r="G6460" s="1" t="str">
        <f t="shared" si="2"/>
        <v/>
      </c>
      <c r="H6460" s="1"/>
      <c r="I6460" s="1"/>
      <c r="J6460" s="1" t="str">
        <f t="shared" si="3"/>
        <v/>
      </c>
      <c r="K6460" s="1" t="str">
        <f t="shared" si="4"/>
        <v/>
      </c>
    </row>
    <row r="6461" hidden="1">
      <c r="A6461" s="1"/>
      <c r="B6461" s="1"/>
      <c r="C6461" s="1"/>
      <c r="D6461" s="1"/>
      <c r="E6461" s="1"/>
      <c r="F6461" s="1" t="str">
        <f t="shared" si="1"/>
        <v/>
      </c>
      <c r="G6461" s="1" t="str">
        <f t="shared" si="2"/>
        <v/>
      </c>
      <c r="H6461" s="1"/>
      <c r="I6461" s="1"/>
      <c r="J6461" s="1" t="str">
        <f t="shared" si="3"/>
        <v/>
      </c>
      <c r="K6461" s="1" t="str">
        <f t="shared" si="4"/>
        <v/>
      </c>
    </row>
    <row r="6462" hidden="1">
      <c r="A6462" s="1"/>
      <c r="B6462" s="1"/>
      <c r="C6462" s="1"/>
      <c r="D6462" s="1"/>
      <c r="E6462" s="1"/>
      <c r="F6462" s="1" t="str">
        <f t="shared" si="1"/>
        <v/>
      </c>
      <c r="G6462" s="1" t="str">
        <f t="shared" si="2"/>
        <v/>
      </c>
      <c r="H6462" s="1"/>
      <c r="I6462" s="1"/>
      <c r="J6462" s="1" t="str">
        <f t="shared" si="3"/>
        <v/>
      </c>
      <c r="K6462" s="1" t="str">
        <f t="shared" si="4"/>
        <v/>
      </c>
    </row>
    <row r="6463" hidden="1">
      <c r="A6463" s="1"/>
      <c r="B6463" s="1"/>
      <c r="C6463" s="1"/>
      <c r="D6463" s="1"/>
      <c r="E6463" s="1"/>
      <c r="F6463" s="1" t="str">
        <f t="shared" si="1"/>
        <v/>
      </c>
      <c r="G6463" s="1" t="str">
        <f t="shared" si="2"/>
        <v/>
      </c>
      <c r="H6463" s="1"/>
      <c r="I6463" s="1"/>
      <c r="J6463" s="1" t="str">
        <f t="shared" si="3"/>
        <v/>
      </c>
      <c r="K6463" s="1" t="str">
        <f t="shared" si="4"/>
        <v/>
      </c>
    </row>
    <row r="6464" hidden="1">
      <c r="A6464" s="1"/>
      <c r="B6464" s="1"/>
      <c r="C6464" s="1"/>
      <c r="D6464" s="1"/>
      <c r="E6464" s="1"/>
      <c r="F6464" s="1" t="str">
        <f t="shared" si="1"/>
        <v/>
      </c>
      <c r="G6464" s="1" t="str">
        <f t="shared" si="2"/>
        <v/>
      </c>
      <c r="H6464" s="1"/>
      <c r="I6464" s="1"/>
      <c r="J6464" s="1" t="str">
        <f t="shared" si="3"/>
        <v/>
      </c>
      <c r="K6464" s="1" t="str">
        <f t="shared" si="4"/>
        <v/>
      </c>
    </row>
    <row r="6465" hidden="1">
      <c r="A6465" s="1"/>
      <c r="B6465" s="1"/>
      <c r="C6465" s="1"/>
      <c r="D6465" s="1"/>
      <c r="E6465" s="1"/>
      <c r="F6465" s="1" t="str">
        <f t="shared" si="1"/>
        <v/>
      </c>
      <c r="G6465" s="1" t="str">
        <f t="shared" si="2"/>
        <v/>
      </c>
      <c r="H6465" s="1"/>
      <c r="I6465" s="1"/>
      <c r="J6465" s="1" t="str">
        <f t="shared" si="3"/>
        <v/>
      </c>
      <c r="K6465" s="1" t="str">
        <f t="shared" si="4"/>
        <v/>
      </c>
    </row>
    <row r="6466" hidden="1">
      <c r="A6466" s="1"/>
      <c r="B6466" s="1"/>
      <c r="C6466" s="1"/>
      <c r="D6466" s="1"/>
      <c r="E6466" s="1"/>
      <c r="F6466" s="1" t="str">
        <f t="shared" si="1"/>
        <v/>
      </c>
      <c r="G6466" s="1" t="str">
        <f t="shared" si="2"/>
        <v/>
      </c>
      <c r="H6466" s="1"/>
      <c r="I6466" s="1"/>
      <c r="J6466" s="1" t="str">
        <f t="shared" si="3"/>
        <v/>
      </c>
      <c r="K6466" s="1" t="str">
        <f t="shared" si="4"/>
        <v/>
      </c>
    </row>
    <row r="6467" hidden="1">
      <c r="A6467" s="1"/>
      <c r="B6467" s="1"/>
      <c r="C6467" s="1"/>
      <c r="D6467" s="1"/>
      <c r="E6467" s="1"/>
      <c r="F6467" s="1" t="str">
        <f t="shared" si="1"/>
        <v/>
      </c>
      <c r="G6467" s="1" t="str">
        <f t="shared" si="2"/>
        <v/>
      </c>
      <c r="H6467" s="1"/>
      <c r="I6467" s="1"/>
      <c r="J6467" s="1" t="str">
        <f t="shared" si="3"/>
        <v/>
      </c>
      <c r="K6467" s="1" t="str">
        <f t="shared" si="4"/>
        <v/>
      </c>
    </row>
    <row r="6468" hidden="1">
      <c r="A6468" s="1"/>
      <c r="B6468" s="1"/>
      <c r="C6468" s="1"/>
      <c r="D6468" s="1"/>
      <c r="E6468" s="1"/>
      <c r="F6468" s="1" t="str">
        <f t="shared" si="1"/>
        <v/>
      </c>
      <c r="G6468" s="1" t="str">
        <f t="shared" si="2"/>
        <v/>
      </c>
      <c r="H6468" s="1"/>
      <c r="I6468" s="1"/>
      <c r="J6468" s="1" t="str">
        <f t="shared" si="3"/>
        <v/>
      </c>
      <c r="K6468" s="1" t="str">
        <f t="shared" si="4"/>
        <v/>
      </c>
    </row>
    <row r="6469" hidden="1">
      <c r="A6469" s="1"/>
      <c r="B6469" s="1"/>
      <c r="C6469" s="1"/>
      <c r="D6469" s="1"/>
      <c r="E6469" s="1"/>
      <c r="F6469" s="1" t="str">
        <f t="shared" si="1"/>
        <v/>
      </c>
      <c r="G6469" s="1" t="str">
        <f t="shared" si="2"/>
        <v/>
      </c>
      <c r="H6469" s="1"/>
      <c r="I6469" s="1"/>
      <c r="J6469" s="1" t="str">
        <f t="shared" si="3"/>
        <v/>
      </c>
      <c r="K6469" s="1" t="str">
        <f t="shared" si="4"/>
        <v/>
      </c>
    </row>
    <row r="6470" hidden="1">
      <c r="A6470" s="1"/>
      <c r="B6470" s="1"/>
      <c r="C6470" s="1"/>
      <c r="D6470" s="1"/>
      <c r="E6470" s="1"/>
      <c r="F6470" s="1" t="str">
        <f t="shared" si="1"/>
        <v/>
      </c>
      <c r="G6470" s="1" t="str">
        <f t="shared" si="2"/>
        <v/>
      </c>
      <c r="H6470" s="1"/>
      <c r="I6470" s="1"/>
      <c r="J6470" s="1" t="str">
        <f t="shared" si="3"/>
        <v/>
      </c>
      <c r="K6470" s="1" t="str">
        <f t="shared" si="4"/>
        <v/>
      </c>
    </row>
    <row r="6471" hidden="1">
      <c r="A6471" s="1"/>
      <c r="B6471" s="1"/>
      <c r="C6471" s="1"/>
      <c r="D6471" s="1"/>
      <c r="E6471" s="1"/>
      <c r="F6471" s="1" t="str">
        <f t="shared" si="1"/>
        <v/>
      </c>
      <c r="G6471" s="1" t="str">
        <f t="shared" si="2"/>
        <v/>
      </c>
      <c r="H6471" s="1"/>
      <c r="I6471" s="1"/>
      <c r="J6471" s="1" t="str">
        <f t="shared" si="3"/>
        <v/>
      </c>
      <c r="K6471" s="1" t="str">
        <f t="shared" si="4"/>
        <v/>
      </c>
    </row>
    <row r="6472" hidden="1">
      <c r="A6472" s="1"/>
      <c r="B6472" s="1"/>
      <c r="C6472" s="1"/>
      <c r="D6472" s="1"/>
      <c r="E6472" s="1"/>
      <c r="F6472" s="1" t="str">
        <f t="shared" si="1"/>
        <v/>
      </c>
      <c r="G6472" s="1" t="str">
        <f t="shared" si="2"/>
        <v/>
      </c>
      <c r="H6472" s="1"/>
      <c r="I6472" s="1"/>
      <c r="J6472" s="1" t="str">
        <f t="shared" si="3"/>
        <v/>
      </c>
      <c r="K6472" s="1" t="str">
        <f t="shared" si="4"/>
        <v/>
      </c>
    </row>
    <row r="6473" hidden="1">
      <c r="A6473" s="1"/>
      <c r="B6473" s="1"/>
      <c r="C6473" s="1"/>
      <c r="D6473" s="1"/>
      <c r="E6473" s="1"/>
      <c r="F6473" s="1" t="str">
        <f t="shared" si="1"/>
        <v/>
      </c>
      <c r="G6473" s="1" t="str">
        <f t="shared" si="2"/>
        <v/>
      </c>
      <c r="H6473" s="1"/>
      <c r="I6473" s="1"/>
      <c r="J6473" s="1" t="str">
        <f t="shared" si="3"/>
        <v/>
      </c>
      <c r="K6473" s="1" t="str">
        <f t="shared" si="4"/>
        <v/>
      </c>
    </row>
    <row r="6474" hidden="1">
      <c r="A6474" s="1"/>
      <c r="B6474" s="1"/>
      <c r="C6474" s="1"/>
      <c r="D6474" s="1"/>
      <c r="E6474" s="1"/>
      <c r="F6474" s="1" t="str">
        <f t="shared" si="1"/>
        <v/>
      </c>
      <c r="G6474" s="1" t="str">
        <f t="shared" si="2"/>
        <v/>
      </c>
      <c r="H6474" s="1"/>
      <c r="I6474" s="1"/>
      <c r="J6474" s="1" t="str">
        <f t="shared" si="3"/>
        <v/>
      </c>
      <c r="K6474" s="1" t="str">
        <f t="shared" si="4"/>
        <v/>
      </c>
    </row>
    <row r="6475" hidden="1">
      <c r="A6475" s="1"/>
      <c r="B6475" s="1"/>
      <c r="C6475" s="1"/>
      <c r="D6475" s="1"/>
      <c r="E6475" s="1"/>
      <c r="F6475" s="1" t="str">
        <f t="shared" si="1"/>
        <v/>
      </c>
      <c r="G6475" s="1" t="str">
        <f t="shared" si="2"/>
        <v/>
      </c>
      <c r="H6475" s="1"/>
      <c r="I6475" s="1"/>
      <c r="J6475" s="1" t="str">
        <f t="shared" si="3"/>
        <v/>
      </c>
      <c r="K6475" s="1" t="str">
        <f t="shared" si="4"/>
        <v/>
      </c>
    </row>
    <row r="6476" hidden="1">
      <c r="A6476" s="1"/>
      <c r="B6476" s="1"/>
      <c r="C6476" s="1"/>
      <c r="D6476" s="1"/>
      <c r="E6476" s="1"/>
      <c r="F6476" s="1" t="str">
        <f t="shared" si="1"/>
        <v/>
      </c>
      <c r="G6476" s="1" t="str">
        <f t="shared" si="2"/>
        <v/>
      </c>
      <c r="H6476" s="1"/>
      <c r="I6476" s="1"/>
      <c r="J6476" s="1" t="str">
        <f t="shared" si="3"/>
        <v/>
      </c>
      <c r="K6476" s="1" t="str">
        <f t="shared" si="4"/>
        <v/>
      </c>
    </row>
    <row r="6477" hidden="1">
      <c r="A6477" s="1"/>
      <c r="B6477" s="1"/>
      <c r="C6477" s="1"/>
      <c r="D6477" s="1"/>
      <c r="E6477" s="1"/>
      <c r="F6477" s="1" t="str">
        <f t="shared" si="1"/>
        <v/>
      </c>
      <c r="G6477" s="1" t="str">
        <f t="shared" si="2"/>
        <v/>
      </c>
      <c r="H6477" s="1"/>
      <c r="I6477" s="1"/>
      <c r="J6477" s="1" t="str">
        <f t="shared" si="3"/>
        <v/>
      </c>
      <c r="K6477" s="1" t="str">
        <f t="shared" si="4"/>
        <v/>
      </c>
    </row>
    <row r="6478" hidden="1">
      <c r="A6478" s="1"/>
      <c r="B6478" s="1"/>
      <c r="C6478" s="1"/>
      <c r="D6478" s="1"/>
      <c r="E6478" s="1"/>
      <c r="F6478" s="1" t="str">
        <f t="shared" si="1"/>
        <v/>
      </c>
      <c r="G6478" s="1" t="str">
        <f t="shared" si="2"/>
        <v/>
      </c>
      <c r="H6478" s="1"/>
      <c r="I6478" s="1"/>
      <c r="J6478" s="1" t="str">
        <f t="shared" si="3"/>
        <v/>
      </c>
      <c r="K6478" s="1" t="str">
        <f t="shared" si="4"/>
        <v/>
      </c>
    </row>
    <row r="6479" hidden="1">
      <c r="A6479" s="1"/>
      <c r="B6479" s="1"/>
      <c r="C6479" s="1"/>
      <c r="D6479" s="1"/>
      <c r="E6479" s="1"/>
      <c r="F6479" s="1" t="str">
        <f t="shared" si="1"/>
        <v/>
      </c>
      <c r="G6479" s="1" t="str">
        <f t="shared" si="2"/>
        <v/>
      </c>
      <c r="H6479" s="1"/>
      <c r="I6479" s="1"/>
      <c r="J6479" s="1" t="str">
        <f t="shared" si="3"/>
        <v/>
      </c>
      <c r="K6479" s="1" t="str">
        <f t="shared" si="4"/>
        <v/>
      </c>
    </row>
    <row r="6480" hidden="1">
      <c r="A6480" s="1"/>
      <c r="B6480" s="1"/>
      <c r="C6480" s="1"/>
      <c r="D6480" s="1"/>
      <c r="E6480" s="1"/>
      <c r="F6480" s="1" t="str">
        <f t="shared" si="1"/>
        <v/>
      </c>
      <c r="G6480" s="1" t="str">
        <f t="shared" si="2"/>
        <v/>
      </c>
      <c r="H6480" s="1"/>
      <c r="I6480" s="1"/>
      <c r="J6480" s="1" t="str">
        <f t="shared" si="3"/>
        <v/>
      </c>
      <c r="K6480" s="1" t="str">
        <f t="shared" si="4"/>
        <v/>
      </c>
    </row>
    <row r="6481" hidden="1">
      <c r="A6481" s="1"/>
      <c r="B6481" s="1"/>
      <c r="C6481" s="1"/>
      <c r="D6481" s="1"/>
      <c r="E6481" s="1"/>
      <c r="F6481" s="1" t="str">
        <f t="shared" si="1"/>
        <v/>
      </c>
      <c r="G6481" s="1" t="str">
        <f t="shared" si="2"/>
        <v/>
      </c>
      <c r="H6481" s="1"/>
      <c r="I6481" s="1"/>
      <c r="J6481" s="1" t="str">
        <f t="shared" si="3"/>
        <v/>
      </c>
      <c r="K6481" s="1" t="str">
        <f t="shared" si="4"/>
        <v/>
      </c>
    </row>
    <row r="6482" hidden="1">
      <c r="A6482" s="1"/>
      <c r="B6482" s="1"/>
      <c r="C6482" s="1"/>
      <c r="D6482" s="1"/>
      <c r="E6482" s="1"/>
      <c r="F6482" s="1" t="str">
        <f t="shared" si="1"/>
        <v/>
      </c>
      <c r="G6482" s="1" t="str">
        <f t="shared" si="2"/>
        <v/>
      </c>
      <c r="H6482" s="1"/>
      <c r="I6482" s="1"/>
      <c r="J6482" s="1" t="str">
        <f t="shared" si="3"/>
        <v/>
      </c>
      <c r="K6482" s="1" t="str">
        <f t="shared" si="4"/>
        <v/>
      </c>
    </row>
    <row r="6483" hidden="1">
      <c r="A6483" s="1"/>
      <c r="B6483" s="1"/>
      <c r="C6483" s="1"/>
      <c r="D6483" s="1"/>
      <c r="E6483" s="1"/>
      <c r="F6483" s="1" t="str">
        <f t="shared" si="1"/>
        <v/>
      </c>
      <c r="G6483" s="1" t="str">
        <f t="shared" si="2"/>
        <v/>
      </c>
      <c r="H6483" s="1"/>
      <c r="I6483" s="1"/>
      <c r="J6483" s="1" t="str">
        <f t="shared" si="3"/>
        <v/>
      </c>
      <c r="K6483" s="1" t="str">
        <f t="shared" si="4"/>
        <v/>
      </c>
    </row>
    <row r="6484" hidden="1">
      <c r="A6484" s="1"/>
      <c r="B6484" s="1"/>
      <c r="C6484" s="1"/>
      <c r="D6484" s="1"/>
      <c r="E6484" s="1"/>
      <c r="F6484" s="1" t="str">
        <f t="shared" si="1"/>
        <v/>
      </c>
      <c r="G6484" s="1" t="str">
        <f t="shared" si="2"/>
        <v/>
      </c>
      <c r="H6484" s="1"/>
      <c r="I6484" s="1"/>
      <c r="J6484" s="1" t="str">
        <f t="shared" si="3"/>
        <v/>
      </c>
      <c r="K6484" s="1" t="str">
        <f t="shared" si="4"/>
        <v/>
      </c>
    </row>
    <row r="6485" hidden="1">
      <c r="A6485" s="1"/>
      <c r="B6485" s="1"/>
      <c r="C6485" s="1"/>
      <c r="D6485" s="1"/>
      <c r="E6485" s="1"/>
      <c r="F6485" s="1" t="str">
        <f t="shared" si="1"/>
        <v/>
      </c>
      <c r="G6485" s="1" t="str">
        <f t="shared" si="2"/>
        <v/>
      </c>
      <c r="H6485" s="1"/>
      <c r="I6485" s="1"/>
      <c r="J6485" s="1" t="str">
        <f t="shared" si="3"/>
        <v/>
      </c>
      <c r="K6485" s="1" t="str">
        <f t="shared" si="4"/>
        <v/>
      </c>
    </row>
    <row r="6486" hidden="1">
      <c r="A6486" s="1"/>
      <c r="B6486" s="1"/>
      <c r="C6486" s="1"/>
      <c r="D6486" s="1"/>
      <c r="E6486" s="1"/>
      <c r="F6486" s="1" t="str">
        <f t="shared" si="1"/>
        <v/>
      </c>
      <c r="G6486" s="1" t="str">
        <f t="shared" si="2"/>
        <v/>
      </c>
      <c r="H6486" s="1"/>
      <c r="I6486" s="1"/>
      <c r="J6486" s="1" t="str">
        <f t="shared" si="3"/>
        <v/>
      </c>
      <c r="K6486" s="1" t="str">
        <f t="shared" si="4"/>
        <v/>
      </c>
    </row>
    <row r="6487" hidden="1">
      <c r="A6487" s="1"/>
      <c r="B6487" s="1"/>
      <c r="C6487" s="1"/>
      <c r="D6487" s="1"/>
      <c r="E6487" s="1"/>
      <c r="F6487" s="1" t="str">
        <f t="shared" si="1"/>
        <v/>
      </c>
      <c r="G6487" s="1" t="str">
        <f t="shared" si="2"/>
        <v/>
      </c>
      <c r="H6487" s="1"/>
      <c r="I6487" s="1"/>
      <c r="J6487" s="1" t="str">
        <f t="shared" si="3"/>
        <v/>
      </c>
      <c r="K6487" s="1" t="str">
        <f t="shared" si="4"/>
        <v/>
      </c>
    </row>
    <row r="6488" hidden="1">
      <c r="A6488" s="1"/>
      <c r="B6488" s="1"/>
      <c r="C6488" s="1"/>
      <c r="D6488" s="1"/>
      <c r="E6488" s="1"/>
      <c r="F6488" s="1" t="str">
        <f t="shared" si="1"/>
        <v/>
      </c>
      <c r="G6488" s="1" t="str">
        <f t="shared" si="2"/>
        <v/>
      </c>
      <c r="H6488" s="1"/>
      <c r="I6488" s="1"/>
      <c r="J6488" s="1" t="str">
        <f t="shared" si="3"/>
        <v/>
      </c>
      <c r="K6488" s="1" t="str">
        <f t="shared" si="4"/>
        <v/>
      </c>
    </row>
    <row r="6489" hidden="1">
      <c r="A6489" s="1"/>
      <c r="B6489" s="1"/>
      <c r="C6489" s="1"/>
      <c r="D6489" s="1"/>
      <c r="E6489" s="1"/>
      <c r="F6489" s="1" t="str">
        <f t="shared" si="1"/>
        <v/>
      </c>
      <c r="G6489" s="1" t="str">
        <f t="shared" si="2"/>
        <v/>
      </c>
      <c r="H6489" s="1"/>
      <c r="I6489" s="1"/>
      <c r="J6489" s="1" t="str">
        <f t="shared" si="3"/>
        <v/>
      </c>
      <c r="K6489" s="1" t="str">
        <f t="shared" si="4"/>
        <v/>
      </c>
    </row>
    <row r="6490" hidden="1">
      <c r="A6490" s="1"/>
      <c r="B6490" s="1"/>
      <c r="C6490" s="1"/>
      <c r="D6490" s="1"/>
      <c r="E6490" s="1"/>
      <c r="F6490" s="1" t="str">
        <f t="shared" si="1"/>
        <v/>
      </c>
      <c r="G6490" s="1" t="str">
        <f t="shared" si="2"/>
        <v/>
      </c>
      <c r="H6490" s="1"/>
      <c r="I6490" s="1"/>
      <c r="J6490" s="1" t="str">
        <f t="shared" si="3"/>
        <v/>
      </c>
      <c r="K6490" s="1" t="str">
        <f t="shared" si="4"/>
        <v/>
      </c>
    </row>
    <row r="6491" hidden="1">
      <c r="A6491" s="1"/>
      <c r="B6491" s="1"/>
      <c r="C6491" s="1"/>
      <c r="D6491" s="1"/>
      <c r="E6491" s="1"/>
      <c r="F6491" s="1" t="str">
        <f t="shared" si="1"/>
        <v/>
      </c>
      <c r="G6491" s="1" t="str">
        <f t="shared" si="2"/>
        <v/>
      </c>
      <c r="H6491" s="1"/>
      <c r="I6491" s="1"/>
      <c r="J6491" s="1" t="str">
        <f t="shared" si="3"/>
        <v/>
      </c>
      <c r="K6491" s="1" t="str">
        <f t="shared" si="4"/>
        <v/>
      </c>
    </row>
    <row r="6492" hidden="1">
      <c r="A6492" s="1"/>
      <c r="B6492" s="1"/>
      <c r="C6492" s="1"/>
      <c r="D6492" s="1"/>
      <c r="E6492" s="1"/>
      <c r="F6492" s="1" t="str">
        <f t="shared" si="1"/>
        <v/>
      </c>
      <c r="G6492" s="1" t="str">
        <f t="shared" si="2"/>
        <v/>
      </c>
      <c r="H6492" s="1"/>
      <c r="I6492" s="1"/>
      <c r="J6492" s="1" t="str">
        <f t="shared" si="3"/>
        <v/>
      </c>
      <c r="K6492" s="1" t="str">
        <f t="shared" si="4"/>
        <v/>
      </c>
    </row>
    <row r="6493" hidden="1">
      <c r="A6493" s="1"/>
      <c r="B6493" s="1"/>
      <c r="C6493" s="1"/>
      <c r="D6493" s="1"/>
      <c r="E6493" s="1"/>
      <c r="F6493" s="1" t="str">
        <f t="shared" si="1"/>
        <v/>
      </c>
      <c r="G6493" s="1" t="str">
        <f t="shared" si="2"/>
        <v/>
      </c>
      <c r="H6493" s="1"/>
      <c r="I6493" s="1"/>
      <c r="J6493" s="1" t="str">
        <f t="shared" si="3"/>
        <v/>
      </c>
      <c r="K6493" s="1" t="str">
        <f t="shared" si="4"/>
        <v/>
      </c>
    </row>
    <row r="6494" hidden="1">
      <c r="A6494" s="1"/>
      <c r="B6494" s="1"/>
      <c r="C6494" s="1"/>
      <c r="D6494" s="1"/>
      <c r="E6494" s="1"/>
      <c r="F6494" s="1" t="str">
        <f t="shared" si="1"/>
        <v/>
      </c>
      <c r="G6494" s="1" t="str">
        <f t="shared" si="2"/>
        <v/>
      </c>
      <c r="H6494" s="1"/>
      <c r="I6494" s="1"/>
      <c r="J6494" s="1" t="str">
        <f t="shared" si="3"/>
        <v/>
      </c>
      <c r="K6494" s="1" t="str">
        <f t="shared" si="4"/>
        <v/>
      </c>
    </row>
    <row r="6495" hidden="1">
      <c r="A6495" s="1"/>
      <c r="B6495" s="1"/>
      <c r="C6495" s="1"/>
      <c r="D6495" s="1"/>
      <c r="E6495" s="1"/>
      <c r="F6495" s="1" t="str">
        <f t="shared" si="1"/>
        <v/>
      </c>
      <c r="G6495" s="1" t="str">
        <f t="shared" si="2"/>
        <v/>
      </c>
      <c r="H6495" s="1"/>
      <c r="I6495" s="1"/>
      <c r="J6495" s="1" t="str">
        <f t="shared" si="3"/>
        <v/>
      </c>
      <c r="K6495" s="1" t="str">
        <f t="shared" si="4"/>
        <v/>
      </c>
    </row>
    <row r="6496" hidden="1">
      <c r="A6496" s="1"/>
      <c r="B6496" s="1"/>
      <c r="C6496" s="1"/>
      <c r="D6496" s="1"/>
      <c r="E6496" s="1"/>
      <c r="F6496" s="1" t="str">
        <f t="shared" si="1"/>
        <v/>
      </c>
      <c r="G6496" s="1" t="str">
        <f t="shared" si="2"/>
        <v/>
      </c>
      <c r="H6496" s="1"/>
      <c r="I6496" s="1"/>
      <c r="J6496" s="1" t="str">
        <f t="shared" si="3"/>
        <v/>
      </c>
      <c r="K6496" s="1" t="str">
        <f t="shared" si="4"/>
        <v/>
      </c>
    </row>
    <row r="6497" hidden="1">
      <c r="A6497" s="1"/>
      <c r="B6497" s="1"/>
      <c r="C6497" s="1"/>
      <c r="D6497" s="1"/>
      <c r="E6497" s="1"/>
      <c r="F6497" s="1" t="str">
        <f t="shared" si="1"/>
        <v/>
      </c>
      <c r="G6497" s="1" t="str">
        <f t="shared" si="2"/>
        <v/>
      </c>
      <c r="H6497" s="1"/>
      <c r="I6497" s="1"/>
      <c r="J6497" s="1" t="str">
        <f t="shared" si="3"/>
        <v/>
      </c>
      <c r="K6497" s="1" t="str">
        <f t="shared" si="4"/>
        <v/>
      </c>
    </row>
    <row r="6498" hidden="1">
      <c r="A6498" s="1"/>
      <c r="B6498" s="1"/>
      <c r="C6498" s="1"/>
      <c r="D6498" s="1"/>
      <c r="E6498" s="1"/>
      <c r="F6498" s="1" t="str">
        <f t="shared" si="1"/>
        <v/>
      </c>
      <c r="G6498" s="1" t="str">
        <f t="shared" si="2"/>
        <v/>
      </c>
      <c r="H6498" s="1"/>
      <c r="I6498" s="1"/>
      <c r="J6498" s="1" t="str">
        <f t="shared" si="3"/>
        <v/>
      </c>
      <c r="K6498" s="1" t="str">
        <f t="shared" si="4"/>
        <v/>
      </c>
    </row>
    <row r="6499" hidden="1">
      <c r="A6499" s="1"/>
      <c r="B6499" s="1"/>
      <c r="C6499" s="1"/>
      <c r="D6499" s="1"/>
      <c r="E6499" s="1"/>
      <c r="F6499" s="1" t="str">
        <f t="shared" si="1"/>
        <v/>
      </c>
      <c r="G6499" s="1" t="str">
        <f t="shared" si="2"/>
        <v/>
      </c>
      <c r="H6499" s="1"/>
      <c r="I6499" s="1"/>
      <c r="J6499" s="1" t="str">
        <f t="shared" si="3"/>
        <v/>
      </c>
      <c r="K6499" s="1" t="str">
        <f t="shared" si="4"/>
        <v/>
      </c>
    </row>
    <row r="6500" hidden="1">
      <c r="A6500" s="1"/>
      <c r="B6500" s="1"/>
      <c r="C6500" s="1"/>
      <c r="D6500" s="1"/>
      <c r="E6500" s="1"/>
      <c r="F6500" s="1" t="str">
        <f t="shared" si="1"/>
        <v/>
      </c>
      <c r="G6500" s="1" t="str">
        <f t="shared" si="2"/>
        <v/>
      </c>
      <c r="H6500" s="1"/>
      <c r="I6500" s="1"/>
      <c r="J6500" s="1" t="str">
        <f t="shared" si="3"/>
        <v/>
      </c>
      <c r="K6500" s="1" t="str">
        <f t="shared" si="4"/>
        <v/>
      </c>
    </row>
    <row r="6501" hidden="1">
      <c r="A6501" s="1"/>
      <c r="B6501" s="1"/>
      <c r="C6501" s="1"/>
      <c r="D6501" s="1"/>
      <c r="E6501" s="1"/>
      <c r="F6501" s="1" t="str">
        <f t="shared" si="1"/>
        <v/>
      </c>
      <c r="G6501" s="1" t="str">
        <f t="shared" si="2"/>
        <v/>
      </c>
      <c r="H6501" s="1"/>
      <c r="I6501" s="1"/>
      <c r="J6501" s="1" t="str">
        <f t="shared" si="3"/>
        <v/>
      </c>
      <c r="K6501" s="1" t="str">
        <f t="shared" si="4"/>
        <v/>
      </c>
    </row>
    <row r="6502" hidden="1">
      <c r="A6502" s="1"/>
      <c r="B6502" s="1"/>
      <c r="C6502" s="1"/>
      <c r="D6502" s="1"/>
      <c r="E6502" s="1"/>
      <c r="F6502" s="1" t="str">
        <f t="shared" si="1"/>
        <v/>
      </c>
      <c r="G6502" s="1" t="str">
        <f t="shared" si="2"/>
        <v/>
      </c>
      <c r="H6502" s="1"/>
      <c r="I6502" s="1"/>
      <c r="J6502" s="1" t="str">
        <f t="shared" si="3"/>
        <v/>
      </c>
      <c r="K6502" s="1" t="str">
        <f t="shared" si="4"/>
        <v/>
      </c>
    </row>
    <row r="6503" hidden="1">
      <c r="A6503" s="1"/>
      <c r="B6503" s="1"/>
      <c r="C6503" s="1"/>
      <c r="D6503" s="1"/>
      <c r="E6503" s="1"/>
      <c r="F6503" s="1" t="str">
        <f t="shared" si="1"/>
        <v/>
      </c>
      <c r="G6503" s="1" t="str">
        <f t="shared" si="2"/>
        <v/>
      </c>
      <c r="H6503" s="1"/>
      <c r="I6503" s="1"/>
      <c r="J6503" s="1" t="str">
        <f t="shared" si="3"/>
        <v/>
      </c>
      <c r="K6503" s="1" t="str">
        <f t="shared" si="4"/>
        <v/>
      </c>
    </row>
    <row r="6504" hidden="1">
      <c r="A6504" s="1"/>
      <c r="B6504" s="1"/>
      <c r="C6504" s="1"/>
      <c r="D6504" s="1"/>
      <c r="E6504" s="1"/>
      <c r="F6504" s="1" t="str">
        <f t="shared" si="1"/>
        <v/>
      </c>
      <c r="G6504" s="1" t="str">
        <f t="shared" si="2"/>
        <v/>
      </c>
      <c r="H6504" s="1"/>
      <c r="I6504" s="1"/>
      <c r="J6504" s="1" t="str">
        <f t="shared" si="3"/>
        <v/>
      </c>
      <c r="K6504" s="1" t="str">
        <f t="shared" si="4"/>
        <v/>
      </c>
    </row>
    <row r="6505" hidden="1">
      <c r="A6505" s="1"/>
      <c r="B6505" s="1"/>
      <c r="C6505" s="1"/>
      <c r="D6505" s="1"/>
      <c r="E6505" s="1"/>
      <c r="F6505" s="1" t="str">
        <f t="shared" si="1"/>
        <v/>
      </c>
      <c r="G6505" s="1" t="str">
        <f t="shared" si="2"/>
        <v/>
      </c>
      <c r="H6505" s="1"/>
      <c r="I6505" s="1"/>
      <c r="J6505" s="1" t="str">
        <f t="shared" si="3"/>
        <v/>
      </c>
      <c r="K6505" s="1" t="str">
        <f t="shared" si="4"/>
        <v/>
      </c>
    </row>
    <row r="6506" hidden="1">
      <c r="A6506" s="1"/>
      <c r="B6506" s="1"/>
      <c r="C6506" s="1"/>
      <c r="D6506" s="1"/>
      <c r="E6506" s="1"/>
      <c r="F6506" s="1" t="str">
        <f t="shared" si="1"/>
        <v/>
      </c>
      <c r="G6506" s="1" t="str">
        <f t="shared" si="2"/>
        <v/>
      </c>
      <c r="H6506" s="1"/>
      <c r="I6506" s="1"/>
      <c r="J6506" s="1" t="str">
        <f t="shared" si="3"/>
        <v/>
      </c>
      <c r="K6506" s="1" t="str">
        <f t="shared" si="4"/>
        <v/>
      </c>
    </row>
    <row r="6507" hidden="1">
      <c r="A6507" s="1"/>
      <c r="B6507" s="1"/>
      <c r="C6507" s="1"/>
      <c r="D6507" s="1"/>
      <c r="E6507" s="1"/>
      <c r="F6507" s="1" t="str">
        <f t="shared" si="1"/>
        <v/>
      </c>
      <c r="G6507" s="1" t="str">
        <f t="shared" si="2"/>
        <v/>
      </c>
      <c r="H6507" s="1"/>
      <c r="I6507" s="1"/>
      <c r="J6507" s="1" t="str">
        <f t="shared" si="3"/>
        <v/>
      </c>
      <c r="K6507" s="1" t="str">
        <f t="shared" si="4"/>
        <v/>
      </c>
    </row>
    <row r="6508" hidden="1">
      <c r="A6508" s="1"/>
      <c r="B6508" s="1"/>
      <c r="C6508" s="1"/>
      <c r="D6508" s="1"/>
      <c r="E6508" s="1"/>
      <c r="F6508" s="1" t="str">
        <f t="shared" si="1"/>
        <v/>
      </c>
      <c r="G6508" s="1" t="str">
        <f t="shared" si="2"/>
        <v/>
      </c>
      <c r="H6508" s="1"/>
      <c r="I6508" s="1"/>
      <c r="J6508" s="1" t="str">
        <f t="shared" si="3"/>
        <v/>
      </c>
      <c r="K6508" s="1" t="str">
        <f t="shared" si="4"/>
        <v/>
      </c>
    </row>
    <row r="6509" hidden="1">
      <c r="A6509" s="1"/>
      <c r="B6509" s="1"/>
      <c r="C6509" s="1"/>
      <c r="D6509" s="1"/>
      <c r="E6509" s="1"/>
      <c r="F6509" s="1" t="str">
        <f t="shared" si="1"/>
        <v/>
      </c>
      <c r="G6509" s="1" t="str">
        <f t="shared" si="2"/>
        <v/>
      </c>
      <c r="H6509" s="1"/>
      <c r="I6509" s="1"/>
      <c r="J6509" s="1" t="str">
        <f t="shared" si="3"/>
        <v/>
      </c>
      <c r="K6509" s="1" t="str">
        <f t="shared" si="4"/>
        <v/>
      </c>
    </row>
    <row r="6510" hidden="1">
      <c r="A6510" s="1"/>
      <c r="B6510" s="1"/>
      <c r="C6510" s="1"/>
      <c r="D6510" s="1"/>
      <c r="E6510" s="1"/>
      <c r="F6510" s="1" t="str">
        <f t="shared" si="1"/>
        <v/>
      </c>
      <c r="G6510" s="1" t="str">
        <f t="shared" si="2"/>
        <v/>
      </c>
      <c r="H6510" s="1"/>
      <c r="I6510" s="1"/>
      <c r="J6510" s="1" t="str">
        <f t="shared" si="3"/>
        <v/>
      </c>
      <c r="K6510" s="1" t="str">
        <f t="shared" si="4"/>
        <v/>
      </c>
    </row>
    <row r="6511" hidden="1">
      <c r="A6511" s="1"/>
      <c r="B6511" s="1"/>
      <c r="C6511" s="1"/>
      <c r="D6511" s="1"/>
      <c r="E6511" s="1"/>
      <c r="F6511" s="1" t="str">
        <f t="shared" si="1"/>
        <v/>
      </c>
      <c r="G6511" s="1" t="str">
        <f t="shared" si="2"/>
        <v/>
      </c>
      <c r="H6511" s="1"/>
      <c r="I6511" s="1"/>
      <c r="J6511" s="1" t="str">
        <f t="shared" si="3"/>
        <v/>
      </c>
      <c r="K6511" s="1" t="str">
        <f t="shared" si="4"/>
        <v/>
      </c>
    </row>
    <row r="6512" hidden="1">
      <c r="A6512" s="1"/>
      <c r="B6512" s="1"/>
      <c r="C6512" s="1"/>
      <c r="D6512" s="1"/>
      <c r="E6512" s="1"/>
      <c r="F6512" s="1" t="str">
        <f t="shared" si="1"/>
        <v/>
      </c>
      <c r="G6512" s="1" t="str">
        <f t="shared" si="2"/>
        <v/>
      </c>
      <c r="H6512" s="1"/>
      <c r="I6512" s="1"/>
      <c r="J6512" s="1" t="str">
        <f t="shared" si="3"/>
        <v/>
      </c>
      <c r="K6512" s="1" t="str">
        <f t="shared" si="4"/>
        <v/>
      </c>
    </row>
    <row r="6513" hidden="1">
      <c r="A6513" s="1"/>
      <c r="B6513" s="1"/>
      <c r="C6513" s="1"/>
      <c r="D6513" s="1"/>
      <c r="E6513" s="1"/>
      <c r="F6513" s="1" t="str">
        <f t="shared" si="1"/>
        <v/>
      </c>
      <c r="G6513" s="1" t="str">
        <f t="shared" si="2"/>
        <v/>
      </c>
      <c r="H6513" s="1"/>
      <c r="I6513" s="1"/>
      <c r="J6513" s="1" t="str">
        <f t="shared" si="3"/>
        <v/>
      </c>
      <c r="K6513" s="1" t="str">
        <f t="shared" si="4"/>
        <v/>
      </c>
    </row>
    <row r="6514" hidden="1">
      <c r="A6514" s="1"/>
      <c r="B6514" s="1"/>
      <c r="C6514" s="1"/>
      <c r="D6514" s="1"/>
      <c r="E6514" s="1"/>
      <c r="F6514" s="1" t="str">
        <f t="shared" si="1"/>
        <v/>
      </c>
      <c r="G6514" s="1" t="str">
        <f t="shared" si="2"/>
        <v/>
      </c>
      <c r="H6514" s="1"/>
      <c r="I6514" s="1"/>
      <c r="J6514" s="1" t="str">
        <f t="shared" si="3"/>
        <v/>
      </c>
      <c r="K6514" s="1" t="str">
        <f t="shared" si="4"/>
        <v/>
      </c>
    </row>
    <row r="6515" hidden="1">
      <c r="A6515" s="1"/>
      <c r="B6515" s="1"/>
      <c r="C6515" s="1"/>
      <c r="D6515" s="1"/>
      <c r="E6515" s="1"/>
      <c r="F6515" s="1" t="str">
        <f t="shared" si="1"/>
        <v/>
      </c>
      <c r="G6515" s="1" t="str">
        <f t="shared" si="2"/>
        <v/>
      </c>
      <c r="H6515" s="1"/>
      <c r="I6515" s="1"/>
      <c r="J6515" s="1" t="str">
        <f t="shared" si="3"/>
        <v/>
      </c>
      <c r="K6515" s="1" t="str">
        <f t="shared" si="4"/>
        <v/>
      </c>
    </row>
    <row r="6516" hidden="1">
      <c r="A6516" s="1"/>
      <c r="B6516" s="1"/>
      <c r="C6516" s="1"/>
      <c r="D6516" s="1"/>
      <c r="E6516" s="1"/>
      <c r="F6516" s="1" t="str">
        <f t="shared" si="1"/>
        <v/>
      </c>
      <c r="G6516" s="1" t="str">
        <f t="shared" si="2"/>
        <v/>
      </c>
      <c r="H6516" s="1"/>
      <c r="I6516" s="1"/>
      <c r="J6516" s="1" t="str">
        <f t="shared" si="3"/>
        <v/>
      </c>
      <c r="K6516" s="1" t="str">
        <f t="shared" si="4"/>
        <v/>
      </c>
    </row>
    <row r="6517" hidden="1">
      <c r="A6517" s="1"/>
      <c r="B6517" s="1"/>
      <c r="C6517" s="1"/>
      <c r="D6517" s="1"/>
      <c r="E6517" s="1"/>
      <c r="F6517" s="1" t="str">
        <f t="shared" si="1"/>
        <v/>
      </c>
      <c r="G6517" s="1" t="str">
        <f t="shared" si="2"/>
        <v/>
      </c>
      <c r="H6517" s="1"/>
      <c r="I6517" s="1"/>
      <c r="J6517" s="1" t="str">
        <f t="shared" si="3"/>
        <v/>
      </c>
      <c r="K6517" s="1" t="str">
        <f t="shared" si="4"/>
        <v/>
      </c>
    </row>
    <row r="6518" hidden="1">
      <c r="A6518" s="1"/>
      <c r="B6518" s="1"/>
      <c r="C6518" s="1"/>
      <c r="D6518" s="1"/>
      <c r="E6518" s="1"/>
      <c r="F6518" s="1" t="str">
        <f t="shared" si="1"/>
        <v/>
      </c>
      <c r="G6518" s="1" t="str">
        <f t="shared" si="2"/>
        <v/>
      </c>
      <c r="H6518" s="1"/>
      <c r="I6518" s="1"/>
      <c r="J6518" s="1" t="str">
        <f t="shared" si="3"/>
        <v/>
      </c>
      <c r="K6518" s="1" t="str">
        <f t="shared" si="4"/>
        <v/>
      </c>
    </row>
    <row r="6519" hidden="1">
      <c r="A6519" s="1"/>
      <c r="B6519" s="1"/>
      <c r="C6519" s="1"/>
      <c r="D6519" s="1"/>
      <c r="E6519" s="1"/>
      <c r="F6519" s="1" t="str">
        <f t="shared" si="1"/>
        <v/>
      </c>
      <c r="G6519" s="1" t="str">
        <f t="shared" si="2"/>
        <v/>
      </c>
      <c r="H6519" s="1"/>
      <c r="I6519" s="1"/>
      <c r="J6519" s="1" t="str">
        <f t="shared" si="3"/>
        <v/>
      </c>
      <c r="K6519" s="1" t="str">
        <f t="shared" si="4"/>
        <v/>
      </c>
    </row>
    <row r="6520" hidden="1">
      <c r="A6520" s="1"/>
      <c r="B6520" s="1"/>
      <c r="C6520" s="1"/>
      <c r="D6520" s="1"/>
      <c r="E6520" s="1"/>
      <c r="F6520" s="1" t="str">
        <f t="shared" si="1"/>
        <v/>
      </c>
      <c r="G6520" s="1" t="str">
        <f t="shared" si="2"/>
        <v/>
      </c>
      <c r="H6520" s="1"/>
      <c r="I6520" s="1"/>
      <c r="J6520" s="1" t="str">
        <f t="shared" si="3"/>
        <v/>
      </c>
      <c r="K6520" s="1" t="str">
        <f t="shared" si="4"/>
        <v/>
      </c>
    </row>
    <row r="6521" hidden="1">
      <c r="A6521" s="1"/>
      <c r="B6521" s="1"/>
      <c r="C6521" s="1"/>
      <c r="D6521" s="1"/>
      <c r="E6521" s="1"/>
      <c r="F6521" s="1" t="str">
        <f t="shared" si="1"/>
        <v/>
      </c>
      <c r="G6521" s="1" t="str">
        <f t="shared" si="2"/>
        <v/>
      </c>
      <c r="H6521" s="1"/>
      <c r="I6521" s="1"/>
      <c r="J6521" s="1" t="str">
        <f t="shared" si="3"/>
        <v/>
      </c>
      <c r="K6521" s="1" t="str">
        <f t="shared" si="4"/>
        <v/>
      </c>
    </row>
    <row r="6522" hidden="1">
      <c r="A6522" s="1"/>
      <c r="B6522" s="1"/>
      <c r="C6522" s="1"/>
      <c r="D6522" s="1"/>
      <c r="E6522" s="1"/>
      <c r="F6522" s="1" t="str">
        <f t="shared" si="1"/>
        <v/>
      </c>
      <c r="G6522" s="1" t="str">
        <f t="shared" si="2"/>
        <v/>
      </c>
      <c r="H6522" s="1"/>
      <c r="I6522" s="1"/>
      <c r="J6522" s="1" t="str">
        <f t="shared" si="3"/>
        <v/>
      </c>
      <c r="K6522" s="1" t="str">
        <f t="shared" si="4"/>
        <v/>
      </c>
    </row>
    <row r="6523" hidden="1">
      <c r="A6523" s="1"/>
      <c r="B6523" s="1"/>
      <c r="C6523" s="1"/>
      <c r="D6523" s="1"/>
      <c r="E6523" s="1"/>
      <c r="F6523" s="1" t="str">
        <f t="shared" si="1"/>
        <v/>
      </c>
      <c r="G6523" s="1" t="str">
        <f t="shared" si="2"/>
        <v/>
      </c>
      <c r="H6523" s="1"/>
      <c r="I6523" s="1"/>
      <c r="J6523" s="1" t="str">
        <f t="shared" si="3"/>
        <v/>
      </c>
      <c r="K6523" s="1" t="str">
        <f t="shared" si="4"/>
        <v/>
      </c>
    </row>
    <row r="6524" hidden="1">
      <c r="A6524" s="1"/>
      <c r="B6524" s="1"/>
      <c r="C6524" s="1"/>
      <c r="D6524" s="1"/>
      <c r="E6524" s="1"/>
      <c r="F6524" s="1" t="str">
        <f t="shared" si="1"/>
        <v/>
      </c>
      <c r="G6524" s="1" t="str">
        <f t="shared" si="2"/>
        <v/>
      </c>
      <c r="H6524" s="1"/>
      <c r="I6524" s="1"/>
      <c r="J6524" s="1" t="str">
        <f t="shared" si="3"/>
        <v/>
      </c>
      <c r="K6524" s="1" t="str">
        <f t="shared" si="4"/>
        <v/>
      </c>
    </row>
    <row r="6525" hidden="1">
      <c r="A6525" s="1"/>
      <c r="B6525" s="1"/>
      <c r="C6525" s="1"/>
      <c r="D6525" s="1"/>
      <c r="E6525" s="1"/>
      <c r="F6525" s="1" t="str">
        <f t="shared" si="1"/>
        <v/>
      </c>
      <c r="G6525" s="1" t="str">
        <f t="shared" si="2"/>
        <v/>
      </c>
      <c r="H6525" s="1"/>
      <c r="I6525" s="1"/>
      <c r="J6525" s="1" t="str">
        <f t="shared" si="3"/>
        <v/>
      </c>
      <c r="K6525" s="1" t="str">
        <f t="shared" si="4"/>
        <v/>
      </c>
    </row>
    <row r="6526" hidden="1">
      <c r="A6526" s="1"/>
      <c r="B6526" s="1"/>
      <c r="C6526" s="1"/>
      <c r="D6526" s="1"/>
      <c r="E6526" s="1"/>
      <c r="F6526" s="1" t="str">
        <f t="shared" si="1"/>
        <v/>
      </c>
      <c r="G6526" s="1" t="str">
        <f t="shared" si="2"/>
        <v/>
      </c>
      <c r="H6526" s="1"/>
      <c r="I6526" s="1"/>
      <c r="J6526" s="1" t="str">
        <f t="shared" si="3"/>
        <v/>
      </c>
      <c r="K6526" s="1" t="str">
        <f t="shared" si="4"/>
        <v/>
      </c>
    </row>
    <row r="6527" hidden="1">
      <c r="A6527" s="1"/>
      <c r="B6527" s="1"/>
      <c r="C6527" s="1"/>
      <c r="D6527" s="1"/>
      <c r="E6527" s="1"/>
      <c r="F6527" s="1" t="str">
        <f t="shared" si="1"/>
        <v/>
      </c>
      <c r="G6527" s="1" t="str">
        <f t="shared" si="2"/>
        <v/>
      </c>
      <c r="H6527" s="1"/>
      <c r="I6527" s="1"/>
      <c r="J6527" s="1" t="str">
        <f t="shared" si="3"/>
        <v/>
      </c>
      <c r="K6527" s="1" t="str">
        <f t="shared" si="4"/>
        <v/>
      </c>
    </row>
    <row r="6528" hidden="1">
      <c r="A6528" s="1"/>
      <c r="B6528" s="1"/>
      <c r="C6528" s="1"/>
      <c r="D6528" s="1"/>
      <c r="E6528" s="1"/>
      <c r="F6528" s="1" t="str">
        <f t="shared" si="1"/>
        <v/>
      </c>
      <c r="G6528" s="1" t="str">
        <f t="shared" si="2"/>
        <v/>
      </c>
      <c r="H6528" s="1"/>
      <c r="I6528" s="1"/>
      <c r="J6528" s="1" t="str">
        <f t="shared" si="3"/>
        <v/>
      </c>
      <c r="K6528" s="1" t="str">
        <f t="shared" si="4"/>
        <v/>
      </c>
    </row>
    <row r="6529" hidden="1">
      <c r="A6529" s="1"/>
      <c r="B6529" s="1"/>
      <c r="C6529" s="1"/>
      <c r="D6529" s="1"/>
      <c r="E6529" s="1"/>
      <c r="F6529" s="1" t="str">
        <f t="shared" si="1"/>
        <v/>
      </c>
      <c r="G6529" s="1" t="str">
        <f t="shared" si="2"/>
        <v/>
      </c>
      <c r="H6529" s="1"/>
      <c r="I6529" s="1"/>
      <c r="J6529" s="1" t="str">
        <f t="shared" si="3"/>
        <v/>
      </c>
      <c r="K6529" s="1" t="str">
        <f t="shared" si="4"/>
        <v/>
      </c>
    </row>
    <row r="6530" hidden="1">
      <c r="A6530" s="1"/>
      <c r="B6530" s="1"/>
      <c r="C6530" s="1"/>
      <c r="D6530" s="1"/>
      <c r="E6530" s="1"/>
      <c r="F6530" s="1" t="str">
        <f t="shared" si="1"/>
        <v/>
      </c>
      <c r="G6530" s="1" t="str">
        <f t="shared" si="2"/>
        <v/>
      </c>
      <c r="H6530" s="1"/>
      <c r="I6530" s="1"/>
      <c r="J6530" s="1" t="str">
        <f t="shared" si="3"/>
        <v/>
      </c>
      <c r="K6530" s="1" t="str">
        <f t="shared" si="4"/>
        <v/>
      </c>
    </row>
    <row r="6531" hidden="1">
      <c r="A6531" s="1"/>
      <c r="B6531" s="1"/>
      <c r="C6531" s="1"/>
      <c r="D6531" s="1"/>
      <c r="E6531" s="1"/>
      <c r="F6531" s="1" t="str">
        <f t="shared" si="1"/>
        <v/>
      </c>
      <c r="G6531" s="1" t="str">
        <f t="shared" si="2"/>
        <v/>
      </c>
      <c r="H6531" s="1"/>
      <c r="I6531" s="1"/>
      <c r="J6531" s="1" t="str">
        <f t="shared" si="3"/>
        <v/>
      </c>
      <c r="K6531" s="1" t="str">
        <f t="shared" si="4"/>
        <v/>
      </c>
    </row>
    <row r="6532" hidden="1">
      <c r="A6532" s="1"/>
      <c r="B6532" s="1"/>
      <c r="C6532" s="1"/>
      <c r="D6532" s="1"/>
      <c r="E6532" s="1"/>
      <c r="F6532" s="1" t="str">
        <f t="shared" si="1"/>
        <v/>
      </c>
      <c r="G6532" s="1" t="str">
        <f t="shared" si="2"/>
        <v/>
      </c>
      <c r="H6532" s="1"/>
      <c r="I6532" s="1"/>
      <c r="J6532" s="1" t="str">
        <f t="shared" si="3"/>
        <v/>
      </c>
      <c r="K6532" s="1" t="str">
        <f t="shared" si="4"/>
        <v/>
      </c>
    </row>
    <row r="6533" hidden="1">
      <c r="A6533" s="1"/>
      <c r="B6533" s="1"/>
      <c r="C6533" s="1"/>
      <c r="D6533" s="1"/>
      <c r="E6533" s="1"/>
      <c r="F6533" s="1" t="str">
        <f t="shared" si="1"/>
        <v/>
      </c>
      <c r="G6533" s="1" t="str">
        <f t="shared" si="2"/>
        <v/>
      </c>
      <c r="H6533" s="1"/>
      <c r="I6533" s="1"/>
      <c r="J6533" s="1" t="str">
        <f t="shared" si="3"/>
        <v/>
      </c>
      <c r="K6533" s="1" t="str">
        <f t="shared" si="4"/>
        <v/>
      </c>
    </row>
    <row r="6534" hidden="1">
      <c r="A6534" s="1"/>
      <c r="B6534" s="1"/>
      <c r="C6534" s="1"/>
      <c r="D6534" s="1"/>
      <c r="E6534" s="1"/>
      <c r="F6534" s="1" t="str">
        <f t="shared" si="1"/>
        <v/>
      </c>
      <c r="G6534" s="1" t="str">
        <f t="shared" si="2"/>
        <v/>
      </c>
      <c r="H6534" s="1"/>
      <c r="I6534" s="1"/>
      <c r="J6534" s="1" t="str">
        <f t="shared" si="3"/>
        <v/>
      </c>
      <c r="K6534" s="1" t="str">
        <f t="shared" si="4"/>
        <v/>
      </c>
    </row>
    <row r="6535" hidden="1">
      <c r="A6535" s="1"/>
      <c r="B6535" s="1"/>
      <c r="C6535" s="1"/>
      <c r="D6535" s="1"/>
      <c r="E6535" s="1"/>
      <c r="F6535" s="1" t="str">
        <f t="shared" si="1"/>
        <v/>
      </c>
      <c r="G6535" s="1" t="str">
        <f t="shared" si="2"/>
        <v/>
      </c>
      <c r="H6535" s="1"/>
      <c r="I6535" s="1"/>
      <c r="J6535" s="1" t="str">
        <f t="shared" si="3"/>
        <v/>
      </c>
      <c r="K6535" s="1" t="str">
        <f t="shared" si="4"/>
        <v/>
      </c>
    </row>
    <row r="6536" hidden="1">
      <c r="A6536" s="1"/>
      <c r="B6536" s="1"/>
      <c r="C6536" s="1"/>
      <c r="D6536" s="1"/>
      <c r="E6536" s="1"/>
      <c r="F6536" s="1" t="str">
        <f t="shared" si="1"/>
        <v/>
      </c>
      <c r="G6536" s="1" t="str">
        <f t="shared" si="2"/>
        <v/>
      </c>
      <c r="H6536" s="1"/>
      <c r="I6536" s="1"/>
      <c r="J6536" s="1" t="str">
        <f t="shared" si="3"/>
        <v/>
      </c>
      <c r="K6536" s="1" t="str">
        <f t="shared" si="4"/>
        <v/>
      </c>
    </row>
    <row r="6537" hidden="1">
      <c r="A6537" s="1"/>
      <c r="B6537" s="1"/>
      <c r="C6537" s="1"/>
      <c r="D6537" s="1"/>
      <c r="E6537" s="1"/>
      <c r="F6537" s="1" t="str">
        <f t="shared" si="1"/>
        <v/>
      </c>
      <c r="G6537" s="1" t="str">
        <f t="shared" si="2"/>
        <v/>
      </c>
      <c r="H6537" s="1"/>
      <c r="I6537" s="1"/>
      <c r="J6537" s="1" t="str">
        <f t="shared" si="3"/>
        <v/>
      </c>
      <c r="K6537" s="1" t="str">
        <f t="shared" si="4"/>
        <v/>
      </c>
    </row>
    <row r="6538" hidden="1">
      <c r="A6538" s="1"/>
      <c r="B6538" s="1"/>
      <c r="C6538" s="1"/>
      <c r="D6538" s="1"/>
      <c r="E6538" s="1"/>
      <c r="F6538" s="1" t="str">
        <f t="shared" si="1"/>
        <v/>
      </c>
      <c r="G6538" s="1" t="str">
        <f t="shared" si="2"/>
        <v/>
      </c>
      <c r="H6538" s="1"/>
      <c r="I6538" s="1"/>
      <c r="J6538" s="1" t="str">
        <f t="shared" si="3"/>
        <v/>
      </c>
      <c r="K6538" s="1" t="str">
        <f t="shared" si="4"/>
        <v/>
      </c>
    </row>
    <row r="6539" hidden="1">
      <c r="A6539" s="1"/>
      <c r="B6539" s="1"/>
      <c r="C6539" s="1"/>
      <c r="D6539" s="1"/>
      <c r="E6539" s="1"/>
      <c r="F6539" s="1" t="str">
        <f t="shared" si="1"/>
        <v/>
      </c>
      <c r="G6539" s="1" t="str">
        <f t="shared" si="2"/>
        <v/>
      </c>
      <c r="H6539" s="1"/>
      <c r="I6539" s="1"/>
      <c r="J6539" s="1" t="str">
        <f t="shared" si="3"/>
        <v/>
      </c>
      <c r="K6539" s="1" t="str">
        <f t="shared" si="4"/>
        <v/>
      </c>
    </row>
    <row r="6540" hidden="1">
      <c r="A6540" s="1"/>
      <c r="B6540" s="1"/>
      <c r="C6540" s="1"/>
      <c r="D6540" s="1"/>
      <c r="E6540" s="1"/>
      <c r="F6540" s="1" t="str">
        <f t="shared" si="1"/>
        <v/>
      </c>
      <c r="G6540" s="1" t="str">
        <f t="shared" si="2"/>
        <v/>
      </c>
      <c r="H6540" s="1"/>
      <c r="I6540" s="1"/>
      <c r="J6540" s="1" t="str">
        <f t="shared" si="3"/>
        <v/>
      </c>
      <c r="K6540" s="1" t="str">
        <f t="shared" si="4"/>
        <v/>
      </c>
    </row>
    <row r="6541" hidden="1">
      <c r="A6541" s="1"/>
      <c r="B6541" s="1"/>
      <c r="C6541" s="1"/>
      <c r="D6541" s="1"/>
      <c r="E6541" s="1"/>
      <c r="F6541" s="1" t="str">
        <f t="shared" si="1"/>
        <v/>
      </c>
      <c r="G6541" s="1" t="str">
        <f t="shared" si="2"/>
        <v/>
      </c>
      <c r="H6541" s="1"/>
      <c r="I6541" s="1"/>
      <c r="J6541" s="1" t="str">
        <f t="shared" si="3"/>
        <v/>
      </c>
      <c r="K6541" s="1" t="str">
        <f t="shared" si="4"/>
        <v/>
      </c>
    </row>
    <row r="6542" hidden="1">
      <c r="A6542" s="1"/>
      <c r="B6542" s="1"/>
      <c r="C6542" s="1"/>
      <c r="D6542" s="1"/>
      <c r="E6542" s="1"/>
      <c r="F6542" s="1" t="str">
        <f t="shared" si="1"/>
        <v/>
      </c>
      <c r="G6542" s="1" t="str">
        <f t="shared" si="2"/>
        <v/>
      </c>
      <c r="H6542" s="1"/>
      <c r="I6542" s="1"/>
      <c r="J6542" s="1" t="str">
        <f t="shared" si="3"/>
        <v/>
      </c>
      <c r="K6542" s="1" t="str">
        <f t="shared" si="4"/>
        <v/>
      </c>
    </row>
    <row r="6543" hidden="1">
      <c r="A6543" s="1"/>
      <c r="B6543" s="1"/>
      <c r="C6543" s="1"/>
      <c r="D6543" s="1"/>
      <c r="E6543" s="1"/>
      <c r="F6543" s="1" t="str">
        <f t="shared" si="1"/>
        <v/>
      </c>
      <c r="G6543" s="1" t="str">
        <f t="shared" si="2"/>
        <v/>
      </c>
      <c r="H6543" s="1"/>
      <c r="I6543" s="1"/>
      <c r="J6543" s="1" t="str">
        <f t="shared" si="3"/>
        <v/>
      </c>
      <c r="K6543" s="1" t="str">
        <f t="shared" si="4"/>
        <v/>
      </c>
    </row>
    <row r="6544" hidden="1">
      <c r="A6544" s="1"/>
      <c r="B6544" s="1"/>
      <c r="C6544" s="1"/>
      <c r="D6544" s="1"/>
      <c r="E6544" s="1"/>
      <c r="F6544" s="1" t="str">
        <f t="shared" si="1"/>
        <v/>
      </c>
      <c r="G6544" s="1" t="str">
        <f t="shared" si="2"/>
        <v/>
      </c>
      <c r="H6544" s="1"/>
      <c r="I6544" s="1"/>
      <c r="J6544" s="1" t="str">
        <f t="shared" si="3"/>
        <v/>
      </c>
      <c r="K6544" s="1" t="str">
        <f t="shared" si="4"/>
        <v/>
      </c>
    </row>
    <row r="6545" hidden="1">
      <c r="A6545" s="1"/>
      <c r="B6545" s="1"/>
      <c r="C6545" s="1"/>
      <c r="D6545" s="1"/>
      <c r="E6545" s="1"/>
      <c r="F6545" s="1" t="str">
        <f t="shared" si="1"/>
        <v/>
      </c>
      <c r="G6545" s="1" t="str">
        <f t="shared" si="2"/>
        <v/>
      </c>
      <c r="H6545" s="1"/>
      <c r="I6545" s="1"/>
      <c r="J6545" s="1" t="str">
        <f t="shared" si="3"/>
        <v/>
      </c>
      <c r="K6545" s="1" t="str">
        <f t="shared" si="4"/>
        <v/>
      </c>
    </row>
    <row r="6546" hidden="1">
      <c r="A6546" s="1"/>
      <c r="B6546" s="1"/>
      <c r="C6546" s="1"/>
      <c r="D6546" s="1"/>
      <c r="E6546" s="1"/>
      <c r="F6546" s="1" t="str">
        <f t="shared" si="1"/>
        <v/>
      </c>
      <c r="G6546" s="1" t="str">
        <f t="shared" si="2"/>
        <v/>
      </c>
      <c r="H6546" s="1"/>
      <c r="I6546" s="1"/>
      <c r="J6546" s="1" t="str">
        <f t="shared" si="3"/>
        <v/>
      </c>
      <c r="K6546" s="1" t="str">
        <f t="shared" si="4"/>
        <v/>
      </c>
    </row>
    <row r="6547" hidden="1">
      <c r="A6547" s="1"/>
      <c r="B6547" s="1"/>
      <c r="C6547" s="1"/>
      <c r="D6547" s="1"/>
      <c r="E6547" s="1"/>
      <c r="F6547" s="1" t="str">
        <f t="shared" si="1"/>
        <v/>
      </c>
      <c r="G6547" s="1" t="str">
        <f t="shared" si="2"/>
        <v/>
      </c>
      <c r="H6547" s="1"/>
      <c r="I6547" s="1"/>
      <c r="J6547" s="1" t="str">
        <f t="shared" si="3"/>
        <v/>
      </c>
      <c r="K6547" s="1" t="str">
        <f t="shared" si="4"/>
        <v/>
      </c>
    </row>
    <row r="6548" hidden="1">
      <c r="A6548" s="1"/>
      <c r="B6548" s="1"/>
      <c r="C6548" s="1"/>
      <c r="D6548" s="1"/>
      <c r="E6548" s="1"/>
      <c r="F6548" s="1" t="str">
        <f t="shared" si="1"/>
        <v/>
      </c>
      <c r="G6548" s="1" t="str">
        <f t="shared" si="2"/>
        <v/>
      </c>
      <c r="H6548" s="1"/>
      <c r="I6548" s="1"/>
      <c r="J6548" s="1" t="str">
        <f t="shared" si="3"/>
        <v/>
      </c>
      <c r="K6548" s="1" t="str">
        <f t="shared" si="4"/>
        <v/>
      </c>
    </row>
    <row r="6549" hidden="1">
      <c r="A6549" s="1"/>
      <c r="B6549" s="1"/>
      <c r="C6549" s="1"/>
      <c r="D6549" s="1"/>
      <c r="E6549" s="1"/>
      <c r="F6549" s="1" t="str">
        <f t="shared" si="1"/>
        <v/>
      </c>
      <c r="G6549" s="1" t="str">
        <f t="shared" si="2"/>
        <v/>
      </c>
      <c r="H6549" s="1"/>
      <c r="I6549" s="1"/>
      <c r="J6549" s="1" t="str">
        <f t="shared" si="3"/>
        <v/>
      </c>
      <c r="K6549" s="1" t="str">
        <f t="shared" si="4"/>
        <v/>
      </c>
    </row>
    <row r="6550" hidden="1">
      <c r="A6550" s="1"/>
      <c r="B6550" s="1"/>
      <c r="C6550" s="1"/>
      <c r="D6550" s="1"/>
      <c r="E6550" s="1"/>
      <c r="F6550" s="1" t="str">
        <f t="shared" si="1"/>
        <v/>
      </c>
      <c r="G6550" s="1" t="str">
        <f t="shared" si="2"/>
        <v/>
      </c>
      <c r="H6550" s="1"/>
      <c r="I6550" s="1"/>
      <c r="J6550" s="1" t="str">
        <f t="shared" si="3"/>
        <v/>
      </c>
      <c r="K6550" s="1" t="str">
        <f t="shared" si="4"/>
        <v/>
      </c>
    </row>
    <row r="6551" hidden="1">
      <c r="A6551" s="1"/>
      <c r="B6551" s="1"/>
      <c r="C6551" s="1"/>
      <c r="D6551" s="1"/>
      <c r="E6551" s="1"/>
      <c r="F6551" s="1" t="str">
        <f t="shared" si="1"/>
        <v/>
      </c>
      <c r="G6551" s="1" t="str">
        <f t="shared" si="2"/>
        <v/>
      </c>
      <c r="H6551" s="1"/>
      <c r="I6551" s="1"/>
      <c r="J6551" s="1" t="str">
        <f t="shared" si="3"/>
        <v/>
      </c>
      <c r="K6551" s="1" t="str">
        <f t="shared" si="4"/>
        <v/>
      </c>
    </row>
    <row r="6552" hidden="1">
      <c r="A6552" s="1"/>
      <c r="B6552" s="1"/>
      <c r="C6552" s="1"/>
      <c r="D6552" s="1"/>
      <c r="E6552" s="1"/>
      <c r="F6552" s="1" t="str">
        <f t="shared" si="1"/>
        <v/>
      </c>
      <c r="G6552" s="1" t="str">
        <f t="shared" si="2"/>
        <v/>
      </c>
      <c r="H6552" s="1"/>
      <c r="I6552" s="1"/>
      <c r="J6552" s="1" t="str">
        <f t="shared" si="3"/>
        <v/>
      </c>
      <c r="K6552" s="1" t="str">
        <f t="shared" si="4"/>
        <v/>
      </c>
    </row>
    <row r="6553" hidden="1">
      <c r="A6553" s="1"/>
      <c r="B6553" s="1"/>
      <c r="C6553" s="1"/>
      <c r="D6553" s="1"/>
      <c r="E6553" s="1"/>
      <c r="F6553" s="1" t="str">
        <f t="shared" si="1"/>
        <v/>
      </c>
      <c r="G6553" s="1" t="str">
        <f t="shared" si="2"/>
        <v/>
      </c>
      <c r="H6553" s="1"/>
      <c r="I6553" s="1"/>
      <c r="J6553" s="1" t="str">
        <f t="shared" si="3"/>
        <v/>
      </c>
      <c r="K6553" s="1" t="str">
        <f t="shared" si="4"/>
        <v/>
      </c>
    </row>
    <row r="6554" hidden="1">
      <c r="A6554" s="1"/>
      <c r="B6554" s="1"/>
      <c r="C6554" s="1"/>
      <c r="D6554" s="1"/>
      <c r="E6554" s="1"/>
      <c r="F6554" s="1" t="str">
        <f t="shared" si="1"/>
        <v/>
      </c>
      <c r="G6554" s="1" t="str">
        <f t="shared" si="2"/>
        <v/>
      </c>
      <c r="H6554" s="1"/>
      <c r="I6554" s="1"/>
      <c r="J6554" s="1" t="str">
        <f t="shared" si="3"/>
        <v/>
      </c>
      <c r="K6554" s="1" t="str">
        <f t="shared" si="4"/>
        <v/>
      </c>
    </row>
    <row r="6555" hidden="1">
      <c r="A6555" s="1"/>
      <c r="B6555" s="1"/>
      <c r="C6555" s="1"/>
      <c r="D6555" s="1"/>
      <c r="E6555" s="1"/>
      <c r="F6555" s="1" t="str">
        <f t="shared" si="1"/>
        <v/>
      </c>
      <c r="G6555" s="1" t="str">
        <f t="shared" si="2"/>
        <v/>
      </c>
      <c r="H6555" s="1"/>
      <c r="I6555" s="1"/>
      <c r="J6555" s="1" t="str">
        <f t="shared" si="3"/>
        <v/>
      </c>
      <c r="K6555" s="1" t="str">
        <f t="shared" si="4"/>
        <v/>
      </c>
    </row>
    <row r="6556" hidden="1">
      <c r="A6556" s="1"/>
      <c r="B6556" s="1"/>
      <c r="C6556" s="1"/>
      <c r="D6556" s="1"/>
      <c r="E6556" s="1"/>
      <c r="F6556" s="1" t="str">
        <f t="shared" si="1"/>
        <v/>
      </c>
      <c r="G6556" s="1" t="str">
        <f t="shared" si="2"/>
        <v/>
      </c>
      <c r="H6556" s="1"/>
      <c r="I6556" s="1"/>
      <c r="J6556" s="1" t="str">
        <f t="shared" si="3"/>
        <v/>
      </c>
      <c r="K6556" s="1" t="str">
        <f t="shared" si="4"/>
        <v/>
      </c>
    </row>
    <row r="6557" hidden="1">
      <c r="A6557" s="1"/>
      <c r="B6557" s="1"/>
      <c r="C6557" s="1"/>
      <c r="D6557" s="1"/>
      <c r="E6557" s="1"/>
      <c r="F6557" s="1" t="str">
        <f t="shared" si="1"/>
        <v/>
      </c>
      <c r="G6557" s="1" t="str">
        <f t="shared" si="2"/>
        <v/>
      </c>
      <c r="H6557" s="1"/>
      <c r="I6557" s="1"/>
      <c r="J6557" s="1" t="str">
        <f t="shared" si="3"/>
        <v/>
      </c>
      <c r="K6557" s="1" t="str">
        <f t="shared" si="4"/>
        <v/>
      </c>
    </row>
    <row r="6558" hidden="1">
      <c r="A6558" s="1"/>
      <c r="B6558" s="1"/>
      <c r="C6558" s="1"/>
      <c r="D6558" s="1"/>
      <c r="E6558" s="1"/>
      <c r="F6558" s="1" t="str">
        <f t="shared" si="1"/>
        <v/>
      </c>
      <c r="G6558" s="1" t="str">
        <f t="shared" si="2"/>
        <v/>
      </c>
      <c r="H6558" s="1"/>
      <c r="I6558" s="1"/>
      <c r="J6558" s="1" t="str">
        <f t="shared" si="3"/>
        <v/>
      </c>
      <c r="K6558" s="1" t="str">
        <f t="shared" si="4"/>
        <v/>
      </c>
    </row>
    <row r="6559" hidden="1">
      <c r="A6559" s="1"/>
      <c r="B6559" s="1"/>
      <c r="C6559" s="1"/>
      <c r="D6559" s="1"/>
      <c r="E6559" s="1"/>
      <c r="F6559" s="1" t="str">
        <f t="shared" si="1"/>
        <v/>
      </c>
      <c r="G6559" s="1" t="str">
        <f t="shared" si="2"/>
        <v/>
      </c>
      <c r="H6559" s="1"/>
      <c r="I6559" s="1"/>
      <c r="J6559" s="1" t="str">
        <f t="shared" si="3"/>
        <v/>
      </c>
      <c r="K6559" s="1" t="str">
        <f t="shared" si="4"/>
        <v/>
      </c>
    </row>
    <row r="6560" hidden="1">
      <c r="A6560" s="1"/>
      <c r="B6560" s="1"/>
      <c r="C6560" s="1"/>
      <c r="D6560" s="1"/>
      <c r="E6560" s="1"/>
      <c r="F6560" s="1" t="str">
        <f t="shared" si="1"/>
        <v/>
      </c>
      <c r="G6560" s="1" t="str">
        <f t="shared" si="2"/>
        <v/>
      </c>
      <c r="H6560" s="1"/>
      <c r="I6560" s="1"/>
      <c r="J6560" s="1" t="str">
        <f t="shared" si="3"/>
        <v/>
      </c>
      <c r="K6560" s="1" t="str">
        <f t="shared" si="4"/>
        <v/>
      </c>
    </row>
    <row r="6561" hidden="1">
      <c r="A6561" s="1"/>
      <c r="B6561" s="1"/>
      <c r="C6561" s="1"/>
      <c r="D6561" s="1"/>
      <c r="E6561" s="1"/>
      <c r="F6561" s="1" t="str">
        <f t="shared" si="1"/>
        <v/>
      </c>
      <c r="G6561" s="1" t="str">
        <f t="shared" si="2"/>
        <v/>
      </c>
      <c r="H6561" s="1"/>
      <c r="I6561" s="1"/>
      <c r="J6561" s="1" t="str">
        <f t="shared" si="3"/>
        <v/>
      </c>
      <c r="K6561" s="1" t="str">
        <f t="shared" si="4"/>
        <v/>
      </c>
    </row>
    <row r="6562" hidden="1">
      <c r="A6562" s="1"/>
      <c r="B6562" s="1"/>
      <c r="C6562" s="1"/>
      <c r="D6562" s="1"/>
      <c r="E6562" s="1"/>
      <c r="F6562" s="1" t="str">
        <f t="shared" si="1"/>
        <v/>
      </c>
      <c r="G6562" s="1" t="str">
        <f t="shared" si="2"/>
        <v/>
      </c>
      <c r="H6562" s="1"/>
      <c r="I6562" s="1"/>
      <c r="J6562" s="1" t="str">
        <f t="shared" si="3"/>
        <v/>
      </c>
      <c r="K6562" s="1" t="str">
        <f t="shared" si="4"/>
        <v/>
      </c>
    </row>
    <row r="6563" hidden="1">
      <c r="A6563" s="1"/>
      <c r="B6563" s="1"/>
      <c r="C6563" s="1"/>
      <c r="D6563" s="1"/>
      <c r="E6563" s="1"/>
      <c r="F6563" s="1" t="str">
        <f t="shared" si="1"/>
        <v/>
      </c>
      <c r="G6563" s="1" t="str">
        <f t="shared" si="2"/>
        <v/>
      </c>
      <c r="H6563" s="1"/>
      <c r="I6563" s="1"/>
      <c r="J6563" s="1" t="str">
        <f t="shared" si="3"/>
        <v/>
      </c>
      <c r="K6563" s="1" t="str">
        <f t="shared" si="4"/>
        <v/>
      </c>
    </row>
    <row r="6564" hidden="1">
      <c r="A6564" s="1"/>
      <c r="B6564" s="1"/>
      <c r="C6564" s="1"/>
      <c r="D6564" s="1"/>
      <c r="E6564" s="1"/>
      <c r="F6564" s="1" t="str">
        <f t="shared" si="1"/>
        <v/>
      </c>
      <c r="G6564" s="1" t="str">
        <f t="shared" si="2"/>
        <v/>
      </c>
      <c r="H6564" s="1"/>
      <c r="I6564" s="1"/>
      <c r="J6564" s="1" t="str">
        <f t="shared" si="3"/>
        <v/>
      </c>
      <c r="K6564" s="1" t="str">
        <f t="shared" si="4"/>
        <v/>
      </c>
    </row>
    <row r="6565" hidden="1">
      <c r="A6565" s="1"/>
      <c r="B6565" s="1"/>
      <c r="C6565" s="1"/>
      <c r="D6565" s="1"/>
      <c r="E6565" s="1"/>
      <c r="F6565" s="1" t="str">
        <f t="shared" si="1"/>
        <v/>
      </c>
      <c r="G6565" s="1" t="str">
        <f t="shared" si="2"/>
        <v/>
      </c>
      <c r="H6565" s="1"/>
      <c r="I6565" s="1"/>
      <c r="J6565" s="1" t="str">
        <f t="shared" si="3"/>
        <v/>
      </c>
      <c r="K6565" s="1" t="str">
        <f t="shared" si="4"/>
        <v/>
      </c>
    </row>
    <row r="6566" hidden="1">
      <c r="A6566" s="1"/>
      <c r="B6566" s="1"/>
      <c r="C6566" s="1"/>
      <c r="D6566" s="1"/>
      <c r="E6566" s="1"/>
      <c r="F6566" s="1" t="str">
        <f t="shared" si="1"/>
        <v/>
      </c>
      <c r="G6566" s="1" t="str">
        <f t="shared" si="2"/>
        <v/>
      </c>
      <c r="H6566" s="1"/>
      <c r="I6566" s="1"/>
      <c r="J6566" s="1" t="str">
        <f t="shared" si="3"/>
        <v/>
      </c>
      <c r="K6566" s="1" t="str">
        <f t="shared" si="4"/>
        <v/>
      </c>
    </row>
    <row r="6567" hidden="1">
      <c r="A6567" s="1"/>
      <c r="B6567" s="1"/>
      <c r="C6567" s="1"/>
      <c r="D6567" s="1"/>
      <c r="E6567" s="1"/>
      <c r="F6567" s="1" t="str">
        <f t="shared" si="1"/>
        <v/>
      </c>
      <c r="G6567" s="1" t="str">
        <f t="shared" si="2"/>
        <v/>
      </c>
      <c r="H6567" s="1"/>
      <c r="I6567" s="1"/>
      <c r="J6567" s="1" t="str">
        <f t="shared" si="3"/>
        <v/>
      </c>
      <c r="K6567" s="1" t="str">
        <f t="shared" si="4"/>
        <v/>
      </c>
    </row>
    <row r="6568" hidden="1">
      <c r="A6568" s="1"/>
      <c r="B6568" s="1"/>
      <c r="C6568" s="1"/>
      <c r="D6568" s="1"/>
      <c r="E6568" s="1"/>
      <c r="F6568" s="1" t="str">
        <f t="shared" si="1"/>
        <v/>
      </c>
      <c r="G6568" s="1" t="str">
        <f t="shared" si="2"/>
        <v/>
      </c>
      <c r="H6568" s="1"/>
      <c r="I6568" s="1"/>
      <c r="J6568" s="1" t="str">
        <f t="shared" si="3"/>
        <v/>
      </c>
      <c r="K6568" s="1" t="str">
        <f t="shared" si="4"/>
        <v/>
      </c>
    </row>
    <row r="6569" hidden="1">
      <c r="A6569" s="1"/>
      <c r="B6569" s="1"/>
      <c r="C6569" s="1"/>
      <c r="D6569" s="1"/>
      <c r="E6569" s="1"/>
      <c r="F6569" s="1" t="str">
        <f t="shared" si="1"/>
        <v/>
      </c>
      <c r="G6569" s="1" t="str">
        <f t="shared" si="2"/>
        <v/>
      </c>
      <c r="H6569" s="1"/>
      <c r="I6569" s="1"/>
      <c r="J6569" s="1" t="str">
        <f t="shared" si="3"/>
        <v/>
      </c>
      <c r="K6569" s="1" t="str">
        <f t="shared" si="4"/>
        <v/>
      </c>
    </row>
    <row r="6570" hidden="1">
      <c r="A6570" s="1"/>
      <c r="B6570" s="1"/>
      <c r="C6570" s="1"/>
      <c r="D6570" s="1"/>
      <c r="E6570" s="1"/>
      <c r="F6570" s="1" t="str">
        <f t="shared" si="1"/>
        <v/>
      </c>
      <c r="G6570" s="1" t="str">
        <f t="shared" si="2"/>
        <v/>
      </c>
      <c r="H6570" s="1"/>
      <c r="I6570" s="1"/>
      <c r="J6570" s="1" t="str">
        <f t="shared" si="3"/>
        <v/>
      </c>
      <c r="K6570" s="1" t="str">
        <f t="shared" si="4"/>
        <v/>
      </c>
    </row>
    <row r="6571" hidden="1">
      <c r="A6571" s="1"/>
      <c r="B6571" s="1"/>
      <c r="C6571" s="1"/>
      <c r="D6571" s="1"/>
      <c r="E6571" s="1"/>
      <c r="F6571" s="1" t="str">
        <f t="shared" si="1"/>
        <v/>
      </c>
      <c r="G6571" s="1" t="str">
        <f t="shared" si="2"/>
        <v/>
      </c>
      <c r="H6571" s="1"/>
      <c r="I6571" s="1"/>
      <c r="J6571" s="1" t="str">
        <f t="shared" si="3"/>
        <v/>
      </c>
      <c r="K6571" s="1" t="str">
        <f t="shared" si="4"/>
        <v/>
      </c>
    </row>
    <row r="6572" hidden="1">
      <c r="A6572" s="1"/>
      <c r="B6572" s="1"/>
      <c r="C6572" s="1"/>
      <c r="D6572" s="1"/>
      <c r="E6572" s="1"/>
      <c r="F6572" s="1" t="str">
        <f t="shared" si="1"/>
        <v/>
      </c>
      <c r="G6572" s="1" t="str">
        <f t="shared" si="2"/>
        <v/>
      </c>
      <c r="H6572" s="1"/>
      <c r="I6572" s="1"/>
      <c r="J6572" s="1" t="str">
        <f t="shared" si="3"/>
        <v/>
      </c>
      <c r="K6572" s="1" t="str">
        <f t="shared" si="4"/>
        <v/>
      </c>
    </row>
    <row r="6573" hidden="1">
      <c r="A6573" s="1"/>
      <c r="B6573" s="1"/>
      <c r="C6573" s="1"/>
      <c r="D6573" s="1"/>
      <c r="E6573" s="1"/>
      <c r="F6573" s="1" t="str">
        <f t="shared" si="1"/>
        <v/>
      </c>
      <c r="G6573" s="1" t="str">
        <f t="shared" si="2"/>
        <v/>
      </c>
      <c r="H6573" s="1"/>
      <c r="I6573" s="1"/>
      <c r="J6573" s="1" t="str">
        <f t="shared" si="3"/>
        <v/>
      </c>
      <c r="K6573" s="1" t="str">
        <f t="shared" si="4"/>
        <v/>
      </c>
    </row>
    <row r="6574" hidden="1">
      <c r="A6574" s="1"/>
      <c r="B6574" s="1"/>
      <c r="C6574" s="1"/>
      <c r="D6574" s="1"/>
      <c r="E6574" s="1"/>
      <c r="F6574" s="1" t="str">
        <f t="shared" si="1"/>
        <v/>
      </c>
      <c r="G6574" s="1" t="str">
        <f t="shared" si="2"/>
        <v/>
      </c>
      <c r="H6574" s="1"/>
      <c r="I6574" s="1"/>
      <c r="J6574" s="1" t="str">
        <f t="shared" si="3"/>
        <v/>
      </c>
      <c r="K6574" s="1" t="str">
        <f t="shared" si="4"/>
        <v/>
      </c>
    </row>
    <row r="6575" hidden="1">
      <c r="A6575" s="1"/>
      <c r="B6575" s="1"/>
      <c r="C6575" s="1"/>
      <c r="D6575" s="1"/>
      <c r="E6575" s="1"/>
      <c r="F6575" s="1" t="str">
        <f t="shared" si="1"/>
        <v/>
      </c>
      <c r="G6575" s="1" t="str">
        <f t="shared" si="2"/>
        <v/>
      </c>
      <c r="H6575" s="1"/>
      <c r="I6575" s="1"/>
      <c r="J6575" s="1" t="str">
        <f t="shared" si="3"/>
        <v/>
      </c>
      <c r="K6575" s="1" t="str">
        <f t="shared" si="4"/>
        <v/>
      </c>
    </row>
    <row r="6576" hidden="1">
      <c r="A6576" s="1"/>
      <c r="B6576" s="1"/>
      <c r="C6576" s="1"/>
      <c r="D6576" s="1"/>
      <c r="E6576" s="1"/>
      <c r="F6576" s="1" t="str">
        <f t="shared" si="1"/>
        <v/>
      </c>
      <c r="G6576" s="1" t="str">
        <f t="shared" si="2"/>
        <v/>
      </c>
      <c r="H6576" s="1"/>
      <c r="I6576" s="1"/>
      <c r="J6576" s="1" t="str">
        <f t="shared" si="3"/>
        <v/>
      </c>
      <c r="K6576" s="1" t="str">
        <f t="shared" si="4"/>
        <v/>
      </c>
    </row>
    <row r="6577" hidden="1">
      <c r="A6577" s="1"/>
      <c r="B6577" s="1"/>
      <c r="C6577" s="1"/>
      <c r="D6577" s="1"/>
      <c r="E6577" s="1"/>
      <c r="F6577" s="1" t="str">
        <f t="shared" si="1"/>
        <v/>
      </c>
      <c r="G6577" s="1" t="str">
        <f t="shared" si="2"/>
        <v/>
      </c>
      <c r="H6577" s="1"/>
      <c r="I6577" s="1"/>
      <c r="J6577" s="1" t="str">
        <f t="shared" si="3"/>
        <v/>
      </c>
      <c r="K6577" s="1" t="str">
        <f t="shared" si="4"/>
        <v/>
      </c>
    </row>
    <row r="6578" hidden="1">
      <c r="A6578" s="1"/>
      <c r="B6578" s="1"/>
      <c r="C6578" s="1"/>
      <c r="D6578" s="1"/>
      <c r="E6578" s="1"/>
      <c r="F6578" s="1" t="str">
        <f t="shared" si="1"/>
        <v/>
      </c>
      <c r="G6578" s="1" t="str">
        <f t="shared" si="2"/>
        <v/>
      </c>
      <c r="H6578" s="1"/>
      <c r="I6578" s="1"/>
      <c r="J6578" s="1" t="str">
        <f t="shared" si="3"/>
        <v/>
      </c>
      <c r="K6578" s="1" t="str">
        <f t="shared" si="4"/>
        <v/>
      </c>
    </row>
    <row r="6579" hidden="1">
      <c r="A6579" s="1"/>
      <c r="B6579" s="1"/>
      <c r="C6579" s="1"/>
      <c r="D6579" s="1"/>
      <c r="E6579" s="1"/>
      <c r="F6579" s="1" t="str">
        <f t="shared" si="1"/>
        <v/>
      </c>
      <c r="G6579" s="1" t="str">
        <f t="shared" si="2"/>
        <v/>
      </c>
      <c r="H6579" s="1"/>
      <c r="I6579" s="1"/>
      <c r="J6579" s="1" t="str">
        <f t="shared" si="3"/>
        <v/>
      </c>
      <c r="K6579" s="1" t="str">
        <f t="shared" si="4"/>
        <v/>
      </c>
    </row>
    <row r="6580" hidden="1">
      <c r="A6580" s="1"/>
      <c r="B6580" s="1"/>
      <c r="C6580" s="1"/>
      <c r="D6580" s="1"/>
      <c r="E6580" s="1"/>
      <c r="F6580" s="1" t="str">
        <f t="shared" si="1"/>
        <v/>
      </c>
      <c r="G6580" s="1" t="str">
        <f t="shared" si="2"/>
        <v/>
      </c>
      <c r="H6580" s="1"/>
      <c r="I6580" s="1"/>
      <c r="J6580" s="1" t="str">
        <f t="shared" si="3"/>
        <v/>
      </c>
      <c r="K6580" s="1" t="str">
        <f t="shared" si="4"/>
        <v/>
      </c>
    </row>
    <row r="6581" hidden="1">
      <c r="A6581" s="1"/>
      <c r="B6581" s="1"/>
      <c r="C6581" s="1"/>
      <c r="D6581" s="1"/>
      <c r="E6581" s="1"/>
      <c r="F6581" s="1" t="str">
        <f t="shared" si="1"/>
        <v/>
      </c>
      <c r="G6581" s="1" t="str">
        <f t="shared" si="2"/>
        <v/>
      </c>
      <c r="H6581" s="1"/>
      <c r="I6581" s="1"/>
      <c r="J6581" s="1" t="str">
        <f t="shared" si="3"/>
        <v/>
      </c>
      <c r="K6581" s="1" t="str">
        <f t="shared" si="4"/>
        <v/>
      </c>
    </row>
    <row r="6582" hidden="1">
      <c r="A6582" s="1"/>
      <c r="B6582" s="1"/>
      <c r="C6582" s="1"/>
      <c r="D6582" s="1"/>
      <c r="E6582" s="1"/>
      <c r="F6582" s="1" t="str">
        <f t="shared" si="1"/>
        <v/>
      </c>
      <c r="G6582" s="1" t="str">
        <f t="shared" si="2"/>
        <v/>
      </c>
      <c r="H6582" s="1"/>
      <c r="I6582" s="1"/>
      <c r="J6582" s="1" t="str">
        <f t="shared" si="3"/>
        <v/>
      </c>
      <c r="K6582" s="1" t="str">
        <f t="shared" si="4"/>
        <v/>
      </c>
    </row>
    <row r="6583" hidden="1">
      <c r="A6583" s="1"/>
      <c r="B6583" s="1"/>
      <c r="C6583" s="1"/>
      <c r="D6583" s="1"/>
      <c r="E6583" s="1"/>
      <c r="F6583" s="1" t="str">
        <f t="shared" si="1"/>
        <v/>
      </c>
      <c r="G6583" s="1" t="str">
        <f t="shared" si="2"/>
        <v/>
      </c>
      <c r="H6583" s="1"/>
      <c r="I6583" s="1"/>
      <c r="J6583" s="1" t="str">
        <f t="shared" si="3"/>
        <v/>
      </c>
      <c r="K6583" s="1" t="str">
        <f t="shared" si="4"/>
        <v/>
      </c>
    </row>
    <row r="6584" hidden="1">
      <c r="A6584" s="1"/>
      <c r="B6584" s="1"/>
      <c r="C6584" s="1"/>
      <c r="D6584" s="1"/>
      <c r="E6584" s="1"/>
      <c r="F6584" s="1" t="str">
        <f t="shared" si="1"/>
        <v/>
      </c>
      <c r="G6584" s="1" t="str">
        <f t="shared" si="2"/>
        <v/>
      </c>
      <c r="H6584" s="1"/>
      <c r="I6584" s="1"/>
      <c r="J6584" s="1" t="str">
        <f t="shared" si="3"/>
        <v/>
      </c>
      <c r="K6584" s="1" t="str">
        <f t="shared" si="4"/>
        <v/>
      </c>
    </row>
    <row r="6585" hidden="1">
      <c r="A6585" s="1"/>
      <c r="B6585" s="1"/>
      <c r="C6585" s="1"/>
      <c r="D6585" s="1"/>
      <c r="E6585" s="1"/>
      <c r="F6585" s="1" t="str">
        <f t="shared" si="1"/>
        <v/>
      </c>
      <c r="G6585" s="1" t="str">
        <f t="shared" si="2"/>
        <v/>
      </c>
      <c r="H6585" s="1"/>
      <c r="I6585" s="1"/>
      <c r="J6585" s="1" t="str">
        <f t="shared" si="3"/>
        <v/>
      </c>
      <c r="K6585" s="1" t="str">
        <f t="shared" si="4"/>
        <v/>
      </c>
    </row>
    <row r="6586" hidden="1">
      <c r="A6586" s="1"/>
      <c r="B6586" s="1"/>
      <c r="C6586" s="1"/>
      <c r="D6586" s="1"/>
      <c r="E6586" s="1"/>
      <c r="F6586" s="1" t="str">
        <f t="shared" si="1"/>
        <v/>
      </c>
      <c r="G6586" s="1" t="str">
        <f t="shared" si="2"/>
        <v/>
      </c>
      <c r="H6586" s="1"/>
      <c r="I6586" s="1"/>
      <c r="J6586" s="1" t="str">
        <f t="shared" si="3"/>
        <v/>
      </c>
      <c r="K6586" s="1" t="str">
        <f t="shared" si="4"/>
        <v/>
      </c>
    </row>
    <row r="6587" hidden="1">
      <c r="A6587" s="1"/>
      <c r="B6587" s="1"/>
      <c r="C6587" s="1"/>
      <c r="D6587" s="1"/>
      <c r="E6587" s="1"/>
      <c r="F6587" s="1" t="str">
        <f t="shared" si="1"/>
        <v/>
      </c>
      <c r="G6587" s="1" t="str">
        <f t="shared" si="2"/>
        <v/>
      </c>
      <c r="H6587" s="1"/>
      <c r="I6587" s="1"/>
      <c r="J6587" s="1" t="str">
        <f t="shared" si="3"/>
        <v/>
      </c>
      <c r="K6587" s="1" t="str">
        <f t="shared" si="4"/>
        <v/>
      </c>
    </row>
    <row r="6588" hidden="1">
      <c r="F6588" s="1" t="str">
        <f t="shared" si="1"/>
        <v/>
      </c>
      <c r="G6588" s="1" t="str">
        <f t="shared" si="2"/>
        <v/>
      </c>
      <c r="J6588" s="1" t="str">
        <f t="shared" si="3"/>
        <v/>
      </c>
      <c r="K6588" s="1" t="str">
        <f t="shared" si="4"/>
        <v/>
      </c>
    </row>
    <row r="6589" hidden="1">
      <c r="F6589" s="1" t="str">
        <f t="shared" si="1"/>
        <v/>
      </c>
      <c r="G6589" s="1" t="str">
        <f t="shared" si="2"/>
        <v/>
      </c>
      <c r="J6589" s="1" t="str">
        <f t="shared" si="3"/>
        <v/>
      </c>
      <c r="K6589" s="1" t="str">
        <f t="shared" si="4"/>
        <v/>
      </c>
    </row>
    <row r="6590" hidden="1">
      <c r="F6590" s="1" t="str">
        <f t="shared" si="1"/>
        <v/>
      </c>
      <c r="G6590" s="1" t="str">
        <f t="shared" si="2"/>
        <v/>
      </c>
      <c r="J6590" s="1" t="str">
        <f t="shared" si="3"/>
        <v/>
      </c>
      <c r="K6590" s="1" t="str">
        <f t="shared" si="4"/>
        <v/>
      </c>
    </row>
    <row r="6591" hidden="1">
      <c r="F6591" s="1" t="str">
        <f t="shared" si="1"/>
        <v/>
      </c>
      <c r="G6591" s="1" t="str">
        <f t="shared" si="2"/>
        <v/>
      </c>
      <c r="J6591" s="1" t="str">
        <f t="shared" si="3"/>
        <v/>
      </c>
      <c r="K6591" s="1" t="str">
        <f t="shared" si="4"/>
        <v/>
      </c>
    </row>
    <row r="6592" hidden="1">
      <c r="F6592" s="1" t="str">
        <f t="shared" si="1"/>
        <v/>
      </c>
      <c r="G6592" s="1" t="str">
        <f t="shared" si="2"/>
        <v/>
      </c>
      <c r="J6592" s="1" t="str">
        <f t="shared" si="3"/>
        <v/>
      </c>
      <c r="K6592" s="1" t="str">
        <f t="shared" si="4"/>
        <v/>
      </c>
    </row>
    <row r="6593" hidden="1">
      <c r="F6593" s="1" t="str">
        <f t="shared" si="1"/>
        <v/>
      </c>
      <c r="G6593" s="1" t="str">
        <f t="shared" si="2"/>
        <v/>
      </c>
      <c r="J6593" s="1" t="str">
        <f t="shared" si="3"/>
        <v/>
      </c>
      <c r="K6593" s="1" t="str">
        <f t="shared" si="4"/>
        <v/>
      </c>
    </row>
    <row r="6594" hidden="1">
      <c r="F6594" s="1" t="str">
        <f t="shared" si="1"/>
        <v/>
      </c>
      <c r="G6594" s="1" t="str">
        <f t="shared" si="2"/>
        <v/>
      </c>
      <c r="J6594" s="1" t="str">
        <f t="shared" si="3"/>
        <v/>
      </c>
      <c r="K6594" s="1" t="str">
        <f t="shared" si="4"/>
        <v/>
      </c>
    </row>
    <row r="6595" hidden="1">
      <c r="F6595" s="1" t="str">
        <f t="shared" si="1"/>
        <v/>
      </c>
      <c r="G6595" s="1" t="str">
        <f t="shared" si="2"/>
        <v/>
      </c>
      <c r="J6595" s="1" t="str">
        <f t="shared" si="3"/>
        <v/>
      </c>
      <c r="K6595" s="1" t="str">
        <f t="shared" si="4"/>
        <v/>
      </c>
    </row>
    <row r="6596" hidden="1">
      <c r="F6596" s="1" t="str">
        <f t="shared" si="1"/>
        <v/>
      </c>
      <c r="G6596" s="1" t="str">
        <f t="shared" si="2"/>
        <v/>
      </c>
      <c r="J6596" s="1" t="str">
        <f t="shared" si="3"/>
        <v/>
      </c>
      <c r="K6596" s="1" t="str">
        <f t="shared" si="4"/>
        <v/>
      </c>
    </row>
    <row r="6597" hidden="1">
      <c r="F6597" s="1" t="str">
        <f t="shared" si="1"/>
        <v/>
      </c>
      <c r="G6597" s="1" t="str">
        <f t="shared" si="2"/>
        <v/>
      </c>
      <c r="J6597" s="1" t="str">
        <f t="shared" si="3"/>
        <v/>
      </c>
      <c r="K6597" s="1" t="str">
        <f t="shared" si="4"/>
        <v/>
      </c>
    </row>
    <row r="6598" hidden="1">
      <c r="F6598" s="1" t="str">
        <f t="shared" si="1"/>
        <v/>
      </c>
      <c r="G6598" s="1" t="str">
        <f t="shared" si="2"/>
        <v/>
      </c>
      <c r="J6598" s="1" t="str">
        <f t="shared" si="3"/>
        <v/>
      </c>
      <c r="K6598" s="1" t="str">
        <f t="shared" si="4"/>
        <v/>
      </c>
    </row>
    <row r="6599" hidden="1">
      <c r="F6599" s="1" t="str">
        <f t="shared" si="1"/>
        <v/>
      </c>
      <c r="G6599" s="1" t="str">
        <f t="shared" si="2"/>
        <v/>
      </c>
      <c r="J6599" s="1" t="str">
        <f t="shared" si="3"/>
        <v/>
      </c>
      <c r="K6599" s="1" t="str">
        <f t="shared" si="4"/>
        <v/>
      </c>
    </row>
    <row r="6600" hidden="1">
      <c r="F6600" s="1" t="str">
        <f t="shared" si="1"/>
        <v/>
      </c>
      <c r="G6600" s="1" t="str">
        <f t="shared" si="2"/>
        <v/>
      </c>
      <c r="J6600" s="1" t="str">
        <f t="shared" si="3"/>
        <v/>
      </c>
      <c r="K6600" s="1" t="str">
        <f t="shared" si="4"/>
        <v/>
      </c>
    </row>
    <row r="6601" hidden="1">
      <c r="F6601" s="1" t="str">
        <f t="shared" si="1"/>
        <v/>
      </c>
      <c r="G6601" s="1" t="str">
        <f t="shared" si="2"/>
        <v/>
      </c>
      <c r="J6601" s="1" t="str">
        <f t="shared" si="3"/>
        <v/>
      </c>
      <c r="K6601" s="1" t="str">
        <f t="shared" si="4"/>
        <v/>
      </c>
    </row>
    <row r="6602" hidden="1">
      <c r="F6602" s="1" t="str">
        <f t="shared" si="1"/>
        <v/>
      </c>
      <c r="G6602" s="1" t="str">
        <f t="shared" si="2"/>
        <v/>
      </c>
      <c r="J6602" s="1" t="str">
        <f t="shared" si="3"/>
        <v/>
      </c>
      <c r="K6602" s="1" t="str">
        <f t="shared" si="4"/>
        <v/>
      </c>
    </row>
    <row r="6603" hidden="1">
      <c r="F6603" s="1" t="str">
        <f t="shared" si="1"/>
        <v/>
      </c>
      <c r="G6603" s="1" t="str">
        <f t="shared" si="2"/>
        <v/>
      </c>
      <c r="J6603" s="1" t="str">
        <f t="shared" si="3"/>
        <v/>
      </c>
      <c r="K6603" s="1" t="str">
        <f t="shared" si="4"/>
        <v/>
      </c>
    </row>
    <row r="6604" hidden="1">
      <c r="F6604" s="1" t="str">
        <f t="shared" si="1"/>
        <v/>
      </c>
      <c r="G6604" s="1" t="str">
        <f t="shared" si="2"/>
        <v/>
      </c>
      <c r="J6604" s="1" t="str">
        <f t="shared" si="3"/>
        <v/>
      </c>
      <c r="K6604" s="1" t="str">
        <f t="shared" si="4"/>
        <v/>
      </c>
    </row>
    <row r="6605" hidden="1">
      <c r="F6605" s="1" t="str">
        <f t="shared" si="1"/>
        <v/>
      </c>
      <c r="G6605" s="1" t="str">
        <f t="shared" si="2"/>
        <v/>
      </c>
      <c r="J6605" s="1" t="str">
        <f t="shared" si="3"/>
        <v/>
      </c>
      <c r="K6605" s="1" t="str">
        <f t="shared" si="4"/>
        <v/>
      </c>
    </row>
    <row r="6606" hidden="1">
      <c r="F6606" s="1" t="str">
        <f t="shared" si="1"/>
        <v/>
      </c>
      <c r="G6606" s="1" t="str">
        <f t="shared" si="2"/>
        <v/>
      </c>
      <c r="J6606" s="1" t="str">
        <f t="shared" si="3"/>
        <v/>
      </c>
      <c r="K6606" s="1" t="str">
        <f t="shared" si="4"/>
        <v/>
      </c>
    </row>
    <row r="6607" hidden="1">
      <c r="F6607" s="1" t="str">
        <f t="shared" si="1"/>
        <v/>
      </c>
      <c r="G6607" s="1" t="str">
        <f t="shared" si="2"/>
        <v/>
      </c>
      <c r="J6607" s="1" t="str">
        <f t="shared" si="3"/>
        <v/>
      </c>
      <c r="K6607" s="1" t="str">
        <f t="shared" si="4"/>
        <v/>
      </c>
    </row>
    <row r="6608" hidden="1">
      <c r="F6608" s="1" t="str">
        <f t="shared" si="1"/>
        <v/>
      </c>
      <c r="G6608" s="1" t="str">
        <f t="shared" si="2"/>
        <v/>
      </c>
      <c r="J6608" s="1" t="str">
        <f t="shared" si="3"/>
        <v/>
      </c>
      <c r="K6608" s="1" t="str">
        <f t="shared" si="4"/>
        <v/>
      </c>
    </row>
    <row r="6609" hidden="1">
      <c r="F6609" s="1" t="str">
        <f t="shared" si="1"/>
        <v/>
      </c>
      <c r="G6609" s="1" t="str">
        <f t="shared" si="2"/>
        <v/>
      </c>
      <c r="J6609" s="1" t="str">
        <f t="shared" si="3"/>
        <v/>
      </c>
      <c r="K6609" s="1" t="str">
        <f t="shared" si="4"/>
        <v/>
      </c>
    </row>
    <row r="6610" hidden="1">
      <c r="F6610" s="1" t="str">
        <f t="shared" si="1"/>
        <v/>
      </c>
      <c r="G6610" s="1" t="str">
        <f t="shared" si="2"/>
        <v/>
      </c>
      <c r="J6610" s="1" t="str">
        <f t="shared" si="3"/>
        <v/>
      </c>
      <c r="K6610" s="1" t="str">
        <f t="shared" si="4"/>
        <v/>
      </c>
    </row>
    <row r="6611" hidden="1">
      <c r="F6611" s="1" t="str">
        <f t="shared" si="1"/>
        <v/>
      </c>
      <c r="G6611" s="1" t="str">
        <f t="shared" si="2"/>
        <v/>
      </c>
      <c r="J6611" s="1" t="str">
        <f t="shared" si="3"/>
        <v/>
      </c>
      <c r="K6611" s="1" t="str">
        <f t="shared" si="4"/>
        <v/>
      </c>
    </row>
    <row r="6612" hidden="1">
      <c r="F6612" s="1" t="str">
        <f t="shared" si="1"/>
        <v/>
      </c>
      <c r="G6612" s="1" t="str">
        <f t="shared" si="2"/>
        <v/>
      </c>
      <c r="J6612" s="1" t="str">
        <f t="shared" si="3"/>
        <v/>
      </c>
      <c r="K6612" s="1" t="str">
        <f t="shared" si="4"/>
        <v/>
      </c>
    </row>
    <row r="6613" hidden="1">
      <c r="F6613" s="1" t="str">
        <f t="shared" si="1"/>
        <v/>
      </c>
      <c r="G6613" s="1" t="str">
        <f t="shared" si="2"/>
        <v/>
      </c>
      <c r="J6613" s="1" t="str">
        <f t="shared" si="3"/>
        <v/>
      </c>
      <c r="K6613" s="1" t="str">
        <f t="shared" si="4"/>
        <v/>
      </c>
    </row>
    <row r="6614" hidden="1">
      <c r="F6614" s="1" t="str">
        <f t="shared" si="1"/>
        <v/>
      </c>
      <c r="G6614" s="1" t="str">
        <f t="shared" si="2"/>
        <v/>
      </c>
      <c r="J6614" s="1" t="str">
        <f t="shared" si="3"/>
        <v/>
      </c>
      <c r="K6614" s="1" t="str">
        <f t="shared" si="4"/>
        <v/>
      </c>
    </row>
    <row r="6615" hidden="1">
      <c r="F6615" s="1" t="str">
        <f t="shared" si="1"/>
        <v/>
      </c>
      <c r="G6615" s="1" t="str">
        <f t="shared" si="2"/>
        <v/>
      </c>
      <c r="J6615" s="1" t="str">
        <f t="shared" si="3"/>
        <v/>
      </c>
      <c r="K6615" s="1" t="str">
        <f t="shared" si="4"/>
        <v/>
      </c>
    </row>
    <row r="6616" hidden="1">
      <c r="F6616" s="1" t="str">
        <f t="shared" si="1"/>
        <v/>
      </c>
      <c r="G6616" s="1" t="str">
        <f t="shared" si="2"/>
        <v/>
      </c>
      <c r="J6616" s="1" t="str">
        <f t="shared" si="3"/>
        <v/>
      </c>
      <c r="K6616" s="1" t="str">
        <f t="shared" si="4"/>
        <v/>
      </c>
    </row>
    <row r="6617" hidden="1">
      <c r="F6617" s="1" t="str">
        <f t="shared" si="1"/>
        <v/>
      </c>
      <c r="G6617" s="1" t="str">
        <f t="shared" si="2"/>
        <v/>
      </c>
      <c r="J6617" s="1" t="str">
        <f t="shared" si="3"/>
        <v/>
      </c>
      <c r="K6617" s="1" t="str">
        <f t="shared" si="4"/>
        <v/>
      </c>
    </row>
    <row r="6618" hidden="1">
      <c r="F6618" s="1" t="str">
        <f t="shared" si="1"/>
        <v/>
      </c>
      <c r="G6618" s="1" t="str">
        <f t="shared" si="2"/>
        <v/>
      </c>
      <c r="J6618" s="1" t="str">
        <f t="shared" si="3"/>
        <v/>
      </c>
      <c r="K6618" s="1" t="str">
        <f t="shared" si="4"/>
        <v/>
      </c>
    </row>
    <row r="6619" hidden="1">
      <c r="F6619" s="1" t="str">
        <f t="shared" si="1"/>
        <v/>
      </c>
      <c r="G6619" s="1" t="str">
        <f t="shared" si="2"/>
        <v/>
      </c>
      <c r="J6619" s="1" t="str">
        <f t="shared" si="3"/>
        <v/>
      </c>
      <c r="K6619" s="1" t="str">
        <f t="shared" si="4"/>
        <v/>
      </c>
    </row>
    <row r="6620" hidden="1">
      <c r="F6620" s="1" t="str">
        <f t="shared" si="1"/>
        <v/>
      </c>
      <c r="G6620" s="1" t="str">
        <f t="shared" si="2"/>
        <v/>
      </c>
      <c r="J6620" s="1" t="str">
        <f t="shared" si="3"/>
        <v/>
      </c>
      <c r="K6620" s="1" t="str">
        <f t="shared" si="4"/>
        <v/>
      </c>
    </row>
    <row r="6621" hidden="1">
      <c r="F6621" s="1" t="str">
        <f t="shared" si="1"/>
        <v/>
      </c>
      <c r="G6621" s="1" t="str">
        <f t="shared" si="2"/>
        <v/>
      </c>
      <c r="J6621" s="1" t="str">
        <f t="shared" si="3"/>
        <v/>
      </c>
      <c r="K6621" s="1" t="str">
        <f t="shared" si="4"/>
        <v/>
      </c>
    </row>
    <row r="6622" hidden="1">
      <c r="F6622" s="1" t="str">
        <f t="shared" si="1"/>
        <v/>
      </c>
      <c r="G6622" s="1" t="str">
        <f t="shared" si="2"/>
        <v/>
      </c>
      <c r="J6622" s="1" t="str">
        <f t="shared" si="3"/>
        <v/>
      </c>
      <c r="K6622" s="1" t="str">
        <f t="shared" si="4"/>
        <v/>
      </c>
    </row>
    <row r="6623" hidden="1">
      <c r="F6623" s="1" t="str">
        <f t="shared" si="1"/>
        <v/>
      </c>
      <c r="G6623" s="1" t="str">
        <f t="shared" si="2"/>
        <v/>
      </c>
      <c r="J6623" s="1" t="str">
        <f t="shared" si="3"/>
        <v/>
      </c>
      <c r="K6623" s="1" t="str">
        <f t="shared" si="4"/>
        <v/>
      </c>
    </row>
    <row r="6624" hidden="1">
      <c r="F6624" s="1" t="str">
        <f t="shared" si="1"/>
        <v/>
      </c>
      <c r="G6624" s="1" t="str">
        <f t="shared" si="2"/>
        <v/>
      </c>
      <c r="J6624" s="1" t="str">
        <f t="shared" si="3"/>
        <v/>
      </c>
      <c r="K6624" s="1" t="str">
        <f t="shared" si="4"/>
        <v/>
      </c>
    </row>
    <row r="6625" hidden="1">
      <c r="F6625" s="1" t="str">
        <f t="shared" si="1"/>
        <v/>
      </c>
      <c r="G6625" s="1" t="str">
        <f t="shared" si="2"/>
        <v/>
      </c>
      <c r="J6625" s="1" t="str">
        <f t="shared" si="3"/>
        <v/>
      </c>
      <c r="K6625" s="1" t="str">
        <f t="shared" si="4"/>
        <v/>
      </c>
    </row>
    <row r="6626" hidden="1">
      <c r="F6626" s="1" t="str">
        <f t="shared" si="1"/>
        <v/>
      </c>
      <c r="G6626" s="1" t="str">
        <f t="shared" si="2"/>
        <v/>
      </c>
      <c r="J6626" s="1" t="str">
        <f t="shared" si="3"/>
        <v/>
      </c>
      <c r="K6626" s="1" t="str">
        <f t="shared" si="4"/>
        <v/>
      </c>
    </row>
    <row r="6627" hidden="1">
      <c r="F6627" s="1" t="str">
        <f t="shared" si="1"/>
        <v/>
      </c>
      <c r="G6627" s="1" t="str">
        <f t="shared" si="2"/>
        <v/>
      </c>
      <c r="J6627" s="1" t="str">
        <f t="shared" si="3"/>
        <v/>
      </c>
      <c r="K6627" s="1" t="str">
        <f t="shared" si="4"/>
        <v/>
      </c>
    </row>
    <row r="6628" hidden="1">
      <c r="F6628" s="1" t="str">
        <f t="shared" si="1"/>
        <v/>
      </c>
      <c r="G6628" s="1" t="str">
        <f t="shared" si="2"/>
        <v/>
      </c>
      <c r="J6628" s="1" t="str">
        <f t="shared" si="3"/>
        <v/>
      </c>
      <c r="K6628" s="1" t="str">
        <f t="shared" si="4"/>
        <v/>
      </c>
    </row>
    <row r="6629" hidden="1">
      <c r="F6629" s="1" t="str">
        <f t="shared" si="1"/>
        <v/>
      </c>
      <c r="G6629" s="1" t="str">
        <f t="shared" si="2"/>
        <v/>
      </c>
      <c r="J6629" s="1" t="str">
        <f t="shared" si="3"/>
        <v/>
      </c>
      <c r="K6629" s="1" t="str">
        <f t="shared" si="4"/>
        <v/>
      </c>
    </row>
    <row r="6630" hidden="1">
      <c r="F6630" s="1" t="str">
        <f t="shared" si="1"/>
        <v/>
      </c>
      <c r="G6630" s="1" t="str">
        <f t="shared" si="2"/>
        <v/>
      </c>
      <c r="J6630" s="1" t="str">
        <f t="shared" si="3"/>
        <v/>
      </c>
      <c r="K6630" s="1" t="str">
        <f t="shared" si="4"/>
        <v/>
      </c>
    </row>
    <row r="6631" hidden="1">
      <c r="F6631" s="1" t="str">
        <f t="shared" si="1"/>
        <v/>
      </c>
      <c r="G6631" s="1" t="str">
        <f t="shared" si="2"/>
        <v/>
      </c>
      <c r="J6631" s="1" t="str">
        <f t="shared" si="3"/>
        <v/>
      </c>
      <c r="K6631" s="1" t="str">
        <f t="shared" si="4"/>
        <v/>
      </c>
    </row>
    <row r="6632" hidden="1">
      <c r="F6632" s="1" t="str">
        <f t="shared" si="1"/>
        <v/>
      </c>
      <c r="G6632" s="1" t="str">
        <f t="shared" si="2"/>
        <v/>
      </c>
      <c r="J6632" s="1" t="str">
        <f t="shared" si="3"/>
        <v/>
      </c>
      <c r="K6632" s="1" t="str">
        <f t="shared" si="4"/>
        <v/>
      </c>
    </row>
    <row r="6633" hidden="1">
      <c r="F6633" s="1" t="str">
        <f t="shared" si="1"/>
        <v/>
      </c>
      <c r="G6633" s="1" t="str">
        <f t="shared" si="2"/>
        <v/>
      </c>
      <c r="J6633" s="1" t="str">
        <f t="shared" si="3"/>
        <v/>
      </c>
      <c r="K6633" s="1" t="str">
        <f t="shared" si="4"/>
        <v/>
      </c>
    </row>
    <row r="6634" hidden="1">
      <c r="F6634" s="1" t="str">
        <f t="shared" si="1"/>
        <v/>
      </c>
      <c r="G6634" s="1" t="str">
        <f t="shared" si="2"/>
        <v/>
      </c>
      <c r="J6634" s="1" t="str">
        <f t="shared" si="3"/>
        <v/>
      </c>
      <c r="K6634" s="1" t="str">
        <f t="shared" si="4"/>
        <v/>
      </c>
    </row>
    <row r="6635" hidden="1">
      <c r="F6635" s="1" t="str">
        <f t="shared" si="1"/>
        <v/>
      </c>
      <c r="G6635" s="1" t="str">
        <f t="shared" si="2"/>
        <v/>
      </c>
      <c r="J6635" s="1" t="str">
        <f t="shared" si="3"/>
        <v/>
      </c>
      <c r="K6635" s="1" t="str">
        <f t="shared" si="4"/>
        <v/>
      </c>
    </row>
    <row r="6636" hidden="1">
      <c r="F6636" s="1" t="str">
        <f t="shared" si="1"/>
        <v/>
      </c>
      <c r="G6636" s="1" t="str">
        <f t="shared" si="2"/>
        <v/>
      </c>
      <c r="J6636" s="1" t="str">
        <f t="shared" si="3"/>
        <v/>
      </c>
      <c r="K6636" s="1" t="str">
        <f t="shared" si="4"/>
        <v/>
      </c>
    </row>
    <row r="6637" hidden="1">
      <c r="F6637" s="1" t="str">
        <f t="shared" si="1"/>
        <v/>
      </c>
      <c r="G6637" s="1" t="str">
        <f t="shared" si="2"/>
        <v/>
      </c>
      <c r="J6637" s="1" t="str">
        <f t="shared" si="3"/>
        <v/>
      </c>
      <c r="K6637" s="1" t="str">
        <f t="shared" si="4"/>
        <v/>
      </c>
    </row>
    <row r="6638" hidden="1">
      <c r="F6638" s="1" t="str">
        <f t="shared" si="1"/>
        <v/>
      </c>
      <c r="G6638" s="1" t="str">
        <f t="shared" si="2"/>
        <v/>
      </c>
      <c r="J6638" s="1" t="str">
        <f t="shared" si="3"/>
        <v/>
      </c>
      <c r="K6638" s="1" t="str">
        <f t="shared" si="4"/>
        <v/>
      </c>
    </row>
    <row r="6639" hidden="1">
      <c r="F6639" s="1" t="str">
        <f t="shared" si="1"/>
        <v/>
      </c>
      <c r="G6639" s="1" t="str">
        <f t="shared" si="2"/>
        <v/>
      </c>
      <c r="J6639" s="1" t="str">
        <f t="shared" si="3"/>
        <v/>
      </c>
      <c r="K6639" s="1" t="str">
        <f t="shared" si="4"/>
        <v/>
      </c>
    </row>
    <row r="6640" hidden="1">
      <c r="F6640" s="1" t="str">
        <f t="shared" si="1"/>
        <v/>
      </c>
      <c r="G6640" s="1" t="str">
        <f t="shared" si="2"/>
        <v/>
      </c>
      <c r="J6640" s="1" t="str">
        <f t="shared" si="3"/>
        <v/>
      </c>
      <c r="K6640" s="1" t="str">
        <f t="shared" si="4"/>
        <v/>
      </c>
    </row>
    <row r="6641" hidden="1">
      <c r="F6641" s="1" t="str">
        <f t="shared" si="1"/>
        <v/>
      </c>
      <c r="G6641" s="1" t="str">
        <f t="shared" si="2"/>
        <v/>
      </c>
      <c r="J6641" s="1" t="str">
        <f t="shared" si="3"/>
        <v/>
      </c>
      <c r="K6641" s="1" t="str">
        <f t="shared" si="4"/>
        <v/>
      </c>
    </row>
    <row r="6642" hidden="1">
      <c r="F6642" s="1" t="str">
        <f t="shared" si="1"/>
        <v/>
      </c>
      <c r="G6642" s="1" t="str">
        <f t="shared" si="2"/>
        <v/>
      </c>
      <c r="J6642" s="1" t="str">
        <f t="shared" si="3"/>
        <v/>
      </c>
      <c r="K6642" s="1" t="str">
        <f t="shared" si="4"/>
        <v/>
      </c>
    </row>
    <row r="6643" hidden="1">
      <c r="F6643" s="1" t="str">
        <f t="shared" si="1"/>
        <v/>
      </c>
      <c r="G6643" s="1" t="str">
        <f t="shared" si="2"/>
        <v/>
      </c>
      <c r="J6643" s="1" t="str">
        <f t="shared" si="3"/>
        <v/>
      </c>
      <c r="K6643" s="1" t="str">
        <f t="shared" si="4"/>
        <v/>
      </c>
    </row>
    <row r="6644" hidden="1">
      <c r="F6644" s="1" t="str">
        <f t="shared" si="1"/>
        <v/>
      </c>
      <c r="G6644" s="1" t="str">
        <f t="shared" si="2"/>
        <v/>
      </c>
      <c r="J6644" s="1" t="str">
        <f t="shared" si="3"/>
        <v/>
      </c>
      <c r="K6644" s="1" t="str">
        <f t="shared" si="4"/>
        <v/>
      </c>
    </row>
    <row r="6645" hidden="1">
      <c r="F6645" s="1" t="str">
        <f t="shared" si="1"/>
        <v/>
      </c>
      <c r="G6645" s="1" t="str">
        <f t="shared" si="2"/>
        <v/>
      </c>
      <c r="J6645" s="1" t="str">
        <f t="shared" si="3"/>
        <v/>
      </c>
      <c r="K6645" s="1" t="str">
        <f t="shared" si="4"/>
        <v/>
      </c>
    </row>
    <row r="6646" hidden="1">
      <c r="F6646" s="1" t="str">
        <f t="shared" si="1"/>
        <v/>
      </c>
      <c r="G6646" s="1" t="str">
        <f t="shared" si="2"/>
        <v/>
      </c>
      <c r="J6646" s="1" t="str">
        <f t="shared" si="3"/>
        <v/>
      </c>
      <c r="K6646" s="1" t="str">
        <f t="shared" si="4"/>
        <v/>
      </c>
    </row>
    <row r="6647" hidden="1">
      <c r="F6647" s="1" t="str">
        <f t="shared" si="1"/>
        <v/>
      </c>
      <c r="G6647" s="1" t="str">
        <f t="shared" si="2"/>
        <v/>
      </c>
      <c r="J6647" s="1" t="str">
        <f t="shared" si="3"/>
        <v/>
      </c>
      <c r="K6647" s="1" t="str">
        <f t="shared" si="4"/>
        <v/>
      </c>
    </row>
    <row r="6648" hidden="1">
      <c r="F6648" s="1" t="str">
        <f t="shared" si="1"/>
        <v/>
      </c>
      <c r="G6648" s="1" t="str">
        <f t="shared" si="2"/>
        <v/>
      </c>
      <c r="J6648" s="1" t="str">
        <f t="shared" si="3"/>
        <v/>
      </c>
      <c r="K6648" s="1" t="str">
        <f t="shared" si="4"/>
        <v/>
      </c>
    </row>
    <row r="6649" hidden="1">
      <c r="F6649" s="1" t="str">
        <f t="shared" si="1"/>
        <v/>
      </c>
      <c r="G6649" s="1" t="str">
        <f t="shared" si="2"/>
        <v/>
      </c>
      <c r="J6649" s="1" t="str">
        <f t="shared" si="3"/>
        <v/>
      </c>
      <c r="K6649" s="1" t="str">
        <f t="shared" si="4"/>
        <v/>
      </c>
    </row>
    <row r="6650" hidden="1">
      <c r="F6650" s="1" t="str">
        <f t="shared" si="1"/>
        <v/>
      </c>
      <c r="G6650" s="1" t="str">
        <f t="shared" si="2"/>
        <v/>
      </c>
      <c r="J6650" s="1" t="str">
        <f t="shared" si="3"/>
        <v/>
      </c>
      <c r="K6650" s="1" t="str">
        <f t="shared" si="4"/>
        <v/>
      </c>
    </row>
    <row r="6651" hidden="1">
      <c r="F6651" s="1" t="str">
        <f t="shared" si="1"/>
        <v/>
      </c>
      <c r="G6651" s="1" t="str">
        <f t="shared" si="2"/>
        <v/>
      </c>
      <c r="J6651" s="1" t="str">
        <f t="shared" si="3"/>
        <v/>
      </c>
      <c r="K6651" s="1" t="str">
        <f t="shared" si="4"/>
        <v/>
      </c>
    </row>
    <row r="6652" hidden="1">
      <c r="F6652" s="1" t="str">
        <f t="shared" si="1"/>
        <v/>
      </c>
      <c r="G6652" s="1" t="str">
        <f t="shared" si="2"/>
        <v/>
      </c>
      <c r="J6652" s="1" t="str">
        <f t="shared" si="3"/>
        <v/>
      </c>
      <c r="K6652" s="1" t="str">
        <f t="shared" si="4"/>
        <v/>
      </c>
    </row>
    <row r="6653" hidden="1">
      <c r="F6653" s="1" t="str">
        <f t="shared" si="1"/>
        <v/>
      </c>
      <c r="G6653" s="1" t="str">
        <f t="shared" si="2"/>
        <v/>
      </c>
      <c r="J6653" s="1" t="str">
        <f t="shared" si="3"/>
        <v/>
      </c>
      <c r="K6653" s="1" t="str">
        <f t="shared" si="4"/>
        <v/>
      </c>
    </row>
    <row r="6654" hidden="1">
      <c r="F6654" s="1" t="str">
        <f t="shared" si="1"/>
        <v/>
      </c>
      <c r="G6654" s="1" t="str">
        <f t="shared" si="2"/>
        <v/>
      </c>
      <c r="J6654" s="1" t="str">
        <f t="shared" si="3"/>
        <v/>
      </c>
      <c r="K6654" s="1" t="str">
        <f t="shared" si="4"/>
        <v/>
      </c>
    </row>
    <row r="6655" hidden="1">
      <c r="F6655" s="1" t="str">
        <f t="shared" si="1"/>
        <v/>
      </c>
      <c r="G6655" s="1" t="str">
        <f t="shared" si="2"/>
        <v/>
      </c>
      <c r="J6655" s="1" t="str">
        <f t="shared" si="3"/>
        <v/>
      </c>
      <c r="K6655" s="1" t="str">
        <f t="shared" si="4"/>
        <v/>
      </c>
    </row>
    <row r="6656" hidden="1">
      <c r="F6656" s="1" t="str">
        <f t="shared" si="1"/>
        <v/>
      </c>
      <c r="G6656" s="1" t="str">
        <f t="shared" si="2"/>
        <v/>
      </c>
      <c r="J6656" s="1" t="str">
        <f t="shared" si="3"/>
        <v/>
      </c>
      <c r="K6656" s="1" t="str">
        <f t="shared" si="4"/>
        <v/>
      </c>
    </row>
    <row r="6657" hidden="1">
      <c r="F6657" s="1" t="str">
        <f t="shared" si="1"/>
        <v/>
      </c>
      <c r="G6657" s="1" t="str">
        <f t="shared" si="2"/>
        <v/>
      </c>
      <c r="J6657" s="1" t="str">
        <f t="shared" si="3"/>
        <v/>
      </c>
      <c r="K6657" s="1" t="str">
        <f t="shared" si="4"/>
        <v/>
      </c>
    </row>
    <row r="6658" hidden="1">
      <c r="F6658" s="1" t="str">
        <f t="shared" si="1"/>
        <v/>
      </c>
      <c r="G6658" s="1" t="str">
        <f t="shared" si="2"/>
        <v/>
      </c>
      <c r="J6658" s="1" t="str">
        <f t="shared" si="3"/>
        <v/>
      </c>
      <c r="K6658" s="1" t="str">
        <f t="shared" si="4"/>
        <v/>
      </c>
    </row>
    <row r="6659" hidden="1">
      <c r="F6659" s="1" t="str">
        <f t="shared" si="1"/>
        <v/>
      </c>
      <c r="G6659" s="1" t="str">
        <f t="shared" si="2"/>
        <v/>
      </c>
      <c r="J6659" s="1" t="str">
        <f t="shared" si="3"/>
        <v/>
      </c>
      <c r="K6659" s="1" t="str">
        <f t="shared" si="4"/>
        <v/>
      </c>
    </row>
    <row r="6660" hidden="1">
      <c r="F6660" s="1" t="str">
        <f t="shared" si="1"/>
        <v/>
      </c>
      <c r="G6660" s="1" t="str">
        <f t="shared" si="2"/>
        <v/>
      </c>
      <c r="J6660" s="1" t="str">
        <f t="shared" si="3"/>
        <v/>
      </c>
      <c r="K6660" s="1" t="str">
        <f t="shared" si="4"/>
        <v/>
      </c>
    </row>
    <row r="6661" hidden="1">
      <c r="F6661" s="1" t="str">
        <f t="shared" si="1"/>
        <v/>
      </c>
      <c r="G6661" s="1" t="str">
        <f t="shared" si="2"/>
        <v/>
      </c>
      <c r="J6661" s="1" t="str">
        <f t="shared" si="3"/>
        <v/>
      </c>
      <c r="K6661" s="1" t="str">
        <f t="shared" si="4"/>
        <v/>
      </c>
    </row>
    <row r="6662" hidden="1">
      <c r="F6662" s="1" t="str">
        <f t="shared" si="1"/>
        <v/>
      </c>
      <c r="G6662" s="1" t="str">
        <f t="shared" si="2"/>
        <v/>
      </c>
      <c r="J6662" s="1" t="str">
        <f t="shared" si="3"/>
        <v/>
      </c>
      <c r="K6662" s="1" t="str">
        <f t="shared" si="4"/>
        <v/>
      </c>
    </row>
    <row r="6663" hidden="1">
      <c r="F6663" s="1" t="str">
        <f t="shared" si="1"/>
        <v/>
      </c>
      <c r="G6663" s="1" t="str">
        <f t="shared" si="2"/>
        <v/>
      </c>
      <c r="J6663" s="1" t="str">
        <f t="shared" si="3"/>
        <v/>
      </c>
      <c r="K6663" s="1" t="str">
        <f t="shared" si="4"/>
        <v/>
      </c>
    </row>
    <row r="6664" hidden="1">
      <c r="F6664" s="1" t="str">
        <f t="shared" si="1"/>
        <v/>
      </c>
      <c r="G6664" s="1" t="str">
        <f t="shared" si="2"/>
        <v/>
      </c>
      <c r="J6664" s="1" t="str">
        <f t="shared" si="3"/>
        <v/>
      </c>
      <c r="K6664" s="1" t="str">
        <f t="shared" si="4"/>
        <v/>
      </c>
    </row>
    <row r="6665" hidden="1">
      <c r="F6665" s="1" t="str">
        <f t="shared" si="1"/>
        <v/>
      </c>
      <c r="G6665" s="1" t="str">
        <f t="shared" si="2"/>
        <v/>
      </c>
      <c r="J6665" s="1" t="str">
        <f t="shared" si="3"/>
        <v/>
      </c>
      <c r="K6665" s="1" t="str">
        <f t="shared" si="4"/>
        <v/>
      </c>
    </row>
    <row r="6666" hidden="1">
      <c r="F6666" s="1" t="str">
        <f t="shared" si="1"/>
        <v/>
      </c>
      <c r="G6666" s="1" t="str">
        <f t="shared" si="2"/>
        <v/>
      </c>
      <c r="J6666" s="1" t="str">
        <f t="shared" si="3"/>
        <v/>
      </c>
      <c r="K6666" s="1" t="str">
        <f t="shared" si="4"/>
        <v/>
      </c>
    </row>
    <row r="6667" hidden="1">
      <c r="F6667" s="1" t="str">
        <f t="shared" si="1"/>
        <v/>
      </c>
      <c r="G6667" s="1" t="str">
        <f t="shared" si="2"/>
        <v/>
      </c>
      <c r="J6667" s="1" t="str">
        <f t="shared" si="3"/>
        <v/>
      </c>
      <c r="K6667" s="1" t="str">
        <f t="shared" si="4"/>
        <v/>
      </c>
    </row>
    <row r="6668" hidden="1">
      <c r="F6668" s="1" t="str">
        <f t="shared" si="1"/>
        <v/>
      </c>
      <c r="G6668" s="1" t="str">
        <f t="shared" si="2"/>
        <v/>
      </c>
      <c r="J6668" s="1" t="str">
        <f t="shared" si="3"/>
        <v/>
      </c>
      <c r="K6668" s="1" t="str">
        <f t="shared" si="4"/>
        <v/>
      </c>
    </row>
    <row r="6669" hidden="1">
      <c r="F6669" s="1" t="str">
        <f t="shared" si="1"/>
        <v/>
      </c>
      <c r="G6669" s="1" t="str">
        <f t="shared" si="2"/>
        <v/>
      </c>
      <c r="J6669" s="1" t="str">
        <f t="shared" si="3"/>
        <v/>
      </c>
      <c r="K6669" s="1" t="str">
        <f t="shared" si="4"/>
        <v/>
      </c>
    </row>
    <row r="6670" hidden="1">
      <c r="F6670" s="1" t="str">
        <f t="shared" si="1"/>
        <v/>
      </c>
      <c r="G6670" s="1" t="str">
        <f t="shared" si="2"/>
        <v/>
      </c>
      <c r="J6670" s="1" t="str">
        <f t="shared" si="3"/>
        <v/>
      </c>
      <c r="K6670" s="1" t="str">
        <f t="shared" si="4"/>
        <v/>
      </c>
    </row>
    <row r="6671" hidden="1">
      <c r="F6671" s="1" t="str">
        <f t="shared" si="1"/>
        <v/>
      </c>
      <c r="G6671" s="1" t="str">
        <f t="shared" si="2"/>
        <v/>
      </c>
      <c r="J6671" s="1" t="str">
        <f t="shared" si="3"/>
        <v/>
      </c>
      <c r="K6671" s="1" t="str">
        <f t="shared" si="4"/>
        <v/>
      </c>
    </row>
    <row r="6672" hidden="1">
      <c r="F6672" s="1" t="str">
        <f t="shared" si="1"/>
        <v/>
      </c>
      <c r="G6672" s="1" t="str">
        <f t="shared" si="2"/>
        <v/>
      </c>
      <c r="J6672" s="1" t="str">
        <f t="shared" si="3"/>
        <v/>
      </c>
      <c r="K6672" s="1" t="str">
        <f t="shared" si="4"/>
        <v/>
      </c>
    </row>
    <row r="6673" hidden="1">
      <c r="F6673" s="1" t="str">
        <f t="shared" si="1"/>
        <v/>
      </c>
      <c r="G6673" s="1" t="str">
        <f t="shared" si="2"/>
        <v/>
      </c>
      <c r="J6673" s="1" t="str">
        <f t="shared" si="3"/>
        <v/>
      </c>
      <c r="K6673" s="1" t="str">
        <f t="shared" si="4"/>
        <v/>
      </c>
    </row>
    <row r="6674" hidden="1">
      <c r="F6674" s="1" t="str">
        <f t="shared" si="1"/>
        <v/>
      </c>
      <c r="G6674" s="1" t="str">
        <f t="shared" si="2"/>
        <v/>
      </c>
      <c r="J6674" s="1" t="str">
        <f t="shared" si="3"/>
        <v/>
      </c>
      <c r="K6674" s="1" t="str">
        <f t="shared" si="4"/>
        <v/>
      </c>
    </row>
    <row r="6675" hidden="1">
      <c r="F6675" s="1" t="str">
        <f t="shared" si="1"/>
        <v/>
      </c>
      <c r="G6675" s="1" t="str">
        <f t="shared" si="2"/>
        <v/>
      </c>
      <c r="J6675" s="1" t="str">
        <f t="shared" si="3"/>
        <v/>
      </c>
      <c r="K6675" s="1" t="str">
        <f t="shared" si="4"/>
        <v/>
      </c>
    </row>
    <row r="6676" hidden="1">
      <c r="F6676" s="1" t="str">
        <f t="shared" si="1"/>
        <v/>
      </c>
      <c r="G6676" s="1" t="str">
        <f t="shared" si="2"/>
        <v/>
      </c>
      <c r="J6676" s="1" t="str">
        <f t="shared" si="3"/>
        <v/>
      </c>
      <c r="K6676" s="1" t="str">
        <f t="shared" si="4"/>
        <v/>
      </c>
    </row>
    <row r="6677" hidden="1">
      <c r="F6677" s="1" t="str">
        <f t="shared" si="1"/>
        <v/>
      </c>
      <c r="G6677" s="1" t="str">
        <f t="shared" si="2"/>
        <v/>
      </c>
      <c r="J6677" s="1" t="str">
        <f t="shared" si="3"/>
        <v/>
      </c>
      <c r="K6677" s="1" t="str">
        <f t="shared" si="4"/>
        <v/>
      </c>
    </row>
    <row r="6678" hidden="1">
      <c r="F6678" s="1" t="str">
        <f t="shared" si="1"/>
        <v/>
      </c>
      <c r="G6678" s="1" t="str">
        <f t="shared" si="2"/>
        <v/>
      </c>
      <c r="J6678" s="1" t="str">
        <f t="shared" si="3"/>
        <v/>
      </c>
      <c r="K6678" s="1" t="str">
        <f t="shared" si="4"/>
        <v/>
      </c>
    </row>
    <row r="6679" hidden="1">
      <c r="F6679" s="1" t="str">
        <f t="shared" si="1"/>
        <v/>
      </c>
      <c r="G6679" s="1" t="str">
        <f t="shared" si="2"/>
        <v/>
      </c>
      <c r="J6679" s="1" t="str">
        <f t="shared" si="3"/>
        <v/>
      </c>
      <c r="K6679" s="1" t="str">
        <f t="shared" si="4"/>
        <v/>
      </c>
    </row>
    <row r="6680" hidden="1">
      <c r="F6680" s="1" t="str">
        <f t="shared" si="1"/>
        <v/>
      </c>
      <c r="G6680" s="1" t="str">
        <f t="shared" si="2"/>
        <v/>
      </c>
      <c r="J6680" s="1" t="str">
        <f t="shared" si="3"/>
        <v/>
      </c>
      <c r="K6680" s="1" t="str">
        <f t="shared" si="4"/>
        <v/>
      </c>
    </row>
    <row r="6681" hidden="1">
      <c r="F6681" s="1" t="str">
        <f t="shared" si="1"/>
        <v/>
      </c>
      <c r="G6681" s="1" t="str">
        <f t="shared" si="2"/>
        <v/>
      </c>
      <c r="J6681" s="1" t="str">
        <f t="shared" si="3"/>
        <v/>
      </c>
      <c r="K6681" s="1" t="str">
        <f t="shared" si="4"/>
        <v/>
      </c>
    </row>
    <row r="6682" hidden="1">
      <c r="F6682" s="1" t="str">
        <f t="shared" si="1"/>
        <v/>
      </c>
      <c r="G6682" s="1" t="str">
        <f t="shared" si="2"/>
        <v/>
      </c>
      <c r="J6682" s="1" t="str">
        <f t="shared" si="3"/>
        <v/>
      </c>
      <c r="K6682" s="1" t="str">
        <f t="shared" si="4"/>
        <v/>
      </c>
    </row>
    <row r="6683" hidden="1">
      <c r="F6683" s="1" t="str">
        <f t="shared" si="1"/>
        <v/>
      </c>
      <c r="G6683" s="1" t="str">
        <f t="shared" si="2"/>
        <v/>
      </c>
      <c r="J6683" s="1" t="str">
        <f t="shared" si="3"/>
        <v/>
      </c>
      <c r="K6683" s="1" t="str">
        <f t="shared" si="4"/>
        <v/>
      </c>
    </row>
    <row r="6684" hidden="1">
      <c r="F6684" s="1" t="str">
        <f t="shared" si="1"/>
        <v/>
      </c>
      <c r="G6684" s="1" t="str">
        <f t="shared" si="2"/>
        <v/>
      </c>
      <c r="J6684" s="1" t="str">
        <f t="shared" si="3"/>
        <v/>
      </c>
      <c r="K6684" s="1" t="str">
        <f t="shared" si="4"/>
        <v/>
      </c>
    </row>
    <row r="6685" hidden="1">
      <c r="F6685" s="1" t="str">
        <f t="shared" si="1"/>
        <v/>
      </c>
      <c r="G6685" s="1" t="str">
        <f t="shared" si="2"/>
        <v/>
      </c>
      <c r="J6685" s="1" t="str">
        <f t="shared" si="3"/>
        <v/>
      </c>
      <c r="K6685" s="1" t="str">
        <f t="shared" si="4"/>
        <v/>
      </c>
    </row>
    <row r="6686" hidden="1">
      <c r="F6686" s="1" t="str">
        <f t="shared" si="1"/>
        <v/>
      </c>
      <c r="G6686" s="1" t="str">
        <f t="shared" si="2"/>
        <v/>
      </c>
      <c r="J6686" s="1" t="str">
        <f t="shared" si="3"/>
        <v/>
      </c>
      <c r="K6686" s="1" t="str">
        <f t="shared" si="4"/>
        <v/>
      </c>
    </row>
    <row r="6687" hidden="1">
      <c r="F6687" s="1" t="str">
        <f t="shared" si="1"/>
        <v/>
      </c>
      <c r="G6687" s="1" t="str">
        <f t="shared" si="2"/>
        <v/>
      </c>
      <c r="J6687" s="1" t="str">
        <f t="shared" si="3"/>
        <v/>
      </c>
      <c r="K6687" s="1" t="str">
        <f t="shared" si="4"/>
        <v/>
      </c>
    </row>
    <row r="6688" hidden="1">
      <c r="F6688" s="1" t="str">
        <f t="shared" si="1"/>
        <v/>
      </c>
      <c r="G6688" s="1" t="str">
        <f t="shared" si="2"/>
        <v/>
      </c>
      <c r="J6688" s="1" t="str">
        <f t="shared" si="3"/>
        <v/>
      </c>
      <c r="K6688" s="1" t="str">
        <f t="shared" si="4"/>
        <v/>
      </c>
    </row>
    <row r="6689" hidden="1">
      <c r="F6689" s="1" t="str">
        <f t="shared" si="1"/>
        <v/>
      </c>
      <c r="G6689" s="1" t="str">
        <f t="shared" si="2"/>
        <v/>
      </c>
      <c r="J6689" s="1" t="str">
        <f t="shared" si="3"/>
        <v/>
      </c>
      <c r="K6689" s="1" t="str">
        <f t="shared" si="4"/>
        <v/>
      </c>
    </row>
    <row r="6690" hidden="1">
      <c r="F6690" s="1" t="str">
        <f t="shared" si="1"/>
        <v/>
      </c>
      <c r="G6690" s="1" t="str">
        <f t="shared" si="2"/>
        <v/>
      </c>
      <c r="J6690" s="1" t="str">
        <f t="shared" si="3"/>
        <v/>
      </c>
      <c r="K6690" s="1" t="str">
        <f t="shared" si="4"/>
        <v/>
      </c>
    </row>
    <row r="6691" hidden="1">
      <c r="F6691" s="1" t="str">
        <f t="shared" si="1"/>
        <v/>
      </c>
      <c r="G6691" s="1" t="str">
        <f t="shared" si="2"/>
        <v/>
      </c>
      <c r="J6691" s="1" t="str">
        <f t="shared" si="3"/>
        <v/>
      </c>
      <c r="K6691" s="1" t="str">
        <f t="shared" si="4"/>
        <v/>
      </c>
    </row>
    <row r="6692" hidden="1">
      <c r="F6692" s="1" t="str">
        <f t="shared" si="1"/>
        <v/>
      </c>
      <c r="G6692" s="1" t="str">
        <f t="shared" si="2"/>
        <v/>
      </c>
      <c r="J6692" s="1" t="str">
        <f t="shared" si="3"/>
        <v/>
      </c>
      <c r="K6692" s="1" t="str">
        <f t="shared" si="4"/>
        <v/>
      </c>
    </row>
    <row r="6693" hidden="1">
      <c r="F6693" s="1" t="str">
        <f t="shared" si="1"/>
        <v/>
      </c>
      <c r="G6693" s="1" t="str">
        <f t="shared" si="2"/>
        <v/>
      </c>
      <c r="J6693" s="1" t="str">
        <f t="shared" si="3"/>
        <v/>
      </c>
      <c r="K6693" s="1" t="str">
        <f t="shared" si="4"/>
        <v/>
      </c>
    </row>
    <row r="6694" hidden="1">
      <c r="F6694" s="1" t="str">
        <f t="shared" si="1"/>
        <v/>
      </c>
      <c r="G6694" s="1" t="str">
        <f t="shared" si="2"/>
        <v/>
      </c>
      <c r="J6694" s="1" t="str">
        <f t="shared" si="3"/>
        <v/>
      </c>
      <c r="K6694" s="1" t="str">
        <f t="shared" si="4"/>
        <v/>
      </c>
    </row>
    <row r="6695" hidden="1">
      <c r="F6695" s="1" t="str">
        <f t="shared" si="1"/>
        <v/>
      </c>
      <c r="G6695" s="1" t="str">
        <f t="shared" si="2"/>
        <v/>
      </c>
      <c r="J6695" s="1" t="str">
        <f t="shared" si="3"/>
        <v/>
      </c>
      <c r="K6695" s="1" t="str">
        <f t="shared" si="4"/>
        <v/>
      </c>
    </row>
    <row r="6696" hidden="1">
      <c r="F6696" s="1" t="str">
        <f t="shared" si="1"/>
        <v/>
      </c>
      <c r="G6696" s="1" t="str">
        <f t="shared" si="2"/>
        <v/>
      </c>
      <c r="J6696" s="1" t="str">
        <f t="shared" si="3"/>
        <v/>
      </c>
      <c r="K6696" s="1" t="str">
        <f t="shared" si="4"/>
        <v/>
      </c>
    </row>
    <row r="6697" hidden="1">
      <c r="F6697" s="1" t="str">
        <f t="shared" si="1"/>
        <v/>
      </c>
      <c r="G6697" s="1" t="str">
        <f t="shared" si="2"/>
        <v/>
      </c>
      <c r="J6697" s="1" t="str">
        <f t="shared" si="3"/>
        <v/>
      </c>
      <c r="K6697" s="1" t="str">
        <f t="shared" si="4"/>
        <v/>
      </c>
    </row>
    <row r="6698" hidden="1">
      <c r="F6698" s="1" t="str">
        <f t="shared" si="1"/>
        <v/>
      </c>
      <c r="G6698" s="1" t="str">
        <f t="shared" si="2"/>
        <v/>
      </c>
      <c r="J6698" s="1" t="str">
        <f t="shared" si="3"/>
        <v/>
      </c>
      <c r="K6698" s="1" t="str">
        <f t="shared" si="4"/>
        <v/>
      </c>
    </row>
    <row r="6699" hidden="1">
      <c r="F6699" s="1" t="str">
        <f t="shared" si="1"/>
        <v/>
      </c>
      <c r="G6699" s="1" t="str">
        <f t="shared" si="2"/>
        <v/>
      </c>
      <c r="J6699" s="1" t="str">
        <f t="shared" si="3"/>
        <v/>
      </c>
      <c r="K6699" s="1" t="str">
        <f t="shared" si="4"/>
        <v/>
      </c>
    </row>
    <row r="6700" hidden="1">
      <c r="F6700" s="1" t="str">
        <f t="shared" si="1"/>
        <v/>
      </c>
      <c r="G6700" s="1" t="str">
        <f t="shared" si="2"/>
        <v/>
      </c>
      <c r="J6700" s="1" t="str">
        <f t="shared" si="3"/>
        <v/>
      </c>
      <c r="K6700" s="1" t="str">
        <f t="shared" si="4"/>
        <v/>
      </c>
    </row>
    <row r="6701" hidden="1">
      <c r="F6701" s="1" t="str">
        <f t="shared" si="1"/>
        <v/>
      </c>
      <c r="G6701" s="1" t="str">
        <f t="shared" si="2"/>
        <v/>
      </c>
      <c r="J6701" s="1" t="str">
        <f t="shared" si="3"/>
        <v/>
      </c>
      <c r="K6701" s="1" t="str">
        <f t="shared" si="4"/>
        <v/>
      </c>
    </row>
    <row r="6702" hidden="1">
      <c r="F6702" s="1" t="str">
        <f t="shared" si="1"/>
        <v/>
      </c>
      <c r="G6702" s="1" t="str">
        <f t="shared" si="2"/>
        <v/>
      </c>
      <c r="J6702" s="1" t="str">
        <f t="shared" si="3"/>
        <v/>
      </c>
      <c r="K6702" s="1" t="str">
        <f t="shared" si="4"/>
        <v/>
      </c>
    </row>
    <row r="6703" hidden="1">
      <c r="F6703" s="1" t="str">
        <f t="shared" si="1"/>
        <v/>
      </c>
      <c r="G6703" s="1" t="str">
        <f t="shared" si="2"/>
        <v/>
      </c>
      <c r="J6703" s="1" t="str">
        <f t="shared" si="3"/>
        <v/>
      </c>
      <c r="K6703" s="1" t="str">
        <f t="shared" si="4"/>
        <v/>
      </c>
    </row>
    <row r="6704" hidden="1">
      <c r="F6704" s="1" t="str">
        <f t="shared" si="1"/>
        <v/>
      </c>
      <c r="G6704" s="1" t="str">
        <f t="shared" si="2"/>
        <v/>
      </c>
      <c r="J6704" s="1" t="str">
        <f t="shared" si="3"/>
        <v/>
      </c>
      <c r="K6704" s="1" t="str">
        <f t="shared" si="4"/>
        <v/>
      </c>
    </row>
    <row r="6705" hidden="1">
      <c r="F6705" s="1" t="str">
        <f t="shared" si="1"/>
        <v/>
      </c>
      <c r="G6705" s="1" t="str">
        <f t="shared" si="2"/>
        <v/>
      </c>
      <c r="J6705" s="1" t="str">
        <f t="shared" si="3"/>
        <v/>
      </c>
      <c r="K6705" s="1" t="str">
        <f t="shared" si="4"/>
        <v/>
      </c>
    </row>
    <row r="6706" hidden="1">
      <c r="F6706" s="1" t="str">
        <f t="shared" si="1"/>
        <v/>
      </c>
      <c r="G6706" s="1" t="str">
        <f t="shared" si="2"/>
        <v/>
      </c>
      <c r="J6706" s="1" t="str">
        <f t="shared" si="3"/>
        <v/>
      </c>
      <c r="K6706" s="1" t="str">
        <f t="shared" si="4"/>
        <v/>
      </c>
    </row>
    <row r="6707" hidden="1">
      <c r="F6707" s="1" t="str">
        <f t="shared" si="1"/>
        <v/>
      </c>
      <c r="G6707" s="1" t="str">
        <f t="shared" si="2"/>
        <v/>
      </c>
      <c r="J6707" s="1" t="str">
        <f t="shared" si="3"/>
        <v/>
      </c>
      <c r="K6707" s="1" t="str">
        <f t="shared" si="4"/>
        <v/>
      </c>
    </row>
    <row r="6708" hidden="1">
      <c r="F6708" s="1" t="str">
        <f t="shared" si="1"/>
        <v/>
      </c>
      <c r="G6708" s="1" t="str">
        <f t="shared" si="2"/>
        <v/>
      </c>
      <c r="J6708" s="1" t="str">
        <f t="shared" si="3"/>
        <v/>
      </c>
      <c r="K6708" s="1" t="str">
        <f t="shared" si="4"/>
        <v/>
      </c>
    </row>
    <row r="6709" hidden="1">
      <c r="F6709" s="1" t="str">
        <f t="shared" si="1"/>
        <v/>
      </c>
      <c r="G6709" s="1" t="str">
        <f t="shared" si="2"/>
        <v/>
      </c>
      <c r="J6709" s="1" t="str">
        <f t="shared" si="3"/>
        <v/>
      </c>
      <c r="K6709" s="1" t="str">
        <f t="shared" si="4"/>
        <v/>
      </c>
    </row>
    <row r="6710" hidden="1">
      <c r="F6710" s="1" t="str">
        <f t="shared" si="1"/>
        <v/>
      </c>
      <c r="G6710" s="1" t="str">
        <f t="shared" si="2"/>
        <v/>
      </c>
      <c r="J6710" s="1" t="str">
        <f t="shared" si="3"/>
        <v/>
      </c>
      <c r="K6710" s="1" t="str">
        <f t="shared" si="4"/>
        <v/>
      </c>
    </row>
    <row r="6711" hidden="1">
      <c r="F6711" s="1" t="str">
        <f t="shared" si="1"/>
        <v/>
      </c>
      <c r="G6711" s="1" t="str">
        <f t="shared" si="2"/>
        <v/>
      </c>
      <c r="J6711" s="1" t="str">
        <f t="shared" si="3"/>
        <v/>
      </c>
      <c r="K6711" s="1" t="str">
        <f t="shared" si="4"/>
        <v/>
      </c>
    </row>
    <row r="6712" hidden="1">
      <c r="F6712" s="1" t="str">
        <f t="shared" si="1"/>
        <v/>
      </c>
      <c r="G6712" s="1" t="str">
        <f t="shared" si="2"/>
        <v/>
      </c>
      <c r="J6712" s="1" t="str">
        <f t="shared" si="3"/>
        <v/>
      </c>
      <c r="K6712" s="1" t="str">
        <f t="shared" si="4"/>
        <v/>
      </c>
    </row>
    <row r="6713" hidden="1">
      <c r="F6713" s="1" t="str">
        <f t="shared" si="1"/>
        <v/>
      </c>
      <c r="G6713" s="1" t="str">
        <f t="shared" si="2"/>
        <v/>
      </c>
      <c r="J6713" s="1" t="str">
        <f t="shared" si="3"/>
        <v/>
      </c>
      <c r="K6713" s="1" t="str">
        <f t="shared" si="4"/>
        <v/>
      </c>
    </row>
    <row r="6714" hidden="1">
      <c r="F6714" s="1" t="str">
        <f t="shared" si="1"/>
        <v/>
      </c>
      <c r="G6714" s="1" t="str">
        <f t="shared" si="2"/>
        <v/>
      </c>
      <c r="J6714" s="1" t="str">
        <f t="shared" si="3"/>
        <v/>
      </c>
      <c r="K6714" s="1" t="str">
        <f t="shared" si="4"/>
        <v/>
      </c>
    </row>
    <row r="6715" hidden="1">
      <c r="F6715" s="1" t="str">
        <f t="shared" si="1"/>
        <v/>
      </c>
      <c r="G6715" s="1" t="str">
        <f t="shared" si="2"/>
        <v/>
      </c>
      <c r="J6715" s="1" t="str">
        <f t="shared" si="3"/>
        <v/>
      </c>
      <c r="K6715" s="1" t="str">
        <f t="shared" si="4"/>
        <v/>
      </c>
    </row>
    <row r="6716" hidden="1">
      <c r="F6716" s="1" t="str">
        <f t="shared" si="1"/>
        <v/>
      </c>
      <c r="G6716" s="1" t="str">
        <f t="shared" si="2"/>
        <v/>
      </c>
      <c r="J6716" s="1" t="str">
        <f t="shared" si="3"/>
        <v/>
      </c>
      <c r="K6716" s="1" t="str">
        <f t="shared" si="4"/>
        <v/>
      </c>
    </row>
    <row r="6717" hidden="1">
      <c r="F6717" s="1" t="str">
        <f t="shared" si="1"/>
        <v/>
      </c>
      <c r="G6717" s="1" t="str">
        <f t="shared" si="2"/>
        <v/>
      </c>
      <c r="J6717" s="1" t="str">
        <f t="shared" si="3"/>
        <v/>
      </c>
      <c r="K6717" s="1" t="str">
        <f t="shared" si="4"/>
        <v/>
      </c>
    </row>
    <row r="6718" hidden="1">
      <c r="F6718" s="1" t="str">
        <f t="shared" si="1"/>
        <v/>
      </c>
      <c r="G6718" s="1" t="str">
        <f t="shared" si="2"/>
        <v/>
      </c>
      <c r="J6718" s="1" t="str">
        <f t="shared" si="3"/>
        <v/>
      </c>
      <c r="K6718" s="1" t="str">
        <f t="shared" si="4"/>
        <v/>
      </c>
    </row>
    <row r="6719" hidden="1">
      <c r="F6719" s="1" t="str">
        <f t="shared" si="1"/>
        <v/>
      </c>
      <c r="G6719" s="1" t="str">
        <f t="shared" si="2"/>
        <v/>
      </c>
      <c r="J6719" s="1" t="str">
        <f t="shared" si="3"/>
        <v/>
      </c>
      <c r="K6719" s="1" t="str">
        <f t="shared" si="4"/>
        <v/>
      </c>
    </row>
    <row r="6720" hidden="1">
      <c r="F6720" s="1" t="str">
        <f t="shared" si="1"/>
        <v/>
      </c>
      <c r="G6720" s="1" t="str">
        <f t="shared" si="2"/>
        <v/>
      </c>
      <c r="J6720" s="1" t="str">
        <f t="shared" si="3"/>
        <v/>
      </c>
      <c r="K6720" s="1" t="str">
        <f t="shared" si="4"/>
        <v/>
      </c>
    </row>
    <row r="6721" hidden="1">
      <c r="F6721" s="1" t="str">
        <f t="shared" si="1"/>
        <v/>
      </c>
      <c r="G6721" s="1" t="str">
        <f t="shared" si="2"/>
        <v/>
      </c>
      <c r="J6721" s="1" t="str">
        <f t="shared" si="3"/>
        <v/>
      </c>
      <c r="K6721" s="1" t="str">
        <f t="shared" si="4"/>
        <v/>
      </c>
    </row>
    <row r="6722" hidden="1">
      <c r="F6722" s="1" t="str">
        <f t="shared" si="1"/>
        <v/>
      </c>
      <c r="G6722" s="1" t="str">
        <f t="shared" si="2"/>
        <v/>
      </c>
      <c r="J6722" s="1" t="str">
        <f t="shared" si="3"/>
        <v/>
      </c>
      <c r="K6722" s="1" t="str">
        <f t="shared" si="4"/>
        <v/>
      </c>
    </row>
    <row r="6723" hidden="1">
      <c r="F6723" s="1" t="str">
        <f t="shared" si="1"/>
        <v/>
      </c>
      <c r="G6723" s="1" t="str">
        <f t="shared" si="2"/>
        <v/>
      </c>
      <c r="J6723" s="1" t="str">
        <f t="shared" si="3"/>
        <v/>
      </c>
      <c r="K6723" s="1" t="str">
        <f t="shared" si="4"/>
        <v/>
      </c>
    </row>
    <row r="6724" hidden="1">
      <c r="F6724" s="1" t="str">
        <f t="shared" si="1"/>
        <v/>
      </c>
      <c r="G6724" s="1" t="str">
        <f t="shared" si="2"/>
        <v/>
      </c>
      <c r="J6724" s="1" t="str">
        <f t="shared" si="3"/>
        <v/>
      </c>
      <c r="K6724" s="1" t="str">
        <f t="shared" si="4"/>
        <v/>
      </c>
    </row>
    <row r="6725" hidden="1">
      <c r="F6725" s="1" t="str">
        <f t="shared" si="1"/>
        <v/>
      </c>
      <c r="G6725" s="1" t="str">
        <f t="shared" si="2"/>
        <v/>
      </c>
      <c r="J6725" s="1" t="str">
        <f t="shared" si="3"/>
        <v/>
      </c>
      <c r="K6725" s="1" t="str">
        <f t="shared" si="4"/>
        <v/>
      </c>
    </row>
    <row r="6726" hidden="1">
      <c r="F6726" s="1" t="str">
        <f t="shared" si="1"/>
        <v/>
      </c>
      <c r="G6726" s="1" t="str">
        <f t="shared" si="2"/>
        <v/>
      </c>
      <c r="J6726" s="1" t="str">
        <f t="shared" si="3"/>
        <v/>
      </c>
      <c r="K6726" s="1" t="str">
        <f t="shared" si="4"/>
        <v/>
      </c>
    </row>
    <row r="6727" hidden="1">
      <c r="F6727" s="1" t="str">
        <f t="shared" si="1"/>
        <v/>
      </c>
      <c r="G6727" s="1" t="str">
        <f t="shared" si="2"/>
        <v/>
      </c>
      <c r="J6727" s="1" t="str">
        <f t="shared" si="3"/>
        <v/>
      </c>
      <c r="K6727" s="1" t="str">
        <f t="shared" si="4"/>
        <v/>
      </c>
    </row>
    <row r="6728" hidden="1">
      <c r="F6728" s="1" t="str">
        <f t="shared" si="1"/>
        <v/>
      </c>
      <c r="G6728" s="1" t="str">
        <f t="shared" si="2"/>
        <v/>
      </c>
      <c r="J6728" s="1" t="str">
        <f t="shared" si="3"/>
        <v/>
      </c>
      <c r="K6728" s="1" t="str">
        <f t="shared" si="4"/>
        <v/>
      </c>
    </row>
    <row r="6729" hidden="1">
      <c r="F6729" s="1" t="str">
        <f t="shared" si="1"/>
        <v/>
      </c>
      <c r="G6729" s="1" t="str">
        <f t="shared" si="2"/>
        <v/>
      </c>
      <c r="J6729" s="1" t="str">
        <f t="shared" si="3"/>
        <v/>
      </c>
      <c r="K6729" s="1" t="str">
        <f t="shared" si="4"/>
        <v/>
      </c>
    </row>
    <row r="6730" hidden="1">
      <c r="F6730" s="1" t="str">
        <f t="shared" si="1"/>
        <v/>
      </c>
      <c r="G6730" s="1" t="str">
        <f t="shared" si="2"/>
        <v/>
      </c>
      <c r="J6730" s="1" t="str">
        <f t="shared" si="3"/>
        <v/>
      </c>
      <c r="K6730" s="1" t="str">
        <f t="shared" si="4"/>
        <v/>
      </c>
    </row>
    <row r="6731" hidden="1">
      <c r="F6731" s="1" t="str">
        <f t="shared" si="1"/>
        <v/>
      </c>
      <c r="G6731" s="1" t="str">
        <f t="shared" si="2"/>
        <v/>
      </c>
      <c r="J6731" s="1" t="str">
        <f t="shared" si="3"/>
        <v/>
      </c>
      <c r="K6731" s="1" t="str">
        <f t="shared" si="4"/>
        <v/>
      </c>
    </row>
    <row r="6732" hidden="1">
      <c r="F6732" s="1" t="str">
        <f t="shared" si="1"/>
        <v/>
      </c>
      <c r="G6732" s="1" t="str">
        <f t="shared" si="2"/>
        <v/>
      </c>
      <c r="J6732" s="1" t="str">
        <f t="shared" si="3"/>
        <v/>
      </c>
      <c r="K6732" s="1" t="str">
        <f t="shared" si="4"/>
        <v/>
      </c>
    </row>
    <row r="6733" hidden="1">
      <c r="F6733" s="1" t="str">
        <f t="shared" si="1"/>
        <v/>
      </c>
      <c r="G6733" s="1" t="str">
        <f t="shared" si="2"/>
        <v/>
      </c>
      <c r="J6733" s="1" t="str">
        <f t="shared" si="3"/>
        <v/>
      </c>
      <c r="K6733" s="1" t="str">
        <f t="shared" si="4"/>
        <v/>
      </c>
    </row>
    <row r="6734" hidden="1">
      <c r="F6734" s="1" t="str">
        <f t="shared" si="1"/>
        <v/>
      </c>
      <c r="G6734" s="1" t="str">
        <f t="shared" si="2"/>
        <v/>
      </c>
      <c r="J6734" s="1" t="str">
        <f t="shared" si="3"/>
        <v/>
      </c>
      <c r="K6734" s="1" t="str">
        <f t="shared" si="4"/>
        <v/>
      </c>
    </row>
    <row r="6735" hidden="1">
      <c r="F6735" s="1" t="str">
        <f t="shared" si="1"/>
        <v/>
      </c>
      <c r="G6735" s="1" t="str">
        <f t="shared" si="2"/>
        <v/>
      </c>
      <c r="J6735" s="1" t="str">
        <f t="shared" si="3"/>
        <v/>
      </c>
      <c r="K6735" s="1" t="str">
        <f t="shared" si="4"/>
        <v/>
      </c>
    </row>
    <row r="6736" hidden="1">
      <c r="F6736" s="1" t="str">
        <f t="shared" si="1"/>
        <v/>
      </c>
      <c r="G6736" s="1" t="str">
        <f t="shared" si="2"/>
        <v/>
      </c>
      <c r="J6736" s="1" t="str">
        <f t="shared" si="3"/>
        <v/>
      </c>
      <c r="K6736" s="1" t="str">
        <f t="shared" si="4"/>
        <v/>
      </c>
    </row>
    <row r="6737" hidden="1">
      <c r="F6737" s="1" t="str">
        <f t="shared" si="1"/>
        <v/>
      </c>
      <c r="G6737" s="1" t="str">
        <f t="shared" si="2"/>
        <v/>
      </c>
      <c r="J6737" s="1" t="str">
        <f t="shared" si="3"/>
        <v/>
      </c>
      <c r="K6737" s="1" t="str">
        <f t="shared" si="4"/>
        <v/>
      </c>
    </row>
    <row r="6738" hidden="1">
      <c r="F6738" s="1" t="str">
        <f t="shared" si="1"/>
        <v/>
      </c>
      <c r="G6738" s="1" t="str">
        <f t="shared" si="2"/>
        <v/>
      </c>
      <c r="J6738" s="1" t="str">
        <f t="shared" si="3"/>
        <v/>
      </c>
      <c r="K6738" s="1" t="str">
        <f t="shared" si="4"/>
        <v/>
      </c>
    </row>
    <row r="6739" hidden="1">
      <c r="F6739" s="1" t="str">
        <f t="shared" si="1"/>
        <v/>
      </c>
      <c r="G6739" s="1" t="str">
        <f t="shared" si="2"/>
        <v/>
      </c>
      <c r="J6739" s="1" t="str">
        <f t="shared" si="3"/>
        <v/>
      </c>
      <c r="K6739" s="1" t="str">
        <f t="shared" si="4"/>
        <v/>
      </c>
    </row>
    <row r="6740" hidden="1">
      <c r="F6740" s="1" t="str">
        <f t="shared" si="1"/>
        <v/>
      </c>
      <c r="G6740" s="1" t="str">
        <f t="shared" si="2"/>
        <v/>
      </c>
      <c r="J6740" s="1" t="str">
        <f t="shared" si="3"/>
        <v/>
      </c>
      <c r="K6740" s="1" t="str">
        <f t="shared" si="4"/>
        <v/>
      </c>
    </row>
    <row r="6741" hidden="1">
      <c r="F6741" s="1" t="str">
        <f t="shared" si="1"/>
        <v/>
      </c>
      <c r="G6741" s="1" t="str">
        <f t="shared" si="2"/>
        <v/>
      </c>
      <c r="J6741" s="1" t="str">
        <f t="shared" si="3"/>
        <v/>
      </c>
      <c r="K6741" s="1" t="str">
        <f t="shared" si="4"/>
        <v/>
      </c>
    </row>
    <row r="6742" hidden="1">
      <c r="F6742" s="1" t="str">
        <f t="shared" si="1"/>
        <v/>
      </c>
      <c r="G6742" s="1" t="str">
        <f t="shared" si="2"/>
        <v/>
      </c>
      <c r="J6742" s="1" t="str">
        <f t="shared" si="3"/>
        <v/>
      </c>
      <c r="K6742" s="1" t="str">
        <f t="shared" si="4"/>
        <v/>
      </c>
    </row>
    <row r="6743" hidden="1">
      <c r="F6743" s="1" t="str">
        <f t="shared" si="1"/>
        <v/>
      </c>
      <c r="G6743" s="1" t="str">
        <f t="shared" si="2"/>
        <v/>
      </c>
      <c r="J6743" s="1" t="str">
        <f t="shared" si="3"/>
        <v/>
      </c>
      <c r="K6743" s="1" t="str">
        <f t="shared" si="4"/>
        <v/>
      </c>
    </row>
    <row r="6744" hidden="1">
      <c r="F6744" s="1" t="str">
        <f t="shared" si="1"/>
        <v/>
      </c>
      <c r="G6744" s="1" t="str">
        <f t="shared" si="2"/>
        <v/>
      </c>
      <c r="J6744" s="1" t="str">
        <f t="shared" si="3"/>
        <v/>
      </c>
      <c r="K6744" s="1" t="str">
        <f t="shared" si="4"/>
        <v/>
      </c>
    </row>
    <row r="6745" hidden="1">
      <c r="F6745" s="1" t="str">
        <f t="shared" si="1"/>
        <v/>
      </c>
      <c r="G6745" s="1" t="str">
        <f t="shared" si="2"/>
        <v/>
      </c>
      <c r="J6745" s="1" t="str">
        <f t="shared" si="3"/>
        <v/>
      </c>
      <c r="K6745" s="1" t="str">
        <f t="shared" si="4"/>
        <v/>
      </c>
    </row>
    <row r="6746" hidden="1">
      <c r="F6746" s="1" t="str">
        <f t="shared" si="1"/>
        <v/>
      </c>
      <c r="G6746" s="1" t="str">
        <f t="shared" si="2"/>
        <v/>
      </c>
      <c r="J6746" s="1" t="str">
        <f t="shared" si="3"/>
        <v/>
      </c>
      <c r="K6746" s="1" t="str">
        <f t="shared" si="4"/>
        <v/>
      </c>
    </row>
    <row r="6747" hidden="1">
      <c r="F6747" s="1" t="str">
        <f t="shared" si="1"/>
        <v/>
      </c>
      <c r="G6747" s="1" t="str">
        <f t="shared" si="2"/>
        <v/>
      </c>
      <c r="J6747" s="1" t="str">
        <f t="shared" si="3"/>
        <v/>
      </c>
      <c r="K6747" s="1" t="str">
        <f t="shared" si="4"/>
        <v/>
      </c>
    </row>
    <row r="6748" hidden="1">
      <c r="F6748" s="1" t="str">
        <f t="shared" si="1"/>
        <v/>
      </c>
      <c r="G6748" s="1" t="str">
        <f t="shared" si="2"/>
        <v/>
      </c>
      <c r="J6748" s="1" t="str">
        <f t="shared" si="3"/>
        <v/>
      </c>
      <c r="K6748" s="1" t="str">
        <f t="shared" si="4"/>
        <v/>
      </c>
    </row>
    <row r="6749" hidden="1">
      <c r="F6749" s="1" t="str">
        <f t="shared" si="1"/>
        <v/>
      </c>
      <c r="G6749" s="1" t="str">
        <f t="shared" si="2"/>
        <v/>
      </c>
      <c r="J6749" s="1" t="str">
        <f t="shared" si="3"/>
        <v/>
      </c>
      <c r="K6749" s="1" t="str">
        <f t="shared" si="4"/>
        <v/>
      </c>
    </row>
    <row r="6750" hidden="1">
      <c r="F6750" s="1" t="str">
        <f t="shared" si="1"/>
        <v/>
      </c>
      <c r="G6750" s="1" t="str">
        <f t="shared" si="2"/>
        <v/>
      </c>
      <c r="J6750" s="1" t="str">
        <f t="shared" si="3"/>
        <v/>
      </c>
      <c r="K6750" s="1" t="str">
        <f t="shared" si="4"/>
        <v/>
      </c>
    </row>
    <row r="6751" hidden="1">
      <c r="F6751" s="1" t="str">
        <f t="shared" si="1"/>
        <v/>
      </c>
      <c r="G6751" s="1" t="str">
        <f t="shared" si="2"/>
        <v/>
      </c>
      <c r="J6751" s="1" t="str">
        <f t="shared" si="3"/>
        <v/>
      </c>
      <c r="K6751" s="1" t="str">
        <f t="shared" si="4"/>
        <v/>
      </c>
    </row>
    <row r="6752" hidden="1">
      <c r="F6752" s="1" t="str">
        <f t="shared" si="1"/>
        <v/>
      </c>
      <c r="G6752" s="1" t="str">
        <f t="shared" si="2"/>
        <v/>
      </c>
      <c r="J6752" s="1" t="str">
        <f t="shared" si="3"/>
        <v/>
      </c>
      <c r="K6752" s="1" t="str">
        <f t="shared" si="4"/>
        <v/>
      </c>
    </row>
    <row r="6753" hidden="1">
      <c r="F6753" s="1" t="str">
        <f t="shared" si="1"/>
        <v/>
      </c>
      <c r="G6753" s="1" t="str">
        <f t="shared" si="2"/>
        <v/>
      </c>
      <c r="J6753" s="1" t="str">
        <f t="shared" si="3"/>
        <v/>
      </c>
      <c r="K6753" s="1" t="str">
        <f t="shared" si="4"/>
        <v/>
      </c>
    </row>
    <row r="6754" hidden="1">
      <c r="F6754" s="1" t="str">
        <f t="shared" si="1"/>
        <v/>
      </c>
      <c r="G6754" s="1" t="str">
        <f t="shared" si="2"/>
        <v/>
      </c>
      <c r="J6754" s="1" t="str">
        <f t="shared" si="3"/>
        <v/>
      </c>
      <c r="K6754" s="1" t="str">
        <f t="shared" si="4"/>
        <v/>
      </c>
    </row>
    <row r="6755" hidden="1">
      <c r="F6755" s="1" t="str">
        <f t="shared" si="1"/>
        <v/>
      </c>
      <c r="G6755" s="1" t="str">
        <f t="shared" si="2"/>
        <v/>
      </c>
      <c r="J6755" s="1" t="str">
        <f t="shared" si="3"/>
        <v/>
      </c>
      <c r="K6755" s="1" t="str">
        <f t="shared" si="4"/>
        <v/>
      </c>
    </row>
    <row r="6756" hidden="1">
      <c r="F6756" s="1" t="str">
        <f t="shared" si="1"/>
        <v/>
      </c>
      <c r="G6756" s="1" t="str">
        <f t="shared" si="2"/>
        <v/>
      </c>
      <c r="J6756" s="1" t="str">
        <f t="shared" si="3"/>
        <v/>
      </c>
      <c r="K6756" s="1" t="str">
        <f t="shared" si="4"/>
        <v/>
      </c>
    </row>
    <row r="6757" hidden="1">
      <c r="F6757" s="1" t="str">
        <f t="shared" si="1"/>
        <v/>
      </c>
      <c r="G6757" s="1" t="str">
        <f t="shared" si="2"/>
        <v/>
      </c>
      <c r="J6757" s="1" t="str">
        <f t="shared" si="3"/>
        <v/>
      </c>
      <c r="K6757" s="1" t="str">
        <f t="shared" si="4"/>
        <v/>
      </c>
    </row>
    <row r="6758" hidden="1">
      <c r="F6758" s="1" t="str">
        <f t="shared" si="1"/>
        <v/>
      </c>
      <c r="G6758" s="1" t="str">
        <f t="shared" si="2"/>
        <v/>
      </c>
      <c r="J6758" s="1" t="str">
        <f t="shared" si="3"/>
        <v/>
      </c>
      <c r="K6758" s="1" t="str">
        <f t="shared" si="4"/>
        <v/>
      </c>
    </row>
    <row r="6759" hidden="1">
      <c r="F6759" s="1" t="str">
        <f t="shared" si="1"/>
        <v/>
      </c>
      <c r="G6759" s="1" t="str">
        <f t="shared" si="2"/>
        <v/>
      </c>
      <c r="J6759" s="1" t="str">
        <f t="shared" si="3"/>
        <v/>
      </c>
      <c r="K6759" s="1" t="str">
        <f t="shared" si="4"/>
        <v/>
      </c>
    </row>
    <row r="6760" hidden="1">
      <c r="F6760" s="1" t="str">
        <f t="shared" si="1"/>
        <v/>
      </c>
      <c r="G6760" s="1" t="str">
        <f t="shared" si="2"/>
        <v/>
      </c>
      <c r="J6760" s="1" t="str">
        <f t="shared" si="3"/>
        <v/>
      </c>
      <c r="K6760" s="1" t="str">
        <f t="shared" si="4"/>
        <v/>
      </c>
    </row>
    <row r="6761" hidden="1">
      <c r="F6761" s="1" t="str">
        <f t="shared" si="1"/>
        <v/>
      </c>
      <c r="G6761" s="1" t="str">
        <f t="shared" si="2"/>
        <v/>
      </c>
      <c r="J6761" s="1" t="str">
        <f t="shared" si="3"/>
        <v/>
      </c>
      <c r="K6761" s="1" t="str">
        <f t="shared" si="4"/>
        <v/>
      </c>
    </row>
    <row r="6762" hidden="1">
      <c r="F6762" s="1" t="str">
        <f t="shared" si="1"/>
        <v/>
      </c>
      <c r="G6762" s="1" t="str">
        <f t="shared" si="2"/>
        <v/>
      </c>
      <c r="J6762" s="1" t="str">
        <f t="shared" si="3"/>
        <v/>
      </c>
      <c r="K6762" s="1" t="str">
        <f t="shared" si="4"/>
        <v/>
      </c>
    </row>
    <row r="6763" hidden="1">
      <c r="F6763" s="1" t="str">
        <f t="shared" si="1"/>
        <v/>
      </c>
      <c r="G6763" s="1" t="str">
        <f t="shared" si="2"/>
        <v/>
      </c>
      <c r="J6763" s="1" t="str">
        <f t="shared" si="3"/>
        <v/>
      </c>
      <c r="K6763" s="1" t="str">
        <f t="shared" si="4"/>
        <v/>
      </c>
    </row>
    <row r="6764" hidden="1">
      <c r="F6764" s="1" t="str">
        <f t="shared" si="1"/>
        <v/>
      </c>
      <c r="G6764" s="1" t="str">
        <f t="shared" si="2"/>
        <v/>
      </c>
      <c r="J6764" s="1" t="str">
        <f t="shared" si="3"/>
        <v/>
      </c>
      <c r="K6764" s="1" t="str">
        <f t="shared" si="4"/>
        <v/>
      </c>
    </row>
    <row r="6765" hidden="1">
      <c r="F6765" s="1" t="str">
        <f t="shared" si="1"/>
        <v/>
      </c>
      <c r="G6765" s="1" t="str">
        <f t="shared" si="2"/>
        <v/>
      </c>
      <c r="J6765" s="1" t="str">
        <f t="shared" si="3"/>
        <v/>
      </c>
      <c r="K6765" s="1" t="str">
        <f t="shared" si="4"/>
        <v/>
      </c>
    </row>
    <row r="6766" hidden="1">
      <c r="F6766" s="1" t="str">
        <f t="shared" si="1"/>
        <v/>
      </c>
      <c r="G6766" s="1" t="str">
        <f t="shared" si="2"/>
        <v/>
      </c>
      <c r="J6766" s="1" t="str">
        <f t="shared" si="3"/>
        <v/>
      </c>
      <c r="K6766" s="1" t="str">
        <f t="shared" si="4"/>
        <v/>
      </c>
    </row>
    <row r="6767" hidden="1">
      <c r="F6767" s="1" t="str">
        <f t="shared" si="1"/>
        <v/>
      </c>
      <c r="G6767" s="1" t="str">
        <f t="shared" si="2"/>
        <v/>
      </c>
      <c r="J6767" s="1" t="str">
        <f t="shared" si="3"/>
        <v/>
      </c>
      <c r="K6767" s="1" t="str">
        <f t="shared" si="4"/>
        <v/>
      </c>
    </row>
    <row r="6768" hidden="1">
      <c r="F6768" s="1" t="str">
        <f t="shared" si="1"/>
        <v/>
      </c>
      <c r="G6768" s="1" t="str">
        <f t="shared" si="2"/>
        <v/>
      </c>
      <c r="J6768" s="1" t="str">
        <f t="shared" si="3"/>
        <v/>
      </c>
      <c r="K6768" s="1" t="str">
        <f t="shared" si="4"/>
        <v/>
      </c>
    </row>
    <row r="6769" hidden="1">
      <c r="F6769" s="1" t="str">
        <f t="shared" si="1"/>
        <v/>
      </c>
      <c r="G6769" s="1" t="str">
        <f t="shared" si="2"/>
        <v/>
      </c>
      <c r="J6769" s="1" t="str">
        <f t="shared" si="3"/>
        <v/>
      </c>
      <c r="K6769" s="1" t="str">
        <f t="shared" si="4"/>
        <v/>
      </c>
    </row>
    <row r="6770" hidden="1">
      <c r="F6770" s="1" t="str">
        <f t="shared" si="1"/>
        <v/>
      </c>
      <c r="G6770" s="1" t="str">
        <f t="shared" si="2"/>
        <v/>
      </c>
      <c r="J6770" s="1" t="str">
        <f t="shared" si="3"/>
        <v/>
      </c>
      <c r="K6770" s="1" t="str">
        <f t="shared" si="4"/>
        <v/>
      </c>
    </row>
    <row r="6771" hidden="1">
      <c r="F6771" s="1" t="str">
        <f t="shared" si="1"/>
        <v/>
      </c>
      <c r="G6771" s="1" t="str">
        <f t="shared" si="2"/>
        <v/>
      </c>
      <c r="J6771" s="1" t="str">
        <f t="shared" si="3"/>
        <v/>
      </c>
      <c r="K6771" s="1" t="str">
        <f t="shared" si="4"/>
        <v/>
      </c>
    </row>
    <row r="6772" hidden="1">
      <c r="F6772" s="1" t="str">
        <f t="shared" si="1"/>
        <v/>
      </c>
      <c r="G6772" s="1" t="str">
        <f t="shared" si="2"/>
        <v/>
      </c>
      <c r="J6772" s="1" t="str">
        <f t="shared" si="3"/>
        <v/>
      </c>
      <c r="K6772" s="1" t="str">
        <f t="shared" si="4"/>
        <v/>
      </c>
    </row>
    <row r="6773" hidden="1">
      <c r="F6773" s="1" t="str">
        <f t="shared" si="1"/>
        <v/>
      </c>
      <c r="G6773" s="1" t="str">
        <f t="shared" si="2"/>
        <v/>
      </c>
      <c r="J6773" s="1" t="str">
        <f t="shared" si="3"/>
        <v/>
      </c>
      <c r="K6773" s="1" t="str">
        <f t="shared" si="4"/>
        <v/>
      </c>
    </row>
    <row r="6774" hidden="1">
      <c r="F6774" s="1" t="str">
        <f t="shared" si="1"/>
        <v/>
      </c>
      <c r="G6774" s="1" t="str">
        <f t="shared" si="2"/>
        <v/>
      </c>
      <c r="J6774" s="1" t="str">
        <f t="shared" si="3"/>
        <v/>
      </c>
      <c r="K6774" s="1" t="str">
        <f t="shared" si="4"/>
        <v/>
      </c>
    </row>
    <row r="6775" hidden="1">
      <c r="F6775" s="1" t="str">
        <f t="shared" si="1"/>
        <v/>
      </c>
      <c r="G6775" s="1" t="str">
        <f t="shared" si="2"/>
        <v/>
      </c>
      <c r="J6775" s="1" t="str">
        <f t="shared" si="3"/>
        <v/>
      </c>
      <c r="K6775" s="1" t="str">
        <f t="shared" si="4"/>
        <v/>
      </c>
    </row>
    <row r="6776" hidden="1">
      <c r="F6776" s="1" t="str">
        <f t="shared" si="1"/>
        <v/>
      </c>
      <c r="G6776" s="1" t="str">
        <f t="shared" si="2"/>
        <v/>
      </c>
      <c r="J6776" s="1" t="str">
        <f t="shared" si="3"/>
        <v/>
      </c>
      <c r="K6776" s="1" t="str">
        <f t="shared" si="4"/>
        <v/>
      </c>
    </row>
    <row r="6777" hidden="1">
      <c r="F6777" s="1" t="str">
        <f t="shared" si="1"/>
        <v/>
      </c>
      <c r="G6777" s="1" t="str">
        <f t="shared" si="2"/>
        <v/>
      </c>
      <c r="J6777" s="1" t="str">
        <f t="shared" si="3"/>
        <v/>
      </c>
      <c r="K6777" s="1" t="str">
        <f t="shared" si="4"/>
        <v/>
      </c>
    </row>
    <row r="6778" hidden="1">
      <c r="F6778" s="1" t="str">
        <f t="shared" si="1"/>
        <v/>
      </c>
      <c r="G6778" s="1" t="str">
        <f t="shared" si="2"/>
        <v/>
      </c>
      <c r="J6778" s="1" t="str">
        <f t="shared" si="3"/>
        <v/>
      </c>
      <c r="K6778" s="1" t="str">
        <f t="shared" si="4"/>
        <v/>
      </c>
    </row>
    <row r="6779" hidden="1">
      <c r="F6779" s="1" t="str">
        <f t="shared" si="1"/>
        <v/>
      </c>
      <c r="G6779" s="1" t="str">
        <f t="shared" si="2"/>
        <v/>
      </c>
      <c r="J6779" s="1" t="str">
        <f t="shared" si="3"/>
        <v/>
      </c>
      <c r="K6779" s="1" t="str">
        <f t="shared" si="4"/>
        <v/>
      </c>
    </row>
    <row r="6780" hidden="1">
      <c r="F6780" s="1" t="str">
        <f t="shared" si="1"/>
        <v/>
      </c>
      <c r="G6780" s="1" t="str">
        <f t="shared" si="2"/>
        <v/>
      </c>
      <c r="J6780" s="1" t="str">
        <f t="shared" si="3"/>
        <v/>
      </c>
      <c r="K6780" s="1" t="str">
        <f t="shared" si="4"/>
        <v/>
      </c>
    </row>
    <row r="6781" hidden="1">
      <c r="F6781" s="1" t="str">
        <f t="shared" si="1"/>
        <v/>
      </c>
      <c r="G6781" s="1" t="str">
        <f t="shared" si="2"/>
        <v/>
      </c>
      <c r="J6781" s="1" t="str">
        <f t="shared" si="3"/>
        <v/>
      </c>
      <c r="K6781" s="1" t="str">
        <f t="shared" si="4"/>
        <v/>
      </c>
    </row>
    <row r="6782" hidden="1">
      <c r="F6782" s="1" t="str">
        <f t="shared" si="1"/>
        <v/>
      </c>
      <c r="G6782" s="1" t="str">
        <f t="shared" si="2"/>
        <v/>
      </c>
      <c r="J6782" s="1" t="str">
        <f t="shared" si="3"/>
        <v/>
      </c>
      <c r="K6782" s="1" t="str">
        <f t="shared" si="4"/>
        <v/>
      </c>
    </row>
    <row r="6783" hidden="1">
      <c r="F6783" s="1" t="str">
        <f t="shared" si="1"/>
        <v/>
      </c>
      <c r="G6783" s="1" t="str">
        <f t="shared" si="2"/>
        <v/>
      </c>
      <c r="J6783" s="1" t="str">
        <f t="shared" si="3"/>
        <v/>
      </c>
      <c r="K6783" s="1" t="str">
        <f t="shared" si="4"/>
        <v/>
      </c>
    </row>
    <row r="6784" hidden="1">
      <c r="F6784" s="1" t="str">
        <f t="shared" si="1"/>
        <v/>
      </c>
      <c r="G6784" s="1" t="str">
        <f t="shared" si="2"/>
        <v/>
      </c>
      <c r="J6784" s="1" t="str">
        <f t="shared" si="3"/>
        <v/>
      </c>
      <c r="K6784" s="1" t="str">
        <f t="shared" si="4"/>
        <v/>
      </c>
    </row>
    <row r="6785" hidden="1">
      <c r="F6785" s="1" t="str">
        <f t="shared" si="1"/>
        <v/>
      </c>
      <c r="G6785" s="1" t="str">
        <f t="shared" si="2"/>
        <v/>
      </c>
      <c r="J6785" s="1" t="str">
        <f t="shared" si="3"/>
        <v/>
      </c>
      <c r="K6785" s="1" t="str">
        <f t="shared" si="4"/>
        <v/>
      </c>
    </row>
    <row r="6786" hidden="1">
      <c r="F6786" s="1" t="str">
        <f t="shared" si="1"/>
        <v/>
      </c>
      <c r="G6786" s="1" t="str">
        <f t="shared" si="2"/>
        <v/>
      </c>
      <c r="J6786" s="1" t="str">
        <f t="shared" si="3"/>
        <v/>
      </c>
      <c r="K6786" s="1" t="str">
        <f t="shared" si="4"/>
        <v/>
      </c>
    </row>
    <row r="6787" hidden="1">
      <c r="F6787" s="1" t="str">
        <f t="shared" si="1"/>
        <v/>
      </c>
      <c r="G6787" s="1" t="str">
        <f t="shared" si="2"/>
        <v/>
      </c>
      <c r="J6787" s="1" t="str">
        <f t="shared" si="3"/>
        <v/>
      </c>
      <c r="K6787" s="1" t="str">
        <f t="shared" si="4"/>
        <v/>
      </c>
    </row>
    <row r="6788" hidden="1">
      <c r="F6788" s="1" t="str">
        <f t="shared" si="1"/>
        <v/>
      </c>
      <c r="G6788" s="1" t="str">
        <f t="shared" si="2"/>
        <v/>
      </c>
      <c r="J6788" s="1" t="str">
        <f t="shared" si="3"/>
        <v/>
      </c>
      <c r="K6788" s="1" t="str">
        <f t="shared" si="4"/>
        <v/>
      </c>
    </row>
    <row r="6789" hidden="1">
      <c r="F6789" s="1" t="str">
        <f t="shared" si="1"/>
        <v/>
      </c>
      <c r="G6789" s="1" t="str">
        <f t="shared" si="2"/>
        <v/>
      </c>
      <c r="J6789" s="1" t="str">
        <f t="shared" si="3"/>
        <v/>
      </c>
      <c r="K6789" s="1" t="str">
        <f t="shared" si="4"/>
        <v/>
      </c>
    </row>
    <row r="6790" hidden="1">
      <c r="F6790" s="1" t="str">
        <f t="shared" si="1"/>
        <v/>
      </c>
      <c r="G6790" s="1" t="str">
        <f t="shared" si="2"/>
        <v/>
      </c>
      <c r="J6790" s="1" t="str">
        <f t="shared" si="3"/>
        <v/>
      </c>
      <c r="K6790" s="1" t="str">
        <f t="shared" si="4"/>
        <v/>
      </c>
    </row>
    <row r="6791" hidden="1">
      <c r="F6791" s="1" t="str">
        <f t="shared" si="1"/>
        <v/>
      </c>
      <c r="G6791" s="1" t="str">
        <f t="shared" si="2"/>
        <v/>
      </c>
      <c r="J6791" s="1" t="str">
        <f t="shared" si="3"/>
        <v/>
      </c>
      <c r="K6791" s="1" t="str">
        <f t="shared" si="4"/>
        <v/>
      </c>
    </row>
    <row r="6792" hidden="1">
      <c r="F6792" s="1" t="str">
        <f t="shared" si="1"/>
        <v/>
      </c>
      <c r="G6792" s="1" t="str">
        <f t="shared" si="2"/>
        <v/>
      </c>
      <c r="J6792" s="1" t="str">
        <f t="shared" si="3"/>
        <v/>
      </c>
      <c r="K6792" s="1" t="str">
        <f t="shared" si="4"/>
        <v/>
      </c>
    </row>
    <row r="6793" hidden="1">
      <c r="F6793" s="1" t="str">
        <f t="shared" si="1"/>
        <v/>
      </c>
      <c r="G6793" s="1" t="str">
        <f t="shared" si="2"/>
        <v/>
      </c>
      <c r="J6793" s="1" t="str">
        <f t="shared" si="3"/>
        <v/>
      </c>
      <c r="K6793" s="1" t="str">
        <f t="shared" si="4"/>
        <v/>
      </c>
    </row>
    <row r="6794" hidden="1">
      <c r="F6794" s="1" t="str">
        <f t="shared" si="1"/>
        <v/>
      </c>
      <c r="G6794" s="1" t="str">
        <f t="shared" si="2"/>
        <v/>
      </c>
      <c r="J6794" s="1" t="str">
        <f t="shared" si="3"/>
        <v/>
      </c>
      <c r="K6794" s="1" t="str">
        <f t="shared" si="4"/>
        <v/>
      </c>
    </row>
    <row r="6795" hidden="1">
      <c r="F6795" s="1" t="str">
        <f t="shared" si="1"/>
        <v/>
      </c>
      <c r="G6795" s="1" t="str">
        <f t="shared" si="2"/>
        <v/>
      </c>
      <c r="J6795" s="1" t="str">
        <f t="shared" si="3"/>
        <v/>
      </c>
      <c r="K6795" s="1" t="str">
        <f t="shared" si="4"/>
        <v/>
      </c>
    </row>
    <row r="6796" hidden="1">
      <c r="F6796" s="1" t="str">
        <f t="shared" si="1"/>
        <v/>
      </c>
      <c r="G6796" s="1" t="str">
        <f t="shared" si="2"/>
        <v/>
      </c>
      <c r="J6796" s="1" t="str">
        <f t="shared" si="3"/>
        <v/>
      </c>
      <c r="K6796" s="1" t="str">
        <f t="shared" si="4"/>
        <v/>
      </c>
    </row>
    <row r="6797" hidden="1">
      <c r="F6797" s="1" t="str">
        <f t="shared" si="1"/>
        <v/>
      </c>
      <c r="G6797" s="1" t="str">
        <f t="shared" si="2"/>
        <v/>
      </c>
      <c r="J6797" s="1" t="str">
        <f t="shared" si="3"/>
        <v/>
      </c>
      <c r="K6797" s="1" t="str">
        <f t="shared" si="4"/>
        <v/>
      </c>
    </row>
    <row r="6798" hidden="1">
      <c r="F6798" s="1" t="str">
        <f t="shared" si="1"/>
        <v/>
      </c>
      <c r="G6798" s="1" t="str">
        <f t="shared" si="2"/>
        <v/>
      </c>
      <c r="J6798" s="1" t="str">
        <f t="shared" si="3"/>
        <v/>
      </c>
      <c r="K6798" s="1" t="str">
        <f t="shared" si="4"/>
        <v/>
      </c>
    </row>
    <row r="6799" hidden="1">
      <c r="F6799" s="1" t="str">
        <f t="shared" si="1"/>
        <v/>
      </c>
      <c r="G6799" s="1" t="str">
        <f t="shared" si="2"/>
        <v/>
      </c>
      <c r="J6799" s="1" t="str">
        <f t="shared" si="3"/>
        <v/>
      </c>
      <c r="K6799" s="1" t="str">
        <f t="shared" si="4"/>
        <v/>
      </c>
    </row>
    <row r="6800" hidden="1">
      <c r="F6800" s="1" t="str">
        <f t="shared" si="1"/>
        <v/>
      </c>
      <c r="G6800" s="1" t="str">
        <f t="shared" si="2"/>
        <v/>
      </c>
      <c r="J6800" s="1" t="str">
        <f t="shared" si="3"/>
        <v/>
      </c>
      <c r="K6800" s="1" t="str">
        <f t="shared" si="4"/>
        <v/>
      </c>
    </row>
    <row r="6801" hidden="1">
      <c r="F6801" s="1" t="str">
        <f t="shared" si="1"/>
        <v/>
      </c>
      <c r="G6801" s="1" t="str">
        <f t="shared" si="2"/>
        <v/>
      </c>
      <c r="J6801" s="1" t="str">
        <f t="shared" si="3"/>
        <v/>
      </c>
      <c r="K6801" s="1" t="str">
        <f t="shared" si="4"/>
        <v/>
      </c>
    </row>
    <row r="6802" hidden="1">
      <c r="F6802" s="1" t="str">
        <f t="shared" si="1"/>
        <v/>
      </c>
      <c r="G6802" s="1" t="str">
        <f t="shared" si="2"/>
        <v/>
      </c>
      <c r="J6802" s="1" t="str">
        <f t="shared" si="3"/>
        <v/>
      </c>
      <c r="K6802" s="1" t="str">
        <f t="shared" si="4"/>
        <v/>
      </c>
    </row>
    <row r="6803" hidden="1">
      <c r="F6803" s="1" t="str">
        <f t="shared" si="1"/>
        <v/>
      </c>
      <c r="G6803" s="1" t="str">
        <f t="shared" si="2"/>
        <v/>
      </c>
      <c r="J6803" s="1" t="str">
        <f t="shared" si="3"/>
        <v/>
      </c>
      <c r="K6803" s="1" t="str">
        <f t="shared" si="4"/>
        <v/>
      </c>
    </row>
    <row r="6804" hidden="1">
      <c r="F6804" s="1" t="str">
        <f t="shared" si="1"/>
        <v/>
      </c>
      <c r="G6804" s="1" t="str">
        <f t="shared" si="2"/>
        <v/>
      </c>
      <c r="J6804" s="1" t="str">
        <f t="shared" si="3"/>
        <v/>
      </c>
      <c r="K6804" s="1" t="str">
        <f t="shared" si="4"/>
        <v/>
      </c>
    </row>
    <row r="6805" hidden="1">
      <c r="F6805" s="1" t="str">
        <f t="shared" si="1"/>
        <v/>
      </c>
      <c r="G6805" s="1" t="str">
        <f t="shared" si="2"/>
        <v/>
      </c>
      <c r="J6805" s="1" t="str">
        <f t="shared" si="3"/>
        <v/>
      </c>
      <c r="K6805" s="1" t="str">
        <f t="shared" si="4"/>
        <v/>
      </c>
    </row>
    <row r="6806" hidden="1">
      <c r="F6806" s="1" t="str">
        <f t="shared" si="1"/>
        <v/>
      </c>
      <c r="G6806" s="1" t="str">
        <f t="shared" si="2"/>
        <v/>
      </c>
      <c r="J6806" s="1" t="str">
        <f t="shared" si="3"/>
        <v/>
      </c>
      <c r="K6806" s="1" t="str">
        <f t="shared" si="4"/>
        <v/>
      </c>
    </row>
    <row r="6807" hidden="1">
      <c r="F6807" s="1" t="str">
        <f t="shared" si="1"/>
        <v/>
      </c>
      <c r="G6807" s="1" t="str">
        <f t="shared" si="2"/>
        <v/>
      </c>
      <c r="J6807" s="1" t="str">
        <f t="shared" si="3"/>
        <v/>
      </c>
      <c r="K6807" s="1" t="str">
        <f t="shared" si="4"/>
        <v/>
      </c>
    </row>
    <row r="6808" hidden="1">
      <c r="F6808" s="1" t="str">
        <f t="shared" si="1"/>
        <v/>
      </c>
      <c r="G6808" s="1" t="str">
        <f t="shared" si="2"/>
        <v/>
      </c>
      <c r="J6808" s="1" t="str">
        <f t="shared" si="3"/>
        <v/>
      </c>
      <c r="K6808" s="1" t="str">
        <f t="shared" si="4"/>
        <v/>
      </c>
    </row>
    <row r="6809" hidden="1">
      <c r="F6809" s="1" t="str">
        <f t="shared" si="1"/>
        <v/>
      </c>
      <c r="G6809" s="1" t="str">
        <f t="shared" si="2"/>
        <v/>
      </c>
      <c r="J6809" s="1" t="str">
        <f t="shared" si="3"/>
        <v/>
      </c>
      <c r="K6809" s="1" t="str">
        <f t="shared" si="4"/>
        <v/>
      </c>
    </row>
    <row r="6810" hidden="1">
      <c r="F6810" s="1" t="str">
        <f t="shared" si="1"/>
        <v/>
      </c>
      <c r="G6810" s="1" t="str">
        <f t="shared" si="2"/>
        <v/>
      </c>
      <c r="J6810" s="1" t="str">
        <f t="shared" si="3"/>
        <v/>
      </c>
      <c r="K6810" s="1" t="str">
        <f t="shared" si="4"/>
        <v/>
      </c>
    </row>
    <row r="6811" hidden="1">
      <c r="F6811" s="1" t="str">
        <f t="shared" si="1"/>
        <v/>
      </c>
      <c r="G6811" s="1" t="str">
        <f t="shared" si="2"/>
        <v/>
      </c>
      <c r="J6811" s="1" t="str">
        <f t="shared" si="3"/>
        <v/>
      </c>
      <c r="K6811" s="1" t="str">
        <f t="shared" si="4"/>
        <v/>
      </c>
    </row>
    <row r="6812" hidden="1">
      <c r="F6812" s="1" t="str">
        <f t="shared" si="1"/>
        <v/>
      </c>
      <c r="G6812" s="1" t="str">
        <f t="shared" si="2"/>
        <v/>
      </c>
      <c r="J6812" s="1" t="str">
        <f t="shared" si="3"/>
        <v/>
      </c>
      <c r="K6812" s="1" t="str">
        <f t="shared" si="4"/>
        <v/>
      </c>
    </row>
    <row r="6813" hidden="1">
      <c r="F6813" s="1" t="str">
        <f t="shared" si="1"/>
        <v/>
      </c>
      <c r="G6813" s="1" t="str">
        <f t="shared" si="2"/>
        <v/>
      </c>
      <c r="J6813" s="1" t="str">
        <f t="shared" si="3"/>
        <v/>
      </c>
      <c r="K6813" s="1" t="str">
        <f t="shared" si="4"/>
        <v/>
      </c>
    </row>
    <row r="6814" hidden="1">
      <c r="F6814" s="1" t="str">
        <f t="shared" si="1"/>
        <v/>
      </c>
      <c r="G6814" s="1" t="str">
        <f t="shared" si="2"/>
        <v/>
      </c>
      <c r="J6814" s="1" t="str">
        <f t="shared" si="3"/>
        <v/>
      </c>
      <c r="K6814" s="1" t="str">
        <f t="shared" si="4"/>
        <v/>
      </c>
    </row>
    <row r="6815" hidden="1">
      <c r="F6815" s="1" t="str">
        <f t="shared" si="1"/>
        <v/>
      </c>
      <c r="G6815" s="1" t="str">
        <f t="shared" si="2"/>
        <v/>
      </c>
      <c r="J6815" s="1" t="str">
        <f t="shared" si="3"/>
        <v/>
      </c>
      <c r="K6815" s="1" t="str">
        <f t="shared" si="4"/>
        <v/>
      </c>
    </row>
    <row r="6816" hidden="1">
      <c r="F6816" s="1" t="str">
        <f t="shared" si="1"/>
        <v/>
      </c>
      <c r="G6816" s="1" t="str">
        <f t="shared" si="2"/>
        <v/>
      </c>
      <c r="J6816" s="1" t="str">
        <f t="shared" si="3"/>
        <v/>
      </c>
      <c r="K6816" s="1" t="str">
        <f t="shared" si="4"/>
        <v/>
      </c>
    </row>
    <row r="6817" hidden="1">
      <c r="F6817" s="1" t="str">
        <f t="shared" si="1"/>
        <v/>
      </c>
      <c r="G6817" s="1" t="str">
        <f t="shared" si="2"/>
        <v/>
      </c>
      <c r="J6817" s="1" t="str">
        <f t="shared" si="3"/>
        <v/>
      </c>
      <c r="K6817" s="1" t="str">
        <f t="shared" si="4"/>
        <v/>
      </c>
    </row>
    <row r="6818" hidden="1">
      <c r="F6818" s="1" t="str">
        <f t="shared" si="1"/>
        <v/>
      </c>
      <c r="G6818" s="1" t="str">
        <f t="shared" si="2"/>
        <v/>
      </c>
      <c r="J6818" s="1" t="str">
        <f t="shared" si="3"/>
        <v/>
      </c>
      <c r="K6818" s="1" t="str">
        <f t="shared" si="4"/>
        <v/>
      </c>
    </row>
    <row r="6819" hidden="1">
      <c r="F6819" s="1" t="str">
        <f t="shared" si="1"/>
        <v/>
      </c>
      <c r="G6819" s="1" t="str">
        <f t="shared" si="2"/>
        <v/>
      </c>
      <c r="J6819" s="1" t="str">
        <f t="shared" si="3"/>
        <v/>
      </c>
      <c r="K6819" s="1" t="str">
        <f t="shared" si="4"/>
        <v/>
      </c>
    </row>
    <row r="6820" hidden="1">
      <c r="F6820" s="1" t="str">
        <f t="shared" si="1"/>
        <v/>
      </c>
      <c r="G6820" s="1" t="str">
        <f t="shared" si="2"/>
        <v/>
      </c>
      <c r="J6820" s="1" t="str">
        <f t="shared" si="3"/>
        <v/>
      </c>
      <c r="K6820" s="1" t="str">
        <f t="shared" si="4"/>
        <v/>
      </c>
    </row>
    <row r="6821" hidden="1">
      <c r="F6821" s="1" t="str">
        <f t="shared" si="1"/>
        <v/>
      </c>
      <c r="G6821" s="1" t="str">
        <f t="shared" si="2"/>
        <v/>
      </c>
      <c r="J6821" s="1" t="str">
        <f t="shared" si="3"/>
        <v/>
      </c>
      <c r="K6821" s="1" t="str">
        <f t="shared" si="4"/>
        <v/>
      </c>
    </row>
    <row r="6822" hidden="1">
      <c r="F6822" s="1" t="str">
        <f t="shared" si="1"/>
        <v/>
      </c>
      <c r="G6822" s="1" t="str">
        <f t="shared" si="2"/>
        <v/>
      </c>
      <c r="J6822" s="1" t="str">
        <f t="shared" si="3"/>
        <v/>
      </c>
      <c r="K6822" s="1" t="str">
        <f t="shared" si="4"/>
        <v/>
      </c>
    </row>
    <row r="6823" hidden="1">
      <c r="F6823" s="1" t="str">
        <f t="shared" si="1"/>
        <v/>
      </c>
      <c r="G6823" s="1" t="str">
        <f t="shared" si="2"/>
        <v/>
      </c>
      <c r="J6823" s="1" t="str">
        <f t="shared" si="3"/>
        <v/>
      </c>
      <c r="K6823" s="1" t="str">
        <f t="shared" si="4"/>
        <v/>
      </c>
    </row>
    <row r="6824" hidden="1">
      <c r="F6824" s="1" t="str">
        <f t="shared" si="1"/>
        <v/>
      </c>
      <c r="G6824" s="1" t="str">
        <f t="shared" si="2"/>
        <v/>
      </c>
      <c r="J6824" s="1" t="str">
        <f t="shared" si="3"/>
        <v/>
      </c>
      <c r="K6824" s="1" t="str">
        <f t="shared" si="4"/>
        <v/>
      </c>
    </row>
    <row r="6825" hidden="1">
      <c r="F6825" s="1" t="str">
        <f t="shared" si="1"/>
        <v/>
      </c>
      <c r="G6825" s="1" t="str">
        <f t="shared" si="2"/>
        <v/>
      </c>
      <c r="J6825" s="1" t="str">
        <f t="shared" si="3"/>
        <v/>
      </c>
      <c r="K6825" s="1" t="str">
        <f t="shared" si="4"/>
        <v/>
      </c>
    </row>
    <row r="6826" hidden="1">
      <c r="F6826" s="1" t="str">
        <f t="shared" si="1"/>
        <v/>
      </c>
      <c r="G6826" s="1" t="str">
        <f t="shared" si="2"/>
        <v/>
      </c>
      <c r="J6826" s="1" t="str">
        <f t="shared" si="3"/>
        <v/>
      </c>
      <c r="K6826" s="1" t="str">
        <f t="shared" si="4"/>
        <v/>
      </c>
    </row>
    <row r="6827" hidden="1">
      <c r="F6827" s="1" t="str">
        <f t="shared" si="1"/>
        <v/>
      </c>
      <c r="G6827" s="1" t="str">
        <f t="shared" si="2"/>
        <v/>
      </c>
      <c r="J6827" s="1" t="str">
        <f t="shared" si="3"/>
        <v/>
      </c>
      <c r="K6827" s="1" t="str">
        <f t="shared" si="4"/>
        <v/>
      </c>
    </row>
    <row r="6828" hidden="1">
      <c r="F6828" s="1" t="str">
        <f t="shared" si="1"/>
        <v/>
      </c>
      <c r="G6828" s="1" t="str">
        <f t="shared" si="2"/>
        <v/>
      </c>
      <c r="J6828" s="1" t="str">
        <f t="shared" si="3"/>
        <v/>
      </c>
      <c r="K6828" s="1" t="str">
        <f t="shared" si="4"/>
        <v/>
      </c>
    </row>
    <row r="6829" hidden="1">
      <c r="F6829" s="1" t="str">
        <f t="shared" si="1"/>
        <v/>
      </c>
      <c r="G6829" s="1" t="str">
        <f t="shared" si="2"/>
        <v/>
      </c>
      <c r="J6829" s="1" t="str">
        <f t="shared" si="3"/>
        <v/>
      </c>
      <c r="K6829" s="1" t="str">
        <f t="shared" si="4"/>
        <v/>
      </c>
    </row>
    <row r="6830" hidden="1">
      <c r="F6830" s="1" t="str">
        <f t="shared" si="1"/>
        <v/>
      </c>
      <c r="G6830" s="1" t="str">
        <f t="shared" si="2"/>
        <v/>
      </c>
      <c r="J6830" s="1" t="str">
        <f t="shared" si="3"/>
        <v/>
      </c>
      <c r="K6830" s="1" t="str">
        <f t="shared" si="4"/>
        <v/>
      </c>
    </row>
    <row r="6831" hidden="1">
      <c r="F6831" s="1" t="str">
        <f t="shared" si="1"/>
        <v/>
      </c>
      <c r="G6831" s="1" t="str">
        <f t="shared" si="2"/>
        <v/>
      </c>
      <c r="J6831" s="1" t="str">
        <f t="shared" si="3"/>
        <v/>
      </c>
      <c r="K6831" s="1" t="str">
        <f t="shared" si="4"/>
        <v/>
      </c>
    </row>
    <row r="6832" hidden="1">
      <c r="F6832" s="1" t="str">
        <f t="shared" si="1"/>
        <v/>
      </c>
      <c r="G6832" s="1" t="str">
        <f t="shared" si="2"/>
        <v/>
      </c>
      <c r="J6832" s="1" t="str">
        <f t="shared" si="3"/>
        <v/>
      </c>
      <c r="K6832" s="1" t="str">
        <f t="shared" si="4"/>
        <v/>
      </c>
    </row>
    <row r="6833" hidden="1">
      <c r="F6833" s="1" t="str">
        <f t="shared" si="1"/>
        <v/>
      </c>
      <c r="G6833" s="1" t="str">
        <f t="shared" si="2"/>
        <v/>
      </c>
      <c r="J6833" s="1" t="str">
        <f t="shared" si="3"/>
        <v/>
      </c>
      <c r="K6833" s="1" t="str">
        <f t="shared" si="4"/>
        <v/>
      </c>
    </row>
    <row r="6834" hidden="1">
      <c r="F6834" s="1" t="str">
        <f t="shared" si="1"/>
        <v/>
      </c>
      <c r="G6834" s="1" t="str">
        <f t="shared" si="2"/>
        <v/>
      </c>
      <c r="J6834" s="1" t="str">
        <f t="shared" si="3"/>
        <v/>
      </c>
      <c r="K6834" s="1" t="str">
        <f t="shared" si="4"/>
        <v/>
      </c>
    </row>
    <row r="6835" hidden="1">
      <c r="F6835" s="1" t="str">
        <f t="shared" si="1"/>
        <v/>
      </c>
      <c r="G6835" s="1" t="str">
        <f t="shared" si="2"/>
        <v/>
      </c>
      <c r="J6835" s="1" t="str">
        <f t="shared" si="3"/>
        <v/>
      </c>
      <c r="K6835" s="1" t="str">
        <f t="shared" si="4"/>
        <v/>
      </c>
    </row>
    <row r="6836" hidden="1">
      <c r="F6836" s="1" t="str">
        <f t="shared" si="1"/>
        <v/>
      </c>
      <c r="G6836" s="1" t="str">
        <f t="shared" si="2"/>
        <v/>
      </c>
      <c r="J6836" s="1" t="str">
        <f t="shared" si="3"/>
        <v/>
      </c>
      <c r="K6836" s="1" t="str">
        <f t="shared" si="4"/>
        <v/>
      </c>
    </row>
    <row r="6837" hidden="1">
      <c r="F6837" s="1" t="str">
        <f t="shared" si="1"/>
        <v/>
      </c>
      <c r="G6837" s="1" t="str">
        <f t="shared" si="2"/>
        <v/>
      </c>
      <c r="J6837" s="1" t="str">
        <f t="shared" si="3"/>
        <v/>
      </c>
      <c r="K6837" s="1" t="str">
        <f t="shared" si="4"/>
        <v/>
      </c>
    </row>
    <row r="6838" hidden="1">
      <c r="F6838" s="1" t="str">
        <f t="shared" si="1"/>
        <v/>
      </c>
      <c r="G6838" s="1" t="str">
        <f t="shared" si="2"/>
        <v/>
      </c>
      <c r="J6838" s="1" t="str">
        <f t="shared" si="3"/>
        <v/>
      </c>
      <c r="K6838" s="1" t="str">
        <f t="shared" si="4"/>
        <v/>
      </c>
    </row>
    <row r="6839" hidden="1">
      <c r="F6839" s="1" t="str">
        <f t="shared" si="1"/>
        <v/>
      </c>
      <c r="G6839" s="1" t="str">
        <f t="shared" si="2"/>
        <v/>
      </c>
      <c r="J6839" s="1" t="str">
        <f t="shared" si="3"/>
        <v/>
      </c>
      <c r="K6839" s="1" t="str">
        <f t="shared" si="4"/>
        <v/>
      </c>
    </row>
    <row r="6840" hidden="1">
      <c r="F6840" s="1" t="str">
        <f t="shared" si="1"/>
        <v/>
      </c>
      <c r="G6840" s="1" t="str">
        <f t="shared" si="2"/>
        <v/>
      </c>
      <c r="J6840" s="1" t="str">
        <f t="shared" si="3"/>
        <v/>
      </c>
      <c r="K6840" s="1" t="str">
        <f t="shared" si="4"/>
        <v/>
      </c>
    </row>
    <row r="6841" hidden="1">
      <c r="F6841" s="1" t="str">
        <f t="shared" si="1"/>
        <v/>
      </c>
      <c r="G6841" s="1" t="str">
        <f t="shared" si="2"/>
        <v/>
      </c>
      <c r="J6841" s="1" t="str">
        <f t="shared" si="3"/>
        <v/>
      </c>
      <c r="K6841" s="1" t="str">
        <f t="shared" si="4"/>
        <v/>
      </c>
    </row>
    <row r="6842" hidden="1">
      <c r="F6842" s="1" t="str">
        <f t="shared" si="1"/>
        <v/>
      </c>
      <c r="G6842" s="1" t="str">
        <f t="shared" si="2"/>
        <v/>
      </c>
      <c r="J6842" s="1" t="str">
        <f t="shared" si="3"/>
        <v/>
      </c>
      <c r="K6842" s="1" t="str">
        <f t="shared" si="4"/>
        <v/>
      </c>
    </row>
    <row r="6843" hidden="1">
      <c r="F6843" s="1" t="str">
        <f t="shared" si="1"/>
        <v/>
      </c>
      <c r="G6843" s="1" t="str">
        <f t="shared" si="2"/>
        <v/>
      </c>
      <c r="J6843" s="1" t="str">
        <f t="shared" si="3"/>
        <v/>
      </c>
      <c r="K6843" s="1" t="str">
        <f t="shared" si="4"/>
        <v/>
      </c>
    </row>
    <row r="6844" hidden="1">
      <c r="F6844" s="1" t="str">
        <f t="shared" si="1"/>
        <v/>
      </c>
      <c r="G6844" s="1" t="str">
        <f t="shared" si="2"/>
        <v/>
      </c>
      <c r="J6844" s="1" t="str">
        <f t="shared" si="3"/>
        <v/>
      </c>
      <c r="K6844" s="1" t="str">
        <f t="shared" si="4"/>
        <v/>
      </c>
    </row>
    <row r="6845" hidden="1">
      <c r="F6845" s="1" t="str">
        <f t="shared" si="1"/>
        <v/>
      </c>
      <c r="G6845" s="1" t="str">
        <f t="shared" si="2"/>
        <v/>
      </c>
      <c r="J6845" s="1" t="str">
        <f t="shared" si="3"/>
        <v/>
      </c>
      <c r="K6845" s="1" t="str">
        <f t="shared" si="4"/>
        <v/>
      </c>
    </row>
    <row r="6846" hidden="1">
      <c r="F6846" s="1" t="str">
        <f t="shared" si="1"/>
        <v/>
      </c>
      <c r="G6846" s="1" t="str">
        <f t="shared" si="2"/>
        <v/>
      </c>
      <c r="J6846" s="1" t="str">
        <f t="shared" si="3"/>
        <v/>
      </c>
      <c r="K6846" s="1" t="str">
        <f t="shared" si="4"/>
        <v/>
      </c>
    </row>
    <row r="6847" hidden="1">
      <c r="F6847" s="1" t="str">
        <f t="shared" si="1"/>
        <v/>
      </c>
      <c r="G6847" s="1" t="str">
        <f t="shared" si="2"/>
        <v/>
      </c>
      <c r="J6847" s="1" t="str">
        <f t="shared" si="3"/>
        <v/>
      </c>
      <c r="K6847" s="1" t="str">
        <f t="shared" si="4"/>
        <v/>
      </c>
    </row>
    <row r="6848" hidden="1">
      <c r="F6848" s="1" t="str">
        <f t="shared" si="1"/>
        <v/>
      </c>
      <c r="G6848" s="1" t="str">
        <f t="shared" si="2"/>
        <v/>
      </c>
      <c r="J6848" s="1" t="str">
        <f t="shared" si="3"/>
        <v/>
      </c>
      <c r="K6848" s="1" t="str">
        <f t="shared" si="4"/>
        <v/>
      </c>
    </row>
    <row r="6849" hidden="1">
      <c r="F6849" s="1" t="str">
        <f t="shared" si="1"/>
        <v/>
      </c>
      <c r="G6849" s="1" t="str">
        <f t="shared" si="2"/>
        <v/>
      </c>
      <c r="J6849" s="1" t="str">
        <f t="shared" si="3"/>
        <v/>
      </c>
      <c r="K6849" s="1" t="str">
        <f t="shared" si="4"/>
        <v/>
      </c>
    </row>
    <row r="6850" hidden="1">
      <c r="F6850" s="1" t="str">
        <f t="shared" si="1"/>
        <v/>
      </c>
      <c r="G6850" s="1" t="str">
        <f t="shared" si="2"/>
        <v/>
      </c>
      <c r="J6850" s="1" t="str">
        <f t="shared" si="3"/>
        <v/>
      </c>
      <c r="K6850" s="1" t="str">
        <f t="shared" si="4"/>
        <v/>
      </c>
    </row>
    <row r="6851" hidden="1">
      <c r="F6851" s="1" t="str">
        <f t="shared" si="1"/>
        <v/>
      </c>
      <c r="G6851" s="1" t="str">
        <f t="shared" si="2"/>
        <v/>
      </c>
      <c r="J6851" s="1" t="str">
        <f t="shared" si="3"/>
        <v/>
      </c>
      <c r="K6851" s="1" t="str">
        <f t="shared" si="4"/>
        <v/>
      </c>
    </row>
    <row r="6852" hidden="1">
      <c r="F6852" s="1" t="str">
        <f t="shared" si="1"/>
        <v/>
      </c>
      <c r="G6852" s="1" t="str">
        <f t="shared" si="2"/>
        <v/>
      </c>
      <c r="J6852" s="1" t="str">
        <f t="shared" si="3"/>
        <v/>
      </c>
      <c r="K6852" s="1" t="str">
        <f t="shared" si="4"/>
        <v/>
      </c>
    </row>
    <row r="6853" hidden="1">
      <c r="F6853" s="1" t="str">
        <f t="shared" si="1"/>
        <v/>
      </c>
      <c r="G6853" s="1" t="str">
        <f t="shared" si="2"/>
        <v/>
      </c>
      <c r="J6853" s="1" t="str">
        <f t="shared" si="3"/>
        <v/>
      </c>
      <c r="K6853" s="1" t="str">
        <f t="shared" si="4"/>
        <v/>
      </c>
    </row>
    <row r="6854" hidden="1">
      <c r="F6854" s="1" t="str">
        <f t="shared" si="1"/>
        <v/>
      </c>
      <c r="G6854" s="1" t="str">
        <f t="shared" si="2"/>
        <v/>
      </c>
      <c r="J6854" s="1" t="str">
        <f t="shared" si="3"/>
        <v/>
      </c>
      <c r="K6854" s="1" t="str">
        <f t="shared" si="4"/>
        <v/>
      </c>
    </row>
    <row r="6855" hidden="1">
      <c r="F6855" s="1" t="str">
        <f t="shared" si="1"/>
        <v/>
      </c>
      <c r="G6855" s="1" t="str">
        <f t="shared" si="2"/>
        <v/>
      </c>
      <c r="J6855" s="1" t="str">
        <f t="shared" si="3"/>
        <v/>
      </c>
      <c r="K6855" s="1" t="str">
        <f t="shared" si="4"/>
        <v/>
      </c>
    </row>
    <row r="6856" hidden="1">
      <c r="F6856" s="1" t="str">
        <f t="shared" si="1"/>
        <v/>
      </c>
      <c r="G6856" s="1" t="str">
        <f t="shared" si="2"/>
        <v/>
      </c>
      <c r="J6856" s="1" t="str">
        <f t="shared" si="3"/>
        <v/>
      </c>
      <c r="K6856" s="1" t="str">
        <f t="shared" si="4"/>
        <v/>
      </c>
    </row>
    <row r="6857" hidden="1">
      <c r="F6857" s="1" t="str">
        <f t="shared" si="1"/>
        <v/>
      </c>
      <c r="G6857" s="1" t="str">
        <f t="shared" si="2"/>
        <v/>
      </c>
      <c r="J6857" s="1" t="str">
        <f t="shared" si="3"/>
        <v/>
      </c>
      <c r="K6857" s="1" t="str">
        <f t="shared" si="4"/>
        <v/>
      </c>
    </row>
    <row r="6858" hidden="1">
      <c r="F6858" s="1" t="str">
        <f t="shared" si="1"/>
        <v/>
      </c>
      <c r="G6858" s="1" t="str">
        <f t="shared" si="2"/>
        <v/>
      </c>
      <c r="J6858" s="1" t="str">
        <f t="shared" si="3"/>
        <v/>
      </c>
      <c r="K6858" s="1" t="str">
        <f t="shared" si="4"/>
        <v/>
      </c>
    </row>
    <row r="6859" hidden="1">
      <c r="F6859" s="1" t="str">
        <f t="shared" si="1"/>
        <v/>
      </c>
      <c r="G6859" s="1" t="str">
        <f t="shared" si="2"/>
        <v/>
      </c>
      <c r="J6859" s="1" t="str">
        <f t="shared" si="3"/>
        <v/>
      </c>
      <c r="K6859" s="1" t="str">
        <f t="shared" si="4"/>
        <v/>
      </c>
    </row>
    <row r="6860" hidden="1">
      <c r="F6860" s="1" t="str">
        <f t="shared" si="1"/>
        <v/>
      </c>
      <c r="G6860" s="1" t="str">
        <f t="shared" si="2"/>
        <v/>
      </c>
      <c r="J6860" s="1" t="str">
        <f t="shared" si="3"/>
        <v/>
      </c>
      <c r="K6860" s="1" t="str">
        <f t="shared" si="4"/>
        <v/>
      </c>
    </row>
    <row r="6861" hidden="1">
      <c r="F6861" s="1" t="str">
        <f t="shared" si="1"/>
        <v/>
      </c>
      <c r="G6861" s="1" t="str">
        <f t="shared" si="2"/>
        <v/>
      </c>
      <c r="J6861" s="1" t="str">
        <f t="shared" si="3"/>
        <v/>
      </c>
      <c r="K6861" s="1" t="str">
        <f t="shared" si="4"/>
        <v/>
      </c>
    </row>
    <row r="6862" hidden="1">
      <c r="F6862" s="1" t="str">
        <f t="shared" si="1"/>
        <v/>
      </c>
      <c r="G6862" s="1" t="str">
        <f t="shared" si="2"/>
        <v/>
      </c>
      <c r="J6862" s="1" t="str">
        <f t="shared" si="3"/>
        <v/>
      </c>
      <c r="K6862" s="1" t="str">
        <f t="shared" si="4"/>
        <v/>
      </c>
    </row>
    <row r="6863" hidden="1">
      <c r="F6863" s="1" t="str">
        <f t="shared" si="1"/>
        <v/>
      </c>
      <c r="G6863" s="1" t="str">
        <f t="shared" si="2"/>
        <v/>
      </c>
      <c r="J6863" s="1" t="str">
        <f t="shared" si="3"/>
        <v/>
      </c>
      <c r="K6863" s="1" t="str">
        <f t="shared" si="4"/>
        <v/>
      </c>
    </row>
    <row r="6864" hidden="1">
      <c r="F6864" s="1" t="str">
        <f t="shared" si="1"/>
        <v/>
      </c>
      <c r="G6864" s="1" t="str">
        <f t="shared" si="2"/>
        <v/>
      </c>
      <c r="J6864" s="1" t="str">
        <f t="shared" si="3"/>
        <v/>
      </c>
      <c r="K6864" s="1" t="str">
        <f t="shared" si="4"/>
        <v/>
      </c>
    </row>
    <row r="6865" hidden="1">
      <c r="F6865" s="1" t="str">
        <f t="shared" si="1"/>
        <v/>
      </c>
      <c r="G6865" s="1" t="str">
        <f t="shared" si="2"/>
        <v/>
      </c>
      <c r="J6865" s="1" t="str">
        <f t="shared" si="3"/>
        <v/>
      </c>
      <c r="K6865" s="1" t="str">
        <f t="shared" si="4"/>
        <v/>
      </c>
    </row>
    <row r="6866" hidden="1">
      <c r="F6866" s="1" t="str">
        <f t="shared" si="1"/>
        <v/>
      </c>
      <c r="G6866" s="1" t="str">
        <f t="shared" si="2"/>
        <v/>
      </c>
      <c r="J6866" s="1" t="str">
        <f t="shared" si="3"/>
        <v/>
      </c>
      <c r="K6866" s="1" t="str">
        <f t="shared" si="4"/>
        <v/>
      </c>
    </row>
    <row r="6867" hidden="1">
      <c r="F6867" s="1" t="str">
        <f t="shared" si="1"/>
        <v/>
      </c>
      <c r="G6867" s="1" t="str">
        <f t="shared" si="2"/>
        <v/>
      </c>
      <c r="J6867" s="1" t="str">
        <f t="shared" si="3"/>
        <v/>
      </c>
      <c r="K6867" s="1" t="str">
        <f t="shared" si="4"/>
        <v/>
      </c>
    </row>
    <row r="6868" hidden="1">
      <c r="F6868" s="1" t="str">
        <f t="shared" si="1"/>
        <v/>
      </c>
      <c r="G6868" s="1" t="str">
        <f t="shared" si="2"/>
        <v/>
      </c>
      <c r="J6868" s="1" t="str">
        <f t="shared" si="3"/>
        <v/>
      </c>
      <c r="K6868" s="1" t="str">
        <f t="shared" si="4"/>
        <v/>
      </c>
    </row>
    <row r="6869" hidden="1">
      <c r="F6869" s="1" t="str">
        <f t="shared" si="1"/>
        <v/>
      </c>
      <c r="G6869" s="1" t="str">
        <f t="shared" si="2"/>
        <v/>
      </c>
      <c r="J6869" s="1" t="str">
        <f t="shared" si="3"/>
        <v/>
      </c>
      <c r="K6869" s="1" t="str">
        <f t="shared" si="4"/>
        <v/>
      </c>
    </row>
    <row r="6870" hidden="1">
      <c r="F6870" s="1" t="str">
        <f t="shared" si="1"/>
        <v/>
      </c>
      <c r="G6870" s="1" t="str">
        <f t="shared" si="2"/>
        <v/>
      </c>
      <c r="J6870" s="1" t="str">
        <f t="shared" si="3"/>
        <v/>
      </c>
      <c r="K6870" s="1" t="str">
        <f t="shared" si="4"/>
        <v/>
      </c>
    </row>
    <row r="6871" hidden="1">
      <c r="F6871" s="1" t="str">
        <f t="shared" si="1"/>
        <v/>
      </c>
      <c r="G6871" s="1" t="str">
        <f t="shared" si="2"/>
        <v/>
      </c>
      <c r="J6871" s="1" t="str">
        <f t="shared" si="3"/>
        <v/>
      </c>
      <c r="K6871" s="1" t="str">
        <f t="shared" si="4"/>
        <v/>
      </c>
    </row>
    <row r="6872" hidden="1">
      <c r="F6872" s="1" t="str">
        <f t="shared" si="1"/>
        <v/>
      </c>
      <c r="G6872" s="1" t="str">
        <f t="shared" si="2"/>
        <v/>
      </c>
      <c r="J6872" s="1" t="str">
        <f t="shared" si="3"/>
        <v/>
      </c>
      <c r="K6872" s="1" t="str">
        <f t="shared" si="4"/>
        <v/>
      </c>
    </row>
    <row r="6873" hidden="1">
      <c r="F6873" s="1" t="str">
        <f t="shared" si="1"/>
        <v/>
      </c>
      <c r="G6873" s="1" t="str">
        <f t="shared" si="2"/>
        <v/>
      </c>
      <c r="J6873" s="1" t="str">
        <f t="shared" si="3"/>
        <v/>
      </c>
      <c r="K6873" s="1" t="str">
        <f t="shared" si="4"/>
        <v/>
      </c>
    </row>
    <row r="6874" hidden="1">
      <c r="F6874" s="1" t="str">
        <f t="shared" si="1"/>
        <v/>
      </c>
      <c r="G6874" s="1" t="str">
        <f t="shared" si="2"/>
        <v/>
      </c>
      <c r="J6874" s="1" t="str">
        <f t="shared" si="3"/>
        <v/>
      </c>
      <c r="K6874" s="1" t="str">
        <f t="shared" si="4"/>
        <v/>
      </c>
    </row>
    <row r="6875" hidden="1">
      <c r="F6875" s="1" t="str">
        <f t="shared" si="1"/>
        <v/>
      </c>
      <c r="G6875" s="1" t="str">
        <f t="shared" si="2"/>
        <v/>
      </c>
      <c r="J6875" s="1" t="str">
        <f t="shared" si="3"/>
        <v/>
      </c>
      <c r="K6875" s="1" t="str">
        <f t="shared" si="4"/>
        <v/>
      </c>
    </row>
    <row r="6876" hidden="1">
      <c r="F6876" s="1" t="str">
        <f t="shared" si="1"/>
        <v/>
      </c>
      <c r="G6876" s="1" t="str">
        <f t="shared" si="2"/>
        <v/>
      </c>
      <c r="J6876" s="1" t="str">
        <f t="shared" si="3"/>
        <v/>
      </c>
      <c r="K6876" s="1" t="str">
        <f t="shared" si="4"/>
        <v/>
      </c>
    </row>
    <row r="6877" hidden="1">
      <c r="F6877" s="1" t="str">
        <f t="shared" si="1"/>
        <v/>
      </c>
      <c r="G6877" s="1" t="str">
        <f t="shared" si="2"/>
        <v/>
      </c>
      <c r="J6877" s="1" t="str">
        <f t="shared" si="3"/>
        <v/>
      </c>
      <c r="K6877" s="1" t="str">
        <f t="shared" si="4"/>
        <v/>
      </c>
    </row>
    <row r="6878" hidden="1">
      <c r="F6878" s="1" t="str">
        <f t="shared" si="1"/>
        <v/>
      </c>
      <c r="G6878" s="1" t="str">
        <f t="shared" si="2"/>
        <v/>
      </c>
      <c r="J6878" s="1" t="str">
        <f t="shared" si="3"/>
        <v/>
      </c>
      <c r="K6878" s="1" t="str">
        <f t="shared" si="4"/>
        <v/>
      </c>
    </row>
    <row r="6879" hidden="1">
      <c r="F6879" s="1" t="str">
        <f t="shared" si="1"/>
        <v/>
      </c>
      <c r="G6879" s="1" t="str">
        <f t="shared" si="2"/>
        <v/>
      </c>
      <c r="J6879" s="1" t="str">
        <f t="shared" si="3"/>
        <v/>
      </c>
      <c r="K6879" s="1" t="str">
        <f t="shared" si="4"/>
        <v/>
      </c>
    </row>
    <row r="6880" hidden="1">
      <c r="F6880" s="1" t="str">
        <f t="shared" si="1"/>
        <v/>
      </c>
      <c r="G6880" s="1" t="str">
        <f t="shared" si="2"/>
        <v/>
      </c>
      <c r="J6880" s="1" t="str">
        <f t="shared" si="3"/>
        <v/>
      </c>
      <c r="K6880" s="1" t="str">
        <f t="shared" si="4"/>
        <v/>
      </c>
    </row>
    <row r="6881" hidden="1">
      <c r="F6881" s="1" t="str">
        <f t="shared" si="1"/>
        <v/>
      </c>
      <c r="G6881" s="1" t="str">
        <f t="shared" si="2"/>
        <v/>
      </c>
      <c r="J6881" s="1" t="str">
        <f t="shared" si="3"/>
        <v/>
      </c>
      <c r="K6881" s="1" t="str">
        <f t="shared" si="4"/>
        <v/>
      </c>
    </row>
    <row r="6882" hidden="1">
      <c r="F6882" s="1" t="str">
        <f t="shared" si="1"/>
        <v/>
      </c>
      <c r="G6882" s="1" t="str">
        <f t="shared" si="2"/>
        <v/>
      </c>
      <c r="J6882" s="1" t="str">
        <f t="shared" si="3"/>
        <v/>
      </c>
      <c r="K6882" s="1" t="str">
        <f t="shared" si="4"/>
        <v/>
      </c>
    </row>
    <row r="6883" hidden="1">
      <c r="F6883" s="1" t="str">
        <f t="shared" si="1"/>
        <v/>
      </c>
      <c r="G6883" s="1" t="str">
        <f t="shared" si="2"/>
        <v/>
      </c>
      <c r="J6883" s="1" t="str">
        <f t="shared" si="3"/>
        <v/>
      </c>
      <c r="K6883" s="1" t="str">
        <f t="shared" si="4"/>
        <v/>
      </c>
    </row>
    <row r="6884" hidden="1">
      <c r="F6884" s="1" t="str">
        <f t="shared" si="1"/>
        <v/>
      </c>
      <c r="G6884" s="1" t="str">
        <f t="shared" si="2"/>
        <v/>
      </c>
      <c r="J6884" s="1" t="str">
        <f t="shared" si="3"/>
        <v/>
      </c>
      <c r="K6884" s="1" t="str">
        <f t="shared" si="4"/>
        <v/>
      </c>
    </row>
    <row r="6885" hidden="1">
      <c r="F6885" s="1" t="str">
        <f t="shared" si="1"/>
        <v/>
      </c>
      <c r="G6885" s="1" t="str">
        <f t="shared" si="2"/>
        <v/>
      </c>
      <c r="J6885" s="1" t="str">
        <f t="shared" si="3"/>
        <v/>
      </c>
      <c r="K6885" s="1" t="str">
        <f t="shared" si="4"/>
        <v/>
      </c>
    </row>
    <row r="6886" hidden="1">
      <c r="F6886" s="1" t="str">
        <f t="shared" si="1"/>
        <v/>
      </c>
      <c r="G6886" s="1" t="str">
        <f t="shared" si="2"/>
        <v/>
      </c>
      <c r="J6886" s="1" t="str">
        <f t="shared" si="3"/>
        <v/>
      </c>
      <c r="K6886" s="1" t="str">
        <f t="shared" si="4"/>
        <v/>
      </c>
    </row>
    <row r="6887" hidden="1">
      <c r="F6887" s="1" t="str">
        <f t="shared" si="1"/>
        <v/>
      </c>
      <c r="G6887" s="1" t="str">
        <f t="shared" si="2"/>
        <v/>
      </c>
      <c r="J6887" s="1" t="str">
        <f t="shared" si="3"/>
        <v/>
      </c>
      <c r="K6887" s="1" t="str">
        <f t="shared" si="4"/>
        <v/>
      </c>
    </row>
    <row r="6888" hidden="1">
      <c r="F6888" s="1" t="str">
        <f t="shared" si="1"/>
        <v/>
      </c>
      <c r="G6888" s="1" t="str">
        <f t="shared" si="2"/>
        <v/>
      </c>
      <c r="J6888" s="1" t="str">
        <f t="shared" si="3"/>
        <v/>
      </c>
      <c r="K6888" s="1" t="str">
        <f t="shared" si="4"/>
        <v/>
      </c>
    </row>
    <row r="6889" hidden="1">
      <c r="F6889" s="1" t="str">
        <f t="shared" si="1"/>
        <v/>
      </c>
      <c r="G6889" s="1" t="str">
        <f t="shared" si="2"/>
        <v/>
      </c>
      <c r="J6889" s="1" t="str">
        <f t="shared" si="3"/>
        <v/>
      </c>
      <c r="K6889" s="1" t="str">
        <f t="shared" si="4"/>
        <v/>
      </c>
    </row>
    <row r="6890" hidden="1">
      <c r="F6890" s="1" t="str">
        <f t="shared" si="1"/>
        <v/>
      </c>
      <c r="G6890" s="1" t="str">
        <f t="shared" si="2"/>
        <v/>
      </c>
      <c r="J6890" s="1" t="str">
        <f t="shared" si="3"/>
        <v/>
      </c>
      <c r="K6890" s="1" t="str">
        <f t="shared" si="4"/>
        <v/>
      </c>
    </row>
    <row r="6891" hidden="1">
      <c r="F6891" s="1" t="str">
        <f t="shared" si="1"/>
        <v/>
      </c>
      <c r="G6891" s="1" t="str">
        <f t="shared" si="2"/>
        <v/>
      </c>
      <c r="J6891" s="1" t="str">
        <f t="shared" si="3"/>
        <v/>
      </c>
      <c r="K6891" s="1" t="str">
        <f t="shared" si="4"/>
        <v/>
      </c>
    </row>
    <row r="6892" hidden="1">
      <c r="F6892" s="1" t="str">
        <f t="shared" si="1"/>
        <v/>
      </c>
      <c r="G6892" s="1" t="str">
        <f t="shared" si="2"/>
        <v/>
      </c>
      <c r="J6892" s="1" t="str">
        <f t="shared" si="3"/>
        <v/>
      </c>
      <c r="K6892" s="1" t="str">
        <f t="shared" si="4"/>
        <v/>
      </c>
    </row>
    <row r="6893" hidden="1">
      <c r="F6893" s="1" t="str">
        <f t="shared" si="1"/>
        <v/>
      </c>
      <c r="G6893" s="1" t="str">
        <f t="shared" si="2"/>
        <v/>
      </c>
      <c r="J6893" s="1" t="str">
        <f t="shared" si="3"/>
        <v/>
      </c>
      <c r="K6893" s="1" t="str">
        <f t="shared" si="4"/>
        <v/>
      </c>
    </row>
    <row r="6894" hidden="1">
      <c r="F6894" s="1" t="str">
        <f t="shared" si="1"/>
        <v/>
      </c>
      <c r="G6894" s="1" t="str">
        <f t="shared" si="2"/>
        <v/>
      </c>
      <c r="J6894" s="1" t="str">
        <f t="shared" si="3"/>
        <v/>
      </c>
      <c r="K6894" s="1" t="str">
        <f t="shared" si="4"/>
        <v/>
      </c>
    </row>
    <row r="6895" hidden="1">
      <c r="F6895" s="1" t="str">
        <f t="shared" si="1"/>
        <v/>
      </c>
      <c r="G6895" s="1" t="str">
        <f t="shared" si="2"/>
        <v/>
      </c>
      <c r="J6895" s="1" t="str">
        <f t="shared" si="3"/>
        <v/>
      </c>
      <c r="K6895" s="1" t="str">
        <f t="shared" si="4"/>
        <v/>
      </c>
    </row>
    <row r="6896" hidden="1">
      <c r="F6896" s="1" t="str">
        <f t="shared" si="1"/>
        <v/>
      </c>
      <c r="G6896" s="1" t="str">
        <f t="shared" si="2"/>
        <v/>
      </c>
      <c r="J6896" s="1" t="str">
        <f t="shared" si="3"/>
        <v/>
      </c>
      <c r="K6896" s="1" t="str">
        <f t="shared" si="4"/>
        <v/>
      </c>
    </row>
    <row r="6897" hidden="1">
      <c r="F6897" s="1" t="str">
        <f t="shared" si="1"/>
        <v/>
      </c>
      <c r="G6897" s="1" t="str">
        <f t="shared" si="2"/>
        <v/>
      </c>
      <c r="J6897" s="1" t="str">
        <f t="shared" si="3"/>
        <v/>
      </c>
      <c r="K6897" s="1" t="str">
        <f t="shared" si="4"/>
        <v/>
      </c>
    </row>
    <row r="6898" hidden="1">
      <c r="F6898" s="1" t="str">
        <f t="shared" si="1"/>
        <v/>
      </c>
      <c r="G6898" s="1" t="str">
        <f t="shared" si="2"/>
        <v/>
      </c>
      <c r="J6898" s="1" t="str">
        <f t="shared" si="3"/>
        <v/>
      </c>
      <c r="K6898" s="1" t="str">
        <f t="shared" si="4"/>
        <v/>
      </c>
    </row>
    <row r="6899" hidden="1">
      <c r="F6899" s="1" t="str">
        <f t="shared" si="1"/>
        <v/>
      </c>
      <c r="G6899" s="1" t="str">
        <f t="shared" si="2"/>
        <v/>
      </c>
      <c r="J6899" s="1" t="str">
        <f t="shared" si="3"/>
        <v/>
      </c>
      <c r="K6899" s="1" t="str">
        <f t="shared" si="4"/>
        <v/>
      </c>
    </row>
    <row r="6900" hidden="1">
      <c r="F6900" s="1" t="str">
        <f t="shared" si="1"/>
        <v/>
      </c>
      <c r="G6900" s="1" t="str">
        <f t="shared" si="2"/>
        <v/>
      </c>
      <c r="J6900" s="1" t="str">
        <f t="shared" si="3"/>
        <v/>
      </c>
      <c r="K6900" s="1" t="str">
        <f t="shared" si="4"/>
        <v/>
      </c>
    </row>
    <row r="6901" hidden="1">
      <c r="F6901" s="1" t="str">
        <f t="shared" si="1"/>
        <v/>
      </c>
      <c r="G6901" s="1" t="str">
        <f t="shared" si="2"/>
        <v/>
      </c>
      <c r="J6901" s="1" t="str">
        <f t="shared" si="3"/>
        <v/>
      </c>
      <c r="K6901" s="1" t="str">
        <f t="shared" si="4"/>
        <v/>
      </c>
    </row>
    <row r="6902" hidden="1">
      <c r="F6902" s="1" t="str">
        <f t="shared" si="1"/>
        <v/>
      </c>
      <c r="G6902" s="1" t="str">
        <f t="shared" si="2"/>
        <v/>
      </c>
      <c r="J6902" s="1" t="str">
        <f t="shared" si="3"/>
        <v/>
      </c>
      <c r="K6902" s="1" t="str">
        <f t="shared" si="4"/>
        <v/>
      </c>
    </row>
    <row r="6903" hidden="1">
      <c r="F6903" s="1" t="str">
        <f t="shared" si="1"/>
        <v/>
      </c>
      <c r="G6903" s="1" t="str">
        <f t="shared" si="2"/>
        <v/>
      </c>
      <c r="J6903" s="1" t="str">
        <f t="shared" si="3"/>
        <v/>
      </c>
      <c r="K6903" s="1" t="str">
        <f t="shared" si="4"/>
        <v/>
      </c>
    </row>
    <row r="6904" hidden="1">
      <c r="F6904" s="1" t="str">
        <f t="shared" si="1"/>
        <v/>
      </c>
      <c r="G6904" s="1" t="str">
        <f t="shared" si="2"/>
        <v/>
      </c>
      <c r="J6904" s="1" t="str">
        <f t="shared" si="3"/>
        <v/>
      </c>
      <c r="K6904" s="1" t="str">
        <f t="shared" si="4"/>
        <v/>
      </c>
    </row>
    <row r="6905" hidden="1">
      <c r="F6905" s="1" t="str">
        <f t="shared" si="1"/>
        <v/>
      </c>
      <c r="G6905" s="1" t="str">
        <f t="shared" si="2"/>
        <v/>
      </c>
      <c r="J6905" s="1" t="str">
        <f t="shared" si="3"/>
        <v/>
      </c>
      <c r="K6905" s="1" t="str">
        <f t="shared" si="4"/>
        <v/>
      </c>
    </row>
    <row r="6906" hidden="1">
      <c r="F6906" s="1" t="str">
        <f t="shared" si="1"/>
        <v/>
      </c>
      <c r="G6906" s="1" t="str">
        <f t="shared" si="2"/>
        <v/>
      </c>
      <c r="J6906" s="1" t="str">
        <f t="shared" si="3"/>
        <v/>
      </c>
      <c r="K6906" s="1" t="str">
        <f t="shared" si="4"/>
        <v/>
      </c>
    </row>
    <row r="6907" hidden="1">
      <c r="F6907" s="1" t="str">
        <f t="shared" si="1"/>
        <v/>
      </c>
      <c r="G6907" s="1" t="str">
        <f t="shared" si="2"/>
        <v/>
      </c>
      <c r="J6907" s="1" t="str">
        <f t="shared" si="3"/>
        <v/>
      </c>
      <c r="K6907" s="1" t="str">
        <f t="shared" si="4"/>
        <v/>
      </c>
    </row>
    <row r="6908" hidden="1">
      <c r="F6908" s="1" t="str">
        <f t="shared" si="1"/>
        <v/>
      </c>
      <c r="G6908" s="1" t="str">
        <f t="shared" si="2"/>
        <v/>
      </c>
      <c r="J6908" s="1" t="str">
        <f t="shared" si="3"/>
        <v/>
      </c>
      <c r="K6908" s="1" t="str">
        <f t="shared" si="4"/>
        <v/>
      </c>
    </row>
    <row r="6909" hidden="1">
      <c r="F6909" s="1" t="str">
        <f t="shared" si="1"/>
        <v/>
      </c>
      <c r="G6909" s="1" t="str">
        <f t="shared" si="2"/>
        <v/>
      </c>
      <c r="J6909" s="1" t="str">
        <f t="shared" si="3"/>
        <v/>
      </c>
      <c r="K6909" s="1" t="str">
        <f t="shared" si="4"/>
        <v/>
      </c>
    </row>
    <row r="6910" hidden="1">
      <c r="F6910" s="1" t="str">
        <f t="shared" si="1"/>
        <v/>
      </c>
      <c r="G6910" s="1" t="str">
        <f t="shared" si="2"/>
        <v/>
      </c>
      <c r="J6910" s="1" t="str">
        <f t="shared" si="3"/>
        <v/>
      </c>
      <c r="K6910" s="1" t="str">
        <f t="shared" si="4"/>
        <v/>
      </c>
    </row>
    <row r="6911" hidden="1">
      <c r="F6911" s="1" t="str">
        <f t="shared" si="1"/>
        <v/>
      </c>
      <c r="G6911" s="1" t="str">
        <f t="shared" si="2"/>
        <v/>
      </c>
      <c r="J6911" s="1" t="str">
        <f t="shared" si="3"/>
        <v/>
      </c>
      <c r="K6911" s="1" t="str">
        <f t="shared" si="4"/>
        <v/>
      </c>
    </row>
    <row r="6912" hidden="1">
      <c r="F6912" s="1" t="str">
        <f t="shared" si="1"/>
        <v/>
      </c>
      <c r="G6912" s="1" t="str">
        <f t="shared" si="2"/>
        <v/>
      </c>
      <c r="J6912" s="1" t="str">
        <f t="shared" si="3"/>
        <v/>
      </c>
      <c r="K6912" s="1" t="str">
        <f t="shared" si="4"/>
        <v/>
      </c>
    </row>
    <row r="6913" hidden="1">
      <c r="F6913" s="1" t="str">
        <f t="shared" si="1"/>
        <v/>
      </c>
      <c r="G6913" s="1" t="str">
        <f t="shared" si="2"/>
        <v/>
      </c>
      <c r="J6913" s="1" t="str">
        <f t="shared" si="3"/>
        <v/>
      </c>
      <c r="K6913" s="1" t="str">
        <f t="shared" si="4"/>
        <v/>
      </c>
    </row>
    <row r="6914" hidden="1">
      <c r="F6914" s="1" t="str">
        <f t="shared" si="1"/>
        <v/>
      </c>
      <c r="G6914" s="1" t="str">
        <f t="shared" si="2"/>
        <v/>
      </c>
      <c r="J6914" s="1" t="str">
        <f t="shared" si="3"/>
        <v/>
      </c>
      <c r="K6914" s="1" t="str">
        <f t="shared" si="4"/>
        <v/>
      </c>
    </row>
    <row r="6915" hidden="1">
      <c r="F6915" s="1" t="str">
        <f t="shared" si="1"/>
        <v/>
      </c>
      <c r="G6915" s="1" t="str">
        <f t="shared" si="2"/>
        <v/>
      </c>
      <c r="J6915" s="1" t="str">
        <f t="shared" si="3"/>
        <v/>
      </c>
      <c r="K6915" s="1" t="str">
        <f t="shared" si="4"/>
        <v/>
      </c>
    </row>
    <row r="6916" hidden="1">
      <c r="F6916" s="1" t="str">
        <f t="shared" si="1"/>
        <v/>
      </c>
      <c r="G6916" s="1" t="str">
        <f t="shared" si="2"/>
        <v/>
      </c>
      <c r="J6916" s="1" t="str">
        <f t="shared" si="3"/>
        <v/>
      </c>
      <c r="K6916" s="1" t="str">
        <f t="shared" si="4"/>
        <v/>
      </c>
    </row>
    <row r="6917" hidden="1">
      <c r="F6917" s="1" t="str">
        <f t="shared" si="1"/>
        <v/>
      </c>
      <c r="G6917" s="1" t="str">
        <f t="shared" si="2"/>
        <v/>
      </c>
      <c r="J6917" s="1" t="str">
        <f t="shared" si="3"/>
        <v/>
      </c>
      <c r="K6917" s="1" t="str">
        <f t="shared" si="4"/>
        <v/>
      </c>
    </row>
    <row r="6918" hidden="1">
      <c r="F6918" s="1" t="str">
        <f t="shared" si="1"/>
        <v/>
      </c>
      <c r="G6918" s="1" t="str">
        <f t="shared" si="2"/>
        <v/>
      </c>
      <c r="J6918" s="1" t="str">
        <f t="shared" si="3"/>
        <v/>
      </c>
      <c r="K6918" s="1" t="str">
        <f t="shared" si="4"/>
        <v/>
      </c>
    </row>
    <row r="6919" hidden="1">
      <c r="F6919" s="1" t="str">
        <f t="shared" si="1"/>
        <v/>
      </c>
      <c r="G6919" s="1" t="str">
        <f t="shared" si="2"/>
        <v/>
      </c>
      <c r="J6919" s="1" t="str">
        <f t="shared" si="3"/>
        <v/>
      </c>
      <c r="K6919" s="1" t="str">
        <f t="shared" si="4"/>
        <v/>
      </c>
    </row>
    <row r="6920" hidden="1">
      <c r="F6920" s="1" t="str">
        <f t="shared" si="1"/>
        <v/>
      </c>
      <c r="G6920" s="1" t="str">
        <f t="shared" si="2"/>
        <v/>
      </c>
      <c r="J6920" s="1" t="str">
        <f t="shared" si="3"/>
        <v/>
      </c>
      <c r="K6920" s="1" t="str">
        <f t="shared" si="4"/>
        <v/>
      </c>
    </row>
    <row r="6921" hidden="1">
      <c r="F6921" s="1" t="str">
        <f t="shared" si="1"/>
        <v/>
      </c>
      <c r="G6921" s="1" t="str">
        <f t="shared" si="2"/>
        <v/>
      </c>
      <c r="J6921" s="1" t="str">
        <f t="shared" si="3"/>
        <v/>
      </c>
      <c r="K6921" s="1" t="str">
        <f t="shared" si="4"/>
        <v/>
      </c>
    </row>
    <row r="6922" hidden="1">
      <c r="F6922" s="1" t="str">
        <f t="shared" si="1"/>
        <v/>
      </c>
      <c r="G6922" s="1" t="str">
        <f t="shared" si="2"/>
        <v/>
      </c>
      <c r="J6922" s="1" t="str">
        <f t="shared" si="3"/>
        <v/>
      </c>
      <c r="K6922" s="1" t="str">
        <f t="shared" si="4"/>
        <v/>
      </c>
    </row>
    <row r="6923" hidden="1">
      <c r="F6923" s="1" t="str">
        <f t="shared" si="1"/>
        <v/>
      </c>
      <c r="G6923" s="1" t="str">
        <f t="shared" si="2"/>
        <v/>
      </c>
      <c r="J6923" s="1" t="str">
        <f t="shared" si="3"/>
        <v/>
      </c>
      <c r="K6923" s="1" t="str">
        <f t="shared" si="4"/>
        <v/>
      </c>
    </row>
    <row r="6924" hidden="1">
      <c r="F6924" s="1" t="str">
        <f t="shared" si="1"/>
        <v/>
      </c>
      <c r="G6924" s="1" t="str">
        <f t="shared" si="2"/>
        <v/>
      </c>
      <c r="J6924" s="1" t="str">
        <f t="shared" si="3"/>
        <v/>
      </c>
      <c r="K6924" s="1" t="str">
        <f t="shared" si="4"/>
        <v/>
      </c>
    </row>
    <row r="6925" hidden="1">
      <c r="F6925" s="1" t="str">
        <f t="shared" si="1"/>
        <v/>
      </c>
      <c r="G6925" s="1" t="str">
        <f t="shared" si="2"/>
        <v/>
      </c>
      <c r="J6925" s="1" t="str">
        <f t="shared" si="3"/>
        <v/>
      </c>
      <c r="K6925" s="1" t="str">
        <f t="shared" si="4"/>
        <v/>
      </c>
    </row>
    <row r="6926" hidden="1">
      <c r="F6926" s="1" t="str">
        <f t="shared" si="1"/>
        <v/>
      </c>
      <c r="G6926" s="1" t="str">
        <f t="shared" si="2"/>
        <v/>
      </c>
      <c r="J6926" s="1" t="str">
        <f t="shared" si="3"/>
        <v/>
      </c>
      <c r="K6926" s="1" t="str">
        <f t="shared" si="4"/>
        <v/>
      </c>
    </row>
    <row r="6927" hidden="1">
      <c r="F6927" s="1" t="str">
        <f t="shared" si="1"/>
        <v/>
      </c>
      <c r="G6927" s="1" t="str">
        <f t="shared" si="2"/>
        <v/>
      </c>
      <c r="J6927" s="1" t="str">
        <f t="shared" si="3"/>
        <v/>
      </c>
      <c r="K6927" s="1" t="str">
        <f t="shared" si="4"/>
        <v/>
      </c>
    </row>
    <row r="6928" hidden="1">
      <c r="F6928" s="1" t="str">
        <f t="shared" si="1"/>
        <v/>
      </c>
      <c r="G6928" s="1" t="str">
        <f t="shared" si="2"/>
        <v/>
      </c>
      <c r="J6928" s="1" t="str">
        <f t="shared" si="3"/>
        <v/>
      </c>
      <c r="K6928" s="1" t="str">
        <f t="shared" si="4"/>
        <v/>
      </c>
    </row>
    <row r="6929" hidden="1">
      <c r="F6929" s="1" t="str">
        <f t="shared" si="1"/>
        <v/>
      </c>
      <c r="G6929" s="1" t="str">
        <f t="shared" si="2"/>
        <v/>
      </c>
      <c r="J6929" s="1" t="str">
        <f t="shared" si="3"/>
        <v/>
      </c>
      <c r="K6929" s="1" t="str">
        <f t="shared" si="4"/>
        <v/>
      </c>
    </row>
    <row r="6930" hidden="1">
      <c r="F6930" s="1" t="str">
        <f t="shared" si="1"/>
        <v/>
      </c>
      <c r="G6930" s="1" t="str">
        <f t="shared" si="2"/>
        <v/>
      </c>
      <c r="J6930" s="1" t="str">
        <f t="shared" si="3"/>
        <v/>
      </c>
      <c r="K6930" s="1" t="str">
        <f t="shared" si="4"/>
        <v/>
      </c>
    </row>
    <row r="6931" hidden="1">
      <c r="F6931" s="1" t="str">
        <f t="shared" si="1"/>
        <v/>
      </c>
      <c r="G6931" s="1" t="str">
        <f t="shared" si="2"/>
        <v/>
      </c>
      <c r="J6931" s="1" t="str">
        <f t="shared" si="3"/>
        <v/>
      </c>
      <c r="K6931" s="1" t="str">
        <f t="shared" si="4"/>
        <v/>
      </c>
    </row>
    <row r="6932" hidden="1">
      <c r="F6932" s="1" t="str">
        <f t="shared" si="1"/>
        <v/>
      </c>
      <c r="G6932" s="1" t="str">
        <f t="shared" si="2"/>
        <v/>
      </c>
      <c r="J6932" s="1" t="str">
        <f t="shared" si="3"/>
        <v/>
      </c>
      <c r="K6932" s="1" t="str">
        <f t="shared" si="4"/>
        <v/>
      </c>
    </row>
    <row r="6933" hidden="1">
      <c r="F6933" s="1" t="str">
        <f t="shared" si="1"/>
        <v/>
      </c>
      <c r="G6933" s="1" t="str">
        <f t="shared" si="2"/>
        <v/>
      </c>
      <c r="J6933" s="1" t="str">
        <f t="shared" si="3"/>
        <v/>
      </c>
      <c r="K6933" s="1" t="str">
        <f t="shared" si="4"/>
        <v/>
      </c>
    </row>
    <row r="6934" hidden="1">
      <c r="F6934" s="1" t="str">
        <f t="shared" si="1"/>
        <v/>
      </c>
      <c r="G6934" s="1" t="str">
        <f t="shared" si="2"/>
        <v/>
      </c>
      <c r="J6934" s="1" t="str">
        <f t="shared" si="3"/>
        <v/>
      </c>
      <c r="K6934" s="1" t="str">
        <f t="shared" si="4"/>
        <v/>
      </c>
    </row>
    <row r="6935" hidden="1">
      <c r="F6935" s="1" t="str">
        <f t="shared" si="1"/>
        <v/>
      </c>
      <c r="G6935" s="1" t="str">
        <f t="shared" si="2"/>
        <v/>
      </c>
      <c r="J6935" s="1" t="str">
        <f t="shared" si="3"/>
        <v/>
      </c>
      <c r="K6935" s="1" t="str">
        <f t="shared" si="4"/>
        <v/>
      </c>
    </row>
    <row r="6936" hidden="1">
      <c r="F6936" s="1" t="str">
        <f t="shared" si="1"/>
        <v/>
      </c>
      <c r="G6936" s="1" t="str">
        <f t="shared" si="2"/>
        <v/>
      </c>
      <c r="J6936" s="1" t="str">
        <f t="shared" si="3"/>
        <v/>
      </c>
      <c r="K6936" s="1" t="str">
        <f t="shared" si="4"/>
        <v/>
      </c>
    </row>
    <row r="6937" hidden="1">
      <c r="F6937" s="1" t="str">
        <f t="shared" si="1"/>
        <v/>
      </c>
      <c r="G6937" s="1" t="str">
        <f t="shared" si="2"/>
        <v/>
      </c>
      <c r="J6937" s="1" t="str">
        <f t="shared" si="3"/>
        <v/>
      </c>
      <c r="K6937" s="1" t="str">
        <f t="shared" si="4"/>
        <v/>
      </c>
    </row>
    <row r="6938" hidden="1">
      <c r="F6938" s="1" t="str">
        <f t="shared" si="1"/>
        <v/>
      </c>
      <c r="G6938" s="1" t="str">
        <f t="shared" si="2"/>
        <v/>
      </c>
      <c r="J6938" s="1" t="str">
        <f t="shared" si="3"/>
        <v/>
      </c>
      <c r="K6938" s="1" t="str">
        <f t="shared" si="4"/>
        <v/>
      </c>
    </row>
    <row r="6939" hidden="1">
      <c r="F6939" s="1" t="str">
        <f t="shared" si="1"/>
        <v/>
      </c>
      <c r="G6939" s="1" t="str">
        <f t="shared" si="2"/>
        <v/>
      </c>
      <c r="J6939" s="1" t="str">
        <f t="shared" si="3"/>
        <v/>
      </c>
      <c r="K6939" s="1" t="str">
        <f t="shared" si="4"/>
        <v/>
      </c>
    </row>
    <row r="6940" hidden="1">
      <c r="F6940" s="1" t="str">
        <f t="shared" si="1"/>
        <v/>
      </c>
      <c r="G6940" s="1" t="str">
        <f t="shared" si="2"/>
        <v/>
      </c>
      <c r="J6940" s="1" t="str">
        <f t="shared" si="3"/>
        <v/>
      </c>
      <c r="K6940" s="1" t="str">
        <f t="shared" si="4"/>
        <v/>
      </c>
    </row>
    <row r="6941" hidden="1">
      <c r="F6941" s="1" t="str">
        <f t="shared" si="1"/>
        <v/>
      </c>
      <c r="G6941" s="1" t="str">
        <f t="shared" si="2"/>
        <v/>
      </c>
      <c r="J6941" s="1" t="str">
        <f t="shared" si="3"/>
        <v/>
      </c>
      <c r="K6941" s="1" t="str">
        <f t="shared" si="4"/>
        <v/>
      </c>
    </row>
    <row r="6942" hidden="1">
      <c r="F6942" s="1" t="str">
        <f t="shared" si="1"/>
        <v/>
      </c>
      <c r="G6942" s="1" t="str">
        <f t="shared" si="2"/>
        <v/>
      </c>
      <c r="J6942" s="1" t="str">
        <f t="shared" si="3"/>
        <v/>
      </c>
      <c r="K6942" s="1" t="str">
        <f t="shared" si="4"/>
        <v/>
      </c>
    </row>
    <row r="6943" hidden="1">
      <c r="F6943" s="1" t="str">
        <f t="shared" si="1"/>
        <v/>
      </c>
      <c r="G6943" s="1" t="str">
        <f t="shared" si="2"/>
        <v/>
      </c>
      <c r="J6943" s="1" t="str">
        <f t="shared" si="3"/>
        <v/>
      </c>
      <c r="K6943" s="1" t="str">
        <f t="shared" si="4"/>
        <v/>
      </c>
    </row>
    <row r="6944" hidden="1">
      <c r="F6944" s="1" t="str">
        <f t="shared" si="1"/>
        <v/>
      </c>
      <c r="G6944" s="1" t="str">
        <f t="shared" si="2"/>
        <v/>
      </c>
      <c r="J6944" s="1" t="str">
        <f t="shared" si="3"/>
        <v/>
      </c>
      <c r="K6944" s="1" t="str">
        <f t="shared" si="4"/>
        <v/>
      </c>
    </row>
    <row r="6945" hidden="1">
      <c r="F6945" s="1" t="str">
        <f t="shared" si="1"/>
        <v/>
      </c>
      <c r="G6945" s="1" t="str">
        <f t="shared" si="2"/>
        <v/>
      </c>
      <c r="J6945" s="1" t="str">
        <f t="shared" si="3"/>
        <v/>
      </c>
      <c r="K6945" s="1" t="str">
        <f t="shared" si="4"/>
        <v/>
      </c>
    </row>
    <row r="6946" hidden="1">
      <c r="F6946" s="1" t="str">
        <f t="shared" si="1"/>
        <v/>
      </c>
      <c r="G6946" s="1" t="str">
        <f t="shared" si="2"/>
        <v/>
      </c>
      <c r="J6946" s="1" t="str">
        <f t="shared" si="3"/>
        <v/>
      </c>
      <c r="K6946" s="1" t="str">
        <f t="shared" si="4"/>
        <v/>
      </c>
    </row>
    <row r="6947" hidden="1">
      <c r="F6947" s="1" t="str">
        <f t="shared" si="1"/>
        <v/>
      </c>
      <c r="G6947" s="1" t="str">
        <f t="shared" si="2"/>
        <v/>
      </c>
      <c r="J6947" s="1" t="str">
        <f t="shared" si="3"/>
        <v/>
      </c>
      <c r="K6947" s="1" t="str">
        <f t="shared" si="4"/>
        <v/>
      </c>
    </row>
    <row r="6948" hidden="1">
      <c r="F6948" s="1" t="str">
        <f t="shared" si="1"/>
        <v/>
      </c>
      <c r="G6948" s="1" t="str">
        <f t="shared" si="2"/>
        <v/>
      </c>
      <c r="J6948" s="1" t="str">
        <f t="shared" si="3"/>
        <v/>
      </c>
      <c r="K6948" s="1" t="str">
        <f t="shared" si="4"/>
        <v/>
      </c>
    </row>
    <row r="6949" hidden="1">
      <c r="F6949" s="1" t="str">
        <f t="shared" si="1"/>
        <v/>
      </c>
      <c r="G6949" s="1" t="str">
        <f t="shared" si="2"/>
        <v/>
      </c>
      <c r="J6949" s="1" t="str">
        <f t="shared" si="3"/>
        <v/>
      </c>
      <c r="K6949" s="1" t="str">
        <f t="shared" si="4"/>
        <v/>
      </c>
    </row>
    <row r="6950" hidden="1">
      <c r="F6950" s="1" t="str">
        <f t="shared" si="1"/>
        <v/>
      </c>
      <c r="G6950" s="1" t="str">
        <f t="shared" si="2"/>
        <v/>
      </c>
      <c r="J6950" s="1" t="str">
        <f t="shared" si="3"/>
        <v/>
      </c>
      <c r="K6950" s="1" t="str">
        <f t="shared" si="4"/>
        <v/>
      </c>
    </row>
    <row r="6951" hidden="1">
      <c r="F6951" s="1" t="str">
        <f t="shared" si="1"/>
        <v/>
      </c>
      <c r="G6951" s="1" t="str">
        <f t="shared" si="2"/>
        <v/>
      </c>
      <c r="J6951" s="1" t="str">
        <f t="shared" si="3"/>
        <v/>
      </c>
      <c r="K6951" s="1" t="str">
        <f t="shared" si="4"/>
        <v/>
      </c>
    </row>
    <row r="6952" hidden="1">
      <c r="F6952" s="1" t="str">
        <f t="shared" si="1"/>
        <v/>
      </c>
      <c r="G6952" s="1" t="str">
        <f t="shared" si="2"/>
        <v/>
      </c>
      <c r="J6952" s="1" t="str">
        <f t="shared" si="3"/>
        <v/>
      </c>
      <c r="K6952" s="1" t="str">
        <f t="shared" si="4"/>
        <v/>
      </c>
    </row>
    <row r="6953" hidden="1">
      <c r="F6953" s="1" t="str">
        <f t="shared" si="1"/>
        <v/>
      </c>
      <c r="G6953" s="1" t="str">
        <f t="shared" si="2"/>
        <v/>
      </c>
      <c r="J6953" s="1" t="str">
        <f t="shared" si="3"/>
        <v/>
      </c>
      <c r="K6953" s="1" t="str">
        <f t="shared" si="4"/>
        <v/>
      </c>
    </row>
    <row r="6954" hidden="1">
      <c r="F6954" s="1" t="str">
        <f t="shared" si="1"/>
        <v/>
      </c>
      <c r="G6954" s="1" t="str">
        <f t="shared" si="2"/>
        <v/>
      </c>
      <c r="J6954" s="1" t="str">
        <f t="shared" si="3"/>
        <v/>
      </c>
      <c r="K6954" s="1" t="str">
        <f t="shared" si="4"/>
        <v/>
      </c>
    </row>
    <row r="6955" hidden="1">
      <c r="F6955" s="1" t="str">
        <f t="shared" si="1"/>
        <v/>
      </c>
      <c r="G6955" s="1" t="str">
        <f t="shared" si="2"/>
        <v/>
      </c>
      <c r="J6955" s="1" t="str">
        <f t="shared" si="3"/>
        <v/>
      </c>
      <c r="K6955" s="1" t="str">
        <f t="shared" si="4"/>
        <v/>
      </c>
    </row>
    <row r="6956" hidden="1">
      <c r="F6956" s="1" t="str">
        <f t="shared" si="1"/>
        <v/>
      </c>
      <c r="G6956" s="1" t="str">
        <f t="shared" si="2"/>
        <v/>
      </c>
      <c r="J6956" s="1" t="str">
        <f t="shared" si="3"/>
        <v/>
      </c>
      <c r="K6956" s="1" t="str">
        <f t="shared" si="4"/>
        <v/>
      </c>
    </row>
    <row r="6957" hidden="1">
      <c r="F6957" s="1" t="str">
        <f t="shared" si="1"/>
        <v/>
      </c>
      <c r="G6957" s="1" t="str">
        <f t="shared" si="2"/>
        <v/>
      </c>
      <c r="J6957" s="1" t="str">
        <f t="shared" si="3"/>
        <v/>
      </c>
      <c r="K6957" s="1" t="str">
        <f t="shared" si="4"/>
        <v/>
      </c>
    </row>
    <row r="6958" hidden="1">
      <c r="F6958" s="1" t="str">
        <f t="shared" si="1"/>
        <v/>
      </c>
      <c r="G6958" s="1" t="str">
        <f t="shared" si="2"/>
        <v/>
      </c>
      <c r="J6958" s="1" t="str">
        <f t="shared" si="3"/>
        <v/>
      </c>
      <c r="K6958" s="1" t="str">
        <f t="shared" si="4"/>
        <v/>
      </c>
    </row>
    <row r="6959" hidden="1">
      <c r="F6959" s="1" t="str">
        <f t="shared" si="1"/>
        <v/>
      </c>
      <c r="G6959" s="1" t="str">
        <f t="shared" si="2"/>
        <v/>
      </c>
      <c r="J6959" s="1" t="str">
        <f t="shared" si="3"/>
        <v/>
      </c>
      <c r="K6959" s="1" t="str">
        <f t="shared" si="4"/>
        <v/>
      </c>
    </row>
    <row r="6960" hidden="1">
      <c r="F6960" s="1" t="str">
        <f t="shared" si="1"/>
        <v/>
      </c>
      <c r="G6960" s="1" t="str">
        <f t="shared" si="2"/>
        <v/>
      </c>
      <c r="J6960" s="1" t="str">
        <f t="shared" si="3"/>
        <v/>
      </c>
      <c r="K6960" s="1" t="str">
        <f t="shared" si="4"/>
        <v/>
      </c>
    </row>
    <row r="6961" hidden="1">
      <c r="F6961" s="1" t="str">
        <f t="shared" si="1"/>
        <v/>
      </c>
      <c r="G6961" s="1" t="str">
        <f t="shared" si="2"/>
        <v/>
      </c>
      <c r="J6961" s="1" t="str">
        <f t="shared" si="3"/>
        <v/>
      </c>
      <c r="K6961" s="1" t="str">
        <f t="shared" si="4"/>
        <v/>
      </c>
    </row>
    <row r="6962" hidden="1">
      <c r="F6962" s="1" t="str">
        <f t="shared" si="1"/>
        <v/>
      </c>
      <c r="G6962" s="1" t="str">
        <f t="shared" si="2"/>
        <v/>
      </c>
      <c r="J6962" s="1" t="str">
        <f t="shared" si="3"/>
        <v/>
      </c>
      <c r="K6962" s="1" t="str">
        <f t="shared" si="4"/>
        <v/>
      </c>
    </row>
    <row r="6963" hidden="1">
      <c r="F6963" s="1" t="str">
        <f t="shared" si="1"/>
        <v/>
      </c>
      <c r="G6963" s="1" t="str">
        <f t="shared" si="2"/>
        <v/>
      </c>
      <c r="J6963" s="1" t="str">
        <f t="shared" si="3"/>
        <v/>
      </c>
      <c r="K6963" s="1" t="str">
        <f t="shared" si="4"/>
        <v/>
      </c>
    </row>
    <row r="6964" hidden="1">
      <c r="F6964" s="1" t="str">
        <f t="shared" si="1"/>
        <v/>
      </c>
      <c r="G6964" s="1" t="str">
        <f t="shared" si="2"/>
        <v/>
      </c>
      <c r="J6964" s="1" t="str">
        <f t="shared" si="3"/>
        <v/>
      </c>
      <c r="K6964" s="1" t="str">
        <f t="shared" si="4"/>
        <v/>
      </c>
    </row>
    <row r="6965" hidden="1">
      <c r="F6965" s="1" t="str">
        <f t="shared" si="1"/>
        <v/>
      </c>
      <c r="G6965" s="1" t="str">
        <f t="shared" si="2"/>
        <v/>
      </c>
      <c r="J6965" s="1" t="str">
        <f t="shared" si="3"/>
        <v/>
      </c>
      <c r="K6965" s="1" t="str">
        <f t="shared" si="4"/>
        <v/>
      </c>
    </row>
    <row r="6966" hidden="1">
      <c r="F6966" s="1" t="str">
        <f t="shared" si="1"/>
        <v/>
      </c>
      <c r="G6966" s="1" t="str">
        <f t="shared" si="2"/>
        <v/>
      </c>
      <c r="J6966" s="1" t="str">
        <f t="shared" si="3"/>
        <v/>
      </c>
      <c r="K6966" s="1" t="str">
        <f t="shared" si="4"/>
        <v/>
      </c>
    </row>
    <row r="6967" hidden="1">
      <c r="F6967" s="1" t="str">
        <f t="shared" si="1"/>
        <v/>
      </c>
      <c r="G6967" s="1" t="str">
        <f t="shared" si="2"/>
        <v/>
      </c>
      <c r="J6967" s="1" t="str">
        <f t="shared" si="3"/>
        <v/>
      </c>
      <c r="K6967" s="1" t="str">
        <f t="shared" si="4"/>
        <v/>
      </c>
    </row>
    <row r="6968" hidden="1">
      <c r="F6968" s="1" t="str">
        <f t="shared" si="1"/>
        <v/>
      </c>
      <c r="G6968" s="1" t="str">
        <f t="shared" si="2"/>
        <v/>
      </c>
      <c r="J6968" s="1" t="str">
        <f t="shared" si="3"/>
        <v/>
      </c>
      <c r="K6968" s="1" t="str">
        <f t="shared" si="4"/>
        <v/>
      </c>
    </row>
    <row r="6969" hidden="1">
      <c r="F6969" s="1" t="str">
        <f t="shared" si="1"/>
        <v/>
      </c>
      <c r="G6969" s="1" t="str">
        <f t="shared" si="2"/>
        <v/>
      </c>
      <c r="J6969" s="1" t="str">
        <f t="shared" si="3"/>
        <v/>
      </c>
      <c r="K6969" s="1" t="str">
        <f t="shared" si="4"/>
        <v/>
      </c>
    </row>
    <row r="6970" hidden="1">
      <c r="F6970" s="1" t="str">
        <f t="shared" si="1"/>
        <v/>
      </c>
      <c r="G6970" s="1" t="str">
        <f t="shared" si="2"/>
        <v/>
      </c>
      <c r="J6970" s="1" t="str">
        <f t="shared" si="3"/>
        <v/>
      </c>
      <c r="K6970" s="1" t="str">
        <f t="shared" si="4"/>
        <v/>
      </c>
    </row>
    <row r="6971" hidden="1">
      <c r="F6971" s="1" t="str">
        <f t="shared" si="1"/>
        <v/>
      </c>
      <c r="G6971" s="1" t="str">
        <f t="shared" si="2"/>
        <v/>
      </c>
      <c r="J6971" s="1" t="str">
        <f t="shared" si="3"/>
        <v/>
      </c>
      <c r="K6971" s="1" t="str">
        <f t="shared" si="4"/>
        <v/>
      </c>
    </row>
    <row r="6972" hidden="1">
      <c r="F6972" s="1" t="str">
        <f t="shared" si="1"/>
        <v/>
      </c>
      <c r="G6972" s="1" t="str">
        <f t="shared" si="2"/>
        <v/>
      </c>
      <c r="J6972" s="1" t="str">
        <f t="shared" si="3"/>
        <v/>
      </c>
      <c r="K6972" s="1" t="str">
        <f t="shared" si="4"/>
        <v/>
      </c>
    </row>
    <row r="6973" hidden="1">
      <c r="F6973" s="1" t="str">
        <f t="shared" si="1"/>
        <v/>
      </c>
      <c r="G6973" s="1" t="str">
        <f t="shared" si="2"/>
        <v/>
      </c>
      <c r="J6973" s="1" t="str">
        <f t="shared" si="3"/>
        <v/>
      </c>
      <c r="K6973" s="1" t="str">
        <f t="shared" si="4"/>
        <v/>
      </c>
    </row>
    <row r="6974" hidden="1">
      <c r="F6974" s="1" t="str">
        <f t="shared" si="1"/>
        <v/>
      </c>
      <c r="G6974" s="1" t="str">
        <f t="shared" si="2"/>
        <v/>
      </c>
      <c r="J6974" s="1" t="str">
        <f t="shared" si="3"/>
        <v/>
      </c>
      <c r="K6974" s="1" t="str">
        <f t="shared" si="4"/>
        <v/>
      </c>
    </row>
    <row r="6975" hidden="1">
      <c r="F6975" s="1" t="str">
        <f t="shared" si="1"/>
        <v/>
      </c>
      <c r="G6975" s="1" t="str">
        <f t="shared" si="2"/>
        <v/>
      </c>
      <c r="J6975" s="1" t="str">
        <f t="shared" si="3"/>
        <v/>
      </c>
      <c r="K6975" s="1" t="str">
        <f t="shared" si="4"/>
        <v/>
      </c>
    </row>
    <row r="6976" hidden="1">
      <c r="F6976" s="1" t="str">
        <f t="shared" si="1"/>
        <v/>
      </c>
      <c r="G6976" s="1" t="str">
        <f t="shared" si="2"/>
        <v/>
      </c>
      <c r="J6976" s="1" t="str">
        <f t="shared" si="3"/>
        <v/>
      </c>
      <c r="K6976" s="1" t="str">
        <f t="shared" si="4"/>
        <v/>
      </c>
    </row>
    <row r="6977" hidden="1">
      <c r="F6977" s="1" t="str">
        <f t="shared" si="1"/>
        <v/>
      </c>
      <c r="G6977" s="1" t="str">
        <f t="shared" si="2"/>
        <v/>
      </c>
      <c r="J6977" s="1" t="str">
        <f t="shared" si="3"/>
        <v/>
      </c>
      <c r="K6977" s="1" t="str">
        <f t="shared" si="4"/>
        <v/>
      </c>
    </row>
    <row r="6978" hidden="1">
      <c r="F6978" s="1" t="str">
        <f t="shared" si="1"/>
        <v/>
      </c>
      <c r="G6978" s="1" t="str">
        <f t="shared" si="2"/>
        <v/>
      </c>
      <c r="J6978" s="1" t="str">
        <f t="shared" si="3"/>
        <v/>
      </c>
      <c r="K6978" s="1" t="str">
        <f t="shared" si="4"/>
        <v/>
      </c>
    </row>
    <row r="6979" hidden="1">
      <c r="F6979" s="1" t="str">
        <f t="shared" si="1"/>
        <v/>
      </c>
      <c r="G6979" s="1" t="str">
        <f t="shared" si="2"/>
        <v/>
      </c>
      <c r="J6979" s="1" t="str">
        <f t="shared" si="3"/>
        <v/>
      </c>
      <c r="K6979" s="1" t="str">
        <f t="shared" si="4"/>
        <v/>
      </c>
    </row>
    <row r="6980" hidden="1">
      <c r="F6980" s="1" t="str">
        <f t="shared" si="1"/>
        <v/>
      </c>
      <c r="G6980" s="1" t="str">
        <f t="shared" si="2"/>
        <v/>
      </c>
      <c r="J6980" s="1" t="str">
        <f t="shared" si="3"/>
        <v/>
      </c>
      <c r="K6980" s="1" t="str">
        <f t="shared" si="4"/>
        <v/>
      </c>
    </row>
    <row r="6981" hidden="1">
      <c r="F6981" s="1" t="str">
        <f t="shared" si="1"/>
        <v/>
      </c>
      <c r="G6981" s="1" t="str">
        <f t="shared" si="2"/>
        <v/>
      </c>
      <c r="J6981" s="1" t="str">
        <f t="shared" si="3"/>
        <v/>
      </c>
      <c r="K6981" s="1" t="str">
        <f t="shared" si="4"/>
        <v/>
      </c>
    </row>
    <row r="6982" hidden="1">
      <c r="F6982" s="1" t="str">
        <f t="shared" si="1"/>
        <v/>
      </c>
      <c r="G6982" s="1" t="str">
        <f t="shared" si="2"/>
        <v/>
      </c>
      <c r="J6982" s="1" t="str">
        <f t="shared" si="3"/>
        <v/>
      </c>
      <c r="K6982" s="1" t="str">
        <f t="shared" si="4"/>
        <v/>
      </c>
    </row>
    <row r="6983" hidden="1">
      <c r="F6983" s="1" t="str">
        <f t="shared" si="1"/>
        <v/>
      </c>
      <c r="G6983" s="1" t="str">
        <f t="shared" si="2"/>
        <v/>
      </c>
      <c r="J6983" s="1" t="str">
        <f t="shared" si="3"/>
        <v/>
      </c>
      <c r="K6983" s="1" t="str">
        <f t="shared" si="4"/>
        <v/>
      </c>
    </row>
    <row r="6984" hidden="1">
      <c r="F6984" s="1" t="str">
        <f t="shared" si="1"/>
        <v/>
      </c>
      <c r="G6984" s="1" t="str">
        <f t="shared" si="2"/>
        <v/>
      </c>
      <c r="J6984" s="1" t="str">
        <f t="shared" si="3"/>
        <v/>
      </c>
      <c r="K6984" s="1" t="str">
        <f t="shared" si="4"/>
        <v/>
      </c>
    </row>
    <row r="6985" hidden="1">
      <c r="F6985" s="1" t="str">
        <f t="shared" si="1"/>
        <v/>
      </c>
      <c r="G6985" s="1" t="str">
        <f t="shared" si="2"/>
        <v/>
      </c>
      <c r="J6985" s="1" t="str">
        <f t="shared" si="3"/>
        <v/>
      </c>
      <c r="K6985" s="1" t="str">
        <f t="shared" si="4"/>
        <v/>
      </c>
    </row>
    <row r="6986" hidden="1">
      <c r="F6986" s="1" t="str">
        <f t="shared" si="1"/>
        <v/>
      </c>
      <c r="G6986" s="1" t="str">
        <f t="shared" si="2"/>
        <v/>
      </c>
      <c r="J6986" s="1" t="str">
        <f t="shared" si="3"/>
        <v/>
      </c>
      <c r="K6986" s="1" t="str">
        <f t="shared" si="4"/>
        <v/>
      </c>
    </row>
    <row r="6987" hidden="1">
      <c r="F6987" s="1" t="str">
        <f t="shared" si="1"/>
        <v/>
      </c>
      <c r="G6987" s="1" t="str">
        <f t="shared" si="2"/>
        <v/>
      </c>
      <c r="J6987" s="1" t="str">
        <f t="shared" si="3"/>
        <v/>
      </c>
      <c r="K6987" s="1" t="str">
        <f t="shared" si="4"/>
        <v/>
      </c>
    </row>
    <row r="6988" hidden="1">
      <c r="F6988" s="1" t="str">
        <f t="shared" si="1"/>
        <v/>
      </c>
      <c r="G6988" s="1" t="str">
        <f t="shared" si="2"/>
        <v/>
      </c>
      <c r="J6988" s="1" t="str">
        <f t="shared" si="3"/>
        <v/>
      </c>
      <c r="K6988" s="1" t="str">
        <f t="shared" si="4"/>
        <v/>
      </c>
    </row>
    <row r="6989" hidden="1">
      <c r="F6989" s="1" t="str">
        <f t="shared" si="1"/>
        <v/>
      </c>
      <c r="G6989" s="1" t="str">
        <f t="shared" si="2"/>
        <v/>
      </c>
      <c r="J6989" s="1" t="str">
        <f t="shared" si="3"/>
        <v/>
      </c>
      <c r="K6989" s="1" t="str">
        <f t="shared" si="4"/>
        <v/>
      </c>
    </row>
    <row r="6990" hidden="1">
      <c r="F6990" s="1" t="str">
        <f t="shared" si="1"/>
        <v/>
      </c>
      <c r="G6990" s="1" t="str">
        <f t="shared" si="2"/>
        <v/>
      </c>
      <c r="J6990" s="1" t="str">
        <f t="shared" si="3"/>
        <v/>
      </c>
      <c r="K6990" s="1" t="str">
        <f t="shared" si="4"/>
        <v/>
      </c>
    </row>
    <row r="6991" hidden="1">
      <c r="F6991" s="1" t="str">
        <f t="shared" si="1"/>
        <v/>
      </c>
      <c r="G6991" s="1" t="str">
        <f t="shared" si="2"/>
        <v/>
      </c>
      <c r="J6991" s="1" t="str">
        <f t="shared" si="3"/>
        <v/>
      </c>
      <c r="K6991" s="1" t="str">
        <f t="shared" si="4"/>
        <v/>
      </c>
    </row>
    <row r="6992" hidden="1">
      <c r="F6992" s="1" t="str">
        <f t="shared" si="1"/>
        <v/>
      </c>
      <c r="G6992" s="1" t="str">
        <f t="shared" si="2"/>
        <v/>
      </c>
      <c r="J6992" s="1" t="str">
        <f t="shared" si="3"/>
        <v/>
      </c>
      <c r="K6992" s="1" t="str">
        <f t="shared" si="4"/>
        <v/>
      </c>
    </row>
    <row r="6993" hidden="1">
      <c r="F6993" s="1" t="str">
        <f t="shared" si="1"/>
        <v/>
      </c>
      <c r="G6993" s="1" t="str">
        <f t="shared" si="2"/>
        <v/>
      </c>
      <c r="J6993" s="1" t="str">
        <f t="shared" si="3"/>
        <v/>
      </c>
      <c r="K6993" s="1" t="str">
        <f t="shared" si="4"/>
        <v/>
      </c>
    </row>
    <row r="6994" hidden="1">
      <c r="F6994" s="1" t="str">
        <f t="shared" si="1"/>
        <v/>
      </c>
      <c r="G6994" s="1" t="str">
        <f t="shared" si="2"/>
        <v/>
      </c>
      <c r="J6994" s="1" t="str">
        <f t="shared" si="3"/>
        <v/>
      </c>
      <c r="K6994" s="1" t="str">
        <f t="shared" si="4"/>
        <v/>
      </c>
    </row>
    <row r="6995" hidden="1">
      <c r="F6995" s="1" t="str">
        <f t="shared" si="1"/>
        <v/>
      </c>
      <c r="G6995" s="1" t="str">
        <f t="shared" si="2"/>
        <v/>
      </c>
      <c r="J6995" s="1" t="str">
        <f t="shared" si="3"/>
        <v/>
      </c>
      <c r="K6995" s="1" t="str">
        <f t="shared" si="4"/>
        <v/>
      </c>
    </row>
    <row r="6996" hidden="1">
      <c r="F6996" s="1" t="str">
        <f t="shared" si="1"/>
        <v/>
      </c>
      <c r="G6996" s="1" t="str">
        <f t="shared" si="2"/>
        <v/>
      </c>
      <c r="J6996" s="1" t="str">
        <f t="shared" si="3"/>
        <v/>
      </c>
      <c r="K6996" s="1" t="str">
        <f t="shared" si="4"/>
        <v/>
      </c>
    </row>
    <row r="6997" hidden="1">
      <c r="F6997" s="1" t="str">
        <f t="shared" si="1"/>
        <v/>
      </c>
      <c r="G6997" s="1" t="str">
        <f t="shared" si="2"/>
        <v/>
      </c>
      <c r="J6997" s="1" t="str">
        <f t="shared" si="3"/>
        <v/>
      </c>
      <c r="K6997" s="1" t="str">
        <f t="shared" si="4"/>
        <v/>
      </c>
    </row>
    <row r="6998" hidden="1">
      <c r="F6998" s="1" t="str">
        <f t="shared" si="1"/>
        <v/>
      </c>
      <c r="G6998" s="1" t="str">
        <f t="shared" si="2"/>
        <v/>
      </c>
      <c r="J6998" s="1" t="str">
        <f t="shared" si="3"/>
        <v/>
      </c>
      <c r="K6998" s="1" t="str">
        <f t="shared" si="4"/>
        <v/>
      </c>
    </row>
    <row r="6999" hidden="1">
      <c r="F6999" s="1" t="str">
        <f t="shared" si="1"/>
        <v/>
      </c>
      <c r="G6999" s="1" t="str">
        <f t="shared" si="2"/>
        <v/>
      </c>
      <c r="J6999" s="1" t="str">
        <f t="shared" si="3"/>
        <v/>
      </c>
      <c r="K6999" s="1" t="str">
        <f t="shared" si="4"/>
        <v/>
      </c>
    </row>
    <row r="7000" hidden="1">
      <c r="F7000" s="1" t="str">
        <f t="shared" si="1"/>
        <v/>
      </c>
      <c r="G7000" s="1" t="str">
        <f t="shared" si="2"/>
        <v/>
      </c>
      <c r="J7000" s="1" t="str">
        <f t="shared" si="3"/>
        <v/>
      </c>
      <c r="K7000" s="1" t="str">
        <f t="shared" si="4"/>
        <v/>
      </c>
    </row>
    <row r="7001" hidden="1">
      <c r="F7001" s="1" t="str">
        <f t="shared" si="1"/>
        <v/>
      </c>
      <c r="G7001" s="1" t="str">
        <f t="shared" si="2"/>
        <v/>
      </c>
      <c r="J7001" s="1" t="str">
        <f t="shared" si="3"/>
        <v/>
      </c>
      <c r="K7001" s="1" t="str">
        <f t="shared" si="4"/>
        <v/>
      </c>
    </row>
    <row r="7002" hidden="1">
      <c r="F7002" s="1" t="str">
        <f t="shared" si="1"/>
        <v/>
      </c>
      <c r="G7002" s="1" t="str">
        <f t="shared" si="2"/>
        <v/>
      </c>
      <c r="J7002" s="1" t="str">
        <f t="shared" si="3"/>
        <v/>
      </c>
      <c r="K7002" s="1" t="str">
        <f t="shared" si="4"/>
        <v/>
      </c>
    </row>
    <row r="7003" hidden="1">
      <c r="F7003" s="1" t="str">
        <f t="shared" si="1"/>
        <v/>
      </c>
      <c r="G7003" s="1" t="str">
        <f t="shared" si="2"/>
        <v/>
      </c>
      <c r="J7003" s="1" t="str">
        <f t="shared" si="3"/>
        <v/>
      </c>
      <c r="K7003" s="1" t="str">
        <f t="shared" si="4"/>
        <v/>
      </c>
    </row>
    <row r="7004" hidden="1">
      <c r="F7004" s="1" t="str">
        <f t="shared" si="1"/>
        <v/>
      </c>
      <c r="G7004" s="1" t="str">
        <f t="shared" si="2"/>
        <v/>
      </c>
      <c r="J7004" s="1" t="str">
        <f t="shared" si="3"/>
        <v/>
      </c>
      <c r="K7004" s="1" t="str">
        <f t="shared" si="4"/>
        <v/>
      </c>
    </row>
    <row r="7005" hidden="1">
      <c r="F7005" s="1" t="str">
        <f t="shared" si="1"/>
        <v/>
      </c>
      <c r="G7005" s="1" t="str">
        <f t="shared" si="2"/>
        <v/>
      </c>
      <c r="J7005" s="1" t="str">
        <f t="shared" si="3"/>
        <v/>
      </c>
      <c r="K7005" s="1" t="str">
        <f t="shared" si="4"/>
        <v/>
      </c>
    </row>
    <row r="7006" hidden="1">
      <c r="F7006" s="1" t="str">
        <f t="shared" si="1"/>
        <v/>
      </c>
      <c r="G7006" s="1" t="str">
        <f t="shared" si="2"/>
        <v/>
      </c>
      <c r="J7006" s="1" t="str">
        <f t="shared" si="3"/>
        <v/>
      </c>
      <c r="K7006" s="1" t="str">
        <f t="shared" si="4"/>
        <v/>
      </c>
    </row>
    <row r="7007" hidden="1">
      <c r="F7007" s="1" t="str">
        <f t="shared" si="1"/>
        <v/>
      </c>
      <c r="G7007" s="1" t="str">
        <f t="shared" si="2"/>
        <v/>
      </c>
      <c r="J7007" s="1" t="str">
        <f t="shared" si="3"/>
        <v/>
      </c>
      <c r="K7007" s="1" t="str">
        <f t="shared" si="4"/>
        <v/>
      </c>
    </row>
    <row r="7008" hidden="1">
      <c r="F7008" s="1" t="str">
        <f t="shared" si="1"/>
        <v/>
      </c>
      <c r="G7008" s="1" t="str">
        <f t="shared" si="2"/>
        <v/>
      </c>
      <c r="J7008" s="1" t="str">
        <f t="shared" si="3"/>
        <v/>
      </c>
      <c r="K7008" s="1" t="str">
        <f t="shared" si="4"/>
        <v/>
      </c>
    </row>
    <row r="7009" hidden="1">
      <c r="F7009" s="1" t="str">
        <f t="shared" si="1"/>
        <v/>
      </c>
      <c r="G7009" s="1" t="str">
        <f t="shared" si="2"/>
        <v/>
      </c>
      <c r="J7009" s="1" t="str">
        <f t="shared" si="3"/>
        <v/>
      </c>
      <c r="K7009" s="1" t="str">
        <f t="shared" si="4"/>
        <v/>
      </c>
    </row>
    <row r="7010" hidden="1">
      <c r="F7010" s="1" t="str">
        <f t="shared" si="1"/>
        <v/>
      </c>
      <c r="G7010" s="1" t="str">
        <f t="shared" si="2"/>
        <v/>
      </c>
      <c r="J7010" s="1" t="str">
        <f t="shared" si="3"/>
        <v/>
      </c>
      <c r="K7010" s="1" t="str">
        <f t="shared" si="4"/>
        <v/>
      </c>
    </row>
    <row r="7011" hidden="1">
      <c r="F7011" s="1" t="str">
        <f t="shared" si="1"/>
        <v/>
      </c>
      <c r="G7011" s="1" t="str">
        <f t="shared" si="2"/>
        <v/>
      </c>
      <c r="J7011" s="1" t="str">
        <f t="shared" si="3"/>
        <v/>
      </c>
      <c r="K7011" s="1" t="str">
        <f t="shared" si="4"/>
        <v/>
      </c>
    </row>
    <row r="7012" hidden="1">
      <c r="F7012" s="1" t="str">
        <f t="shared" si="1"/>
        <v/>
      </c>
      <c r="G7012" s="1" t="str">
        <f t="shared" si="2"/>
        <v/>
      </c>
      <c r="J7012" s="1" t="str">
        <f t="shared" si="3"/>
        <v/>
      </c>
      <c r="K7012" s="1" t="str">
        <f t="shared" si="4"/>
        <v/>
      </c>
    </row>
    <row r="7013" hidden="1">
      <c r="F7013" s="1" t="str">
        <f t="shared" si="1"/>
        <v/>
      </c>
      <c r="G7013" s="1" t="str">
        <f t="shared" si="2"/>
        <v/>
      </c>
      <c r="J7013" s="1" t="str">
        <f t="shared" si="3"/>
        <v/>
      </c>
      <c r="K7013" s="1" t="str">
        <f t="shared" si="4"/>
        <v/>
      </c>
    </row>
    <row r="7014" hidden="1">
      <c r="F7014" s="1" t="str">
        <f t="shared" si="1"/>
        <v/>
      </c>
      <c r="G7014" s="1" t="str">
        <f t="shared" si="2"/>
        <v/>
      </c>
      <c r="J7014" s="1" t="str">
        <f t="shared" si="3"/>
        <v/>
      </c>
      <c r="K7014" s="1" t="str">
        <f t="shared" si="4"/>
        <v/>
      </c>
    </row>
    <row r="7015" hidden="1">
      <c r="F7015" s="1" t="str">
        <f t="shared" si="1"/>
        <v/>
      </c>
      <c r="G7015" s="1" t="str">
        <f t="shared" si="2"/>
        <v/>
      </c>
      <c r="J7015" s="1" t="str">
        <f t="shared" si="3"/>
        <v/>
      </c>
      <c r="K7015" s="1" t="str">
        <f t="shared" si="4"/>
        <v/>
      </c>
    </row>
    <row r="7016" hidden="1">
      <c r="F7016" s="1" t="str">
        <f t="shared" si="1"/>
        <v/>
      </c>
      <c r="G7016" s="1" t="str">
        <f t="shared" si="2"/>
        <v/>
      </c>
      <c r="J7016" s="1" t="str">
        <f t="shared" si="3"/>
        <v/>
      </c>
      <c r="K7016" s="1" t="str">
        <f t="shared" si="4"/>
        <v/>
      </c>
    </row>
    <row r="7017" hidden="1">
      <c r="F7017" s="1" t="str">
        <f t="shared" si="1"/>
        <v/>
      </c>
      <c r="G7017" s="1" t="str">
        <f t="shared" si="2"/>
        <v/>
      </c>
      <c r="J7017" s="1" t="str">
        <f t="shared" si="3"/>
        <v/>
      </c>
      <c r="K7017" s="1" t="str">
        <f t="shared" si="4"/>
        <v/>
      </c>
    </row>
    <row r="7018" hidden="1">
      <c r="F7018" s="1" t="str">
        <f t="shared" si="1"/>
        <v/>
      </c>
      <c r="G7018" s="1" t="str">
        <f t="shared" si="2"/>
        <v/>
      </c>
      <c r="J7018" s="1" t="str">
        <f t="shared" si="3"/>
        <v/>
      </c>
      <c r="K7018" s="1" t="str">
        <f t="shared" si="4"/>
        <v/>
      </c>
    </row>
    <row r="7019" hidden="1">
      <c r="F7019" s="1" t="str">
        <f t="shared" si="1"/>
        <v/>
      </c>
      <c r="G7019" s="1" t="str">
        <f t="shared" si="2"/>
        <v/>
      </c>
      <c r="J7019" s="1" t="str">
        <f t="shared" si="3"/>
        <v/>
      </c>
      <c r="K7019" s="1" t="str">
        <f t="shared" si="4"/>
        <v/>
      </c>
    </row>
    <row r="7020" hidden="1">
      <c r="F7020" s="1" t="str">
        <f t="shared" si="1"/>
        <v/>
      </c>
      <c r="G7020" s="1" t="str">
        <f t="shared" si="2"/>
        <v/>
      </c>
      <c r="J7020" s="1" t="str">
        <f t="shared" si="3"/>
        <v/>
      </c>
      <c r="K7020" s="1" t="str">
        <f t="shared" si="4"/>
        <v/>
      </c>
    </row>
    <row r="7021" hidden="1">
      <c r="F7021" s="1" t="str">
        <f t="shared" si="1"/>
        <v/>
      </c>
      <c r="G7021" s="1" t="str">
        <f t="shared" si="2"/>
        <v/>
      </c>
      <c r="J7021" s="1" t="str">
        <f t="shared" si="3"/>
        <v/>
      </c>
      <c r="K7021" s="1" t="str">
        <f t="shared" si="4"/>
        <v/>
      </c>
    </row>
    <row r="7022" hidden="1">
      <c r="F7022" s="1" t="str">
        <f t="shared" si="1"/>
        <v/>
      </c>
      <c r="G7022" s="1" t="str">
        <f t="shared" si="2"/>
        <v/>
      </c>
      <c r="J7022" s="1" t="str">
        <f t="shared" si="3"/>
        <v/>
      </c>
      <c r="K7022" s="1" t="str">
        <f t="shared" si="4"/>
        <v/>
      </c>
    </row>
    <row r="7023" hidden="1">
      <c r="F7023" s="1" t="str">
        <f t="shared" si="1"/>
        <v/>
      </c>
      <c r="G7023" s="1" t="str">
        <f t="shared" si="2"/>
        <v/>
      </c>
      <c r="J7023" s="1" t="str">
        <f t="shared" si="3"/>
        <v/>
      </c>
      <c r="K7023" s="1" t="str">
        <f t="shared" si="4"/>
        <v/>
      </c>
    </row>
    <row r="7024" hidden="1">
      <c r="F7024" s="1" t="str">
        <f t="shared" si="1"/>
        <v/>
      </c>
      <c r="G7024" s="1" t="str">
        <f t="shared" si="2"/>
        <v/>
      </c>
      <c r="J7024" s="1" t="str">
        <f t="shared" si="3"/>
        <v/>
      </c>
      <c r="K7024" s="1" t="str">
        <f t="shared" si="4"/>
        <v/>
      </c>
    </row>
    <row r="7025" hidden="1">
      <c r="F7025" s="1" t="str">
        <f t="shared" si="1"/>
        <v/>
      </c>
      <c r="G7025" s="1" t="str">
        <f t="shared" si="2"/>
        <v/>
      </c>
      <c r="J7025" s="1" t="str">
        <f t="shared" si="3"/>
        <v/>
      </c>
      <c r="K7025" s="1" t="str">
        <f t="shared" si="4"/>
        <v/>
      </c>
    </row>
    <row r="7026" hidden="1">
      <c r="F7026" s="1" t="str">
        <f t="shared" si="1"/>
        <v/>
      </c>
      <c r="G7026" s="1" t="str">
        <f t="shared" si="2"/>
        <v/>
      </c>
      <c r="J7026" s="1" t="str">
        <f t="shared" si="3"/>
        <v/>
      </c>
      <c r="K7026" s="1" t="str">
        <f t="shared" si="4"/>
        <v/>
      </c>
    </row>
    <row r="7027" hidden="1">
      <c r="F7027" s="1" t="str">
        <f t="shared" si="1"/>
        <v/>
      </c>
      <c r="G7027" s="1" t="str">
        <f t="shared" si="2"/>
        <v/>
      </c>
      <c r="J7027" s="1" t="str">
        <f t="shared" si="3"/>
        <v/>
      </c>
      <c r="K7027" s="1" t="str">
        <f t="shared" si="4"/>
        <v/>
      </c>
    </row>
    <row r="7028" hidden="1">
      <c r="F7028" s="1" t="str">
        <f t="shared" si="1"/>
        <v/>
      </c>
      <c r="G7028" s="1" t="str">
        <f t="shared" si="2"/>
        <v/>
      </c>
      <c r="J7028" s="1" t="str">
        <f t="shared" si="3"/>
        <v/>
      </c>
      <c r="K7028" s="1" t="str">
        <f t="shared" si="4"/>
        <v/>
      </c>
    </row>
    <row r="7029" hidden="1">
      <c r="F7029" s="1" t="str">
        <f t="shared" si="1"/>
        <v/>
      </c>
      <c r="G7029" s="1" t="str">
        <f t="shared" si="2"/>
        <v/>
      </c>
      <c r="J7029" s="1" t="str">
        <f t="shared" si="3"/>
        <v/>
      </c>
      <c r="K7029" s="1" t="str">
        <f t="shared" si="4"/>
        <v/>
      </c>
    </row>
    <row r="7030" hidden="1">
      <c r="F7030" s="1" t="str">
        <f t="shared" si="1"/>
        <v/>
      </c>
      <c r="G7030" s="1" t="str">
        <f t="shared" si="2"/>
        <v/>
      </c>
      <c r="J7030" s="1" t="str">
        <f t="shared" si="3"/>
        <v/>
      </c>
      <c r="K7030" s="1" t="str">
        <f t="shared" si="4"/>
        <v/>
      </c>
    </row>
    <row r="7031" hidden="1">
      <c r="F7031" s="1" t="str">
        <f t="shared" si="1"/>
        <v/>
      </c>
      <c r="G7031" s="1" t="str">
        <f t="shared" si="2"/>
        <v/>
      </c>
      <c r="J7031" s="1" t="str">
        <f t="shared" si="3"/>
        <v/>
      </c>
      <c r="K7031" s="1" t="str">
        <f t="shared" si="4"/>
        <v/>
      </c>
    </row>
    <row r="7032" hidden="1">
      <c r="F7032" s="1" t="str">
        <f t="shared" si="1"/>
        <v/>
      </c>
      <c r="G7032" s="1" t="str">
        <f t="shared" si="2"/>
        <v/>
      </c>
      <c r="J7032" s="1" t="str">
        <f t="shared" si="3"/>
        <v/>
      </c>
      <c r="K7032" s="1" t="str">
        <f t="shared" si="4"/>
        <v/>
      </c>
    </row>
    <row r="7033" hidden="1">
      <c r="F7033" s="1" t="str">
        <f t="shared" si="1"/>
        <v/>
      </c>
      <c r="G7033" s="1" t="str">
        <f t="shared" si="2"/>
        <v/>
      </c>
      <c r="J7033" s="1" t="str">
        <f t="shared" si="3"/>
        <v/>
      </c>
      <c r="K7033" s="1" t="str">
        <f t="shared" si="4"/>
        <v/>
      </c>
    </row>
    <row r="7034" hidden="1">
      <c r="F7034" s="1" t="str">
        <f t="shared" si="1"/>
        <v/>
      </c>
      <c r="G7034" s="1" t="str">
        <f t="shared" si="2"/>
        <v/>
      </c>
      <c r="J7034" s="1" t="str">
        <f t="shared" si="3"/>
        <v/>
      </c>
      <c r="K7034" s="1" t="str">
        <f t="shared" si="4"/>
        <v/>
      </c>
    </row>
    <row r="7035" hidden="1">
      <c r="F7035" s="1" t="str">
        <f t="shared" si="1"/>
        <v/>
      </c>
      <c r="G7035" s="1" t="str">
        <f t="shared" si="2"/>
        <v/>
      </c>
      <c r="J7035" s="1" t="str">
        <f t="shared" si="3"/>
        <v/>
      </c>
      <c r="K7035" s="1" t="str">
        <f t="shared" si="4"/>
        <v/>
      </c>
    </row>
    <row r="7036" hidden="1">
      <c r="F7036" s="1" t="str">
        <f t="shared" si="1"/>
        <v/>
      </c>
      <c r="G7036" s="1" t="str">
        <f t="shared" si="2"/>
        <v/>
      </c>
      <c r="J7036" s="1" t="str">
        <f t="shared" si="3"/>
        <v/>
      </c>
      <c r="K7036" s="1" t="str">
        <f t="shared" si="4"/>
        <v/>
      </c>
    </row>
    <row r="7037" hidden="1">
      <c r="F7037" s="1" t="str">
        <f t="shared" si="1"/>
        <v/>
      </c>
      <c r="G7037" s="1" t="str">
        <f t="shared" si="2"/>
        <v/>
      </c>
      <c r="J7037" s="1" t="str">
        <f t="shared" si="3"/>
        <v/>
      </c>
      <c r="K7037" s="1" t="str">
        <f t="shared" si="4"/>
        <v/>
      </c>
    </row>
    <row r="7038" hidden="1">
      <c r="F7038" s="1" t="str">
        <f t="shared" si="1"/>
        <v/>
      </c>
      <c r="G7038" s="1" t="str">
        <f t="shared" si="2"/>
        <v/>
      </c>
      <c r="J7038" s="1" t="str">
        <f t="shared" si="3"/>
        <v/>
      </c>
      <c r="K7038" s="1" t="str">
        <f t="shared" si="4"/>
        <v/>
      </c>
    </row>
    <row r="7039" hidden="1">
      <c r="F7039" s="1" t="str">
        <f t="shared" si="1"/>
        <v/>
      </c>
      <c r="G7039" s="1" t="str">
        <f t="shared" si="2"/>
        <v/>
      </c>
      <c r="J7039" s="1" t="str">
        <f t="shared" si="3"/>
        <v/>
      </c>
      <c r="K7039" s="1" t="str">
        <f t="shared" si="4"/>
        <v/>
      </c>
    </row>
    <row r="7040" hidden="1">
      <c r="F7040" s="1" t="str">
        <f t="shared" si="1"/>
        <v/>
      </c>
      <c r="G7040" s="1" t="str">
        <f t="shared" si="2"/>
        <v/>
      </c>
      <c r="J7040" s="1" t="str">
        <f t="shared" si="3"/>
        <v/>
      </c>
      <c r="K7040" s="1" t="str">
        <f t="shared" si="4"/>
        <v/>
      </c>
    </row>
    <row r="7041" hidden="1">
      <c r="F7041" s="1" t="str">
        <f t="shared" si="1"/>
        <v/>
      </c>
      <c r="G7041" s="1" t="str">
        <f t="shared" si="2"/>
        <v/>
      </c>
      <c r="J7041" s="1" t="str">
        <f t="shared" si="3"/>
        <v/>
      </c>
      <c r="K7041" s="1" t="str">
        <f t="shared" si="4"/>
        <v/>
      </c>
    </row>
    <row r="7042" hidden="1">
      <c r="F7042" s="1" t="str">
        <f t="shared" si="1"/>
        <v/>
      </c>
      <c r="G7042" s="1" t="str">
        <f t="shared" si="2"/>
        <v/>
      </c>
      <c r="J7042" s="1" t="str">
        <f t="shared" si="3"/>
        <v/>
      </c>
      <c r="K7042" s="1" t="str">
        <f t="shared" si="4"/>
        <v/>
      </c>
    </row>
    <row r="7043" hidden="1">
      <c r="F7043" s="1" t="str">
        <f t="shared" si="1"/>
        <v/>
      </c>
      <c r="G7043" s="1" t="str">
        <f t="shared" si="2"/>
        <v/>
      </c>
      <c r="J7043" s="1" t="str">
        <f t="shared" si="3"/>
        <v/>
      </c>
      <c r="K7043" s="1" t="str">
        <f t="shared" si="4"/>
        <v/>
      </c>
    </row>
    <row r="7044" hidden="1">
      <c r="F7044" s="1" t="str">
        <f t="shared" si="1"/>
        <v/>
      </c>
      <c r="G7044" s="1" t="str">
        <f t="shared" si="2"/>
        <v/>
      </c>
      <c r="J7044" s="1" t="str">
        <f t="shared" si="3"/>
        <v/>
      </c>
      <c r="K7044" s="1" t="str">
        <f t="shared" si="4"/>
        <v/>
      </c>
    </row>
    <row r="7045" hidden="1">
      <c r="F7045" s="1" t="str">
        <f t="shared" si="1"/>
        <v/>
      </c>
      <c r="G7045" s="1" t="str">
        <f t="shared" si="2"/>
        <v/>
      </c>
      <c r="J7045" s="1" t="str">
        <f t="shared" si="3"/>
        <v/>
      </c>
      <c r="K7045" s="1" t="str">
        <f t="shared" si="4"/>
        <v/>
      </c>
    </row>
    <row r="7046" hidden="1">
      <c r="F7046" s="1" t="str">
        <f t="shared" si="1"/>
        <v/>
      </c>
      <c r="G7046" s="1" t="str">
        <f t="shared" si="2"/>
        <v/>
      </c>
      <c r="J7046" s="1" t="str">
        <f t="shared" si="3"/>
        <v/>
      </c>
      <c r="K7046" s="1" t="str">
        <f t="shared" si="4"/>
        <v/>
      </c>
    </row>
    <row r="7047" hidden="1">
      <c r="F7047" s="1" t="str">
        <f t="shared" si="1"/>
        <v/>
      </c>
      <c r="G7047" s="1" t="str">
        <f t="shared" si="2"/>
        <v/>
      </c>
      <c r="J7047" s="1" t="str">
        <f t="shared" si="3"/>
        <v/>
      </c>
      <c r="K7047" s="1" t="str">
        <f t="shared" si="4"/>
        <v/>
      </c>
    </row>
    <row r="7048" hidden="1">
      <c r="F7048" s="1" t="str">
        <f t="shared" si="1"/>
        <v/>
      </c>
      <c r="G7048" s="1" t="str">
        <f t="shared" si="2"/>
        <v/>
      </c>
      <c r="J7048" s="1" t="str">
        <f t="shared" si="3"/>
        <v/>
      </c>
      <c r="K7048" s="1" t="str">
        <f t="shared" si="4"/>
        <v/>
      </c>
    </row>
    <row r="7049" hidden="1">
      <c r="F7049" s="1" t="str">
        <f t="shared" si="1"/>
        <v/>
      </c>
      <c r="G7049" s="1" t="str">
        <f t="shared" si="2"/>
        <v/>
      </c>
      <c r="J7049" s="1" t="str">
        <f t="shared" si="3"/>
        <v/>
      </c>
      <c r="K7049" s="1" t="str">
        <f t="shared" si="4"/>
        <v/>
      </c>
    </row>
    <row r="7050" hidden="1">
      <c r="F7050" s="1" t="str">
        <f t="shared" si="1"/>
        <v/>
      </c>
      <c r="G7050" s="1" t="str">
        <f t="shared" si="2"/>
        <v/>
      </c>
      <c r="J7050" s="1" t="str">
        <f t="shared" si="3"/>
        <v/>
      </c>
      <c r="K7050" s="1" t="str">
        <f t="shared" si="4"/>
        <v/>
      </c>
    </row>
    <row r="7051" hidden="1">
      <c r="F7051" s="1" t="str">
        <f t="shared" si="1"/>
        <v/>
      </c>
      <c r="G7051" s="1" t="str">
        <f t="shared" si="2"/>
        <v/>
      </c>
      <c r="J7051" s="1" t="str">
        <f t="shared" si="3"/>
        <v/>
      </c>
      <c r="K7051" s="1" t="str">
        <f t="shared" si="4"/>
        <v/>
      </c>
    </row>
    <row r="7052" hidden="1">
      <c r="F7052" s="1" t="str">
        <f t="shared" si="1"/>
        <v/>
      </c>
      <c r="G7052" s="1" t="str">
        <f t="shared" si="2"/>
        <v/>
      </c>
      <c r="J7052" s="1" t="str">
        <f t="shared" si="3"/>
        <v/>
      </c>
      <c r="K7052" s="1" t="str">
        <f t="shared" si="4"/>
        <v/>
      </c>
    </row>
    <row r="7053" hidden="1">
      <c r="F7053" s="1" t="str">
        <f t="shared" si="1"/>
        <v/>
      </c>
      <c r="G7053" s="1" t="str">
        <f t="shared" si="2"/>
        <v/>
      </c>
      <c r="J7053" s="1" t="str">
        <f t="shared" si="3"/>
        <v/>
      </c>
      <c r="K7053" s="1" t="str">
        <f t="shared" si="4"/>
        <v/>
      </c>
    </row>
    <row r="7054" hidden="1">
      <c r="F7054" s="1" t="str">
        <f t="shared" si="1"/>
        <v/>
      </c>
      <c r="G7054" s="1" t="str">
        <f t="shared" si="2"/>
        <v/>
      </c>
      <c r="J7054" s="1" t="str">
        <f t="shared" si="3"/>
        <v/>
      </c>
      <c r="K7054" s="1" t="str">
        <f t="shared" si="4"/>
        <v/>
      </c>
    </row>
    <row r="7055" hidden="1">
      <c r="F7055" s="1" t="str">
        <f t="shared" si="1"/>
        <v/>
      </c>
      <c r="G7055" s="1" t="str">
        <f t="shared" si="2"/>
        <v/>
      </c>
      <c r="J7055" s="1" t="str">
        <f t="shared" si="3"/>
        <v/>
      </c>
      <c r="K7055" s="1" t="str">
        <f t="shared" si="4"/>
        <v/>
      </c>
    </row>
    <row r="7056" hidden="1">
      <c r="F7056" s="1" t="str">
        <f t="shared" si="1"/>
        <v/>
      </c>
      <c r="G7056" s="1" t="str">
        <f t="shared" si="2"/>
        <v/>
      </c>
      <c r="J7056" s="1" t="str">
        <f t="shared" si="3"/>
        <v/>
      </c>
      <c r="K7056" s="1" t="str">
        <f t="shared" si="4"/>
        <v/>
      </c>
    </row>
    <row r="7057" hidden="1">
      <c r="F7057" s="1" t="str">
        <f t="shared" si="1"/>
        <v/>
      </c>
      <c r="G7057" s="1" t="str">
        <f t="shared" si="2"/>
        <v/>
      </c>
      <c r="J7057" s="1" t="str">
        <f t="shared" si="3"/>
        <v/>
      </c>
      <c r="K7057" s="1" t="str">
        <f t="shared" si="4"/>
        <v/>
      </c>
    </row>
    <row r="7058" hidden="1">
      <c r="F7058" s="1" t="str">
        <f t="shared" si="1"/>
        <v/>
      </c>
      <c r="G7058" s="1" t="str">
        <f t="shared" si="2"/>
        <v/>
      </c>
      <c r="J7058" s="1" t="str">
        <f t="shared" si="3"/>
        <v/>
      </c>
      <c r="K7058" s="1" t="str">
        <f t="shared" si="4"/>
        <v/>
      </c>
    </row>
    <row r="7059" hidden="1">
      <c r="F7059" s="1" t="str">
        <f t="shared" si="1"/>
        <v/>
      </c>
      <c r="G7059" s="1" t="str">
        <f t="shared" si="2"/>
        <v/>
      </c>
      <c r="J7059" s="1" t="str">
        <f t="shared" si="3"/>
        <v/>
      </c>
      <c r="K7059" s="1" t="str">
        <f t="shared" si="4"/>
        <v/>
      </c>
    </row>
    <row r="7060" hidden="1">
      <c r="F7060" s="1" t="str">
        <f t="shared" si="1"/>
        <v/>
      </c>
      <c r="G7060" s="1" t="str">
        <f t="shared" si="2"/>
        <v/>
      </c>
      <c r="J7060" s="1" t="str">
        <f t="shared" si="3"/>
        <v/>
      </c>
      <c r="K7060" s="1" t="str">
        <f t="shared" si="4"/>
        <v/>
      </c>
    </row>
    <row r="7061" hidden="1">
      <c r="F7061" s="1" t="str">
        <f t="shared" si="1"/>
        <v/>
      </c>
      <c r="G7061" s="1" t="str">
        <f t="shared" si="2"/>
        <v/>
      </c>
      <c r="J7061" s="1" t="str">
        <f t="shared" si="3"/>
        <v/>
      </c>
      <c r="K7061" s="1" t="str">
        <f t="shared" si="4"/>
        <v/>
      </c>
    </row>
    <row r="7062" hidden="1">
      <c r="F7062" s="1" t="str">
        <f t="shared" si="1"/>
        <v/>
      </c>
      <c r="G7062" s="1" t="str">
        <f t="shared" si="2"/>
        <v/>
      </c>
      <c r="J7062" s="1" t="str">
        <f t="shared" si="3"/>
        <v/>
      </c>
      <c r="K7062" s="1" t="str">
        <f t="shared" si="4"/>
        <v/>
      </c>
    </row>
    <row r="7063" hidden="1">
      <c r="F7063" s="1" t="str">
        <f t="shared" si="1"/>
        <v/>
      </c>
      <c r="G7063" s="1" t="str">
        <f t="shared" si="2"/>
        <v/>
      </c>
      <c r="J7063" s="1" t="str">
        <f t="shared" si="3"/>
        <v/>
      </c>
      <c r="K7063" s="1" t="str">
        <f t="shared" si="4"/>
        <v/>
      </c>
    </row>
    <row r="7064" hidden="1">
      <c r="F7064" s="1" t="str">
        <f t="shared" si="1"/>
        <v/>
      </c>
      <c r="G7064" s="1" t="str">
        <f t="shared" si="2"/>
        <v/>
      </c>
      <c r="J7064" s="1" t="str">
        <f t="shared" si="3"/>
        <v/>
      </c>
      <c r="K7064" s="1" t="str">
        <f t="shared" si="4"/>
        <v/>
      </c>
    </row>
    <row r="7065" hidden="1">
      <c r="F7065" s="1" t="str">
        <f t="shared" si="1"/>
        <v/>
      </c>
      <c r="G7065" s="1" t="str">
        <f t="shared" si="2"/>
        <v/>
      </c>
      <c r="J7065" s="1" t="str">
        <f t="shared" si="3"/>
        <v/>
      </c>
      <c r="K7065" s="1" t="str">
        <f t="shared" si="4"/>
        <v/>
      </c>
    </row>
    <row r="7066" hidden="1">
      <c r="F7066" s="1" t="str">
        <f t="shared" si="1"/>
        <v/>
      </c>
      <c r="G7066" s="1" t="str">
        <f t="shared" si="2"/>
        <v/>
      </c>
      <c r="J7066" s="1" t="str">
        <f t="shared" si="3"/>
        <v/>
      </c>
      <c r="K7066" s="1" t="str">
        <f t="shared" si="4"/>
        <v/>
      </c>
    </row>
    <row r="7067" hidden="1">
      <c r="F7067" s="1" t="str">
        <f t="shared" si="1"/>
        <v/>
      </c>
      <c r="G7067" s="1" t="str">
        <f t="shared" si="2"/>
        <v/>
      </c>
      <c r="J7067" s="1" t="str">
        <f t="shared" si="3"/>
        <v/>
      </c>
      <c r="K7067" s="1" t="str">
        <f t="shared" si="4"/>
        <v/>
      </c>
    </row>
    <row r="7068" hidden="1">
      <c r="F7068" s="1" t="str">
        <f t="shared" si="1"/>
        <v/>
      </c>
      <c r="G7068" s="1" t="str">
        <f t="shared" si="2"/>
        <v/>
      </c>
      <c r="J7068" s="1" t="str">
        <f t="shared" si="3"/>
        <v/>
      </c>
      <c r="K7068" s="1" t="str">
        <f t="shared" si="4"/>
        <v/>
      </c>
    </row>
    <row r="7069" hidden="1">
      <c r="F7069" s="1" t="str">
        <f t="shared" si="1"/>
        <v/>
      </c>
      <c r="G7069" s="1" t="str">
        <f t="shared" si="2"/>
        <v/>
      </c>
      <c r="J7069" s="1" t="str">
        <f t="shared" si="3"/>
        <v/>
      </c>
      <c r="K7069" s="1" t="str">
        <f t="shared" si="4"/>
        <v/>
      </c>
    </row>
    <row r="7070" hidden="1">
      <c r="F7070" s="1" t="str">
        <f t="shared" si="1"/>
        <v/>
      </c>
      <c r="G7070" s="1" t="str">
        <f t="shared" si="2"/>
        <v/>
      </c>
      <c r="J7070" s="1" t="str">
        <f t="shared" si="3"/>
        <v/>
      </c>
      <c r="K7070" s="1" t="str">
        <f t="shared" si="4"/>
        <v/>
      </c>
    </row>
    <row r="7071" hidden="1">
      <c r="F7071" s="1" t="str">
        <f t="shared" si="1"/>
        <v/>
      </c>
      <c r="G7071" s="1" t="str">
        <f t="shared" si="2"/>
        <v/>
      </c>
      <c r="J7071" s="1" t="str">
        <f t="shared" si="3"/>
        <v/>
      </c>
      <c r="K7071" s="1" t="str">
        <f t="shared" si="4"/>
        <v/>
      </c>
    </row>
    <row r="7072" hidden="1">
      <c r="F7072" s="1" t="str">
        <f t="shared" si="1"/>
        <v/>
      </c>
      <c r="G7072" s="1" t="str">
        <f t="shared" si="2"/>
        <v/>
      </c>
      <c r="J7072" s="1" t="str">
        <f t="shared" si="3"/>
        <v/>
      </c>
      <c r="K7072" s="1" t="str">
        <f t="shared" si="4"/>
        <v/>
      </c>
    </row>
    <row r="7073" hidden="1">
      <c r="F7073" s="1" t="str">
        <f t="shared" si="1"/>
        <v/>
      </c>
      <c r="G7073" s="1" t="str">
        <f t="shared" si="2"/>
        <v/>
      </c>
      <c r="J7073" s="1" t="str">
        <f t="shared" si="3"/>
        <v/>
      </c>
      <c r="K7073" s="1" t="str">
        <f t="shared" si="4"/>
        <v/>
      </c>
    </row>
    <row r="7074" hidden="1">
      <c r="F7074" s="1" t="str">
        <f t="shared" si="1"/>
        <v/>
      </c>
      <c r="G7074" s="1" t="str">
        <f t="shared" si="2"/>
        <v/>
      </c>
      <c r="J7074" s="1" t="str">
        <f t="shared" si="3"/>
        <v/>
      </c>
      <c r="K7074" s="1" t="str">
        <f t="shared" si="4"/>
        <v/>
      </c>
    </row>
    <row r="7075" hidden="1">
      <c r="F7075" s="1" t="str">
        <f t="shared" si="1"/>
        <v/>
      </c>
      <c r="G7075" s="1" t="str">
        <f t="shared" si="2"/>
        <v/>
      </c>
      <c r="J7075" s="1" t="str">
        <f t="shared" si="3"/>
        <v/>
      </c>
      <c r="K7075" s="1" t="str">
        <f t="shared" si="4"/>
        <v/>
      </c>
    </row>
    <row r="7076" hidden="1">
      <c r="F7076" s="1" t="str">
        <f t="shared" si="1"/>
        <v/>
      </c>
      <c r="G7076" s="1" t="str">
        <f t="shared" si="2"/>
        <v/>
      </c>
      <c r="J7076" s="1" t="str">
        <f t="shared" si="3"/>
        <v/>
      </c>
      <c r="K7076" s="1" t="str">
        <f t="shared" si="4"/>
        <v/>
      </c>
    </row>
    <row r="7077" hidden="1">
      <c r="F7077" s="1" t="str">
        <f t="shared" si="1"/>
        <v/>
      </c>
      <c r="G7077" s="1" t="str">
        <f t="shared" si="2"/>
        <v/>
      </c>
      <c r="J7077" s="1" t="str">
        <f t="shared" si="3"/>
        <v/>
      </c>
      <c r="K7077" s="1" t="str">
        <f t="shared" si="4"/>
        <v/>
      </c>
    </row>
    <row r="7078" hidden="1">
      <c r="F7078" s="1" t="str">
        <f t="shared" si="1"/>
        <v/>
      </c>
      <c r="G7078" s="1" t="str">
        <f t="shared" si="2"/>
        <v/>
      </c>
      <c r="J7078" s="1" t="str">
        <f t="shared" si="3"/>
        <v/>
      </c>
      <c r="K7078" s="1" t="str">
        <f t="shared" si="4"/>
        <v/>
      </c>
    </row>
    <row r="7079" hidden="1">
      <c r="F7079" s="1" t="str">
        <f t="shared" si="1"/>
        <v/>
      </c>
      <c r="G7079" s="1" t="str">
        <f t="shared" si="2"/>
        <v/>
      </c>
      <c r="J7079" s="1" t="str">
        <f t="shared" si="3"/>
        <v/>
      </c>
      <c r="K7079" s="1" t="str">
        <f t="shared" si="4"/>
        <v/>
      </c>
    </row>
    <row r="7080" hidden="1">
      <c r="F7080" s="1" t="str">
        <f t="shared" si="1"/>
        <v/>
      </c>
      <c r="G7080" s="1" t="str">
        <f t="shared" si="2"/>
        <v/>
      </c>
      <c r="J7080" s="1" t="str">
        <f t="shared" si="3"/>
        <v/>
      </c>
      <c r="K7080" s="1" t="str">
        <f t="shared" si="4"/>
        <v/>
      </c>
    </row>
    <row r="7081" hidden="1">
      <c r="F7081" s="1" t="str">
        <f t="shared" si="1"/>
        <v/>
      </c>
      <c r="G7081" s="1" t="str">
        <f t="shared" si="2"/>
        <v/>
      </c>
      <c r="J7081" s="1" t="str">
        <f t="shared" si="3"/>
        <v/>
      </c>
      <c r="K7081" s="1" t="str">
        <f t="shared" si="4"/>
        <v/>
      </c>
    </row>
    <row r="7082" hidden="1">
      <c r="F7082" s="1" t="str">
        <f t="shared" si="1"/>
        <v/>
      </c>
      <c r="G7082" s="1" t="str">
        <f t="shared" si="2"/>
        <v/>
      </c>
      <c r="J7082" s="1" t="str">
        <f t="shared" si="3"/>
        <v/>
      </c>
      <c r="K7082" s="1" t="str">
        <f t="shared" si="4"/>
        <v/>
      </c>
    </row>
    <row r="7083" hidden="1">
      <c r="F7083" s="1" t="str">
        <f t="shared" si="1"/>
        <v/>
      </c>
      <c r="G7083" s="1" t="str">
        <f t="shared" si="2"/>
        <v/>
      </c>
      <c r="J7083" s="1" t="str">
        <f t="shared" si="3"/>
        <v/>
      </c>
      <c r="K7083" s="1" t="str">
        <f t="shared" si="4"/>
        <v/>
      </c>
    </row>
    <row r="7084" hidden="1">
      <c r="F7084" s="1" t="str">
        <f t="shared" si="1"/>
        <v/>
      </c>
      <c r="G7084" s="1" t="str">
        <f t="shared" si="2"/>
        <v/>
      </c>
      <c r="J7084" s="1" t="str">
        <f t="shared" si="3"/>
        <v/>
      </c>
      <c r="K7084" s="1" t="str">
        <f t="shared" si="4"/>
        <v/>
      </c>
    </row>
    <row r="7085" hidden="1">
      <c r="F7085" s="1" t="str">
        <f t="shared" si="1"/>
        <v/>
      </c>
      <c r="G7085" s="1" t="str">
        <f t="shared" si="2"/>
        <v/>
      </c>
      <c r="J7085" s="1" t="str">
        <f t="shared" si="3"/>
        <v/>
      </c>
      <c r="K7085" s="1" t="str">
        <f t="shared" si="4"/>
        <v/>
      </c>
    </row>
    <row r="7086" hidden="1">
      <c r="F7086" s="1" t="str">
        <f t="shared" si="1"/>
        <v/>
      </c>
      <c r="G7086" s="1" t="str">
        <f t="shared" si="2"/>
        <v/>
      </c>
      <c r="J7086" s="1" t="str">
        <f t="shared" si="3"/>
        <v/>
      </c>
      <c r="K7086" s="1" t="str">
        <f t="shared" si="4"/>
        <v/>
      </c>
    </row>
    <row r="7087" hidden="1">
      <c r="F7087" s="1" t="str">
        <f t="shared" si="1"/>
        <v/>
      </c>
      <c r="G7087" s="1" t="str">
        <f t="shared" si="2"/>
        <v/>
      </c>
      <c r="J7087" s="1" t="str">
        <f t="shared" si="3"/>
        <v/>
      </c>
      <c r="K7087" s="1" t="str">
        <f t="shared" si="4"/>
        <v/>
      </c>
    </row>
    <row r="7088" hidden="1">
      <c r="F7088" s="1" t="str">
        <f t="shared" si="1"/>
        <v/>
      </c>
      <c r="G7088" s="1" t="str">
        <f t="shared" si="2"/>
        <v/>
      </c>
      <c r="J7088" s="1" t="str">
        <f t="shared" si="3"/>
        <v/>
      </c>
      <c r="K7088" s="1" t="str">
        <f t="shared" si="4"/>
        <v/>
      </c>
    </row>
    <row r="7089" hidden="1">
      <c r="F7089" s="1" t="str">
        <f t="shared" si="1"/>
        <v/>
      </c>
      <c r="G7089" s="1" t="str">
        <f t="shared" si="2"/>
        <v/>
      </c>
      <c r="J7089" s="1" t="str">
        <f t="shared" si="3"/>
        <v/>
      </c>
      <c r="K7089" s="1" t="str">
        <f t="shared" si="4"/>
        <v/>
      </c>
    </row>
    <row r="7090" hidden="1">
      <c r="F7090" s="1" t="str">
        <f t="shared" si="1"/>
        <v/>
      </c>
      <c r="G7090" s="1" t="str">
        <f t="shared" si="2"/>
        <v/>
      </c>
      <c r="J7090" s="1" t="str">
        <f t="shared" si="3"/>
        <v/>
      </c>
      <c r="K7090" s="1" t="str">
        <f t="shared" si="4"/>
        <v/>
      </c>
    </row>
    <row r="7091" hidden="1">
      <c r="F7091" s="1" t="str">
        <f t="shared" si="1"/>
        <v/>
      </c>
      <c r="G7091" s="1" t="str">
        <f t="shared" si="2"/>
        <v/>
      </c>
      <c r="J7091" s="1" t="str">
        <f t="shared" si="3"/>
        <v/>
      </c>
      <c r="K7091" s="1" t="str">
        <f t="shared" si="4"/>
        <v/>
      </c>
    </row>
    <row r="7092" hidden="1">
      <c r="F7092" s="1" t="str">
        <f t="shared" si="1"/>
        <v/>
      </c>
      <c r="G7092" s="1" t="str">
        <f t="shared" si="2"/>
        <v/>
      </c>
      <c r="J7092" s="1" t="str">
        <f t="shared" si="3"/>
        <v/>
      </c>
      <c r="K7092" s="1" t="str">
        <f t="shared" si="4"/>
        <v/>
      </c>
    </row>
    <row r="7093" hidden="1">
      <c r="F7093" s="1" t="str">
        <f t="shared" si="1"/>
        <v/>
      </c>
      <c r="G7093" s="1" t="str">
        <f t="shared" si="2"/>
        <v/>
      </c>
      <c r="J7093" s="1" t="str">
        <f t="shared" si="3"/>
        <v/>
      </c>
      <c r="K7093" s="1" t="str">
        <f t="shared" si="4"/>
        <v/>
      </c>
    </row>
    <row r="7094" hidden="1">
      <c r="F7094" s="1" t="str">
        <f t="shared" si="1"/>
        <v/>
      </c>
      <c r="G7094" s="1" t="str">
        <f t="shared" si="2"/>
        <v/>
      </c>
      <c r="J7094" s="1" t="str">
        <f t="shared" si="3"/>
        <v/>
      </c>
      <c r="K7094" s="1" t="str">
        <f t="shared" si="4"/>
        <v/>
      </c>
    </row>
    <row r="7095" hidden="1">
      <c r="F7095" s="1" t="str">
        <f t="shared" si="1"/>
        <v/>
      </c>
      <c r="G7095" s="1" t="str">
        <f t="shared" si="2"/>
        <v/>
      </c>
      <c r="J7095" s="1" t="str">
        <f t="shared" si="3"/>
        <v/>
      </c>
      <c r="K7095" s="1" t="str">
        <f t="shared" si="4"/>
        <v/>
      </c>
    </row>
    <row r="7096" hidden="1">
      <c r="F7096" s="1" t="str">
        <f t="shared" si="1"/>
        <v/>
      </c>
      <c r="G7096" s="1" t="str">
        <f t="shared" si="2"/>
        <v/>
      </c>
      <c r="J7096" s="1" t="str">
        <f t="shared" si="3"/>
        <v/>
      </c>
      <c r="K7096" s="1" t="str">
        <f t="shared" si="4"/>
        <v/>
      </c>
    </row>
    <row r="7097" hidden="1">
      <c r="F7097" s="1" t="str">
        <f t="shared" si="1"/>
        <v/>
      </c>
      <c r="G7097" s="1" t="str">
        <f t="shared" si="2"/>
        <v/>
      </c>
      <c r="J7097" s="1" t="str">
        <f t="shared" si="3"/>
        <v/>
      </c>
      <c r="K7097" s="1" t="str">
        <f t="shared" si="4"/>
        <v/>
      </c>
    </row>
    <row r="7098" hidden="1">
      <c r="F7098" s="1" t="str">
        <f t="shared" si="1"/>
        <v/>
      </c>
      <c r="G7098" s="1" t="str">
        <f t="shared" si="2"/>
        <v/>
      </c>
      <c r="J7098" s="1" t="str">
        <f t="shared" si="3"/>
        <v/>
      </c>
      <c r="K7098" s="1" t="str">
        <f t="shared" si="4"/>
        <v/>
      </c>
    </row>
    <row r="7099" hidden="1">
      <c r="F7099" s="1" t="str">
        <f t="shared" si="1"/>
        <v/>
      </c>
      <c r="G7099" s="1" t="str">
        <f t="shared" si="2"/>
        <v/>
      </c>
      <c r="J7099" s="1" t="str">
        <f t="shared" si="3"/>
        <v/>
      </c>
      <c r="K7099" s="1" t="str">
        <f t="shared" si="4"/>
        <v/>
      </c>
    </row>
    <row r="7100" hidden="1">
      <c r="F7100" s="1" t="str">
        <f t="shared" si="1"/>
        <v/>
      </c>
      <c r="G7100" s="1" t="str">
        <f t="shared" si="2"/>
        <v/>
      </c>
      <c r="J7100" s="1" t="str">
        <f t="shared" si="3"/>
        <v/>
      </c>
      <c r="K7100" s="1" t="str">
        <f t="shared" si="4"/>
        <v/>
      </c>
    </row>
    <row r="7101" hidden="1">
      <c r="F7101" s="1" t="str">
        <f t="shared" si="1"/>
        <v/>
      </c>
      <c r="G7101" s="1" t="str">
        <f t="shared" si="2"/>
        <v/>
      </c>
      <c r="J7101" s="1" t="str">
        <f t="shared" si="3"/>
        <v/>
      </c>
      <c r="K7101" s="1" t="str">
        <f t="shared" si="4"/>
        <v/>
      </c>
    </row>
    <row r="7102" hidden="1">
      <c r="F7102" s="1" t="str">
        <f t="shared" si="1"/>
        <v/>
      </c>
      <c r="G7102" s="1" t="str">
        <f t="shared" si="2"/>
        <v/>
      </c>
      <c r="J7102" s="1" t="str">
        <f t="shared" si="3"/>
        <v/>
      </c>
      <c r="K7102" s="1" t="str">
        <f t="shared" si="4"/>
        <v/>
      </c>
    </row>
    <row r="7103" hidden="1">
      <c r="F7103" s="1" t="str">
        <f t="shared" si="1"/>
        <v/>
      </c>
      <c r="G7103" s="1" t="str">
        <f t="shared" si="2"/>
        <v/>
      </c>
      <c r="J7103" s="1" t="str">
        <f t="shared" si="3"/>
        <v/>
      </c>
      <c r="K7103" s="1" t="str">
        <f t="shared" si="4"/>
        <v/>
      </c>
    </row>
    <row r="7104" hidden="1">
      <c r="F7104" s="1" t="str">
        <f t="shared" si="1"/>
        <v/>
      </c>
      <c r="G7104" s="1" t="str">
        <f t="shared" si="2"/>
        <v/>
      </c>
      <c r="J7104" s="1" t="str">
        <f t="shared" si="3"/>
        <v/>
      </c>
      <c r="K7104" s="1" t="str">
        <f t="shared" si="4"/>
        <v/>
      </c>
    </row>
    <row r="7105" hidden="1">
      <c r="F7105" s="1" t="str">
        <f t="shared" si="1"/>
        <v/>
      </c>
      <c r="G7105" s="1" t="str">
        <f t="shared" si="2"/>
        <v/>
      </c>
      <c r="J7105" s="1" t="str">
        <f t="shared" si="3"/>
        <v/>
      </c>
      <c r="K7105" s="1" t="str">
        <f t="shared" si="4"/>
        <v/>
      </c>
    </row>
    <row r="7106" hidden="1">
      <c r="F7106" s="1" t="str">
        <f t="shared" si="1"/>
        <v/>
      </c>
      <c r="G7106" s="1" t="str">
        <f t="shared" si="2"/>
        <v/>
      </c>
      <c r="J7106" s="1" t="str">
        <f t="shared" si="3"/>
        <v/>
      </c>
      <c r="K7106" s="1" t="str">
        <f t="shared" si="4"/>
        <v/>
      </c>
    </row>
    <row r="7107" hidden="1">
      <c r="F7107" s="1" t="str">
        <f t="shared" si="1"/>
        <v/>
      </c>
      <c r="G7107" s="1" t="str">
        <f t="shared" si="2"/>
        <v/>
      </c>
      <c r="J7107" s="1" t="str">
        <f t="shared" si="3"/>
        <v/>
      </c>
      <c r="K7107" s="1" t="str">
        <f t="shared" si="4"/>
        <v/>
      </c>
    </row>
    <row r="7108" hidden="1">
      <c r="F7108" s="1" t="str">
        <f t="shared" si="1"/>
        <v/>
      </c>
      <c r="G7108" s="1" t="str">
        <f t="shared" si="2"/>
        <v/>
      </c>
      <c r="J7108" s="1" t="str">
        <f t="shared" si="3"/>
        <v/>
      </c>
      <c r="K7108" s="1" t="str">
        <f t="shared" si="4"/>
        <v/>
      </c>
    </row>
    <row r="7109" hidden="1">
      <c r="F7109" s="1" t="str">
        <f t="shared" si="1"/>
        <v/>
      </c>
      <c r="G7109" s="1" t="str">
        <f t="shared" si="2"/>
        <v/>
      </c>
      <c r="J7109" s="1" t="str">
        <f t="shared" si="3"/>
        <v/>
      </c>
      <c r="K7109" s="1" t="str">
        <f t="shared" si="4"/>
        <v/>
      </c>
    </row>
    <row r="7110" hidden="1">
      <c r="F7110" s="1" t="str">
        <f t="shared" si="1"/>
        <v/>
      </c>
      <c r="G7110" s="1" t="str">
        <f t="shared" si="2"/>
        <v/>
      </c>
      <c r="J7110" s="1" t="str">
        <f t="shared" si="3"/>
        <v/>
      </c>
      <c r="K7110" s="1" t="str">
        <f t="shared" si="4"/>
        <v/>
      </c>
    </row>
    <row r="7111" hidden="1">
      <c r="F7111" s="1" t="str">
        <f t="shared" si="1"/>
        <v/>
      </c>
      <c r="G7111" s="1" t="str">
        <f t="shared" si="2"/>
        <v/>
      </c>
      <c r="J7111" s="1" t="str">
        <f t="shared" si="3"/>
        <v/>
      </c>
      <c r="K7111" s="1" t="str">
        <f t="shared" si="4"/>
        <v/>
      </c>
    </row>
    <row r="7112" hidden="1">
      <c r="F7112" s="1" t="str">
        <f t="shared" si="1"/>
        <v/>
      </c>
      <c r="G7112" s="1" t="str">
        <f t="shared" si="2"/>
        <v/>
      </c>
      <c r="J7112" s="1" t="str">
        <f t="shared" si="3"/>
        <v/>
      </c>
      <c r="K7112" s="1" t="str">
        <f t="shared" si="4"/>
        <v/>
      </c>
    </row>
    <row r="7113" hidden="1">
      <c r="F7113" s="1" t="str">
        <f t="shared" si="1"/>
        <v/>
      </c>
      <c r="G7113" s="1" t="str">
        <f t="shared" si="2"/>
        <v/>
      </c>
      <c r="J7113" s="1" t="str">
        <f t="shared" si="3"/>
        <v/>
      </c>
      <c r="K7113" s="1" t="str">
        <f t="shared" si="4"/>
        <v/>
      </c>
    </row>
    <row r="7114" hidden="1">
      <c r="F7114" s="1" t="str">
        <f t="shared" si="1"/>
        <v/>
      </c>
      <c r="G7114" s="1" t="str">
        <f t="shared" si="2"/>
        <v/>
      </c>
      <c r="J7114" s="1" t="str">
        <f t="shared" si="3"/>
        <v/>
      </c>
      <c r="K7114" s="1" t="str">
        <f t="shared" si="4"/>
        <v/>
      </c>
    </row>
    <row r="7115" hidden="1">
      <c r="F7115" s="1" t="str">
        <f t="shared" si="1"/>
        <v/>
      </c>
      <c r="G7115" s="1" t="str">
        <f t="shared" si="2"/>
        <v/>
      </c>
      <c r="J7115" s="1" t="str">
        <f t="shared" si="3"/>
        <v/>
      </c>
      <c r="K7115" s="1" t="str">
        <f t="shared" si="4"/>
        <v/>
      </c>
    </row>
    <row r="7116" hidden="1">
      <c r="F7116" s="1" t="str">
        <f t="shared" si="1"/>
        <v/>
      </c>
      <c r="G7116" s="1" t="str">
        <f t="shared" si="2"/>
        <v/>
      </c>
      <c r="J7116" s="1" t="str">
        <f t="shared" si="3"/>
        <v/>
      </c>
      <c r="K7116" s="1" t="str">
        <f t="shared" si="4"/>
        <v/>
      </c>
    </row>
    <row r="7117" hidden="1">
      <c r="F7117" s="1" t="str">
        <f t="shared" si="1"/>
        <v/>
      </c>
      <c r="G7117" s="1" t="str">
        <f t="shared" si="2"/>
        <v/>
      </c>
      <c r="J7117" s="1" t="str">
        <f t="shared" si="3"/>
        <v/>
      </c>
      <c r="K7117" s="1" t="str">
        <f t="shared" si="4"/>
        <v/>
      </c>
    </row>
    <row r="7118" hidden="1">
      <c r="F7118" s="1" t="str">
        <f t="shared" si="1"/>
        <v/>
      </c>
      <c r="G7118" s="1" t="str">
        <f t="shared" si="2"/>
        <v/>
      </c>
      <c r="J7118" s="1" t="str">
        <f t="shared" si="3"/>
        <v/>
      </c>
      <c r="K7118" s="1" t="str">
        <f t="shared" si="4"/>
        <v/>
      </c>
    </row>
    <row r="7119" hidden="1">
      <c r="F7119" s="1" t="str">
        <f t="shared" si="1"/>
        <v/>
      </c>
      <c r="G7119" s="1" t="str">
        <f t="shared" si="2"/>
        <v/>
      </c>
      <c r="J7119" s="1" t="str">
        <f t="shared" si="3"/>
        <v/>
      </c>
      <c r="K7119" s="1" t="str">
        <f t="shared" si="4"/>
        <v/>
      </c>
    </row>
    <row r="7120" hidden="1">
      <c r="F7120" s="1" t="str">
        <f t="shared" si="1"/>
        <v/>
      </c>
      <c r="G7120" s="1" t="str">
        <f t="shared" si="2"/>
        <v/>
      </c>
      <c r="J7120" s="1" t="str">
        <f t="shared" si="3"/>
        <v/>
      </c>
      <c r="K7120" s="1" t="str">
        <f t="shared" si="4"/>
        <v/>
      </c>
    </row>
    <row r="7121" hidden="1">
      <c r="F7121" s="1" t="str">
        <f t="shared" si="1"/>
        <v/>
      </c>
      <c r="G7121" s="1" t="str">
        <f t="shared" si="2"/>
        <v/>
      </c>
      <c r="J7121" s="1" t="str">
        <f t="shared" si="3"/>
        <v/>
      </c>
      <c r="K7121" s="1" t="str">
        <f t="shared" si="4"/>
        <v/>
      </c>
    </row>
    <row r="7122" hidden="1">
      <c r="F7122" s="1" t="str">
        <f t="shared" si="1"/>
        <v/>
      </c>
      <c r="G7122" s="1" t="str">
        <f t="shared" si="2"/>
        <v/>
      </c>
      <c r="J7122" s="1" t="str">
        <f t="shared" si="3"/>
        <v/>
      </c>
      <c r="K7122" s="1" t="str">
        <f t="shared" si="4"/>
        <v/>
      </c>
    </row>
    <row r="7123" hidden="1">
      <c r="F7123" s="1" t="str">
        <f t="shared" si="1"/>
        <v/>
      </c>
      <c r="G7123" s="1" t="str">
        <f t="shared" si="2"/>
        <v/>
      </c>
      <c r="J7123" s="1" t="str">
        <f t="shared" si="3"/>
        <v/>
      </c>
      <c r="K7123" s="1" t="str">
        <f t="shared" si="4"/>
        <v/>
      </c>
    </row>
    <row r="7124" hidden="1">
      <c r="F7124" s="1" t="str">
        <f t="shared" si="1"/>
        <v/>
      </c>
      <c r="G7124" s="1" t="str">
        <f t="shared" si="2"/>
        <v/>
      </c>
      <c r="J7124" s="1" t="str">
        <f t="shared" si="3"/>
        <v/>
      </c>
      <c r="K7124" s="1" t="str">
        <f t="shared" si="4"/>
        <v/>
      </c>
    </row>
    <row r="7125" hidden="1">
      <c r="F7125" s="1" t="str">
        <f t="shared" si="1"/>
        <v/>
      </c>
      <c r="G7125" s="1" t="str">
        <f t="shared" si="2"/>
        <v/>
      </c>
      <c r="J7125" s="1" t="str">
        <f t="shared" si="3"/>
        <v/>
      </c>
      <c r="K7125" s="1" t="str">
        <f t="shared" si="4"/>
        <v/>
      </c>
    </row>
    <row r="7126" hidden="1">
      <c r="F7126" s="1" t="str">
        <f t="shared" si="1"/>
        <v/>
      </c>
      <c r="G7126" s="1" t="str">
        <f t="shared" si="2"/>
        <v/>
      </c>
      <c r="J7126" s="1" t="str">
        <f t="shared" si="3"/>
        <v/>
      </c>
      <c r="K7126" s="1" t="str">
        <f t="shared" si="4"/>
        <v/>
      </c>
    </row>
    <row r="7127" hidden="1">
      <c r="F7127" s="1" t="str">
        <f t="shared" si="1"/>
        <v/>
      </c>
      <c r="G7127" s="1" t="str">
        <f t="shared" si="2"/>
        <v/>
      </c>
      <c r="J7127" s="1" t="str">
        <f t="shared" si="3"/>
        <v/>
      </c>
      <c r="K7127" s="1" t="str">
        <f t="shared" si="4"/>
        <v/>
      </c>
    </row>
    <row r="7128" hidden="1">
      <c r="F7128" s="1" t="str">
        <f t="shared" si="1"/>
        <v/>
      </c>
      <c r="G7128" s="1" t="str">
        <f t="shared" si="2"/>
        <v/>
      </c>
      <c r="J7128" s="1" t="str">
        <f t="shared" si="3"/>
        <v/>
      </c>
      <c r="K7128" s="1" t="str">
        <f t="shared" si="4"/>
        <v/>
      </c>
    </row>
    <row r="7129" hidden="1">
      <c r="F7129" s="1" t="str">
        <f t="shared" si="1"/>
        <v/>
      </c>
      <c r="G7129" s="1" t="str">
        <f t="shared" si="2"/>
        <v/>
      </c>
      <c r="J7129" s="1" t="str">
        <f t="shared" si="3"/>
        <v/>
      </c>
      <c r="K7129" s="1" t="str">
        <f t="shared" si="4"/>
        <v/>
      </c>
    </row>
    <row r="7130" hidden="1">
      <c r="F7130" s="1" t="str">
        <f t="shared" si="1"/>
        <v/>
      </c>
      <c r="G7130" s="1" t="str">
        <f t="shared" si="2"/>
        <v/>
      </c>
      <c r="J7130" s="1" t="str">
        <f t="shared" si="3"/>
        <v/>
      </c>
      <c r="K7130" s="1" t="str">
        <f t="shared" si="4"/>
        <v/>
      </c>
    </row>
    <row r="7131" hidden="1">
      <c r="F7131" s="1" t="str">
        <f t="shared" si="1"/>
        <v/>
      </c>
      <c r="G7131" s="1" t="str">
        <f t="shared" si="2"/>
        <v/>
      </c>
      <c r="J7131" s="1" t="str">
        <f t="shared" si="3"/>
        <v/>
      </c>
      <c r="K7131" s="1" t="str">
        <f t="shared" si="4"/>
        <v/>
      </c>
    </row>
    <row r="7132" hidden="1">
      <c r="F7132" s="1" t="str">
        <f t="shared" si="1"/>
        <v/>
      </c>
      <c r="G7132" s="1" t="str">
        <f t="shared" si="2"/>
        <v/>
      </c>
      <c r="J7132" s="1" t="str">
        <f t="shared" si="3"/>
        <v/>
      </c>
      <c r="K7132" s="1" t="str">
        <f t="shared" si="4"/>
        <v/>
      </c>
    </row>
    <row r="7133" hidden="1">
      <c r="F7133" s="1" t="str">
        <f t="shared" si="1"/>
        <v/>
      </c>
      <c r="G7133" s="1" t="str">
        <f t="shared" si="2"/>
        <v/>
      </c>
      <c r="J7133" s="1" t="str">
        <f t="shared" si="3"/>
        <v/>
      </c>
      <c r="K7133" s="1" t="str">
        <f t="shared" si="4"/>
        <v/>
      </c>
    </row>
    <row r="7134" hidden="1">
      <c r="F7134" s="1" t="str">
        <f t="shared" si="1"/>
        <v/>
      </c>
      <c r="G7134" s="1" t="str">
        <f t="shared" si="2"/>
        <v/>
      </c>
      <c r="J7134" s="1" t="str">
        <f t="shared" si="3"/>
        <v/>
      </c>
      <c r="K7134" s="1" t="str">
        <f t="shared" si="4"/>
        <v/>
      </c>
    </row>
    <row r="7135" hidden="1">
      <c r="F7135" s="1" t="str">
        <f t="shared" si="1"/>
        <v/>
      </c>
      <c r="G7135" s="1" t="str">
        <f t="shared" si="2"/>
        <v/>
      </c>
      <c r="J7135" s="1" t="str">
        <f t="shared" si="3"/>
        <v/>
      </c>
      <c r="K7135" s="1" t="str">
        <f t="shared" si="4"/>
        <v/>
      </c>
    </row>
    <row r="7136" hidden="1">
      <c r="F7136" s="1" t="str">
        <f t="shared" si="1"/>
        <v/>
      </c>
      <c r="G7136" s="1" t="str">
        <f t="shared" si="2"/>
        <v/>
      </c>
      <c r="J7136" s="1" t="str">
        <f t="shared" si="3"/>
        <v/>
      </c>
      <c r="K7136" s="1" t="str">
        <f t="shared" si="4"/>
        <v/>
      </c>
    </row>
    <row r="7137" hidden="1">
      <c r="F7137" s="1" t="str">
        <f t="shared" si="1"/>
        <v/>
      </c>
      <c r="G7137" s="1" t="str">
        <f t="shared" si="2"/>
        <v/>
      </c>
      <c r="J7137" s="1" t="str">
        <f t="shared" si="3"/>
        <v/>
      </c>
      <c r="K7137" s="1" t="str">
        <f t="shared" si="4"/>
        <v/>
      </c>
    </row>
    <row r="7138" hidden="1">
      <c r="F7138" s="1" t="str">
        <f t="shared" si="1"/>
        <v/>
      </c>
      <c r="G7138" s="1" t="str">
        <f t="shared" si="2"/>
        <v/>
      </c>
      <c r="J7138" s="1" t="str">
        <f t="shared" si="3"/>
        <v/>
      </c>
      <c r="K7138" s="1" t="str">
        <f t="shared" si="4"/>
        <v/>
      </c>
    </row>
    <row r="7139" hidden="1">
      <c r="F7139" s="1" t="str">
        <f t="shared" si="1"/>
        <v/>
      </c>
      <c r="G7139" s="1" t="str">
        <f t="shared" si="2"/>
        <v/>
      </c>
      <c r="J7139" s="1" t="str">
        <f t="shared" si="3"/>
        <v/>
      </c>
      <c r="K7139" s="1" t="str">
        <f t="shared" si="4"/>
        <v/>
      </c>
    </row>
    <row r="7140" hidden="1">
      <c r="F7140" s="1" t="str">
        <f t="shared" si="1"/>
        <v/>
      </c>
      <c r="G7140" s="1" t="str">
        <f t="shared" si="2"/>
        <v/>
      </c>
      <c r="J7140" s="1" t="str">
        <f t="shared" si="3"/>
        <v/>
      </c>
      <c r="K7140" s="1" t="str">
        <f t="shared" si="4"/>
        <v/>
      </c>
    </row>
    <row r="7141" hidden="1">
      <c r="F7141" s="1" t="str">
        <f t="shared" si="1"/>
        <v/>
      </c>
      <c r="G7141" s="1" t="str">
        <f t="shared" si="2"/>
        <v/>
      </c>
      <c r="J7141" s="1" t="str">
        <f t="shared" si="3"/>
        <v/>
      </c>
      <c r="K7141" s="1" t="str">
        <f t="shared" si="4"/>
        <v/>
      </c>
    </row>
    <row r="7142" hidden="1">
      <c r="F7142" s="1" t="str">
        <f t="shared" si="1"/>
        <v/>
      </c>
      <c r="G7142" s="1" t="str">
        <f t="shared" si="2"/>
        <v/>
      </c>
      <c r="J7142" s="1" t="str">
        <f t="shared" si="3"/>
        <v/>
      </c>
      <c r="K7142" s="1" t="str">
        <f t="shared" si="4"/>
        <v/>
      </c>
    </row>
    <row r="7143" hidden="1">
      <c r="F7143" s="1" t="str">
        <f t="shared" si="1"/>
        <v/>
      </c>
      <c r="G7143" s="1" t="str">
        <f t="shared" si="2"/>
        <v/>
      </c>
      <c r="J7143" s="1" t="str">
        <f t="shared" si="3"/>
        <v/>
      </c>
      <c r="K7143" s="1" t="str">
        <f t="shared" si="4"/>
        <v/>
      </c>
    </row>
    <row r="7144" hidden="1">
      <c r="F7144" s="1" t="str">
        <f t="shared" si="1"/>
        <v/>
      </c>
      <c r="G7144" s="1" t="str">
        <f t="shared" si="2"/>
        <v/>
      </c>
      <c r="J7144" s="1" t="str">
        <f t="shared" si="3"/>
        <v/>
      </c>
      <c r="K7144" s="1" t="str">
        <f t="shared" si="4"/>
        <v/>
      </c>
    </row>
    <row r="7145" hidden="1">
      <c r="F7145" s="1" t="str">
        <f t="shared" si="1"/>
        <v/>
      </c>
      <c r="G7145" s="1" t="str">
        <f t="shared" si="2"/>
        <v/>
      </c>
      <c r="J7145" s="1" t="str">
        <f t="shared" si="3"/>
        <v/>
      </c>
      <c r="K7145" s="1" t="str">
        <f t="shared" si="4"/>
        <v/>
      </c>
    </row>
    <row r="7146" hidden="1">
      <c r="F7146" s="1" t="str">
        <f t="shared" si="1"/>
        <v/>
      </c>
      <c r="G7146" s="1" t="str">
        <f t="shared" si="2"/>
        <v/>
      </c>
      <c r="J7146" s="1" t="str">
        <f t="shared" si="3"/>
        <v/>
      </c>
      <c r="K7146" s="1" t="str">
        <f t="shared" si="4"/>
        <v/>
      </c>
    </row>
    <row r="7147" hidden="1">
      <c r="F7147" s="1" t="str">
        <f t="shared" si="1"/>
        <v/>
      </c>
      <c r="G7147" s="1" t="str">
        <f t="shared" si="2"/>
        <v/>
      </c>
      <c r="J7147" s="1" t="str">
        <f t="shared" si="3"/>
        <v/>
      </c>
      <c r="K7147" s="1" t="str">
        <f t="shared" si="4"/>
        <v/>
      </c>
    </row>
    <row r="7148" hidden="1">
      <c r="F7148" s="1" t="str">
        <f t="shared" si="1"/>
        <v/>
      </c>
      <c r="G7148" s="1" t="str">
        <f t="shared" si="2"/>
        <v/>
      </c>
      <c r="J7148" s="1" t="str">
        <f t="shared" si="3"/>
        <v/>
      </c>
      <c r="K7148" s="1" t="str">
        <f t="shared" si="4"/>
        <v/>
      </c>
    </row>
    <row r="7149" hidden="1">
      <c r="F7149" s="1" t="str">
        <f t="shared" si="1"/>
        <v/>
      </c>
      <c r="G7149" s="1" t="str">
        <f t="shared" si="2"/>
        <v/>
      </c>
      <c r="J7149" s="1" t="str">
        <f t="shared" si="3"/>
        <v/>
      </c>
      <c r="K7149" s="1" t="str">
        <f t="shared" si="4"/>
        <v/>
      </c>
    </row>
    <row r="7150" hidden="1">
      <c r="F7150" s="1" t="str">
        <f t="shared" si="1"/>
        <v/>
      </c>
      <c r="G7150" s="1" t="str">
        <f t="shared" si="2"/>
        <v/>
      </c>
      <c r="J7150" s="1" t="str">
        <f t="shared" si="3"/>
        <v/>
      </c>
      <c r="K7150" s="1" t="str">
        <f t="shared" si="4"/>
        <v/>
      </c>
    </row>
    <row r="7151" hidden="1">
      <c r="F7151" s="1" t="str">
        <f t="shared" si="1"/>
        <v/>
      </c>
      <c r="G7151" s="1" t="str">
        <f t="shared" si="2"/>
        <v/>
      </c>
      <c r="J7151" s="1" t="str">
        <f t="shared" si="3"/>
        <v/>
      </c>
      <c r="K7151" s="1" t="str">
        <f t="shared" si="4"/>
        <v/>
      </c>
    </row>
    <row r="7152" hidden="1">
      <c r="F7152" s="1" t="str">
        <f t="shared" si="1"/>
        <v/>
      </c>
      <c r="G7152" s="1" t="str">
        <f t="shared" si="2"/>
        <v/>
      </c>
      <c r="J7152" s="1" t="str">
        <f t="shared" si="3"/>
        <v/>
      </c>
      <c r="K7152" s="1" t="str">
        <f t="shared" si="4"/>
        <v/>
      </c>
    </row>
    <row r="7153" hidden="1">
      <c r="F7153" s="1" t="str">
        <f t="shared" si="1"/>
        <v/>
      </c>
      <c r="G7153" s="1" t="str">
        <f t="shared" si="2"/>
        <v/>
      </c>
      <c r="J7153" s="1" t="str">
        <f t="shared" si="3"/>
        <v/>
      </c>
      <c r="K7153" s="1" t="str">
        <f t="shared" si="4"/>
        <v/>
      </c>
    </row>
    <row r="7154" hidden="1">
      <c r="F7154" s="1" t="str">
        <f t="shared" si="1"/>
        <v/>
      </c>
      <c r="G7154" s="1" t="str">
        <f t="shared" si="2"/>
        <v/>
      </c>
      <c r="J7154" s="1" t="str">
        <f t="shared" si="3"/>
        <v/>
      </c>
      <c r="K7154" s="1" t="str">
        <f t="shared" si="4"/>
        <v/>
      </c>
    </row>
    <row r="7155" hidden="1">
      <c r="F7155" s="1" t="str">
        <f t="shared" si="1"/>
        <v/>
      </c>
      <c r="G7155" s="1" t="str">
        <f t="shared" si="2"/>
        <v/>
      </c>
      <c r="J7155" s="1" t="str">
        <f t="shared" si="3"/>
        <v/>
      </c>
      <c r="K7155" s="1" t="str">
        <f t="shared" si="4"/>
        <v/>
      </c>
    </row>
    <row r="7156" hidden="1">
      <c r="F7156" s="1" t="str">
        <f t="shared" si="1"/>
        <v/>
      </c>
      <c r="G7156" s="1" t="str">
        <f t="shared" si="2"/>
        <v/>
      </c>
      <c r="J7156" s="1" t="str">
        <f t="shared" si="3"/>
        <v/>
      </c>
      <c r="K7156" s="1" t="str">
        <f t="shared" si="4"/>
        <v/>
      </c>
    </row>
    <row r="7157" hidden="1">
      <c r="F7157" s="1" t="str">
        <f t="shared" si="1"/>
        <v/>
      </c>
      <c r="G7157" s="1" t="str">
        <f t="shared" si="2"/>
        <v/>
      </c>
      <c r="J7157" s="1" t="str">
        <f t="shared" si="3"/>
        <v/>
      </c>
      <c r="K7157" s="1" t="str">
        <f t="shared" si="4"/>
        <v/>
      </c>
    </row>
    <row r="7158" hidden="1">
      <c r="F7158" s="1" t="str">
        <f t="shared" si="1"/>
        <v/>
      </c>
      <c r="G7158" s="1" t="str">
        <f t="shared" si="2"/>
        <v/>
      </c>
      <c r="J7158" s="1" t="str">
        <f t="shared" si="3"/>
        <v/>
      </c>
      <c r="K7158" s="1" t="str">
        <f t="shared" si="4"/>
        <v/>
      </c>
    </row>
    <row r="7159" hidden="1">
      <c r="F7159" s="1" t="str">
        <f t="shared" si="1"/>
        <v/>
      </c>
      <c r="G7159" s="1" t="str">
        <f t="shared" si="2"/>
        <v/>
      </c>
      <c r="J7159" s="1" t="str">
        <f t="shared" si="3"/>
        <v/>
      </c>
      <c r="K7159" s="1" t="str">
        <f t="shared" si="4"/>
        <v/>
      </c>
    </row>
    <row r="7160" hidden="1">
      <c r="F7160" s="1" t="str">
        <f t="shared" si="1"/>
        <v/>
      </c>
      <c r="G7160" s="1" t="str">
        <f t="shared" si="2"/>
        <v/>
      </c>
      <c r="J7160" s="1" t="str">
        <f t="shared" si="3"/>
        <v/>
      </c>
      <c r="K7160" s="1" t="str">
        <f t="shared" si="4"/>
        <v/>
      </c>
    </row>
    <row r="7161" hidden="1">
      <c r="F7161" s="1" t="str">
        <f t="shared" si="1"/>
        <v/>
      </c>
      <c r="G7161" s="1" t="str">
        <f t="shared" si="2"/>
        <v/>
      </c>
      <c r="J7161" s="1" t="str">
        <f t="shared" si="3"/>
        <v/>
      </c>
      <c r="K7161" s="1" t="str">
        <f t="shared" si="4"/>
        <v/>
      </c>
    </row>
    <row r="7162" hidden="1">
      <c r="F7162" s="1" t="str">
        <f t="shared" si="1"/>
        <v/>
      </c>
      <c r="G7162" s="1" t="str">
        <f t="shared" si="2"/>
        <v/>
      </c>
      <c r="J7162" s="1" t="str">
        <f t="shared" si="3"/>
        <v/>
      </c>
      <c r="K7162" s="1" t="str">
        <f t="shared" si="4"/>
        <v/>
      </c>
    </row>
    <row r="7163" hidden="1">
      <c r="F7163" s="1" t="str">
        <f t="shared" si="1"/>
        <v/>
      </c>
      <c r="G7163" s="1" t="str">
        <f t="shared" si="2"/>
        <v/>
      </c>
      <c r="J7163" s="1" t="str">
        <f t="shared" si="3"/>
        <v/>
      </c>
      <c r="K7163" s="1" t="str">
        <f t="shared" si="4"/>
        <v/>
      </c>
    </row>
    <row r="7164" hidden="1">
      <c r="F7164" s="1" t="str">
        <f t="shared" si="1"/>
        <v/>
      </c>
      <c r="G7164" s="1" t="str">
        <f t="shared" si="2"/>
        <v/>
      </c>
      <c r="J7164" s="1" t="str">
        <f t="shared" si="3"/>
        <v/>
      </c>
      <c r="K7164" s="1" t="str">
        <f t="shared" si="4"/>
        <v/>
      </c>
    </row>
    <row r="7165" hidden="1">
      <c r="F7165" s="1" t="str">
        <f t="shared" si="1"/>
        <v/>
      </c>
      <c r="G7165" s="1" t="str">
        <f t="shared" si="2"/>
        <v/>
      </c>
      <c r="J7165" s="1" t="str">
        <f t="shared" si="3"/>
        <v/>
      </c>
      <c r="K7165" s="1" t="str">
        <f t="shared" si="4"/>
        <v/>
      </c>
    </row>
    <row r="7166" hidden="1">
      <c r="F7166" s="1" t="str">
        <f t="shared" si="1"/>
        <v/>
      </c>
      <c r="G7166" s="1" t="str">
        <f t="shared" si="2"/>
        <v/>
      </c>
      <c r="J7166" s="1" t="str">
        <f t="shared" si="3"/>
        <v/>
      </c>
      <c r="K7166" s="1" t="str">
        <f t="shared" si="4"/>
        <v/>
      </c>
    </row>
    <row r="7167" hidden="1">
      <c r="F7167" s="1" t="str">
        <f t="shared" si="1"/>
        <v/>
      </c>
      <c r="G7167" s="1" t="str">
        <f t="shared" si="2"/>
        <v/>
      </c>
      <c r="J7167" s="1" t="str">
        <f t="shared" si="3"/>
        <v/>
      </c>
      <c r="K7167" s="1" t="str">
        <f t="shared" si="4"/>
        <v/>
      </c>
    </row>
    <row r="7168" hidden="1">
      <c r="F7168" s="1" t="str">
        <f t="shared" si="1"/>
        <v/>
      </c>
      <c r="G7168" s="1" t="str">
        <f t="shared" si="2"/>
        <v/>
      </c>
      <c r="J7168" s="1" t="str">
        <f t="shared" si="3"/>
        <v/>
      </c>
      <c r="K7168" s="1" t="str">
        <f t="shared" si="4"/>
        <v/>
      </c>
    </row>
    <row r="7169" hidden="1">
      <c r="F7169" s="1" t="str">
        <f t="shared" si="1"/>
        <v/>
      </c>
      <c r="G7169" s="1" t="str">
        <f t="shared" si="2"/>
        <v/>
      </c>
      <c r="J7169" s="1" t="str">
        <f t="shared" si="3"/>
        <v/>
      </c>
      <c r="K7169" s="1" t="str">
        <f t="shared" si="4"/>
        <v/>
      </c>
    </row>
    <row r="7170" hidden="1">
      <c r="F7170" s="1" t="str">
        <f t="shared" si="1"/>
        <v/>
      </c>
      <c r="G7170" s="1" t="str">
        <f t="shared" si="2"/>
        <v/>
      </c>
      <c r="J7170" s="1" t="str">
        <f t="shared" si="3"/>
        <v/>
      </c>
      <c r="K7170" s="1" t="str">
        <f t="shared" si="4"/>
        <v/>
      </c>
    </row>
    <row r="7171" hidden="1">
      <c r="F7171" s="1" t="str">
        <f t="shared" si="1"/>
        <v/>
      </c>
      <c r="G7171" s="1" t="str">
        <f t="shared" si="2"/>
        <v/>
      </c>
      <c r="J7171" s="1" t="str">
        <f t="shared" si="3"/>
        <v/>
      </c>
      <c r="K7171" s="1" t="str">
        <f t="shared" si="4"/>
        <v/>
      </c>
    </row>
    <row r="7172" hidden="1">
      <c r="F7172" s="1" t="str">
        <f t="shared" si="1"/>
        <v/>
      </c>
      <c r="G7172" s="1" t="str">
        <f t="shared" si="2"/>
        <v/>
      </c>
      <c r="J7172" s="1" t="str">
        <f t="shared" si="3"/>
        <v/>
      </c>
      <c r="K7172" s="1" t="str">
        <f t="shared" si="4"/>
        <v/>
      </c>
    </row>
    <row r="7173" hidden="1">
      <c r="F7173" s="1" t="str">
        <f t="shared" si="1"/>
        <v/>
      </c>
      <c r="G7173" s="1" t="str">
        <f t="shared" si="2"/>
        <v/>
      </c>
      <c r="J7173" s="1" t="str">
        <f t="shared" si="3"/>
        <v/>
      </c>
      <c r="K7173" s="1" t="str">
        <f t="shared" si="4"/>
        <v/>
      </c>
    </row>
    <row r="7174" hidden="1">
      <c r="F7174" s="1" t="str">
        <f t="shared" si="1"/>
        <v/>
      </c>
      <c r="G7174" s="1" t="str">
        <f t="shared" si="2"/>
        <v/>
      </c>
      <c r="J7174" s="1" t="str">
        <f t="shared" si="3"/>
        <v/>
      </c>
      <c r="K7174" s="1" t="str">
        <f t="shared" si="4"/>
        <v/>
      </c>
    </row>
    <row r="7175" hidden="1">
      <c r="F7175" s="1" t="str">
        <f t="shared" si="1"/>
        <v/>
      </c>
      <c r="G7175" s="1" t="str">
        <f t="shared" si="2"/>
        <v/>
      </c>
      <c r="J7175" s="1" t="str">
        <f t="shared" si="3"/>
        <v/>
      </c>
      <c r="K7175" s="1" t="str">
        <f t="shared" si="4"/>
        <v/>
      </c>
    </row>
    <row r="7176" hidden="1">
      <c r="F7176" s="1" t="str">
        <f t="shared" si="1"/>
        <v/>
      </c>
      <c r="G7176" s="1" t="str">
        <f t="shared" si="2"/>
        <v/>
      </c>
      <c r="J7176" s="1" t="str">
        <f t="shared" si="3"/>
        <v/>
      </c>
      <c r="K7176" s="1" t="str">
        <f t="shared" si="4"/>
        <v/>
      </c>
    </row>
    <row r="7177" hidden="1">
      <c r="F7177" s="1" t="str">
        <f t="shared" si="1"/>
        <v/>
      </c>
      <c r="G7177" s="1" t="str">
        <f t="shared" si="2"/>
        <v/>
      </c>
      <c r="J7177" s="1" t="str">
        <f t="shared" si="3"/>
        <v/>
      </c>
      <c r="K7177" s="1" t="str">
        <f t="shared" si="4"/>
        <v/>
      </c>
    </row>
    <row r="7178" hidden="1">
      <c r="F7178" s="1" t="str">
        <f t="shared" si="1"/>
        <v/>
      </c>
      <c r="G7178" s="1" t="str">
        <f t="shared" si="2"/>
        <v/>
      </c>
      <c r="J7178" s="1" t="str">
        <f t="shared" si="3"/>
        <v/>
      </c>
      <c r="K7178" s="1" t="str">
        <f t="shared" si="4"/>
        <v/>
      </c>
    </row>
    <row r="7179" hidden="1">
      <c r="F7179" s="1" t="str">
        <f t="shared" si="1"/>
        <v/>
      </c>
      <c r="G7179" s="1" t="str">
        <f t="shared" si="2"/>
        <v/>
      </c>
      <c r="J7179" s="1" t="str">
        <f t="shared" si="3"/>
        <v/>
      </c>
      <c r="K7179" s="1" t="str">
        <f t="shared" si="4"/>
        <v/>
      </c>
    </row>
    <row r="7180" hidden="1">
      <c r="F7180" s="1" t="str">
        <f t="shared" si="1"/>
        <v/>
      </c>
      <c r="G7180" s="1" t="str">
        <f t="shared" si="2"/>
        <v/>
      </c>
      <c r="J7180" s="1" t="str">
        <f t="shared" si="3"/>
        <v/>
      </c>
      <c r="K7180" s="1" t="str">
        <f t="shared" si="4"/>
        <v/>
      </c>
    </row>
    <row r="7181" hidden="1">
      <c r="F7181" s="1" t="str">
        <f t="shared" si="1"/>
        <v/>
      </c>
      <c r="G7181" s="1" t="str">
        <f t="shared" si="2"/>
        <v/>
      </c>
      <c r="J7181" s="1" t="str">
        <f t="shared" si="3"/>
        <v/>
      </c>
      <c r="K7181" s="1" t="str">
        <f t="shared" si="4"/>
        <v/>
      </c>
    </row>
    <row r="7182" hidden="1">
      <c r="F7182" s="1" t="str">
        <f t="shared" si="1"/>
        <v/>
      </c>
      <c r="G7182" s="1" t="str">
        <f t="shared" si="2"/>
        <v/>
      </c>
      <c r="J7182" s="1" t="str">
        <f t="shared" si="3"/>
        <v/>
      </c>
      <c r="K7182" s="1" t="str">
        <f t="shared" si="4"/>
        <v/>
      </c>
    </row>
    <row r="7183" hidden="1">
      <c r="F7183" s="1" t="str">
        <f t="shared" si="1"/>
        <v/>
      </c>
      <c r="G7183" s="1" t="str">
        <f t="shared" si="2"/>
        <v/>
      </c>
      <c r="J7183" s="1" t="str">
        <f t="shared" si="3"/>
        <v/>
      </c>
      <c r="K7183" s="1" t="str">
        <f t="shared" si="4"/>
        <v/>
      </c>
    </row>
    <row r="7184" hidden="1">
      <c r="F7184" s="1" t="str">
        <f t="shared" si="1"/>
        <v/>
      </c>
      <c r="G7184" s="1" t="str">
        <f t="shared" si="2"/>
        <v/>
      </c>
      <c r="J7184" s="1" t="str">
        <f t="shared" si="3"/>
        <v/>
      </c>
      <c r="K7184" s="1" t="str">
        <f t="shared" si="4"/>
        <v/>
      </c>
    </row>
    <row r="7185" hidden="1">
      <c r="F7185" s="1" t="str">
        <f t="shared" si="1"/>
        <v/>
      </c>
      <c r="G7185" s="1" t="str">
        <f t="shared" si="2"/>
        <v/>
      </c>
      <c r="J7185" s="1" t="str">
        <f t="shared" si="3"/>
        <v/>
      </c>
      <c r="K7185" s="1" t="str">
        <f t="shared" si="4"/>
        <v/>
      </c>
    </row>
    <row r="7186" hidden="1">
      <c r="F7186" s="1" t="str">
        <f t="shared" si="1"/>
        <v/>
      </c>
      <c r="G7186" s="1" t="str">
        <f t="shared" si="2"/>
        <v/>
      </c>
      <c r="J7186" s="1" t="str">
        <f t="shared" si="3"/>
        <v/>
      </c>
      <c r="K7186" s="1" t="str">
        <f t="shared" si="4"/>
        <v/>
      </c>
    </row>
    <row r="7187" hidden="1">
      <c r="F7187" s="1" t="str">
        <f t="shared" si="1"/>
        <v/>
      </c>
      <c r="G7187" s="1" t="str">
        <f t="shared" si="2"/>
        <v/>
      </c>
      <c r="J7187" s="1" t="str">
        <f t="shared" si="3"/>
        <v/>
      </c>
      <c r="K7187" s="1" t="str">
        <f t="shared" si="4"/>
        <v/>
      </c>
    </row>
    <row r="7188" hidden="1">
      <c r="F7188" s="1" t="str">
        <f t="shared" si="1"/>
        <v/>
      </c>
      <c r="G7188" s="1" t="str">
        <f t="shared" si="2"/>
        <v/>
      </c>
      <c r="J7188" s="1" t="str">
        <f t="shared" si="3"/>
        <v/>
      </c>
      <c r="K7188" s="1" t="str">
        <f t="shared" si="4"/>
        <v/>
      </c>
    </row>
    <row r="7189" hidden="1">
      <c r="F7189" s="1" t="str">
        <f t="shared" si="1"/>
        <v/>
      </c>
      <c r="G7189" s="1" t="str">
        <f t="shared" si="2"/>
        <v/>
      </c>
      <c r="J7189" s="1" t="str">
        <f t="shared" si="3"/>
        <v/>
      </c>
      <c r="K7189" s="1" t="str">
        <f t="shared" si="4"/>
        <v/>
      </c>
    </row>
    <row r="7190" hidden="1">
      <c r="F7190" s="1" t="str">
        <f t="shared" si="1"/>
        <v/>
      </c>
      <c r="G7190" s="1" t="str">
        <f t="shared" si="2"/>
        <v/>
      </c>
      <c r="J7190" s="1" t="str">
        <f t="shared" si="3"/>
        <v/>
      </c>
      <c r="K7190" s="1" t="str">
        <f t="shared" si="4"/>
        <v/>
      </c>
    </row>
    <row r="7191" hidden="1">
      <c r="F7191" s="1" t="str">
        <f t="shared" si="1"/>
        <v/>
      </c>
      <c r="G7191" s="1" t="str">
        <f t="shared" si="2"/>
        <v/>
      </c>
      <c r="J7191" s="1" t="str">
        <f t="shared" si="3"/>
        <v/>
      </c>
      <c r="K7191" s="1" t="str">
        <f t="shared" si="4"/>
        <v/>
      </c>
    </row>
    <row r="7192" hidden="1">
      <c r="F7192" s="1" t="str">
        <f t="shared" si="1"/>
        <v/>
      </c>
      <c r="G7192" s="1" t="str">
        <f t="shared" si="2"/>
        <v/>
      </c>
      <c r="J7192" s="1" t="str">
        <f t="shared" si="3"/>
        <v/>
      </c>
      <c r="K7192" s="1" t="str">
        <f t="shared" si="4"/>
        <v/>
      </c>
    </row>
    <row r="7193" hidden="1">
      <c r="F7193" s="1" t="str">
        <f t="shared" si="1"/>
        <v/>
      </c>
      <c r="G7193" s="1" t="str">
        <f t="shared" si="2"/>
        <v/>
      </c>
      <c r="J7193" s="1" t="str">
        <f t="shared" si="3"/>
        <v/>
      </c>
      <c r="K7193" s="1" t="str">
        <f t="shared" si="4"/>
        <v/>
      </c>
    </row>
    <row r="7194" hidden="1">
      <c r="F7194" s="1" t="str">
        <f t="shared" si="1"/>
        <v/>
      </c>
      <c r="G7194" s="1" t="str">
        <f t="shared" si="2"/>
        <v/>
      </c>
      <c r="J7194" s="1" t="str">
        <f t="shared" si="3"/>
        <v/>
      </c>
      <c r="K7194" s="1" t="str">
        <f t="shared" si="4"/>
        <v/>
      </c>
    </row>
    <row r="7195" hidden="1">
      <c r="F7195" s="1" t="str">
        <f t="shared" si="1"/>
        <v/>
      </c>
      <c r="G7195" s="1" t="str">
        <f t="shared" si="2"/>
        <v/>
      </c>
      <c r="J7195" s="1" t="str">
        <f t="shared" si="3"/>
        <v/>
      </c>
      <c r="K7195" s="1" t="str">
        <f t="shared" si="4"/>
        <v/>
      </c>
    </row>
    <row r="7196" hidden="1">
      <c r="F7196" s="1" t="str">
        <f t="shared" si="1"/>
        <v/>
      </c>
      <c r="G7196" s="1" t="str">
        <f t="shared" si="2"/>
        <v/>
      </c>
      <c r="J7196" s="1" t="str">
        <f t="shared" si="3"/>
        <v/>
      </c>
      <c r="K7196" s="1" t="str">
        <f t="shared" si="4"/>
        <v/>
      </c>
    </row>
    <row r="7197" hidden="1">
      <c r="F7197" s="1" t="str">
        <f t="shared" si="1"/>
        <v/>
      </c>
      <c r="G7197" s="1" t="str">
        <f t="shared" si="2"/>
        <v/>
      </c>
      <c r="J7197" s="1" t="str">
        <f t="shared" si="3"/>
        <v/>
      </c>
      <c r="K7197" s="1" t="str">
        <f t="shared" si="4"/>
        <v/>
      </c>
    </row>
    <row r="7198" hidden="1">
      <c r="F7198" s="1" t="str">
        <f t="shared" si="1"/>
        <v/>
      </c>
      <c r="G7198" s="1" t="str">
        <f t="shared" si="2"/>
        <v/>
      </c>
      <c r="J7198" s="1" t="str">
        <f t="shared" si="3"/>
        <v/>
      </c>
      <c r="K7198" s="1" t="str">
        <f t="shared" si="4"/>
        <v/>
      </c>
    </row>
    <row r="7199" hidden="1">
      <c r="F7199" s="1" t="str">
        <f t="shared" si="1"/>
        <v/>
      </c>
      <c r="G7199" s="1" t="str">
        <f t="shared" si="2"/>
        <v/>
      </c>
      <c r="J7199" s="1" t="str">
        <f t="shared" si="3"/>
        <v/>
      </c>
      <c r="K7199" s="1" t="str">
        <f t="shared" si="4"/>
        <v/>
      </c>
    </row>
    <row r="7200" hidden="1">
      <c r="F7200" s="1" t="str">
        <f t="shared" si="1"/>
        <v/>
      </c>
      <c r="G7200" s="1" t="str">
        <f t="shared" si="2"/>
        <v/>
      </c>
      <c r="J7200" s="1" t="str">
        <f t="shared" si="3"/>
        <v/>
      </c>
      <c r="K7200" s="1" t="str">
        <f t="shared" si="4"/>
        <v/>
      </c>
    </row>
    <row r="7201" hidden="1">
      <c r="F7201" s="1" t="str">
        <f t="shared" si="1"/>
        <v/>
      </c>
      <c r="G7201" s="1" t="str">
        <f t="shared" si="2"/>
        <v/>
      </c>
      <c r="J7201" s="1" t="str">
        <f t="shared" si="3"/>
        <v/>
      </c>
      <c r="K7201" s="1" t="str">
        <f t="shared" si="4"/>
        <v/>
      </c>
    </row>
    <row r="7202" hidden="1">
      <c r="F7202" s="1" t="str">
        <f t="shared" si="1"/>
        <v/>
      </c>
      <c r="G7202" s="1" t="str">
        <f t="shared" si="2"/>
        <v/>
      </c>
      <c r="J7202" s="1" t="str">
        <f t="shared" si="3"/>
        <v/>
      </c>
      <c r="K7202" s="1" t="str">
        <f t="shared" si="4"/>
        <v/>
      </c>
    </row>
    <row r="7203" hidden="1">
      <c r="F7203" s="1" t="str">
        <f t="shared" si="1"/>
        <v/>
      </c>
      <c r="G7203" s="1" t="str">
        <f t="shared" si="2"/>
        <v/>
      </c>
      <c r="J7203" s="1" t="str">
        <f t="shared" si="3"/>
        <v/>
      </c>
      <c r="K7203" s="1" t="str">
        <f t="shared" si="4"/>
        <v/>
      </c>
    </row>
    <row r="7204" hidden="1">
      <c r="F7204" s="1" t="str">
        <f t="shared" si="1"/>
        <v/>
      </c>
      <c r="G7204" s="1" t="str">
        <f t="shared" si="2"/>
        <v/>
      </c>
      <c r="J7204" s="1" t="str">
        <f t="shared" si="3"/>
        <v/>
      </c>
      <c r="K7204" s="1" t="str">
        <f t="shared" si="4"/>
        <v/>
      </c>
    </row>
    <row r="7205" hidden="1">
      <c r="F7205" s="1" t="str">
        <f t="shared" si="1"/>
        <v/>
      </c>
      <c r="G7205" s="1" t="str">
        <f t="shared" si="2"/>
        <v/>
      </c>
      <c r="J7205" s="1" t="str">
        <f t="shared" si="3"/>
        <v/>
      </c>
      <c r="K7205" s="1" t="str">
        <f t="shared" si="4"/>
        <v/>
      </c>
    </row>
    <row r="7206" hidden="1">
      <c r="F7206" s="1" t="str">
        <f t="shared" si="1"/>
        <v/>
      </c>
      <c r="G7206" s="1" t="str">
        <f t="shared" si="2"/>
        <v/>
      </c>
      <c r="J7206" s="1" t="str">
        <f t="shared" si="3"/>
        <v/>
      </c>
      <c r="K7206" s="1" t="str">
        <f t="shared" si="4"/>
        <v/>
      </c>
    </row>
    <row r="7207" hidden="1">
      <c r="F7207" s="1" t="str">
        <f t="shared" si="1"/>
        <v/>
      </c>
      <c r="G7207" s="1" t="str">
        <f t="shared" si="2"/>
        <v/>
      </c>
      <c r="J7207" s="1" t="str">
        <f t="shared" si="3"/>
        <v/>
      </c>
      <c r="K7207" s="1" t="str">
        <f t="shared" si="4"/>
        <v/>
      </c>
    </row>
    <row r="7208" hidden="1">
      <c r="F7208" s="1" t="str">
        <f t="shared" si="1"/>
        <v/>
      </c>
      <c r="G7208" s="1" t="str">
        <f t="shared" si="2"/>
        <v/>
      </c>
      <c r="J7208" s="1" t="str">
        <f t="shared" si="3"/>
        <v/>
      </c>
      <c r="K7208" s="1" t="str">
        <f t="shared" si="4"/>
        <v/>
      </c>
    </row>
    <row r="7209" hidden="1">
      <c r="F7209" s="1" t="str">
        <f t="shared" si="1"/>
        <v/>
      </c>
      <c r="G7209" s="1" t="str">
        <f t="shared" si="2"/>
        <v/>
      </c>
      <c r="J7209" s="1" t="str">
        <f t="shared" si="3"/>
        <v/>
      </c>
      <c r="K7209" s="1" t="str">
        <f t="shared" si="4"/>
        <v/>
      </c>
    </row>
    <row r="7210" hidden="1">
      <c r="F7210" s="1" t="str">
        <f t="shared" si="1"/>
        <v/>
      </c>
      <c r="G7210" s="1" t="str">
        <f t="shared" si="2"/>
        <v/>
      </c>
      <c r="J7210" s="1" t="str">
        <f t="shared" si="3"/>
        <v/>
      </c>
      <c r="K7210" s="1" t="str">
        <f t="shared" si="4"/>
        <v/>
      </c>
    </row>
    <row r="7211" hidden="1">
      <c r="F7211" s="1" t="str">
        <f t="shared" si="1"/>
        <v/>
      </c>
      <c r="G7211" s="1" t="str">
        <f t="shared" si="2"/>
        <v/>
      </c>
      <c r="J7211" s="1" t="str">
        <f t="shared" si="3"/>
        <v/>
      </c>
      <c r="K7211" s="1" t="str">
        <f t="shared" si="4"/>
        <v/>
      </c>
    </row>
    <row r="7212" hidden="1">
      <c r="F7212" s="1" t="str">
        <f t="shared" si="1"/>
        <v/>
      </c>
      <c r="G7212" s="1" t="str">
        <f t="shared" si="2"/>
        <v/>
      </c>
      <c r="J7212" s="1" t="str">
        <f t="shared" si="3"/>
        <v/>
      </c>
      <c r="K7212" s="1" t="str">
        <f t="shared" si="4"/>
        <v/>
      </c>
    </row>
    <row r="7213" hidden="1">
      <c r="F7213" s="1" t="str">
        <f t="shared" si="1"/>
        <v/>
      </c>
      <c r="G7213" s="1" t="str">
        <f t="shared" si="2"/>
        <v/>
      </c>
      <c r="J7213" s="1" t="str">
        <f t="shared" si="3"/>
        <v/>
      </c>
      <c r="K7213" s="1" t="str">
        <f t="shared" si="4"/>
        <v/>
      </c>
    </row>
    <row r="7214" hidden="1">
      <c r="F7214" s="1" t="str">
        <f t="shared" si="1"/>
        <v/>
      </c>
      <c r="G7214" s="1" t="str">
        <f t="shared" si="2"/>
        <v/>
      </c>
      <c r="J7214" s="1" t="str">
        <f t="shared" si="3"/>
        <v/>
      </c>
      <c r="K7214" s="1" t="str">
        <f t="shared" si="4"/>
        <v/>
      </c>
    </row>
    <row r="7215" hidden="1">
      <c r="F7215" s="1" t="str">
        <f t="shared" si="1"/>
        <v/>
      </c>
      <c r="G7215" s="1" t="str">
        <f t="shared" si="2"/>
        <v/>
      </c>
      <c r="J7215" s="1" t="str">
        <f t="shared" si="3"/>
        <v/>
      </c>
      <c r="K7215" s="1" t="str">
        <f t="shared" si="4"/>
        <v/>
      </c>
    </row>
    <row r="7216" hidden="1">
      <c r="F7216" s="1" t="str">
        <f t="shared" si="1"/>
        <v/>
      </c>
      <c r="G7216" s="1" t="str">
        <f t="shared" si="2"/>
        <v/>
      </c>
      <c r="J7216" s="1" t="str">
        <f t="shared" si="3"/>
        <v/>
      </c>
      <c r="K7216" s="1" t="str">
        <f t="shared" si="4"/>
        <v/>
      </c>
    </row>
    <row r="7217" hidden="1">
      <c r="F7217" s="1" t="str">
        <f t="shared" si="1"/>
        <v/>
      </c>
      <c r="G7217" s="1" t="str">
        <f t="shared" si="2"/>
        <v/>
      </c>
      <c r="J7217" s="1" t="str">
        <f t="shared" si="3"/>
        <v/>
      </c>
      <c r="K7217" s="1" t="str">
        <f t="shared" si="4"/>
        <v/>
      </c>
    </row>
    <row r="7218" hidden="1">
      <c r="F7218" s="1" t="str">
        <f t="shared" si="1"/>
        <v/>
      </c>
      <c r="G7218" s="1" t="str">
        <f t="shared" si="2"/>
        <v/>
      </c>
      <c r="J7218" s="1" t="str">
        <f t="shared" si="3"/>
        <v/>
      </c>
      <c r="K7218" s="1" t="str">
        <f t="shared" si="4"/>
        <v/>
      </c>
    </row>
    <row r="7219" hidden="1">
      <c r="F7219" s="1" t="str">
        <f t="shared" si="1"/>
        <v/>
      </c>
      <c r="G7219" s="1" t="str">
        <f t="shared" si="2"/>
        <v/>
      </c>
      <c r="J7219" s="1" t="str">
        <f t="shared" si="3"/>
        <v/>
      </c>
      <c r="K7219" s="1" t="str">
        <f t="shared" si="4"/>
        <v/>
      </c>
    </row>
    <row r="7220" hidden="1">
      <c r="F7220" s="1" t="str">
        <f t="shared" si="1"/>
        <v/>
      </c>
      <c r="G7220" s="1" t="str">
        <f t="shared" si="2"/>
        <v/>
      </c>
      <c r="J7220" s="1" t="str">
        <f t="shared" si="3"/>
        <v/>
      </c>
      <c r="K7220" s="1" t="str">
        <f t="shared" si="4"/>
        <v/>
      </c>
    </row>
    <row r="7221" hidden="1">
      <c r="F7221" s="1" t="str">
        <f t="shared" si="1"/>
        <v/>
      </c>
      <c r="G7221" s="1" t="str">
        <f t="shared" si="2"/>
        <v/>
      </c>
      <c r="J7221" s="1" t="str">
        <f t="shared" si="3"/>
        <v/>
      </c>
      <c r="K7221" s="1" t="str">
        <f t="shared" si="4"/>
        <v/>
      </c>
    </row>
    <row r="7222" hidden="1">
      <c r="F7222" s="1" t="str">
        <f t="shared" si="1"/>
        <v/>
      </c>
      <c r="G7222" s="1" t="str">
        <f t="shared" si="2"/>
        <v/>
      </c>
      <c r="J7222" s="1" t="str">
        <f t="shared" si="3"/>
        <v/>
      </c>
      <c r="K7222" s="1" t="str">
        <f t="shared" si="4"/>
        <v/>
      </c>
    </row>
    <row r="7223" hidden="1">
      <c r="F7223" s="1" t="str">
        <f t="shared" si="1"/>
        <v/>
      </c>
      <c r="G7223" s="1" t="str">
        <f t="shared" si="2"/>
        <v/>
      </c>
      <c r="J7223" s="1" t="str">
        <f t="shared" si="3"/>
        <v/>
      </c>
      <c r="K7223" s="1" t="str">
        <f t="shared" si="4"/>
        <v/>
      </c>
    </row>
    <row r="7224" hidden="1">
      <c r="F7224" s="1" t="str">
        <f t="shared" si="1"/>
        <v/>
      </c>
      <c r="G7224" s="1" t="str">
        <f t="shared" si="2"/>
        <v/>
      </c>
      <c r="J7224" s="1" t="str">
        <f t="shared" si="3"/>
        <v/>
      </c>
      <c r="K7224" s="1" t="str">
        <f t="shared" si="4"/>
        <v/>
      </c>
    </row>
    <row r="7225" hidden="1">
      <c r="F7225" s="1" t="str">
        <f t="shared" si="1"/>
        <v/>
      </c>
      <c r="G7225" s="1" t="str">
        <f t="shared" si="2"/>
        <v/>
      </c>
      <c r="J7225" s="1" t="str">
        <f t="shared" si="3"/>
        <v/>
      </c>
      <c r="K7225" s="1" t="str">
        <f t="shared" si="4"/>
        <v/>
      </c>
    </row>
    <row r="7226" hidden="1">
      <c r="F7226" s="1" t="str">
        <f t="shared" si="1"/>
        <v/>
      </c>
      <c r="G7226" s="1" t="str">
        <f t="shared" si="2"/>
        <v/>
      </c>
      <c r="J7226" s="1" t="str">
        <f t="shared" si="3"/>
        <v/>
      </c>
      <c r="K7226" s="1" t="str">
        <f t="shared" si="4"/>
        <v/>
      </c>
    </row>
    <row r="7227" hidden="1">
      <c r="F7227" s="1" t="str">
        <f t="shared" si="1"/>
        <v/>
      </c>
      <c r="G7227" s="1" t="str">
        <f t="shared" si="2"/>
        <v/>
      </c>
      <c r="J7227" s="1" t="str">
        <f t="shared" si="3"/>
        <v/>
      </c>
      <c r="K7227" s="1" t="str">
        <f t="shared" si="4"/>
        <v/>
      </c>
    </row>
    <row r="7228" hidden="1">
      <c r="F7228" s="1" t="str">
        <f t="shared" si="1"/>
        <v/>
      </c>
      <c r="G7228" s="1" t="str">
        <f t="shared" si="2"/>
        <v/>
      </c>
      <c r="J7228" s="1" t="str">
        <f t="shared" si="3"/>
        <v/>
      </c>
      <c r="K7228" s="1" t="str">
        <f t="shared" si="4"/>
        <v/>
      </c>
    </row>
    <row r="7229" hidden="1">
      <c r="F7229" s="1" t="str">
        <f t="shared" si="1"/>
        <v/>
      </c>
      <c r="G7229" s="1" t="str">
        <f t="shared" si="2"/>
        <v/>
      </c>
      <c r="J7229" s="1" t="str">
        <f t="shared" si="3"/>
        <v/>
      </c>
      <c r="K7229" s="1" t="str">
        <f t="shared" si="4"/>
        <v/>
      </c>
    </row>
    <row r="7230" hidden="1">
      <c r="F7230" s="1" t="str">
        <f t="shared" si="1"/>
        <v/>
      </c>
      <c r="G7230" s="1" t="str">
        <f t="shared" si="2"/>
        <v/>
      </c>
      <c r="J7230" s="1" t="str">
        <f t="shared" si="3"/>
        <v/>
      </c>
      <c r="K7230" s="1" t="str">
        <f t="shared" si="4"/>
        <v/>
      </c>
    </row>
    <row r="7231" hidden="1">
      <c r="F7231" s="1" t="str">
        <f t="shared" si="1"/>
        <v/>
      </c>
      <c r="G7231" s="1" t="str">
        <f t="shared" si="2"/>
        <v/>
      </c>
      <c r="J7231" s="1" t="str">
        <f t="shared" si="3"/>
        <v/>
      </c>
      <c r="K7231" s="1" t="str">
        <f t="shared" si="4"/>
        <v/>
      </c>
    </row>
    <row r="7232" hidden="1">
      <c r="F7232" s="1" t="str">
        <f t="shared" si="1"/>
        <v/>
      </c>
      <c r="G7232" s="1" t="str">
        <f t="shared" si="2"/>
        <v/>
      </c>
      <c r="J7232" s="1" t="str">
        <f t="shared" si="3"/>
        <v/>
      </c>
      <c r="K7232" s="1" t="str">
        <f t="shared" si="4"/>
        <v/>
      </c>
    </row>
    <row r="7233" hidden="1">
      <c r="F7233" s="1" t="str">
        <f t="shared" si="1"/>
        <v/>
      </c>
      <c r="G7233" s="1" t="str">
        <f t="shared" si="2"/>
        <v/>
      </c>
      <c r="J7233" s="1" t="str">
        <f t="shared" si="3"/>
        <v/>
      </c>
      <c r="K7233" s="1" t="str">
        <f t="shared" si="4"/>
        <v/>
      </c>
    </row>
    <row r="7234" hidden="1">
      <c r="F7234" s="1" t="str">
        <f t="shared" si="1"/>
        <v/>
      </c>
      <c r="G7234" s="1" t="str">
        <f t="shared" si="2"/>
        <v/>
      </c>
      <c r="J7234" s="1" t="str">
        <f t="shared" si="3"/>
        <v/>
      </c>
      <c r="K7234" s="1" t="str">
        <f t="shared" si="4"/>
        <v/>
      </c>
    </row>
    <row r="7235" hidden="1">
      <c r="F7235" s="1" t="str">
        <f t="shared" si="1"/>
        <v/>
      </c>
      <c r="G7235" s="1" t="str">
        <f t="shared" si="2"/>
        <v/>
      </c>
      <c r="J7235" s="1" t="str">
        <f t="shared" si="3"/>
        <v/>
      </c>
      <c r="K7235" s="1" t="str">
        <f t="shared" si="4"/>
        <v/>
      </c>
    </row>
    <row r="7236" hidden="1">
      <c r="F7236" s="1" t="str">
        <f t="shared" si="1"/>
        <v/>
      </c>
      <c r="G7236" s="1" t="str">
        <f t="shared" si="2"/>
        <v/>
      </c>
      <c r="J7236" s="1" t="str">
        <f t="shared" si="3"/>
        <v/>
      </c>
      <c r="K7236" s="1" t="str">
        <f t="shared" si="4"/>
        <v/>
      </c>
    </row>
    <row r="7237" hidden="1">
      <c r="F7237" s="1" t="str">
        <f t="shared" si="1"/>
        <v/>
      </c>
      <c r="G7237" s="1" t="str">
        <f t="shared" si="2"/>
        <v/>
      </c>
      <c r="J7237" s="1" t="str">
        <f t="shared" si="3"/>
        <v/>
      </c>
      <c r="K7237" s="1" t="str">
        <f t="shared" si="4"/>
        <v/>
      </c>
    </row>
    <row r="7238" hidden="1">
      <c r="F7238" s="1" t="str">
        <f t="shared" si="1"/>
        <v/>
      </c>
      <c r="G7238" s="1" t="str">
        <f t="shared" si="2"/>
        <v/>
      </c>
      <c r="J7238" s="1" t="str">
        <f t="shared" si="3"/>
        <v/>
      </c>
      <c r="K7238" s="1" t="str">
        <f t="shared" si="4"/>
        <v/>
      </c>
    </row>
    <row r="7239" hidden="1">
      <c r="F7239" s="1" t="str">
        <f t="shared" si="1"/>
        <v/>
      </c>
      <c r="G7239" s="1" t="str">
        <f t="shared" si="2"/>
        <v/>
      </c>
      <c r="J7239" s="1" t="str">
        <f t="shared" si="3"/>
        <v/>
      </c>
      <c r="K7239" s="1" t="str">
        <f t="shared" si="4"/>
        <v/>
      </c>
    </row>
    <row r="7240" hidden="1">
      <c r="F7240" s="1" t="str">
        <f t="shared" si="1"/>
        <v/>
      </c>
      <c r="G7240" s="1" t="str">
        <f t="shared" si="2"/>
        <v/>
      </c>
      <c r="J7240" s="1" t="str">
        <f t="shared" si="3"/>
        <v/>
      </c>
      <c r="K7240" s="1" t="str">
        <f t="shared" si="4"/>
        <v/>
      </c>
    </row>
    <row r="7241" hidden="1">
      <c r="F7241" s="1" t="str">
        <f t="shared" si="1"/>
        <v/>
      </c>
      <c r="G7241" s="1" t="str">
        <f t="shared" si="2"/>
        <v/>
      </c>
      <c r="J7241" s="1" t="str">
        <f t="shared" si="3"/>
        <v/>
      </c>
      <c r="K7241" s="1" t="str">
        <f t="shared" si="4"/>
        <v/>
      </c>
    </row>
    <row r="7242" hidden="1">
      <c r="F7242" s="1" t="str">
        <f t="shared" si="1"/>
        <v/>
      </c>
      <c r="G7242" s="1" t="str">
        <f t="shared" si="2"/>
        <v/>
      </c>
      <c r="J7242" s="1" t="str">
        <f t="shared" si="3"/>
        <v/>
      </c>
      <c r="K7242" s="1" t="str">
        <f t="shared" si="4"/>
        <v/>
      </c>
    </row>
    <row r="7243" hidden="1">
      <c r="F7243" s="1" t="str">
        <f t="shared" si="1"/>
        <v/>
      </c>
      <c r="G7243" s="1" t="str">
        <f t="shared" si="2"/>
        <v/>
      </c>
      <c r="J7243" s="1" t="str">
        <f t="shared" si="3"/>
        <v/>
      </c>
      <c r="K7243" s="1" t="str">
        <f t="shared" si="4"/>
        <v/>
      </c>
    </row>
    <row r="7244" hidden="1">
      <c r="F7244" s="1" t="str">
        <f t="shared" si="1"/>
        <v/>
      </c>
      <c r="G7244" s="1" t="str">
        <f t="shared" si="2"/>
        <v/>
      </c>
      <c r="J7244" s="1" t="str">
        <f t="shared" si="3"/>
        <v/>
      </c>
      <c r="K7244" s="1" t="str">
        <f t="shared" si="4"/>
        <v/>
      </c>
    </row>
    <row r="7245" hidden="1">
      <c r="F7245" s="1" t="str">
        <f t="shared" si="1"/>
        <v/>
      </c>
      <c r="G7245" s="1" t="str">
        <f t="shared" si="2"/>
        <v/>
      </c>
      <c r="J7245" s="1" t="str">
        <f t="shared" si="3"/>
        <v/>
      </c>
      <c r="K7245" s="1" t="str">
        <f t="shared" si="4"/>
        <v/>
      </c>
    </row>
    <row r="7246" hidden="1">
      <c r="F7246" s="1" t="str">
        <f t="shared" si="1"/>
        <v/>
      </c>
      <c r="G7246" s="1" t="str">
        <f t="shared" si="2"/>
        <v/>
      </c>
      <c r="J7246" s="1" t="str">
        <f t="shared" si="3"/>
        <v/>
      </c>
      <c r="K7246" s="1" t="str">
        <f t="shared" si="4"/>
        <v/>
      </c>
    </row>
    <row r="7247" hidden="1">
      <c r="F7247" s="1" t="str">
        <f t="shared" si="1"/>
        <v/>
      </c>
      <c r="G7247" s="1" t="str">
        <f t="shared" si="2"/>
        <v/>
      </c>
      <c r="J7247" s="1" t="str">
        <f t="shared" si="3"/>
        <v/>
      </c>
      <c r="K7247" s="1" t="str">
        <f t="shared" si="4"/>
        <v/>
      </c>
    </row>
    <row r="7248" hidden="1">
      <c r="F7248" s="1" t="str">
        <f t="shared" si="1"/>
        <v/>
      </c>
      <c r="G7248" s="1" t="str">
        <f t="shared" si="2"/>
        <v/>
      </c>
      <c r="J7248" s="1" t="str">
        <f t="shared" si="3"/>
        <v/>
      </c>
      <c r="K7248" s="1" t="str">
        <f t="shared" si="4"/>
        <v/>
      </c>
    </row>
    <row r="7249" hidden="1">
      <c r="F7249" s="1" t="str">
        <f t="shared" si="1"/>
        <v/>
      </c>
      <c r="G7249" s="1" t="str">
        <f t="shared" si="2"/>
        <v/>
      </c>
      <c r="J7249" s="1" t="str">
        <f t="shared" si="3"/>
        <v/>
      </c>
      <c r="K7249" s="1" t="str">
        <f t="shared" si="4"/>
        <v/>
      </c>
    </row>
    <row r="7250" hidden="1">
      <c r="F7250" s="1" t="str">
        <f t="shared" si="1"/>
        <v/>
      </c>
      <c r="G7250" s="1" t="str">
        <f t="shared" si="2"/>
        <v/>
      </c>
      <c r="J7250" s="1" t="str">
        <f t="shared" si="3"/>
        <v/>
      </c>
      <c r="K7250" s="1" t="str">
        <f t="shared" si="4"/>
        <v/>
      </c>
    </row>
    <row r="7251" hidden="1">
      <c r="F7251" s="1" t="str">
        <f t="shared" si="1"/>
        <v/>
      </c>
      <c r="G7251" s="1" t="str">
        <f t="shared" si="2"/>
        <v/>
      </c>
      <c r="J7251" s="1" t="str">
        <f t="shared" si="3"/>
        <v/>
      </c>
      <c r="K7251" s="1" t="str">
        <f t="shared" si="4"/>
        <v/>
      </c>
    </row>
    <row r="7252" hidden="1">
      <c r="F7252" s="1" t="str">
        <f t="shared" si="1"/>
        <v/>
      </c>
      <c r="G7252" s="1" t="str">
        <f t="shared" si="2"/>
        <v/>
      </c>
      <c r="J7252" s="1" t="str">
        <f t="shared" si="3"/>
        <v/>
      </c>
      <c r="K7252" s="1" t="str">
        <f t="shared" si="4"/>
        <v/>
      </c>
    </row>
    <row r="7253" hidden="1">
      <c r="F7253" s="1" t="str">
        <f t="shared" si="1"/>
        <v/>
      </c>
      <c r="G7253" s="1" t="str">
        <f t="shared" si="2"/>
        <v/>
      </c>
      <c r="J7253" s="1" t="str">
        <f t="shared" si="3"/>
        <v/>
      </c>
      <c r="K7253" s="1" t="str">
        <f t="shared" si="4"/>
        <v/>
      </c>
    </row>
    <row r="7254" hidden="1">
      <c r="F7254" s="1" t="str">
        <f t="shared" si="1"/>
        <v/>
      </c>
      <c r="G7254" s="1" t="str">
        <f t="shared" si="2"/>
        <v/>
      </c>
      <c r="J7254" s="1" t="str">
        <f t="shared" si="3"/>
        <v/>
      </c>
      <c r="K7254" s="1" t="str">
        <f t="shared" si="4"/>
        <v/>
      </c>
    </row>
    <row r="7255" hidden="1">
      <c r="F7255" s="1" t="str">
        <f t="shared" si="1"/>
        <v/>
      </c>
      <c r="G7255" s="1" t="str">
        <f t="shared" si="2"/>
        <v/>
      </c>
      <c r="J7255" s="1" t="str">
        <f t="shared" si="3"/>
        <v/>
      </c>
      <c r="K7255" s="1" t="str">
        <f t="shared" si="4"/>
        <v/>
      </c>
    </row>
    <row r="7256" hidden="1">
      <c r="F7256" s="1" t="str">
        <f t="shared" si="1"/>
        <v/>
      </c>
      <c r="G7256" s="1" t="str">
        <f t="shared" si="2"/>
        <v/>
      </c>
      <c r="J7256" s="1" t="str">
        <f t="shared" si="3"/>
        <v/>
      </c>
      <c r="K7256" s="1" t="str">
        <f t="shared" si="4"/>
        <v/>
      </c>
    </row>
    <row r="7257" hidden="1">
      <c r="F7257" s="1" t="str">
        <f t="shared" si="1"/>
        <v/>
      </c>
      <c r="G7257" s="1" t="str">
        <f t="shared" si="2"/>
        <v/>
      </c>
      <c r="J7257" s="1" t="str">
        <f t="shared" si="3"/>
        <v/>
      </c>
      <c r="K7257" s="1" t="str">
        <f t="shared" si="4"/>
        <v/>
      </c>
    </row>
    <row r="7258" hidden="1">
      <c r="F7258" s="1" t="str">
        <f t="shared" si="1"/>
        <v/>
      </c>
      <c r="G7258" s="1" t="str">
        <f t="shared" si="2"/>
        <v/>
      </c>
      <c r="J7258" s="1" t="str">
        <f t="shared" si="3"/>
        <v/>
      </c>
      <c r="K7258" s="1" t="str">
        <f t="shared" si="4"/>
        <v/>
      </c>
    </row>
    <row r="7259" hidden="1">
      <c r="F7259" s="1" t="str">
        <f t="shared" si="1"/>
        <v/>
      </c>
      <c r="G7259" s="1" t="str">
        <f t="shared" si="2"/>
        <v/>
      </c>
      <c r="J7259" s="1" t="str">
        <f t="shared" si="3"/>
        <v/>
      </c>
      <c r="K7259" s="1" t="str">
        <f t="shared" si="4"/>
        <v/>
      </c>
    </row>
    <row r="7260" hidden="1">
      <c r="F7260" s="1" t="str">
        <f t="shared" si="1"/>
        <v/>
      </c>
      <c r="G7260" s="1" t="str">
        <f t="shared" si="2"/>
        <v/>
      </c>
      <c r="J7260" s="1" t="str">
        <f t="shared" si="3"/>
        <v/>
      </c>
      <c r="K7260" s="1" t="str">
        <f t="shared" si="4"/>
        <v/>
      </c>
    </row>
    <row r="7261" hidden="1">
      <c r="F7261" s="1" t="str">
        <f t="shared" si="1"/>
        <v/>
      </c>
      <c r="G7261" s="1" t="str">
        <f t="shared" si="2"/>
        <v/>
      </c>
      <c r="J7261" s="1" t="str">
        <f t="shared" si="3"/>
        <v/>
      </c>
      <c r="K7261" s="1" t="str">
        <f t="shared" si="4"/>
        <v/>
      </c>
    </row>
    <row r="7262" hidden="1">
      <c r="F7262" s="1" t="str">
        <f t="shared" si="1"/>
        <v/>
      </c>
      <c r="G7262" s="1" t="str">
        <f t="shared" si="2"/>
        <v/>
      </c>
      <c r="J7262" s="1" t="str">
        <f t="shared" si="3"/>
        <v/>
      </c>
      <c r="K7262" s="1" t="str">
        <f t="shared" si="4"/>
        <v/>
      </c>
    </row>
    <row r="7263" hidden="1">
      <c r="F7263" s="1" t="str">
        <f t="shared" si="1"/>
        <v/>
      </c>
      <c r="G7263" s="1" t="str">
        <f t="shared" si="2"/>
        <v/>
      </c>
      <c r="J7263" s="1" t="str">
        <f t="shared" si="3"/>
        <v/>
      </c>
      <c r="K7263" s="1" t="str">
        <f t="shared" si="4"/>
        <v/>
      </c>
    </row>
    <row r="7264" hidden="1">
      <c r="F7264" s="1" t="str">
        <f t="shared" si="1"/>
        <v/>
      </c>
      <c r="G7264" s="1" t="str">
        <f t="shared" si="2"/>
        <v/>
      </c>
      <c r="J7264" s="1" t="str">
        <f t="shared" si="3"/>
        <v/>
      </c>
      <c r="K7264" s="1" t="str">
        <f t="shared" si="4"/>
        <v/>
      </c>
    </row>
    <row r="7265" hidden="1">
      <c r="F7265" s="1" t="str">
        <f t="shared" si="1"/>
        <v/>
      </c>
      <c r="G7265" s="1" t="str">
        <f t="shared" si="2"/>
        <v/>
      </c>
      <c r="J7265" s="1" t="str">
        <f t="shared" si="3"/>
        <v/>
      </c>
      <c r="K7265" s="1" t="str">
        <f t="shared" si="4"/>
        <v/>
      </c>
    </row>
    <row r="7266" hidden="1">
      <c r="F7266" s="1" t="str">
        <f t="shared" si="1"/>
        <v/>
      </c>
      <c r="G7266" s="1" t="str">
        <f t="shared" si="2"/>
        <v/>
      </c>
      <c r="J7266" s="1" t="str">
        <f t="shared" si="3"/>
        <v/>
      </c>
      <c r="K7266" s="1" t="str">
        <f t="shared" si="4"/>
        <v/>
      </c>
    </row>
    <row r="7267" hidden="1">
      <c r="F7267" s="1" t="str">
        <f t="shared" si="1"/>
        <v/>
      </c>
      <c r="G7267" s="1" t="str">
        <f t="shared" si="2"/>
        <v/>
      </c>
      <c r="J7267" s="1" t="str">
        <f t="shared" si="3"/>
        <v/>
      </c>
      <c r="K7267" s="1" t="str">
        <f t="shared" si="4"/>
        <v/>
      </c>
    </row>
    <row r="7268" hidden="1">
      <c r="F7268" s="1" t="str">
        <f t="shared" si="1"/>
        <v/>
      </c>
      <c r="G7268" s="1" t="str">
        <f t="shared" si="2"/>
        <v/>
      </c>
      <c r="J7268" s="1" t="str">
        <f t="shared" si="3"/>
        <v/>
      </c>
      <c r="K7268" s="1" t="str">
        <f t="shared" si="4"/>
        <v/>
      </c>
    </row>
    <row r="7269" hidden="1">
      <c r="F7269" s="1" t="str">
        <f t="shared" si="1"/>
        <v/>
      </c>
      <c r="G7269" s="1" t="str">
        <f t="shared" si="2"/>
        <v/>
      </c>
      <c r="J7269" s="1" t="str">
        <f t="shared" si="3"/>
        <v/>
      </c>
      <c r="K7269" s="1" t="str">
        <f t="shared" si="4"/>
        <v/>
      </c>
    </row>
    <row r="7270" hidden="1">
      <c r="F7270" s="1" t="str">
        <f t="shared" si="1"/>
        <v/>
      </c>
      <c r="G7270" s="1" t="str">
        <f t="shared" si="2"/>
        <v/>
      </c>
      <c r="J7270" s="1" t="str">
        <f t="shared" si="3"/>
        <v/>
      </c>
      <c r="K7270" s="1" t="str">
        <f t="shared" si="4"/>
        <v/>
      </c>
    </row>
    <row r="7271" hidden="1">
      <c r="F7271" s="1" t="str">
        <f t="shared" si="1"/>
        <v/>
      </c>
      <c r="G7271" s="1" t="str">
        <f t="shared" si="2"/>
        <v/>
      </c>
      <c r="J7271" s="1" t="str">
        <f t="shared" si="3"/>
        <v/>
      </c>
      <c r="K7271" s="1" t="str">
        <f t="shared" si="4"/>
        <v/>
      </c>
    </row>
    <row r="7272" hidden="1">
      <c r="F7272" s="1" t="str">
        <f t="shared" si="1"/>
        <v/>
      </c>
      <c r="G7272" s="1" t="str">
        <f t="shared" si="2"/>
        <v/>
      </c>
      <c r="J7272" s="1" t="str">
        <f t="shared" si="3"/>
        <v/>
      </c>
      <c r="K7272" s="1" t="str">
        <f t="shared" si="4"/>
        <v/>
      </c>
    </row>
    <row r="7273" hidden="1">
      <c r="F7273" s="1" t="str">
        <f t="shared" si="1"/>
        <v/>
      </c>
      <c r="G7273" s="1" t="str">
        <f t="shared" si="2"/>
        <v/>
      </c>
      <c r="J7273" s="1" t="str">
        <f t="shared" si="3"/>
        <v/>
      </c>
      <c r="K7273" s="1" t="str">
        <f t="shared" si="4"/>
        <v/>
      </c>
    </row>
    <row r="7274" hidden="1">
      <c r="F7274" s="1" t="str">
        <f t="shared" si="1"/>
        <v/>
      </c>
      <c r="G7274" s="1" t="str">
        <f t="shared" si="2"/>
        <v/>
      </c>
      <c r="J7274" s="1" t="str">
        <f t="shared" si="3"/>
        <v/>
      </c>
      <c r="K7274" s="1" t="str">
        <f t="shared" si="4"/>
        <v/>
      </c>
    </row>
    <row r="7275" hidden="1">
      <c r="F7275" s="1" t="str">
        <f t="shared" si="1"/>
        <v/>
      </c>
      <c r="G7275" s="1" t="str">
        <f t="shared" si="2"/>
        <v/>
      </c>
      <c r="J7275" s="1" t="str">
        <f t="shared" si="3"/>
        <v/>
      </c>
      <c r="K7275" s="1" t="str">
        <f t="shared" si="4"/>
        <v/>
      </c>
    </row>
    <row r="7276" hidden="1">
      <c r="F7276" s="1" t="str">
        <f t="shared" si="1"/>
        <v/>
      </c>
      <c r="G7276" s="1" t="str">
        <f t="shared" si="2"/>
        <v/>
      </c>
      <c r="J7276" s="1" t="str">
        <f t="shared" si="3"/>
        <v/>
      </c>
      <c r="K7276" s="1" t="str">
        <f t="shared" si="4"/>
        <v/>
      </c>
    </row>
    <row r="7277" hidden="1">
      <c r="F7277" s="1" t="str">
        <f t="shared" si="1"/>
        <v/>
      </c>
      <c r="G7277" s="1" t="str">
        <f t="shared" si="2"/>
        <v/>
      </c>
      <c r="J7277" s="1" t="str">
        <f t="shared" si="3"/>
        <v/>
      </c>
      <c r="K7277" s="1" t="str">
        <f t="shared" si="4"/>
        <v/>
      </c>
    </row>
    <row r="7278" hidden="1">
      <c r="F7278" s="1" t="str">
        <f t="shared" si="1"/>
        <v/>
      </c>
      <c r="G7278" s="1" t="str">
        <f t="shared" si="2"/>
        <v/>
      </c>
      <c r="J7278" s="1" t="str">
        <f t="shared" si="3"/>
        <v/>
      </c>
      <c r="K7278" s="1" t="str">
        <f t="shared" si="4"/>
        <v/>
      </c>
    </row>
    <row r="7279" hidden="1">
      <c r="F7279" s="1" t="str">
        <f t="shared" si="1"/>
        <v/>
      </c>
      <c r="G7279" s="1" t="str">
        <f t="shared" si="2"/>
        <v/>
      </c>
      <c r="J7279" s="1" t="str">
        <f t="shared" si="3"/>
        <v/>
      </c>
      <c r="K7279" s="1" t="str">
        <f t="shared" si="4"/>
        <v/>
      </c>
    </row>
    <row r="7280" hidden="1">
      <c r="F7280" s="1" t="str">
        <f t="shared" si="1"/>
        <v/>
      </c>
      <c r="G7280" s="1" t="str">
        <f t="shared" si="2"/>
        <v/>
      </c>
      <c r="J7280" s="1" t="str">
        <f t="shared" si="3"/>
        <v/>
      </c>
      <c r="K7280" s="1" t="str">
        <f t="shared" si="4"/>
        <v/>
      </c>
    </row>
    <row r="7281" hidden="1">
      <c r="F7281" s="1" t="str">
        <f t="shared" si="1"/>
        <v/>
      </c>
      <c r="G7281" s="1" t="str">
        <f t="shared" si="2"/>
        <v/>
      </c>
      <c r="J7281" s="1" t="str">
        <f t="shared" si="3"/>
        <v/>
      </c>
      <c r="K7281" s="1" t="str">
        <f t="shared" si="4"/>
        <v/>
      </c>
    </row>
    <row r="7282" hidden="1">
      <c r="F7282" s="1" t="str">
        <f t="shared" si="1"/>
        <v/>
      </c>
      <c r="G7282" s="1" t="str">
        <f t="shared" si="2"/>
        <v/>
      </c>
      <c r="J7282" s="1" t="str">
        <f t="shared" si="3"/>
        <v/>
      </c>
      <c r="K7282" s="1" t="str">
        <f t="shared" si="4"/>
        <v/>
      </c>
    </row>
    <row r="7283" hidden="1">
      <c r="F7283" s="1" t="str">
        <f t="shared" si="1"/>
        <v/>
      </c>
      <c r="G7283" s="1" t="str">
        <f t="shared" si="2"/>
        <v/>
      </c>
      <c r="J7283" s="1" t="str">
        <f t="shared" si="3"/>
        <v/>
      </c>
      <c r="K7283" s="1" t="str">
        <f t="shared" si="4"/>
        <v/>
      </c>
    </row>
    <row r="7284" hidden="1">
      <c r="F7284" s="1" t="str">
        <f t="shared" si="1"/>
        <v/>
      </c>
      <c r="G7284" s="1" t="str">
        <f t="shared" si="2"/>
        <v/>
      </c>
      <c r="J7284" s="1" t="str">
        <f t="shared" si="3"/>
        <v/>
      </c>
      <c r="K7284" s="1" t="str">
        <f t="shared" si="4"/>
        <v/>
      </c>
    </row>
    <row r="7285" hidden="1">
      <c r="F7285" s="1" t="str">
        <f t="shared" si="1"/>
        <v/>
      </c>
      <c r="G7285" s="1" t="str">
        <f t="shared" si="2"/>
        <v/>
      </c>
      <c r="J7285" s="1" t="str">
        <f t="shared" si="3"/>
        <v/>
      </c>
      <c r="K7285" s="1" t="str">
        <f t="shared" si="4"/>
        <v/>
      </c>
    </row>
    <row r="7286" hidden="1">
      <c r="F7286" s="1" t="str">
        <f t="shared" si="1"/>
        <v/>
      </c>
      <c r="G7286" s="1" t="str">
        <f t="shared" si="2"/>
        <v/>
      </c>
      <c r="J7286" s="1" t="str">
        <f t="shared" si="3"/>
        <v/>
      </c>
      <c r="K7286" s="1" t="str">
        <f t="shared" si="4"/>
        <v/>
      </c>
    </row>
    <row r="7287" hidden="1">
      <c r="F7287" s="1" t="str">
        <f t="shared" si="1"/>
        <v/>
      </c>
      <c r="G7287" s="1" t="str">
        <f t="shared" si="2"/>
        <v/>
      </c>
      <c r="J7287" s="1" t="str">
        <f t="shared" si="3"/>
        <v/>
      </c>
      <c r="K7287" s="1" t="str">
        <f t="shared" si="4"/>
        <v/>
      </c>
    </row>
    <row r="7288" hidden="1">
      <c r="F7288" s="1" t="str">
        <f t="shared" si="1"/>
        <v/>
      </c>
      <c r="G7288" s="1" t="str">
        <f t="shared" si="2"/>
        <v/>
      </c>
      <c r="J7288" s="1" t="str">
        <f t="shared" si="3"/>
        <v/>
      </c>
      <c r="K7288" s="1" t="str">
        <f t="shared" si="4"/>
        <v/>
      </c>
    </row>
    <row r="7289" hidden="1">
      <c r="F7289" s="1" t="str">
        <f t="shared" si="1"/>
        <v/>
      </c>
      <c r="G7289" s="1" t="str">
        <f t="shared" si="2"/>
        <v/>
      </c>
      <c r="J7289" s="1" t="str">
        <f t="shared" si="3"/>
        <v/>
      </c>
      <c r="K7289" s="1" t="str">
        <f t="shared" si="4"/>
        <v/>
      </c>
    </row>
    <row r="7290" hidden="1">
      <c r="F7290" s="1" t="str">
        <f t="shared" si="1"/>
        <v/>
      </c>
      <c r="G7290" s="1" t="str">
        <f t="shared" si="2"/>
        <v/>
      </c>
      <c r="J7290" s="1" t="str">
        <f t="shared" si="3"/>
        <v/>
      </c>
      <c r="K7290" s="1" t="str">
        <f t="shared" si="4"/>
        <v/>
      </c>
    </row>
    <row r="7291" hidden="1">
      <c r="F7291" s="1" t="str">
        <f t="shared" si="1"/>
        <v/>
      </c>
      <c r="G7291" s="1" t="str">
        <f t="shared" si="2"/>
        <v/>
      </c>
      <c r="J7291" s="1" t="str">
        <f t="shared" si="3"/>
        <v/>
      </c>
      <c r="K7291" s="1" t="str">
        <f t="shared" si="4"/>
        <v/>
      </c>
    </row>
    <row r="7292" hidden="1">
      <c r="F7292" s="1" t="str">
        <f t="shared" si="1"/>
        <v/>
      </c>
      <c r="G7292" s="1" t="str">
        <f t="shared" si="2"/>
        <v/>
      </c>
      <c r="J7292" s="1" t="str">
        <f t="shared" si="3"/>
        <v/>
      </c>
      <c r="K7292" s="1" t="str">
        <f t="shared" si="4"/>
        <v/>
      </c>
    </row>
    <row r="7293" hidden="1">
      <c r="F7293" s="1" t="str">
        <f t="shared" si="1"/>
        <v/>
      </c>
      <c r="G7293" s="1" t="str">
        <f t="shared" si="2"/>
        <v/>
      </c>
      <c r="J7293" s="1" t="str">
        <f t="shared" si="3"/>
        <v/>
      </c>
      <c r="K7293" s="1" t="str">
        <f t="shared" si="4"/>
        <v/>
      </c>
    </row>
    <row r="7294" hidden="1">
      <c r="F7294" s="1" t="str">
        <f t="shared" si="1"/>
        <v/>
      </c>
      <c r="G7294" s="1" t="str">
        <f t="shared" si="2"/>
        <v/>
      </c>
      <c r="J7294" s="1" t="str">
        <f t="shared" si="3"/>
        <v/>
      </c>
      <c r="K7294" s="1" t="str">
        <f t="shared" si="4"/>
        <v/>
      </c>
    </row>
    <row r="7295" hidden="1">
      <c r="F7295" s="1" t="str">
        <f t="shared" si="1"/>
        <v/>
      </c>
      <c r="G7295" s="1" t="str">
        <f t="shared" si="2"/>
        <v/>
      </c>
      <c r="J7295" s="1" t="str">
        <f t="shared" si="3"/>
        <v/>
      </c>
      <c r="K7295" s="1" t="str">
        <f t="shared" si="4"/>
        <v/>
      </c>
    </row>
    <row r="7296" hidden="1">
      <c r="F7296" s="1" t="str">
        <f t="shared" si="1"/>
        <v/>
      </c>
      <c r="G7296" s="1" t="str">
        <f t="shared" si="2"/>
        <v/>
      </c>
      <c r="J7296" s="1" t="str">
        <f t="shared" si="3"/>
        <v/>
      </c>
      <c r="K7296" s="1" t="str">
        <f t="shared" si="4"/>
        <v/>
      </c>
    </row>
    <row r="7297" hidden="1">
      <c r="F7297" s="1" t="str">
        <f t="shared" si="1"/>
        <v/>
      </c>
      <c r="G7297" s="1" t="str">
        <f t="shared" si="2"/>
        <v/>
      </c>
      <c r="J7297" s="1" t="str">
        <f t="shared" si="3"/>
        <v/>
      </c>
      <c r="K7297" s="1" t="str">
        <f t="shared" si="4"/>
        <v/>
      </c>
    </row>
    <row r="7298" hidden="1">
      <c r="F7298" s="1" t="str">
        <f t="shared" si="1"/>
        <v/>
      </c>
      <c r="G7298" s="1" t="str">
        <f t="shared" si="2"/>
        <v/>
      </c>
      <c r="J7298" s="1" t="str">
        <f t="shared" si="3"/>
        <v/>
      </c>
      <c r="K7298" s="1" t="str">
        <f t="shared" si="4"/>
        <v/>
      </c>
    </row>
    <row r="7299" hidden="1">
      <c r="F7299" s="1" t="str">
        <f t="shared" si="1"/>
        <v/>
      </c>
      <c r="G7299" s="1" t="str">
        <f t="shared" si="2"/>
        <v/>
      </c>
      <c r="J7299" s="1" t="str">
        <f t="shared" si="3"/>
        <v/>
      </c>
      <c r="K7299" s="1" t="str">
        <f t="shared" si="4"/>
        <v/>
      </c>
    </row>
    <row r="7300" hidden="1">
      <c r="F7300" s="1" t="str">
        <f t="shared" si="1"/>
        <v/>
      </c>
      <c r="G7300" s="1" t="str">
        <f t="shared" si="2"/>
        <v/>
      </c>
      <c r="J7300" s="1" t="str">
        <f t="shared" si="3"/>
        <v/>
      </c>
      <c r="K7300" s="1" t="str">
        <f t="shared" si="4"/>
        <v/>
      </c>
    </row>
    <row r="7301" hidden="1">
      <c r="F7301" s="1" t="str">
        <f t="shared" si="1"/>
        <v/>
      </c>
      <c r="G7301" s="1" t="str">
        <f t="shared" si="2"/>
        <v/>
      </c>
      <c r="J7301" s="1" t="str">
        <f t="shared" si="3"/>
        <v/>
      </c>
      <c r="K7301" s="1" t="str">
        <f t="shared" si="4"/>
        <v/>
      </c>
    </row>
    <row r="7302" hidden="1">
      <c r="F7302" s="1" t="str">
        <f t="shared" si="1"/>
        <v/>
      </c>
      <c r="G7302" s="1" t="str">
        <f t="shared" si="2"/>
        <v/>
      </c>
      <c r="J7302" s="1" t="str">
        <f t="shared" si="3"/>
        <v/>
      </c>
      <c r="K7302" s="1" t="str">
        <f t="shared" si="4"/>
        <v/>
      </c>
    </row>
    <row r="7303" hidden="1">
      <c r="F7303" s="1" t="str">
        <f t="shared" si="1"/>
        <v/>
      </c>
      <c r="G7303" s="1" t="str">
        <f t="shared" si="2"/>
        <v/>
      </c>
      <c r="J7303" s="1" t="str">
        <f t="shared" si="3"/>
        <v/>
      </c>
      <c r="K7303" s="1" t="str">
        <f t="shared" si="4"/>
        <v/>
      </c>
    </row>
    <row r="7304" hidden="1">
      <c r="F7304" s="1" t="str">
        <f t="shared" si="1"/>
        <v/>
      </c>
      <c r="G7304" s="1" t="str">
        <f t="shared" si="2"/>
        <v/>
      </c>
      <c r="J7304" s="1" t="str">
        <f t="shared" si="3"/>
        <v/>
      </c>
      <c r="K7304" s="1" t="str">
        <f t="shared" si="4"/>
        <v/>
      </c>
    </row>
    <row r="7305" hidden="1">
      <c r="F7305" s="1" t="str">
        <f t="shared" si="1"/>
        <v/>
      </c>
      <c r="G7305" s="1" t="str">
        <f t="shared" si="2"/>
        <v/>
      </c>
      <c r="J7305" s="1" t="str">
        <f t="shared" si="3"/>
        <v/>
      </c>
      <c r="K7305" s="1" t="str">
        <f t="shared" si="4"/>
        <v/>
      </c>
    </row>
    <row r="7306" hidden="1">
      <c r="F7306" s="1" t="str">
        <f t="shared" si="1"/>
        <v/>
      </c>
      <c r="G7306" s="1" t="str">
        <f t="shared" si="2"/>
        <v/>
      </c>
      <c r="J7306" s="1" t="str">
        <f t="shared" si="3"/>
        <v/>
      </c>
      <c r="K7306" s="1" t="str">
        <f t="shared" si="4"/>
        <v/>
      </c>
    </row>
    <row r="7307" hidden="1">
      <c r="F7307" s="1" t="str">
        <f t="shared" si="1"/>
        <v/>
      </c>
      <c r="G7307" s="1" t="str">
        <f t="shared" si="2"/>
        <v/>
      </c>
      <c r="J7307" s="1" t="str">
        <f t="shared" si="3"/>
        <v/>
      </c>
      <c r="K7307" s="1" t="str">
        <f t="shared" si="4"/>
        <v/>
      </c>
    </row>
    <row r="7308" hidden="1">
      <c r="F7308" s="1" t="str">
        <f t="shared" si="1"/>
        <v/>
      </c>
      <c r="G7308" s="1" t="str">
        <f t="shared" si="2"/>
        <v/>
      </c>
      <c r="J7308" s="1" t="str">
        <f t="shared" si="3"/>
        <v/>
      </c>
      <c r="K7308" s="1" t="str">
        <f t="shared" si="4"/>
        <v/>
      </c>
    </row>
    <row r="7309" hidden="1">
      <c r="F7309" s="1" t="str">
        <f t="shared" si="1"/>
        <v/>
      </c>
      <c r="G7309" s="1" t="str">
        <f t="shared" si="2"/>
        <v/>
      </c>
      <c r="J7309" s="1" t="str">
        <f t="shared" si="3"/>
        <v/>
      </c>
      <c r="K7309" s="1" t="str">
        <f t="shared" si="4"/>
        <v/>
      </c>
    </row>
    <row r="7310" hidden="1">
      <c r="F7310" s="1" t="str">
        <f t="shared" si="1"/>
        <v/>
      </c>
      <c r="G7310" s="1" t="str">
        <f t="shared" si="2"/>
        <v/>
      </c>
      <c r="J7310" s="1" t="str">
        <f t="shared" si="3"/>
        <v/>
      </c>
      <c r="K7310" s="1" t="str">
        <f t="shared" si="4"/>
        <v/>
      </c>
    </row>
    <row r="7311" hidden="1">
      <c r="F7311" s="1" t="str">
        <f t="shared" si="1"/>
        <v/>
      </c>
      <c r="G7311" s="1" t="str">
        <f t="shared" si="2"/>
        <v/>
      </c>
      <c r="J7311" s="1" t="str">
        <f t="shared" si="3"/>
        <v/>
      </c>
      <c r="K7311" s="1" t="str">
        <f t="shared" si="4"/>
        <v/>
      </c>
    </row>
    <row r="7312" hidden="1">
      <c r="F7312" s="1" t="str">
        <f t="shared" si="1"/>
        <v/>
      </c>
      <c r="G7312" s="1" t="str">
        <f t="shared" si="2"/>
        <v/>
      </c>
      <c r="J7312" s="1" t="str">
        <f t="shared" si="3"/>
        <v/>
      </c>
      <c r="K7312" s="1" t="str">
        <f t="shared" si="4"/>
        <v/>
      </c>
    </row>
    <row r="7313" hidden="1">
      <c r="F7313" s="1" t="str">
        <f t="shared" si="1"/>
        <v/>
      </c>
      <c r="G7313" s="1" t="str">
        <f t="shared" si="2"/>
        <v/>
      </c>
      <c r="J7313" s="1" t="str">
        <f t="shared" si="3"/>
        <v/>
      </c>
      <c r="K7313" s="1" t="str">
        <f t="shared" si="4"/>
        <v/>
      </c>
    </row>
    <row r="7314" hidden="1">
      <c r="F7314" s="1" t="str">
        <f t="shared" si="1"/>
        <v/>
      </c>
      <c r="G7314" s="1" t="str">
        <f t="shared" si="2"/>
        <v/>
      </c>
      <c r="J7314" s="1" t="str">
        <f t="shared" si="3"/>
        <v/>
      </c>
      <c r="K7314" s="1" t="str">
        <f t="shared" si="4"/>
        <v/>
      </c>
    </row>
    <row r="7315" hidden="1">
      <c r="F7315" s="1" t="str">
        <f t="shared" si="1"/>
        <v/>
      </c>
      <c r="G7315" s="1" t="str">
        <f t="shared" si="2"/>
        <v/>
      </c>
      <c r="J7315" s="1" t="str">
        <f t="shared" si="3"/>
        <v/>
      </c>
      <c r="K7315" s="1" t="str">
        <f t="shared" si="4"/>
        <v/>
      </c>
    </row>
    <row r="7316" hidden="1">
      <c r="F7316" s="1" t="str">
        <f t="shared" si="1"/>
        <v/>
      </c>
      <c r="G7316" s="1" t="str">
        <f t="shared" si="2"/>
        <v/>
      </c>
      <c r="J7316" s="1" t="str">
        <f t="shared" si="3"/>
        <v/>
      </c>
      <c r="K7316" s="1" t="str">
        <f t="shared" si="4"/>
        <v/>
      </c>
    </row>
    <row r="7317" hidden="1">
      <c r="F7317" s="1" t="str">
        <f t="shared" si="1"/>
        <v/>
      </c>
      <c r="G7317" s="1" t="str">
        <f t="shared" si="2"/>
        <v/>
      </c>
      <c r="J7317" s="1" t="str">
        <f t="shared" si="3"/>
        <v/>
      </c>
      <c r="K7317" s="1" t="str">
        <f t="shared" si="4"/>
        <v/>
      </c>
    </row>
    <row r="7318" hidden="1">
      <c r="F7318" s="1" t="str">
        <f t="shared" si="1"/>
        <v/>
      </c>
      <c r="G7318" s="1" t="str">
        <f t="shared" si="2"/>
        <v/>
      </c>
      <c r="J7318" s="1" t="str">
        <f t="shared" si="3"/>
        <v/>
      </c>
      <c r="K7318" s="1" t="str">
        <f t="shared" si="4"/>
        <v/>
      </c>
    </row>
    <row r="7319" hidden="1">
      <c r="F7319" s="1" t="str">
        <f t="shared" si="1"/>
        <v/>
      </c>
      <c r="G7319" s="1" t="str">
        <f t="shared" si="2"/>
        <v/>
      </c>
      <c r="J7319" s="1" t="str">
        <f t="shared" si="3"/>
        <v/>
      </c>
      <c r="K7319" s="1" t="str">
        <f t="shared" si="4"/>
        <v/>
      </c>
    </row>
    <row r="7320" hidden="1">
      <c r="F7320" s="1" t="str">
        <f t="shared" si="1"/>
        <v/>
      </c>
      <c r="G7320" s="1" t="str">
        <f t="shared" si="2"/>
        <v/>
      </c>
      <c r="J7320" s="1" t="str">
        <f t="shared" si="3"/>
        <v/>
      </c>
      <c r="K7320" s="1" t="str">
        <f t="shared" si="4"/>
        <v/>
      </c>
    </row>
    <row r="7321" hidden="1">
      <c r="F7321" s="1" t="str">
        <f t="shared" si="1"/>
        <v/>
      </c>
      <c r="G7321" s="1" t="str">
        <f t="shared" si="2"/>
        <v/>
      </c>
      <c r="J7321" s="1" t="str">
        <f t="shared" si="3"/>
        <v/>
      </c>
      <c r="K7321" s="1" t="str">
        <f t="shared" si="4"/>
        <v/>
      </c>
    </row>
    <row r="7322" hidden="1">
      <c r="F7322" s="1" t="str">
        <f t="shared" si="1"/>
        <v/>
      </c>
      <c r="G7322" s="1" t="str">
        <f t="shared" si="2"/>
        <v/>
      </c>
      <c r="J7322" s="1" t="str">
        <f t="shared" si="3"/>
        <v/>
      </c>
      <c r="K7322" s="1" t="str">
        <f t="shared" si="4"/>
        <v/>
      </c>
    </row>
    <row r="7323" hidden="1">
      <c r="F7323" s="1" t="str">
        <f t="shared" si="1"/>
        <v/>
      </c>
      <c r="G7323" s="1" t="str">
        <f t="shared" si="2"/>
        <v/>
      </c>
      <c r="J7323" s="1" t="str">
        <f t="shared" si="3"/>
        <v/>
      </c>
      <c r="K7323" s="1" t="str">
        <f t="shared" si="4"/>
        <v/>
      </c>
    </row>
    <row r="7324" hidden="1">
      <c r="F7324" s="1" t="str">
        <f t="shared" si="1"/>
        <v/>
      </c>
      <c r="G7324" s="1" t="str">
        <f t="shared" si="2"/>
        <v/>
      </c>
      <c r="J7324" s="1" t="str">
        <f t="shared" si="3"/>
        <v/>
      </c>
      <c r="K7324" s="1" t="str">
        <f t="shared" si="4"/>
        <v/>
      </c>
    </row>
    <row r="7325" hidden="1">
      <c r="F7325" s="1" t="str">
        <f t="shared" si="1"/>
        <v/>
      </c>
      <c r="G7325" s="1" t="str">
        <f t="shared" si="2"/>
        <v/>
      </c>
      <c r="J7325" s="1" t="str">
        <f t="shared" si="3"/>
        <v/>
      </c>
      <c r="K7325" s="1" t="str">
        <f t="shared" si="4"/>
        <v/>
      </c>
    </row>
    <row r="7326" hidden="1">
      <c r="F7326" s="1" t="str">
        <f t="shared" si="1"/>
        <v/>
      </c>
      <c r="G7326" s="1" t="str">
        <f t="shared" si="2"/>
        <v/>
      </c>
      <c r="J7326" s="1" t="str">
        <f t="shared" si="3"/>
        <v/>
      </c>
      <c r="K7326" s="1" t="str">
        <f t="shared" si="4"/>
        <v/>
      </c>
    </row>
    <row r="7327" hidden="1">
      <c r="F7327" s="1" t="str">
        <f t="shared" si="1"/>
        <v/>
      </c>
      <c r="G7327" s="1" t="str">
        <f t="shared" si="2"/>
        <v/>
      </c>
      <c r="J7327" s="1" t="str">
        <f t="shared" si="3"/>
        <v/>
      </c>
      <c r="K7327" s="1" t="str">
        <f t="shared" si="4"/>
        <v/>
      </c>
    </row>
    <row r="7328" hidden="1">
      <c r="F7328" s="1" t="str">
        <f t="shared" si="1"/>
        <v/>
      </c>
      <c r="G7328" s="1" t="str">
        <f t="shared" si="2"/>
        <v/>
      </c>
      <c r="J7328" s="1" t="str">
        <f t="shared" si="3"/>
        <v/>
      </c>
      <c r="K7328" s="1" t="str">
        <f t="shared" si="4"/>
        <v/>
      </c>
    </row>
    <row r="7329" hidden="1">
      <c r="F7329" s="1" t="str">
        <f t="shared" si="1"/>
        <v/>
      </c>
      <c r="G7329" s="1" t="str">
        <f t="shared" si="2"/>
        <v/>
      </c>
      <c r="J7329" s="1" t="str">
        <f t="shared" si="3"/>
        <v/>
      </c>
      <c r="K7329" s="1" t="str">
        <f t="shared" si="4"/>
        <v/>
      </c>
    </row>
    <row r="7330" hidden="1">
      <c r="F7330" s="1" t="str">
        <f t="shared" si="1"/>
        <v/>
      </c>
      <c r="G7330" s="1" t="str">
        <f t="shared" si="2"/>
        <v/>
      </c>
      <c r="J7330" s="1" t="str">
        <f t="shared" si="3"/>
        <v/>
      </c>
      <c r="K7330" s="1" t="str">
        <f t="shared" si="4"/>
        <v/>
      </c>
    </row>
    <row r="7331" hidden="1">
      <c r="F7331" s="1" t="str">
        <f t="shared" si="1"/>
        <v/>
      </c>
      <c r="G7331" s="1" t="str">
        <f t="shared" si="2"/>
        <v/>
      </c>
      <c r="J7331" s="1" t="str">
        <f t="shared" si="3"/>
        <v/>
      </c>
      <c r="K7331" s="1" t="str">
        <f t="shared" si="4"/>
        <v/>
      </c>
    </row>
    <row r="7332" hidden="1">
      <c r="F7332" s="1" t="str">
        <f t="shared" si="1"/>
        <v/>
      </c>
      <c r="G7332" s="1" t="str">
        <f t="shared" si="2"/>
        <v/>
      </c>
      <c r="J7332" s="1" t="str">
        <f t="shared" si="3"/>
        <v/>
      </c>
      <c r="K7332" s="1" t="str">
        <f t="shared" si="4"/>
        <v/>
      </c>
    </row>
    <row r="7333" hidden="1">
      <c r="F7333" s="1" t="str">
        <f t="shared" si="1"/>
        <v/>
      </c>
      <c r="G7333" s="1" t="str">
        <f t="shared" si="2"/>
        <v/>
      </c>
      <c r="J7333" s="1" t="str">
        <f t="shared" si="3"/>
        <v/>
      </c>
      <c r="K7333" s="1" t="str">
        <f t="shared" si="4"/>
        <v/>
      </c>
    </row>
    <row r="7334" hidden="1">
      <c r="F7334" s="1" t="str">
        <f t="shared" si="1"/>
        <v/>
      </c>
      <c r="G7334" s="1" t="str">
        <f t="shared" si="2"/>
        <v/>
      </c>
      <c r="J7334" s="1" t="str">
        <f t="shared" si="3"/>
        <v/>
      </c>
      <c r="K7334" s="1" t="str">
        <f t="shared" si="4"/>
        <v/>
      </c>
    </row>
    <row r="7335" hidden="1">
      <c r="F7335" s="1" t="str">
        <f t="shared" si="1"/>
        <v/>
      </c>
      <c r="G7335" s="1" t="str">
        <f t="shared" si="2"/>
        <v/>
      </c>
      <c r="J7335" s="1" t="str">
        <f t="shared" si="3"/>
        <v/>
      </c>
      <c r="K7335" s="1" t="str">
        <f t="shared" si="4"/>
        <v/>
      </c>
    </row>
    <row r="7336" hidden="1">
      <c r="F7336" s="1" t="str">
        <f t="shared" si="1"/>
        <v/>
      </c>
      <c r="G7336" s="1" t="str">
        <f t="shared" si="2"/>
        <v/>
      </c>
      <c r="J7336" s="1" t="str">
        <f t="shared" si="3"/>
        <v/>
      </c>
      <c r="K7336" s="1" t="str">
        <f t="shared" si="4"/>
        <v/>
      </c>
    </row>
    <row r="7337" hidden="1">
      <c r="F7337" s="1" t="str">
        <f t="shared" si="1"/>
        <v/>
      </c>
      <c r="G7337" s="1" t="str">
        <f t="shared" si="2"/>
        <v/>
      </c>
      <c r="J7337" s="1" t="str">
        <f t="shared" si="3"/>
        <v/>
      </c>
      <c r="K7337" s="1" t="str">
        <f t="shared" si="4"/>
        <v/>
      </c>
    </row>
    <row r="7338" hidden="1">
      <c r="F7338" s="1" t="str">
        <f t="shared" si="1"/>
        <v/>
      </c>
      <c r="G7338" s="1" t="str">
        <f t="shared" si="2"/>
        <v/>
      </c>
      <c r="J7338" s="1" t="str">
        <f t="shared" si="3"/>
        <v/>
      </c>
      <c r="K7338" s="1" t="str">
        <f t="shared" si="4"/>
        <v/>
      </c>
    </row>
    <row r="7339" hidden="1">
      <c r="F7339" s="1" t="str">
        <f t="shared" si="1"/>
        <v/>
      </c>
      <c r="G7339" s="1" t="str">
        <f t="shared" si="2"/>
        <v/>
      </c>
      <c r="J7339" s="1" t="str">
        <f t="shared" si="3"/>
        <v/>
      </c>
      <c r="K7339" s="1" t="str">
        <f t="shared" si="4"/>
        <v/>
      </c>
    </row>
    <row r="7340" hidden="1">
      <c r="F7340" s="1" t="str">
        <f t="shared" si="1"/>
        <v/>
      </c>
      <c r="G7340" s="1" t="str">
        <f t="shared" si="2"/>
        <v/>
      </c>
      <c r="J7340" s="1" t="str">
        <f t="shared" si="3"/>
        <v/>
      </c>
      <c r="K7340" s="1" t="str">
        <f t="shared" si="4"/>
        <v/>
      </c>
    </row>
    <row r="7341" hidden="1">
      <c r="F7341" s="1" t="str">
        <f t="shared" si="1"/>
        <v/>
      </c>
      <c r="G7341" s="1" t="str">
        <f t="shared" si="2"/>
        <v/>
      </c>
      <c r="J7341" s="1" t="str">
        <f t="shared" si="3"/>
        <v/>
      </c>
      <c r="K7341" s="1" t="str">
        <f t="shared" si="4"/>
        <v/>
      </c>
    </row>
    <row r="7342" hidden="1">
      <c r="F7342" s="1" t="str">
        <f t="shared" si="1"/>
        <v/>
      </c>
      <c r="G7342" s="1" t="str">
        <f t="shared" si="2"/>
        <v/>
      </c>
      <c r="J7342" s="1" t="str">
        <f t="shared" si="3"/>
        <v/>
      </c>
      <c r="K7342" s="1" t="str">
        <f t="shared" si="4"/>
        <v/>
      </c>
    </row>
    <row r="7343" hidden="1">
      <c r="F7343" s="1" t="str">
        <f t="shared" si="1"/>
        <v/>
      </c>
      <c r="G7343" s="1" t="str">
        <f t="shared" si="2"/>
        <v/>
      </c>
      <c r="J7343" s="1" t="str">
        <f t="shared" si="3"/>
        <v/>
      </c>
      <c r="K7343" s="1" t="str">
        <f t="shared" si="4"/>
        <v/>
      </c>
    </row>
    <row r="7344" hidden="1">
      <c r="F7344" s="1" t="str">
        <f t="shared" si="1"/>
        <v/>
      </c>
      <c r="G7344" s="1" t="str">
        <f t="shared" si="2"/>
        <v/>
      </c>
      <c r="J7344" s="1" t="str">
        <f t="shared" si="3"/>
        <v/>
      </c>
      <c r="K7344" s="1" t="str">
        <f t="shared" si="4"/>
        <v/>
      </c>
    </row>
    <row r="7345" hidden="1">
      <c r="F7345" s="1" t="str">
        <f t="shared" si="1"/>
        <v/>
      </c>
      <c r="G7345" s="1" t="str">
        <f t="shared" si="2"/>
        <v/>
      </c>
      <c r="J7345" s="1" t="str">
        <f t="shared" si="3"/>
        <v/>
      </c>
      <c r="K7345" s="1" t="str">
        <f t="shared" si="4"/>
        <v/>
      </c>
    </row>
    <row r="7346" hidden="1">
      <c r="F7346" s="1" t="str">
        <f t="shared" si="1"/>
        <v/>
      </c>
      <c r="G7346" s="1" t="str">
        <f t="shared" si="2"/>
        <v/>
      </c>
      <c r="J7346" s="1" t="str">
        <f t="shared" si="3"/>
        <v/>
      </c>
      <c r="K7346" s="1" t="str">
        <f t="shared" si="4"/>
        <v/>
      </c>
    </row>
    <row r="7347" hidden="1">
      <c r="F7347" s="1" t="str">
        <f t="shared" si="1"/>
        <v/>
      </c>
      <c r="G7347" s="1" t="str">
        <f t="shared" si="2"/>
        <v/>
      </c>
      <c r="J7347" s="1" t="str">
        <f t="shared" si="3"/>
        <v/>
      </c>
      <c r="K7347" s="1" t="str">
        <f t="shared" si="4"/>
        <v/>
      </c>
    </row>
    <row r="7348" hidden="1">
      <c r="F7348" s="1" t="str">
        <f t="shared" si="1"/>
        <v/>
      </c>
      <c r="G7348" s="1" t="str">
        <f t="shared" si="2"/>
        <v/>
      </c>
      <c r="J7348" s="1" t="str">
        <f t="shared" si="3"/>
        <v/>
      </c>
      <c r="K7348" s="1" t="str">
        <f t="shared" si="4"/>
        <v/>
      </c>
    </row>
    <row r="7349" hidden="1">
      <c r="F7349" s="1" t="str">
        <f t="shared" si="1"/>
        <v/>
      </c>
      <c r="G7349" s="1" t="str">
        <f t="shared" si="2"/>
        <v/>
      </c>
      <c r="J7349" s="1" t="str">
        <f t="shared" si="3"/>
        <v/>
      </c>
      <c r="K7349" s="1" t="str">
        <f t="shared" si="4"/>
        <v/>
      </c>
    </row>
    <row r="7350" hidden="1">
      <c r="F7350" s="1" t="str">
        <f t="shared" si="1"/>
        <v/>
      </c>
      <c r="G7350" s="1" t="str">
        <f t="shared" si="2"/>
        <v/>
      </c>
      <c r="J7350" s="1" t="str">
        <f t="shared" si="3"/>
        <v/>
      </c>
      <c r="K7350" s="1" t="str">
        <f t="shared" si="4"/>
        <v/>
      </c>
    </row>
    <row r="7351" hidden="1">
      <c r="F7351" s="1" t="str">
        <f t="shared" si="1"/>
        <v/>
      </c>
      <c r="G7351" s="1" t="str">
        <f t="shared" si="2"/>
        <v/>
      </c>
      <c r="J7351" s="1" t="str">
        <f t="shared" si="3"/>
        <v/>
      </c>
      <c r="K7351" s="1" t="str">
        <f t="shared" si="4"/>
        <v/>
      </c>
    </row>
    <row r="7352" hidden="1">
      <c r="F7352" s="1" t="str">
        <f t="shared" si="1"/>
        <v/>
      </c>
      <c r="G7352" s="1" t="str">
        <f t="shared" si="2"/>
        <v/>
      </c>
      <c r="J7352" s="1" t="str">
        <f t="shared" si="3"/>
        <v/>
      </c>
      <c r="K7352" s="1" t="str">
        <f t="shared" si="4"/>
        <v/>
      </c>
    </row>
    <row r="7353" hidden="1">
      <c r="F7353" s="1" t="str">
        <f t="shared" si="1"/>
        <v/>
      </c>
      <c r="G7353" s="1" t="str">
        <f t="shared" si="2"/>
        <v/>
      </c>
      <c r="J7353" s="1" t="str">
        <f t="shared" si="3"/>
        <v/>
      </c>
      <c r="K7353" s="1" t="str">
        <f t="shared" si="4"/>
        <v/>
      </c>
    </row>
    <row r="7354" hidden="1">
      <c r="F7354" s="1" t="str">
        <f t="shared" si="1"/>
        <v/>
      </c>
      <c r="G7354" s="1" t="str">
        <f t="shared" si="2"/>
        <v/>
      </c>
      <c r="J7354" s="1" t="str">
        <f t="shared" si="3"/>
        <v/>
      </c>
      <c r="K7354" s="1" t="str">
        <f t="shared" si="4"/>
        <v/>
      </c>
    </row>
    <row r="7355" hidden="1">
      <c r="F7355" s="1" t="str">
        <f t="shared" si="1"/>
        <v/>
      </c>
      <c r="G7355" s="1" t="str">
        <f t="shared" si="2"/>
        <v/>
      </c>
      <c r="J7355" s="1" t="str">
        <f t="shared" si="3"/>
        <v/>
      </c>
      <c r="K7355" s="1" t="str">
        <f t="shared" si="4"/>
        <v/>
      </c>
    </row>
    <row r="7356" hidden="1">
      <c r="F7356" s="1" t="str">
        <f t="shared" si="1"/>
        <v/>
      </c>
      <c r="G7356" s="1" t="str">
        <f t="shared" si="2"/>
        <v/>
      </c>
      <c r="J7356" s="1" t="str">
        <f t="shared" si="3"/>
        <v/>
      </c>
      <c r="K7356" s="1" t="str">
        <f t="shared" si="4"/>
        <v/>
      </c>
    </row>
    <row r="7357" hidden="1">
      <c r="F7357" s="1" t="str">
        <f t="shared" si="1"/>
        <v/>
      </c>
      <c r="G7357" s="1" t="str">
        <f t="shared" si="2"/>
        <v/>
      </c>
      <c r="J7357" s="1" t="str">
        <f t="shared" si="3"/>
        <v/>
      </c>
      <c r="K7357" s="1" t="str">
        <f t="shared" si="4"/>
        <v/>
      </c>
    </row>
    <row r="7358" hidden="1">
      <c r="F7358" s="1" t="str">
        <f t="shared" si="1"/>
        <v/>
      </c>
      <c r="G7358" s="1" t="str">
        <f t="shared" si="2"/>
        <v/>
      </c>
      <c r="J7358" s="1" t="str">
        <f t="shared" si="3"/>
        <v/>
      </c>
      <c r="K7358" s="1" t="str">
        <f t="shared" si="4"/>
        <v/>
      </c>
    </row>
    <row r="7359" hidden="1">
      <c r="F7359" s="1" t="str">
        <f t="shared" si="1"/>
        <v/>
      </c>
      <c r="G7359" s="1" t="str">
        <f t="shared" si="2"/>
        <v/>
      </c>
      <c r="J7359" s="1" t="str">
        <f t="shared" si="3"/>
        <v/>
      </c>
      <c r="K7359" s="1" t="str">
        <f t="shared" si="4"/>
        <v/>
      </c>
    </row>
    <row r="7360" hidden="1">
      <c r="F7360" s="1" t="str">
        <f t="shared" si="1"/>
        <v/>
      </c>
      <c r="G7360" s="1" t="str">
        <f t="shared" si="2"/>
        <v/>
      </c>
      <c r="J7360" s="1" t="str">
        <f t="shared" si="3"/>
        <v/>
      </c>
      <c r="K7360" s="1" t="str">
        <f t="shared" si="4"/>
        <v/>
      </c>
    </row>
    <row r="7361" hidden="1">
      <c r="F7361" s="1" t="str">
        <f t="shared" si="1"/>
        <v/>
      </c>
      <c r="G7361" s="1" t="str">
        <f t="shared" si="2"/>
        <v/>
      </c>
      <c r="J7361" s="1" t="str">
        <f t="shared" si="3"/>
        <v/>
      </c>
      <c r="K7361" s="1" t="str">
        <f t="shared" si="4"/>
        <v/>
      </c>
    </row>
    <row r="7362" hidden="1">
      <c r="F7362" s="1" t="str">
        <f t="shared" si="1"/>
        <v/>
      </c>
      <c r="G7362" s="1" t="str">
        <f t="shared" si="2"/>
        <v/>
      </c>
      <c r="J7362" s="1" t="str">
        <f t="shared" si="3"/>
        <v/>
      </c>
      <c r="K7362" s="1" t="str">
        <f t="shared" si="4"/>
        <v/>
      </c>
    </row>
    <row r="7363" hidden="1">
      <c r="F7363" s="1" t="str">
        <f t="shared" si="1"/>
        <v/>
      </c>
      <c r="G7363" s="1" t="str">
        <f t="shared" si="2"/>
        <v/>
      </c>
      <c r="J7363" s="1" t="str">
        <f t="shared" si="3"/>
        <v/>
      </c>
      <c r="K7363" s="1" t="str">
        <f t="shared" si="4"/>
        <v/>
      </c>
    </row>
    <row r="7364" hidden="1">
      <c r="F7364" s="1" t="str">
        <f t="shared" si="1"/>
        <v/>
      </c>
      <c r="G7364" s="1" t="str">
        <f t="shared" si="2"/>
        <v/>
      </c>
      <c r="J7364" s="1" t="str">
        <f t="shared" si="3"/>
        <v/>
      </c>
      <c r="K7364" s="1" t="str">
        <f t="shared" si="4"/>
        <v/>
      </c>
    </row>
    <row r="7365" hidden="1">
      <c r="F7365" s="1" t="str">
        <f t="shared" si="1"/>
        <v/>
      </c>
      <c r="G7365" s="1" t="str">
        <f t="shared" si="2"/>
        <v/>
      </c>
      <c r="J7365" s="1" t="str">
        <f t="shared" si="3"/>
        <v/>
      </c>
      <c r="K7365" s="1" t="str">
        <f t="shared" si="4"/>
        <v/>
      </c>
    </row>
    <row r="7366" hidden="1">
      <c r="F7366" s="1" t="str">
        <f t="shared" si="1"/>
        <v/>
      </c>
      <c r="G7366" s="1" t="str">
        <f t="shared" si="2"/>
        <v/>
      </c>
      <c r="J7366" s="1" t="str">
        <f t="shared" si="3"/>
        <v/>
      </c>
      <c r="K7366" s="1" t="str">
        <f t="shared" si="4"/>
        <v/>
      </c>
    </row>
    <row r="7367" hidden="1">
      <c r="F7367" s="1" t="str">
        <f t="shared" si="1"/>
        <v/>
      </c>
      <c r="G7367" s="1" t="str">
        <f t="shared" si="2"/>
        <v/>
      </c>
      <c r="J7367" s="1" t="str">
        <f t="shared" si="3"/>
        <v/>
      </c>
      <c r="K7367" s="1" t="str">
        <f t="shared" si="4"/>
        <v/>
      </c>
    </row>
    <row r="7368" hidden="1">
      <c r="F7368" s="1" t="str">
        <f t="shared" si="1"/>
        <v/>
      </c>
      <c r="G7368" s="1" t="str">
        <f t="shared" si="2"/>
        <v/>
      </c>
      <c r="J7368" s="1" t="str">
        <f t="shared" si="3"/>
        <v/>
      </c>
      <c r="K7368" s="1" t="str">
        <f t="shared" si="4"/>
        <v/>
      </c>
    </row>
    <row r="7369" hidden="1">
      <c r="F7369" s="1" t="str">
        <f t="shared" si="1"/>
        <v/>
      </c>
      <c r="G7369" s="1" t="str">
        <f t="shared" si="2"/>
        <v/>
      </c>
      <c r="J7369" s="1" t="str">
        <f t="shared" si="3"/>
        <v/>
      </c>
      <c r="K7369" s="1" t="str">
        <f t="shared" si="4"/>
        <v/>
      </c>
    </row>
    <row r="7370" hidden="1">
      <c r="F7370" s="1" t="str">
        <f t="shared" si="1"/>
        <v/>
      </c>
      <c r="G7370" s="1" t="str">
        <f t="shared" si="2"/>
        <v/>
      </c>
      <c r="J7370" s="1" t="str">
        <f t="shared" si="3"/>
        <v/>
      </c>
      <c r="K7370" s="1" t="str">
        <f t="shared" si="4"/>
        <v/>
      </c>
    </row>
    <row r="7371" hidden="1">
      <c r="F7371" s="1" t="str">
        <f t="shared" si="1"/>
        <v/>
      </c>
      <c r="G7371" s="1" t="str">
        <f t="shared" si="2"/>
        <v/>
      </c>
      <c r="J7371" s="1" t="str">
        <f t="shared" si="3"/>
        <v/>
      </c>
      <c r="K7371" s="1" t="str">
        <f t="shared" si="4"/>
        <v/>
      </c>
    </row>
    <row r="7372" hidden="1">
      <c r="F7372" s="1" t="str">
        <f t="shared" si="1"/>
        <v/>
      </c>
      <c r="G7372" s="1" t="str">
        <f t="shared" si="2"/>
        <v/>
      </c>
      <c r="J7372" s="1" t="str">
        <f t="shared" si="3"/>
        <v/>
      </c>
      <c r="K7372" s="1" t="str">
        <f t="shared" si="4"/>
        <v/>
      </c>
    </row>
    <row r="7373" hidden="1">
      <c r="F7373" s="1" t="str">
        <f t="shared" si="1"/>
        <v/>
      </c>
      <c r="G7373" s="1" t="str">
        <f t="shared" si="2"/>
        <v/>
      </c>
      <c r="J7373" s="1" t="str">
        <f t="shared" si="3"/>
        <v/>
      </c>
      <c r="K7373" s="1" t="str">
        <f t="shared" si="4"/>
        <v/>
      </c>
    </row>
    <row r="7374" hidden="1">
      <c r="F7374" s="1" t="str">
        <f t="shared" si="1"/>
        <v/>
      </c>
      <c r="G7374" s="1" t="str">
        <f t="shared" si="2"/>
        <v/>
      </c>
      <c r="J7374" s="1" t="str">
        <f t="shared" si="3"/>
        <v/>
      </c>
      <c r="K7374" s="1" t="str">
        <f t="shared" si="4"/>
        <v/>
      </c>
    </row>
    <row r="7375" hidden="1">
      <c r="F7375" s="1" t="str">
        <f t="shared" si="1"/>
        <v/>
      </c>
      <c r="G7375" s="1" t="str">
        <f t="shared" si="2"/>
        <v/>
      </c>
      <c r="J7375" s="1" t="str">
        <f t="shared" si="3"/>
        <v/>
      </c>
      <c r="K7375" s="1" t="str">
        <f t="shared" si="4"/>
        <v/>
      </c>
    </row>
    <row r="7376" hidden="1">
      <c r="F7376" s="1" t="str">
        <f t="shared" si="1"/>
        <v/>
      </c>
      <c r="G7376" s="1" t="str">
        <f t="shared" si="2"/>
        <v/>
      </c>
      <c r="J7376" s="1" t="str">
        <f t="shared" si="3"/>
        <v/>
      </c>
      <c r="K7376" s="1" t="str">
        <f t="shared" si="4"/>
        <v/>
      </c>
    </row>
    <row r="7377" hidden="1">
      <c r="F7377" s="1" t="str">
        <f t="shared" si="1"/>
        <v/>
      </c>
      <c r="G7377" s="1" t="str">
        <f t="shared" si="2"/>
        <v/>
      </c>
      <c r="J7377" s="1" t="str">
        <f t="shared" si="3"/>
        <v/>
      </c>
      <c r="K7377" s="1" t="str">
        <f t="shared" si="4"/>
        <v/>
      </c>
    </row>
    <row r="7378" hidden="1">
      <c r="F7378" s="1" t="str">
        <f t="shared" si="1"/>
        <v/>
      </c>
      <c r="G7378" s="1" t="str">
        <f t="shared" si="2"/>
        <v/>
      </c>
      <c r="J7378" s="1" t="str">
        <f t="shared" si="3"/>
        <v/>
      </c>
      <c r="K7378" s="1" t="str">
        <f t="shared" si="4"/>
        <v/>
      </c>
    </row>
    <row r="7379" hidden="1">
      <c r="F7379" s="1" t="str">
        <f t="shared" si="1"/>
        <v/>
      </c>
      <c r="G7379" s="1" t="str">
        <f t="shared" si="2"/>
        <v/>
      </c>
      <c r="J7379" s="1" t="str">
        <f t="shared" si="3"/>
        <v/>
      </c>
      <c r="K7379" s="1" t="str">
        <f t="shared" si="4"/>
        <v/>
      </c>
    </row>
    <row r="7380" hidden="1">
      <c r="F7380" s="1" t="str">
        <f t="shared" si="1"/>
        <v/>
      </c>
      <c r="G7380" s="1" t="str">
        <f t="shared" si="2"/>
        <v/>
      </c>
      <c r="J7380" s="1" t="str">
        <f t="shared" si="3"/>
        <v/>
      </c>
      <c r="K7380" s="1" t="str">
        <f t="shared" si="4"/>
        <v/>
      </c>
    </row>
    <row r="7381" hidden="1">
      <c r="F7381" s="1" t="str">
        <f t="shared" si="1"/>
        <v/>
      </c>
      <c r="G7381" s="1" t="str">
        <f t="shared" si="2"/>
        <v/>
      </c>
      <c r="J7381" s="1" t="str">
        <f t="shared" si="3"/>
        <v/>
      </c>
      <c r="K7381" s="1" t="str">
        <f t="shared" si="4"/>
        <v/>
      </c>
    </row>
    <row r="7382" hidden="1">
      <c r="F7382" s="1" t="str">
        <f t="shared" si="1"/>
        <v/>
      </c>
      <c r="G7382" s="1" t="str">
        <f t="shared" si="2"/>
        <v/>
      </c>
      <c r="J7382" s="1" t="str">
        <f t="shared" si="3"/>
        <v/>
      </c>
      <c r="K7382" s="1" t="str">
        <f t="shared" si="4"/>
        <v/>
      </c>
    </row>
    <row r="7383" hidden="1">
      <c r="F7383" s="1" t="str">
        <f t="shared" si="1"/>
        <v/>
      </c>
      <c r="G7383" s="1" t="str">
        <f t="shared" si="2"/>
        <v/>
      </c>
      <c r="J7383" s="1" t="str">
        <f t="shared" si="3"/>
        <v/>
      </c>
      <c r="K7383" s="1" t="str">
        <f t="shared" si="4"/>
        <v/>
      </c>
    </row>
    <row r="7384" hidden="1">
      <c r="F7384" s="1" t="str">
        <f t="shared" si="1"/>
        <v/>
      </c>
      <c r="G7384" s="1" t="str">
        <f t="shared" si="2"/>
        <v/>
      </c>
      <c r="J7384" s="1" t="str">
        <f t="shared" si="3"/>
        <v/>
      </c>
      <c r="K7384" s="1" t="str">
        <f t="shared" si="4"/>
        <v/>
      </c>
    </row>
    <row r="7385" hidden="1">
      <c r="F7385" s="1" t="str">
        <f t="shared" si="1"/>
        <v/>
      </c>
      <c r="G7385" s="1" t="str">
        <f t="shared" si="2"/>
        <v/>
      </c>
      <c r="J7385" s="1" t="str">
        <f t="shared" si="3"/>
        <v/>
      </c>
      <c r="K7385" s="1" t="str">
        <f t="shared" si="4"/>
        <v/>
      </c>
    </row>
    <row r="7386" hidden="1">
      <c r="F7386" s="1" t="str">
        <f t="shared" si="1"/>
        <v/>
      </c>
      <c r="G7386" s="1" t="str">
        <f t="shared" si="2"/>
        <v/>
      </c>
      <c r="J7386" s="1" t="str">
        <f t="shared" si="3"/>
        <v/>
      </c>
      <c r="K7386" s="1" t="str">
        <f t="shared" si="4"/>
        <v/>
      </c>
    </row>
    <row r="7387" hidden="1">
      <c r="F7387" s="1" t="str">
        <f t="shared" si="1"/>
        <v/>
      </c>
      <c r="G7387" s="1" t="str">
        <f t="shared" si="2"/>
        <v/>
      </c>
      <c r="J7387" s="1" t="str">
        <f t="shared" si="3"/>
        <v/>
      </c>
      <c r="K7387" s="1" t="str">
        <f t="shared" si="4"/>
        <v/>
      </c>
    </row>
    <row r="7388" hidden="1">
      <c r="F7388" s="1" t="str">
        <f t="shared" si="1"/>
        <v/>
      </c>
      <c r="G7388" s="1" t="str">
        <f t="shared" si="2"/>
        <v/>
      </c>
      <c r="J7388" s="1" t="str">
        <f t="shared" si="3"/>
        <v/>
      </c>
      <c r="K7388" s="1" t="str">
        <f t="shared" si="4"/>
        <v/>
      </c>
    </row>
    <row r="7389" hidden="1">
      <c r="F7389" s="1" t="str">
        <f t="shared" si="1"/>
        <v/>
      </c>
      <c r="G7389" s="1" t="str">
        <f t="shared" si="2"/>
        <v/>
      </c>
      <c r="J7389" s="1" t="str">
        <f t="shared" si="3"/>
        <v/>
      </c>
      <c r="K7389" s="1" t="str">
        <f t="shared" si="4"/>
        <v/>
      </c>
    </row>
    <row r="7390" hidden="1">
      <c r="F7390" s="1" t="str">
        <f t="shared" si="1"/>
        <v/>
      </c>
      <c r="G7390" s="1" t="str">
        <f t="shared" si="2"/>
        <v/>
      </c>
      <c r="J7390" s="1" t="str">
        <f t="shared" si="3"/>
        <v/>
      </c>
      <c r="K7390" s="1" t="str">
        <f t="shared" si="4"/>
        <v/>
      </c>
    </row>
    <row r="7391" hidden="1">
      <c r="F7391" s="1" t="str">
        <f t="shared" si="1"/>
        <v/>
      </c>
      <c r="G7391" s="1" t="str">
        <f t="shared" si="2"/>
        <v/>
      </c>
      <c r="J7391" s="1" t="str">
        <f t="shared" si="3"/>
        <v/>
      </c>
      <c r="K7391" s="1" t="str">
        <f t="shared" si="4"/>
        <v/>
      </c>
    </row>
    <row r="7392" hidden="1">
      <c r="F7392" s="1" t="str">
        <f t="shared" si="1"/>
        <v/>
      </c>
      <c r="G7392" s="1" t="str">
        <f t="shared" si="2"/>
        <v/>
      </c>
      <c r="J7392" s="1" t="str">
        <f t="shared" si="3"/>
        <v/>
      </c>
      <c r="K7392" s="1" t="str">
        <f t="shared" si="4"/>
        <v/>
      </c>
    </row>
    <row r="7393" hidden="1">
      <c r="F7393" s="1" t="str">
        <f t="shared" si="1"/>
        <v/>
      </c>
      <c r="G7393" s="1" t="str">
        <f t="shared" si="2"/>
        <v/>
      </c>
      <c r="J7393" s="1" t="str">
        <f t="shared" si="3"/>
        <v/>
      </c>
      <c r="K7393" s="1" t="str">
        <f t="shared" si="4"/>
        <v/>
      </c>
    </row>
    <row r="7394" hidden="1">
      <c r="F7394" s="1" t="str">
        <f t="shared" si="1"/>
        <v/>
      </c>
      <c r="G7394" s="1" t="str">
        <f t="shared" si="2"/>
        <v/>
      </c>
      <c r="J7394" s="1" t="str">
        <f t="shared" si="3"/>
        <v/>
      </c>
      <c r="K7394" s="1" t="str">
        <f t="shared" si="4"/>
        <v/>
      </c>
    </row>
    <row r="7395" hidden="1">
      <c r="F7395" s="1" t="str">
        <f t="shared" si="1"/>
        <v/>
      </c>
      <c r="G7395" s="1" t="str">
        <f t="shared" si="2"/>
        <v/>
      </c>
      <c r="J7395" s="1" t="str">
        <f t="shared" si="3"/>
        <v/>
      </c>
      <c r="K7395" s="1" t="str">
        <f t="shared" si="4"/>
        <v/>
      </c>
    </row>
    <row r="7396" hidden="1">
      <c r="F7396" s="1" t="str">
        <f t="shared" si="1"/>
        <v/>
      </c>
      <c r="G7396" s="1" t="str">
        <f t="shared" si="2"/>
        <v/>
      </c>
      <c r="J7396" s="1" t="str">
        <f t="shared" si="3"/>
        <v/>
      </c>
      <c r="K7396" s="1" t="str">
        <f t="shared" si="4"/>
        <v/>
      </c>
    </row>
    <row r="7397" hidden="1">
      <c r="F7397" s="1" t="str">
        <f t="shared" si="1"/>
        <v/>
      </c>
      <c r="G7397" s="1" t="str">
        <f t="shared" si="2"/>
        <v/>
      </c>
      <c r="J7397" s="1" t="str">
        <f t="shared" si="3"/>
        <v/>
      </c>
      <c r="K7397" s="1" t="str">
        <f t="shared" si="4"/>
        <v/>
      </c>
    </row>
    <row r="7398" hidden="1">
      <c r="F7398" s="1" t="str">
        <f t="shared" si="1"/>
        <v/>
      </c>
      <c r="G7398" s="1" t="str">
        <f t="shared" si="2"/>
        <v/>
      </c>
      <c r="J7398" s="1" t="str">
        <f t="shared" si="3"/>
        <v/>
      </c>
      <c r="K7398" s="1" t="str">
        <f t="shared" si="4"/>
        <v/>
      </c>
    </row>
    <row r="7399" hidden="1">
      <c r="F7399" s="1" t="str">
        <f t="shared" si="1"/>
        <v/>
      </c>
      <c r="G7399" s="1" t="str">
        <f t="shared" si="2"/>
        <v/>
      </c>
      <c r="J7399" s="1" t="str">
        <f t="shared" si="3"/>
        <v/>
      </c>
      <c r="K7399" s="1" t="str">
        <f t="shared" si="4"/>
        <v/>
      </c>
    </row>
    <row r="7400" hidden="1">
      <c r="F7400" s="1" t="str">
        <f t="shared" si="1"/>
        <v/>
      </c>
      <c r="G7400" s="1" t="str">
        <f t="shared" si="2"/>
        <v/>
      </c>
      <c r="J7400" s="1" t="str">
        <f t="shared" si="3"/>
        <v/>
      </c>
      <c r="K7400" s="1" t="str">
        <f t="shared" si="4"/>
        <v/>
      </c>
    </row>
    <row r="7401" hidden="1">
      <c r="F7401" s="1" t="str">
        <f t="shared" si="1"/>
        <v/>
      </c>
      <c r="G7401" s="1" t="str">
        <f t="shared" si="2"/>
        <v/>
      </c>
      <c r="J7401" s="1" t="str">
        <f t="shared" si="3"/>
        <v/>
      </c>
      <c r="K7401" s="1" t="str">
        <f t="shared" si="4"/>
        <v/>
      </c>
    </row>
    <row r="7402" hidden="1">
      <c r="F7402" s="1" t="str">
        <f t="shared" si="1"/>
        <v/>
      </c>
      <c r="G7402" s="1" t="str">
        <f t="shared" si="2"/>
        <v/>
      </c>
      <c r="J7402" s="1" t="str">
        <f t="shared" si="3"/>
        <v/>
      </c>
      <c r="K7402" s="1" t="str">
        <f t="shared" si="4"/>
        <v/>
      </c>
    </row>
    <row r="7403" hidden="1">
      <c r="F7403" s="1" t="str">
        <f t="shared" si="1"/>
        <v/>
      </c>
      <c r="G7403" s="1" t="str">
        <f t="shared" si="2"/>
        <v/>
      </c>
      <c r="J7403" s="1" t="str">
        <f t="shared" si="3"/>
        <v/>
      </c>
      <c r="K7403" s="1" t="str">
        <f t="shared" si="4"/>
        <v/>
      </c>
    </row>
    <row r="7404" hidden="1">
      <c r="F7404" s="1" t="str">
        <f t="shared" si="1"/>
        <v/>
      </c>
      <c r="G7404" s="1" t="str">
        <f t="shared" si="2"/>
        <v/>
      </c>
      <c r="J7404" s="1" t="str">
        <f t="shared" si="3"/>
        <v/>
      </c>
      <c r="K7404" s="1" t="str">
        <f t="shared" si="4"/>
        <v/>
      </c>
    </row>
    <row r="7405" hidden="1">
      <c r="F7405" s="1" t="str">
        <f t="shared" si="1"/>
        <v/>
      </c>
      <c r="G7405" s="1" t="str">
        <f t="shared" si="2"/>
        <v/>
      </c>
      <c r="J7405" s="1" t="str">
        <f t="shared" si="3"/>
        <v/>
      </c>
      <c r="K7405" s="1" t="str">
        <f t="shared" si="4"/>
        <v/>
      </c>
    </row>
    <row r="7406" hidden="1">
      <c r="F7406" s="1" t="str">
        <f t="shared" si="1"/>
        <v/>
      </c>
      <c r="G7406" s="1" t="str">
        <f t="shared" si="2"/>
        <v/>
      </c>
      <c r="J7406" s="1" t="str">
        <f t="shared" si="3"/>
        <v/>
      </c>
      <c r="K7406" s="1" t="str">
        <f t="shared" si="4"/>
        <v/>
      </c>
    </row>
    <row r="7407" hidden="1">
      <c r="F7407" s="1" t="str">
        <f t="shared" si="1"/>
        <v/>
      </c>
      <c r="G7407" s="1" t="str">
        <f t="shared" si="2"/>
        <v/>
      </c>
      <c r="J7407" s="1" t="str">
        <f t="shared" si="3"/>
        <v/>
      </c>
      <c r="K7407" s="1" t="str">
        <f t="shared" si="4"/>
        <v/>
      </c>
    </row>
    <row r="7408" hidden="1">
      <c r="F7408" s="1" t="str">
        <f t="shared" si="1"/>
        <v/>
      </c>
      <c r="G7408" s="1" t="str">
        <f t="shared" si="2"/>
        <v/>
      </c>
      <c r="J7408" s="1" t="str">
        <f t="shared" si="3"/>
        <v/>
      </c>
      <c r="K7408" s="1" t="str">
        <f t="shared" si="4"/>
        <v/>
      </c>
    </row>
    <row r="7409" hidden="1">
      <c r="F7409" s="1" t="str">
        <f t="shared" si="1"/>
        <v/>
      </c>
      <c r="G7409" s="1" t="str">
        <f t="shared" si="2"/>
        <v/>
      </c>
      <c r="J7409" s="1" t="str">
        <f t="shared" si="3"/>
        <v/>
      </c>
      <c r="K7409" s="1" t="str">
        <f t="shared" si="4"/>
        <v/>
      </c>
    </row>
    <row r="7410" hidden="1">
      <c r="F7410" s="1" t="str">
        <f t="shared" si="1"/>
        <v/>
      </c>
      <c r="G7410" s="1" t="str">
        <f t="shared" si="2"/>
        <v/>
      </c>
      <c r="J7410" s="1" t="str">
        <f t="shared" si="3"/>
        <v/>
      </c>
      <c r="K7410" s="1" t="str">
        <f t="shared" si="4"/>
        <v/>
      </c>
    </row>
    <row r="7411" hidden="1">
      <c r="F7411" s="1" t="str">
        <f t="shared" si="1"/>
        <v/>
      </c>
      <c r="G7411" s="1" t="str">
        <f t="shared" si="2"/>
        <v/>
      </c>
      <c r="J7411" s="1" t="str">
        <f t="shared" si="3"/>
        <v/>
      </c>
      <c r="K7411" s="1" t="str">
        <f t="shared" si="4"/>
        <v/>
      </c>
    </row>
    <row r="7412" hidden="1">
      <c r="F7412" s="1" t="str">
        <f t="shared" si="1"/>
        <v/>
      </c>
      <c r="G7412" s="1" t="str">
        <f t="shared" si="2"/>
        <v/>
      </c>
      <c r="J7412" s="1" t="str">
        <f t="shared" si="3"/>
        <v/>
      </c>
      <c r="K7412" s="1" t="str">
        <f t="shared" si="4"/>
        <v/>
      </c>
    </row>
    <row r="7413" hidden="1">
      <c r="F7413" s="1" t="str">
        <f t="shared" si="1"/>
        <v/>
      </c>
      <c r="G7413" s="1" t="str">
        <f t="shared" si="2"/>
        <v/>
      </c>
      <c r="J7413" s="1" t="str">
        <f t="shared" si="3"/>
        <v/>
      </c>
      <c r="K7413" s="1" t="str">
        <f t="shared" si="4"/>
        <v/>
      </c>
    </row>
    <row r="7414" hidden="1">
      <c r="F7414" s="1" t="str">
        <f t="shared" si="1"/>
        <v/>
      </c>
      <c r="G7414" s="1" t="str">
        <f t="shared" si="2"/>
        <v/>
      </c>
      <c r="J7414" s="1" t="str">
        <f t="shared" si="3"/>
        <v/>
      </c>
      <c r="K7414" s="1" t="str">
        <f t="shared" si="4"/>
        <v/>
      </c>
    </row>
    <row r="7415" hidden="1">
      <c r="F7415" s="1" t="str">
        <f t="shared" si="1"/>
        <v/>
      </c>
      <c r="G7415" s="1" t="str">
        <f t="shared" si="2"/>
        <v/>
      </c>
      <c r="J7415" s="1" t="str">
        <f t="shared" si="3"/>
        <v/>
      </c>
      <c r="K7415" s="1" t="str">
        <f t="shared" si="4"/>
        <v/>
      </c>
    </row>
    <row r="7416" hidden="1">
      <c r="F7416" s="1" t="str">
        <f t="shared" si="1"/>
        <v/>
      </c>
      <c r="G7416" s="1" t="str">
        <f t="shared" si="2"/>
        <v/>
      </c>
      <c r="J7416" s="1" t="str">
        <f t="shared" si="3"/>
        <v/>
      </c>
      <c r="K7416" s="1" t="str">
        <f t="shared" si="4"/>
        <v/>
      </c>
    </row>
    <row r="7417" hidden="1">
      <c r="F7417" s="1" t="str">
        <f t="shared" si="1"/>
        <v/>
      </c>
      <c r="G7417" s="1" t="str">
        <f t="shared" si="2"/>
        <v/>
      </c>
      <c r="J7417" s="1" t="str">
        <f t="shared" si="3"/>
        <v/>
      </c>
      <c r="K7417" s="1" t="str">
        <f t="shared" si="4"/>
        <v/>
      </c>
    </row>
    <row r="7418" hidden="1">
      <c r="F7418" s="1" t="str">
        <f t="shared" si="1"/>
        <v/>
      </c>
      <c r="G7418" s="1" t="str">
        <f t="shared" si="2"/>
        <v/>
      </c>
      <c r="J7418" s="1" t="str">
        <f t="shared" si="3"/>
        <v/>
      </c>
      <c r="K7418" s="1" t="str">
        <f t="shared" si="4"/>
        <v/>
      </c>
    </row>
    <row r="7419" hidden="1">
      <c r="F7419" s="1" t="str">
        <f t="shared" si="1"/>
        <v/>
      </c>
      <c r="G7419" s="1" t="str">
        <f t="shared" si="2"/>
        <v/>
      </c>
      <c r="J7419" s="1" t="str">
        <f t="shared" si="3"/>
        <v/>
      </c>
      <c r="K7419" s="1" t="str">
        <f t="shared" si="4"/>
        <v/>
      </c>
    </row>
    <row r="7420" hidden="1">
      <c r="F7420" s="1" t="str">
        <f t="shared" si="1"/>
        <v/>
      </c>
      <c r="G7420" s="1" t="str">
        <f t="shared" si="2"/>
        <v/>
      </c>
      <c r="J7420" s="1" t="str">
        <f t="shared" si="3"/>
        <v/>
      </c>
      <c r="K7420" s="1" t="str">
        <f t="shared" si="4"/>
        <v/>
      </c>
    </row>
    <row r="7421" hidden="1">
      <c r="F7421" s="1" t="str">
        <f t="shared" si="1"/>
        <v/>
      </c>
      <c r="G7421" s="1" t="str">
        <f t="shared" si="2"/>
        <v/>
      </c>
      <c r="J7421" s="1" t="str">
        <f t="shared" si="3"/>
        <v/>
      </c>
      <c r="K7421" s="1" t="str">
        <f t="shared" si="4"/>
        <v/>
      </c>
    </row>
    <row r="7422" hidden="1">
      <c r="F7422" s="1" t="str">
        <f t="shared" si="1"/>
        <v/>
      </c>
      <c r="G7422" s="1" t="str">
        <f t="shared" si="2"/>
        <v/>
      </c>
      <c r="J7422" s="1" t="str">
        <f t="shared" si="3"/>
        <v/>
      </c>
      <c r="K7422" s="1" t="str">
        <f t="shared" si="4"/>
        <v/>
      </c>
    </row>
    <row r="7423" hidden="1">
      <c r="F7423" s="1" t="str">
        <f t="shared" si="1"/>
        <v/>
      </c>
      <c r="G7423" s="1" t="str">
        <f t="shared" si="2"/>
        <v/>
      </c>
      <c r="J7423" s="1" t="str">
        <f t="shared" si="3"/>
        <v/>
      </c>
      <c r="K7423" s="1" t="str">
        <f t="shared" si="4"/>
        <v/>
      </c>
    </row>
    <row r="7424" hidden="1">
      <c r="F7424" s="1" t="str">
        <f t="shared" si="1"/>
        <v/>
      </c>
      <c r="G7424" s="1" t="str">
        <f t="shared" si="2"/>
        <v/>
      </c>
      <c r="J7424" s="1" t="str">
        <f t="shared" si="3"/>
        <v/>
      </c>
      <c r="K7424" s="1" t="str">
        <f t="shared" si="4"/>
        <v/>
      </c>
    </row>
    <row r="7425" hidden="1">
      <c r="F7425" s="1" t="str">
        <f t="shared" si="1"/>
        <v/>
      </c>
      <c r="G7425" s="1" t="str">
        <f t="shared" si="2"/>
        <v/>
      </c>
      <c r="J7425" s="1" t="str">
        <f t="shared" si="3"/>
        <v/>
      </c>
      <c r="K7425" s="1" t="str">
        <f t="shared" si="4"/>
        <v/>
      </c>
    </row>
    <row r="7426" hidden="1">
      <c r="F7426" s="1" t="str">
        <f t="shared" si="1"/>
        <v/>
      </c>
      <c r="G7426" s="1" t="str">
        <f t="shared" si="2"/>
        <v/>
      </c>
      <c r="J7426" s="1" t="str">
        <f t="shared" si="3"/>
        <v/>
      </c>
      <c r="K7426" s="1" t="str">
        <f t="shared" si="4"/>
        <v/>
      </c>
    </row>
    <row r="7427" hidden="1">
      <c r="F7427" s="1" t="str">
        <f t="shared" si="1"/>
        <v/>
      </c>
      <c r="G7427" s="1" t="str">
        <f t="shared" si="2"/>
        <v/>
      </c>
      <c r="J7427" s="1" t="str">
        <f t="shared" si="3"/>
        <v/>
      </c>
      <c r="K7427" s="1" t="str">
        <f t="shared" si="4"/>
        <v/>
      </c>
    </row>
    <row r="7428" hidden="1">
      <c r="F7428" s="1" t="str">
        <f t="shared" si="1"/>
        <v/>
      </c>
      <c r="G7428" s="1" t="str">
        <f t="shared" si="2"/>
        <v/>
      </c>
      <c r="J7428" s="1" t="str">
        <f t="shared" si="3"/>
        <v/>
      </c>
      <c r="K7428" s="1" t="str">
        <f t="shared" si="4"/>
        <v/>
      </c>
    </row>
    <row r="7429" hidden="1">
      <c r="F7429" s="1" t="str">
        <f t="shared" si="1"/>
        <v/>
      </c>
      <c r="G7429" s="1" t="str">
        <f t="shared" si="2"/>
        <v/>
      </c>
      <c r="J7429" s="1" t="str">
        <f t="shared" si="3"/>
        <v/>
      </c>
      <c r="K7429" s="1" t="str">
        <f t="shared" si="4"/>
        <v/>
      </c>
    </row>
    <row r="7430" hidden="1">
      <c r="F7430" s="1" t="str">
        <f t="shared" si="1"/>
        <v/>
      </c>
      <c r="G7430" s="1" t="str">
        <f t="shared" si="2"/>
        <v/>
      </c>
      <c r="J7430" s="1" t="str">
        <f t="shared" si="3"/>
        <v/>
      </c>
      <c r="K7430" s="1" t="str">
        <f t="shared" si="4"/>
        <v/>
      </c>
    </row>
    <row r="7431" hidden="1">
      <c r="F7431" s="1" t="str">
        <f t="shared" si="1"/>
        <v/>
      </c>
      <c r="G7431" s="1" t="str">
        <f t="shared" si="2"/>
        <v/>
      </c>
      <c r="J7431" s="1" t="str">
        <f t="shared" si="3"/>
        <v/>
      </c>
      <c r="K7431" s="1" t="str">
        <f t="shared" si="4"/>
        <v/>
      </c>
    </row>
    <row r="7432" hidden="1">
      <c r="F7432" s="1" t="str">
        <f t="shared" si="1"/>
        <v/>
      </c>
      <c r="G7432" s="1" t="str">
        <f t="shared" si="2"/>
        <v/>
      </c>
      <c r="J7432" s="1" t="str">
        <f t="shared" si="3"/>
        <v/>
      </c>
      <c r="K7432" s="1" t="str">
        <f t="shared" si="4"/>
        <v/>
      </c>
    </row>
    <row r="7433" hidden="1">
      <c r="F7433" s="1" t="str">
        <f t="shared" si="1"/>
        <v/>
      </c>
      <c r="G7433" s="1" t="str">
        <f t="shared" si="2"/>
        <v/>
      </c>
      <c r="J7433" s="1" t="str">
        <f t="shared" si="3"/>
        <v/>
      </c>
      <c r="K7433" s="1" t="str">
        <f t="shared" si="4"/>
        <v/>
      </c>
    </row>
    <row r="7434" hidden="1">
      <c r="F7434" s="1" t="str">
        <f t="shared" si="1"/>
        <v/>
      </c>
      <c r="G7434" s="1" t="str">
        <f t="shared" si="2"/>
        <v/>
      </c>
      <c r="J7434" s="1" t="str">
        <f t="shared" si="3"/>
        <v/>
      </c>
      <c r="K7434" s="1" t="str">
        <f t="shared" si="4"/>
        <v/>
      </c>
    </row>
    <row r="7435" hidden="1">
      <c r="F7435" s="1" t="str">
        <f t="shared" si="1"/>
        <v/>
      </c>
      <c r="G7435" s="1" t="str">
        <f t="shared" si="2"/>
        <v/>
      </c>
      <c r="J7435" s="1" t="str">
        <f t="shared" si="3"/>
        <v/>
      </c>
      <c r="K7435" s="1" t="str">
        <f t="shared" si="4"/>
        <v/>
      </c>
    </row>
    <row r="7436" hidden="1">
      <c r="F7436" s="1" t="str">
        <f t="shared" si="1"/>
        <v/>
      </c>
      <c r="G7436" s="1" t="str">
        <f t="shared" si="2"/>
        <v/>
      </c>
      <c r="J7436" s="1" t="str">
        <f t="shared" si="3"/>
        <v/>
      </c>
      <c r="K7436" s="1" t="str">
        <f t="shared" si="4"/>
        <v/>
      </c>
    </row>
    <row r="7437" hidden="1">
      <c r="F7437" s="1" t="str">
        <f t="shared" si="1"/>
        <v/>
      </c>
      <c r="G7437" s="1" t="str">
        <f t="shared" si="2"/>
        <v/>
      </c>
      <c r="J7437" s="1" t="str">
        <f t="shared" si="3"/>
        <v/>
      </c>
      <c r="K7437" s="1" t="str">
        <f t="shared" si="4"/>
        <v/>
      </c>
    </row>
    <row r="7438" hidden="1">
      <c r="F7438" s="1" t="str">
        <f t="shared" si="1"/>
        <v/>
      </c>
      <c r="G7438" s="1" t="str">
        <f t="shared" si="2"/>
        <v/>
      </c>
      <c r="J7438" s="1" t="str">
        <f t="shared" si="3"/>
        <v/>
      </c>
      <c r="K7438" s="1" t="str">
        <f t="shared" si="4"/>
        <v/>
      </c>
    </row>
    <row r="7439" hidden="1">
      <c r="F7439" s="1" t="str">
        <f t="shared" si="1"/>
        <v/>
      </c>
      <c r="G7439" s="1" t="str">
        <f t="shared" si="2"/>
        <v/>
      </c>
      <c r="J7439" s="1" t="str">
        <f t="shared" si="3"/>
        <v/>
      </c>
      <c r="K7439" s="1" t="str">
        <f t="shared" si="4"/>
        <v/>
      </c>
    </row>
    <row r="7440" hidden="1">
      <c r="F7440" s="1" t="str">
        <f t="shared" si="1"/>
        <v/>
      </c>
      <c r="G7440" s="1" t="str">
        <f t="shared" si="2"/>
        <v/>
      </c>
      <c r="J7440" s="1" t="str">
        <f t="shared" si="3"/>
        <v/>
      </c>
      <c r="K7440" s="1" t="str">
        <f t="shared" si="4"/>
        <v/>
      </c>
    </row>
    <row r="7441" hidden="1">
      <c r="F7441" s="1" t="str">
        <f t="shared" si="1"/>
        <v/>
      </c>
      <c r="G7441" s="1" t="str">
        <f t="shared" si="2"/>
        <v/>
      </c>
      <c r="J7441" s="1" t="str">
        <f t="shared" si="3"/>
        <v/>
      </c>
      <c r="K7441" s="1" t="str">
        <f t="shared" si="4"/>
        <v/>
      </c>
    </row>
    <row r="7442" hidden="1">
      <c r="F7442" s="1" t="str">
        <f t="shared" si="1"/>
        <v/>
      </c>
      <c r="G7442" s="1" t="str">
        <f t="shared" si="2"/>
        <v/>
      </c>
      <c r="J7442" s="1" t="str">
        <f t="shared" si="3"/>
        <v/>
      </c>
      <c r="K7442" s="1" t="str">
        <f t="shared" si="4"/>
        <v/>
      </c>
    </row>
    <row r="7443" hidden="1">
      <c r="F7443" s="1" t="str">
        <f t="shared" si="1"/>
        <v/>
      </c>
      <c r="G7443" s="1" t="str">
        <f t="shared" si="2"/>
        <v/>
      </c>
      <c r="J7443" s="1" t="str">
        <f t="shared" si="3"/>
        <v/>
      </c>
      <c r="K7443" s="1" t="str">
        <f t="shared" si="4"/>
        <v/>
      </c>
    </row>
    <row r="7444" hidden="1">
      <c r="F7444" s="1" t="str">
        <f t="shared" si="1"/>
        <v/>
      </c>
      <c r="G7444" s="1" t="str">
        <f t="shared" si="2"/>
        <v/>
      </c>
      <c r="J7444" s="1" t="str">
        <f t="shared" si="3"/>
        <v/>
      </c>
      <c r="K7444" s="1" t="str">
        <f t="shared" si="4"/>
        <v/>
      </c>
    </row>
    <row r="7445" hidden="1">
      <c r="F7445" s="1" t="str">
        <f t="shared" si="1"/>
        <v/>
      </c>
      <c r="G7445" s="1" t="str">
        <f t="shared" si="2"/>
        <v/>
      </c>
      <c r="J7445" s="1" t="str">
        <f t="shared" si="3"/>
        <v/>
      </c>
      <c r="K7445" s="1" t="str">
        <f t="shared" si="4"/>
        <v/>
      </c>
    </row>
    <row r="7446" hidden="1">
      <c r="F7446" s="1" t="str">
        <f t="shared" si="1"/>
        <v/>
      </c>
      <c r="G7446" s="1" t="str">
        <f t="shared" si="2"/>
        <v/>
      </c>
      <c r="J7446" s="1" t="str">
        <f t="shared" si="3"/>
        <v/>
      </c>
      <c r="K7446" s="1" t="str">
        <f t="shared" si="4"/>
        <v/>
      </c>
    </row>
    <row r="7447" hidden="1">
      <c r="F7447" s="1" t="str">
        <f t="shared" si="1"/>
        <v/>
      </c>
      <c r="G7447" s="1" t="str">
        <f t="shared" si="2"/>
        <v/>
      </c>
      <c r="J7447" s="1" t="str">
        <f t="shared" si="3"/>
        <v/>
      </c>
      <c r="K7447" s="1" t="str">
        <f t="shared" si="4"/>
        <v/>
      </c>
    </row>
    <row r="7448" hidden="1">
      <c r="F7448" s="1" t="str">
        <f t="shared" si="1"/>
        <v/>
      </c>
      <c r="G7448" s="1" t="str">
        <f t="shared" si="2"/>
        <v/>
      </c>
      <c r="J7448" s="1" t="str">
        <f t="shared" si="3"/>
        <v/>
      </c>
      <c r="K7448" s="1" t="str">
        <f t="shared" si="4"/>
        <v/>
      </c>
    </row>
    <row r="7449" hidden="1">
      <c r="F7449" s="1" t="str">
        <f t="shared" si="1"/>
        <v/>
      </c>
      <c r="G7449" s="1" t="str">
        <f t="shared" si="2"/>
        <v/>
      </c>
      <c r="J7449" s="1" t="str">
        <f t="shared" si="3"/>
        <v/>
      </c>
      <c r="K7449" s="1" t="str">
        <f t="shared" si="4"/>
        <v/>
      </c>
    </row>
    <row r="7450" hidden="1">
      <c r="F7450" s="1" t="str">
        <f t="shared" si="1"/>
        <v/>
      </c>
      <c r="G7450" s="1" t="str">
        <f t="shared" si="2"/>
        <v/>
      </c>
      <c r="J7450" s="1" t="str">
        <f t="shared" si="3"/>
        <v/>
      </c>
      <c r="K7450" s="1" t="str">
        <f t="shared" si="4"/>
        <v/>
      </c>
    </row>
    <row r="7451" hidden="1">
      <c r="F7451" s="1" t="str">
        <f t="shared" si="1"/>
        <v/>
      </c>
      <c r="G7451" s="1" t="str">
        <f t="shared" si="2"/>
        <v/>
      </c>
      <c r="J7451" s="1" t="str">
        <f t="shared" si="3"/>
        <v/>
      </c>
      <c r="K7451" s="1" t="str">
        <f t="shared" si="4"/>
        <v/>
      </c>
    </row>
    <row r="7452" hidden="1">
      <c r="F7452" s="1" t="str">
        <f t="shared" si="1"/>
        <v/>
      </c>
      <c r="G7452" s="1" t="str">
        <f t="shared" si="2"/>
        <v/>
      </c>
      <c r="J7452" s="1" t="str">
        <f t="shared" si="3"/>
        <v/>
      </c>
      <c r="K7452" s="1" t="str">
        <f t="shared" si="4"/>
        <v/>
      </c>
    </row>
    <row r="7453" hidden="1">
      <c r="F7453" s="1" t="str">
        <f t="shared" si="1"/>
        <v/>
      </c>
      <c r="G7453" s="1" t="str">
        <f t="shared" si="2"/>
        <v/>
      </c>
      <c r="J7453" s="1" t="str">
        <f t="shared" si="3"/>
        <v/>
      </c>
      <c r="K7453" s="1" t="str">
        <f t="shared" si="4"/>
        <v/>
      </c>
    </row>
    <row r="7454" hidden="1">
      <c r="F7454" s="1" t="str">
        <f t="shared" si="1"/>
        <v/>
      </c>
      <c r="G7454" s="1" t="str">
        <f t="shared" si="2"/>
        <v/>
      </c>
      <c r="J7454" s="1" t="str">
        <f t="shared" si="3"/>
        <v/>
      </c>
      <c r="K7454" s="1" t="str">
        <f t="shared" si="4"/>
        <v/>
      </c>
    </row>
    <row r="7455" hidden="1">
      <c r="F7455" s="1" t="str">
        <f t="shared" si="1"/>
        <v/>
      </c>
      <c r="G7455" s="1" t="str">
        <f t="shared" si="2"/>
        <v/>
      </c>
      <c r="J7455" s="1" t="str">
        <f t="shared" si="3"/>
        <v/>
      </c>
      <c r="K7455" s="1" t="str">
        <f t="shared" si="4"/>
        <v/>
      </c>
    </row>
    <row r="7456" hidden="1">
      <c r="F7456" s="1" t="str">
        <f t="shared" si="1"/>
        <v/>
      </c>
      <c r="G7456" s="1" t="str">
        <f t="shared" si="2"/>
        <v/>
      </c>
      <c r="J7456" s="1" t="str">
        <f t="shared" si="3"/>
        <v/>
      </c>
      <c r="K7456" s="1" t="str">
        <f t="shared" si="4"/>
        <v/>
      </c>
    </row>
    <row r="7457" hidden="1">
      <c r="F7457" s="1" t="str">
        <f t="shared" si="1"/>
        <v/>
      </c>
      <c r="G7457" s="1" t="str">
        <f t="shared" si="2"/>
        <v/>
      </c>
      <c r="J7457" s="1" t="str">
        <f t="shared" si="3"/>
        <v/>
      </c>
      <c r="K7457" s="1" t="str">
        <f t="shared" si="4"/>
        <v/>
      </c>
    </row>
    <row r="7458" hidden="1">
      <c r="F7458" s="1" t="str">
        <f t="shared" si="1"/>
        <v/>
      </c>
      <c r="G7458" s="1" t="str">
        <f t="shared" si="2"/>
        <v/>
      </c>
      <c r="J7458" s="1" t="str">
        <f t="shared" si="3"/>
        <v/>
      </c>
      <c r="K7458" s="1" t="str">
        <f t="shared" si="4"/>
        <v/>
      </c>
    </row>
    <row r="7459" hidden="1">
      <c r="F7459" s="1" t="str">
        <f t="shared" si="1"/>
        <v/>
      </c>
      <c r="G7459" s="1" t="str">
        <f t="shared" si="2"/>
        <v/>
      </c>
      <c r="J7459" s="1" t="str">
        <f t="shared" si="3"/>
        <v/>
      </c>
      <c r="K7459" s="1" t="str">
        <f t="shared" si="4"/>
        <v/>
      </c>
    </row>
    <row r="7460" hidden="1">
      <c r="F7460" s="1" t="str">
        <f t="shared" si="1"/>
        <v/>
      </c>
      <c r="G7460" s="1" t="str">
        <f t="shared" si="2"/>
        <v/>
      </c>
      <c r="J7460" s="1" t="str">
        <f t="shared" si="3"/>
        <v/>
      </c>
      <c r="K7460" s="1" t="str">
        <f t="shared" si="4"/>
        <v/>
      </c>
    </row>
    <row r="7461" hidden="1">
      <c r="F7461" s="1" t="str">
        <f t="shared" si="1"/>
        <v/>
      </c>
      <c r="G7461" s="1" t="str">
        <f t="shared" si="2"/>
        <v/>
      </c>
      <c r="J7461" s="1" t="str">
        <f t="shared" si="3"/>
        <v/>
      </c>
      <c r="K7461" s="1" t="str">
        <f t="shared" si="4"/>
        <v/>
      </c>
    </row>
    <row r="7462" hidden="1">
      <c r="F7462" s="1" t="str">
        <f t="shared" si="1"/>
        <v/>
      </c>
      <c r="G7462" s="1" t="str">
        <f t="shared" si="2"/>
        <v/>
      </c>
      <c r="J7462" s="1" t="str">
        <f t="shared" si="3"/>
        <v/>
      </c>
      <c r="K7462" s="1" t="str">
        <f t="shared" si="4"/>
        <v/>
      </c>
    </row>
    <row r="7463" hidden="1">
      <c r="F7463" s="1" t="str">
        <f t="shared" si="1"/>
        <v/>
      </c>
      <c r="G7463" s="1" t="str">
        <f t="shared" si="2"/>
        <v/>
      </c>
      <c r="J7463" s="1" t="str">
        <f t="shared" si="3"/>
        <v/>
      </c>
      <c r="K7463" s="1" t="str">
        <f t="shared" si="4"/>
        <v/>
      </c>
    </row>
    <row r="7464" hidden="1">
      <c r="F7464" s="1" t="str">
        <f t="shared" si="1"/>
        <v/>
      </c>
      <c r="G7464" s="1" t="str">
        <f t="shared" si="2"/>
        <v/>
      </c>
      <c r="J7464" s="1" t="str">
        <f t="shared" si="3"/>
        <v/>
      </c>
      <c r="K7464" s="1" t="str">
        <f t="shared" si="4"/>
        <v/>
      </c>
    </row>
    <row r="7465" hidden="1">
      <c r="F7465" s="1" t="str">
        <f t="shared" si="1"/>
        <v/>
      </c>
      <c r="G7465" s="1" t="str">
        <f t="shared" si="2"/>
        <v/>
      </c>
      <c r="J7465" s="1" t="str">
        <f t="shared" si="3"/>
        <v/>
      </c>
      <c r="K7465" s="1" t="str">
        <f t="shared" si="4"/>
        <v/>
      </c>
    </row>
    <row r="7466" hidden="1">
      <c r="F7466" s="1" t="str">
        <f t="shared" si="1"/>
        <v/>
      </c>
      <c r="G7466" s="1" t="str">
        <f t="shared" si="2"/>
        <v/>
      </c>
      <c r="J7466" s="1" t="str">
        <f t="shared" si="3"/>
        <v/>
      </c>
      <c r="K7466" s="1" t="str">
        <f t="shared" si="4"/>
        <v/>
      </c>
    </row>
    <row r="7467" hidden="1">
      <c r="F7467" s="1" t="str">
        <f t="shared" si="1"/>
        <v/>
      </c>
      <c r="G7467" s="1" t="str">
        <f t="shared" si="2"/>
        <v/>
      </c>
      <c r="J7467" s="1" t="str">
        <f t="shared" si="3"/>
        <v/>
      </c>
      <c r="K7467" s="1" t="str">
        <f t="shared" si="4"/>
        <v/>
      </c>
    </row>
    <row r="7468" hidden="1">
      <c r="F7468" s="1" t="str">
        <f t="shared" si="1"/>
        <v/>
      </c>
      <c r="G7468" s="1" t="str">
        <f t="shared" si="2"/>
        <v/>
      </c>
      <c r="J7468" s="1" t="str">
        <f t="shared" si="3"/>
        <v/>
      </c>
      <c r="K7468" s="1" t="str">
        <f t="shared" si="4"/>
        <v/>
      </c>
    </row>
    <row r="7469" hidden="1">
      <c r="F7469" s="1" t="str">
        <f t="shared" si="1"/>
        <v/>
      </c>
      <c r="G7469" s="1" t="str">
        <f t="shared" si="2"/>
        <v/>
      </c>
      <c r="J7469" s="1" t="str">
        <f t="shared" si="3"/>
        <v/>
      </c>
      <c r="K7469" s="1" t="str">
        <f t="shared" si="4"/>
        <v/>
      </c>
    </row>
    <row r="7470" hidden="1">
      <c r="F7470" s="1" t="str">
        <f t="shared" si="1"/>
        <v/>
      </c>
      <c r="G7470" s="1" t="str">
        <f t="shared" si="2"/>
        <v/>
      </c>
      <c r="J7470" s="1" t="str">
        <f t="shared" si="3"/>
        <v/>
      </c>
      <c r="K7470" s="1" t="str">
        <f t="shared" si="4"/>
        <v/>
      </c>
    </row>
    <row r="7471" hidden="1">
      <c r="F7471" s="1" t="str">
        <f t="shared" si="1"/>
        <v/>
      </c>
      <c r="G7471" s="1" t="str">
        <f t="shared" si="2"/>
        <v/>
      </c>
      <c r="J7471" s="1" t="str">
        <f t="shared" si="3"/>
        <v/>
      </c>
      <c r="K7471" s="1" t="str">
        <f t="shared" si="4"/>
        <v/>
      </c>
    </row>
    <row r="7472" hidden="1">
      <c r="F7472" s="1" t="str">
        <f t="shared" si="1"/>
        <v/>
      </c>
      <c r="G7472" s="1" t="str">
        <f t="shared" si="2"/>
        <v/>
      </c>
      <c r="J7472" s="1" t="str">
        <f t="shared" si="3"/>
        <v/>
      </c>
      <c r="K7472" s="1" t="str">
        <f t="shared" si="4"/>
        <v/>
      </c>
    </row>
    <row r="7473" hidden="1">
      <c r="F7473" s="1" t="str">
        <f t="shared" si="1"/>
        <v/>
      </c>
      <c r="G7473" s="1" t="str">
        <f t="shared" si="2"/>
        <v/>
      </c>
      <c r="J7473" s="1" t="str">
        <f t="shared" si="3"/>
        <v/>
      </c>
      <c r="K7473" s="1" t="str">
        <f t="shared" si="4"/>
        <v/>
      </c>
    </row>
    <row r="7474" hidden="1">
      <c r="F7474" s="1" t="str">
        <f t="shared" si="1"/>
        <v/>
      </c>
      <c r="G7474" s="1" t="str">
        <f t="shared" si="2"/>
        <v/>
      </c>
      <c r="J7474" s="1" t="str">
        <f t="shared" si="3"/>
        <v/>
      </c>
      <c r="K7474" s="1" t="str">
        <f t="shared" si="4"/>
        <v/>
      </c>
    </row>
    <row r="7475" hidden="1">
      <c r="F7475" s="1" t="str">
        <f t="shared" si="1"/>
        <v/>
      </c>
      <c r="G7475" s="1" t="str">
        <f t="shared" si="2"/>
        <v/>
      </c>
      <c r="J7475" s="1" t="str">
        <f t="shared" si="3"/>
        <v/>
      </c>
      <c r="K7475" s="1" t="str">
        <f t="shared" si="4"/>
        <v/>
      </c>
    </row>
    <row r="7476" hidden="1">
      <c r="F7476" s="1" t="str">
        <f t="shared" si="1"/>
        <v/>
      </c>
      <c r="G7476" s="1" t="str">
        <f t="shared" si="2"/>
        <v/>
      </c>
      <c r="J7476" s="1" t="str">
        <f t="shared" si="3"/>
        <v/>
      </c>
      <c r="K7476" s="1" t="str">
        <f t="shared" si="4"/>
        <v/>
      </c>
    </row>
    <row r="7477" hidden="1">
      <c r="F7477" s="1" t="str">
        <f t="shared" si="1"/>
        <v/>
      </c>
      <c r="G7477" s="1" t="str">
        <f t="shared" si="2"/>
        <v/>
      </c>
      <c r="J7477" s="1" t="str">
        <f t="shared" si="3"/>
        <v/>
      </c>
      <c r="K7477" s="1" t="str">
        <f t="shared" si="4"/>
        <v/>
      </c>
    </row>
    <row r="7478" hidden="1">
      <c r="F7478" s="1" t="str">
        <f t="shared" si="1"/>
        <v/>
      </c>
      <c r="G7478" s="1" t="str">
        <f t="shared" si="2"/>
        <v/>
      </c>
      <c r="J7478" s="1" t="str">
        <f t="shared" si="3"/>
        <v/>
      </c>
      <c r="K7478" s="1" t="str">
        <f t="shared" si="4"/>
        <v/>
      </c>
    </row>
    <row r="7479" hidden="1">
      <c r="F7479" s="1" t="str">
        <f t="shared" si="1"/>
        <v/>
      </c>
      <c r="G7479" s="1" t="str">
        <f t="shared" si="2"/>
        <v/>
      </c>
      <c r="J7479" s="1" t="str">
        <f t="shared" si="3"/>
        <v/>
      </c>
      <c r="K7479" s="1" t="str">
        <f t="shared" si="4"/>
        <v/>
      </c>
    </row>
    <row r="7480" hidden="1">
      <c r="F7480" s="1" t="str">
        <f t="shared" si="1"/>
        <v/>
      </c>
      <c r="G7480" s="1" t="str">
        <f t="shared" si="2"/>
        <v/>
      </c>
      <c r="J7480" s="1" t="str">
        <f t="shared" si="3"/>
        <v/>
      </c>
      <c r="K7480" s="1" t="str">
        <f t="shared" si="4"/>
        <v/>
      </c>
    </row>
    <row r="7481" hidden="1">
      <c r="F7481" s="1" t="str">
        <f t="shared" si="1"/>
        <v/>
      </c>
      <c r="G7481" s="1" t="str">
        <f t="shared" si="2"/>
        <v/>
      </c>
      <c r="J7481" s="1" t="str">
        <f t="shared" si="3"/>
        <v/>
      </c>
      <c r="K7481" s="1" t="str">
        <f t="shared" si="4"/>
        <v/>
      </c>
    </row>
    <row r="7482" hidden="1">
      <c r="F7482" s="1" t="str">
        <f t="shared" si="1"/>
        <v/>
      </c>
      <c r="G7482" s="1" t="str">
        <f t="shared" si="2"/>
        <v/>
      </c>
      <c r="J7482" s="1" t="str">
        <f t="shared" si="3"/>
        <v/>
      </c>
      <c r="K7482" s="1" t="str">
        <f t="shared" si="4"/>
        <v/>
      </c>
    </row>
    <row r="7483" hidden="1">
      <c r="F7483" s="1" t="str">
        <f t="shared" si="1"/>
        <v/>
      </c>
      <c r="G7483" s="1" t="str">
        <f t="shared" si="2"/>
        <v/>
      </c>
      <c r="J7483" s="1" t="str">
        <f t="shared" si="3"/>
        <v/>
      </c>
      <c r="K7483" s="1" t="str">
        <f t="shared" si="4"/>
        <v/>
      </c>
    </row>
    <row r="7484" hidden="1">
      <c r="F7484" s="1" t="str">
        <f t="shared" si="1"/>
        <v/>
      </c>
      <c r="G7484" s="1" t="str">
        <f t="shared" si="2"/>
        <v/>
      </c>
      <c r="J7484" s="1" t="str">
        <f t="shared" si="3"/>
        <v/>
      </c>
      <c r="K7484" s="1" t="str">
        <f t="shared" si="4"/>
        <v/>
      </c>
    </row>
    <row r="7485" hidden="1">
      <c r="F7485" s="1" t="str">
        <f t="shared" si="1"/>
        <v/>
      </c>
      <c r="G7485" s="1" t="str">
        <f t="shared" si="2"/>
        <v/>
      </c>
      <c r="J7485" s="1" t="str">
        <f t="shared" si="3"/>
        <v/>
      </c>
      <c r="K7485" s="1" t="str">
        <f t="shared" si="4"/>
        <v/>
      </c>
    </row>
    <row r="7486" hidden="1">
      <c r="F7486" s="1" t="str">
        <f t="shared" si="1"/>
        <v/>
      </c>
      <c r="G7486" s="1" t="str">
        <f t="shared" si="2"/>
        <v/>
      </c>
      <c r="J7486" s="1" t="str">
        <f t="shared" si="3"/>
        <v/>
      </c>
      <c r="K7486" s="1" t="str">
        <f t="shared" si="4"/>
        <v/>
      </c>
    </row>
    <row r="7487" hidden="1">
      <c r="F7487" s="1" t="str">
        <f t="shared" si="1"/>
        <v/>
      </c>
      <c r="G7487" s="1" t="str">
        <f t="shared" si="2"/>
        <v/>
      </c>
      <c r="J7487" s="1" t="str">
        <f t="shared" si="3"/>
        <v/>
      </c>
      <c r="K7487" s="1" t="str">
        <f t="shared" si="4"/>
        <v/>
      </c>
    </row>
    <row r="7488" hidden="1">
      <c r="F7488" s="1" t="str">
        <f t="shared" si="1"/>
        <v/>
      </c>
      <c r="G7488" s="1" t="str">
        <f t="shared" si="2"/>
        <v/>
      </c>
      <c r="J7488" s="1" t="str">
        <f t="shared" si="3"/>
        <v/>
      </c>
      <c r="K7488" s="1" t="str">
        <f t="shared" si="4"/>
        <v/>
      </c>
    </row>
    <row r="7489" hidden="1">
      <c r="F7489" s="1" t="str">
        <f t="shared" si="1"/>
        <v/>
      </c>
      <c r="G7489" s="1" t="str">
        <f t="shared" si="2"/>
        <v/>
      </c>
      <c r="J7489" s="1" t="str">
        <f t="shared" si="3"/>
        <v/>
      </c>
      <c r="K7489" s="1" t="str">
        <f t="shared" si="4"/>
        <v/>
      </c>
    </row>
    <row r="7490" hidden="1">
      <c r="F7490" s="1" t="str">
        <f t="shared" si="1"/>
        <v/>
      </c>
      <c r="G7490" s="1" t="str">
        <f t="shared" si="2"/>
        <v/>
      </c>
      <c r="J7490" s="1" t="str">
        <f t="shared" si="3"/>
        <v/>
      </c>
      <c r="K7490" s="1" t="str">
        <f t="shared" si="4"/>
        <v/>
      </c>
    </row>
    <row r="7491" hidden="1">
      <c r="F7491" s="1" t="str">
        <f t="shared" si="1"/>
        <v/>
      </c>
      <c r="G7491" s="1" t="str">
        <f t="shared" si="2"/>
        <v/>
      </c>
      <c r="J7491" s="1" t="str">
        <f t="shared" si="3"/>
        <v/>
      </c>
      <c r="K7491" s="1" t="str">
        <f t="shared" si="4"/>
        <v/>
      </c>
    </row>
    <row r="7492" hidden="1">
      <c r="F7492" s="1" t="str">
        <f t="shared" si="1"/>
        <v/>
      </c>
      <c r="G7492" s="1" t="str">
        <f t="shared" si="2"/>
        <v/>
      </c>
      <c r="J7492" s="1" t="str">
        <f t="shared" si="3"/>
        <v/>
      </c>
      <c r="K7492" s="1" t="str">
        <f t="shared" si="4"/>
        <v/>
      </c>
    </row>
    <row r="7493" hidden="1">
      <c r="F7493" s="1" t="str">
        <f t="shared" si="1"/>
        <v/>
      </c>
      <c r="G7493" s="1" t="str">
        <f t="shared" si="2"/>
        <v/>
      </c>
      <c r="J7493" s="1" t="str">
        <f t="shared" si="3"/>
        <v/>
      </c>
      <c r="K7493" s="1" t="str">
        <f t="shared" si="4"/>
        <v/>
      </c>
    </row>
    <row r="7494" hidden="1">
      <c r="F7494" s="1" t="str">
        <f t="shared" si="1"/>
        <v/>
      </c>
      <c r="G7494" s="1" t="str">
        <f t="shared" si="2"/>
        <v/>
      </c>
      <c r="J7494" s="1" t="str">
        <f t="shared" si="3"/>
        <v/>
      </c>
      <c r="K7494" s="1" t="str">
        <f t="shared" si="4"/>
        <v/>
      </c>
    </row>
    <row r="7495" hidden="1">
      <c r="F7495" s="1" t="str">
        <f t="shared" si="1"/>
        <v/>
      </c>
      <c r="G7495" s="1" t="str">
        <f t="shared" si="2"/>
        <v/>
      </c>
      <c r="J7495" s="1" t="str">
        <f t="shared" si="3"/>
        <v/>
      </c>
      <c r="K7495" s="1" t="str">
        <f t="shared" si="4"/>
        <v/>
      </c>
    </row>
    <row r="7496" hidden="1">
      <c r="F7496" s="1" t="str">
        <f t="shared" si="1"/>
        <v/>
      </c>
      <c r="G7496" s="1" t="str">
        <f t="shared" si="2"/>
        <v/>
      </c>
      <c r="J7496" s="1" t="str">
        <f t="shared" si="3"/>
        <v/>
      </c>
      <c r="K7496" s="1" t="str">
        <f t="shared" si="4"/>
        <v/>
      </c>
    </row>
    <row r="7497" hidden="1">
      <c r="F7497" s="1" t="str">
        <f t="shared" si="1"/>
        <v/>
      </c>
      <c r="G7497" s="1" t="str">
        <f t="shared" si="2"/>
        <v/>
      </c>
      <c r="J7497" s="1" t="str">
        <f t="shared" si="3"/>
        <v/>
      </c>
      <c r="K7497" s="1" t="str">
        <f t="shared" si="4"/>
        <v/>
      </c>
    </row>
    <row r="7498" hidden="1">
      <c r="F7498" s="1" t="str">
        <f t="shared" si="1"/>
        <v/>
      </c>
      <c r="G7498" s="1" t="str">
        <f t="shared" si="2"/>
        <v/>
      </c>
      <c r="J7498" s="1" t="str">
        <f t="shared" si="3"/>
        <v/>
      </c>
      <c r="K7498" s="1" t="str">
        <f t="shared" si="4"/>
        <v/>
      </c>
    </row>
    <row r="7499" hidden="1">
      <c r="F7499" s="1" t="str">
        <f t="shared" si="1"/>
        <v/>
      </c>
      <c r="G7499" s="1" t="str">
        <f t="shared" si="2"/>
        <v/>
      </c>
      <c r="J7499" s="1" t="str">
        <f t="shared" si="3"/>
        <v/>
      </c>
      <c r="K7499" s="1" t="str">
        <f t="shared" si="4"/>
        <v/>
      </c>
    </row>
    <row r="7500" hidden="1">
      <c r="F7500" s="1" t="str">
        <f t="shared" si="1"/>
        <v/>
      </c>
      <c r="G7500" s="1" t="str">
        <f t="shared" si="2"/>
        <v/>
      </c>
      <c r="J7500" s="1" t="str">
        <f t="shared" si="3"/>
        <v/>
      </c>
      <c r="K7500" s="1" t="str">
        <f t="shared" si="4"/>
        <v/>
      </c>
    </row>
    <row r="7501" hidden="1">
      <c r="F7501" s="1" t="str">
        <f t="shared" si="1"/>
        <v/>
      </c>
      <c r="G7501" s="1" t="str">
        <f t="shared" si="2"/>
        <v/>
      </c>
      <c r="J7501" s="1" t="str">
        <f t="shared" si="3"/>
        <v/>
      </c>
      <c r="K7501" s="1" t="str">
        <f t="shared" si="4"/>
        <v/>
      </c>
    </row>
    <row r="7502" hidden="1">
      <c r="F7502" s="1" t="str">
        <f t="shared" si="1"/>
        <v/>
      </c>
      <c r="G7502" s="1" t="str">
        <f t="shared" si="2"/>
        <v/>
      </c>
      <c r="J7502" s="1" t="str">
        <f t="shared" si="3"/>
        <v/>
      </c>
      <c r="K7502" s="1" t="str">
        <f t="shared" si="4"/>
        <v/>
      </c>
    </row>
    <row r="7503" hidden="1">
      <c r="F7503" s="1" t="str">
        <f t="shared" si="1"/>
        <v/>
      </c>
      <c r="G7503" s="1" t="str">
        <f t="shared" si="2"/>
        <v/>
      </c>
      <c r="J7503" s="1" t="str">
        <f t="shared" si="3"/>
        <v/>
      </c>
      <c r="K7503" s="1" t="str">
        <f t="shared" si="4"/>
        <v/>
      </c>
    </row>
    <row r="7504" hidden="1">
      <c r="F7504" s="1" t="str">
        <f t="shared" si="1"/>
        <v/>
      </c>
      <c r="G7504" s="1" t="str">
        <f t="shared" si="2"/>
        <v/>
      </c>
      <c r="J7504" s="1" t="str">
        <f t="shared" si="3"/>
        <v/>
      </c>
      <c r="K7504" s="1" t="str">
        <f t="shared" si="4"/>
        <v/>
      </c>
    </row>
    <row r="7505" hidden="1">
      <c r="F7505" s="1" t="str">
        <f t="shared" si="1"/>
        <v/>
      </c>
      <c r="G7505" s="1" t="str">
        <f t="shared" si="2"/>
        <v/>
      </c>
      <c r="J7505" s="1" t="str">
        <f t="shared" si="3"/>
        <v/>
      </c>
      <c r="K7505" s="1" t="str">
        <f t="shared" si="4"/>
        <v/>
      </c>
    </row>
    <row r="7506" hidden="1">
      <c r="F7506" s="1" t="str">
        <f t="shared" si="1"/>
        <v/>
      </c>
      <c r="G7506" s="1" t="str">
        <f t="shared" si="2"/>
        <v/>
      </c>
      <c r="J7506" s="1" t="str">
        <f t="shared" si="3"/>
        <v/>
      </c>
      <c r="K7506" s="1" t="str">
        <f t="shared" si="4"/>
        <v/>
      </c>
    </row>
    <row r="7507" hidden="1">
      <c r="F7507" s="1" t="str">
        <f t="shared" si="1"/>
        <v/>
      </c>
      <c r="G7507" s="1" t="str">
        <f t="shared" si="2"/>
        <v/>
      </c>
      <c r="J7507" s="1" t="str">
        <f t="shared" si="3"/>
        <v/>
      </c>
      <c r="K7507" s="1" t="str">
        <f t="shared" si="4"/>
        <v/>
      </c>
    </row>
    <row r="7508" hidden="1">
      <c r="F7508" s="1" t="str">
        <f t="shared" si="1"/>
        <v/>
      </c>
      <c r="G7508" s="1" t="str">
        <f t="shared" si="2"/>
        <v/>
      </c>
      <c r="J7508" s="1" t="str">
        <f t="shared" si="3"/>
        <v/>
      </c>
      <c r="K7508" s="1" t="str">
        <f t="shared" si="4"/>
        <v/>
      </c>
    </row>
    <row r="7509" hidden="1">
      <c r="F7509" s="1" t="str">
        <f t="shared" si="1"/>
        <v/>
      </c>
      <c r="G7509" s="1" t="str">
        <f t="shared" si="2"/>
        <v/>
      </c>
      <c r="J7509" s="1" t="str">
        <f t="shared" si="3"/>
        <v/>
      </c>
      <c r="K7509" s="1" t="str">
        <f t="shared" si="4"/>
        <v/>
      </c>
    </row>
    <row r="7510" hidden="1">
      <c r="F7510" s="1" t="str">
        <f t="shared" si="1"/>
        <v/>
      </c>
      <c r="G7510" s="1" t="str">
        <f t="shared" si="2"/>
        <v/>
      </c>
      <c r="J7510" s="1" t="str">
        <f t="shared" si="3"/>
        <v/>
      </c>
      <c r="K7510" s="1" t="str">
        <f t="shared" si="4"/>
        <v/>
      </c>
    </row>
    <row r="7511" hidden="1">
      <c r="F7511" s="1" t="str">
        <f t="shared" si="1"/>
        <v/>
      </c>
      <c r="G7511" s="1" t="str">
        <f t="shared" si="2"/>
        <v/>
      </c>
      <c r="J7511" s="1" t="str">
        <f t="shared" si="3"/>
        <v/>
      </c>
      <c r="K7511" s="1" t="str">
        <f t="shared" si="4"/>
        <v/>
      </c>
    </row>
    <row r="7512" hidden="1">
      <c r="F7512" s="1" t="str">
        <f t="shared" si="1"/>
        <v/>
      </c>
      <c r="G7512" s="1" t="str">
        <f t="shared" si="2"/>
        <v/>
      </c>
      <c r="J7512" s="1" t="str">
        <f t="shared" si="3"/>
        <v/>
      </c>
      <c r="K7512" s="1" t="str">
        <f t="shared" si="4"/>
        <v/>
      </c>
    </row>
    <row r="7513" hidden="1">
      <c r="F7513" s="1" t="str">
        <f t="shared" si="1"/>
        <v/>
      </c>
      <c r="G7513" s="1" t="str">
        <f t="shared" si="2"/>
        <v/>
      </c>
      <c r="J7513" s="1" t="str">
        <f t="shared" si="3"/>
        <v/>
      </c>
      <c r="K7513" s="1" t="str">
        <f t="shared" si="4"/>
        <v/>
      </c>
    </row>
    <row r="7514" hidden="1">
      <c r="F7514" s="1" t="str">
        <f t="shared" si="1"/>
        <v/>
      </c>
      <c r="G7514" s="1" t="str">
        <f t="shared" si="2"/>
        <v/>
      </c>
      <c r="J7514" s="1" t="str">
        <f t="shared" si="3"/>
        <v/>
      </c>
      <c r="K7514" s="1" t="str">
        <f t="shared" si="4"/>
        <v/>
      </c>
    </row>
    <row r="7515" hidden="1">
      <c r="F7515" s="1" t="str">
        <f t="shared" si="1"/>
        <v/>
      </c>
      <c r="G7515" s="1" t="str">
        <f t="shared" si="2"/>
        <v/>
      </c>
      <c r="J7515" s="1" t="str">
        <f t="shared" si="3"/>
        <v/>
      </c>
      <c r="K7515" s="1" t="str">
        <f t="shared" si="4"/>
        <v/>
      </c>
    </row>
    <row r="7516" hidden="1">
      <c r="F7516" s="1" t="str">
        <f t="shared" si="1"/>
        <v/>
      </c>
      <c r="G7516" s="1" t="str">
        <f t="shared" si="2"/>
        <v/>
      </c>
      <c r="J7516" s="1" t="str">
        <f t="shared" si="3"/>
        <v/>
      </c>
      <c r="K7516" s="1" t="str">
        <f t="shared" si="4"/>
        <v/>
      </c>
    </row>
    <row r="7517" hidden="1">
      <c r="F7517" s="1" t="str">
        <f t="shared" si="1"/>
        <v/>
      </c>
      <c r="G7517" s="1" t="str">
        <f t="shared" si="2"/>
        <v/>
      </c>
      <c r="J7517" s="1" t="str">
        <f t="shared" si="3"/>
        <v/>
      </c>
      <c r="K7517" s="1" t="str">
        <f t="shared" si="4"/>
        <v/>
      </c>
    </row>
    <row r="7518" hidden="1">
      <c r="F7518" s="1" t="str">
        <f t="shared" si="1"/>
        <v/>
      </c>
      <c r="G7518" s="1" t="str">
        <f t="shared" si="2"/>
        <v/>
      </c>
      <c r="J7518" s="1" t="str">
        <f t="shared" si="3"/>
        <v/>
      </c>
      <c r="K7518" s="1" t="str">
        <f t="shared" si="4"/>
        <v/>
      </c>
    </row>
    <row r="7519" hidden="1">
      <c r="F7519" s="1" t="str">
        <f t="shared" si="1"/>
        <v/>
      </c>
      <c r="G7519" s="1" t="str">
        <f t="shared" si="2"/>
        <v/>
      </c>
      <c r="J7519" s="1" t="str">
        <f t="shared" si="3"/>
        <v/>
      </c>
      <c r="K7519" s="1" t="str">
        <f t="shared" si="4"/>
        <v/>
      </c>
    </row>
    <row r="7520" hidden="1">
      <c r="F7520" s="1" t="str">
        <f t="shared" si="1"/>
        <v/>
      </c>
      <c r="G7520" s="1" t="str">
        <f t="shared" si="2"/>
        <v/>
      </c>
      <c r="J7520" s="1" t="str">
        <f t="shared" si="3"/>
        <v/>
      </c>
      <c r="K7520" s="1" t="str">
        <f t="shared" si="4"/>
        <v/>
      </c>
    </row>
    <row r="7521" hidden="1">
      <c r="F7521" s="1" t="str">
        <f t="shared" si="1"/>
        <v/>
      </c>
      <c r="G7521" s="1" t="str">
        <f t="shared" si="2"/>
        <v/>
      </c>
      <c r="J7521" s="1" t="str">
        <f t="shared" si="3"/>
        <v/>
      </c>
      <c r="K7521" s="1" t="str">
        <f t="shared" si="4"/>
        <v/>
      </c>
    </row>
    <row r="7522" hidden="1">
      <c r="F7522" s="1" t="str">
        <f t="shared" si="1"/>
        <v/>
      </c>
      <c r="G7522" s="1" t="str">
        <f t="shared" si="2"/>
        <v/>
      </c>
      <c r="J7522" s="1" t="str">
        <f t="shared" si="3"/>
        <v/>
      </c>
      <c r="K7522" s="1" t="str">
        <f t="shared" si="4"/>
        <v/>
      </c>
    </row>
    <row r="7523" hidden="1">
      <c r="F7523" s="1" t="str">
        <f t="shared" si="1"/>
        <v/>
      </c>
      <c r="G7523" s="1" t="str">
        <f t="shared" si="2"/>
        <v/>
      </c>
      <c r="J7523" s="1" t="str">
        <f t="shared" si="3"/>
        <v/>
      </c>
      <c r="K7523" s="1" t="str">
        <f t="shared" si="4"/>
        <v/>
      </c>
    </row>
    <row r="7524" hidden="1">
      <c r="F7524" s="1" t="str">
        <f t="shared" si="1"/>
        <v/>
      </c>
      <c r="G7524" s="1" t="str">
        <f t="shared" si="2"/>
        <v/>
      </c>
      <c r="J7524" s="1" t="str">
        <f t="shared" si="3"/>
        <v/>
      </c>
      <c r="K7524" s="1" t="str">
        <f t="shared" si="4"/>
        <v/>
      </c>
    </row>
    <row r="7525" hidden="1">
      <c r="F7525" s="1" t="str">
        <f t="shared" si="1"/>
        <v/>
      </c>
      <c r="G7525" s="1" t="str">
        <f t="shared" si="2"/>
        <v/>
      </c>
      <c r="J7525" s="1" t="str">
        <f t="shared" si="3"/>
        <v/>
      </c>
      <c r="K7525" s="1" t="str">
        <f t="shared" si="4"/>
        <v/>
      </c>
    </row>
    <row r="7526" hidden="1">
      <c r="F7526" s="1" t="str">
        <f t="shared" si="1"/>
        <v/>
      </c>
      <c r="G7526" s="1" t="str">
        <f t="shared" si="2"/>
        <v/>
      </c>
      <c r="J7526" s="1" t="str">
        <f t="shared" si="3"/>
        <v/>
      </c>
      <c r="K7526" s="1" t="str">
        <f t="shared" si="4"/>
        <v/>
      </c>
    </row>
    <row r="7527" hidden="1">
      <c r="F7527" s="1" t="str">
        <f t="shared" si="1"/>
        <v/>
      </c>
      <c r="G7527" s="1" t="str">
        <f t="shared" si="2"/>
        <v/>
      </c>
      <c r="J7527" s="1" t="str">
        <f t="shared" si="3"/>
        <v/>
      </c>
      <c r="K7527" s="1" t="str">
        <f t="shared" si="4"/>
        <v/>
      </c>
    </row>
    <row r="7528" hidden="1">
      <c r="F7528" s="1" t="str">
        <f t="shared" si="1"/>
        <v/>
      </c>
      <c r="G7528" s="1" t="str">
        <f t="shared" si="2"/>
        <v/>
      </c>
      <c r="J7528" s="1" t="str">
        <f t="shared" si="3"/>
        <v/>
      </c>
      <c r="K7528" s="1" t="str">
        <f t="shared" si="4"/>
        <v/>
      </c>
    </row>
    <row r="7529" hidden="1">
      <c r="F7529" s="1" t="str">
        <f t="shared" si="1"/>
        <v/>
      </c>
      <c r="G7529" s="1" t="str">
        <f t="shared" si="2"/>
        <v/>
      </c>
      <c r="J7529" s="1" t="str">
        <f t="shared" si="3"/>
        <v/>
      </c>
      <c r="K7529" s="1" t="str">
        <f t="shared" si="4"/>
        <v/>
      </c>
    </row>
    <row r="7530" hidden="1">
      <c r="F7530" s="1" t="str">
        <f t="shared" si="1"/>
        <v/>
      </c>
      <c r="G7530" s="1" t="str">
        <f t="shared" si="2"/>
        <v/>
      </c>
      <c r="J7530" s="1" t="str">
        <f t="shared" si="3"/>
        <v/>
      </c>
      <c r="K7530" s="1" t="str">
        <f t="shared" si="4"/>
        <v/>
      </c>
    </row>
    <row r="7531" hidden="1">
      <c r="F7531" s="1" t="str">
        <f t="shared" si="1"/>
        <v/>
      </c>
      <c r="G7531" s="1" t="str">
        <f t="shared" si="2"/>
        <v/>
      </c>
      <c r="J7531" s="1" t="str">
        <f t="shared" si="3"/>
        <v/>
      </c>
      <c r="K7531" s="1" t="str">
        <f t="shared" si="4"/>
        <v/>
      </c>
    </row>
    <row r="7532" hidden="1">
      <c r="F7532" s="1" t="str">
        <f t="shared" si="1"/>
        <v/>
      </c>
      <c r="G7532" s="1" t="str">
        <f t="shared" si="2"/>
        <v/>
      </c>
      <c r="J7532" s="1" t="str">
        <f t="shared" si="3"/>
        <v/>
      </c>
      <c r="K7532" s="1" t="str">
        <f t="shared" si="4"/>
        <v/>
      </c>
    </row>
    <row r="7533" hidden="1">
      <c r="F7533" s="1" t="str">
        <f t="shared" si="1"/>
        <v/>
      </c>
      <c r="G7533" s="1" t="str">
        <f t="shared" si="2"/>
        <v/>
      </c>
      <c r="J7533" s="1" t="str">
        <f t="shared" si="3"/>
        <v/>
      </c>
      <c r="K7533" s="1" t="str">
        <f t="shared" si="4"/>
        <v/>
      </c>
    </row>
    <row r="7534" hidden="1">
      <c r="F7534" s="1" t="str">
        <f t="shared" si="1"/>
        <v/>
      </c>
      <c r="G7534" s="1" t="str">
        <f t="shared" si="2"/>
        <v/>
      </c>
      <c r="J7534" s="1" t="str">
        <f t="shared" si="3"/>
        <v/>
      </c>
      <c r="K7534" s="1" t="str">
        <f t="shared" si="4"/>
        <v/>
      </c>
    </row>
    <row r="7535" hidden="1">
      <c r="F7535" s="1" t="str">
        <f t="shared" si="1"/>
        <v/>
      </c>
      <c r="G7535" s="1" t="str">
        <f t="shared" si="2"/>
        <v/>
      </c>
      <c r="J7535" s="1" t="str">
        <f t="shared" si="3"/>
        <v/>
      </c>
      <c r="K7535" s="1" t="str">
        <f t="shared" si="4"/>
        <v/>
      </c>
    </row>
    <row r="7536" hidden="1">
      <c r="F7536" s="1" t="str">
        <f t="shared" si="1"/>
        <v/>
      </c>
      <c r="G7536" s="1" t="str">
        <f t="shared" si="2"/>
        <v/>
      </c>
      <c r="J7536" s="1" t="str">
        <f t="shared" si="3"/>
        <v/>
      </c>
      <c r="K7536" s="1" t="str">
        <f t="shared" si="4"/>
        <v/>
      </c>
    </row>
    <row r="7537" hidden="1">
      <c r="F7537" s="1" t="str">
        <f t="shared" si="1"/>
        <v/>
      </c>
      <c r="G7537" s="1" t="str">
        <f t="shared" si="2"/>
        <v/>
      </c>
      <c r="J7537" s="1" t="str">
        <f t="shared" si="3"/>
        <v/>
      </c>
      <c r="K7537" s="1" t="str">
        <f t="shared" si="4"/>
        <v/>
      </c>
    </row>
    <row r="7538" hidden="1">
      <c r="F7538" s="1" t="str">
        <f t="shared" si="1"/>
        <v/>
      </c>
      <c r="G7538" s="1" t="str">
        <f t="shared" si="2"/>
        <v/>
      </c>
      <c r="J7538" s="1" t="str">
        <f t="shared" si="3"/>
        <v/>
      </c>
      <c r="K7538" s="1" t="str">
        <f t="shared" si="4"/>
        <v/>
      </c>
    </row>
    <row r="7539" hidden="1">
      <c r="F7539" s="1" t="str">
        <f t="shared" si="1"/>
        <v/>
      </c>
      <c r="G7539" s="1" t="str">
        <f t="shared" si="2"/>
        <v/>
      </c>
      <c r="J7539" s="1" t="str">
        <f t="shared" si="3"/>
        <v/>
      </c>
      <c r="K7539" s="1" t="str">
        <f t="shared" si="4"/>
        <v/>
      </c>
    </row>
    <row r="7540" hidden="1">
      <c r="F7540" s="1" t="str">
        <f t="shared" si="1"/>
        <v/>
      </c>
      <c r="G7540" s="1" t="str">
        <f t="shared" si="2"/>
        <v/>
      </c>
      <c r="J7540" s="1" t="str">
        <f t="shared" si="3"/>
        <v/>
      </c>
      <c r="K7540" s="1" t="str">
        <f t="shared" si="4"/>
        <v/>
      </c>
    </row>
    <row r="7541" hidden="1">
      <c r="F7541" s="1" t="str">
        <f t="shared" si="1"/>
        <v/>
      </c>
      <c r="G7541" s="1" t="str">
        <f t="shared" si="2"/>
        <v/>
      </c>
      <c r="J7541" s="1" t="str">
        <f t="shared" si="3"/>
        <v/>
      </c>
      <c r="K7541" s="1" t="str">
        <f t="shared" si="4"/>
        <v/>
      </c>
    </row>
    <row r="7542" hidden="1">
      <c r="F7542" s="1" t="str">
        <f t="shared" si="1"/>
        <v/>
      </c>
      <c r="G7542" s="1" t="str">
        <f t="shared" si="2"/>
        <v/>
      </c>
      <c r="J7542" s="1" t="str">
        <f t="shared" si="3"/>
        <v/>
      </c>
      <c r="K7542" s="1" t="str">
        <f t="shared" si="4"/>
        <v/>
      </c>
    </row>
    <row r="7543" hidden="1">
      <c r="F7543" s="1" t="str">
        <f t="shared" si="1"/>
        <v/>
      </c>
      <c r="G7543" s="1" t="str">
        <f t="shared" si="2"/>
        <v/>
      </c>
      <c r="J7543" s="1" t="str">
        <f t="shared" si="3"/>
        <v/>
      </c>
      <c r="K7543" s="1" t="str">
        <f t="shared" si="4"/>
        <v/>
      </c>
    </row>
    <row r="7544" hidden="1">
      <c r="F7544" s="1" t="str">
        <f t="shared" si="1"/>
        <v/>
      </c>
      <c r="G7544" s="1" t="str">
        <f t="shared" si="2"/>
        <v/>
      </c>
      <c r="J7544" s="1" t="str">
        <f t="shared" si="3"/>
        <v/>
      </c>
      <c r="K7544" s="1" t="str">
        <f t="shared" si="4"/>
        <v/>
      </c>
    </row>
    <row r="7545" hidden="1">
      <c r="F7545" s="1" t="str">
        <f t="shared" si="1"/>
        <v/>
      </c>
      <c r="G7545" s="1" t="str">
        <f t="shared" si="2"/>
        <v/>
      </c>
      <c r="J7545" s="1" t="str">
        <f t="shared" si="3"/>
        <v/>
      </c>
      <c r="K7545" s="1" t="str">
        <f t="shared" si="4"/>
        <v/>
      </c>
    </row>
    <row r="7546" hidden="1">
      <c r="F7546" s="1" t="str">
        <f t="shared" si="1"/>
        <v/>
      </c>
      <c r="G7546" s="1" t="str">
        <f t="shared" si="2"/>
        <v/>
      </c>
      <c r="J7546" s="1" t="str">
        <f t="shared" si="3"/>
        <v/>
      </c>
      <c r="K7546" s="1" t="str">
        <f t="shared" si="4"/>
        <v/>
      </c>
    </row>
    <row r="7547" hidden="1">
      <c r="F7547" s="1" t="str">
        <f t="shared" si="1"/>
        <v/>
      </c>
      <c r="G7547" s="1" t="str">
        <f t="shared" si="2"/>
        <v/>
      </c>
      <c r="J7547" s="1" t="str">
        <f t="shared" si="3"/>
        <v/>
      </c>
      <c r="K7547" s="1" t="str">
        <f t="shared" si="4"/>
        <v/>
      </c>
    </row>
    <row r="7548" hidden="1">
      <c r="F7548" s="1" t="str">
        <f t="shared" si="1"/>
        <v/>
      </c>
      <c r="G7548" s="1" t="str">
        <f t="shared" si="2"/>
        <v/>
      </c>
      <c r="J7548" s="1" t="str">
        <f t="shared" si="3"/>
        <v/>
      </c>
      <c r="K7548" s="1" t="str">
        <f t="shared" si="4"/>
        <v/>
      </c>
    </row>
    <row r="7549" hidden="1">
      <c r="F7549" s="1" t="str">
        <f t="shared" si="1"/>
        <v/>
      </c>
      <c r="G7549" s="1" t="str">
        <f t="shared" si="2"/>
        <v/>
      </c>
      <c r="J7549" s="1" t="str">
        <f t="shared" si="3"/>
        <v/>
      </c>
      <c r="K7549" s="1" t="str">
        <f t="shared" si="4"/>
        <v/>
      </c>
    </row>
    <row r="7550" hidden="1">
      <c r="F7550" s="1" t="str">
        <f t="shared" si="1"/>
        <v/>
      </c>
      <c r="G7550" s="1" t="str">
        <f t="shared" si="2"/>
        <v/>
      </c>
      <c r="J7550" s="1" t="str">
        <f t="shared" si="3"/>
        <v/>
      </c>
      <c r="K7550" s="1" t="str">
        <f t="shared" si="4"/>
        <v/>
      </c>
    </row>
    <row r="7551" hidden="1">
      <c r="F7551" s="1" t="str">
        <f t="shared" si="1"/>
        <v/>
      </c>
      <c r="G7551" s="1" t="str">
        <f t="shared" si="2"/>
        <v/>
      </c>
      <c r="J7551" s="1" t="str">
        <f t="shared" si="3"/>
        <v/>
      </c>
      <c r="K7551" s="1" t="str">
        <f t="shared" si="4"/>
        <v/>
      </c>
    </row>
    <row r="7552" hidden="1">
      <c r="F7552" s="1" t="str">
        <f t="shared" si="1"/>
        <v/>
      </c>
      <c r="G7552" s="1" t="str">
        <f t="shared" si="2"/>
        <v/>
      </c>
      <c r="J7552" s="1" t="str">
        <f t="shared" si="3"/>
        <v/>
      </c>
      <c r="K7552" s="1" t="str">
        <f t="shared" si="4"/>
        <v/>
      </c>
    </row>
    <row r="7553" hidden="1">
      <c r="F7553" s="1" t="str">
        <f t="shared" si="1"/>
        <v/>
      </c>
      <c r="G7553" s="1" t="str">
        <f t="shared" si="2"/>
        <v/>
      </c>
      <c r="J7553" s="1" t="str">
        <f t="shared" si="3"/>
        <v/>
      </c>
      <c r="K7553" s="1" t="str">
        <f t="shared" si="4"/>
        <v/>
      </c>
    </row>
    <row r="7554" hidden="1">
      <c r="F7554" s="1" t="str">
        <f t="shared" si="1"/>
        <v/>
      </c>
      <c r="G7554" s="1" t="str">
        <f t="shared" si="2"/>
        <v/>
      </c>
      <c r="J7554" s="1" t="str">
        <f t="shared" si="3"/>
        <v/>
      </c>
      <c r="K7554" s="1" t="str">
        <f t="shared" si="4"/>
        <v/>
      </c>
    </row>
    <row r="7555" hidden="1">
      <c r="F7555" s="1" t="str">
        <f t="shared" si="1"/>
        <v/>
      </c>
      <c r="G7555" s="1" t="str">
        <f t="shared" si="2"/>
        <v/>
      </c>
      <c r="J7555" s="1" t="str">
        <f t="shared" si="3"/>
        <v/>
      </c>
      <c r="K7555" s="1" t="str">
        <f t="shared" si="4"/>
        <v/>
      </c>
    </row>
    <row r="7556" hidden="1">
      <c r="F7556" s="1" t="str">
        <f t="shared" si="1"/>
        <v/>
      </c>
      <c r="G7556" s="1" t="str">
        <f t="shared" si="2"/>
        <v/>
      </c>
      <c r="J7556" s="1" t="str">
        <f t="shared" si="3"/>
        <v/>
      </c>
      <c r="K7556" s="1" t="str">
        <f t="shared" si="4"/>
        <v/>
      </c>
    </row>
    <row r="7557" hidden="1">
      <c r="F7557" s="1" t="str">
        <f t="shared" si="1"/>
        <v/>
      </c>
      <c r="G7557" s="1" t="str">
        <f t="shared" si="2"/>
        <v/>
      </c>
      <c r="J7557" s="1" t="str">
        <f t="shared" si="3"/>
        <v/>
      </c>
      <c r="K7557" s="1" t="str">
        <f t="shared" si="4"/>
        <v/>
      </c>
    </row>
    <row r="7558" hidden="1">
      <c r="F7558" s="1" t="str">
        <f t="shared" si="1"/>
        <v/>
      </c>
      <c r="G7558" s="1" t="str">
        <f t="shared" si="2"/>
        <v/>
      </c>
      <c r="J7558" s="1" t="str">
        <f t="shared" si="3"/>
        <v/>
      </c>
      <c r="K7558" s="1" t="str">
        <f t="shared" si="4"/>
        <v/>
      </c>
    </row>
    <row r="7559" hidden="1">
      <c r="F7559" s="1" t="str">
        <f t="shared" si="1"/>
        <v/>
      </c>
      <c r="G7559" s="1" t="str">
        <f t="shared" si="2"/>
        <v/>
      </c>
      <c r="J7559" s="1" t="str">
        <f t="shared" si="3"/>
        <v/>
      </c>
      <c r="K7559" s="1" t="str">
        <f t="shared" si="4"/>
        <v/>
      </c>
    </row>
    <row r="7560" hidden="1">
      <c r="F7560" s="1" t="str">
        <f t="shared" si="1"/>
        <v/>
      </c>
      <c r="G7560" s="1" t="str">
        <f t="shared" si="2"/>
        <v/>
      </c>
      <c r="J7560" s="1" t="str">
        <f t="shared" si="3"/>
        <v/>
      </c>
      <c r="K7560" s="1" t="str">
        <f t="shared" si="4"/>
        <v/>
      </c>
    </row>
    <row r="7561" hidden="1">
      <c r="F7561" s="1" t="str">
        <f t="shared" si="1"/>
        <v/>
      </c>
      <c r="G7561" s="1" t="str">
        <f t="shared" si="2"/>
        <v/>
      </c>
      <c r="J7561" s="1" t="str">
        <f t="shared" si="3"/>
        <v/>
      </c>
      <c r="K7561" s="1" t="str">
        <f t="shared" si="4"/>
        <v/>
      </c>
    </row>
    <row r="7562" hidden="1">
      <c r="F7562" s="1" t="str">
        <f t="shared" si="1"/>
        <v/>
      </c>
      <c r="G7562" s="1" t="str">
        <f t="shared" si="2"/>
        <v/>
      </c>
      <c r="J7562" s="1" t="str">
        <f t="shared" si="3"/>
        <v/>
      </c>
      <c r="K7562" s="1" t="str">
        <f t="shared" si="4"/>
        <v/>
      </c>
    </row>
    <row r="7563" hidden="1">
      <c r="F7563" s="1" t="str">
        <f t="shared" si="1"/>
        <v/>
      </c>
      <c r="G7563" s="1" t="str">
        <f t="shared" si="2"/>
        <v/>
      </c>
      <c r="J7563" s="1" t="str">
        <f t="shared" si="3"/>
        <v/>
      </c>
      <c r="K7563" s="1" t="str">
        <f t="shared" si="4"/>
        <v/>
      </c>
    </row>
    <row r="7564" hidden="1">
      <c r="F7564" s="1" t="str">
        <f t="shared" si="1"/>
        <v/>
      </c>
      <c r="G7564" s="1" t="str">
        <f t="shared" si="2"/>
        <v/>
      </c>
      <c r="J7564" s="1" t="str">
        <f t="shared" si="3"/>
        <v/>
      </c>
      <c r="K7564" s="1" t="str">
        <f t="shared" si="4"/>
        <v/>
      </c>
    </row>
    <row r="7565" hidden="1">
      <c r="F7565" s="1" t="str">
        <f t="shared" si="1"/>
        <v/>
      </c>
      <c r="G7565" s="1" t="str">
        <f t="shared" si="2"/>
        <v/>
      </c>
      <c r="J7565" s="1" t="str">
        <f t="shared" si="3"/>
        <v/>
      </c>
      <c r="K7565" s="1" t="str">
        <f t="shared" si="4"/>
        <v/>
      </c>
    </row>
    <row r="7566" hidden="1">
      <c r="F7566" s="1" t="str">
        <f t="shared" si="1"/>
        <v/>
      </c>
      <c r="G7566" s="1" t="str">
        <f t="shared" si="2"/>
        <v/>
      </c>
      <c r="J7566" s="1" t="str">
        <f t="shared" si="3"/>
        <v/>
      </c>
      <c r="K7566" s="1" t="str">
        <f t="shared" si="4"/>
        <v/>
      </c>
    </row>
    <row r="7567" hidden="1">
      <c r="F7567" s="1" t="str">
        <f t="shared" si="1"/>
        <v/>
      </c>
      <c r="G7567" s="1" t="str">
        <f t="shared" si="2"/>
        <v/>
      </c>
      <c r="J7567" s="1" t="str">
        <f t="shared" si="3"/>
        <v/>
      </c>
      <c r="K7567" s="1" t="str">
        <f t="shared" si="4"/>
        <v/>
      </c>
    </row>
    <row r="7568" hidden="1">
      <c r="F7568" s="1" t="str">
        <f t="shared" si="1"/>
        <v/>
      </c>
      <c r="G7568" s="1" t="str">
        <f t="shared" si="2"/>
        <v/>
      </c>
      <c r="J7568" s="1" t="str">
        <f t="shared" si="3"/>
        <v/>
      </c>
      <c r="K7568" s="1" t="str">
        <f t="shared" si="4"/>
        <v/>
      </c>
    </row>
    <row r="7569" hidden="1">
      <c r="F7569" s="1" t="str">
        <f t="shared" si="1"/>
        <v/>
      </c>
      <c r="G7569" s="1" t="str">
        <f t="shared" si="2"/>
        <v/>
      </c>
      <c r="J7569" s="1" t="str">
        <f t="shared" si="3"/>
        <v/>
      </c>
      <c r="K7569" s="1" t="str">
        <f t="shared" si="4"/>
        <v/>
      </c>
    </row>
    <row r="7570" hidden="1">
      <c r="F7570" s="1" t="str">
        <f t="shared" si="1"/>
        <v/>
      </c>
      <c r="G7570" s="1" t="str">
        <f t="shared" si="2"/>
        <v/>
      </c>
      <c r="J7570" s="1" t="str">
        <f t="shared" si="3"/>
        <v/>
      </c>
      <c r="K7570" s="1" t="str">
        <f t="shared" si="4"/>
        <v/>
      </c>
    </row>
    <row r="7571" hidden="1">
      <c r="F7571" s="1" t="str">
        <f t="shared" si="1"/>
        <v/>
      </c>
      <c r="G7571" s="1" t="str">
        <f t="shared" si="2"/>
        <v/>
      </c>
      <c r="J7571" s="1" t="str">
        <f t="shared" si="3"/>
        <v/>
      </c>
      <c r="K7571" s="1" t="str">
        <f t="shared" si="4"/>
        <v/>
      </c>
    </row>
    <row r="7572" hidden="1">
      <c r="F7572" s="1" t="str">
        <f t="shared" si="1"/>
        <v/>
      </c>
      <c r="G7572" s="1" t="str">
        <f t="shared" si="2"/>
        <v/>
      </c>
      <c r="J7572" s="1" t="str">
        <f t="shared" si="3"/>
        <v/>
      </c>
      <c r="K7572" s="1" t="str">
        <f t="shared" si="4"/>
        <v/>
      </c>
    </row>
    <row r="7573" hidden="1">
      <c r="F7573" s="1" t="str">
        <f t="shared" si="1"/>
        <v/>
      </c>
      <c r="G7573" s="1" t="str">
        <f t="shared" si="2"/>
        <v/>
      </c>
      <c r="J7573" s="1" t="str">
        <f t="shared" si="3"/>
        <v/>
      </c>
      <c r="K7573" s="1" t="str">
        <f t="shared" si="4"/>
        <v/>
      </c>
    </row>
    <row r="7574" hidden="1">
      <c r="F7574" s="1" t="str">
        <f t="shared" si="1"/>
        <v/>
      </c>
      <c r="G7574" s="1" t="str">
        <f t="shared" si="2"/>
        <v/>
      </c>
      <c r="J7574" s="1" t="str">
        <f t="shared" si="3"/>
        <v/>
      </c>
      <c r="K7574" s="1" t="str">
        <f t="shared" si="4"/>
        <v/>
      </c>
    </row>
    <row r="7575" hidden="1">
      <c r="F7575" s="1" t="str">
        <f t="shared" si="1"/>
        <v/>
      </c>
      <c r="G7575" s="1" t="str">
        <f t="shared" si="2"/>
        <v/>
      </c>
      <c r="J7575" s="1" t="str">
        <f t="shared" si="3"/>
        <v/>
      </c>
      <c r="K7575" s="1" t="str">
        <f t="shared" si="4"/>
        <v/>
      </c>
    </row>
    <row r="7576" hidden="1">
      <c r="F7576" s="1" t="str">
        <f t="shared" si="1"/>
        <v/>
      </c>
      <c r="G7576" s="1" t="str">
        <f t="shared" si="2"/>
        <v/>
      </c>
      <c r="J7576" s="1" t="str">
        <f t="shared" si="3"/>
        <v/>
      </c>
      <c r="K7576" s="1" t="str">
        <f t="shared" si="4"/>
        <v/>
      </c>
    </row>
    <row r="7577" hidden="1">
      <c r="F7577" s="1" t="str">
        <f t="shared" si="1"/>
        <v/>
      </c>
      <c r="G7577" s="1" t="str">
        <f t="shared" si="2"/>
        <v/>
      </c>
      <c r="J7577" s="1" t="str">
        <f t="shared" si="3"/>
        <v/>
      </c>
      <c r="K7577" s="1" t="str">
        <f t="shared" si="4"/>
        <v/>
      </c>
    </row>
    <row r="7578" hidden="1">
      <c r="F7578" s="1" t="str">
        <f t="shared" si="1"/>
        <v/>
      </c>
      <c r="G7578" s="1" t="str">
        <f t="shared" si="2"/>
        <v/>
      </c>
      <c r="J7578" s="1" t="str">
        <f t="shared" si="3"/>
        <v/>
      </c>
      <c r="K7578" s="1" t="str">
        <f t="shared" si="4"/>
        <v/>
      </c>
    </row>
    <row r="7579" hidden="1">
      <c r="F7579" s="1" t="str">
        <f t="shared" si="1"/>
        <v/>
      </c>
      <c r="G7579" s="1" t="str">
        <f t="shared" si="2"/>
        <v/>
      </c>
      <c r="J7579" s="1" t="str">
        <f t="shared" si="3"/>
        <v/>
      </c>
      <c r="K7579" s="1" t="str">
        <f t="shared" si="4"/>
        <v/>
      </c>
    </row>
    <row r="7580" hidden="1">
      <c r="F7580" s="1" t="str">
        <f t="shared" si="1"/>
        <v/>
      </c>
      <c r="G7580" s="1" t="str">
        <f t="shared" si="2"/>
        <v/>
      </c>
      <c r="J7580" s="1" t="str">
        <f t="shared" si="3"/>
        <v/>
      </c>
      <c r="K7580" s="1" t="str">
        <f t="shared" si="4"/>
        <v/>
      </c>
    </row>
    <row r="7581" hidden="1">
      <c r="F7581" s="1" t="str">
        <f t="shared" si="1"/>
        <v/>
      </c>
      <c r="G7581" s="1" t="str">
        <f t="shared" si="2"/>
        <v/>
      </c>
      <c r="J7581" s="1" t="str">
        <f t="shared" si="3"/>
        <v/>
      </c>
      <c r="K7581" s="1" t="str">
        <f t="shared" si="4"/>
        <v/>
      </c>
    </row>
    <row r="7582" hidden="1">
      <c r="F7582" s="1" t="str">
        <f t="shared" si="1"/>
        <v/>
      </c>
      <c r="G7582" s="1" t="str">
        <f t="shared" si="2"/>
        <v/>
      </c>
      <c r="J7582" s="1" t="str">
        <f t="shared" si="3"/>
        <v/>
      </c>
      <c r="K7582" s="1" t="str">
        <f t="shared" si="4"/>
        <v/>
      </c>
    </row>
    <row r="7583" hidden="1">
      <c r="F7583" s="1" t="str">
        <f t="shared" si="1"/>
        <v/>
      </c>
      <c r="G7583" s="1" t="str">
        <f t="shared" si="2"/>
        <v/>
      </c>
      <c r="J7583" s="1" t="str">
        <f t="shared" si="3"/>
        <v/>
      </c>
      <c r="K7583" s="1" t="str">
        <f t="shared" si="4"/>
        <v/>
      </c>
    </row>
    <row r="7584" hidden="1">
      <c r="F7584" s="1" t="str">
        <f t="shared" si="1"/>
        <v/>
      </c>
      <c r="G7584" s="1" t="str">
        <f t="shared" si="2"/>
        <v/>
      </c>
      <c r="J7584" s="1" t="str">
        <f t="shared" si="3"/>
        <v/>
      </c>
      <c r="K7584" s="1" t="str">
        <f t="shared" si="4"/>
        <v/>
      </c>
    </row>
    <row r="7585" hidden="1">
      <c r="F7585" s="1" t="str">
        <f t="shared" si="1"/>
        <v/>
      </c>
      <c r="G7585" s="1" t="str">
        <f t="shared" si="2"/>
        <v/>
      </c>
      <c r="J7585" s="1" t="str">
        <f t="shared" si="3"/>
        <v/>
      </c>
      <c r="K7585" s="1" t="str">
        <f t="shared" si="4"/>
        <v/>
      </c>
    </row>
    <row r="7586" hidden="1">
      <c r="F7586" s="1" t="str">
        <f t="shared" si="1"/>
        <v/>
      </c>
      <c r="G7586" s="1" t="str">
        <f t="shared" si="2"/>
        <v/>
      </c>
      <c r="J7586" s="1" t="str">
        <f t="shared" si="3"/>
        <v/>
      </c>
      <c r="K7586" s="1" t="str">
        <f t="shared" si="4"/>
        <v/>
      </c>
    </row>
    <row r="7587" hidden="1">
      <c r="F7587" s="1" t="str">
        <f t="shared" si="1"/>
        <v/>
      </c>
      <c r="G7587" s="1" t="str">
        <f t="shared" si="2"/>
        <v/>
      </c>
      <c r="J7587" s="1" t="str">
        <f t="shared" si="3"/>
        <v/>
      </c>
      <c r="K7587" s="1" t="str">
        <f t="shared" si="4"/>
        <v/>
      </c>
    </row>
    <row r="7588" hidden="1">
      <c r="F7588" s="1" t="str">
        <f t="shared" si="1"/>
        <v/>
      </c>
      <c r="G7588" s="1" t="str">
        <f t="shared" si="2"/>
        <v/>
      </c>
      <c r="J7588" s="1" t="str">
        <f t="shared" si="3"/>
        <v/>
      </c>
      <c r="K7588" s="1" t="str">
        <f t="shared" si="4"/>
        <v/>
      </c>
    </row>
    <row r="7589" hidden="1">
      <c r="F7589" s="1" t="str">
        <f t="shared" si="1"/>
        <v/>
      </c>
      <c r="G7589" s="1" t="str">
        <f t="shared" si="2"/>
        <v/>
      </c>
      <c r="J7589" s="1" t="str">
        <f t="shared" si="3"/>
        <v/>
      </c>
      <c r="K7589" s="1" t="str">
        <f t="shared" si="4"/>
        <v/>
      </c>
    </row>
    <row r="7590" hidden="1">
      <c r="F7590" s="1" t="str">
        <f t="shared" si="1"/>
        <v/>
      </c>
      <c r="G7590" s="1" t="str">
        <f t="shared" si="2"/>
        <v/>
      </c>
      <c r="J7590" s="1" t="str">
        <f t="shared" si="3"/>
        <v/>
      </c>
      <c r="K7590" s="1" t="str">
        <f t="shared" si="4"/>
        <v/>
      </c>
    </row>
    <row r="7591" hidden="1">
      <c r="F7591" s="1" t="str">
        <f t="shared" si="1"/>
        <v/>
      </c>
      <c r="G7591" s="1" t="str">
        <f t="shared" si="2"/>
        <v/>
      </c>
      <c r="J7591" s="1" t="str">
        <f t="shared" si="3"/>
        <v/>
      </c>
      <c r="K7591" s="1" t="str">
        <f t="shared" si="4"/>
        <v/>
      </c>
    </row>
    <row r="7592" hidden="1">
      <c r="F7592" s="1" t="str">
        <f t="shared" si="1"/>
        <v/>
      </c>
      <c r="G7592" s="1" t="str">
        <f t="shared" si="2"/>
        <v/>
      </c>
      <c r="J7592" s="1" t="str">
        <f t="shared" si="3"/>
        <v/>
      </c>
      <c r="K7592" s="1" t="str">
        <f t="shared" si="4"/>
        <v/>
      </c>
    </row>
    <row r="7593" hidden="1">
      <c r="F7593" s="1" t="str">
        <f t="shared" si="1"/>
        <v/>
      </c>
      <c r="G7593" s="1" t="str">
        <f t="shared" si="2"/>
        <v/>
      </c>
      <c r="J7593" s="1" t="str">
        <f t="shared" si="3"/>
        <v/>
      </c>
      <c r="K7593" s="1" t="str">
        <f t="shared" si="4"/>
        <v/>
      </c>
    </row>
    <row r="7594" hidden="1">
      <c r="F7594" s="1" t="str">
        <f t="shared" si="1"/>
        <v/>
      </c>
      <c r="G7594" s="1" t="str">
        <f t="shared" si="2"/>
        <v/>
      </c>
      <c r="J7594" s="1" t="str">
        <f t="shared" si="3"/>
        <v/>
      </c>
      <c r="K7594" s="1" t="str">
        <f t="shared" si="4"/>
        <v/>
      </c>
    </row>
    <row r="7595" hidden="1">
      <c r="F7595" s="1" t="str">
        <f t="shared" si="1"/>
        <v/>
      </c>
      <c r="G7595" s="1" t="str">
        <f t="shared" si="2"/>
        <v/>
      </c>
      <c r="J7595" s="1" t="str">
        <f t="shared" si="3"/>
        <v/>
      </c>
      <c r="K7595" s="1" t="str">
        <f t="shared" si="4"/>
        <v/>
      </c>
    </row>
    <row r="7596" hidden="1">
      <c r="F7596" s="1" t="str">
        <f t="shared" si="1"/>
        <v/>
      </c>
      <c r="G7596" s="1" t="str">
        <f t="shared" si="2"/>
        <v/>
      </c>
      <c r="J7596" s="1" t="str">
        <f t="shared" si="3"/>
        <v/>
      </c>
      <c r="K7596" s="1" t="str">
        <f t="shared" si="4"/>
        <v/>
      </c>
    </row>
    <row r="7597" hidden="1">
      <c r="F7597" s="1" t="str">
        <f t="shared" si="1"/>
        <v/>
      </c>
      <c r="G7597" s="1" t="str">
        <f t="shared" si="2"/>
        <v/>
      </c>
      <c r="J7597" s="1" t="str">
        <f t="shared" si="3"/>
        <v/>
      </c>
      <c r="K7597" s="1" t="str">
        <f t="shared" si="4"/>
        <v/>
      </c>
    </row>
    <row r="7598" hidden="1">
      <c r="F7598" s="1" t="str">
        <f t="shared" si="1"/>
        <v/>
      </c>
      <c r="G7598" s="1" t="str">
        <f t="shared" si="2"/>
        <v/>
      </c>
      <c r="J7598" s="1" t="str">
        <f t="shared" si="3"/>
        <v/>
      </c>
      <c r="K7598" s="1" t="str">
        <f t="shared" si="4"/>
        <v/>
      </c>
    </row>
    <row r="7599" hidden="1">
      <c r="F7599" s="1" t="str">
        <f t="shared" si="1"/>
        <v/>
      </c>
      <c r="G7599" s="1" t="str">
        <f t="shared" si="2"/>
        <v/>
      </c>
      <c r="J7599" s="1" t="str">
        <f t="shared" si="3"/>
        <v/>
      </c>
      <c r="K7599" s="1" t="str">
        <f t="shared" si="4"/>
        <v/>
      </c>
    </row>
    <row r="7600" hidden="1">
      <c r="F7600" s="1" t="str">
        <f t="shared" si="1"/>
        <v/>
      </c>
      <c r="G7600" s="1" t="str">
        <f t="shared" si="2"/>
        <v/>
      </c>
      <c r="J7600" s="1" t="str">
        <f t="shared" si="3"/>
        <v/>
      </c>
      <c r="K7600" s="1" t="str">
        <f t="shared" si="4"/>
        <v/>
      </c>
    </row>
    <row r="7601" hidden="1">
      <c r="F7601" s="1" t="str">
        <f t="shared" si="1"/>
        <v/>
      </c>
      <c r="G7601" s="1" t="str">
        <f t="shared" si="2"/>
        <v/>
      </c>
      <c r="J7601" s="1" t="str">
        <f t="shared" si="3"/>
        <v/>
      </c>
      <c r="K7601" s="1" t="str">
        <f t="shared" si="4"/>
        <v/>
      </c>
    </row>
    <row r="7602" hidden="1">
      <c r="F7602" s="1" t="str">
        <f t="shared" si="1"/>
        <v/>
      </c>
      <c r="G7602" s="1" t="str">
        <f t="shared" si="2"/>
        <v/>
      </c>
      <c r="J7602" s="1" t="str">
        <f t="shared" si="3"/>
        <v/>
      </c>
      <c r="K7602" s="1" t="str">
        <f t="shared" si="4"/>
        <v/>
      </c>
    </row>
    <row r="7603" hidden="1">
      <c r="F7603" s="1" t="str">
        <f t="shared" si="1"/>
        <v/>
      </c>
      <c r="G7603" s="1" t="str">
        <f t="shared" si="2"/>
        <v/>
      </c>
      <c r="J7603" s="1" t="str">
        <f t="shared" si="3"/>
        <v/>
      </c>
      <c r="K7603" s="1" t="str">
        <f t="shared" si="4"/>
        <v/>
      </c>
    </row>
    <row r="7604" hidden="1">
      <c r="F7604" s="1" t="str">
        <f t="shared" si="1"/>
        <v/>
      </c>
      <c r="G7604" s="1" t="str">
        <f t="shared" si="2"/>
        <v/>
      </c>
      <c r="J7604" s="1" t="str">
        <f t="shared" si="3"/>
        <v/>
      </c>
      <c r="K7604" s="1" t="str">
        <f t="shared" si="4"/>
        <v/>
      </c>
    </row>
    <row r="7605" hidden="1">
      <c r="F7605" s="1" t="str">
        <f t="shared" si="1"/>
        <v/>
      </c>
      <c r="G7605" s="1" t="str">
        <f t="shared" si="2"/>
        <v/>
      </c>
      <c r="J7605" s="1" t="str">
        <f t="shared" si="3"/>
        <v/>
      </c>
      <c r="K7605" s="1" t="str">
        <f t="shared" si="4"/>
        <v/>
      </c>
    </row>
    <row r="7606" hidden="1">
      <c r="F7606" s="1" t="str">
        <f t="shared" si="1"/>
        <v/>
      </c>
      <c r="G7606" s="1" t="str">
        <f t="shared" si="2"/>
        <v/>
      </c>
      <c r="J7606" s="1" t="str">
        <f t="shared" si="3"/>
        <v/>
      </c>
      <c r="K7606" s="1" t="str">
        <f t="shared" si="4"/>
        <v/>
      </c>
    </row>
    <row r="7607" hidden="1">
      <c r="F7607" s="1" t="str">
        <f t="shared" si="1"/>
        <v/>
      </c>
      <c r="G7607" s="1" t="str">
        <f t="shared" si="2"/>
        <v/>
      </c>
      <c r="J7607" s="1" t="str">
        <f t="shared" si="3"/>
        <v/>
      </c>
      <c r="K7607" s="1" t="str">
        <f t="shared" si="4"/>
        <v/>
      </c>
    </row>
    <row r="7608" hidden="1">
      <c r="F7608" s="1" t="str">
        <f t="shared" si="1"/>
        <v/>
      </c>
      <c r="G7608" s="1" t="str">
        <f t="shared" si="2"/>
        <v/>
      </c>
      <c r="J7608" s="1" t="str">
        <f t="shared" si="3"/>
        <v/>
      </c>
      <c r="K7608" s="1" t="str">
        <f t="shared" si="4"/>
        <v/>
      </c>
    </row>
    <row r="7609" hidden="1">
      <c r="F7609" s="1" t="str">
        <f t="shared" si="1"/>
        <v/>
      </c>
      <c r="G7609" s="1" t="str">
        <f t="shared" si="2"/>
        <v/>
      </c>
      <c r="J7609" s="1" t="str">
        <f t="shared" si="3"/>
        <v/>
      </c>
      <c r="K7609" s="1" t="str">
        <f t="shared" si="4"/>
        <v/>
      </c>
    </row>
    <row r="7610" hidden="1">
      <c r="F7610" s="1" t="str">
        <f t="shared" si="1"/>
        <v/>
      </c>
      <c r="G7610" s="1" t="str">
        <f t="shared" si="2"/>
        <v/>
      </c>
      <c r="J7610" s="1" t="str">
        <f t="shared" si="3"/>
        <v/>
      </c>
      <c r="K7610" s="1" t="str">
        <f t="shared" si="4"/>
        <v/>
      </c>
    </row>
    <row r="7611" hidden="1">
      <c r="F7611" s="1" t="str">
        <f t="shared" si="1"/>
        <v/>
      </c>
      <c r="G7611" s="1" t="str">
        <f t="shared" si="2"/>
        <v/>
      </c>
      <c r="J7611" s="1" t="str">
        <f t="shared" si="3"/>
        <v/>
      </c>
      <c r="K7611" s="1" t="str">
        <f t="shared" si="4"/>
        <v/>
      </c>
    </row>
    <row r="7612" hidden="1">
      <c r="F7612" s="1" t="str">
        <f t="shared" si="1"/>
        <v/>
      </c>
      <c r="G7612" s="1" t="str">
        <f t="shared" si="2"/>
        <v/>
      </c>
      <c r="J7612" s="1" t="str">
        <f t="shared" si="3"/>
        <v/>
      </c>
      <c r="K7612" s="1" t="str">
        <f t="shared" si="4"/>
        <v/>
      </c>
    </row>
    <row r="7613" hidden="1">
      <c r="F7613" s="1" t="str">
        <f t="shared" si="1"/>
        <v/>
      </c>
      <c r="G7613" s="1" t="str">
        <f t="shared" si="2"/>
        <v/>
      </c>
      <c r="J7613" s="1" t="str">
        <f t="shared" si="3"/>
        <v/>
      </c>
      <c r="K7613" s="1" t="str">
        <f t="shared" si="4"/>
        <v/>
      </c>
    </row>
    <row r="7614" hidden="1">
      <c r="F7614" s="1" t="str">
        <f t="shared" si="1"/>
        <v/>
      </c>
      <c r="G7614" s="1" t="str">
        <f t="shared" si="2"/>
        <v/>
      </c>
      <c r="J7614" s="1" t="str">
        <f t="shared" si="3"/>
        <v/>
      </c>
      <c r="K7614" s="1" t="str">
        <f t="shared" si="4"/>
        <v/>
      </c>
    </row>
    <row r="7615" hidden="1">
      <c r="F7615" s="1" t="str">
        <f t="shared" si="1"/>
        <v/>
      </c>
      <c r="G7615" s="1" t="str">
        <f t="shared" si="2"/>
        <v/>
      </c>
      <c r="J7615" s="1" t="str">
        <f t="shared" si="3"/>
        <v/>
      </c>
      <c r="K7615" s="1" t="str">
        <f t="shared" si="4"/>
        <v/>
      </c>
    </row>
    <row r="7616" hidden="1">
      <c r="F7616" s="1" t="str">
        <f t="shared" si="1"/>
        <v/>
      </c>
      <c r="G7616" s="1" t="str">
        <f t="shared" si="2"/>
        <v/>
      </c>
      <c r="J7616" s="1" t="str">
        <f t="shared" si="3"/>
        <v/>
      </c>
      <c r="K7616" s="1" t="str">
        <f t="shared" si="4"/>
        <v/>
      </c>
    </row>
    <row r="7617" hidden="1">
      <c r="F7617" s="1" t="str">
        <f t="shared" si="1"/>
        <v/>
      </c>
      <c r="G7617" s="1" t="str">
        <f t="shared" si="2"/>
        <v/>
      </c>
      <c r="J7617" s="1" t="str">
        <f t="shared" si="3"/>
        <v/>
      </c>
      <c r="K7617" s="1" t="str">
        <f t="shared" si="4"/>
        <v/>
      </c>
    </row>
    <row r="7618" hidden="1">
      <c r="F7618" s="1" t="str">
        <f t="shared" si="1"/>
        <v/>
      </c>
      <c r="G7618" s="1" t="str">
        <f t="shared" si="2"/>
        <v/>
      </c>
      <c r="J7618" s="1" t="str">
        <f t="shared" si="3"/>
        <v/>
      </c>
      <c r="K7618" s="1" t="str">
        <f t="shared" si="4"/>
        <v/>
      </c>
    </row>
    <row r="7619" hidden="1">
      <c r="F7619" s="1" t="str">
        <f t="shared" si="1"/>
        <v/>
      </c>
      <c r="G7619" s="1" t="str">
        <f t="shared" si="2"/>
        <v/>
      </c>
      <c r="J7619" s="1" t="str">
        <f t="shared" si="3"/>
        <v/>
      </c>
      <c r="K7619" s="1" t="str">
        <f t="shared" si="4"/>
        <v/>
      </c>
    </row>
    <row r="7620" hidden="1">
      <c r="F7620" s="1" t="str">
        <f t="shared" si="1"/>
        <v/>
      </c>
      <c r="G7620" s="1" t="str">
        <f t="shared" si="2"/>
        <v/>
      </c>
      <c r="J7620" s="1" t="str">
        <f t="shared" si="3"/>
        <v/>
      </c>
      <c r="K7620" s="1" t="str">
        <f t="shared" si="4"/>
        <v/>
      </c>
    </row>
    <row r="7621" hidden="1">
      <c r="F7621" s="1" t="str">
        <f t="shared" si="1"/>
        <v/>
      </c>
      <c r="G7621" s="1" t="str">
        <f t="shared" si="2"/>
        <v/>
      </c>
      <c r="J7621" s="1" t="str">
        <f t="shared" si="3"/>
        <v/>
      </c>
      <c r="K7621" s="1" t="str">
        <f t="shared" si="4"/>
        <v/>
      </c>
    </row>
    <row r="7622" hidden="1">
      <c r="F7622" s="1" t="str">
        <f t="shared" si="1"/>
        <v/>
      </c>
      <c r="G7622" s="1" t="str">
        <f t="shared" si="2"/>
        <v/>
      </c>
      <c r="J7622" s="1" t="str">
        <f t="shared" si="3"/>
        <v/>
      </c>
      <c r="K7622" s="1" t="str">
        <f t="shared" si="4"/>
        <v/>
      </c>
    </row>
    <row r="7623" hidden="1">
      <c r="F7623" s="1" t="str">
        <f t="shared" si="1"/>
        <v/>
      </c>
      <c r="G7623" s="1" t="str">
        <f t="shared" si="2"/>
        <v/>
      </c>
      <c r="J7623" s="1" t="str">
        <f t="shared" si="3"/>
        <v/>
      </c>
      <c r="K7623" s="1" t="str">
        <f t="shared" si="4"/>
        <v/>
      </c>
    </row>
    <row r="7624" hidden="1">
      <c r="F7624" s="1" t="str">
        <f t="shared" si="1"/>
        <v/>
      </c>
      <c r="G7624" s="1" t="str">
        <f t="shared" si="2"/>
        <v/>
      </c>
      <c r="J7624" s="1" t="str">
        <f t="shared" si="3"/>
        <v/>
      </c>
      <c r="K7624" s="1" t="str">
        <f t="shared" si="4"/>
        <v/>
      </c>
    </row>
    <row r="7625" hidden="1">
      <c r="F7625" s="1" t="str">
        <f t="shared" si="1"/>
        <v/>
      </c>
      <c r="G7625" s="1" t="str">
        <f t="shared" si="2"/>
        <v/>
      </c>
      <c r="J7625" s="1" t="str">
        <f t="shared" si="3"/>
        <v/>
      </c>
      <c r="K7625" s="1" t="str">
        <f t="shared" si="4"/>
        <v/>
      </c>
    </row>
    <row r="7626" hidden="1">
      <c r="F7626" s="1" t="str">
        <f t="shared" si="1"/>
        <v/>
      </c>
      <c r="G7626" s="1" t="str">
        <f t="shared" si="2"/>
        <v/>
      </c>
      <c r="J7626" s="1" t="str">
        <f t="shared" si="3"/>
        <v/>
      </c>
      <c r="K7626" s="1" t="str">
        <f t="shared" si="4"/>
        <v/>
      </c>
    </row>
    <row r="7627" hidden="1">
      <c r="F7627" s="1" t="str">
        <f t="shared" si="1"/>
        <v/>
      </c>
      <c r="G7627" s="1" t="str">
        <f t="shared" si="2"/>
        <v/>
      </c>
      <c r="J7627" s="1" t="str">
        <f t="shared" si="3"/>
        <v/>
      </c>
      <c r="K7627" s="1" t="str">
        <f t="shared" si="4"/>
        <v/>
      </c>
    </row>
    <row r="7628" hidden="1">
      <c r="F7628" s="1" t="str">
        <f t="shared" si="1"/>
        <v/>
      </c>
      <c r="G7628" s="1" t="str">
        <f t="shared" si="2"/>
        <v/>
      </c>
      <c r="J7628" s="1" t="str">
        <f t="shared" si="3"/>
        <v/>
      </c>
      <c r="K7628" s="1" t="str">
        <f t="shared" si="4"/>
        <v/>
      </c>
    </row>
    <row r="7629" hidden="1">
      <c r="F7629" s="1" t="str">
        <f t="shared" si="1"/>
        <v/>
      </c>
      <c r="G7629" s="1" t="str">
        <f t="shared" si="2"/>
        <v/>
      </c>
      <c r="J7629" s="1" t="str">
        <f t="shared" si="3"/>
        <v/>
      </c>
      <c r="K7629" s="1" t="str">
        <f t="shared" si="4"/>
        <v/>
      </c>
    </row>
    <row r="7630" hidden="1">
      <c r="F7630" s="1" t="str">
        <f t="shared" si="1"/>
        <v/>
      </c>
      <c r="G7630" s="1" t="str">
        <f t="shared" si="2"/>
        <v/>
      </c>
      <c r="J7630" s="1" t="str">
        <f t="shared" si="3"/>
        <v/>
      </c>
      <c r="K7630" s="1" t="str">
        <f t="shared" si="4"/>
        <v/>
      </c>
    </row>
    <row r="7631" hidden="1">
      <c r="F7631" s="1" t="str">
        <f t="shared" si="1"/>
        <v/>
      </c>
      <c r="G7631" s="1" t="str">
        <f t="shared" si="2"/>
        <v/>
      </c>
      <c r="J7631" s="1" t="str">
        <f t="shared" si="3"/>
        <v/>
      </c>
      <c r="K7631" s="1" t="str">
        <f t="shared" si="4"/>
        <v/>
      </c>
    </row>
    <row r="7632" hidden="1">
      <c r="F7632" s="1" t="str">
        <f t="shared" si="1"/>
        <v/>
      </c>
      <c r="G7632" s="1" t="str">
        <f t="shared" si="2"/>
        <v/>
      </c>
      <c r="J7632" s="1" t="str">
        <f t="shared" si="3"/>
        <v/>
      </c>
      <c r="K7632" s="1" t="str">
        <f t="shared" si="4"/>
        <v/>
      </c>
    </row>
    <row r="7633" hidden="1">
      <c r="F7633" s="1" t="str">
        <f t="shared" si="1"/>
        <v/>
      </c>
      <c r="G7633" s="1" t="str">
        <f t="shared" si="2"/>
        <v/>
      </c>
      <c r="J7633" s="1" t="str">
        <f t="shared" si="3"/>
        <v/>
      </c>
      <c r="K7633" s="1" t="str">
        <f t="shared" si="4"/>
        <v/>
      </c>
    </row>
    <row r="7634" hidden="1">
      <c r="F7634" s="1" t="str">
        <f t="shared" si="1"/>
        <v/>
      </c>
      <c r="G7634" s="1" t="str">
        <f t="shared" si="2"/>
        <v/>
      </c>
      <c r="J7634" s="1" t="str">
        <f t="shared" si="3"/>
        <v/>
      </c>
      <c r="K7634" s="1" t="str">
        <f t="shared" si="4"/>
        <v/>
      </c>
    </row>
    <row r="7635" hidden="1">
      <c r="F7635" s="1" t="str">
        <f t="shared" si="1"/>
        <v/>
      </c>
      <c r="G7635" s="1" t="str">
        <f t="shared" si="2"/>
        <v/>
      </c>
      <c r="J7635" s="1" t="str">
        <f t="shared" si="3"/>
        <v/>
      </c>
      <c r="K7635" s="1" t="str">
        <f t="shared" si="4"/>
        <v/>
      </c>
    </row>
    <row r="7636" hidden="1">
      <c r="F7636" s="1" t="str">
        <f t="shared" si="1"/>
        <v/>
      </c>
      <c r="G7636" s="1" t="str">
        <f t="shared" si="2"/>
        <v/>
      </c>
      <c r="J7636" s="1" t="str">
        <f t="shared" si="3"/>
        <v/>
      </c>
      <c r="K7636" s="1" t="str">
        <f t="shared" si="4"/>
        <v/>
      </c>
    </row>
    <row r="7637" hidden="1">
      <c r="F7637" s="1" t="str">
        <f t="shared" si="1"/>
        <v/>
      </c>
      <c r="G7637" s="1" t="str">
        <f t="shared" si="2"/>
        <v/>
      </c>
      <c r="J7637" s="1" t="str">
        <f t="shared" si="3"/>
        <v/>
      </c>
      <c r="K7637" s="1" t="str">
        <f t="shared" si="4"/>
        <v/>
      </c>
    </row>
    <row r="7638" hidden="1">
      <c r="F7638" s="1" t="str">
        <f t="shared" si="1"/>
        <v/>
      </c>
      <c r="G7638" s="1" t="str">
        <f t="shared" si="2"/>
        <v/>
      </c>
      <c r="J7638" s="1" t="str">
        <f t="shared" si="3"/>
        <v/>
      </c>
      <c r="K7638" s="1" t="str">
        <f t="shared" si="4"/>
        <v/>
      </c>
    </row>
    <row r="7639" hidden="1">
      <c r="F7639" s="1" t="str">
        <f t="shared" si="1"/>
        <v/>
      </c>
      <c r="G7639" s="1" t="str">
        <f t="shared" si="2"/>
        <v/>
      </c>
      <c r="J7639" s="1" t="str">
        <f t="shared" si="3"/>
        <v/>
      </c>
      <c r="K7639" s="1" t="str">
        <f t="shared" si="4"/>
        <v/>
      </c>
    </row>
    <row r="7640" hidden="1">
      <c r="F7640" s="1" t="str">
        <f t="shared" si="1"/>
        <v/>
      </c>
      <c r="G7640" s="1" t="str">
        <f t="shared" si="2"/>
        <v/>
      </c>
      <c r="J7640" s="1" t="str">
        <f t="shared" si="3"/>
        <v/>
      </c>
      <c r="K7640" s="1" t="str">
        <f t="shared" si="4"/>
        <v/>
      </c>
    </row>
    <row r="7641" hidden="1">
      <c r="F7641" s="1" t="str">
        <f t="shared" si="1"/>
        <v/>
      </c>
      <c r="G7641" s="1" t="str">
        <f t="shared" si="2"/>
        <v/>
      </c>
      <c r="J7641" s="1" t="str">
        <f t="shared" si="3"/>
        <v/>
      </c>
      <c r="K7641" s="1" t="str">
        <f t="shared" si="4"/>
        <v/>
      </c>
    </row>
    <row r="7642" hidden="1">
      <c r="F7642" s="1" t="str">
        <f t="shared" si="1"/>
        <v/>
      </c>
      <c r="G7642" s="1" t="str">
        <f t="shared" si="2"/>
        <v/>
      </c>
      <c r="J7642" s="1" t="str">
        <f t="shared" si="3"/>
        <v/>
      </c>
      <c r="K7642" s="1" t="str">
        <f t="shared" si="4"/>
        <v/>
      </c>
    </row>
    <row r="7643" hidden="1">
      <c r="F7643" s="1" t="str">
        <f t="shared" si="1"/>
        <v/>
      </c>
      <c r="G7643" s="1" t="str">
        <f t="shared" si="2"/>
        <v/>
      </c>
      <c r="J7643" s="1" t="str">
        <f t="shared" si="3"/>
        <v/>
      </c>
      <c r="K7643" s="1" t="str">
        <f t="shared" si="4"/>
        <v/>
      </c>
    </row>
    <row r="7644" hidden="1">
      <c r="F7644" s="1" t="str">
        <f t="shared" si="1"/>
        <v/>
      </c>
      <c r="G7644" s="1" t="str">
        <f t="shared" si="2"/>
        <v/>
      </c>
      <c r="J7644" s="1" t="str">
        <f t="shared" si="3"/>
        <v/>
      </c>
      <c r="K7644" s="1" t="str">
        <f t="shared" si="4"/>
        <v/>
      </c>
    </row>
    <row r="7645" hidden="1">
      <c r="F7645" s="1" t="str">
        <f t="shared" si="1"/>
        <v/>
      </c>
      <c r="G7645" s="1" t="str">
        <f t="shared" si="2"/>
        <v/>
      </c>
      <c r="J7645" s="1" t="str">
        <f t="shared" si="3"/>
        <v/>
      </c>
      <c r="K7645" s="1" t="str">
        <f t="shared" si="4"/>
        <v/>
      </c>
    </row>
    <row r="7646" hidden="1">
      <c r="F7646" s="1" t="str">
        <f t="shared" si="1"/>
        <v/>
      </c>
      <c r="G7646" s="1" t="str">
        <f t="shared" si="2"/>
        <v/>
      </c>
      <c r="J7646" s="1" t="str">
        <f t="shared" si="3"/>
        <v/>
      </c>
      <c r="K7646" s="1" t="str">
        <f t="shared" si="4"/>
        <v/>
      </c>
    </row>
    <row r="7647" hidden="1">
      <c r="F7647" s="1" t="str">
        <f t="shared" si="1"/>
        <v/>
      </c>
      <c r="G7647" s="1" t="str">
        <f t="shared" si="2"/>
        <v/>
      </c>
      <c r="J7647" s="1" t="str">
        <f t="shared" si="3"/>
        <v/>
      </c>
      <c r="K7647" s="1" t="str">
        <f t="shared" si="4"/>
        <v/>
      </c>
    </row>
    <row r="7648" hidden="1">
      <c r="F7648" s="1" t="str">
        <f t="shared" si="1"/>
        <v/>
      </c>
      <c r="G7648" s="1" t="str">
        <f t="shared" si="2"/>
        <v/>
      </c>
      <c r="J7648" s="1" t="str">
        <f t="shared" si="3"/>
        <v/>
      </c>
      <c r="K7648" s="1" t="str">
        <f t="shared" si="4"/>
        <v/>
      </c>
    </row>
    <row r="7649" hidden="1">
      <c r="F7649" s="1" t="str">
        <f t="shared" si="1"/>
        <v/>
      </c>
      <c r="G7649" s="1" t="str">
        <f t="shared" si="2"/>
        <v/>
      </c>
      <c r="J7649" s="1" t="str">
        <f t="shared" si="3"/>
        <v/>
      </c>
      <c r="K7649" s="1" t="str">
        <f t="shared" si="4"/>
        <v/>
      </c>
    </row>
    <row r="7650" hidden="1">
      <c r="F7650" s="1" t="str">
        <f t="shared" si="1"/>
        <v/>
      </c>
      <c r="G7650" s="1" t="str">
        <f t="shared" si="2"/>
        <v/>
      </c>
      <c r="J7650" s="1" t="str">
        <f t="shared" si="3"/>
        <v/>
      </c>
      <c r="K7650" s="1" t="str">
        <f t="shared" si="4"/>
        <v/>
      </c>
    </row>
    <row r="7651" hidden="1">
      <c r="F7651" s="1" t="str">
        <f t="shared" si="1"/>
        <v/>
      </c>
      <c r="G7651" s="1" t="str">
        <f t="shared" si="2"/>
        <v/>
      </c>
      <c r="J7651" s="1" t="str">
        <f t="shared" si="3"/>
        <v/>
      </c>
      <c r="K7651" s="1" t="str">
        <f t="shared" si="4"/>
        <v/>
      </c>
    </row>
    <row r="7652" hidden="1">
      <c r="F7652" s="1" t="str">
        <f t="shared" si="1"/>
        <v/>
      </c>
      <c r="G7652" s="1" t="str">
        <f t="shared" si="2"/>
        <v/>
      </c>
      <c r="J7652" s="1" t="str">
        <f t="shared" si="3"/>
        <v/>
      </c>
      <c r="K7652" s="1" t="str">
        <f t="shared" si="4"/>
        <v/>
      </c>
    </row>
    <row r="7653" hidden="1">
      <c r="F7653" s="1" t="str">
        <f t="shared" si="1"/>
        <v/>
      </c>
      <c r="G7653" s="1" t="str">
        <f t="shared" si="2"/>
        <v/>
      </c>
      <c r="J7653" s="1" t="str">
        <f t="shared" si="3"/>
        <v/>
      </c>
      <c r="K7653" s="1" t="str">
        <f t="shared" si="4"/>
        <v/>
      </c>
    </row>
    <row r="7654" hidden="1">
      <c r="F7654" s="1" t="str">
        <f t="shared" si="1"/>
        <v/>
      </c>
      <c r="G7654" s="1" t="str">
        <f t="shared" si="2"/>
        <v/>
      </c>
      <c r="J7654" s="1" t="str">
        <f t="shared" si="3"/>
        <v/>
      </c>
      <c r="K7654" s="1" t="str">
        <f t="shared" si="4"/>
        <v/>
      </c>
    </row>
    <row r="7655" hidden="1">
      <c r="F7655" s="1" t="str">
        <f t="shared" si="1"/>
        <v/>
      </c>
      <c r="G7655" s="1" t="str">
        <f t="shared" si="2"/>
        <v/>
      </c>
      <c r="J7655" s="1" t="str">
        <f t="shared" si="3"/>
        <v/>
      </c>
      <c r="K7655" s="1" t="str">
        <f t="shared" si="4"/>
        <v/>
      </c>
    </row>
    <row r="7656" hidden="1">
      <c r="F7656" s="1" t="str">
        <f t="shared" si="1"/>
        <v/>
      </c>
      <c r="G7656" s="1" t="str">
        <f t="shared" si="2"/>
        <v/>
      </c>
      <c r="J7656" s="1" t="str">
        <f t="shared" si="3"/>
        <v/>
      </c>
      <c r="K7656" s="1" t="str">
        <f t="shared" si="4"/>
        <v/>
      </c>
    </row>
    <row r="7657" hidden="1">
      <c r="F7657" s="1" t="str">
        <f t="shared" si="1"/>
        <v/>
      </c>
      <c r="G7657" s="1" t="str">
        <f t="shared" si="2"/>
        <v/>
      </c>
      <c r="J7657" s="1" t="str">
        <f t="shared" si="3"/>
        <v/>
      </c>
      <c r="K7657" s="1" t="str">
        <f t="shared" si="4"/>
        <v/>
      </c>
    </row>
    <row r="7658" hidden="1">
      <c r="F7658" s="1" t="str">
        <f t="shared" si="1"/>
        <v/>
      </c>
      <c r="G7658" s="1" t="str">
        <f t="shared" si="2"/>
        <v/>
      </c>
      <c r="J7658" s="1" t="str">
        <f t="shared" si="3"/>
        <v/>
      </c>
      <c r="K7658" s="1" t="str">
        <f t="shared" si="4"/>
        <v/>
      </c>
    </row>
    <row r="7659" hidden="1">
      <c r="F7659" s="1" t="str">
        <f t="shared" si="1"/>
        <v/>
      </c>
      <c r="G7659" s="1" t="str">
        <f t="shared" si="2"/>
        <v/>
      </c>
      <c r="J7659" s="1" t="str">
        <f t="shared" si="3"/>
        <v/>
      </c>
      <c r="K7659" s="1" t="str">
        <f t="shared" si="4"/>
        <v/>
      </c>
    </row>
    <row r="7660" hidden="1">
      <c r="F7660" s="1" t="str">
        <f t="shared" si="1"/>
        <v/>
      </c>
      <c r="G7660" s="1" t="str">
        <f t="shared" si="2"/>
        <v/>
      </c>
      <c r="J7660" s="1" t="str">
        <f t="shared" si="3"/>
        <v/>
      </c>
      <c r="K7660" s="1" t="str">
        <f t="shared" si="4"/>
        <v/>
      </c>
    </row>
    <row r="7661" hidden="1">
      <c r="F7661" s="1" t="str">
        <f t="shared" si="1"/>
        <v/>
      </c>
      <c r="G7661" s="1" t="str">
        <f t="shared" si="2"/>
        <v/>
      </c>
      <c r="J7661" s="1" t="str">
        <f t="shared" si="3"/>
        <v/>
      </c>
      <c r="K7661" s="1" t="str">
        <f t="shared" si="4"/>
        <v/>
      </c>
    </row>
    <row r="7662" hidden="1">
      <c r="F7662" s="1" t="str">
        <f t="shared" si="1"/>
        <v/>
      </c>
      <c r="G7662" s="1" t="str">
        <f t="shared" si="2"/>
        <v/>
      </c>
      <c r="J7662" s="1" t="str">
        <f t="shared" si="3"/>
        <v/>
      </c>
      <c r="K7662" s="1" t="str">
        <f t="shared" si="4"/>
        <v/>
      </c>
    </row>
    <row r="7663" hidden="1">
      <c r="F7663" s="1" t="str">
        <f t="shared" si="1"/>
        <v/>
      </c>
      <c r="G7663" s="1" t="str">
        <f t="shared" si="2"/>
        <v/>
      </c>
      <c r="J7663" s="1" t="str">
        <f t="shared" si="3"/>
        <v/>
      </c>
      <c r="K7663" s="1" t="str">
        <f t="shared" si="4"/>
        <v/>
      </c>
    </row>
    <row r="7664" hidden="1">
      <c r="F7664" s="1" t="str">
        <f t="shared" si="1"/>
        <v/>
      </c>
      <c r="G7664" s="1" t="str">
        <f t="shared" si="2"/>
        <v/>
      </c>
      <c r="J7664" s="1" t="str">
        <f t="shared" si="3"/>
        <v/>
      </c>
      <c r="K7664" s="1" t="str">
        <f t="shared" si="4"/>
        <v/>
      </c>
    </row>
    <row r="7665" hidden="1">
      <c r="F7665" s="1" t="str">
        <f t="shared" si="1"/>
        <v/>
      </c>
      <c r="G7665" s="1" t="str">
        <f t="shared" si="2"/>
        <v/>
      </c>
      <c r="J7665" s="1" t="str">
        <f t="shared" si="3"/>
        <v/>
      </c>
      <c r="K7665" s="1" t="str">
        <f t="shared" si="4"/>
        <v/>
      </c>
    </row>
    <row r="7666" hidden="1">
      <c r="F7666" s="1" t="str">
        <f t="shared" si="1"/>
        <v/>
      </c>
      <c r="G7666" s="1" t="str">
        <f t="shared" si="2"/>
        <v/>
      </c>
      <c r="J7666" s="1" t="str">
        <f t="shared" si="3"/>
        <v/>
      </c>
      <c r="K7666" s="1" t="str">
        <f t="shared" si="4"/>
        <v/>
      </c>
    </row>
    <row r="7667" hidden="1">
      <c r="F7667" s="1" t="str">
        <f t="shared" si="1"/>
        <v/>
      </c>
      <c r="G7667" s="1" t="str">
        <f t="shared" si="2"/>
        <v/>
      </c>
      <c r="J7667" s="1" t="str">
        <f t="shared" si="3"/>
        <v/>
      </c>
      <c r="K7667" s="1" t="str">
        <f t="shared" si="4"/>
        <v/>
      </c>
    </row>
    <row r="7668" hidden="1">
      <c r="F7668" s="1" t="str">
        <f t="shared" si="1"/>
        <v/>
      </c>
      <c r="G7668" s="1" t="str">
        <f t="shared" si="2"/>
        <v/>
      </c>
      <c r="J7668" s="1" t="str">
        <f t="shared" si="3"/>
        <v/>
      </c>
      <c r="K7668" s="1" t="str">
        <f t="shared" si="4"/>
        <v/>
      </c>
    </row>
    <row r="7669" hidden="1">
      <c r="F7669" s="1" t="str">
        <f t="shared" si="1"/>
        <v/>
      </c>
      <c r="G7669" s="1" t="str">
        <f t="shared" si="2"/>
        <v/>
      </c>
      <c r="J7669" s="1" t="str">
        <f t="shared" si="3"/>
        <v/>
      </c>
      <c r="K7669" s="1" t="str">
        <f t="shared" si="4"/>
        <v/>
      </c>
    </row>
    <row r="7670" hidden="1">
      <c r="F7670" s="1" t="str">
        <f t="shared" si="1"/>
        <v/>
      </c>
      <c r="G7670" s="1" t="str">
        <f t="shared" si="2"/>
        <v/>
      </c>
      <c r="J7670" s="1" t="str">
        <f t="shared" si="3"/>
        <v/>
      </c>
      <c r="K7670" s="1" t="str">
        <f t="shared" si="4"/>
        <v/>
      </c>
    </row>
    <row r="7671" hidden="1">
      <c r="F7671" s="1" t="str">
        <f t="shared" si="1"/>
        <v/>
      </c>
      <c r="G7671" s="1" t="str">
        <f t="shared" si="2"/>
        <v/>
      </c>
      <c r="J7671" s="1" t="str">
        <f t="shared" si="3"/>
        <v/>
      </c>
      <c r="K7671" s="1" t="str">
        <f t="shared" si="4"/>
        <v/>
      </c>
    </row>
    <row r="7672" hidden="1">
      <c r="F7672" s="1" t="str">
        <f t="shared" si="1"/>
        <v/>
      </c>
      <c r="G7672" s="1" t="str">
        <f t="shared" si="2"/>
        <v/>
      </c>
      <c r="J7672" s="1" t="str">
        <f t="shared" si="3"/>
        <v/>
      </c>
      <c r="K7672" s="1" t="str">
        <f t="shared" si="4"/>
        <v/>
      </c>
    </row>
    <row r="7673" hidden="1">
      <c r="F7673" s="1" t="str">
        <f t="shared" si="1"/>
        <v/>
      </c>
      <c r="G7673" s="1" t="str">
        <f t="shared" si="2"/>
        <v/>
      </c>
      <c r="J7673" s="1" t="str">
        <f t="shared" si="3"/>
        <v/>
      </c>
      <c r="K7673" s="1" t="str">
        <f t="shared" si="4"/>
        <v/>
      </c>
    </row>
    <row r="7674" hidden="1">
      <c r="F7674" s="1" t="str">
        <f t="shared" si="1"/>
        <v/>
      </c>
      <c r="G7674" s="1" t="str">
        <f t="shared" si="2"/>
        <v/>
      </c>
      <c r="J7674" s="1" t="str">
        <f t="shared" si="3"/>
        <v/>
      </c>
      <c r="K7674" s="1" t="str">
        <f t="shared" si="4"/>
        <v/>
      </c>
    </row>
    <row r="7675" hidden="1">
      <c r="F7675" s="1" t="str">
        <f t="shared" si="1"/>
        <v/>
      </c>
      <c r="G7675" s="1" t="str">
        <f t="shared" si="2"/>
        <v/>
      </c>
      <c r="J7675" s="1" t="str">
        <f t="shared" si="3"/>
        <v/>
      </c>
      <c r="K7675" s="1" t="str">
        <f t="shared" si="4"/>
        <v/>
      </c>
    </row>
    <row r="7676" hidden="1">
      <c r="F7676" s="1" t="str">
        <f t="shared" si="1"/>
        <v/>
      </c>
      <c r="G7676" s="1" t="str">
        <f t="shared" si="2"/>
        <v/>
      </c>
      <c r="J7676" s="1" t="str">
        <f t="shared" si="3"/>
        <v/>
      </c>
      <c r="K7676" s="1" t="str">
        <f t="shared" si="4"/>
        <v/>
      </c>
    </row>
    <row r="7677" hidden="1">
      <c r="F7677" s="1" t="str">
        <f t="shared" si="1"/>
        <v/>
      </c>
      <c r="G7677" s="1" t="str">
        <f t="shared" si="2"/>
        <v/>
      </c>
      <c r="J7677" s="1" t="str">
        <f t="shared" si="3"/>
        <v/>
      </c>
      <c r="K7677" s="1" t="str">
        <f t="shared" si="4"/>
        <v/>
      </c>
    </row>
    <row r="7678" hidden="1">
      <c r="F7678" s="1" t="str">
        <f t="shared" si="1"/>
        <v/>
      </c>
      <c r="G7678" s="1" t="str">
        <f t="shared" si="2"/>
        <v/>
      </c>
      <c r="J7678" s="1" t="str">
        <f t="shared" si="3"/>
        <v/>
      </c>
      <c r="K7678" s="1" t="str">
        <f t="shared" si="4"/>
        <v/>
      </c>
    </row>
    <row r="7679" hidden="1">
      <c r="F7679" s="1" t="str">
        <f t="shared" si="1"/>
        <v/>
      </c>
      <c r="G7679" s="1" t="str">
        <f t="shared" si="2"/>
        <v/>
      </c>
      <c r="J7679" s="1" t="str">
        <f t="shared" si="3"/>
        <v/>
      </c>
      <c r="K7679" s="1" t="str">
        <f t="shared" si="4"/>
        <v/>
      </c>
    </row>
    <row r="7680" hidden="1">
      <c r="F7680" s="1" t="str">
        <f t="shared" si="1"/>
        <v/>
      </c>
      <c r="G7680" s="1" t="str">
        <f t="shared" si="2"/>
        <v/>
      </c>
      <c r="J7680" s="1" t="str">
        <f t="shared" si="3"/>
        <v/>
      </c>
      <c r="K7680" s="1" t="str">
        <f t="shared" si="4"/>
        <v/>
      </c>
    </row>
    <row r="7681" hidden="1">
      <c r="F7681" s="1" t="str">
        <f t="shared" si="1"/>
        <v/>
      </c>
      <c r="G7681" s="1" t="str">
        <f t="shared" si="2"/>
        <v/>
      </c>
      <c r="J7681" s="1" t="str">
        <f t="shared" si="3"/>
        <v/>
      </c>
      <c r="K7681" s="1" t="str">
        <f t="shared" si="4"/>
        <v/>
      </c>
    </row>
    <row r="7682" hidden="1">
      <c r="F7682" s="1" t="str">
        <f t="shared" si="1"/>
        <v/>
      </c>
      <c r="G7682" s="1" t="str">
        <f t="shared" si="2"/>
        <v/>
      </c>
      <c r="J7682" s="1" t="str">
        <f t="shared" si="3"/>
        <v/>
      </c>
      <c r="K7682" s="1" t="str">
        <f t="shared" si="4"/>
        <v/>
      </c>
    </row>
    <row r="7683" hidden="1">
      <c r="F7683" s="1" t="str">
        <f t="shared" si="1"/>
        <v/>
      </c>
      <c r="G7683" s="1" t="str">
        <f t="shared" si="2"/>
        <v/>
      </c>
      <c r="J7683" s="1" t="str">
        <f t="shared" si="3"/>
        <v/>
      </c>
      <c r="K7683" s="1" t="str">
        <f t="shared" si="4"/>
        <v/>
      </c>
    </row>
    <row r="7684" hidden="1">
      <c r="F7684" s="1" t="str">
        <f t="shared" si="1"/>
        <v/>
      </c>
      <c r="G7684" s="1" t="str">
        <f t="shared" si="2"/>
        <v/>
      </c>
      <c r="J7684" s="1" t="str">
        <f t="shared" si="3"/>
        <v/>
      </c>
      <c r="K7684" s="1" t="str">
        <f t="shared" si="4"/>
        <v/>
      </c>
    </row>
    <row r="7685" hidden="1">
      <c r="F7685" s="1" t="str">
        <f t="shared" si="1"/>
        <v/>
      </c>
      <c r="G7685" s="1" t="str">
        <f t="shared" si="2"/>
        <v/>
      </c>
      <c r="J7685" s="1" t="str">
        <f t="shared" si="3"/>
        <v/>
      </c>
      <c r="K7685" s="1" t="str">
        <f t="shared" si="4"/>
        <v/>
      </c>
    </row>
    <row r="7686" hidden="1">
      <c r="F7686" s="1" t="str">
        <f t="shared" si="1"/>
        <v/>
      </c>
      <c r="G7686" s="1" t="str">
        <f t="shared" si="2"/>
        <v/>
      </c>
      <c r="J7686" s="1" t="str">
        <f t="shared" si="3"/>
        <v/>
      </c>
      <c r="K7686" s="1" t="str">
        <f t="shared" si="4"/>
        <v/>
      </c>
    </row>
    <row r="7687" hidden="1">
      <c r="F7687" s="1" t="str">
        <f t="shared" si="1"/>
        <v/>
      </c>
      <c r="G7687" s="1" t="str">
        <f t="shared" si="2"/>
        <v/>
      </c>
      <c r="J7687" s="1" t="str">
        <f t="shared" si="3"/>
        <v/>
      </c>
      <c r="K7687" s="1" t="str">
        <f t="shared" si="4"/>
        <v/>
      </c>
    </row>
    <row r="7688" hidden="1">
      <c r="F7688" s="1" t="str">
        <f t="shared" si="1"/>
        <v/>
      </c>
      <c r="G7688" s="1" t="str">
        <f t="shared" si="2"/>
        <v/>
      </c>
      <c r="J7688" s="1" t="str">
        <f t="shared" si="3"/>
        <v/>
      </c>
      <c r="K7688" s="1" t="str">
        <f t="shared" si="4"/>
        <v/>
      </c>
    </row>
    <row r="7689" hidden="1">
      <c r="F7689" s="1" t="str">
        <f t="shared" si="1"/>
        <v/>
      </c>
      <c r="G7689" s="1" t="str">
        <f t="shared" si="2"/>
        <v/>
      </c>
      <c r="J7689" s="1" t="str">
        <f t="shared" si="3"/>
        <v/>
      </c>
      <c r="K7689" s="1" t="str">
        <f t="shared" si="4"/>
        <v/>
      </c>
    </row>
    <row r="7690" hidden="1">
      <c r="F7690" s="1" t="str">
        <f t="shared" si="1"/>
        <v/>
      </c>
      <c r="G7690" s="1" t="str">
        <f t="shared" si="2"/>
        <v/>
      </c>
      <c r="J7690" s="1" t="str">
        <f t="shared" si="3"/>
        <v/>
      </c>
      <c r="K7690" s="1" t="str">
        <f t="shared" si="4"/>
        <v/>
      </c>
    </row>
    <row r="7691" hidden="1">
      <c r="F7691" s="1" t="str">
        <f t="shared" si="1"/>
        <v/>
      </c>
      <c r="G7691" s="1" t="str">
        <f t="shared" si="2"/>
        <v/>
      </c>
      <c r="J7691" s="1" t="str">
        <f t="shared" si="3"/>
        <v/>
      </c>
      <c r="K7691" s="1" t="str">
        <f t="shared" si="4"/>
        <v/>
      </c>
    </row>
    <row r="7692" hidden="1">
      <c r="F7692" s="1" t="str">
        <f t="shared" si="1"/>
        <v/>
      </c>
      <c r="G7692" s="1" t="str">
        <f t="shared" si="2"/>
        <v/>
      </c>
      <c r="J7692" s="1" t="str">
        <f t="shared" si="3"/>
        <v/>
      </c>
      <c r="K7692" s="1" t="str">
        <f t="shared" si="4"/>
        <v/>
      </c>
    </row>
    <row r="7693" hidden="1">
      <c r="F7693" s="1" t="str">
        <f t="shared" si="1"/>
        <v/>
      </c>
      <c r="G7693" s="1" t="str">
        <f t="shared" si="2"/>
        <v/>
      </c>
      <c r="J7693" s="1" t="str">
        <f t="shared" si="3"/>
        <v/>
      </c>
      <c r="K7693" s="1" t="str">
        <f t="shared" si="4"/>
        <v/>
      </c>
    </row>
    <row r="7694" hidden="1">
      <c r="F7694" s="1" t="str">
        <f t="shared" si="1"/>
        <v/>
      </c>
      <c r="G7694" s="1" t="str">
        <f t="shared" si="2"/>
        <v/>
      </c>
      <c r="J7694" s="1" t="str">
        <f t="shared" si="3"/>
        <v/>
      </c>
      <c r="K7694" s="1" t="str">
        <f t="shared" si="4"/>
        <v/>
      </c>
    </row>
    <row r="7695" hidden="1">
      <c r="F7695" s="1" t="str">
        <f t="shared" si="1"/>
        <v/>
      </c>
      <c r="G7695" s="1" t="str">
        <f t="shared" si="2"/>
        <v/>
      </c>
      <c r="J7695" s="1" t="str">
        <f t="shared" si="3"/>
        <v/>
      </c>
      <c r="K7695" s="1" t="str">
        <f t="shared" si="4"/>
        <v/>
      </c>
    </row>
    <row r="7696" hidden="1">
      <c r="F7696" s="1" t="str">
        <f t="shared" si="1"/>
        <v/>
      </c>
      <c r="G7696" s="1" t="str">
        <f t="shared" si="2"/>
        <v/>
      </c>
      <c r="J7696" s="1" t="str">
        <f t="shared" si="3"/>
        <v/>
      </c>
      <c r="K7696" s="1" t="str">
        <f t="shared" si="4"/>
        <v/>
      </c>
    </row>
    <row r="7697" hidden="1">
      <c r="F7697" s="1" t="str">
        <f t="shared" si="1"/>
        <v/>
      </c>
      <c r="G7697" s="1" t="str">
        <f t="shared" si="2"/>
        <v/>
      </c>
      <c r="J7697" s="1" t="str">
        <f t="shared" si="3"/>
        <v/>
      </c>
      <c r="K7697" s="1" t="str">
        <f t="shared" si="4"/>
        <v/>
      </c>
    </row>
    <row r="7698" hidden="1">
      <c r="F7698" s="1" t="str">
        <f t="shared" si="1"/>
        <v/>
      </c>
      <c r="G7698" s="1" t="str">
        <f t="shared" si="2"/>
        <v/>
      </c>
      <c r="J7698" s="1" t="str">
        <f t="shared" si="3"/>
        <v/>
      </c>
      <c r="K7698" s="1" t="str">
        <f t="shared" si="4"/>
        <v/>
      </c>
    </row>
    <row r="7699" hidden="1">
      <c r="F7699" s="1" t="str">
        <f t="shared" si="1"/>
        <v/>
      </c>
      <c r="G7699" s="1" t="str">
        <f t="shared" si="2"/>
        <v/>
      </c>
      <c r="J7699" s="1" t="str">
        <f t="shared" si="3"/>
        <v/>
      </c>
      <c r="K7699" s="1" t="str">
        <f t="shared" si="4"/>
        <v/>
      </c>
    </row>
    <row r="7700" hidden="1">
      <c r="F7700" s="1" t="str">
        <f t="shared" si="1"/>
        <v/>
      </c>
      <c r="G7700" s="1" t="str">
        <f t="shared" si="2"/>
        <v/>
      </c>
      <c r="J7700" s="1" t="str">
        <f t="shared" si="3"/>
        <v/>
      </c>
      <c r="K7700" s="1" t="str">
        <f t="shared" si="4"/>
        <v/>
      </c>
    </row>
    <row r="7701" hidden="1">
      <c r="F7701" s="1" t="str">
        <f t="shared" si="1"/>
        <v/>
      </c>
      <c r="G7701" s="1" t="str">
        <f t="shared" si="2"/>
        <v/>
      </c>
      <c r="J7701" s="1" t="str">
        <f t="shared" si="3"/>
        <v/>
      </c>
      <c r="K7701" s="1" t="str">
        <f t="shared" si="4"/>
        <v/>
      </c>
    </row>
    <row r="7702" hidden="1">
      <c r="F7702" s="1" t="str">
        <f t="shared" si="1"/>
        <v/>
      </c>
      <c r="G7702" s="1" t="str">
        <f t="shared" si="2"/>
        <v/>
      </c>
      <c r="J7702" s="1" t="str">
        <f t="shared" si="3"/>
        <v/>
      </c>
      <c r="K7702" s="1" t="str">
        <f t="shared" si="4"/>
        <v/>
      </c>
    </row>
    <row r="7703" hidden="1">
      <c r="F7703" s="1" t="str">
        <f t="shared" si="1"/>
        <v/>
      </c>
      <c r="G7703" s="1" t="str">
        <f t="shared" si="2"/>
        <v/>
      </c>
      <c r="J7703" s="1" t="str">
        <f t="shared" si="3"/>
        <v/>
      </c>
      <c r="K7703" s="1" t="str">
        <f t="shared" si="4"/>
        <v/>
      </c>
    </row>
    <row r="7704" hidden="1">
      <c r="F7704" s="1" t="str">
        <f t="shared" si="1"/>
        <v/>
      </c>
      <c r="G7704" s="1" t="str">
        <f t="shared" si="2"/>
        <v/>
      </c>
      <c r="J7704" s="1" t="str">
        <f t="shared" si="3"/>
        <v/>
      </c>
      <c r="K7704" s="1" t="str">
        <f t="shared" si="4"/>
        <v/>
      </c>
    </row>
    <row r="7705" hidden="1">
      <c r="F7705" s="1" t="str">
        <f t="shared" si="1"/>
        <v/>
      </c>
      <c r="G7705" s="1" t="str">
        <f t="shared" si="2"/>
        <v/>
      </c>
      <c r="J7705" s="1" t="str">
        <f t="shared" si="3"/>
        <v/>
      </c>
      <c r="K7705" s="1" t="str">
        <f t="shared" si="4"/>
        <v/>
      </c>
    </row>
    <row r="7706" hidden="1">
      <c r="F7706" s="1" t="str">
        <f t="shared" si="1"/>
        <v/>
      </c>
      <c r="G7706" s="1" t="str">
        <f t="shared" si="2"/>
        <v/>
      </c>
      <c r="J7706" s="1" t="str">
        <f t="shared" si="3"/>
        <v/>
      </c>
      <c r="K7706" s="1" t="str">
        <f t="shared" si="4"/>
        <v/>
      </c>
    </row>
    <row r="7707" hidden="1">
      <c r="F7707" s="1" t="str">
        <f t="shared" si="1"/>
        <v/>
      </c>
      <c r="G7707" s="1" t="str">
        <f t="shared" si="2"/>
        <v/>
      </c>
      <c r="J7707" s="1" t="str">
        <f t="shared" si="3"/>
        <v/>
      </c>
      <c r="K7707" s="1" t="str">
        <f t="shared" si="4"/>
        <v/>
      </c>
    </row>
    <row r="7708" hidden="1">
      <c r="F7708" s="1" t="str">
        <f t="shared" si="1"/>
        <v/>
      </c>
      <c r="G7708" s="1" t="str">
        <f t="shared" si="2"/>
        <v/>
      </c>
      <c r="J7708" s="1" t="str">
        <f t="shared" si="3"/>
        <v/>
      </c>
      <c r="K7708" s="1" t="str">
        <f t="shared" si="4"/>
        <v/>
      </c>
    </row>
    <row r="7709" hidden="1">
      <c r="F7709" s="1" t="str">
        <f t="shared" si="1"/>
        <v/>
      </c>
      <c r="G7709" s="1" t="str">
        <f t="shared" si="2"/>
        <v/>
      </c>
      <c r="J7709" s="1" t="str">
        <f t="shared" si="3"/>
        <v/>
      </c>
      <c r="K7709" s="1" t="str">
        <f t="shared" si="4"/>
        <v/>
      </c>
    </row>
    <row r="7710" hidden="1">
      <c r="F7710" s="1" t="str">
        <f t="shared" si="1"/>
        <v/>
      </c>
      <c r="G7710" s="1" t="str">
        <f t="shared" si="2"/>
        <v/>
      </c>
      <c r="J7710" s="1" t="str">
        <f t="shared" si="3"/>
        <v/>
      </c>
      <c r="K7710" s="1" t="str">
        <f t="shared" si="4"/>
        <v/>
      </c>
    </row>
    <row r="7711" hidden="1">
      <c r="F7711" s="1" t="str">
        <f t="shared" si="1"/>
        <v/>
      </c>
      <c r="G7711" s="1" t="str">
        <f t="shared" si="2"/>
        <v/>
      </c>
      <c r="J7711" s="1" t="str">
        <f t="shared" si="3"/>
        <v/>
      </c>
      <c r="K7711" s="1" t="str">
        <f t="shared" si="4"/>
        <v/>
      </c>
    </row>
    <row r="7712" hidden="1">
      <c r="F7712" s="1" t="str">
        <f t="shared" si="1"/>
        <v/>
      </c>
      <c r="G7712" s="1" t="str">
        <f t="shared" si="2"/>
        <v/>
      </c>
      <c r="J7712" s="1" t="str">
        <f t="shared" si="3"/>
        <v/>
      </c>
      <c r="K7712" s="1" t="str">
        <f t="shared" si="4"/>
        <v/>
      </c>
    </row>
    <row r="7713" hidden="1">
      <c r="F7713" s="1" t="str">
        <f t="shared" si="1"/>
        <v/>
      </c>
      <c r="G7713" s="1" t="str">
        <f t="shared" si="2"/>
        <v/>
      </c>
      <c r="J7713" s="1" t="str">
        <f t="shared" si="3"/>
        <v/>
      </c>
      <c r="K7713" s="1" t="str">
        <f t="shared" si="4"/>
        <v/>
      </c>
    </row>
    <row r="7714" hidden="1">
      <c r="F7714" s="1" t="str">
        <f t="shared" si="1"/>
        <v/>
      </c>
      <c r="G7714" s="1" t="str">
        <f t="shared" si="2"/>
        <v/>
      </c>
      <c r="J7714" s="1" t="str">
        <f t="shared" si="3"/>
        <v/>
      </c>
      <c r="K7714" s="1" t="str">
        <f t="shared" si="4"/>
        <v/>
      </c>
    </row>
    <row r="7715" hidden="1">
      <c r="F7715" s="1" t="str">
        <f t="shared" si="1"/>
        <v/>
      </c>
      <c r="G7715" s="1" t="str">
        <f t="shared" si="2"/>
        <v/>
      </c>
      <c r="J7715" s="1" t="str">
        <f t="shared" si="3"/>
        <v/>
      </c>
      <c r="K7715" s="1" t="str">
        <f t="shared" si="4"/>
        <v/>
      </c>
    </row>
    <row r="7716" hidden="1">
      <c r="F7716" s="1" t="str">
        <f t="shared" si="1"/>
        <v/>
      </c>
      <c r="G7716" s="1" t="str">
        <f t="shared" si="2"/>
        <v/>
      </c>
      <c r="J7716" s="1" t="str">
        <f t="shared" si="3"/>
        <v/>
      </c>
      <c r="K7716" s="1" t="str">
        <f t="shared" si="4"/>
        <v/>
      </c>
    </row>
    <row r="7717" hidden="1">
      <c r="F7717" s="1" t="str">
        <f t="shared" si="1"/>
        <v/>
      </c>
      <c r="G7717" s="1" t="str">
        <f t="shared" si="2"/>
        <v/>
      </c>
      <c r="J7717" s="1" t="str">
        <f t="shared" si="3"/>
        <v/>
      </c>
      <c r="K7717" s="1" t="str">
        <f t="shared" si="4"/>
        <v/>
      </c>
    </row>
    <row r="7718" hidden="1">
      <c r="F7718" s="1" t="str">
        <f t="shared" si="1"/>
        <v/>
      </c>
      <c r="G7718" s="1" t="str">
        <f t="shared" si="2"/>
        <v/>
      </c>
      <c r="J7718" s="1" t="str">
        <f t="shared" si="3"/>
        <v/>
      </c>
      <c r="K7718" s="1" t="str">
        <f t="shared" si="4"/>
        <v/>
      </c>
    </row>
    <row r="7719" hidden="1">
      <c r="F7719" s="1" t="str">
        <f t="shared" si="1"/>
        <v/>
      </c>
      <c r="G7719" s="1" t="str">
        <f t="shared" si="2"/>
        <v/>
      </c>
      <c r="J7719" s="1" t="str">
        <f t="shared" si="3"/>
        <v/>
      </c>
      <c r="K7719" s="1" t="str">
        <f t="shared" si="4"/>
        <v/>
      </c>
    </row>
    <row r="7720" hidden="1">
      <c r="F7720" s="1" t="str">
        <f t="shared" si="1"/>
        <v/>
      </c>
      <c r="G7720" s="1" t="str">
        <f t="shared" si="2"/>
        <v/>
      </c>
      <c r="J7720" s="1" t="str">
        <f t="shared" si="3"/>
        <v/>
      </c>
      <c r="K7720" s="1" t="str">
        <f t="shared" si="4"/>
        <v/>
      </c>
    </row>
    <row r="7721" hidden="1">
      <c r="F7721" s="1" t="str">
        <f t="shared" si="1"/>
        <v/>
      </c>
      <c r="G7721" s="1" t="str">
        <f t="shared" si="2"/>
        <v/>
      </c>
      <c r="J7721" s="1" t="str">
        <f t="shared" si="3"/>
        <v/>
      </c>
      <c r="K7721" s="1" t="str">
        <f t="shared" si="4"/>
        <v/>
      </c>
    </row>
    <row r="7722" hidden="1">
      <c r="F7722" s="1" t="str">
        <f t="shared" si="1"/>
        <v/>
      </c>
      <c r="G7722" s="1" t="str">
        <f t="shared" si="2"/>
        <v/>
      </c>
      <c r="J7722" s="1" t="str">
        <f t="shared" si="3"/>
        <v/>
      </c>
      <c r="K7722" s="1" t="str">
        <f t="shared" si="4"/>
        <v/>
      </c>
    </row>
    <row r="7723" hidden="1">
      <c r="F7723" s="1" t="str">
        <f t="shared" si="1"/>
        <v/>
      </c>
      <c r="G7723" s="1" t="str">
        <f t="shared" si="2"/>
        <v/>
      </c>
      <c r="J7723" s="1" t="str">
        <f t="shared" si="3"/>
        <v/>
      </c>
      <c r="K7723" s="1" t="str">
        <f t="shared" si="4"/>
        <v/>
      </c>
    </row>
    <row r="7724" hidden="1">
      <c r="F7724" s="1" t="str">
        <f t="shared" si="1"/>
        <v/>
      </c>
      <c r="G7724" s="1" t="str">
        <f t="shared" si="2"/>
        <v/>
      </c>
      <c r="J7724" s="1" t="str">
        <f t="shared" si="3"/>
        <v/>
      </c>
      <c r="K7724" s="1" t="str">
        <f t="shared" si="4"/>
        <v/>
      </c>
    </row>
    <row r="7725" hidden="1">
      <c r="F7725" s="1" t="str">
        <f t="shared" si="1"/>
        <v/>
      </c>
      <c r="G7725" s="1" t="str">
        <f t="shared" si="2"/>
        <v/>
      </c>
      <c r="J7725" s="1" t="str">
        <f t="shared" si="3"/>
        <v/>
      </c>
      <c r="K7725" s="1" t="str">
        <f t="shared" si="4"/>
        <v/>
      </c>
    </row>
    <row r="7726" hidden="1">
      <c r="F7726" s="1" t="str">
        <f t="shared" si="1"/>
        <v/>
      </c>
      <c r="G7726" s="1" t="str">
        <f t="shared" si="2"/>
        <v/>
      </c>
      <c r="J7726" s="1" t="str">
        <f t="shared" si="3"/>
        <v/>
      </c>
      <c r="K7726" s="1" t="str">
        <f t="shared" si="4"/>
        <v/>
      </c>
    </row>
    <row r="7727" hidden="1">
      <c r="F7727" s="1" t="str">
        <f t="shared" si="1"/>
        <v/>
      </c>
      <c r="G7727" s="1" t="str">
        <f t="shared" si="2"/>
        <v/>
      </c>
      <c r="J7727" s="1" t="str">
        <f t="shared" si="3"/>
        <v/>
      </c>
      <c r="K7727" s="1" t="str">
        <f t="shared" si="4"/>
        <v/>
      </c>
    </row>
    <row r="7728" hidden="1">
      <c r="F7728" s="1" t="str">
        <f t="shared" si="1"/>
        <v/>
      </c>
      <c r="G7728" s="1" t="str">
        <f t="shared" si="2"/>
        <v/>
      </c>
      <c r="J7728" s="1" t="str">
        <f t="shared" si="3"/>
        <v/>
      </c>
      <c r="K7728" s="1" t="str">
        <f t="shared" si="4"/>
        <v/>
      </c>
    </row>
    <row r="7729" hidden="1">
      <c r="F7729" s="1" t="str">
        <f t="shared" si="1"/>
        <v/>
      </c>
      <c r="G7729" s="1" t="str">
        <f t="shared" si="2"/>
        <v/>
      </c>
      <c r="J7729" s="1" t="str">
        <f t="shared" si="3"/>
        <v/>
      </c>
      <c r="K7729" s="1" t="str">
        <f t="shared" si="4"/>
        <v/>
      </c>
    </row>
    <row r="7730" hidden="1">
      <c r="F7730" s="1" t="str">
        <f t="shared" si="1"/>
        <v/>
      </c>
      <c r="G7730" s="1" t="str">
        <f t="shared" si="2"/>
        <v/>
      </c>
      <c r="J7730" s="1" t="str">
        <f t="shared" si="3"/>
        <v/>
      </c>
      <c r="K7730" s="1" t="str">
        <f t="shared" si="4"/>
        <v/>
      </c>
    </row>
    <row r="7731" hidden="1">
      <c r="F7731" s="1" t="str">
        <f t="shared" si="1"/>
        <v/>
      </c>
      <c r="G7731" s="1" t="str">
        <f t="shared" si="2"/>
        <v/>
      </c>
      <c r="J7731" s="1" t="str">
        <f t="shared" si="3"/>
        <v/>
      </c>
      <c r="K7731" s="1" t="str">
        <f t="shared" si="4"/>
        <v/>
      </c>
    </row>
    <row r="7732" hidden="1">
      <c r="F7732" s="1" t="str">
        <f t="shared" si="1"/>
        <v/>
      </c>
      <c r="G7732" s="1" t="str">
        <f t="shared" si="2"/>
        <v/>
      </c>
      <c r="J7732" s="1" t="str">
        <f t="shared" si="3"/>
        <v/>
      </c>
      <c r="K7732" s="1" t="str">
        <f t="shared" si="4"/>
        <v/>
      </c>
    </row>
    <row r="7733" hidden="1">
      <c r="F7733" s="1" t="str">
        <f t="shared" si="1"/>
        <v/>
      </c>
      <c r="G7733" s="1" t="str">
        <f t="shared" si="2"/>
        <v/>
      </c>
      <c r="J7733" s="1" t="str">
        <f t="shared" si="3"/>
        <v/>
      </c>
      <c r="K7733" s="1" t="str">
        <f t="shared" si="4"/>
        <v/>
      </c>
    </row>
    <row r="7734" hidden="1">
      <c r="F7734" s="1" t="str">
        <f t="shared" si="1"/>
        <v/>
      </c>
      <c r="G7734" s="1" t="str">
        <f t="shared" si="2"/>
        <v/>
      </c>
      <c r="J7734" s="1" t="str">
        <f t="shared" si="3"/>
        <v/>
      </c>
      <c r="K7734" s="1" t="str">
        <f t="shared" si="4"/>
        <v/>
      </c>
    </row>
    <row r="7735" hidden="1">
      <c r="F7735" s="1" t="str">
        <f t="shared" si="1"/>
        <v/>
      </c>
      <c r="G7735" s="1" t="str">
        <f t="shared" si="2"/>
        <v/>
      </c>
      <c r="J7735" s="1" t="str">
        <f t="shared" si="3"/>
        <v/>
      </c>
      <c r="K7735" s="1" t="str">
        <f t="shared" si="4"/>
        <v/>
      </c>
    </row>
    <row r="7736" hidden="1">
      <c r="F7736" s="1" t="str">
        <f t="shared" si="1"/>
        <v/>
      </c>
      <c r="G7736" s="1" t="str">
        <f t="shared" si="2"/>
        <v/>
      </c>
      <c r="J7736" s="1" t="str">
        <f t="shared" si="3"/>
        <v/>
      </c>
      <c r="K7736" s="1" t="str">
        <f t="shared" si="4"/>
        <v/>
      </c>
    </row>
    <row r="7737" hidden="1">
      <c r="F7737" s="1" t="str">
        <f t="shared" si="1"/>
        <v/>
      </c>
      <c r="G7737" s="1" t="str">
        <f t="shared" si="2"/>
        <v/>
      </c>
      <c r="J7737" s="1" t="str">
        <f t="shared" si="3"/>
        <v/>
      </c>
      <c r="K7737" s="1" t="str">
        <f t="shared" si="4"/>
        <v/>
      </c>
    </row>
    <row r="7738" hidden="1">
      <c r="F7738" s="1" t="str">
        <f t="shared" si="1"/>
        <v/>
      </c>
      <c r="G7738" s="1" t="str">
        <f t="shared" si="2"/>
        <v/>
      </c>
      <c r="J7738" s="1" t="str">
        <f t="shared" si="3"/>
        <v/>
      </c>
      <c r="K7738" s="1" t="str">
        <f t="shared" si="4"/>
        <v/>
      </c>
    </row>
    <row r="7739" hidden="1">
      <c r="F7739" s="1" t="str">
        <f t="shared" si="1"/>
        <v/>
      </c>
      <c r="G7739" s="1" t="str">
        <f t="shared" si="2"/>
        <v/>
      </c>
      <c r="J7739" s="1" t="str">
        <f t="shared" si="3"/>
        <v/>
      </c>
      <c r="K7739" s="1" t="str">
        <f t="shared" si="4"/>
        <v/>
      </c>
    </row>
    <row r="7740" hidden="1">
      <c r="F7740" s="1" t="str">
        <f t="shared" si="1"/>
        <v/>
      </c>
      <c r="G7740" s="1" t="str">
        <f t="shared" si="2"/>
        <v/>
      </c>
      <c r="J7740" s="1" t="str">
        <f t="shared" si="3"/>
        <v/>
      </c>
      <c r="K7740" s="1" t="str">
        <f t="shared" si="4"/>
        <v/>
      </c>
    </row>
    <row r="7741" hidden="1">
      <c r="F7741" s="1" t="str">
        <f t="shared" si="1"/>
        <v/>
      </c>
      <c r="G7741" s="1" t="str">
        <f t="shared" si="2"/>
        <v/>
      </c>
      <c r="J7741" s="1" t="str">
        <f t="shared" si="3"/>
        <v/>
      </c>
      <c r="K7741" s="1" t="str">
        <f t="shared" si="4"/>
        <v/>
      </c>
    </row>
    <row r="7742" hidden="1">
      <c r="F7742" s="1" t="str">
        <f t="shared" si="1"/>
        <v/>
      </c>
      <c r="G7742" s="1" t="str">
        <f t="shared" si="2"/>
        <v/>
      </c>
      <c r="J7742" s="1" t="str">
        <f t="shared" si="3"/>
        <v/>
      </c>
      <c r="K7742" s="1" t="str">
        <f t="shared" si="4"/>
        <v/>
      </c>
    </row>
    <row r="7743" hidden="1">
      <c r="F7743" s="1" t="str">
        <f t="shared" si="1"/>
        <v/>
      </c>
      <c r="G7743" s="1" t="str">
        <f t="shared" si="2"/>
        <v/>
      </c>
      <c r="J7743" s="1" t="str">
        <f t="shared" si="3"/>
        <v/>
      </c>
      <c r="K7743" s="1" t="str">
        <f t="shared" si="4"/>
        <v/>
      </c>
    </row>
    <row r="7744" hidden="1">
      <c r="F7744" s="1" t="str">
        <f t="shared" si="1"/>
        <v/>
      </c>
      <c r="G7744" s="1" t="str">
        <f t="shared" si="2"/>
        <v/>
      </c>
      <c r="J7744" s="1" t="str">
        <f t="shared" si="3"/>
        <v/>
      </c>
      <c r="K7744" s="1" t="str">
        <f t="shared" si="4"/>
        <v/>
      </c>
    </row>
    <row r="7745" hidden="1">
      <c r="F7745" s="1" t="str">
        <f t="shared" si="1"/>
        <v/>
      </c>
      <c r="G7745" s="1" t="str">
        <f t="shared" si="2"/>
        <v/>
      </c>
      <c r="J7745" s="1" t="str">
        <f t="shared" si="3"/>
        <v/>
      </c>
      <c r="K7745" s="1" t="str">
        <f t="shared" si="4"/>
        <v/>
      </c>
    </row>
    <row r="7746" hidden="1">
      <c r="F7746" s="1" t="str">
        <f t="shared" si="1"/>
        <v/>
      </c>
      <c r="G7746" s="1" t="str">
        <f t="shared" si="2"/>
        <v/>
      </c>
      <c r="J7746" s="1" t="str">
        <f t="shared" si="3"/>
        <v/>
      </c>
      <c r="K7746" s="1" t="str">
        <f t="shared" si="4"/>
        <v/>
      </c>
    </row>
    <row r="7747" hidden="1">
      <c r="F7747" s="1" t="str">
        <f t="shared" si="1"/>
        <v/>
      </c>
      <c r="G7747" s="1" t="str">
        <f t="shared" si="2"/>
        <v/>
      </c>
      <c r="J7747" s="1" t="str">
        <f t="shared" si="3"/>
        <v/>
      </c>
      <c r="K7747" s="1" t="str">
        <f t="shared" si="4"/>
        <v/>
      </c>
    </row>
    <row r="7748" hidden="1">
      <c r="F7748" s="1" t="str">
        <f t="shared" si="1"/>
        <v/>
      </c>
      <c r="G7748" s="1" t="str">
        <f t="shared" si="2"/>
        <v/>
      </c>
      <c r="J7748" s="1" t="str">
        <f t="shared" si="3"/>
        <v/>
      </c>
      <c r="K7748" s="1" t="str">
        <f t="shared" si="4"/>
        <v/>
      </c>
    </row>
    <row r="7749" hidden="1">
      <c r="F7749" s="1" t="str">
        <f t="shared" si="1"/>
        <v/>
      </c>
      <c r="G7749" s="1" t="str">
        <f t="shared" si="2"/>
        <v/>
      </c>
      <c r="J7749" s="1" t="str">
        <f t="shared" si="3"/>
        <v/>
      </c>
      <c r="K7749" s="1" t="str">
        <f t="shared" si="4"/>
        <v/>
      </c>
    </row>
    <row r="7750" hidden="1">
      <c r="F7750" s="1" t="str">
        <f t="shared" si="1"/>
        <v/>
      </c>
      <c r="G7750" s="1" t="str">
        <f t="shared" si="2"/>
        <v/>
      </c>
      <c r="J7750" s="1" t="str">
        <f t="shared" si="3"/>
        <v/>
      </c>
      <c r="K7750" s="1" t="str">
        <f t="shared" si="4"/>
        <v/>
      </c>
    </row>
    <row r="7751" hidden="1">
      <c r="F7751" s="1" t="str">
        <f t="shared" si="1"/>
        <v/>
      </c>
      <c r="G7751" s="1" t="str">
        <f t="shared" si="2"/>
        <v/>
      </c>
      <c r="J7751" s="1" t="str">
        <f t="shared" si="3"/>
        <v/>
      </c>
      <c r="K7751" s="1" t="str">
        <f t="shared" si="4"/>
        <v/>
      </c>
    </row>
    <row r="7752" hidden="1">
      <c r="F7752" s="1" t="str">
        <f t="shared" si="1"/>
        <v/>
      </c>
      <c r="G7752" s="1" t="str">
        <f t="shared" si="2"/>
        <v/>
      </c>
      <c r="J7752" s="1" t="str">
        <f t="shared" si="3"/>
        <v/>
      </c>
      <c r="K7752" s="1" t="str">
        <f t="shared" si="4"/>
        <v/>
      </c>
    </row>
    <row r="7753" hidden="1">
      <c r="F7753" s="1" t="str">
        <f t="shared" si="1"/>
        <v/>
      </c>
      <c r="G7753" s="1" t="str">
        <f t="shared" si="2"/>
        <v/>
      </c>
      <c r="J7753" s="1" t="str">
        <f t="shared" si="3"/>
        <v/>
      </c>
      <c r="K7753" s="1" t="str">
        <f t="shared" si="4"/>
        <v/>
      </c>
    </row>
    <row r="7754" hidden="1">
      <c r="F7754" s="1" t="str">
        <f t="shared" si="1"/>
        <v/>
      </c>
      <c r="G7754" s="1" t="str">
        <f t="shared" si="2"/>
        <v/>
      </c>
      <c r="J7754" s="1" t="str">
        <f t="shared" si="3"/>
        <v/>
      </c>
      <c r="K7754" s="1" t="str">
        <f t="shared" si="4"/>
        <v/>
      </c>
    </row>
    <row r="7755" hidden="1">
      <c r="F7755" s="1" t="str">
        <f t="shared" si="1"/>
        <v/>
      </c>
      <c r="G7755" s="1" t="str">
        <f t="shared" si="2"/>
        <v/>
      </c>
      <c r="J7755" s="1" t="str">
        <f t="shared" si="3"/>
        <v/>
      </c>
      <c r="K7755" s="1" t="str">
        <f t="shared" si="4"/>
        <v/>
      </c>
    </row>
    <row r="7756" hidden="1">
      <c r="F7756" s="1" t="str">
        <f t="shared" si="1"/>
        <v/>
      </c>
      <c r="G7756" s="1" t="str">
        <f t="shared" si="2"/>
        <v/>
      </c>
      <c r="J7756" s="1" t="str">
        <f t="shared" si="3"/>
        <v/>
      </c>
      <c r="K7756" s="1" t="str">
        <f t="shared" si="4"/>
        <v/>
      </c>
    </row>
    <row r="7757" hidden="1">
      <c r="F7757" s="1" t="str">
        <f t="shared" si="1"/>
        <v/>
      </c>
      <c r="G7757" s="1" t="str">
        <f t="shared" si="2"/>
        <v/>
      </c>
      <c r="J7757" s="1" t="str">
        <f t="shared" si="3"/>
        <v/>
      </c>
      <c r="K7757" s="1" t="str">
        <f t="shared" si="4"/>
        <v/>
      </c>
    </row>
    <row r="7758" hidden="1">
      <c r="F7758" s="1" t="str">
        <f t="shared" si="1"/>
        <v/>
      </c>
      <c r="G7758" s="1" t="str">
        <f t="shared" si="2"/>
        <v/>
      </c>
      <c r="J7758" s="1" t="str">
        <f t="shared" si="3"/>
        <v/>
      </c>
      <c r="K7758" s="1" t="str">
        <f t="shared" si="4"/>
        <v/>
      </c>
    </row>
    <row r="7759" hidden="1">
      <c r="F7759" s="1" t="str">
        <f t="shared" si="1"/>
        <v/>
      </c>
      <c r="G7759" s="1" t="str">
        <f t="shared" si="2"/>
        <v/>
      </c>
      <c r="J7759" s="1" t="str">
        <f t="shared" si="3"/>
        <v/>
      </c>
      <c r="K7759" s="1" t="str">
        <f t="shared" si="4"/>
        <v/>
      </c>
    </row>
    <row r="7760" hidden="1">
      <c r="F7760" s="1" t="str">
        <f t="shared" si="1"/>
        <v/>
      </c>
      <c r="G7760" s="1" t="str">
        <f t="shared" si="2"/>
        <v/>
      </c>
      <c r="J7760" s="1" t="str">
        <f t="shared" si="3"/>
        <v/>
      </c>
      <c r="K7760" s="1" t="str">
        <f t="shared" si="4"/>
        <v/>
      </c>
    </row>
    <row r="7761" hidden="1">
      <c r="F7761" s="1" t="str">
        <f t="shared" si="1"/>
        <v/>
      </c>
      <c r="G7761" s="1" t="str">
        <f t="shared" si="2"/>
        <v/>
      </c>
      <c r="J7761" s="1" t="str">
        <f t="shared" si="3"/>
        <v/>
      </c>
      <c r="K7761" s="1" t="str">
        <f t="shared" si="4"/>
        <v/>
      </c>
    </row>
    <row r="7762" hidden="1">
      <c r="F7762" s="1" t="str">
        <f t="shared" si="1"/>
        <v/>
      </c>
      <c r="G7762" s="1" t="str">
        <f t="shared" si="2"/>
        <v/>
      </c>
      <c r="J7762" s="1" t="str">
        <f t="shared" si="3"/>
        <v/>
      </c>
      <c r="K7762" s="1" t="str">
        <f t="shared" si="4"/>
        <v/>
      </c>
    </row>
    <row r="7763" hidden="1">
      <c r="F7763" s="1" t="str">
        <f t="shared" si="1"/>
        <v/>
      </c>
      <c r="G7763" s="1" t="str">
        <f t="shared" si="2"/>
        <v/>
      </c>
      <c r="J7763" s="1" t="str">
        <f t="shared" si="3"/>
        <v/>
      </c>
      <c r="K7763" s="1" t="str">
        <f t="shared" si="4"/>
        <v/>
      </c>
    </row>
    <row r="7764" hidden="1">
      <c r="F7764" s="1" t="str">
        <f t="shared" si="1"/>
        <v/>
      </c>
      <c r="G7764" s="1" t="str">
        <f t="shared" si="2"/>
        <v/>
      </c>
      <c r="J7764" s="1" t="str">
        <f t="shared" si="3"/>
        <v/>
      </c>
      <c r="K7764" s="1" t="str">
        <f t="shared" si="4"/>
        <v/>
      </c>
    </row>
    <row r="7765" hidden="1">
      <c r="F7765" s="1" t="str">
        <f t="shared" si="1"/>
        <v/>
      </c>
      <c r="G7765" s="1" t="str">
        <f t="shared" si="2"/>
        <v/>
      </c>
      <c r="J7765" s="1" t="str">
        <f t="shared" si="3"/>
        <v/>
      </c>
      <c r="K7765" s="1" t="str">
        <f t="shared" si="4"/>
        <v/>
      </c>
    </row>
    <row r="7766" hidden="1">
      <c r="F7766" s="1" t="str">
        <f t="shared" si="1"/>
        <v/>
      </c>
      <c r="G7766" s="1" t="str">
        <f t="shared" si="2"/>
        <v/>
      </c>
      <c r="J7766" s="1" t="str">
        <f t="shared" si="3"/>
        <v/>
      </c>
      <c r="K7766" s="1" t="str">
        <f t="shared" si="4"/>
        <v/>
      </c>
    </row>
    <row r="7767" hidden="1">
      <c r="F7767" s="1" t="str">
        <f t="shared" si="1"/>
        <v/>
      </c>
      <c r="G7767" s="1" t="str">
        <f t="shared" si="2"/>
        <v/>
      </c>
      <c r="J7767" s="1" t="str">
        <f t="shared" si="3"/>
        <v/>
      </c>
      <c r="K7767" s="1" t="str">
        <f t="shared" si="4"/>
        <v/>
      </c>
    </row>
    <row r="7768" hidden="1">
      <c r="F7768" s="1" t="str">
        <f t="shared" si="1"/>
        <v/>
      </c>
      <c r="G7768" s="1" t="str">
        <f t="shared" si="2"/>
        <v/>
      </c>
      <c r="J7768" s="1" t="str">
        <f t="shared" si="3"/>
        <v/>
      </c>
      <c r="K7768" s="1" t="str">
        <f t="shared" si="4"/>
        <v/>
      </c>
    </row>
    <row r="7769" hidden="1">
      <c r="F7769" s="1" t="str">
        <f t="shared" si="1"/>
        <v/>
      </c>
      <c r="G7769" s="1" t="str">
        <f t="shared" si="2"/>
        <v/>
      </c>
      <c r="J7769" s="1" t="str">
        <f t="shared" si="3"/>
        <v/>
      </c>
      <c r="K7769" s="1" t="str">
        <f t="shared" si="4"/>
        <v/>
      </c>
    </row>
    <row r="7770" hidden="1">
      <c r="F7770" s="1" t="str">
        <f t="shared" si="1"/>
        <v/>
      </c>
      <c r="G7770" s="1" t="str">
        <f t="shared" si="2"/>
        <v/>
      </c>
      <c r="J7770" s="1" t="str">
        <f t="shared" si="3"/>
        <v/>
      </c>
      <c r="K7770" s="1" t="str">
        <f t="shared" si="4"/>
        <v/>
      </c>
    </row>
    <row r="7771" hidden="1">
      <c r="F7771" s="1" t="str">
        <f t="shared" si="1"/>
        <v/>
      </c>
      <c r="G7771" s="1" t="str">
        <f t="shared" si="2"/>
        <v/>
      </c>
      <c r="J7771" s="1" t="str">
        <f t="shared" si="3"/>
        <v/>
      </c>
      <c r="K7771" s="1" t="str">
        <f t="shared" si="4"/>
        <v/>
      </c>
    </row>
    <row r="7772" hidden="1">
      <c r="F7772" s="1" t="str">
        <f t="shared" si="1"/>
        <v/>
      </c>
      <c r="G7772" s="1" t="str">
        <f t="shared" si="2"/>
        <v/>
      </c>
      <c r="J7772" s="1" t="str">
        <f t="shared" si="3"/>
        <v/>
      </c>
      <c r="K7772" s="1" t="str">
        <f t="shared" si="4"/>
        <v/>
      </c>
    </row>
    <row r="7773" hidden="1">
      <c r="F7773" s="1" t="str">
        <f t="shared" si="1"/>
        <v/>
      </c>
      <c r="G7773" s="1" t="str">
        <f t="shared" si="2"/>
        <v/>
      </c>
      <c r="J7773" s="1" t="str">
        <f t="shared" si="3"/>
        <v/>
      </c>
      <c r="K7773" s="1" t="str">
        <f t="shared" si="4"/>
        <v/>
      </c>
    </row>
    <row r="7774" hidden="1">
      <c r="F7774" s="1" t="str">
        <f t="shared" si="1"/>
        <v/>
      </c>
      <c r="G7774" s="1" t="str">
        <f t="shared" si="2"/>
        <v/>
      </c>
      <c r="J7774" s="1" t="str">
        <f t="shared" si="3"/>
        <v/>
      </c>
      <c r="K7774" s="1" t="str">
        <f t="shared" si="4"/>
        <v/>
      </c>
    </row>
    <row r="7775" hidden="1">
      <c r="F7775" s="1" t="str">
        <f t="shared" si="1"/>
        <v/>
      </c>
      <c r="G7775" s="1" t="str">
        <f t="shared" si="2"/>
        <v/>
      </c>
      <c r="J7775" s="1" t="str">
        <f t="shared" si="3"/>
        <v/>
      </c>
      <c r="K7775" s="1" t="str">
        <f t="shared" si="4"/>
        <v/>
      </c>
    </row>
    <row r="7776" hidden="1">
      <c r="F7776" s="1" t="str">
        <f t="shared" si="1"/>
        <v/>
      </c>
      <c r="G7776" s="1" t="str">
        <f t="shared" si="2"/>
        <v/>
      </c>
      <c r="J7776" s="1" t="str">
        <f t="shared" si="3"/>
        <v/>
      </c>
      <c r="K7776" s="1" t="str">
        <f t="shared" si="4"/>
        <v/>
      </c>
    </row>
    <row r="7777" hidden="1">
      <c r="F7777" s="1" t="str">
        <f t="shared" si="1"/>
        <v/>
      </c>
      <c r="G7777" s="1" t="str">
        <f t="shared" si="2"/>
        <v/>
      </c>
      <c r="J7777" s="1" t="str">
        <f t="shared" si="3"/>
        <v/>
      </c>
      <c r="K7777" s="1" t="str">
        <f t="shared" si="4"/>
        <v/>
      </c>
    </row>
    <row r="7778" hidden="1">
      <c r="F7778" s="1" t="str">
        <f t="shared" si="1"/>
        <v/>
      </c>
      <c r="G7778" s="1" t="str">
        <f t="shared" si="2"/>
        <v/>
      </c>
      <c r="J7778" s="1" t="str">
        <f t="shared" si="3"/>
        <v/>
      </c>
      <c r="K7778" s="1" t="str">
        <f t="shared" si="4"/>
        <v/>
      </c>
    </row>
    <row r="7779" hidden="1">
      <c r="F7779" s="1" t="str">
        <f t="shared" si="1"/>
        <v/>
      </c>
      <c r="G7779" s="1" t="str">
        <f t="shared" si="2"/>
        <v/>
      </c>
      <c r="J7779" s="1" t="str">
        <f t="shared" si="3"/>
        <v/>
      </c>
      <c r="K7779" s="1" t="str">
        <f t="shared" si="4"/>
        <v/>
      </c>
    </row>
    <row r="7780" hidden="1">
      <c r="F7780" s="1" t="str">
        <f t="shared" si="1"/>
        <v/>
      </c>
      <c r="G7780" s="1" t="str">
        <f t="shared" si="2"/>
        <v/>
      </c>
      <c r="J7780" s="1" t="str">
        <f t="shared" si="3"/>
        <v/>
      </c>
      <c r="K7780" s="1" t="str">
        <f t="shared" si="4"/>
        <v/>
      </c>
    </row>
    <row r="7781" hidden="1">
      <c r="F7781" s="1" t="str">
        <f t="shared" si="1"/>
        <v/>
      </c>
      <c r="G7781" s="1" t="str">
        <f t="shared" si="2"/>
        <v/>
      </c>
      <c r="J7781" s="1" t="str">
        <f t="shared" si="3"/>
        <v/>
      </c>
      <c r="K7781" s="1" t="str">
        <f t="shared" si="4"/>
        <v/>
      </c>
    </row>
    <row r="7782" hidden="1">
      <c r="F7782" s="1" t="str">
        <f t="shared" si="1"/>
        <v/>
      </c>
      <c r="G7782" s="1" t="str">
        <f t="shared" si="2"/>
        <v/>
      </c>
      <c r="J7782" s="1" t="str">
        <f t="shared" si="3"/>
        <v/>
      </c>
      <c r="K7782" s="1" t="str">
        <f t="shared" si="4"/>
        <v/>
      </c>
    </row>
    <row r="7783" hidden="1">
      <c r="F7783" s="1" t="str">
        <f t="shared" si="1"/>
        <v/>
      </c>
      <c r="G7783" s="1" t="str">
        <f t="shared" si="2"/>
        <v/>
      </c>
      <c r="J7783" s="1" t="str">
        <f t="shared" si="3"/>
        <v/>
      </c>
      <c r="K7783" s="1" t="str">
        <f t="shared" si="4"/>
        <v/>
      </c>
    </row>
    <row r="7784" hidden="1">
      <c r="F7784" s="1" t="str">
        <f t="shared" si="1"/>
        <v/>
      </c>
      <c r="G7784" s="1" t="str">
        <f t="shared" si="2"/>
        <v/>
      </c>
      <c r="J7784" s="1" t="str">
        <f t="shared" si="3"/>
        <v/>
      </c>
      <c r="K7784" s="1" t="str">
        <f t="shared" si="4"/>
        <v/>
      </c>
    </row>
    <row r="7785" hidden="1">
      <c r="F7785" s="1" t="str">
        <f t="shared" si="1"/>
        <v/>
      </c>
      <c r="G7785" s="1" t="str">
        <f t="shared" si="2"/>
        <v/>
      </c>
      <c r="J7785" s="1" t="str">
        <f t="shared" si="3"/>
        <v/>
      </c>
      <c r="K7785" s="1" t="str">
        <f t="shared" si="4"/>
        <v/>
      </c>
    </row>
    <row r="7786" hidden="1">
      <c r="F7786" s="1" t="str">
        <f t="shared" si="1"/>
        <v/>
      </c>
      <c r="G7786" s="1" t="str">
        <f t="shared" si="2"/>
        <v/>
      </c>
      <c r="J7786" s="1" t="str">
        <f t="shared" si="3"/>
        <v/>
      </c>
      <c r="K7786" s="1" t="str">
        <f t="shared" si="4"/>
        <v/>
      </c>
    </row>
    <row r="7787" hidden="1">
      <c r="F7787" s="1" t="str">
        <f t="shared" si="1"/>
        <v/>
      </c>
      <c r="G7787" s="1" t="str">
        <f t="shared" si="2"/>
        <v/>
      </c>
      <c r="J7787" s="1" t="str">
        <f t="shared" si="3"/>
        <v/>
      </c>
      <c r="K7787" s="1" t="str">
        <f t="shared" si="4"/>
        <v/>
      </c>
    </row>
    <row r="7788" hidden="1">
      <c r="F7788" s="1" t="str">
        <f t="shared" si="1"/>
        <v/>
      </c>
      <c r="G7788" s="1" t="str">
        <f t="shared" si="2"/>
        <v/>
      </c>
      <c r="J7788" s="1" t="str">
        <f t="shared" si="3"/>
        <v/>
      </c>
      <c r="K7788" s="1" t="str">
        <f t="shared" si="4"/>
        <v/>
      </c>
    </row>
    <row r="7789" hidden="1">
      <c r="F7789" s="1" t="str">
        <f t="shared" si="1"/>
        <v/>
      </c>
      <c r="G7789" s="1" t="str">
        <f t="shared" si="2"/>
        <v/>
      </c>
      <c r="J7789" s="1" t="str">
        <f t="shared" si="3"/>
        <v/>
      </c>
      <c r="K7789" s="1" t="str">
        <f t="shared" si="4"/>
        <v/>
      </c>
    </row>
    <row r="7790" hidden="1">
      <c r="F7790" s="1" t="str">
        <f t="shared" si="1"/>
        <v/>
      </c>
      <c r="G7790" s="1" t="str">
        <f t="shared" si="2"/>
        <v/>
      </c>
      <c r="J7790" s="1" t="str">
        <f t="shared" si="3"/>
        <v/>
      </c>
      <c r="K7790" s="1" t="str">
        <f t="shared" si="4"/>
        <v/>
      </c>
    </row>
    <row r="7791" hidden="1">
      <c r="F7791" s="1" t="str">
        <f t="shared" si="1"/>
        <v/>
      </c>
      <c r="G7791" s="1" t="str">
        <f t="shared" si="2"/>
        <v/>
      </c>
      <c r="J7791" s="1" t="str">
        <f t="shared" si="3"/>
        <v/>
      </c>
      <c r="K7791" s="1" t="str">
        <f t="shared" si="4"/>
        <v/>
      </c>
    </row>
    <row r="7792" hidden="1">
      <c r="F7792" s="1" t="str">
        <f t="shared" si="1"/>
        <v/>
      </c>
      <c r="G7792" s="1" t="str">
        <f t="shared" si="2"/>
        <v/>
      </c>
      <c r="J7792" s="1" t="str">
        <f t="shared" si="3"/>
        <v/>
      </c>
      <c r="K7792" s="1" t="str">
        <f t="shared" si="4"/>
        <v/>
      </c>
    </row>
    <row r="7793" hidden="1">
      <c r="F7793" s="1" t="str">
        <f t="shared" si="1"/>
        <v/>
      </c>
      <c r="G7793" s="1" t="str">
        <f t="shared" si="2"/>
        <v/>
      </c>
      <c r="J7793" s="1" t="str">
        <f t="shared" si="3"/>
        <v/>
      </c>
      <c r="K7793" s="1" t="str">
        <f t="shared" si="4"/>
        <v/>
      </c>
    </row>
    <row r="7794" hidden="1">
      <c r="F7794" s="1" t="str">
        <f t="shared" si="1"/>
        <v/>
      </c>
      <c r="G7794" s="1" t="str">
        <f t="shared" si="2"/>
        <v/>
      </c>
      <c r="J7794" s="1" t="str">
        <f t="shared" si="3"/>
        <v/>
      </c>
      <c r="K7794" s="1" t="str">
        <f t="shared" si="4"/>
        <v/>
      </c>
    </row>
    <row r="7795" hidden="1">
      <c r="F7795" s="1" t="str">
        <f t="shared" si="1"/>
        <v/>
      </c>
      <c r="G7795" s="1" t="str">
        <f t="shared" si="2"/>
        <v/>
      </c>
      <c r="J7795" s="1" t="str">
        <f t="shared" si="3"/>
        <v/>
      </c>
      <c r="K7795" s="1" t="str">
        <f t="shared" si="4"/>
        <v/>
      </c>
    </row>
    <row r="7796" hidden="1">
      <c r="F7796" s="1" t="str">
        <f t="shared" si="1"/>
        <v/>
      </c>
      <c r="G7796" s="1" t="str">
        <f t="shared" si="2"/>
        <v/>
      </c>
      <c r="J7796" s="1" t="str">
        <f t="shared" si="3"/>
        <v/>
      </c>
      <c r="K7796" s="1" t="str">
        <f t="shared" si="4"/>
        <v/>
      </c>
    </row>
    <row r="7797" hidden="1">
      <c r="F7797" s="1" t="str">
        <f t="shared" si="1"/>
        <v/>
      </c>
      <c r="G7797" s="1" t="str">
        <f t="shared" si="2"/>
        <v/>
      </c>
      <c r="J7797" s="1" t="str">
        <f t="shared" si="3"/>
        <v/>
      </c>
      <c r="K7797" s="1" t="str">
        <f t="shared" si="4"/>
        <v/>
      </c>
    </row>
    <row r="7798" hidden="1">
      <c r="F7798" s="1" t="str">
        <f t="shared" si="1"/>
        <v/>
      </c>
      <c r="G7798" s="1" t="str">
        <f t="shared" si="2"/>
        <v/>
      </c>
      <c r="J7798" s="1" t="str">
        <f t="shared" si="3"/>
        <v/>
      </c>
      <c r="K7798" s="1" t="str">
        <f t="shared" si="4"/>
        <v/>
      </c>
    </row>
    <row r="7799" hidden="1">
      <c r="F7799" s="1" t="str">
        <f t="shared" si="1"/>
        <v/>
      </c>
      <c r="G7799" s="1" t="str">
        <f t="shared" si="2"/>
        <v/>
      </c>
      <c r="J7799" s="1" t="str">
        <f t="shared" si="3"/>
        <v/>
      </c>
      <c r="K7799" s="1" t="str">
        <f t="shared" si="4"/>
        <v/>
      </c>
    </row>
    <row r="7800" hidden="1">
      <c r="F7800" s="1" t="str">
        <f t="shared" si="1"/>
        <v/>
      </c>
      <c r="G7800" s="1" t="str">
        <f t="shared" si="2"/>
        <v/>
      </c>
      <c r="J7800" s="1" t="str">
        <f t="shared" si="3"/>
        <v/>
      </c>
      <c r="K7800" s="1" t="str">
        <f t="shared" si="4"/>
        <v/>
      </c>
    </row>
    <row r="7801" hidden="1">
      <c r="F7801" s="1" t="str">
        <f t="shared" si="1"/>
        <v/>
      </c>
      <c r="G7801" s="1" t="str">
        <f t="shared" si="2"/>
        <v/>
      </c>
      <c r="J7801" s="1" t="str">
        <f t="shared" si="3"/>
        <v/>
      </c>
      <c r="K7801" s="1" t="str">
        <f t="shared" si="4"/>
        <v/>
      </c>
    </row>
    <row r="7802" hidden="1">
      <c r="F7802" s="1" t="str">
        <f t="shared" si="1"/>
        <v/>
      </c>
      <c r="G7802" s="1" t="str">
        <f t="shared" si="2"/>
        <v/>
      </c>
      <c r="J7802" s="1" t="str">
        <f t="shared" si="3"/>
        <v/>
      </c>
      <c r="K7802" s="1" t="str">
        <f t="shared" si="4"/>
        <v/>
      </c>
    </row>
    <row r="7803" hidden="1">
      <c r="F7803" s="1" t="str">
        <f t="shared" si="1"/>
        <v/>
      </c>
      <c r="G7803" s="1" t="str">
        <f t="shared" si="2"/>
        <v/>
      </c>
      <c r="J7803" s="1" t="str">
        <f t="shared" si="3"/>
        <v/>
      </c>
      <c r="K7803" s="1" t="str">
        <f t="shared" si="4"/>
        <v/>
      </c>
    </row>
    <row r="7804" hidden="1">
      <c r="F7804" s="1" t="str">
        <f t="shared" si="1"/>
        <v/>
      </c>
      <c r="G7804" s="1" t="str">
        <f t="shared" si="2"/>
        <v/>
      </c>
      <c r="J7804" s="1" t="str">
        <f t="shared" si="3"/>
        <v/>
      </c>
      <c r="K7804" s="1" t="str">
        <f t="shared" si="4"/>
        <v/>
      </c>
    </row>
    <row r="7805" hidden="1">
      <c r="F7805" s="1" t="str">
        <f t="shared" si="1"/>
        <v/>
      </c>
      <c r="G7805" s="1" t="str">
        <f t="shared" si="2"/>
        <v/>
      </c>
      <c r="J7805" s="1" t="str">
        <f t="shared" si="3"/>
        <v/>
      </c>
      <c r="K7805" s="1" t="str">
        <f t="shared" si="4"/>
        <v/>
      </c>
    </row>
    <row r="7806" hidden="1">
      <c r="F7806" s="1" t="str">
        <f t="shared" si="1"/>
        <v/>
      </c>
      <c r="G7806" s="1" t="str">
        <f t="shared" si="2"/>
        <v/>
      </c>
      <c r="J7806" s="1" t="str">
        <f t="shared" si="3"/>
        <v/>
      </c>
      <c r="K7806" s="1" t="str">
        <f t="shared" si="4"/>
        <v/>
      </c>
    </row>
    <row r="7807" hidden="1">
      <c r="F7807" s="1" t="str">
        <f t="shared" si="1"/>
        <v/>
      </c>
      <c r="G7807" s="1" t="str">
        <f t="shared" si="2"/>
        <v/>
      </c>
      <c r="J7807" s="1" t="str">
        <f t="shared" si="3"/>
        <v/>
      </c>
      <c r="K7807" s="1" t="str">
        <f t="shared" si="4"/>
        <v/>
      </c>
    </row>
    <row r="7808" hidden="1">
      <c r="F7808" s="1" t="str">
        <f t="shared" si="1"/>
        <v/>
      </c>
      <c r="G7808" s="1" t="str">
        <f t="shared" si="2"/>
        <v/>
      </c>
      <c r="J7808" s="1" t="str">
        <f t="shared" si="3"/>
        <v/>
      </c>
      <c r="K7808" s="1" t="str">
        <f t="shared" si="4"/>
        <v/>
      </c>
    </row>
    <row r="7809" hidden="1">
      <c r="F7809" s="1" t="str">
        <f t="shared" si="1"/>
        <v/>
      </c>
      <c r="G7809" s="1" t="str">
        <f t="shared" si="2"/>
        <v/>
      </c>
      <c r="J7809" s="1" t="str">
        <f t="shared" si="3"/>
        <v/>
      </c>
      <c r="K7809" s="1" t="str">
        <f t="shared" si="4"/>
        <v/>
      </c>
    </row>
    <row r="7810" hidden="1">
      <c r="F7810" s="1" t="str">
        <f t="shared" si="1"/>
        <v/>
      </c>
      <c r="G7810" s="1" t="str">
        <f t="shared" si="2"/>
        <v/>
      </c>
      <c r="J7810" s="1" t="str">
        <f t="shared" si="3"/>
        <v/>
      </c>
      <c r="K7810" s="1" t="str">
        <f t="shared" si="4"/>
        <v/>
      </c>
    </row>
    <row r="7811" hidden="1">
      <c r="F7811" s="1" t="str">
        <f t="shared" si="1"/>
        <v/>
      </c>
      <c r="G7811" s="1" t="str">
        <f t="shared" si="2"/>
        <v/>
      </c>
      <c r="J7811" s="1" t="str">
        <f t="shared" si="3"/>
        <v/>
      </c>
      <c r="K7811" s="1" t="str">
        <f t="shared" si="4"/>
        <v/>
      </c>
    </row>
    <row r="7812" hidden="1">
      <c r="F7812" s="1" t="str">
        <f t="shared" si="1"/>
        <v/>
      </c>
      <c r="G7812" s="1" t="str">
        <f t="shared" si="2"/>
        <v/>
      </c>
      <c r="J7812" s="1" t="str">
        <f t="shared" si="3"/>
        <v/>
      </c>
      <c r="K7812" s="1" t="str">
        <f t="shared" si="4"/>
        <v/>
      </c>
    </row>
    <row r="7813" hidden="1">
      <c r="F7813" s="1" t="str">
        <f t="shared" si="1"/>
        <v/>
      </c>
      <c r="G7813" s="1" t="str">
        <f t="shared" si="2"/>
        <v/>
      </c>
      <c r="J7813" s="1" t="str">
        <f t="shared" si="3"/>
        <v/>
      </c>
      <c r="K7813" s="1" t="str">
        <f t="shared" si="4"/>
        <v/>
      </c>
    </row>
    <row r="7814" hidden="1">
      <c r="F7814" s="1" t="str">
        <f t="shared" si="1"/>
        <v/>
      </c>
      <c r="G7814" s="1" t="str">
        <f t="shared" si="2"/>
        <v/>
      </c>
      <c r="J7814" s="1" t="str">
        <f t="shared" si="3"/>
        <v/>
      </c>
      <c r="K7814" s="1" t="str">
        <f t="shared" si="4"/>
        <v/>
      </c>
    </row>
    <row r="7815" hidden="1">
      <c r="F7815" s="1" t="str">
        <f t="shared" si="1"/>
        <v/>
      </c>
      <c r="G7815" s="1" t="str">
        <f t="shared" si="2"/>
        <v/>
      </c>
      <c r="J7815" s="1" t="str">
        <f t="shared" si="3"/>
        <v/>
      </c>
      <c r="K7815" s="1" t="str">
        <f t="shared" si="4"/>
        <v/>
      </c>
    </row>
    <row r="7816" hidden="1">
      <c r="F7816" s="1" t="str">
        <f t="shared" si="1"/>
        <v/>
      </c>
      <c r="G7816" s="1" t="str">
        <f t="shared" si="2"/>
        <v/>
      </c>
      <c r="J7816" s="1" t="str">
        <f t="shared" si="3"/>
        <v/>
      </c>
      <c r="K7816" s="1" t="str">
        <f t="shared" si="4"/>
        <v/>
      </c>
    </row>
    <row r="7817" hidden="1">
      <c r="F7817" s="1" t="str">
        <f t="shared" si="1"/>
        <v/>
      </c>
      <c r="G7817" s="1" t="str">
        <f t="shared" si="2"/>
        <v/>
      </c>
      <c r="J7817" s="1" t="str">
        <f t="shared" si="3"/>
        <v/>
      </c>
      <c r="K7817" s="1" t="str">
        <f t="shared" si="4"/>
        <v/>
      </c>
    </row>
    <row r="7818" hidden="1">
      <c r="F7818" s="1" t="str">
        <f t="shared" si="1"/>
        <v/>
      </c>
      <c r="G7818" s="1" t="str">
        <f t="shared" si="2"/>
        <v/>
      </c>
      <c r="J7818" s="1" t="str">
        <f t="shared" si="3"/>
        <v/>
      </c>
      <c r="K7818" s="1" t="str">
        <f t="shared" si="4"/>
        <v/>
      </c>
    </row>
    <row r="7819" hidden="1">
      <c r="F7819" s="1" t="str">
        <f t="shared" si="1"/>
        <v/>
      </c>
      <c r="G7819" s="1" t="str">
        <f t="shared" si="2"/>
        <v/>
      </c>
      <c r="J7819" s="1" t="str">
        <f t="shared" si="3"/>
        <v/>
      </c>
      <c r="K7819" s="1" t="str">
        <f t="shared" si="4"/>
        <v/>
      </c>
    </row>
    <row r="7820" hidden="1">
      <c r="F7820" s="1" t="str">
        <f t="shared" si="1"/>
        <v/>
      </c>
      <c r="G7820" s="1" t="str">
        <f t="shared" si="2"/>
        <v/>
      </c>
      <c r="J7820" s="1" t="str">
        <f t="shared" si="3"/>
        <v/>
      </c>
      <c r="K7820" s="1" t="str">
        <f t="shared" si="4"/>
        <v/>
      </c>
    </row>
    <row r="7821" hidden="1">
      <c r="F7821" s="1" t="str">
        <f t="shared" si="1"/>
        <v/>
      </c>
      <c r="G7821" s="1" t="str">
        <f t="shared" si="2"/>
        <v/>
      </c>
      <c r="J7821" s="1" t="str">
        <f t="shared" si="3"/>
        <v/>
      </c>
      <c r="K7821" s="1" t="str">
        <f t="shared" si="4"/>
        <v/>
      </c>
    </row>
    <row r="7822" hidden="1">
      <c r="F7822" s="1" t="str">
        <f t="shared" si="1"/>
        <v/>
      </c>
      <c r="G7822" s="1" t="str">
        <f t="shared" si="2"/>
        <v/>
      </c>
      <c r="J7822" s="1" t="str">
        <f t="shared" si="3"/>
        <v/>
      </c>
      <c r="K7822" s="1" t="str">
        <f t="shared" si="4"/>
        <v/>
      </c>
    </row>
    <row r="7823" hidden="1">
      <c r="F7823" s="1" t="str">
        <f t="shared" si="1"/>
        <v/>
      </c>
      <c r="G7823" s="1" t="str">
        <f t="shared" si="2"/>
        <v/>
      </c>
      <c r="J7823" s="1" t="str">
        <f t="shared" si="3"/>
        <v/>
      </c>
      <c r="K7823" s="1" t="str">
        <f t="shared" si="4"/>
        <v/>
      </c>
    </row>
    <row r="7824" hidden="1">
      <c r="F7824" s="1" t="str">
        <f t="shared" si="1"/>
        <v/>
      </c>
      <c r="G7824" s="1" t="str">
        <f t="shared" si="2"/>
        <v/>
      </c>
      <c r="J7824" s="1" t="str">
        <f t="shared" si="3"/>
        <v/>
      </c>
      <c r="K7824" s="1" t="str">
        <f t="shared" si="4"/>
        <v/>
      </c>
    </row>
    <row r="7825" hidden="1">
      <c r="F7825" s="1" t="str">
        <f t="shared" si="1"/>
        <v/>
      </c>
      <c r="G7825" s="1" t="str">
        <f t="shared" si="2"/>
        <v/>
      </c>
      <c r="J7825" s="1" t="str">
        <f t="shared" si="3"/>
        <v/>
      </c>
      <c r="K7825" s="1" t="str">
        <f t="shared" si="4"/>
        <v/>
      </c>
    </row>
    <row r="7826" hidden="1">
      <c r="F7826" s="1" t="str">
        <f t="shared" si="1"/>
        <v/>
      </c>
      <c r="G7826" s="1" t="str">
        <f t="shared" si="2"/>
        <v/>
      </c>
      <c r="J7826" s="1" t="str">
        <f t="shared" si="3"/>
        <v/>
      </c>
      <c r="K7826" s="1" t="str">
        <f t="shared" si="4"/>
        <v/>
      </c>
    </row>
    <row r="7827" hidden="1">
      <c r="F7827" s="1" t="str">
        <f t="shared" si="1"/>
        <v/>
      </c>
      <c r="G7827" s="1" t="str">
        <f t="shared" si="2"/>
        <v/>
      </c>
      <c r="J7827" s="1" t="str">
        <f t="shared" si="3"/>
        <v/>
      </c>
      <c r="K7827" s="1" t="str">
        <f t="shared" si="4"/>
        <v/>
      </c>
    </row>
    <row r="7828" hidden="1">
      <c r="F7828" s="1" t="str">
        <f t="shared" si="1"/>
        <v/>
      </c>
      <c r="G7828" s="1" t="str">
        <f t="shared" si="2"/>
        <v/>
      </c>
      <c r="J7828" s="1" t="str">
        <f t="shared" si="3"/>
        <v/>
      </c>
      <c r="K7828" s="1" t="str">
        <f t="shared" si="4"/>
        <v/>
      </c>
    </row>
    <row r="7829" hidden="1">
      <c r="F7829" s="1" t="str">
        <f t="shared" si="1"/>
        <v/>
      </c>
      <c r="G7829" s="1" t="str">
        <f t="shared" si="2"/>
        <v/>
      </c>
      <c r="J7829" s="1" t="str">
        <f t="shared" si="3"/>
        <v/>
      </c>
      <c r="K7829" s="1" t="str">
        <f t="shared" si="4"/>
        <v/>
      </c>
    </row>
    <row r="7830" hidden="1">
      <c r="F7830" s="1" t="str">
        <f t="shared" si="1"/>
        <v/>
      </c>
      <c r="G7830" s="1" t="str">
        <f t="shared" si="2"/>
        <v/>
      </c>
      <c r="J7830" s="1" t="str">
        <f t="shared" si="3"/>
        <v/>
      </c>
      <c r="K7830" s="1" t="str">
        <f t="shared" si="4"/>
        <v/>
      </c>
    </row>
    <row r="7831" hidden="1">
      <c r="F7831" s="1" t="str">
        <f t="shared" si="1"/>
        <v/>
      </c>
      <c r="G7831" s="1" t="str">
        <f t="shared" si="2"/>
        <v/>
      </c>
      <c r="J7831" s="1" t="str">
        <f t="shared" si="3"/>
        <v/>
      </c>
      <c r="K7831" s="1" t="str">
        <f t="shared" si="4"/>
        <v/>
      </c>
    </row>
    <row r="7832" hidden="1">
      <c r="F7832" s="1" t="str">
        <f t="shared" si="1"/>
        <v/>
      </c>
      <c r="G7832" s="1" t="str">
        <f t="shared" si="2"/>
        <v/>
      </c>
      <c r="J7832" s="1" t="str">
        <f t="shared" si="3"/>
        <v/>
      </c>
      <c r="K7832" s="1" t="str">
        <f t="shared" si="4"/>
        <v/>
      </c>
    </row>
    <row r="7833" hidden="1">
      <c r="F7833" s="1" t="str">
        <f t="shared" si="1"/>
        <v/>
      </c>
      <c r="G7833" s="1" t="str">
        <f t="shared" si="2"/>
        <v/>
      </c>
      <c r="J7833" s="1" t="str">
        <f t="shared" si="3"/>
        <v/>
      </c>
      <c r="K7833" s="1" t="str">
        <f t="shared" si="4"/>
        <v/>
      </c>
    </row>
    <row r="7834" hidden="1">
      <c r="F7834" s="1" t="str">
        <f t="shared" si="1"/>
        <v/>
      </c>
      <c r="G7834" s="1" t="str">
        <f t="shared" si="2"/>
        <v/>
      </c>
      <c r="J7834" s="1" t="str">
        <f t="shared" si="3"/>
        <v/>
      </c>
      <c r="K7834" s="1" t="str">
        <f t="shared" si="4"/>
        <v/>
      </c>
    </row>
    <row r="7835" hidden="1">
      <c r="F7835" s="1" t="str">
        <f t="shared" si="1"/>
        <v/>
      </c>
      <c r="G7835" s="1" t="str">
        <f t="shared" si="2"/>
        <v/>
      </c>
      <c r="J7835" s="1" t="str">
        <f t="shared" si="3"/>
        <v/>
      </c>
      <c r="K7835" s="1" t="str">
        <f t="shared" si="4"/>
        <v/>
      </c>
    </row>
    <row r="7836" hidden="1">
      <c r="F7836" s="1" t="str">
        <f t="shared" si="1"/>
        <v/>
      </c>
      <c r="G7836" s="1" t="str">
        <f t="shared" si="2"/>
        <v/>
      </c>
      <c r="J7836" s="1" t="str">
        <f t="shared" si="3"/>
        <v/>
      </c>
      <c r="K7836" s="1" t="str">
        <f t="shared" si="4"/>
        <v/>
      </c>
    </row>
    <row r="7837" hidden="1">
      <c r="F7837" s="1" t="str">
        <f t="shared" si="1"/>
        <v/>
      </c>
      <c r="G7837" s="1" t="str">
        <f t="shared" si="2"/>
        <v/>
      </c>
      <c r="J7837" s="1" t="str">
        <f t="shared" si="3"/>
        <v/>
      </c>
      <c r="K7837" s="1" t="str">
        <f t="shared" si="4"/>
        <v/>
      </c>
    </row>
    <row r="7838" hidden="1">
      <c r="F7838" s="1" t="str">
        <f t="shared" si="1"/>
        <v/>
      </c>
      <c r="G7838" s="1" t="str">
        <f t="shared" si="2"/>
        <v/>
      </c>
      <c r="J7838" s="1" t="str">
        <f t="shared" si="3"/>
        <v/>
      </c>
      <c r="K7838" s="1" t="str">
        <f t="shared" si="4"/>
        <v/>
      </c>
    </row>
    <row r="7839" hidden="1">
      <c r="F7839" s="1" t="str">
        <f t="shared" si="1"/>
        <v/>
      </c>
      <c r="G7839" s="1" t="str">
        <f t="shared" si="2"/>
        <v/>
      </c>
      <c r="J7839" s="1" t="str">
        <f t="shared" si="3"/>
        <v/>
      </c>
      <c r="K7839" s="1" t="str">
        <f t="shared" si="4"/>
        <v/>
      </c>
    </row>
    <row r="7840" hidden="1">
      <c r="F7840" s="1" t="str">
        <f t="shared" si="1"/>
        <v/>
      </c>
      <c r="G7840" s="1" t="str">
        <f t="shared" si="2"/>
        <v/>
      </c>
      <c r="J7840" s="1" t="str">
        <f t="shared" si="3"/>
        <v/>
      </c>
      <c r="K7840" s="1" t="str">
        <f t="shared" si="4"/>
        <v/>
      </c>
    </row>
    <row r="7841" hidden="1">
      <c r="F7841" s="1" t="str">
        <f t="shared" si="1"/>
        <v/>
      </c>
      <c r="G7841" s="1" t="str">
        <f t="shared" si="2"/>
        <v/>
      </c>
      <c r="J7841" s="1" t="str">
        <f t="shared" si="3"/>
        <v/>
      </c>
      <c r="K7841" s="1" t="str">
        <f t="shared" si="4"/>
        <v/>
      </c>
    </row>
    <row r="7842" hidden="1">
      <c r="F7842" s="1" t="str">
        <f t="shared" si="1"/>
        <v/>
      </c>
      <c r="G7842" s="1" t="str">
        <f t="shared" si="2"/>
        <v/>
      </c>
      <c r="J7842" s="1" t="str">
        <f t="shared" si="3"/>
        <v/>
      </c>
      <c r="K7842" s="1" t="str">
        <f t="shared" si="4"/>
        <v/>
      </c>
    </row>
    <row r="7843" hidden="1">
      <c r="F7843" s="1" t="str">
        <f t="shared" si="1"/>
        <v/>
      </c>
      <c r="G7843" s="1" t="str">
        <f t="shared" si="2"/>
        <v/>
      </c>
      <c r="J7843" s="1" t="str">
        <f t="shared" si="3"/>
        <v/>
      </c>
      <c r="K7843" s="1" t="str">
        <f t="shared" si="4"/>
        <v/>
      </c>
    </row>
    <row r="7844" hidden="1">
      <c r="F7844" s="1" t="str">
        <f t="shared" si="1"/>
        <v/>
      </c>
      <c r="G7844" s="1" t="str">
        <f t="shared" si="2"/>
        <v/>
      </c>
      <c r="J7844" s="1" t="str">
        <f t="shared" si="3"/>
        <v/>
      </c>
      <c r="K7844" s="1" t="str">
        <f t="shared" si="4"/>
        <v/>
      </c>
    </row>
    <row r="7845" hidden="1">
      <c r="F7845" s="1" t="str">
        <f t="shared" si="1"/>
        <v/>
      </c>
      <c r="G7845" s="1" t="str">
        <f t="shared" si="2"/>
        <v/>
      </c>
      <c r="J7845" s="1" t="str">
        <f t="shared" si="3"/>
        <v/>
      </c>
      <c r="K7845" s="1" t="str">
        <f t="shared" si="4"/>
        <v/>
      </c>
    </row>
    <row r="7846" hidden="1">
      <c r="F7846" s="1" t="str">
        <f t="shared" si="1"/>
        <v/>
      </c>
      <c r="G7846" s="1" t="str">
        <f t="shared" si="2"/>
        <v/>
      </c>
      <c r="J7846" s="1" t="str">
        <f t="shared" si="3"/>
        <v/>
      </c>
      <c r="K7846" s="1" t="str">
        <f t="shared" si="4"/>
        <v/>
      </c>
    </row>
    <row r="7847" hidden="1">
      <c r="F7847" s="1" t="str">
        <f t="shared" si="1"/>
        <v/>
      </c>
      <c r="G7847" s="1" t="str">
        <f t="shared" si="2"/>
        <v/>
      </c>
      <c r="J7847" s="1" t="str">
        <f t="shared" si="3"/>
        <v/>
      </c>
      <c r="K7847" s="1" t="str">
        <f t="shared" si="4"/>
        <v/>
      </c>
    </row>
    <row r="7848" hidden="1">
      <c r="F7848" s="1" t="str">
        <f t="shared" si="1"/>
        <v/>
      </c>
      <c r="G7848" s="1" t="str">
        <f t="shared" si="2"/>
        <v/>
      </c>
      <c r="J7848" s="1" t="str">
        <f t="shared" si="3"/>
        <v/>
      </c>
      <c r="K7848" s="1" t="str">
        <f t="shared" si="4"/>
        <v/>
      </c>
    </row>
    <row r="7849" hidden="1">
      <c r="F7849" s="1" t="str">
        <f t="shared" si="1"/>
        <v/>
      </c>
      <c r="G7849" s="1" t="str">
        <f t="shared" si="2"/>
        <v/>
      </c>
      <c r="J7849" s="1" t="str">
        <f t="shared" si="3"/>
        <v/>
      </c>
      <c r="K7849" s="1" t="str">
        <f t="shared" si="4"/>
        <v/>
      </c>
    </row>
    <row r="7850" hidden="1">
      <c r="F7850" s="1" t="str">
        <f t="shared" si="1"/>
        <v/>
      </c>
      <c r="G7850" s="1" t="str">
        <f t="shared" si="2"/>
        <v/>
      </c>
      <c r="J7850" s="1" t="str">
        <f t="shared" si="3"/>
        <v/>
      </c>
      <c r="K7850" s="1" t="str">
        <f t="shared" si="4"/>
        <v/>
      </c>
    </row>
    <row r="7851" hidden="1">
      <c r="F7851" s="1" t="str">
        <f t="shared" si="1"/>
        <v/>
      </c>
      <c r="G7851" s="1" t="str">
        <f t="shared" si="2"/>
        <v/>
      </c>
      <c r="J7851" s="1" t="str">
        <f t="shared" si="3"/>
        <v/>
      </c>
      <c r="K7851" s="1" t="str">
        <f t="shared" si="4"/>
        <v/>
      </c>
    </row>
    <row r="7852" hidden="1">
      <c r="F7852" s="1" t="str">
        <f t="shared" si="1"/>
        <v/>
      </c>
      <c r="G7852" s="1" t="str">
        <f t="shared" si="2"/>
        <v/>
      </c>
      <c r="J7852" s="1" t="str">
        <f t="shared" si="3"/>
        <v/>
      </c>
      <c r="K7852" s="1" t="str">
        <f t="shared" si="4"/>
        <v/>
      </c>
    </row>
    <row r="7853" hidden="1">
      <c r="F7853" s="1" t="str">
        <f t="shared" si="1"/>
        <v/>
      </c>
      <c r="G7853" s="1" t="str">
        <f t="shared" si="2"/>
        <v/>
      </c>
      <c r="J7853" s="1" t="str">
        <f t="shared" si="3"/>
        <v/>
      </c>
      <c r="K7853" s="1" t="str">
        <f t="shared" si="4"/>
        <v/>
      </c>
    </row>
    <row r="7854" hidden="1">
      <c r="F7854" s="1" t="str">
        <f t="shared" si="1"/>
        <v/>
      </c>
      <c r="G7854" s="1" t="str">
        <f t="shared" si="2"/>
        <v/>
      </c>
      <c r="J7854" s="1" t="str">
        <f t="shared" si="3"/>
        <v/>
      </c>
      <c r="K7854" s="1" t="str">
        <f t="shared" si="4"/>
        <v/>
      </c>
    </row>
    <row r="7855" hidden="1">
      <c r="F7855" s="1" t="str">
        <f t="shared" si="1"/>
        <v/>
      </c>
      <c r="G7855" s="1" t="str">
        <f t="shared" si="2"/>
        <v/>
      </c>
      <c r="J7855" s="1" t="str">
        <f t="shared" si="3"/>
        <v/>
      </c>
      <c r="K7855" s="1" t="str">
        <f t="shared" si="4"/>
        <v/>
      </c>
    </row>
    <row r="7856" hidden="1">
      <c r="F7856" s="1" t="str">
        <f t="shared" si="1"/>
        <v/>
      </c>
      <c r="G7856" s="1" t="str">
        <f t="shared" si="2"/>
        <v/>
      </c>
      <c r="J7856" s="1" t="str">
        <f t="shared" si="3"/>
        <v/>
      </c>
      <c r="K7856" s="1" t="str">
        <f t="shared" si="4"/>
        <v/>
      </c>
    </row>
    <row r="7857" hidden="1">
      <c r="F7857" s="1" t="str">
        <f t="shared" si="1"/>
        <v/>
      </c>
      <c r="G7857" s="1" t="str">
        <f t="shared" si="2"/>
        <v/>
      </c>
      <c r="J7857" s="1" t="str">
        <f t="shared" si="3"/>
        <v/>
      </c>
      <c r="K7857" s="1" t="str">
        <f t="shared" si="4"/>
        <v/>
      </c>
    </row>
    <row r="7858" hidden="1">
      <c r="F7858" s="1" t="str">
        <f t="shared" si="1"/>
        <v/>
      </c>
      <c r="G7858" s="1" t="str">
        <f t="shared" si="2"/>
        <v/>
      </c>
      <c r="J7858" s="1" t="str">
        <f t="shared" si="3"/>
        <v/>
      </c>
      <c r="K7858" s="1" t="str">
        <f t="shared" si="4"/>
        <v/>
      </c>
    </row>
    <row r="7859" hidden="1">
      <c r="F7859" s="1" t="str">
        <f t="shared" si="1"/>
        <v/>
      </c>
      <c r="G7859" s="1" t="str">
        <f t="shared" si="2"/>
        <v/>
      </c>
      <c r="J7859" s="1" t="str">
        <f t="shared" si="3"/>
        <v/>
      </c>
      <c r="K7859" s="1" t="str">
        <f t="shared" si="4"/>
        <v/>
      </c>
    </row>
    <row r="7860" hidden="1">
      <c r="F7860" s="1" t="str">
        <f t="shared" si="1"/>
        <v/>
      </c>
      <c r="G7860" s="1" t="str">
        <f t="shared" si="2"/>
        <v/>
      </c>
      <c r="J7860" s="1" t="str">
        <f t="shared" si="3"/>
        <v/>
      </c>
      <c r="K7860" s="1" t="str">
        <f t="shared" si="4"/>
        <v/>
      </c>
    </row>
    <row r="7861" hidden="1">
      <c r="F7861" s="1" t="str">
        <f t="shared" si="1"/>
        <v/>
      </c>
      <c r="G7861" s="1" t="str">
        <f t="shared" si="2"/>
        <v/>
      </c>
      <c r="J7861" s="1" t="str">
        <f t="shared" si="3"/>
        <v/>
      </c>
      <c r="K7861" s="1" t="str">
        <f t="shared" si="4"/>
        <v/>
      </c>
    </row>
    <row r="7862" hidden="1">
      <c r="F7862" s="1" t="str">
        <f t="shared" si="1"/>
        <v/>
      </c>
      <c r="G7862" s="1" t="str">
        <f t="shared" si="2"/>
        <v/>
      </c>
      <c r="J7862" s="1" t="str">
        <f t="shared" si="3"/>
        <v/>
      </c>
      <c r="K7862" s="1" t="str">
        <f t="shared" si="4"/>
        <v/>
      </c>
    </row>
    <row r="7863" hidden="1">
      <c r="F7863" s="1" t="str">
        <f t="shared" si="1"/>
        <v/>
      </c>
      <c r="G7863" s="1" t="str">
        <f t="shared" si="2"/>
        <v/>
      </c>
      <c r="J7863" s="1" t="str">
        <f t="shared" si="3"/>
        <v/>
      </c>
      <c r="K7863" s="1" t="str">
        <f t="shared" si="4"/>
        <v/>
      </c>
    </row>
    <row r="7864" hidden="1">
      <c r="F7864" s="1" t="str">
        <f t="shared" si="1"/>
        <v/>
      </c>
      <c r="G7864" s="1" t="str">
        <f t="shared" si="2"/>
        <v/>
      </c>
      <c r="J7864" s="1" t="str">
        <f t="shared" si="3"/>
        <v/>
      </c>
      <c r="K7864" s="1" t="str">
        <f t="shared" si="4"/>
        <v/>
      </c>
    </row>
    <row r="7865" hidden="1">
      <c r="F7865" s="1" t="str">
        <f t="shared" si="1"/>
        <v/>
      </c>
      <c r="G7865" s="1" t="str">
        <f t="shared" si="2"/>
        <v/>
      </c>
      <c r="J7865" s="1" t="str">
        <f t="shared" si="3"/>
        <v/>
      </c>
      <c r="K7865" s="1" t="str">
        <f t="shared" si="4"/>
        <v/>
      </c>
    </row>
    <row r="7866" hidden="1">
      <c r="F7866" s="1" t="str">
        <f t="shared" si="1"/>
        <v/>
      </c>
      <c r="G7866" s="1" t="str">
        <f t="shared" si="2"/>
        <v/>
      </c>
      <c r="J7866" s="1" t="str">
        <f t="shared" si="3"/>
        <v/>
      </c>
      <c r="K7866" s="1" t="str">
        <f t="shared" si="4"/>
        <v/>
      </c>
    </row>
    <row r="7867" hidden="1">
      <c r="F7867" s="1" t="str">
        <f t="shared" si="1"/>
        <v/>
      </c>
      <c r="G7867" s="1" t="str">
        <f t="shared" si="2"/>
        <v/>
      </c>
      <c r="J7867" s="1" t="str">
        <f t="shared" si="3"/>
        <v/>
      </c>
      <c r="K7867" s="1" t="str">
        <f t="shared" si="4"/>
        <v/>
      </c>
    </row>
    <row r="7868" hidden="1">
      <c r="F7868" s="1" t="str">
        <f t="shared" si="1"/>
        <v/>
      </c>
      <c r="G7868" s="1" t="str">
        <f t="shared" si="2"/>
        <v/>
      </c>
      <c r="J7868" s="1" t="str">
        <f t="shared" si="3"/>
        <v/>
      </c>
      <c r="K7868" s="1" t="str">
        <f t="shared" si="4"/>
        <v/>
      </c>
    </row>
    <row r="7869" hidden="1">
      <c r="F7869" s="1" t="str">
        <f t="shared" si="1"/>
        <v/>
      </c>
      <c r="G7869" s="1" t="str">
        <f t="shared" si="2"/>
        <v/>
      </c>
      <c r="J7869" s="1" t="str">
        <f t="shared" si="3"/>
        <v/>
      </c>
      <c r="K7869" s="1" t="str">
        <f t="shared" si="4"/>
        <v/>
      </c>
    </row>
    <row r="7870" hidden="1">
      <c r="F7870" s="1" t="str">
        <f t="shared" si="1"/>
        <v/>
      </c>
      <c r="G7870" s="1" t="str">
        <f t="shared" si="2"/>
        <v/>
      </c>
      <c r="J7870" s="1" t="str">
        <f t="shared" si="3"/>
        <v/>
      </c>
      <c r="K7870" s="1" t="str">
        <f t="shared" si="4"/>
        <v/>
      </c>
    </row>
    <row r="7871" hidden="1">
      <c r="F7871" s="1" t="str">
        <f t="shared" si="1"/>
        <v/>
      </c>
      <c r="G7871" s="1" t="str">
        <f t="shared" si="2"/>
        <v/>
      </c>
      <c r="J7871" s="1" t="str">
        <f t="shared" si="3"/>
        <v/>
      </c>
      <c r="K7871" s="1" t="str">
        <f t="shared" si="4"/>
        <v/>
      </c>
    </row>
    <row r="7872" hidden="1">
      <c r="F7872" s="1" t="str">
        <f t="shared" si="1"/>
        <v/>
      </c>
      <c r="G7872" s="1" t="str">
        <f t="shared" si="2"/>
        <v/>
      </c>
      <c r="J7872" s="1" t="str">
        <f t="shared" si="3"/>
        <v/>
      </c>
      <c r="K7872" s="1" t="str">
        <f t="shared" si="4"/>
        <v/>
      </c>
    </row>
    <row r="7873" hidden="1">
      <c r="F7873" s="1" t="str">
        <f t="shared" si="1"/>
        <v/>
      </c>
      <c r="G7873" s="1" t="str">
        <f t="shared" si="2"/>
        <v/>
      </c>
      <c r="J7873" s="1" t="str">
        <f t="shared" si="3"/>
        <v/>
      </c>
      <c r="K7873" s="1" t="str">
        <f t="shared" si="4"/>
        <v/>
      </c>
    </row>
    <row r="7874" hidden="1">
      <c r="F7874" s="1" t="str">
        <f t="shared" si="1"/>
        <v/>
      </c>
      <c r="G7874" s="1" t="str">
        <f t="shared" si="2"/>
        <v/>
      </c>
      <c r="J7874" s="1" t="str">
        <f t="shared" si="3"/>
        <v/>
      </c>
      <c r="K7874" s="1" t="str">
        <f t="shared" si="4"/>
        <v/>
      </c>
    </row>
    <row r="7875" hidden="1">
      <c r="F7875" s="1" t="str">
        <f t="shared" si="1"/>
        <v/>
      </c>
      <c r="G7875" s="1" t="str">
        <f t="shared" si="2"/>
        <v/>
      </c>
      <c r="J7875" s="1" t="str">
        <f t="shared" si="3"/>
        <v/>
      </c>
      <c r="K7875" s="1" t="str">
        <f t="shared" si="4"/>
        <v/>
      </c>
    </row>
    <row r="7876" hidden="1">
      <c r="F7876" s="1" t="str">
        <f t="shared" si="1"/>
        <v/>
      </c>
      <c r="G7876" s="1" t="str">
        <f t="shared" si="2"/>
        <v/>
      </c>
      <c r="J7876" s="1" t="str">
        <f t="shared" si="3"/>
        <v/>
      </c>
      <c r="K7876" s="1" t="str">
        <f t="shared" si="4"/>
        <v/>
      </c>
    </row>
    <row r="7877" hidden="1">
      <c r="F7877" s="1" t="str">
        <f t="shared" si="1"/>
        <v/>
      </c>
      <c r="G7877" s="1" t="str">
        <f t="shared" si="2"/>
        <v/>
      </c>
      <c r="J7877" s="1" t="str">
        <f t="shared" si="3"/>
        <v/>
      </c>
      <c r="K7877" s="1" t="str">
        <f t="shared" si="4"/>
        <v/>
      </c>
    </row>
    <row r="7878" hidden="1">
      <c r="F7878" s="1" t="str">
        <f t="shared" si="1"/>
        <v/>
      </c>
      <c r="G7878" s="1" t="str">
        <f t="shared" si="2"/>
        <v/>
      </c>
      <c r="J7878" s="1" t="str">
        <f t="shared" si="3"/>
        <v/>
      </c>
      <c r="K7878" s="1" t="str">
        <f t="shared" si="4"/>
        <v/>
      </c>
    </row>
    <row r="7879" hidden="1">
      <c r="F7879" s="1" t="str">
        <f t="shared" si="1"/>
        <v/>
      </c>
      <c r="G7879" s="1" t="str">
        <f t="shared" si="2"/>
        <v/>
      </c>
      <c r="J7879" s="1" t="str">
        <f t="shared" si="3"/>
        <v/>
      </c>
      <c r="K7879" s="1" t="str">
        <f t="shared" si="4"/>
        <v/>
      </c>
    </row>
    <row r="7880" hidden="1">
      <c r="F7880" s="1" t="str">
        <f t="shared" si="1"/>
        <v/>
      </c>
      <c r="G7880" s="1" t="str">
        <f t="shared" si="2"/>
        <v/>
      </c>
      <c r="J7880" s="1" t="str">
        <f t="shared" si="3"/>
        <v/>
      </c>
      <c r="K7880" s="1" t="str">
        <f t="shared" si="4"/>
        <v/>
      </c>
    </row>
    <row r="7881" hidden="1">
      <c r="F7881" s="1" t="str">
        <f t="shared" si="1"/>
        <v/>
      </c>
      <c r="G7881" s="1" t="str">
        <f t="shared" si="2"/>
        <v/>
      </c>
      <c r="J7881" s="1" t="str">
        <f t="shared" si="3"/>
        <v/>
      </c>
      <c r="K7881" s="1" t="str">
        <f t="shared" si="4"/>
        <v/>
      </c>
    </row>
    <row r="7882" hidden="1">
      <c r="F7882" s="1" t="str">
        <f t="shared" si="1"/>
        <v/>
      </c>
      <c r="G7882" s="1" t="str">
        <f t="shared" si="2"/>
        <v/>
      </c>
      <c r="J7882" s="1" t="str">
        <f t="shared" si="3"/>
        <v/>
      </c>
      <c r="K7882" s="1" t="str">
        <f t="shared" si="4"/>
        <v/>
      </c>
    </row>
    <row r="7883" hidden="1">
      <c r="F7883" s="1" t="str">
        <f t="shared" si="1"/>
        <v/>
      </c>
      <c r="G7883" s="1" t="str">
        <f t="shared" si="2"/>
        <v/>
      </c>
      <c r="J7883" s="1" t="str">
        <f t="shared" si="3"/>
        <v/>
      </c>
      <c r="K7883" s="1" t="str">
        <f t="shared" si="4"/>
        <v/>
      </c>
    </row>
    <row r="7884" hidden="1">
      <c r="F7884" s="1" t="str">
        <f t="shared" si="1"/>
        <v/>
      </c>
      <c r="G7884" s="1" t="str">
        <f t="shared" si="2"/>
        <v/>
      </c>
      <c r="J7884" s="1" t="str">
        <f t="shared" si="3"/>
        <v/>
      </c>
      <c r="K7884" s="1" t="str">
        <f t="shared" si="4"/>
        <v/>
      </c>
    </row>
    <row r="7885" hidden="1">
      <c r="F7885" s="1" t="str">
        <f t="shared" si="1"/>
        <v/>
      </c>
      <c r="G7885" s="1" t="str">
        <f t="shared" si="2"/>
        <v/>
      </c>
      <c r="J7885" s="1" t="str">
        <f t="shared" si="3"/>
        <v/>
      </c>
      <c r="K7885" s="1" t="str">
        <f t="shared" si="4"/>
        <v/>
      </c>
    </row>
    <row r="7886" hidden="1">
      <c r="F7886" s="1" t="str">
        <f t="shared" si="1"/>
        <v/>
      </c>
      <c r="G7886" s="1" t="str">
        <f t="shared" si="2"/>
        <v/>
      </c>
      <c r="J7886" s="1" t="str">
        <f t="shared" si="3"/>
        <v/>
      </c>
      <c r="K7886" s="1" t="str">
        <f t="shared" si="4"/>
        <v/>
      </c>
    </row>
    <row r="7887" hidden="1">
      <c r="F7887" s="1" t="str">
        <f t="shared" si="1"/>
        <v/>
      </c>
      <c r="G7887" s="1" t="str">
        <f t="shared" si="2"/>
        <v/>
      </c>
      <c r="J7887" s="1" t="str">
        <f t="shared" si="3"/>
        <v/>
      </c>
      <c r="K7887" s="1" t="str">
        <f t="shared" si="4"/>
        <v/>
      </c>
    </row>
    <row r="7888" hidden="1">
      <c r="F7888" s="1" t="str">
        <f t="shared" si="1"/>
        <v/>
      </c>
      <c r="G7888" s="1" t="str">
        <f t="shared" si="2"/>
        <v/>
      </c>
      <c r="J7888" s="1" t="str">
        <f t="shared" si="3"/>
        <v/>
      </c>
      <c r="K7888" s="1" t="str">
        <f t="shared" si="4"/>
        <v/>
      </c>
    </row>
    <row r="7889" hidden="1">
      <c r="F7889" s="1" t="str">
        <f t="shared" si="1"/>
        <v/>
      </c>
      <c r="G7889" s="1" t="str">
        <f t="shared" si="2"/>
        <v/>
      </c>
      <c r="J7889" s="1" t="str">
        <f t="shared" si="3"/>
        <v/>
      </c>
      <c r="K7889" s="1" t="str">
        <f t="shared" si="4"/>
        <v/>
      </c>
    </row>
    <row r="7890" hidden="1">
      <c r="F7890" s="1" t="str">
        <f t="shared" si="1"/>
        <v/>
      </c>
      <c r="G7890" s="1" t="str">
        <f t="shared" si="2"/>
        <v/>
      </c>
      <c r="J7890" s="1" t="str">
        <f t="shared" si="3"/>
        <v/>
      </c>
      <c r="K7890" s="1" t="str">
        <f t="shared" si="4"/>
        <v/>
      </c>
    </row>
    <row r="7891" hidden="1">
      <c r="F7891" s="1" t="str">
        <f t="shared" si="1"/>
        <v/>
      </c>
      <c r="G7891" s="1" t="str">
        <f t="shared" si="2"/>
        <v/>
      </c>
      <c r="J7891" s="1" t="str">
        <f t="shared" si="3"/>
        <v/>
      </c>
      <c r="K7891" s="1" t="str">
        <f t="shared" si="4"/>
        <v/>
      </c>
    </row>
    <row r="7892" hidden="1">
      <c r="F7892" s="1" t="str">
        <f t="shared" si="1"/>
        <v/>
      </c>
      <c r="G7892" s="1" t="str">
        <f t="shared" si="2"/>
        <v/>
      </c>
      <c r="J7892" s="1" t="str">
        <f t="shared" si="3"/>
        <v/>
      </c>
      <c r="K7892" s="1" t="str">
        <f t="shared" si="4"/>
        <v/>
      </c>
    </row>
    <row r="7893" hidden="1">
      <c r="F7893" s="1" t="str">
        <f t="shared" si="1"/>
        <v/>
      </c>
      <c r="G7893" s="1" t="str">
        <f t="shared" si="2"/>
        <v/>
      </c>
      <c r="J7893" s="1" t="str">
        <f t="shared" si="3"/>
        <v/>
      </c>
      <c r="K7893" s="1" t="str">
        <f t="shared" si="4"/>
        <v/>
      </c>
    </row>
    <row r="7894" hidden="1">
      <c r="F7894" s="1" t="str">
        <f t="shared" si="1"/>
        <v/>
      </c>
      <c r="G7894" s="1" t="str">
        <f t="shared" si="2"/>
        <v/>
      </c>
      <c r="J7894" s="1" t="str">
        <f t="shared" si="3"/>
        <v/>
      </c>
      <c r="K7894" s="1" t="str">
        <f t="shared" si="4"/>
        <v/>
      </c>
    </row>
    <row r="7895" hidden="1">
      <c r="F7895" s="1" t="str">
        <f t="shared" si="1"/>
        <v/>
      </c>
      <c r="G7895" s="1" t="str">
        <f t="shared" si="2"/>
        <v/>
      </c>
      <c r="J7895" s="1" t="str">
        <f t="shared" si="3"/>
        <v/>
      </c>
      <c r="K7895" s="1" t="str">
        <f t="shared" si="4"/>
        <v/>
      </c>
    </row>
    <row r="7896" hidden="1">
      <c r="F7896" s="1" t="str">
        <f t="shared" si="1"/>
        <v/>
      </c>
      <c r="G7896" s="1" t="str">
        <f t="shared" si="2"/>
        <v/>
      </c>
      <c r="J7896" s="1" t="str">
        <f t="shared" si="3"/>
        <v/>
      </c>
      <c r="K7896" s="1" t="str">
        <f t="shared" si="4"/>
        <v/>
      </c>
    </row>
    <row r="7897" hidden="1">
      <c r="F7897" s="1" t="str">
        <f t="shared" si="1"/>
        <v/>
      </c>
      <c r="G7897" s="1" t="str">
        <f t="shared" si="2"/>
        <v/>
      </c>
      <c r="J7897" s="1" t="str">
        <f t="shared" si="3"/>
        <v/>
      </c>
      <c r="K7897" s="1" t="str">
        <f t="shared" si="4"/>
        <v/>
      </c>
    </row>
    <row r="7898" hidden="1">
      <c r="F7898" s="1" t="str">
        <f t="shared" si="1"/>
        <v/>
      </c>
      <c r="G7898" s="1" t="str">
        <f t="shared" si="2"/>
        <v/>
      </c>
      <c r="J7898" s="1" t="str">
        <f t="shared" si="3"/>
        <v/>
      </c>
      <c r="K7898" s="1" t="str">
        <f t="shared" si="4"/>
        <v/>
      </c>
    </row>
    <row r="7899" hidden="1">
      <c r="F7899" s="1" t="str">
        <f t="shared" si="1"/>
        <v/>
      </c>
      <c r="G7899" s="1" t="str">
        <f t="shared" si="2"/>
        <v/>
      </c>
      <c r="J7899" s="1" t="str">
        <f t="shared" si="3"/>
        <v/>
      </c>
      <c r="K7899" s="1" t="str">
        <f t="shared" si="4"/>
        <v/>
      </c>
    </row>
    <row r="7900" hidden="1">
      <c r="F7900" s="1" t="str">
        <f t="shared" si="1"/>
        <v/>
      </c>
      <c r="G7900" s="1" t="str">
        <f t="shared" si="2"/>
        <v/>
      </c>
      <c r="J7900" s="1" t="str">
        <f t="shared" si="3"/>
        <v/>
      </c>
      <c r="K7900" s="1" t="str">
        <f t="shared" si="4"/>
        <v/>
      </c>
    </row>
    <row r="7901" hidden="1">
      <c r="F7901" s="1" t="str">
        <f t="shared" si="1"/>
        <v/>
      </c>
      <c r="G7901" s="1" t="str">
        <f t="shared" si="2"/>
        <v/>
      </c>
      <c r="J7901" s="1" t="str">
        <f t="shared" si="3"/>
        <v/>
      </c>
      <c r="K7901" s="1" t="str">
        <f t="shared" si="4"/>
        <v/>
      </c>
    </row>
    <row r="7902" hidden="1">
      <c r="F7902" s="1" t="str">
        <f t="shared" si="1"/>
        <v/>
      </c>
      <c r="G7902" s="1" t="str">
        <f t="shared" si="2"/>
        <v/>
      </c>
      <c r="J7902" s="1" t="str">
        <f t="shared" si="3"/>
        <v/>
      </c>
      <c r="K7902" s="1" t="str">
        <f t="shared" si="4"/>
        <v/>
      </c>
    </row>
    <row r="7903" hidden="1">
      <c r="F7903" s="1" t="str">
        <f t="shared" si="1"/>
        <v/>
      </c>
      <c r="G7903" s="1" t="str">
        <f t="shared" si="2"/>
        <v/>
      </c>
      <c r="J7903" s="1" t="str">
        <f t="shared" si="3"/>
        <v/>
      </c>
      <c r="K7903" s="1" t="str">
        <f t="shared" si="4"/>
        <v/>
      </c>
    </row>
    <row r="7904" hidden="1">
      <c r="F7904" s="1" t="str">
        <f t="shared" si="1"/>
        <v/>
      </c>
      <c r="G7904" s="1" t="str">
        <f t="shared" si="2"/>
        <v/>
      </c>
      <c r="J7904" s="1" t="str">
        <f t="shared" si="3"/>
        <v/>
      </c>
      <c r="K7904" s="1" t="str">
        <f t="shared" si="4"/>
        <v/>
      </c>
    </row>
    <row r="7905" hidden="1">
      <c r="F7905" s="1" t="str">
        <f t="shared" si="1"/>
        <v/>
      </c>
      <c r="G7905" s="1" t="str">
        <f t="shared" si="2"/>
        <v/>
      </c>
      <c r="J7905" s="1" t="str">
        <f t="shared" si="3"/>
        <v/>
      </c>
      <c r="K7905" s="1" t="str">
        <f t="shared" si="4"/>
        <v/>
      </c>
    </row>
    <row r="7906" hidden="1">
      <c r="F7906" s="1" t="str">
        <f t="shared" si="1"/>
        <v/>
      </c>
      <c r="G7906" s="1" t="str">
        <f t="shared" si="2"/>
        <v/>
      </c>
      <c r="J7906" s="1" t="str">
        <f t="shared" si="3"/>
        <v/>
      </c>
      <c r="K7906" s="1" t="str">
        <f t="shared" si="4"/>
        <v/>
      </c>
    </row>
    <row r="7907" hidden="1">
      <c r="F7907" s="1" t="str">
        <f t="shared" si="1"/>
        <v/>
      </c>
      <c r="G7907" s="1" t="str">
        <f t="shared" si="2"/>
        <v/>
      </c>
      <c r="J7907" s="1" t="str">
        <f t="shared" si="3"/>
        <v/>
      </c>
      <c r="K7907" s="1" t="str">
        <f t="shared" si="4"/>
        <v/>
      </c>
    </row>
    <row r="7908" hidden="1">
      <c r="F7908" s="1" t="str">
        <f t="shared" si="1"/>
        <v/>
      </c>
      <c r="G7908" s="1" t="str">
        <f t="shared" si="2"/>
        <v/>
      </c>
      <c r="J7908" s="1" t="str">
        <f t="shared" si="3"/>
        <v/>
      </c>
      <c r="K7908" s="1" t="str">
        <f t="shared" si="4"/>
        <v/>
      </c>
    </row>
    <row r="7909" hidden="1">
      <c r="F7909" s="1" t="str">
        <f t="shared" si="1"/>
        <v/>
      </c>
      <c r="G7909" s="1" t="str">
        <f t="shared" si="2"/>
        <v/>
      </c>
      <c r="J7909" s="1" t="str">
        <f t="shared" si="3"/>
        <v/>
      </c>
      <c r="K7909" s="1" t="str">
        <f t="shared" si="4"/>
        <v/>
      </c>
    </row>
    <row r="7910" hidden="1">
      <c r="F7910" s="1" t="str">
        <f t="shared" si="1"/>
        <v/>
      </c>
      <c r="G7910" s="1" t="str">
        <f t="shared" si="2"/>
        <v/>
      </c>
      <c r="J7910" s="1" t="str">
        <f t="shared" si="3"/>
        <v/>
      </c>
      <c r="K7910" s="1" t="str">
        <f t="shared" si="4"/>
        <v/>
      </c>
    </row>
    <row r="7911" hidden="1">
      <c r="F7911" s="1" t="str">
        <f t="shared" si="1"/>
        <v/>
      </c>
      <c r="G7911" s="1" t="str">
        <f t="shared" si="2"/>
        <v/>
      </c>
      <c r="J7911" s="1" t="str">
        <f t="shared" si="3"/>
        <v/>
      </c>
      <c r="K7911" s="1" t="str">
        <f t="shared" si="4"/>
        <v/>
      </c>
    </row>
    <row r="7912" hidden="1">
      <c r="F7912" s="1" t="str">
        <f t="shared" si="1"/>
        <v/>
      </c>
      <c r="G7912" s="1" t="str">
        <f t="shared" si="2"/>
        <v/>
      </c>
      <c r="J7912" s="1" t="str">
        <f t="shared" si="3"/>
        <v/>
      </c>
      <c r="K7912" s="1" t="str">
        <f t="shared" si="4"/>
        <v/>
      </c>
    </row>
    <row r="7913" hidden="1">
      <c r="F7913" s="1" t="str">
        <f t="shared" si="1"/>
        <v/>
      </c>
      <c r="G7913" s="1" t="str">
        <f t="shared" si="2"/>
        <v/>
      </c>
      <c r="J7913" s="1" t="str">
        <f t="shared" si="3"/>
        <v/>
      </c>
      <c r="K7913" s="1" t="str">
        <f t="shared" si="4"/>
        <v/>
      </c>
    </row>
    <row r="7914" hidden="1">
      <c r="F7914" s="1" t="str">
        <f t="shared" si="1"/>
        <v/>
      </c>
      <c r="G7914" s="1" t="str">
        <f t="shared" si="2"/>
        <v/>
      </c>
      <c r="J7914" s="1" t="str">
        <f t="shared" si="3"/>
        <v/>
      </c>
      <c r="K7914" s="1" t="str">
        <f t="shared" si="4"/>
        <v/>
      </c>
    </row>
    <row r="7915" hidden="1">
      <c r="F7915" s="1" t="str">
        <f t="shared" si="1"/>
        <v/>
      </c>
      <c r="G7915" s="1" t="str">
        <f t="shared" si="2"/>
        <v/>
      </c>
      <c r="J7915" s="1" t="str">
        <f t="shared" si="3"/>
        <v/>
      </c>
      <c r="K7915" s="1" t="str">
        <f t="shared" si="4"/>
        <v/>
      </c>
    </row>
    <row r="7916" hidden="1">
      <c r="F7916" s="1" t="str">
        <f t="shared" si="1"/>
        <v/>
      </c>
      <c r="G7916" s="1" t="str">
        <f t="shared" si="2"/>
        <v/>
      </c>
      <c r="J7916" s="1" t="str">
        <f t="shared" si="3"/>
        <v/>
      </c>
      <c r="K7916" s="1" t="str">
        <f t="shared" si="4"/>
        <v/>
      </c>
    </row>
    <row r="7917" hidden="1">
      <c r="F7917" s="1" t="str">
        <f t="shared" si="1"/>
        <v/>
      </c>
      <c r="G7917" s="1" t="str">
        <f t="shared" si="2"/>
        <v/>
      </c>
      <c r="J7917" s="1" t="str">
        <f t="shared" si="3"/>
        <v/>
      </c>
      <c r="K7917" s="1" t="str">
        <f t="shared" si="4"/>
        <v/>
      </c>
    </row>
    <row r="7918" hidden="1">
      <c r="F7918" s="1" t="str">
        <f t="shared" si="1"/>
        <v/>
      </c>
      <c r="G7918" s="1" t="str">
        <f t="shared" si="2"/>
        <v/>
      </c>
      <c r="J7918" s="1" t="str">
        <f t="shared" si="3"/>
        <v/>
      </c>
      <c r="K7918" s="1" t="str">
        <f t="shared" si="4"/>
        <v/>
      </c>
    </row>
    <row r="7919" hidden="1">
      <c r="F7919" s="1" t="str">
        <f t="shared" si="1"/>
        <v/>
      </c>
      <c r="G7919" s="1" t="str">
        <f t="shared" si="2"/>
        <v/>
      </c>
      <c r="J7919" s="1" t="str">
        <f t="shared" si="3"/>
        <v/>
      </c>
      <c r="K7919" s="1" t="str">
        <f t="shared" si="4"/>
        <v/>
      </c>
    </row>
    <row r="7920" hidden="1">
      <c r="F7920" s="1" t="str">
        <f t="shared" si="1"/>
        <v/>
      </c>
      <c r="G7920" s="1" t="str">
        <f t="shared" si="2"/>
        <v/>
      </c>
      <c r="J7920" s="1" t="str">
        <f t="shared" si="3"/>
        <v/>
      </c>
      <c r="K7920" s="1" t="str">
        <f t="shared" si="4"/>
        <v/>
      </c>
    </row>
    <row r="7921" hidden="1">
      <c r="F7921" s="1" t="str">
        <f t="shared" si="1"/>
        <v/>
      </c>
      <c r="G7921" s="1" t="str">
        <f t="shared" si="2"/>
        <v/>
      </c>
      <c r="J7921" s="1" t="str">
        <f t="shared" si="3"/>
        <v/>
      </c>
      <c r="K7921" s="1" t="str">
        <f t="shared" si="4"/>
        <v/>
      </c>
    </row>
    <row r="7922" hidden="1">
      <c r="F7922" s="1" t="str">
        <f t="shared" si="1"/>
        <v/>
      </c>
      <c r="G7922" s="1" t="str">
        <f t="shared" si="2"/>
        <v/>
      </c>
      <c r="J7922" s="1" t="str">
        <f t="shared" si="3"/>
        <v/>
      </c>
      <c r="K7922" s="1" t="str">
        <f t="shared" si="4"/>
        <v/>
      </c>
    </row>
    <row r="7923" hidden="1">
      <c r="F7923" s="1" t="str">
        <f t="shared" si="1"/>
        <v/>
      </c>
      <c r="G7923" s="1" t="str">
        <f t="shared" si="2"/>
        <v/>
      </c>
      <c r="J7923" s="1" t="str">
        <f t="shared" si="3"/>
        <v/>
      </c>
      <c r="K7923" s="1" t="str">
        <f t="shared" si="4"/>
        <v/>
      </c>
    </row>
    <row r="7924" hidden="1">
      <c r="F7924" s="1" t="str">
        <f t="shared" si="1"/>
        <v/>
      </c>
      <c r="G7924" s="1" t="str">
        <f t="shared" si="2"/>
        <v/>
      </c>
      <c r="J7924" s="1" t="str">
        <f t="shared" si="3"/>
        <v/>
      </c>
      <c r="K7924" s="1" t="str">
        <f t="shared" si="4"/>
        <v/>
      </c>
    </row>
    <row r="7925" hidden="1">
      <c r="F7925" s="1" t="str">
        <f t="shared" si="1"/>
        <v/>
      </c>
      <c r="G7925" s="1" t="str">
        <f t="shared" si="2"/>
        <v/>
      </c>
      <c r="J7925" s="1" t="str">
        <f t="shared" si="3"/>
        <v/>
      </c>
      <c r="K7925" s="1" t="str">
        <f t="shared" si="4"/>
        <v/>
      </c>
    </row>
    <row r="7926" hidden="1">
      <c r="F7926" s="1" t="str">
        <f t="shared" si="1"/>
        <v/>
      </c>
      <c r="G7926" s="1" t="str">
        <f t="shared" si="2"/>
        <v/>
      </c>
      <c r="J7926" s="1" t="str">
        <f t="shared" si="3"/>
        <v/>
      </c>
      <c r="K7926" s="1" t="str">
        <f t="shared" si="4"/>
        <v/>
      </c>
    </row>
    <row r="7927" hidden="1">
      <c r="F7927" s="1" t="str">
        <f t="shared" si="1"/>
        <v/>
      </c>
      <c r="G7927" s="1" t="str">
        <f t="shared" si="2"/>
        <v/>
      </c>
      <c r="J7927" s="1" t="str">
        <f t="shared" si="3"/>
        <v/>
      </c>
      <c r="K7927" s="1" t="str">
        <f t="shared" si="4"/>
        <v/>
      </c>
    </row>
    <row r="7928" hidden="1">
      <c r="F7928" s="1" t="str">
        <f t="shared" si="1"/>
        <v/>
      </c>
      <c r="G7928" s="1" t="str">
        <f t="shared" si="2"/>
        <v/>
      </c>
      <c r="J7928" s="1" t="str">
        <f t="shared" si="3"/>
        <v/>
      </c>
      <c r="K7928" s="1" t="str">
        <f t="shared" si="4"/>
        <v/>
      </c>
    </row>
    <row r="7929" hidden="1">
      <c r="F7929" s="1" t="str">
        <f t="shared" si="1"/>
        <v/>
      </c>
      <c r="G7929" s="1" t="str">
        <f t="shared" si="2"/>
        <v/>
      </c>
      <c r="J7929" s="1" t="str">
        <f t="shared" si="3"/>
        <v/>
      </c>
      <c r="K7929" s="1" t="str">
        <f t="shared" si="4"/>
        <v/>
      </c>
    </row>
    <row r="7930" hidden="1">
      <c r="F7930" s="1" t="str">
        <f t="shared" si="1"/>
        <v/>
      </c>
      <c r="G7930" s="1" t="str">
        <f t="shared" si="2"/>
        <v/>
      </c>
      <c r="J7930" s="1" t="str">
        <f t="shared" si="3"/>
        <v/>
      </c>
      <c r="K7930" s="1" t="str">
        <f t="shared" si="4"/>
        <v/>
      </c>
    </row>
    <row r="7931" hidden="1">
      <c r="F7931" s="1" t="str">
        <f t="shared" si="1"/>
        <v/>
      </c>
      <c r="G7931" s="1" t="str">
        <f t="shared" si="2"/>
        <v/>
      </c>
      <c r="J7931" s="1" t="str">
        <f t="shared" si="3"/>
        <v/>
      </c>
      <c r="K7931" s="1" t="str">
        <f t="shared" si="4"/>
        <v/>
      </c>
    </row>
    <row r="7932" hidden="1">
      <c r="F7932" s="1" t="str">
        <f t="shared" si="1"/>
        <v/>
      </c>
      <c r="G7932" s="1" t="str">
        <f t="shared" si="2"/>
        <v/>
      </c>
      <c r="J7932" s="1" t="str">
        <f t="shared" si="3"/>
        <v/>
      </c>
      <c r="K7932" s="1" t="str">
        <f t="shared" si="4"/>
        <v/>
      </c>
    </row>
    <row r="7933" hidden="1">
      <c r="F7933" s="1" t="str">
        <f t="shared" si="1"/>
        <v/>
      </c>
      <c r="G7933" s="1" t="str">
        <f t="shared" si="2"/>
        <v/>
      </c>
      <c r="J7933" s="1" t="str">
        <f t="shared" si="3"/>
        <v/>
      </c>
      <c r="K7933" s="1" t="str">
        <f t="shared" si="4"/>
        <v/>
      </c>
    </row>
    <row r="7934" hidden="1">
      <c r="F7934" s="1" t="str">
        <f t="shared" si="1"/>
        <v/>
      </c>
      <c r="G7934" s="1" t="str">
        <f t="shared" si="2"/>
        <v/>
      </c>
      <c r="J7934" s="1" t="str">
        <f t="shared" si="3"/>
        <v/>
      </c>
      <c r="K7934" s="1" t="str">
        <f t="shared" si="4"/>
        <v/>
      </c>
    </row>
    <row r="7935" hidden="1">
      <c r="F7935" s="1" t="str">
        <f t="shared" si="1"/>
        <v/>
      </c>
      <c r="G7935" s="1" t="str">
        <f t="shared" si="2"/>
        <v/>
      </c>
      <c r="J7935" s="1" t="str">
        <f t="shared" si="3"/>
        <v/>
      </c>
      <c r="K7935" s="1" t="str">
        <f t="shared" si="4"/>
        <v/>
      </c>
    </row>
    <row r="7936" hidden="1">
      <c r="F7936" s="1" t="str">
        <f t="shared" si="1"/>
        <v/>
      </c>
      <c r="G7936" s="1" t="str">
        <f t="shared" si="2"/>
        <v/>
      </c>
      <c r="J7936" s="1" t="str">
        <f t="shared" si="3"/>
        <v/>
      </c>
      <c r="K7936" s="1" t="str">
        <f t="shared" si="4"/>
        <v/>
      </c>
    </row>
    <row r="7937" hidden="1">
      <c r="F7937" s="1" t="str">
        <f t="shared" si="1"/>
        <v/>
      </c>
      <c r="G7937" s="1" t="str">
        <f t="shared" si="2"/>
        <v/>
      </c>
      <c r="J7937" s="1" t="str">
        <f t="shared" si="3"/>
        <v/>
      </c>
      <c r="K7937" s="1" t="str">
        <f t="shared" si="4"/>
        <v/>
      </c>
    </row>
    <row r="7938" hidden="1">
      <c r="F7938" s="1" t="str">
        <f t="shared" si="1"/>
        <v/>
      </c>
      <c r="G7938" s="1" t="str">
        <f t="shared" si="2"/>
        <v/>
      </c>
      <c r="J7938" s="1" t="str">
        <f t="shared" si="3"/>
        <v/>
      </c>
      <c r="K7938" s="1" t="str">
        <f t="shared" si="4"/>
        <v/>
      </c>
    </row>
    <row r="7939" hidden="1">
      <c r="F7939" s="1" t="str">
        <f t="shared" si="1"/>
        <v/>
      </c>
      <c r="G7939" s="1" t="str">
        <f t="shared" si="2"/>
        <v/>
      </c>
      <c r="J7939" s="1" t="str">
        <f t="shared" si="3"/>
        <v/>
      </c>
      <c r="K7939" s="1" t="str">
        <f t="shared" si="4"/>
        <v/>
      </c>
    </row>
    <row r="7940" hidden="1">
      <c r="F7940" s="1" t="str">
        <f t="shared" si="1"/>
        <v/>
      </c>
      <c r="G7940" s="1" t="str">
        <f t="shared" si="2"/>
        <v/>
      </c>
      <c r="J7940" s="1" t="str">
        <f t="shared" si="3"/>
        <v/>
      </c>
      <c r="K7940" s="1" t="str">
        <f t="shared" si="4"/>
        <v/>
      </c>
    </row>
    <row r="7941" hidden="1">
      <c r="F7941" s="1" t="str">
        <f t="shared" si="1"/>
        <v/>
      </c>
      <c r="G7941" s="1" t="str">
        <f t="shared" si="2"/>
        <v/>
      </c>
      <c r="J7941" s="1" t="str">
        <f t="shared" si="3"/>
        <v/>
      </c>
      <c r="K7941" s="1" t="str">
        <f t="shared" si="4"/>
        <v/>
      </c>
    </row>
    <row r="7942" hidden="1">
      <c r="F7942" s="1" t="str">
        <f t="shared" si="1"/>
        <v/>
      </c>
      <c r="G7942" s="1" t="str">
        <f t="shared" si="2"/>
        <v/>
      </c>
      <c r="J7942" s="1" t="str">
        <f t="shared" si="3"/>
        <v/>
      </c>
      <c r="K7942" s="1" t="str">
        <f t="shared" si="4"/>
        <v/>
      </c>
    </row>
    <row r="7943" hidden="1">
      <c r="F7943" s="1" t="str">
        <f t="shared" si="1"/>
        <v/>
      </c>
      <c r="G7943" s="1" t="str">
        <f t="shared" si="2"/>
        <v/>
      </c>
      <c r="J7943" s="1" t="str">
        <f t="shared" si="3"/>
        <v/>
      </c>
      <c r="K7943" s="1" t="str">
        <f t="shared" si="4"/>
        <v/>
      </c>
    </row>
    <row r="7944" hidden="1">
      <c r="F7944" s="1" t="str">
        <f t="shared" si="1"/>
        <v/>
      </c>
      <c r="G7944" s="1" t="str">
        <f t="shared" si="2"/>
        <v/>
      </c>
      <c r="J7944" s="1" t="str">
        <f t="shared" si="3"/>
        <v/>
      </c>
      <c r="K7944" s="1" t="str">
        <f t="shared" si="4"/>
        <v/>
      </c>
    </row>
    <row r="7945" hidden="1">
      <c r="F7945" s="1" t="str">
        <f t="shared" si="1"/>
        <v/>
      </c>
      <c r="G7945" s="1" t="str">
        <f t="shared" si="2"/>
        <v/>
      </c>
      <c r="J7945" s="1" t="str">
        <f t="shared" si="3"/>
        <v/>
      </c>
      <c r="K7945" s="1" t="str">
        <f t="shared" si="4"/>
        <v/>
      </c>
    </row>
    <row r="7946" hidden="1">
      <c r="F7946" s="1" t="str">
        <f t="shared" si="1"/>
        <v/>
      </c>
      <c r="G7946" s="1" t="str">
        <f t="shared" si="2"/>
        <v/>
      </c>
      <c r="J7946" s="1" t="str">
        <f t="shared" si="3"/>
        <v/>
      </c>
      <c r="K7946" s="1" t="str">
        <f t="shared" si="4"/>
        <v/>
      </c>
    </row>
    <row r="7947" hidden="1">
      <c r="F7947" s="1" t="str">
        <f t="shared" si="1"/>
        <v/>
      </c>
      <c r="G7947" s="1" t="str">
        <f t="shared" si="2"/>
        <v/>
      </c>
      <c r="J7947" s="1" t="str">
        <f t="shared" si="3"/>
        <v/>
      </c>
      <c r="K7947" s="1" t="str">
        <f t="shared" si="4"/>
        <v/>
      </c>
    </row>
    <row r="7948" hidden="1">
      <c r="F7948" s="1" t="str">
        <f t="shared" si="1"/>
        <v/>
      </c>
      <c r="G7948" s="1" t="str">
        <f t="shared" si="2"/>
        <v/>
      </c>
      <c r="J7948" s="1" t="str">
        <f t="shared" si="3"/>
        <v/>
      </c>
      <c r="K7948" s="1" t="str">
        <f t="shared" si="4"/>
        <v/>
      </c>
    </row>
    <row r="7949" hidden="1">
      <c r="F7949" s="1" t="str">
        <f t="shared" si="1"/>
        <v/>
      </c>
      <c r="G7949" s="1" t="str">
        <f t="shared" si="2"/>
        <v/>
      </c>
      <c r="J7949" s="1" t="str">
        <f t="shared" si="3"/>
        <v/>
      </c>
      <c r="K7949" s="1" t="str">
        <f t="shared" si="4"/>
        <v/>
      </c>
    </row>
    <row r="7950" hidden="1">
      <c r="F7950" s="1" t="str">
        <f t="shared" si="1"/>
        <v/>
      </c>
      <c r="G7950" s="1" t="str">
        <f t="shared" si="2"/>
        <v/>
      </c>
      <c r="J7950" s="1" t="str">
        <f t="shared" si="3"/>
        <v/>
      </c>
      <c r="K7950" s="1" t="str">
        <f t="shared" si="4"/>
        <v/>
      </c>
    </row>
    <row r="7951" hidden="1">
      <c r="F7951" s="1" t="str">
        <f t="shared" si="1"/>
        <v/>
      </c>
      <c r="G7951" s="1" t="str">
        <f t="shared" si="2"/>
        <v/>
      </c>
      <c r="J7951" s="1" t="str">
        <f t="shared" si="3"/>
        <v/>
      </c>
      <c r="K7951" s="1" t="str">
        <f t="shared" si="4"/>
        <v/>
      </c>
    </row>
    <row r="7952" hidden="1">
      <c r="F7952" s="1" t="str">
        <f t="shared" si="1"/>
        <v/>
      </c>
      <c r="G7952" s="1" t="str">
        <f t="shared" si="2"/>
        <v/>
      </c>
      <c r="J7952" s="1" t="str">
        <f t="shared" si="3"/>
        <v/>
      </c>
      <c r="K7952" s="1" t="str">
        <f t="shared" si="4"/>
        <v/>
      </c>
    </row>
    <row r="7953" hidden="1">
      <c r="F7953" s="1" t="str">
        <f t="shared" si="1"/>
        <v/>
      </c>
      <c r="G7953" s="1" t="str">
        <f t="shared" si="2"/>
        <v/>
      </c>
      <c r="J7953" s="1" t="str">
        <f t="shared" si="3"/>
        <v/>
      </c>
      <c r="K7953" s="1" t="str">
        <f t="shared" si="4"/>
        <v/>
      </c>
    </row>
    <row r="7954" hidden="1">
      <c r="F7954" s="1" t="str">
        <f t="shared" si="1"/>
        <v/>
      </c>
      <c r="G7954" s="1" t="str">
        <f t="shared" si="2"/>
        <v/>
      </c>
      <c r="J7954" s="1" t="str">
        <f t="shared" si="3"/>
        <v/>
      </c>
      <c r="K7954" s="1" t="str">
        <f t="shared" si="4"/>
        <v/>
      </c>
    </row>
    <row r="7955" hidden="1">
      <c r="F7955" s="1" t="str">
        <f t="shared" si="1"/>
        <v/>
      </c>
      <c r="G7955" s="1" t="str">
        <f t="shared" si="2"/>
        <v/>
      </c>
      <c r="J7955" s="1" t="str">
        <f t="shared" si="3"/>
        <v/>
      </c>
      <c r="K7955" s="1" t="str">
        <f t="shared" si="4"/>
        <v/>
      </c>
    </row>
    <row r="7956" hidden="1">
      <c r="F7956" s="1" t="str">
        <f t="shared" si="1"/>
        <v/>
      </c>
      <c r="G7956" s="1" t="str">
        <f t="shared" si="2"/>
        <v/>
      </c>
      <c r="J7956" s="1" t="str">
        <f t="shared" si="3"/>
        <v/>
      </c>
      <c r="K7956" s="1" t="str">
        <f t="shared" si="4"/>
        <v/>
      </c>
    </row>
    <row r="7957" hidden="1">
      <c r="F7957" s="1" t="str">
        <f t="shared" si="1"/>
        <v/>
      </c>
      <c r="G7957" s="1" t="str">
        <f t="shared" si="2"/>
        <v/>
      </c>
      <c r="J7957" s="1" t="str">
        <f t="shared" si="3"/>
        <v/>
      </c>
      <c r="K7957" s="1" t="str">
        <f t="shared" si="4"/>
        <v/>
      </c>
    </row>
    <row r="7958" hidden="1">
      <c r="F7958" s="1" t="str">
        <f t="shared" si="1"/>
        <v/>
      </c>
      <c r="G7958" s="1" t="str">
        <f t="shared" si="2"/>
        <v/>
      </c>
      <c r="J7958" s="1" t="str">
        <f t="shared" si="3"/>
        <v/>
      </c>
      <c r="K7958" s="1" t="str">
        <f t="shared" si="4"/>
        <v/>
      </c>
    </row>
    <row r="7959" hidden="1">
      <c r="F7959" s="1" t="str">
        <f t="shared" si="1"/>
        <v/>
      </c>
      <c r="G7959" s="1" t="str">
        <f t="shared" si="2"/>
        <v/>
      </c>
      <c r="J7959" s="1" t="str">
        <f t="shared" si="3"/>
        <v/>
      </c>
      <c r="K7959" s="1" t="str">
        <f t="shared" si="4"/>
        <v/>
      </c>
    </row>
    <row r="7960" hidden="1">
      <c r="F7960" s="1" t="str">
        <f t="shared" si="1"/>
        <v/>
      </c>
      <c r="G7960" s="1" t="str">
        <f t="shared" si="2"/>
        <v/>
      </c>
      <c r="J7960" s="1" t="str">
        <f t="shared" si="3"/>
        <v/>
      </c>
      <c r="K7960" s="1" t="str">
        <f t="shared" si="4"/>
        <v/>
      </c>
    </row>
    <row r="7961" hidden="1">
      <c r="F7961" s="1" t="str">
        <f t="shared" si="1"/>
        <v/>
      </c>
      <c r="G7961" s="1" t="str">
        <f t="shared" si="2"/>
        <v/>
      </c>
      <c r="J7961" s="1" t="str">
        <f t="shared" si="3"/>
        <v/>
      </c>
      <c r="K7961" s="1" t="str">
        <f t="shared" si="4"/>
        <v/>
      </c>
    </row>
    <row r="7962" hidden="1">
      <c r="F7962" s="1" t="str">
        <f t="shared" si="1"/>
        <v/>
      </c>
      <c r="G7962" s="1" t="str">
        <f t="shared" si="2"/>
        <v/>
      </c>
      <c r="J7962" s="1" t="str">
        <f t="shared" si="3"/>
        <v/>
      </c>
      <c r="K7962" s="1" t="str">
        <f t="shared" si="4"/>
        <v/>
      </c>
    </row>
    <row r="7963" hidden="1">
      <c r="F7963" s="1" t="str">
        <f t="shared" si="1"/>
        <v/>
      </c>
      <c r="G7963" s="1" t="str">
        <f t="shared" si="2"/>
        <v/>
      </c>
      <c r="J7963" s="1" t="str">
        <f t="shared" si="3"/>
        <v/>
      </c>
      <c r="K7963" s="1" t="str">
        <f t="shared" si="4"/>
        <v/>
      </c>
    </row>
    <row r="7964" hidden="1">
      <c r="F7964" s="1" t="str">
        <f t="shared" si="1"/>
        <v/>
      </c>
      <c r="G7964" s="1" t="str">
        <f t="shared" si="2"/>
        <v/>
      </c>
      <c r="J7964" s="1" t="str">
        <f t="shared" si="3"/>
        <v/>
      </c>
      <c r="K7964" s="1" t="str">
        <f t="shared" si="4"/>
        <v/>
      </c>
    </row>
    <row r="7965" hidden="1">
      <c r="F7965" s="1" t="str">
        <f t="shared" si="1"/>
        <v/>
      </c>
      <c r="G7965" s="1" t="str">
        <f t="shared" si="2"/>
        <v/>
      </c>
      <c r="J7965" s="1" t="str">
        <f t="shared" si="3"/>
        <v/>
      </c>
      <c r="K7965" s="1" t="str">
        <f t="shared" si="4"/>
        <v/>
      </c>
    </row>
    <row r="7966" hidden="1">
      <c r="F7966" s="1" t="str">
        <f t="shared" si="1"/>
        <v/>
      </c>
      <c r="G7966" s="1" t="str">
        <f t="shared" si="2"/>
        <v/>
      </c>
      <c r="J7966" s="1" t="str">
        <f t="shared" si="3"/>
        <v/>
      </c>
      <c r="K7966" s="1" t="str">
        <f t="shared" si="4"/>
        <v/>
      </c>
    </row>
    <row r="7967" hidden="1">
      <c r="F7967" s="1" t="str">
        <f t="shared" si="1"/>
        <v/>
      </c>
      <c r="G7967" s="1" t="str">
        <f t="shared" si="2"/>
        <v/>
      </c>
      <c r="J7967" s="1" t="str">
        <f t="shared" si="3"/>
        <v/>
      </c>
      <c r="K7967" s="1" t="str">
        <f t="shared" si="4"/>
        <v/>
      </c>
    </row>
    <row r="7968" hidden="1">
      <c r="F7968" s="1" t="str">
        <f t="shared" si="1"/>
        <v/>
      </c>
      <c r="G7968" s="1" t="str">
        <f t="shared" si="2"/>
        <v/>
      </c>
      <c r="J7968" s="1" t="str">
        <f t="shared" si="3"/>
        <v/>
      </c>
      <c r="K7968" s="1" t="str">
        <f t="shared" si="4"/>
        <v/>
      </c>
    </row>
    <row r="7969" hidden="1">
      <c r="F7969" s="1" t="str">
        <f t="shared" si="1"/>
        <v/>
      </c>
      <c r="G7969" s="1" t="str">
        <f t="shared" si="2"/>
        <v/>
      </c>
      <c r="J7969" s="1" t="str">
        <f t="shared" si="3"/>
        <v/>
      </c>
      <c r="K7969" s="1" t="str">
        <f t="shared" si="4"/>
        <v/>
      </c>
    </row>
    <row r="7970" hidden="1">
      <c r="F7970" s="1" t="str">
        <f t="shared" si="1"/>
        <v/>
      </c>
      <c r="G7970" s="1" t="str">
        <f t="shared" si="2"/>
        <v/>
      </c>
      <c r="J7970" s="1" t="str">
        <f t="shared" si="3"/>
        <v/>
      </c>
      <c r="K7970" s="1" t="str">
        <f t="shared" si="4"/>
        <v/>
      </c>
    </row>
    <row r="7971" hidden="1">
      <c r="F7971" s="1" t="str">
        <f t="shared" si="1"/>
        <v/>
      </c>
      <c r="G7971" s="1" t="str">
        <f t="shared" si="2"/>
        <v/>
      </c>
      <c r="J7971" s="1" t="str">
        <f t="shared" si="3"/>
        <v/>
      </c>
      <c r="K7971" s="1" t="str">
        <f t="shared" si="4"/>
        <v/>
      </c>
    </row>
    <row r="7972" hidden="1">
      <c r="F7972" s="1" t="str">
        <f t="shared" si="1"/>
        <v/>
      </c>
      <c r="G7972" s="1" t="str">
        <f t="shared" si="2"/>
        <v/>
      </c>
      <c r="J7972" s="1" t="str">
        <f t="shared" si="3"/>
        <v/>
      </c>
      <c r="K7972" s="1" t="str">
        <f t="shared" si="4"/>
        <v/>
      </c>
    </row>
    <row r="7973" hidden="1">
      <c r="F7973" s="1" t="str">
        <f t="shared" si="1"/>
        <v/>
      </c>
      <c r="G7973" s="1" t="str">
        <f t="shared" si="2"/>
        <v/>
      </c>
      <c r="J7973" s="1" t="str">
        <f t="shared" si="3"/>
        <v/>
      </c>
      <c r="K7973" s="1" t="str">
        <f t="shared" si="4"/>
        <v/>
      </c>
    </row>
    <row r="7974" hidden="1">
      <c r="F7974" s="1" t="str">
        <f t="shared" si="1"/>
        <v/>
      </c>
      <c r="G7974" s="1" t="str">
        <f t="shared" si="2"/>
        <v/>
      </c>
      <c r="J7974" s="1" t="str">
        <f t="shared" si="3"/>
        <v/>
      </c>
      <c r="K7974" s="1" t="str">
        <f t="shared" si="4"/>
        <v/>
      </c>
    </row>
    <row r="7975" hidden="1">
      <c r="F7975" s="1" t="str">
        <f t="shared" si="1"/>
        <v/>
      </c>
      <c r="G7975" s="1" t="str">
        <f t="shared" si="2"/>
        <v/>
      </c>
      <c r="J7975" s="1" t="str">
        <f t="shared" si="3"/>
        <v/>
      </c>
      <c r="K7975" s="1" t="str">
        <f t="shared" si="4"/>
        <v/>
      </c>
    </row>
    <row r="7976" hidden="1">
      <c r="F7976" s="1" t="str">
        <f t="shared" si="1"/>
        <v/>
      </c>
      <c r="G7976" s="1" t="str">
        <f t="shared" si="2"/>
        <v/>
      </c>
      <c r="J7976" s="1" t="str">
        <f t="shared" si="3"/>
        <v/>
      </c>
      <c r="K7976" s="1" t="str">
        <f t="shared" si="4"/>
        <v/>
      </c>
    </row>
    <row r="7977" hidden="1">
      <c r="F7977" s="1" t="str">
        <f t="shared" si="1"/>
        <v/>
      </c>
      <c r="G7977" s="1" t="str">
        <f t="shared" si="2"/>
        <v/>
      </c>
      <c r="J7977" s="1" t="str">
        <f t="shared" si="3"/>
        <v/>
      </c>
      <c r="K7977" s="1" t="str">
        <f t="shared" si="4"/>
        <v/>
      </c>
    </row>
    <row r="7978" hidden="1">
      <c r="F7978" s="1" t="str">
        <f t="shared" si="1"/>
        <v/>
      </c>
      <c r="G7978" s="1" t="str">
        <f t="shared" si="2"/>
        <v/>
      </c>
      <c r="J7978" s="1" t="str">
        <f t="shared" si="3"/>
        <v/>
      </c>
      <c r="K7978" s="1" t="str">
        <f t="shared" si="4"/>
        <v/>
      </c>
    </row>
    <row r="7979" hidden="1">
      <c r="F7979" s="1" t="str">
        <f t="shared" si="1"/>
        <v/>
      </c>
      <c r="G7979" s="1" t="str">
        <f t="shared" si="2"/>
        <v/>
      </c>
      <c r="J7979" s="1" t="str">
        <f t="shared" si="3"/>
        <v/>
      </c>
      <c r="K7979" s="1" t="str">
        <f t="shared" si="4"/>
        <v/>
      </c>
    </row>
    <row r="7980" hidden="1">
      <c r="F7980" s="1" t="str">
        <f t="shared" si="1"/>
        <v/>
      </c>
      <c r="G7980" s="1" t="str">
        <f t="shared" si="2"/>
        <v/>
      </c>
      <c r="J7980" s="1" t="str">
        <f t="shared" si="3"/>
        <v/>
      </c>
      <c r="K7980" s="1" t="str">
        <f t="shared" si="4"/>
        <v/>
      </c>
    </row>
    <row r="7981" hidden="1">
      <c r="F7981" s="1" t="str">
        <f t="shared" si="1"/>
        <v/>
      </c>
      <c r="G7981" s="1" t="str">
        <f t="shared" si="2"/>
        <v/>
      </c>
      <c r="J7981" s="1" t="str">
        <f t="shared" si="3"/>
        <v/>
      </c>
      <c r="K7981" s="1" t="str">
        <f t="shared" si="4"/>
        <v/>
      </c>
    </row>
    <row r="7982" hidden="1">
      <c r="F7982" s="1" t="str">
        <f t="shared" si="1"/>
        <v/>
      </c>
      <c r="G7982" s="1" t="str">
        <f t="shared" si="2"/>
        <v/>
      </c>
      <c r="J7982" s="1" t="str">
        <f t="shared" si="3"/>
        <v/>
      </c>
      <c r="K7982" s="1" t="str">
        <f t="shared" si="4"/>
        <v/>
      </c>
    </row>
    <row r="7983" hidden="1">
      <c r="F7983" s="1" t="str">
        <f t="shared" si="1"/>
        <v/>
      </c>
      <c r="G7983" s="1" t="str">
        <f t="shared" si="2"/>
        <v/>
      </c>
      <c r="J7983" s="1" t="str">
        <f t="shared" si="3"/>
        <v/>
      </c>
      <c r="K7983" s="1" t="str">
        <f t="shared" si="4"/>
        <v/>
      </c>
    </row>
    <row r="7984" hidden="1">
      <c r="F7984" s="1" t="str">
        <f t="shared" si="1"/>
        <v/>
      </c>
      <c r="G7984" s="1" t="str">
        <f t="shared" si="2"/>
        <v/>
      </c>
      <c r="J7984" s="1" t="str">
        <f t="shared" si="3"/>
        <v/>
      </c>
      <c r="K7984" s="1" t="str">
        <f t="shared" si="4"/>
        <v/>
      </c>
    </row>
    <row r="7985" hidden="1">
      <c r="F7985" s="1" t="str">
        <f t="shared" si="1"/>
        <v/>
      </c>
      <c r="G7985" s="1" t="str">
        <f t="shared" si="2"/>
        <v/>
      </c>
      <c r="J7985" s="1" t="str">
        <f t="shared" si="3"/>
        <v/>
      </c>
      <c r="K7985" s="1" t="str">
        <f t="shared" si="4"/>
        <v/>
      </c>
    </row>
    <row r="7986" hidden="1">
      <c r="F7986" s="1" t="str">
        <f t="shared" si="1"/>
        <v/>
      </c>
      <c r="G7986" s="1" t="str">
        <f t="shared" si="2"/>
        <v/>
      </c>
      <c r="J7986" s="1" t="str">
        <f t="shared" si="3"/>
        <v/>
      </c>
      <c r="K7986" s="1" t="str">
        <f t="shared" si="4"/>
        <v/>
      </c>
    </row>
    <row r="7987" hidden="1">
      <c r="F7987" s="1" t="str">
        <f t="shared" si="1"/>
        <v/>
      </c>
      <c r="G7987" s="1" t="str">
        <f t="shared" si="2"/>
        <v/>
      </c>
      <c r="J7987" s="1" t="str">
        <f t="shared" si="3"/>
        <v/>
      </c>
      <c r="K7987" s="1" t="str">
        <f t="shared" si="4"/>
        <v/>
      </c>
    </row>
    <row r="7988" hidden="1">
      <c r="F7988" s="1" t="str">
        <f t="shared" si="1"/>
        <v/>
      </c>
      <c r="G7988" s="1" t="str">
        <f t="shared" si="2"/>
        <v/>
      </c>
      <c r="J7988" s="1" t="str">
        <f t="shared" si="3"/>
        <v/>
      </c>
      <c r="K7988" s="1" t="str">
        <f t="shared" si="4"/>
        <v/>
      </c>
    </row>
    <row r="7989" hidden="1">
      <c r="F7989" s="1" t="str">
        <f t="shared" si="1"/>
        <v/>
      </c>
      <c r="G7989" s="1" t="str">
        <f t="shared" si="2"/>
        <v/>
      </c>
      <c r="J7989" s="1" t="str">
        <f t="shared" si="3"/>
        <v/>
      </c>
      <c r="K7989" s="1" t="str">
        <f t="shared" si="4"/>
        <v/>
      </c>
    </row>
    <row r="7990" hidden="1">
      <c r="F7990" s="1" t="str">
        <f t="shared" si="1"/>
        <v/>
      </c>
      <c r="G7990" s="1" t="str">
        <f t="shared" si="2"/>
        <v/>
      </c>
      <c r="J7990" s="1" t="str">
        <f t="shared" si="3"/>
        <v/>
      </c>
      <c r="K7990" s="1" t="str">
        <f t="shared" si="4"/>
        <v/>
      </c>
    </row>
    <row r="7991" hidden="1">
      <c r="F7991" s="1" t="str">
        <f t="shared" si="1"/>
        <v/>
      </c>
      <c r="G7991" s="1" t="str">
        <f t="shared" si="2"/>
        <v/>
      </c>
      <c r="J7991" s="1" t="str">
        <f t="shared" si="3"/>
        <v/>
      </c>
      <c r="K7991" s="1" t="str">
        <f t="shared" si="4"/>
        <v/>
      </c>
    </row>
    <row r="7992" hidden="1">
      <c r="F7992" s="1" t="str">
        <f t="shared" si="1"/>
        <v/>
      </c>
      <c r="G7992" s="1" t="str">
        <f t="shared" si="2"/>
        <v/>
      </c>
      <c r="J7992" s="1" t="str">
        <f t="shared" si="3"/>
        <v/>
      </c>
      <c r="K7992" s="1" t="str">
        <f t="shared" si="4"/>
        <v/>
      </c>
    </row>
    <row r="7993" hidden="1">
      <c r="F7993" s="1" t="str">
        <f t="shared" si="1"/>
        <v/>
      </c>
      <c r="G7993" s="1" t="str">
        <f t="shared" si="2"/>
        <v/>
      </c>
      <c r="J7993" s="1" t="str">
        <f t="shared" si="3"/>
        <v/>
      </c>
      <c r="K7993" s="1" t="str">
        <f t="shared" si="4"/>
        <v/>
      </c>
    </row>
    <row r="7994" hidden="1">
      <c r="F7994" s="1" t="str">
        <f t="shared" si="1"/>
        <v/>
      </c>
      <c r="G7994" s="1" t="str">
        <f t="shared" si="2"/>
        <v/>
      </c>
      <c r="J7994" s="1" t="str">
        <f t="shared" si="3"/>
        <v/>
      </c>
      <c r="K7994" s="1" t="str">
        <f t="shared" si="4"/>
        <v/>
      </c>
    </row>
    <row r="7995" hidden="1">
      <c r="F7995" s="1" t="str">
        <f t="shared" si="1"/>
        <v/>
      </c>
      <c r="G7995" s="1" t="str">
        <f t="shared" si="2"/>
        <v/>
      </c>
      <c r="J7995" s="1" t="str">
        <f t="shared" si="3"/>
        <v/>
      </c>
      <c r="K7995" s="1" t="str">
        <f t="shared" si="4"/>
        <v/>
      </c>
    </row>
    <row r="7996" hidden="1">
      <c r="F7996" s="1" t="str">
        <f t="shared" si="1"/>
        <v/>
      </c>
      <c r="G7996" s="1" t="str">
        <f t="shared" si="2"/>
        <v/>
      </c>
      <c r="J7996" s="1" t="str">
        <f t="shared" si="3"/>
        <v/>
      </c>
      <c r="K7996" s="1" t="str">
        <f t="shared" si="4"/>
        <v/>
      </c>
    </row>
    <row r="7997" hidden="1">
      <c r="F7997" s="1" t="str">
        <f t="shared" si="1"/>
        <v/>
      </c>
      <c r="G7997" s="1" t="str">
        <f t="shared" si="2"/>
        <v/>
      </c>
      <c r="J7997" s="1" t="str">
        <f t="shared" si="3"/>
        <v/>
      </c>
      <c r="K7997" s="1" t="str">
        <f t="shared" si="4"/>
        <v/>
      </c>
    </row>
    <row r="7998" hidden="1">
      <c r="F7998" s="1" t="str">
        <f t="shared" si="1"/>
        <v/>
      </c>
      <c r="G7998" s="1" t="str">
        <f t="shared" si="2"/>
        <v/>
      </c>
      <c r="J7998" s="1" t="str">
        <f t="shared" si="3"/>
        <v/>
      </c>
      <c r="K7998" s="1" t="str">
        <f t="shared" si="4"/>
        <v/>
      </c>
    </row>
    <row r="7999" hidden="1">
      <c r="F7999" s="1" t="str">
        <f t="shared" si="1"/>
        <v/>
      </c>
      <c r="G7999" s="1" t="str">
        <f t="shared" si="2"/>
        <v/>
      </c>
      <c r="J7999" s="1" t="str">
        <f t="shared" si="3"/>
        <v/>
      </c>
      <c r="K7999" s="1" t="str">
        <f t="shared" si="4"/>
        <v/>
      </c>
    </row>
    <row r="8000" hidden="1">
      <c r="F8000" s="1" t="str">
        <f t="shared" si="1"/>
        <v/>
      </c>
      <c r="G8000" s="1" t="str">
        <f t="shared" si="2"/>
        <v/>
      </c>
      <c r="J8000" s="1" t="str">
        <f t="shared" si="3"/>
        <v/>
      </c>
      <c r="K8000" s="1" t="str">
        <f t="shared" si="4"/>
        <v/>
      </c>
    </row>
    <row r="8001" hidden="1">
      <c r="F8001" s="1" t="str">
        <f t="shared" si="1"/>
        <v/>
      </c>
      <c r="G8001" s="1" t="str">
        <f t="shared" si="2"/>
        <v/>
      </c>
      <c r="J8001" s="1" t="str">
        <f t="shared" si="3"/>
        <v/>
      </c>
      <c r="K8001" s="1" t="str">
        <f t="shared" si="4"/>
        <v/>
      </c>
    </row>
    <row r="8002" hidden="1">
      <c r="F8002" s="1" t="str">
        <f t="shared" si="1"/>
        <v/>
      </c>
      <c r="G8002" s="1" t="str">
        <f t="shared" si="2"/>
        <v/>
      </c>
      <c r="J8002" s="1" t="str">
        <f t="shared" si="3"/>
        <v/>
      </c>
      <c r="K8002" s="1" t="str">
        <f t="shared" si="4"/>
        <v/>
      </c>
    </row>
    <row r="8003" hidden="1">
      <c r="F8003" s="1" t="str">
        <f t="shared" si="1"/>
        <v/>
      </c>
      <c r="G8003" s="1" t="str">
        <f t="shared" si="2"/>
        <v/>
      </c>
      <c r="J8003" s="1" t="str">
        <f t="shared" si="3"/>
        <v/>
      </c>
      <c r="K8003" s="1" t="str">
        <f t="shared" si="4"/>
        <v/>
      </c>
    </row>
    <row r="8004" hidden="1">
      <c r="F8004" s="1" t="str">
        <f t="shared" si="1"/>
        <v/>
      </c>
      <c r="G8004" s="1" t="str">
        <f t="shared" si="2"/>
        <v/>
      </c>
      <c r="J8004" s="1" t="str">
        <f t="shared" si="3"/>
        <v/>
      </c>
      <c r="K8004" s="1" t="str">
        <f t="shared" si="4"/>
        <v/>
      </c>
    </row>
    <row r="8005" hidden="1">
      <c r="F8005" s="1" t="str">
        <f t="shared" si="1"/>
        <v/>
      </c>
      <c r="G8005" s="1" t="str">
        <f t="shared" si="2"/>
        <v/>
      </c>
      <c r="J8005" s="1" t="str">
        <f t="shared" si="3"/>
        <v/>
      </c>
      <c r="K8005" s="1" t="str">
        <f t="shared" si="4"/>
        <v/>
      </c>
    </row>
    <row r="8006" hidden="1">
      <c r="F8006" s="1" t="str">
        <f t="shared" si="1"/>
        <v/>
      </c>
      <c r="G8006" s="1" t="str">
        <f t="shared" si="2"/>
        <v/>
      </c>
      <c r="J8006" s="1" t="str">
        <f t="shared" si="3"/>
        <v/>
      </c>
      <c r="K8006" s="1" t="str">
        <f t="shared" si="4"/>
        <v/>
      </c>
    </row>
    <row r="8007" hidden="1">
      <c r="F8007" s="1" t="str">
        <f t="shared" si="1"/>
        <v/>
      </c>
      <c r="G8007" s="1" t="str">
        <f t="shared" si="2"/>
        <v/>
      </c>
      <c r="J8007" s="1" t="str">
        <f t="shared" si="3"/>
        <v/>
      </c>
      <c r="K8007" s="1" t="str">
        <f t="shared" si="4"/>
        <v/>
      </c>
    </row>
    <row r="8008" hidden="1">
      <c r="F8008" s="1" t="str">
        <f t="shared" si="1"/>
        <v/>
      </c>
      <c r="G8008" s="1" t="str">
        <f t="shared" si="2"/>
        <v/>
      </c>
      <c r="J8008" s="1" t="str">
        <f t="shared" si="3"/>
        <v/>
      </c>
      <c r="K8008" s="1" t="str">
        <f t="shared" si="4"/>
        <v/>
      </c>
    </row>
    <row r="8009" hidden="1">
      <c r="F8009" s="1" t="str">
        <f t="shared" si="1"/>
        <v/>
      </c>
      <c r="G8009" s="1" t="str">
        <f t="shared" si="2"/>
        <v/>
      </c>
      <c r="J8009" s="1" t="str">
        <f t="shared" si="3"/>
        <v/>
      </c>
      <c r="K8009" s="1" t="str">
        <f t="shared" si="4"/>
        <v/>
      </c>
    </row>
    <row r="8010" hidden="1">
      <c r="F8010" s="1" t="str">
        <f t="shared" si="1"/>
        <v/>
      </c>
      <c r="G8010" s="1" t="str">
        <f t="shared" si="2"/>
        <v/>
      </c>
      <c r="J8010" s="1" t="str">
        <f t="shared" si="3"/>
        <v/>
      </c>
      <c r="K8010" s="1" t="str">
        <f t="shared" si="4"/>
        <v/>
      </c>
    </row>
    <row r="8011" hidden="1">
      <c r="F8011" s="1" t="str">
        <f t="shared" si="1"/>
        <v/>
      </c>
      <c r="G8011" s="1" t="str">
        <f t="shared" si="2"/>
        <v/>
      </c>
      <c r="J8011" s="1" t="str">
        <f t="shared" si="3"/>
        <v/>
      </c>
      <c r="K8011" s="1" t="str">
        <f t="shared" si="4"/>
        <v/>
      </c>
    </row>
    <row r="8012" hidden="1">
      <c r="F8012" s="1" t="str">
        <f t="shared" si="1"/>
        <v/>
      </c>
      <c r="G8012" s="1" t="str">
        <f t="shared" si="2"/>
        <v/>
      </c>
      <c r="J8012" s="1" t="str">
        <f t="shared" si="3"/>
        <v/>
      </c>
      <c r="K8012" s="1" t="str">
        <f t="shared" si="4"/>
        <v/>
      </c>
    </row>
    <row r="8013" hidden="1">
      <c r="F8013" s="1" t="str">
        <f t="shared" si="1"/>
        <v/>
      </c>
      <c r="G8013" s="1" t="str">
        <f t="shared" si="2"/>
        <v/>
      </c>
      <c r="J8013" s="1" t="str">
        <f t="shared" si="3"/>
        <v/>
      </c>
      <c r="K8013" s="1" t="str">
        <f t="shared" si="4"/>
        <v/>
      </c>
    </row>
    <row r="8014" hidden="1">
      <c r="F8014" s="1" t="str">
        <f t="shared" si="1"/>
        <v/>
      </c>
      <c r="G8014" s="1" t="str">
        <f t="shared" si="2"/>
        <v/>
      </c>
      <c r="J8014" s="1" t="str">
        <f t="shared" si="3"/>
        <v/>
      </c>
      <c r="K8014" s="1" t="str">
        <f t="shared" si="4"/>
        <v/>
      </c>
    </row>
    <row r="8015" hidden="1">
      <c r="F8015" s="1" t="str">
        <f t="shared" si="1"/>
        <v/>
      </c>
      <c r="G8015" s="1" t="str">
        <f t="shared" si="2"/>
        <v/>
      </c>
      <c r="J8015" s="1" t="str">
        <f t="shared" si="3"/>
        <v/>
      </c>
      <c r="K8015" s="1" t="str">
        <f t="shared" si="4"/>
        <v/>
      </c>
    </row>
    <row r="8016" hidden="1">
      <c r="F8016" s="1" t="str">
        <f t="shared" si="1"/>
        <v/>
      </c>
      <c r="G8016" s="1" t="str">
        <f t="shared" si="2"/>
        <v/>
      </c>
      <c r="J8016" s="1" t="str">
        <f t="shared" si="3"/>
        <v/>
      </c>
      <c r="K8016" s="1" t="str">
        <f t="shared" si="4"/>
        <v/>
      </c>
    </row>
    <row r="8017" hidden="1">
      <c r="F8017" s="1" t="str">
        <f t="shared" si="1"/>
        <v/>
      </c>
      <c r="G8017" s="1" t="str">
        <f t="shared" si="2"/>
        <v/>
      </c>
      <c r="J8017" s="1" t="str">
        <f t="shared" si="3"/>
        <v/>
      </c>
      <c r="K8017" s="1" t="str">
        <f t="shared" si="4"/>
        <v/>
      </c>
    </row>
    <row r="8018" hidden="1">
      <c r="F8018" s="1" t="str">
        <f t="shared" si="1"/>
        <v/>
      </c>
      <c r="G8018" s="1" t="str">
        <f t="shared" si="2"/>
        <v/>
      </c>
      <c r="J8018" s="1" t="str">
        <f t="shared" si="3"/>
        <v/>
      </c>
      <c r="K8018" s="1" t="str">
        <f t="shared" si="4"/>
        <v/>
      </c>
    </row>
    <row r="8019" hidden="1">
      <c r="F8019" s="1" t="str">
        <f t="shared" si="1"/>
        <v/>
      </c>
      <c r="G8019" s="1" t="str">
        <f t="shared" si="2"/>
        <v/>
      </c>
      <c r="J8019" s="1" t="str">
        <f t="shared" si="3"/>
        <v/>
      </c>
      <c r="K8019" s="1" t="str">
        <f t="shared" si="4"/>
        <v/>
      </c>
    </row>
    <row r="8020" hidden="1">
      <c r="F8020" s="1" t="str">
        <f t="shared" si="1"/>
        <v/>
      </c>
      <c r="G8020" s="1" t="str">
        <f t="shared" si="2"/>
        <v/>
      </c>
      <c r="J8020" s="1" t="str">
        <f t="shared" si="3"/>
        <v/>
      </c>
      <c r="K8020" s="1" t="str">
        <f t="shared" si="4"/>
        <v/>
      </c>
    </row>
    <row r="8021" hidden="1">
      <c r="F8021" s="1" t="str">
        <f t="shared" si="1"/>
        <v/>
      </c>
      <c r="G8021" s="1" t="str">
        <f t="shared" si="2"/>
        <v/>
      </c>
      <c r="J8021" s="1" t="str">
        <f t="shared" si="3"/>
        <v/>
      </c>
      <c r="K8021" s="1" t="str">
        <f t="shared" si="4"/>
        <v/>
      </c>
    </row>
    <row r="8022" hidden="1">
      <c r="F8022" s="1" t="str">
        <f t="shared" si="1"/>
        <v/>
      </c>
      <c r="G8022" s="1" t="str">
        <f t="shared" si="2"/>
        <v/>
      </c>
      <c r="J8022" s="1" t="str">
        <f t="shared" si="3"/>
        <v/>
      </c>
      <c r="K8022" s="1" t="str">
        <f t="shared" si="4"/>
        <v/>
      </c>
    </row>
    <row r="8023" hidden="1">
      <c r="F8023" s="1" t="str">
        <f t="shared" si="1"/>
        <v/>
      </c>
      <c r="G8023" s="1" t="str">
        <f t="shared" si="2"/>
        <v/>
      </c>
      <c r="J8023" s="1" t="str">
        <f t="shared" si="3"/>
        <v/>
      </c>
      <c r="K8023" s="1" t="str">
        <f t="shared" si="4"/>
        <v/>
      </c>
    </row>
    <row r="8024" hidden="1">
      <c r="F8024" s="1" t="str">
        <f t="shared" si="1"/>
        <v/>
      </c>
      <c r="G8024" s="1" t="str">
        <f t="shared" si="2"/>
        <v/>
      </c>
      <c r="J8024" s="1" t="str">
        <f t="shared" si="3"/>
        <v/>
      </c>
      <c r="K8024" s="1" t="str">
        <f t="shared" si="4"/>
        <v/>
      </c>
    </row>
    <row r="8025" hidden="1">
      <c r="F8025" s="1" t="str">
        <f t="shared" si="1"/>
        <v/>
      </c>
      <c r="G8025" s="1" t="str">
        <f t="shared" si="2"/>
        <v/>
      </c>
      <c r="J8025" s="1" t="str">
        <f t="shared" si="3"/>
        <v/>
      </c>
      <c r="K8025" s="1" t="str">
        <f t="shared" si="4"/>
        <v/>
      </c>
    </row>
    <row r="8026" hidden="1">
      <c r="F8026" s="1" t="str">
        <f t="shared" si="1"/>
        <v/>
      </c>
      <c r="G8026" s="1" t="str">
        <f t="shared" si="2"/>
        <v/>
      </c>
      <c r="J8026" s="1" t="str">
        <f t="shared" si="3"/>
        <v/>
      </c>
      <c r="K8026" s="1" t="str">
        <f t="shared" si="4"/>
        <v/>
      </c>
    </row>
    <row r="8027" hidden="1">
      <c r="F8027" s="1" t="str">
        <f t="shared" si="1"/>
        <v/>
      </c>
      <c r="G8027" s="1" t="str">
        <f t="shared" si="2"/>
        <v/>
      </c>
      <c r="J8027" s="1" t="str">
        <f t="shared" si="3"/>
        <v/>
      </c>
      <c r="K8027" s="1" t="str">
        <f t="shared" si="4"/>
        <v/>
      </c>
    </row>
    <row r="8028" hidden="1">
      <c r="F8028" s="1" t="str">
        <f t="shared" si="1"/>
        <v/>
      </c>
      <c r="G8028" s="1" t="str">
        <f t="shared" si="2"/>
        <v/>
      </c>
      <c r="J8028" s="1" t="str">
        <f t="shared" si="3"/>
        <v/>
      </c>
      <c r="K8028" s="1" t="str">
        <f t="shared" si="4"/>
        <v/>
      </c>
    </row>
    <row r="8029" hidden="1">
      <c r="F8029" s="1" t="str">
        <f t="shared" si="1"/>
        <v/>
      </c>
      <c r="G8029" s="1" t="str">
        <f t="shared" si="2"/>
        <v/>
      </c>
      <c r="J8029" s="1" t="str">
        <f t="shared" si="3"/>
        <v/>
      </c>
      <c r="K8029" s="1" t="str">
        <f t="shared" si="4"/>
        <v/>
      </c>
    </row>
    <row r="8030" hidden="1">
      <c r="F8030" s="1" t="str">
        <f t="shared" si="1"/>
        <v/>
      </c>
      <c r="G8030" s="1" t="str">
        <f t="shared" si="2"/>
        <v/>
      </c>
      <c r="J8030" s="1" t="str">
        <f t="shared" si="3"/>
        <v/>
      </c>
      <c r="K8030" s="1" t="str">
        <f t="shared" si="4"/>
        <v/>
      </c>
    </row>
    <row r="8031" hidden="1">
      <c r="F8031" s="1" t="str">
        <f t="shared" si="1"/>
        <v/>
      </c>
      <c r="G8031" s="1" t="str">
        <f t="shared" si="2"/>
        <v/>
      </c>
      <c r="J8031" s="1" t="str">
        <f t="shared" si="3"/>
        <v/>
      </c>
      <c r="K8031" s="1" t="str">
        <f t="shared" si="4"/>
        <v/>
      </c>
    </row>
    <row r="8032" hidden="1">
      <c r="F8032" s="1" t="str">
        <f t="shared" si="1"/>
        <v/>
      </c>
      <c r="G8032" s="1" t="str">
        <f t="shared" si="2"/>
        <v/>
      </c>
      <c r="J8032" s="1" t="str">
        <f t="shared" si="3"/>
        <v/>
      </c>
      <c r="K8032" s="1" t="str">
        <f t="shared" si="4"/>
        <v/>
      </c>
    </row>
    <row r="8033" hidden="1">
      <c r="F8033" s="1" t="str">
        <f t="shared" si="1"/>
        <v/>
      </c>
      <c r="G8033" s="1" t="str">
        <f t="shared" si="2"/>
        <v/>
      </c>
      <c r="J8033" s="1" t="str">
        <f t="shared" si="3"/>
        <v/>
      </c>
      <c r="K8033" s="1" t="str">
        <f t="shared" si="4"/>
        <v/>
      </c>
    </row>
    <row r="8034" hidden="1">
      <c r="F8034" s="1" t="str">
        <f t="shared" si="1"/>
        <v/>
      </c>
      <c r="G8034" s="1" t="str">
        <f t="shared" si="2"/>
        <v/>
      </c>
      <c r="J8034" s="1" t="str">
        <f t="shared" si="3"/>
        <v/>
      </c>
      <c r="K8034" s="1" t="str">
        <f t="shared" si="4"/>
        <v/>
      </c>
    </row>
    <row r="8035" hidden="1">
      <c r="F8035" s="1" t="str">
        <f t="shared" si="1"/>
        <v/>
      </c>
      <c r="G8035" s="1" t="str">
        <f t="shared" si="2"/>
        <v/>
      </c>
      <c r="J8035" s="1" t="str">
        <f t="shared" si="3"/>
        <v/>
      </c>
      <c r="K8035" s="1" t="str">
        <f t="shared" si="4"/>
        <v/>
      </c>
    </row>
    <row r="8036" hidden="1">
      <c r="F8036" s="1" t="str">
        <f t="shared" si="1"/>
        <v/>
      </c>
      <c r="G8036" s="1" t="str">
        <f t="shared" si="2"/>
        <v/>
      </c>
      <c r="J8036" s="1" t="str">
        <f t="shared" si="3"/>
        <v/>
      </c>
      <c r="K8036" s="1" t="str">
        <f t="shared" si="4"/>
        <v/>
      </c>
    </row>
    <row r="8037" hidden="1">
      <c r="F8037" s="1" t="str">
        <f t="shared" si="1"/>
        <v/>
      </c>
      <c r="G8037" s="1" t="str">
        <f t="shared" si="2"/>
        <v/>
      </c>
      <c r="J8037" s="1" t="str">
        <f t="shared" si="3"/>
        <v/>
      </c>
      <c r="K8037" s="1" t="str">
        <f t="shared" si="4"/>
        <v/>
      </c>
    </row>
    <row r="8038" hidden="1">
      <c r="F8038" s="1" t="str">
        <f t="shared" si="1"/>
        <v/>
      </c>
      <c r="G8038" s="1" t="str">
        <f t="shared" si="2"/>
        <v/>
      </c>
      <c r="J8038" s="1" t="str">
        <f t="shared" si="3"/>
        <v/>
      </c>
      <c r="K8038" s="1" t="str">
        <f t="shared" si="4"/>
        <v/>
      </c>
    </row>
    <row r="8039" hidden="1">
      <c r="F8039" s="1" t="str">
        <f t="shared" si="1"/>
        <v/>
      </c>
      <c r="G8039" s="1" t="str">
        <f t="shared" si="2"/>
        <v/>
      </c>
      <c r="J8039" s="1" t="str">
        <f t="shared" si="3"/>
        <v/>
      </c>
      <c r="K8039" s="1" t="str">
        <f t="shared" si="4"/>
        <v/>
      </c>
    </row>
    <row r="8040" hidden="1">
      <c r="F8040" s="1" t="str">
        <f t="shared" si="1"/>
        <v/>
      </c>
      <c r="G8040" s="1" t="str">
        <f t="shared" si="2"/>
        <v/>
      </c>
      <c r="J8040" s="1" t="str">
        <f t="shared" si="3"/>
        <v/>
      </c>
      <c r="K8040" s="1" t="str">
        <f t="shared" si="4"/>
        <v/>
      </c>
    </row>
    <row r="8041" hidden="1">
      <c r="F8041" s="1" t="str">
        <f t="shared" si="1"/>
        <v/>
      </c>
      <c r="G8041" s="1" t="str">
        <f t="shared" si="2"/>
        <v/>
      </c>
      <c r="J8041" s="1" t="str">
        <f t="shared" si="3"/>
        <v/>
      </c>
      <c r="K8041" s="1" t="str">
        <f t="shared" si="4"/>
        <v/>
      </c>
    </row>
    <row r="8042" hidden="1">
      <c r="F8042" s="1" t="str">
        <f t="shared" si="1"/>
        <v/>
      </c>
      <c r="G8042" s="1" t="str">
        <f t="shared" si="2"/>
        <v/>
      </c>
      <c r="J8042" s="1" t="str">
        <f t="shared" si="3"/>
        <v/>
      </c>
      <c r="K8042" s="1" t="str">
        <f t="shared" si="4"/>
        <v/>
      </c>
    </row>
    <row r="8043" hidden="1">
      <c r="F8043" s="1" t="str">
        <f t="shared" si="1"/>
        <v/>
      </c>
      <c r="G8043" s="1" t="str">
        <f t="shared" si="2"/>
        <v/>
      </c>
      <c r="J8043" s="1" t="str">
        <f t="shared" si="3"/>
        <v/>
      </c>
      <c r="K8043" s="1" t="str">
        <f t="shared" si="4"/>
        <v/>
      </c>
    </row>
    <row r="8044" hidden="1">
      <c r="F8044" s="1" t="str">
        <f t="shared" si="1"/>
        <v/>
      </c>
      <c r="G8044" s="1" t="str">
        <f t="shared" si="2"/>
        <v/>
      </c>
      <c r="J8044" s="1" t="str">
        <f t="shared" si="3"/>
        <v/>
      </c>
      <c r="K8044" s="1" t="str">
        <f t="shared" si="4"/>
        <v/>
      </c>
    </row>
    <row r="8045" hidden="1">
      <c r="F8045" s="1" t="str">
        <f t="shared" si="1"/>
        <v/>
      </c>
      <c r="G8045" s="1" t="str">
        <f t="shared" si="2"/>
        <v/>
      </c>
      <c r="J8045" s="1" t="str">
        <f t="shared" si="3"/>
        <v/>
      </c>
      <c r="K8045" s="1" t="str">
        <f t="shared" si="4"/>
        <v/>
      </c>
    </row>
    <row r="8046" hidden="1">
      <c r="F8046" s="1" t="str">
        <f t="shared" si="1"/>
        <v/>
      </c>
      <c r="G8046" s="1" t="str">
        <f t="shared" si="2"/>
        <v/>
      </c>
      <c r="J8046" s="1" t="str">
        <f t="shared" si="3"/>
        <v/>
      </c>
      <c r="K8046" s="1" t="str">
        <f t="shared" si="4"/>
        <v/>
      </c>
    </row>
    <row r="8047" hidden="1">
      <c r="F8047" s="1" t="str">
        <f t="shared" si="1"/>
        <v/>
      </c>
      <c r="G8047" s="1" t="str">
        <f t="shared" si="2"/>
        <v/>
      </c>
      <c r="J8047" s="1" t="str">
        <f t="shared" si="3"/>
        <v/>
      </c>
      <c r="K8047" s="1" t="str">
        <f t="shared" si="4"/>
        <v/>
      </c>
    </row>
    <row r="8048" hidden="1">
      <c r="F8048" s="1" t="str">
        <f t="shared" si="1"/>
        <v/>
      </c>
      <c r="G8048" s="1" t="str">
        <f t="shared" si="2"/>
        <v/>
      </c>
      <c r="J8048" s="1" t="str">
        <f t="shared" si="3"/>
        <v/>
      </c>
      <c r="K8048" s="1" t="str">
        <f t="shared" si="4"/>
        <v/>
      </c>
    </row>
    <row r="8049" hidden="1">
      <c r="F8049" s="1" t="str">
        <f t="shared" si="1"/>
        <v/>
      </c>
      <c r="G8049" s="1" t="str">
        <f t="shared" si="2"/>
        <v/>
      </c>
      <c r="J8049" s="1" t="str">
        <f t="shared" si="3"/>
        <v/>
      </c>
      <c r="K8049" s="1" t="str">
        <f t="shared" si="4"/>
        <v/>
      </c>
    </row>
    <row r="8050" hidden="1">
      <c r="F8050" s="1" t="str">
        <f t="shared" si="1"/>
        <v/>
      </c>
      <c r="G8050" s="1" t="str">
        <f t="shared" si="2"/>
        <v/>
      </c>
      <c r="J8050" s="1" t="str">
        <f t="shared" si="3"/>
        <v/>
      </c>
      <c r="K8050" s="1" t="str">
        <f t="shared" si="4"/>
        <v/>
      </c>
    </row>
    <row r="8051" hidden="1">
      <c r="F8051" s="1" t="str">
        <f t="shared" si="1"/>
        <v/>
      </c>
      <c r="G8051" s="1" t="str">
        <f t="shared" si="2"/>
        <v/>
      </c>
      <c r="J8051" s="1" t="str">
        <f t="shared" si="3"/>
        <v/>
      </c>
      <c r="K8051" s="1" t="str">
        <f t="shared" si="4"/>
        <v/>
      </c>
    </row>
    <row r="8052" hidden="1">
      <c r="F8052" s="1" t="str">
        <f t="shared" si="1"/>
        <v/>
      </c>
      <c r="G8052" s="1" t="str">
        <f t="shared" si="2"/>
        <v/>
      </c>
      <c r="J8052" s="1" t="str">
        <f t="shared" si="3"/>
        <v/>
      </c>
      <c r="K8052" s="1" t="str">
        <f t="shared" si="4"/>
        <v/>
      </c>
    </row>
    <row r="8053" hidden="1">
      <c r="F8053" s="1" t="str">
        <f t="shared" si="1"/>
        <v/>
      </c>
      <c r="G8053" s="1" t="str">
        <f t="shared" si="2"/>
        <v/>
      </c>
      <c r="J8053" s="1" t="str">
        <f t="shared" si="3"/>
        <v/>
      </c>
      <c r="K8053" s="1" t="str">
        <f t="shared" si="4"/>
        <v/>
      </c>
    </row>
    <row r="8054" hidden="1">
      <c r="F8054" s="1" t="str">
        <f t="shared" si="1"/>
        <v/>
      </c>
      <c r="G8054" s="1" t="str">
        <f t="shared" si="2"/>
        <v/>
      </c>
      <c r="J8054" s="1" t="str">
        <f t="shared" si="3"/>
        <v/>
      </c>
      <c r="K8054" s="1" t="str">
        <f t="shared" si="4"/>
        <v/>
      </c>
    </row>
    <row r="8055" hidden="1">
      <c r="F8055" s="1" t="str">
        <f t="shared" si="1"/>
        <v/>
      </c>
      <c r="G8055" s="1" t="str">
        <f t="shared" si="2"/>
        <v/>
      </c>
      <c r="J8055" s="1" t="str">
        <f t="shared" si="3"/>
        <v/>
      </c>
      <c r="K8055" s="1" t="str">
        <f t="shared" si="4"/>
        <v/>
      </c>
    </row>
    <row r="8056" hidden="1">
      <c r="F8056" s="1" t="str">
        <f t="shared" si="1"/>
        <v/>
      </c>
      <c r="G8056" s="1" t="str">
        <f t="shared" si="2"/>
        <v/>
      </c>
      <c r="J8056" s="1" t="str">
        <f t="shared" si="3"/>
        <v/>
      </c>
      <c r="K8056" s="1" t="str">
        <f t="shared" si="4"/>
        <v/>
      </c>
    </row>
    <row r="8057" hidden="1">
      <c r="F8057" s="1" t="str">
        <f t="shared" si="1"/>
        <v/>
      </c>
      <c r="G8057" s="1" t="str">
        <f t="shared" si="2"/>
        <v/>
      </c>
      <c r="J8057" s="1" t="str">
        <f t="shared" si="3"/>
        <v/>
      </c>
      <c r="K8057" s="1" t="str">
        <f t="shared" si="4"/>
        <v/>
      </c>
    </row>
    <row r="8058" hidden="1">
      <c r="F8058" s="1" t="str">
        <f t="shared" si="1"/>
        <v/>
      </c>
      <c r="G8058" s="1" t="str">
        <f t="shared" si="2"/>
        <v/>
      </c>
      <c r="J8058" s="1" t="str">
        <f t="shared" si="3"/>
        <v/>
      </c>
      <c r="K8058" s="1" t="str">
        <f t="shared" si="4"/>
        <v/>
      </c>
    </row>
    <row r="8059" hidden="1">
      <c r="F8059" s="1" t="str">
        <f t="shared" si="1"/>
        <v/>
      </c>
      <c r="G8059" s="1" t="str">
        <f t="shared" si="2"/>
        <v/>
      </c>
      <c r="J8059" s="1" t="str">
        <f t="shared" si="3"/>
        <v/>
      </c>
      <c r="K8059" s="1" t="str">
        <f t="shared" si="4"/>
        <v/>
      </c>
    </row>
    <row r="8060" hidden="1">
      <c r="F8060" s="1" t="str">
        <f t="shared" si="1"/>
        <v/>
      </c>
      <c r="G8060" s="1" t="str">
        <f t="shared" si="2"/>
        <v/>
      </c>
      <c r="J8060" s="1" t="str">
        <f t="shared" si="3"/>
        <v/>
      </c>
      <c r="K8060" s="1" t="str">
        <f t="shared" si="4"/>
        <v/>
      </c>
    </row>
    <row r="8061" hidden="1">
      <c r="F8061" s="1" t="str">
        <f t="shared" si="1"/>
        <v/>
      </c>
      <c r="G8061" s="1" t="str">
        <f t="shared" si="2"/>
        <v/>
      </c>
      <c r="J8061" s="1" t="str">
        <f t="shared" si="3"/>
        <v/>
      </c>
      <c r="K8061" s="1" t="str">
        <f t="shared" si="4"/>
        <v/>
      </c>
    </row>
    <row r="8062" hidden="1">
      <c r="F8062" s="1" t="str">
        <f t="shared" si="1"/>
        <v/>
      </c>
      <c r="G8062" s="1" t="str">
        <f t="shared" si="2"/>
        <v/>
      </c>
      <c r="J8062" s="1" t="str">
        <f t="shared" si="3"/>
        <v/>
      </c>
      <c r="K8062" s="1" t="str">
        <f t="shared" si="4"/>
        <v/>
      </c>
    </row>
    <row r="8063" hidden="1">
      <c r="F8063" s="1" t="str">
        <f t="shared" si="1"/>
        <v/>
      </c>
      <c r="G8063" s="1" t="str">
        <f t="shared" si="2"/>
        <v/>
      </c>
      <c r="J8063" s="1" t="str">
        <f t="shared" si="3"/>
        <v/>
      </c>
      <c r="K8063" s="1" t="str">
        <f t="shared" si="4"/>
        <v/>
      </c>
    </row>
    <row r="8064" hidden="1">
      <c r="F8064" s="1" t="str">
        <f t="shared" si="1"/>
        <v/>
      </c>
      <c r="G8064" s="1" t="str">
        <f t="shared" si="2"/>
        <v/>
      </c>
      <c r="J8064" s="1" t="str">
        <f t="shared" si="3"/>
        <v/>
      </c>
      <c r="K8064" s="1" t="str">
        <f t="shared" si="4"/>
        <v/>
      </c>
    </row>
    <row r="8065" hidden="1">
      <c r="F8065" s="1" t="str">
        <f t="shared" si="1"/>
        <v/>
      </c>
      <c r="G8065" s="1" t="str">
        <f t="shared" si="2"/>
        <v/>
      </c>
      <c r="J8065" s="1" t="str">
        <f t="shared" si="3"/>
        <v/>
      </c>
      <c r="K8065" s="1" t="str">
        <f t="shared" si="4"/>
        <v/>
      </c>
    </row>
    <row r="8066" hidden="1">
      <c r="F8066" s="1" t="str">
        <f t="shared" si="1"/>
        <v/>
      </c>
      <c r="G8066" s="1" t="str">
        <f t="shared" si="2"/>
        <v/>
      </c>
      <c r="J8066" s="1" t="str">
        <f t="shared" si="3"/>
        <v/>
      </c>
      <c r="K8066" s="1" t="str">
        <f t="shared" si="4"/>
        <v/>
      </c>
    </row>
    <row r="8067" hidden="1">
      <c r="F8067" s="1" t="str">
        <f t="shared" si="1"/>
        <v/>
      </c>
      <c r="G8067" s="1" t="str">
        <f t="shared" si="2"/>
        <v/>
      </c>
      <c r="J8067" s="1" t="str">
        <f t="shared" si="3"/>
        <v/>
      </c>
      <c r="K8067" s="1" t="str">
        <f t="shared" si="4"/>
        <v/>
      </c>
    </row>
    <row r="8068" hidden="1">
      <c r="F8068" s="1" t="str">
        <f t="shared" si="1"/>
        <v/>
      </c>
      <c r="G8068" s="1" t="str">
        <f t="shared" si="2"/>
        <v/>
      </c>
      <c r="J8068" s="1" t="str">
        <f t="shared" si="3"/>
        <v/>
      </c>
      <c r="K8068" s="1" t="str">
        <f t="shared" si="4"/>
        <v/>
      </c>
    </row>
    <row r="8069" hidden="1">
      <c r="F8069" s="1" t="str">
        <f t="shared" si="1"/>
        <v/>
      </c>
      <c r="G8069" s="1" t="str">
        <f t="shared" si="2"/>
        <v/>
      </c>
      <c r="J8069" s="1" t="str">
        <f t="shared" si="3"/>
        <v/>
      </c>
      <c r="K8069" s="1" t="str">
        <f t="shared" si="4"/>
        <v/>
      </c>
    </row>
    <row r="8070" hidden="1">
      <c r="F8070" s="1" t="str">
        <f t="shared" si="1"/>
        <v/>
      </c>
      <c r="G8070" s="1" t="str">
        <f t="shared" si="2"/>
        <v/>
      </c>
      <c r="J8070" s="1" t="str">
        <f t="shared" si="3"/>
        <v/>
      </c>
      <c r="K8070" s="1" t="str">
        <f t="shared" si="4"/>
        <v/>
      </c>
    </row>
    <row r="8071" hidden="1">
      <c r="F8071" s="1" t="str">
        <f t="shared" si="1"/>
        <v/>
      </c>
      <c r="G8071" s="1" t="str">
        <f t="shared" si="2"/>
        <v/>
      </c>
      <c r="J8071" s="1" t="str">
        <f t="shared" si="3"/>
        <v/>
      </c>
      <c r="K8071" s="1" t="str">
        <f t="shared" si="4"/>
        <v/>
      </c>
    </row>
    <row r="8072" hidden="1">
      <c r="F8072" s="1" t="str">
        <f t="shared" si="1"/>
        <v/>
      </c>
      <c r="G8072" s="1" t="str">
        <f t="shared" si="2"/>
        <v/>
      </c>
      <c r="J8072" s="1" t="str">
        <f t="shared" si="3"/>
        <v/>
      </c>
      <c r="K8072" s="1" t="str">
        <f t="shared" si="4"/>
        <v/>
      </c>
    </row>
    <row r="8073" hidden="1">
      <c r="F8073" s="1" t="str">
        <f t="shared" si="1"/>
        <v/>
      </c>
      <c r="G8073" s="1" t="str">
        <f t="shared" si="2"/>
        <v/>
      </c>
      <c r="J8073" s="1" t="str">
        <f t="shared" si="3"/>
        <v/>
      </c>
      <c r="K8073" s="1" t="str">
        <f t="shared" si="4"/>
        <v/>
      </c>
    </row>
    <row r="8074" hidden="1">
      <c r="F8074" s="1" t="str">
        <f t="shared" si="1"/>
        <v/>
      </c>
      <c r="G8074" s="1" t="str">
        <f t="shared" si="2"/>
        <v/>
      </c>
      <c r="J8074" s="1" t="str">
        <f t="shared" si="3"/>
        <v/>
      </c>
      <c r="K8074" s="1" t="str">
        <f t="shared" si="4"/>
        <v/>
      </c>
    </row>
    <row r="8075" hidden="1">
      <c r="F8075" s="1" t="str">
        <f t="shared" si="1"/>
        <v/>
      </c>
      <c r="G8075" s="1" t="str">
        <f t="shared" si="2"/>
        <v/>
      </c>
      <c r="J8075" s="1" t="str">
        <f t="shared" si="3"/>
        <v/>
      </c>
      <c r="K8075" s="1" t="str">
        <f t="shared" si="4"/>
        <v/>
      </c>
    </row>
    <row r="8076" hidden="1">
      <c r="F8076" s="1" t="str">
        <f t="shared" si="1"/>
        <v/>
      </c>
      <c r="G8076" s="1" t="str">
        <f t="shared" si="2"/>
        <v/>
      </c>
      <c r="J8076" s="1" t="str">
        <f t="shared" si="3"/>
        <v/>
      </c>
      <c r="K8076" s="1" t="str">
        <f t="shared" si="4"/>
        <v/>
      </c>
    </row>
    <row r="8077" hidden="1">
      <c r="F8077" s="1" t="str">
        <f t="shared" si="1"/>
        <v/>
      </c>
      <c r="G8077" s="1" t="str">
        <f t="shared" si="2"/>
        <v/>
      </c>
      <c r="J8077" s="1" t="str">
        <f t="shared" si="3"/>
        <v/>
      </c>
      <c r="K8077" s="1" t="str">
        <f t="shared" si="4"/>
        <v/>
      </c>
    </row>
    <row r="8078" hidden="1">
      <c r="F8078" s="1" t="str">
        <f t="shared" si="1"/>
        <v/>
      </c>
      <c r="G8078" s="1" t="str">
        <f t="shared" si="2"/>
        <v/>
      </c>
      <c r="J8078" s="1" t="str">
        <f t="shared" si="3"/>
        <v/>
      </c>
      <c r="K8078" s="1" t="str">
        <f t="shared" si="4"/>
        <v/>
      </c>
    </row>
    <row r="8079" hidden="1">
      <c r="F8079" s="1" t="str">
        <f t="shared" si="1"/>
        <v/>
      </c>
      <c r="G8079" s="1" t="str">
        <f t="shared" si="2"/>
        <v/>
      </c>
      <c r="J8079" s="1" t="str">
        <f t="shared" si="3"/>
        <v/>
      </c>
      <c r="K8079" s="1" t="str">
        <f t="shared" si="4"/>
        <v/>
      </c>
    </row>
    <row r="8080" hidden="1">
      <c r="F8080" s="1" t="str">
        <f t="shared" si="1"/>
        <v/>
      </c>
      <c r="G8080" s="1" t="str">
        <f t="shared" si="2"/>
        <v/>
      </c>
      <c r="J8080" s="1" t="str">
        <f t="shared" si="3"/>
        <v/>
      </c>
      <c r="K8080" s="1" t="str">
        <f t="shared" si="4"/>
        <v/>
      </c>
    </row>
    <row r="8081" hidden="1">
      <c r="F8081" s="1" t="str">
        <f t="shared" si="1"/>
        <v/>
      </c>
      <c r="G8081" s="1" t="str">
        <f t="shared" si="2"/>
        <v/>
      </c>
      <c r="J8081" s="1" t="str">
        <f t="shared" si="3"/>
        <v/>
      </c>
      <c r="K8081" s="1" t="str">
        <f t="shared" si="4"/>
        <v/>
      </c>
    </row>
    <row r="8082" hidden="1">
      <c r="F8082" s="1" t="str">
        <f t="shared" si="1"/>
        <v/>
      </c>
      <c r="G8082" s="1" t="str">
        <f t="shared" si="2"/>
        <v/>
      </c>
      <c r="J8082" s="1" t="str">
        <f t="shared" si="3"/>
        <v/>
      </c>
      <c r="K8082" s="1" t="str">
        <f t="shared" si="4"/>
        <v/>
      </c>
    </row>
    <row r="8083" hidden="1">
      <c r="F8083" s="1" t="str">
        <f t="shared" si="1"/>
        <v/>
      </c>
      <c r="G8083" s="1" t="str">
        <f t="shared" si="2"/>
        <v/>
      </c>
      <c r="J8083" s="1" t="str">
        <f t="shared" si="3"/>
        <v/>
      </c>
      <c r="K8083" s="1" t="str">
        <f t="shared" si="4"/>
        <v/>
      </c>
    </row>
    <row r="8084" hidden="1">
      <c r="F8084" s="1" t="str">
        <f t="shared" si="1"/>
        <v/>
      </c>
      <c r="G8084" s="1" t="str">
        <f t="shared" si="2"/>
        <v/>
      </c>
      <c r="J8084" s="1" t="str">
        <f t="shared" si="3"/>
        <v/>
      </c>
      <c r="K8084" s="1" t="str">
        <f t="shared" si="4"/>
        <v/>
      </c>
    </row>
    <row r="8085" hidden="1">
      <c r="F8085" s="1" t="str">
        <f t="shared" si="1"/>
        <v/>
      </c>
      <c r="G8085" s="1" t="str">
        <f t="shared" si="2"/>
        <v/>
      </c>
      <c r="J8085" s="1" t="str">
        <f t="shared" si="3"/>
        <v/>
      </c>
      <c r="K8085" s="1" t="str">
        <f t="shared" si="4"/>
        <v/>
      </c>
    </row>
    <row r="8086" hidden="1">
      <c r="F8086" s="1" t="str">
        <f t="shared" si="1"/>
        <v/>
      </c>
      <c r="G8086" s="1" t="str">
        <f t="shared" si="2"/>
        <v/>
      </c>
      <c r="J8086" s="1" t="str">
        <f t="shared" si="3"/>
        <v/>
      </c>
      <c r="K8086" s="1" t="str">
        <f t="shared" si="4"/>
        <v/>
      </c>
    </row>
    <row r="8087" hidden="1">
      <c r="F8087" s="1" t="str">
        <f t="shared" si="1"/>
        <v/>
      </c>
      <c r="G8087" s="1" t="str">
        <f t="shared" si="2"/>
        <v/>
      </c>
      <c r="J8087" s="1" t="str">
        <f t="shared" si="3"/>
        <v/>
      </c>
      <c r="K8087" s="1" t="str">
        <f t="shared" si="4"/>
        <v/>
      </c>
    </row>
    <row r="8088" hidden="1">
      <c r="F8088" s="1" t="str">
        <f t="shared" si="1"/>
        <v/>
      </c>
      <c r="G8088" s="1" t="str">
        <f t="shared" si="2"/>
        <v/>
      </c>
      <c r="J8088" s="1" t="str">
        <f t="shared" si="3"/>
        <v/>
      </c>
      <c r="K8088" s="1" t="str">
        <f t="shared" si="4"/>
        <v/>
      </c>
    </row>
    <row r="8089" hidden="1">
      <c r="F8089" s="1" t="str">
        <f t="shared" si="1"/>
        <v/>
      </c>
      <c r="G8089" s="1" t="str">
        <f t="shared" si="2"/>
        <v/>
      </c>
      <c r="J8089" s="1" t="str">
        <f t="shared" si="3"/>
        <v/>
      </c>
      <c r="K8089" s="1" t="str">
        <f t="shared" si="4"/>
        <v/>
      </c>
    </row>
    <row r="8090" hidden="1">
      <c r="F8090" s="1" t="str">
        <f t="shared" si="1"/>
        <v/>
      </c>
      <c r="G8090" s="1" t="str">
        <f t="shared" si="2"/>
        <v/>
      </c>
      <c r="J8090" s="1" t="str">
        <f t="shared" si="3"/>
        <v/>
      </c>
      <c r="K8090" s="1" t="str">
        <f t="shared" si="4"/>
        <v/>
      </c>
    </row>
    <row r="8091" hidden="1">
      <c r="F8091" s="1" t="str">
        <f t="shared" si="1"/>
        <v/>
      </c>
      <c r="G8091" s="1" t="str">
        <f t="shared" si="2"/>
        <v/>
      </c>
      <c r="J8091" s="1" t="str">
        <f t="shared" si="3"/>
        <v/>
      </c>
      <c r="K8091" s="1" t="str">
        <f t="shared" si="4"/>
        <v/>
      </c>
    </row>
    <row r="8092" hidden="1">
      <c r="F8092" s="1" t="str">
        <f t="shared" si="1"/>
        <v/>
      </c>
      <c r="G8092" s="1" t="str">
        <f t="shared" si="2"/>
        <v/>
      </c>
      <c r="J8092" s="1" t="str">
        <f t="shared" si="3"/>
        <v/>
      </c>
      <c r="K8092" s="1" t="str">
        <f t="shared" si="4"/>
        <v/>
      </c>
    </row>
    <row r="8093" hidden="1">
      <c r="F8093" s="1" t="str">
        <f t="shared" si="1"/>
        <v/>
      </c>
      <c r="G8093" s="1" t="str">
        <f t="shared" si="2"/>
        <v/>
      </c>
      <c r="J8093" s="1" t="str">
        <f t="shared" si="3"/>
        <v/>
      </c>
      <c r="K8093" s="1" t="str">
        <f t="shared" si="4"/>
        <v/>
      </c>
    </row>
    <row r="8094" hidden="1">
      <c r="F8094" s="1" t="str">
        <f t="shared" si="1"/>
        <v/>
      </c>
      <c r="G8094" s="1" t="str">
        <f t="shared" si="2"/>
        <v/>
      </c>
      <c r="J8094" s="1" t="str">
        <f t="shared" si="3"/>
        <v/>
      </c>
      <c r="K8094" s="1" t="str">
        <f t="shared" si="4"/>
        <v/>
      </c>
    </row>
    <row r="8095" hidden="1">
      <c r="F8095" s="1" t="str">
        <f t="shared" si="1"/>
        <v/>
      </c>
      <c r="G8095" s="1" t="str">
        <f t="shared" si="2"/>
        <v/>
      </c>
      <c r="J8095" s="1" t="str">
        <f t="shared" si="3"/>
        <v/>
      </c>
      <c r="K8095" s="1" t="str">
        <f t="shared" si="4"/>
        <v/>
      </c>
    </row>
    <row r="8096" hidden="1">
      <c r="F8096" s="1" t="str">
        <f t="shared" si="1"/>
        <v/>
      </c>
      <c r="G8096" s="1" t="str">
        <f t="shared" si="2"/>
        <v/>
      </c>
      <c r="J8096" s="1" t="str">
        <f t="shared" si="3"/>
        <v/>
      </c>
      <c r="K8096" s="1" t="str">
        <f t="shared" si="4"/>
        <v/>
      </c>
    </row>
    <row r="8097" hidden="1">
      <c r="F8097" s="1" t="str">
        <f t="shared" si="1"/>
        <v/>
      </c>
      <c r="G8097" s="1" t="str">
        <f t="shared" si="2"/>
        <v/>
      </c>
      <c r="J8097" s="1" t="str">
        <f t="shared" si="3"/>
        <v/>
      </c>
      <c r="K8097" s="1" t="str">
        <f t="shared" si="4"/>
        <v/>
      </c>
    </row>
    <row r="8098" hidden="1">
      <c r="F8098" s="1" t="str">
        <f t="shared" si="1"/>
        <v/>
      </c>
      <c r="G8098" s="1" t="str">
        <f t="shared" si="2"/>
        <v/>
      </c>
      <c r="J8098" s="1" t="str">
        <f t="shared" si="3"/>
        <v/>
      </c>
      <c r="K8098" s="1" t="str">
        <f t="shared" si="4"/>
        <v/>
      </c>
    </row>
    <row r="8099" hidden="1">
      <c r="F8099" s="1" t="str">
        <f t="shared" si="1"/>
        <v/>
      </c>
      <c r="G8099" s="1" t="str">
        <f t="shared" si="2"/>
        <v/>
      </c>
      <c r="J8099" s="1" t="str">
        <f t="shared" si="3"/>
        <v/>
      </c>
      <c r="K8099" s="1" t="str">
        <f t="shared" si="4"/>
        <v/>
      </c>
    </row>
    <row r="8100" hidden="1">
      <c r="F8100" s="1" t="str">
        <f t="shared" si="1"/>
        <v/>
      </c>
      <c r="G8100" s="1" t="str">
        <f t="shared" si="2"/>
        <v/>
      </c>
      <c r="J8100" s="1" t="str">
        <f t="shared" si="3"/>
        <v/>
      </c>
      <c r="K8100" s="1" t="str">
        <f t="shared" si="4"/>
        <v/>
      </c>
    </row>
    <row r="8101" hidden="1">
      <c r="F8101" s="1" t="str">
        <f t="shared" si="1"/>
        <v/>
      </c>
      <c r="G8101" s="1" t="str">
        <f t="shared" si="2"/>
        <v/>
      </c>
      <c r="J8101" s="1" t="str">
        <f t="shared" si="3"/>
        <v/>
      </c>
      <c r="K8101" s="1" t="str">
        <f t="shared" si="4"/>
        <v/>
      </c>
    </row>
    <row r="8102" hidden="1">
      <c r="F8102" s="1" t="str">
        <f t="shared" si="1"/>
        <v/>
      </c>
      <c r="G8102" s="1" t="str">
        <f t="shared" si="2"/>
        <v/>
      </c>
      <c r="J8102" s="1" t="str">
        <f t="shared" si="3"/>
        <v/>
      </c>
      <c r="K8102" s="1" t="str">
        <f t="shared" si="4"/>
        <v/>
      </c>
    </row>
    <row r="8103" hidden="1">
      <c r="F8103" s="1" t="str">
        <f t="shared" si="1"/>
        <v/>
      </c>
      <c r="G8103" s="1" t="str">
        <f t="shared" si="2"/>
        <v/>
      </c>
      <c r="J8103" s="1" t="str">
        <f t="shared" si="3"/>
        <v/>
      </c>
      <c r="K8103" s="1" t="str">
        <f t="shared" si="4"/>
        <v/>
      </c>
    </row>
    <row r="8104" hidden="1">
      <c r="F8104" s="1" t="str">
        <f t="shared" si="1"/>
        <v/>
      </c>
      <c r="G8104" s="1" t="str">
        <f t="shared" si="2"/>
        <v/>
      </c>
      <c r="J8104" s="1" t="str">
        <f t="shared" si="3"/>
        <v/>
      </c>
      <c r="K8104" s="1" t="str">
        <f t="shared" si="4"/>
        <v/>
      </c>
    </row>
    <row r="8105" hidden="1">
      <c r="F8105" s="1" t="str">
        <f t="shared" si="1"/>
        <v/>
      </c>
      <c r="G8105" s="1" t="str">
        <f t="shared" si="2"/>
        <v/>
      </c>
      <c r="J8105" s="1" t="str">
        <f t="shared" si="3"/>
        <v/>
      </c>
      <c r="K8105" s="1" t="str">
        <f t="shared" si="4"/>
        <v/>
      </c>
    </row>
    <row r="8106" hidden="1">
      <c r="F8106" s="1" t="str">
        <f t="shared" si="1"/>
        <v/>
      </c>
      <c r="G8106" s="1" t="str">
        <f t="shared" si="2"/>
        <v/>
      </c>
      <c r="J8106" s="1" t="str">
        <f t="shared" si="3"/>
        <v/>
      </c>
      <c r="K8106" s="1" t="str">
        <f t="shared" si="4"/>
        <v/>
      </c>
    </row>
    <row r="8107" hidden="1">
      <c r="F8107" s="1" t="str">
        <f t="shared" si="1"/>
        <v/>
      </c>
      <c r="G8107" s="1" t="str">
        <f t="shared" si="2"/>
        <v/>
      </c>
      <c r="J8107" s="1" t="str">
        <f t="shared" si="3"/>
        <v/>
      </c>
      <c r="K8107" s="1" t="str">
        <f t="shared" si="4"/>
        <v/>
      </c>
    </row>
    <row r="8108" hidden="1">
      <c r="F8108" s="1" t="str">
        <f t="shared" si="1"/>
        <v/>
      </c>
      <c r="G8108" s="1" t="str">
        <f t="shared" si="2"/>
        <v/>
      </c>
      <c r="J8108" s="1" t="str">
        <f t="shared" si="3"/>
        <v/>
      </c>
      <c r="K8108" s="1" t="str">
        <f t="shared" si="4"/>
        <v/>
      </c>
    </row>
    <row r="8109" hidden="1">
      <c r="F8109" s="1" t="str">
        <f t="shared" si="1"/>
        <v/>
      </c>
      <c r="G8109" s="1" t="str">
        <f t="shared" si="2"/>
        <v/>
      </c>
      <c r="J8109" s="1" t="str">
        <f t="shared" si="3"/>
        <v/>
      </c>
      <c r="K8109" s="1" t="str">
        <f t="shared" si="4"/>
        <v/>
      </c>
    </row>
    <row r="8110" hidden="1">
      <c r="F8110" s="1" t="str">
        <f t="shared" si="1"/>
        <v/>
      </c>
      <c r="G8110" s="1" t="str">
        <f t="shared" si="2"/>
        <v/>
      </c>
      <c r="J8110" s="1" t="str">
        <f t="shared" si="3"/>
        <v/>
      </c>
      <c r="K8110" s="1" t="str">
        <f t="shared" si="4"/>
        <v/>
      </c>
    </row>
    <row r="8111" hidden="1">
      <c r="F8111" s="1" t="str">
        <f t="shared" si="1"/>
        <v/>
      </c>
      <c r="G8111" s="1" t="str">
        <f t="shared" si="2"/>
        <v/>
      </c>
      <c r="J8111" s="1" t="str">
        <f t="shared" si="3"/>
        <v/>
      </c>
      <c r="K8111" s="1" t="str">
        <f t="shared" si="4"/>
        <v/>
      </c>
    </row>
    <row r="8112" hidden="1">
      <c r="F8112" s="1" t="str">
        <f t="shared" si="1"/>
        <v/>
      </c>
      <c r="G8112" s="1" t="str">
        <f t="shared" si="2"/>
        <v/>
      </c>
      <c r="J8112" s="1" t="str">
        <f t="shared" si="3"/>
        <v/>
      </c>
      <c r="K8112" s="1" t="str">
        <f t="shared" si="4"/>
        <v/>
      </c>
    </row>
    <row r="8113" hidden="1">
      <c r="F8113" s="1" t="str">
        <f t="shared" si="1"/>
        <v/>
      </c>
      <c r="G8113" s="1" t="str">
        <f t="shared" si="2"/>
        <v/>
      </c>
      <c r="J8113" s="1" t="str">
        <f t="shared" si="3"/>
        <v/>
      </c>
      <c r="K8113" s="1" t="str">
        <f t="shared" si="4"/>
        <v/>
      </c>
    </row>
    <row r="8114" hidden="1">
      <c r="F8114" s="1" t="str">
        <f t="shared" si="1"/>
        <v/>
      </c>
      <c r="G8114" s="1" t="str">
        <f t="shared" si="2"/>
        <v/>
      </c>
      <c r="J8114" s="1" t="str">
        <f t="shared" si="3"/>
        <v/>
      </c>
      <c r="K8114" s="1" t="str">
        <f t="shared" si="4"/>
        <v/>
      </c>
    </row>
    <row r="8115" hidden="1">
      <c r="F8115" s="1" t="str">
        <f t="shared" si="1"/>
        <v/>
      </c>
      <c r="G8115" s="1" t="str">
        <f t="shared" si="2"/>
        <v/>
      </c>
      <c r="J8115" s="1" t="str">
        <f t="shared" si="3"/>
        <v/>
      </c>
      <c r="K8115" s="1" t="str">
        <f t="shared" si="4"/>
        <v/>
      </c>
    </row>
    <row r="8116" hidden="1">
      <c r="F8116" s="1" t="str">
        <f t="shared" si="1"/>
        <v/>
      </c>
      <c r="G8116" s="1" t="str">
        <f t="shared" si="2"/>
        <v/>
      </c>
      <c r="J8116" s="1" t="str">
        <f t="shared" si="3"/>
        <v/>
      </c>
      <c r="K8116" s="1" t="str">
        <f t="shared" si="4"/>
        <v/>
      </c>
    </row>
    <row r="8117" hidden="1">
      <c r="F8117" s="1" t="str">
        <f t="shared" si="1"/>
        <v/>
      </c>
      <c r="G8117" s="1" t="str">
        <f t="shared" si="2"/>
        <v/>
      </c>
      <c r="J8117" s="1" t="str">
        <f t="shared" si="3"/>
        <v/>
      </c>
      <c r="K8117" s="1" t="str">
        <f t="shared" si="4"/>
        <v/>
      </c>
    </row>
    <row r="8118" hidden="1">
      <c r="F8118" s="1" t="str">
        <f t="shared" si="1"/>
        <v/>
      </c>
      <c r="G8118" s="1" t="str">
        <f t="shared" si="2"/>
        <v/>
      </c>
      <c r="J8118" s="1" t="str">
        <f t="shared" si="3"/>
        <v/>
      </c>
      <c r="K8118" s="1" t="str">
        <f t="shared" si="4"/>
        <v/>
      </c>
    </row>
    <row r="8119" hidden="1">
      <c r="F8119" s="1" t="str">
        <f t="shared" si="1"/>
        <v/>
      </c>
      <c r="G8119" s="1" t="str">
        <f t="shared" si="2"/>
        <v/>
      </c>
      <c r="J8119" s="1" t="str">
        <f t="shared" si="3"/>
        <v/>
      </c>
      <c r="K8119" s="1" t="str">
        <f t="shared" si="4"/>
        <v/>
      </c>
    </row>
    <row r="8120" hidden="1">
      <c r="F8120" s="1" t="str">
        <f t="shared" si="1"/>
        <v/>
      </c>
      <c r="G8120" s="1" t="str">
        <f t="shared" si="2"/>
        <v/>
      </c>
      <c r="J8120" s="1" t="str">
        <f t="shared" si="3"/>
        <v/>
      </c>
      <c r="K8120" s="1" t="str">
        <f t="shared" si="4"/>
        <v/>
      </c>
    </row>
    <row r="8121" hidden="1">
      <c r="F8121" s="1" t="str">
        <f t="shared" si="1"/>
        <v/>
      </c>
      <c r="G8121" s="1" t="str">
        <f t="shared" si="2"/>
        <v/>
      </c>
      <c r="J8121" s="1" t="str">
        <f t="shared" si="3"/>
        <v/>
      </c>
      <c r="K8121" s="1" t="str">
        <f t="shared" si="4"/>
        <v/>
      </c>
    </row>
    <row r="8122" hidden="1">
      <c r="F8122" s="1" t="str">
        <f t="shared" si="1"/>
        <v/>
      </c>
      <c r="G8122" s="1" t="str">
        <f t="shared" si="2"/>
        <v/>
      </c>
      <c r="J8122" s="1" t="str">
        <f t="shared" si="3"/>
        <v/>
      </c>
      <c r="K8122" s="1" t="str">
        <f t="shared" si="4"/>
        <v/>
      </c>
    </row>
    <row r="8123" hidden="1">
      <c r="F8123" s="1" t="str">
        <f t="shared" si="1"/>
        <v/>
      </c>
      <c r="G8123" s="1" t="str">
        <f t="shared" si="2"/>
        <v/>
      </c>
      <c r="J8123" s="1" t="str">
        <f t="shared" si="3"/>
        <v/>
      </c>
      <c r="K8123" s="1" t="str">
        <f t="shared" si="4"/>
        <v/>
      </c>
    </row>
    <row r="8124" hidden="1">
      <c r="F8124" s="1" t="str">
        <f t="shared" si="1"/>
        <v/>
      </c>
      <c r="G8124" s="1" t="str">
        <f t="shared" si="2"/>
        <v/>
      </c>
      <c r="J8124" s="1" t="str">
        <f t="shared" si="3"/>
        <v/>
      </c>
      <c r="K8124" s="1" t="str">
        <f t="shared" si="4"/>
        <v/>
      </c>
    </row>
    <row r="8125" hidden="1">
      <c r="F8125" s="1" t="str">
        <f t="shared" si="1"/>
        <v/>
      </c>
      <c r="G8125" s="1" t="str">
        <f t="shared" si="2"/>
        <v/>
      </c>
      <c r="J8125" s="1" t="str">
        <f t="shared" si="3"/>
        <v/>
      </c>
      <c r="K8125" s="1" t="str">
        <f t="shared" si="4"/>
        <v/>
      </c>
    </row>
    <row r="8126" hidden="1">
      <c r="F8126" s="1" t="str">
        <f t="shared" si="1"/>
        <v/>
      </c>
      <c r="G8126" s="1" t="str">
        <f t="shared" si="2"/>
        <v/>
      </c>
      <c r="J8126" s="1" t="str">
        <f t="shared" si="3"/>
        <v/>
      </c>
      <c r="K8126" s="1" t="str">
        <f t="shared" si="4"/>
        <v/>
      </c>
    </row>
    <row r="8127" hidden="1">
      <c r="F8127" s="1" t="str">
        <f t="shared" si="1"/>
        <v/>
      </c>
      <c r="G8127" s="1" t="str">
        <f t="shared" si="2"/>
        <v/>
      </c>
      <c r="J8127" s="1" t="str">
        <f t="shared" si="3"/>
        <v/>
      </c>
      <c r="K8127" s="1" t="str">
        <f t="shared" si="4"/>
        <v/>
      </c>
    </row>
    <row r="8128" hidden="1">
      <c r="F8128" s="1" t="str">
        <f t="shared" si="1"/>
        <v/>
      </c>
      <c r="G8128" s="1" t="str">
        <f t="shared" si="2"/>
        <v/>
      </c>
      <c r="J8128" s="1" t="str">
        <f t="shared" si="3"/>
        <v/>
      </c>
      <c r="K8128" s="1" t="str">
        <f t="shared" si="4"/>
        <v/>
      </c>
    </row>
    <row r="8129" hidden="1">
      <c r="F8129" s="1" t="str">
        <f t="shared" si="1"/>
        <v/>
      </c>
      <c r="G8129" s="1" t="str">
        <f t="shared" si="2"/>
        <v/>
      </c>
      <c r="J8129" s="1" t="str">
        <f t="shared" si="3"/>
        <v/>
      </c>
      <c r="K8129" s="1" t="str">
        <f t="shared" si="4"/>
        <v/>
      </c>
    </row>
    <row r="8130" hidden="1">
      <c r="F8130" s="1" t="str">
        <f t="shared" si="1"/>
        <v/>
      </c>
      <c r="G8130" s="1" t="str">
        <f t="shared" si="2"/>
        <v/>
      </c>
      <c r="J8130" s="1" t="str">
        <f t="shared" si="3"/>
        <v/>
      </c>
      <c r="K8130" s="1" t="str">
        <f t="shared" si="4"/>
        <v/>
      </c>
    </row>
    <row r="8131" hidden="1">
      <c r="F8131" s="1" t="str">
        <f t="shared" si="1"/>
        <v/>
      </c>
      <c r="G8131" s="1" t="str">
        <f t="shared" si="2"/>
        <v/>
      </c>
      <c r="J8131" s="1" t="str">
        <f t="shared" si="3"/>
        <v/>
      </c>
      <c r="K8131" s="1" t="str">
        <f t="shared" si="4"/>
        <v/>
      </c>
    </row>
    <row r="8132" hidden="1">
      <c r="F8132" s="1" t="str">
        <f t="shared" si="1"/>
        <v/>
      </c>
      <c r="G8132" s="1" t="str">
        <f t="shared" si="2"/>
        <v/>
      </c>
      <c r="J8132" s="1" t="str">
        <f t="shared" si="3"/>
        <v/>
      </c>
      <c r="K8132" s="1" t="str">
        <f t="shared" si="4"/>
        <v/>
      </c>
    </row>
    <row r="8133" hidden="1">
      <c r="F8133" s="1" t="str">
        <f t="shared" si="1"/>
        <v/>
      </c>
      <c r="G8133" s="1" t="str">
        <f t="shared" si="2"/>
        <v/>
      </c>
      <c r="J8133" s="1" t="str">
        <f t="shared" si="3"/>
        <v/>
      </c>
      <c r="K8133" s="1" t="str">
        <f t="shared" si="4"/>
        <v/>
      </c>
    </row>
    <row r="8134" hidden="1">
      <c r="F8134" s="1" t="str">
        <f t="shared" si="1"/>
        <v/>
      </c>
      <c r="G8134" s="1" t="str">
        <f t="shared" si="2"/>
        <v/>
      </c>
      <c r="J8134" s="1" t="str">
        <f t="shared" si="3"/>
        <v/>
      </c>
      <c r="K8134" s="1" t="str">
        <f t="shared" si="4"/>
        <v/>
      </c>
    </row>
    <row r="8135" hidden="1">
      <c r="F8135" s="1" t="str">
        <f t="shared" si="1"/>
        <v/>
      </c>
      <c r="G8135" s="1" t="str">
        <f t="shared" si="2"/>
        <v/>
      </c>
      <c r="J8135" s="1" t="str">
        <f t="shared" si="3"/>
        <v/>
      </c>
      <c r="K8135" s="1" t="str">
        <f t="shared" si="4"/>
        <v/>
      </c>
    </row>
    <row r="8136" hidden="1">
      <c r="F8136" s="1" t="str">
        <f t="shared" si="1"/>
        <v/>
      </c>
      <c r="G8136" s="1" t="str">
        <f t="shared" si="2"/>
        <v/>
      </c>
      <c r="J8136" s="1" t="str">
        <f t="shared" si="3"/>
        <v/>
      </c>
      <c r="K8136" s="1" t="str">
        <f t="shared" si="4"/>
        <v/>
      </c>
    </row>
    <row r="8137" hidden="1">
      <c r="F8137" s="1" t="str">
        <f t="shared" si="1"/>
        <v/>
      </c>
      <c r="G8137" s="1" t="str">
        <f t="shared" si="2"/>
        <v/>
      </c>
      <c r="J8137" s="1" t="str">
        <f t="shared" si="3"/>
        <v/>
      </c>
      <c r="K8137" s="1" t="str">
        <f t="shared" si="4"/>
        <v/>
      </c>
    </row>
    <row r="8138" hidden="1">
      <c r="F8138" s="1" t="str">
        <f t="shared" si="1"/>
        <v/>
      </c>
      <c r="G8138" s="1" t="str">
        <f t="shared" si="2"/>
        <v/>
      </c>
      <c r="J8138" s="1" t="str">
        <f t="shared" si="3"/>
        <v/>
      </c>
      <c r="K8138" s="1" t="str">
        <f t="shared" si="4"/>
        <v/>
      </c>
    </row>
    <row r="8139" hidden="1">
      <c r="F8139" s="1" t="str">
        <f t="shared" si="1"/>
        <v/>
      </c>
      <c r="G8139" s="1" t="str">
        <f t="shared" si="2"/>
        <v/>
      </c>
      <c r="J8139" s="1" t="str">
        <f t="shared" si="3"/>
        <v/>
      </c>
      <c r="K8139" s="1" t="str">
        <f t="shared" si="4"/>
        <v/>
      </c>
    </row>
    <row r="8140" hidden="1">
      <c r="F8140" s="1" t="str">
        <f t="shared" si="1"/>
        <v/>
      </c>
      <c r="G8140" s="1" t="str">
        <f t="shared" si="2"/>
        <v/>
      </c>
      <c r="J8140" s="1" t="str">
        <f t="shared" si="3"/>
        <v/>
      </c>
      <c r="K8140" s="1" t="str">
        <f t="shared" si="4"/>
        <v/>
      </c>
    </row>
    <row r="8141" hidden="1">
      <c r="F8141" s="1" t="str">
        <f t="shared" si="1"/>
        <v/>
      </c>
      <c r="G8141" s="1" t="str">
        <f t="shared" si="2"/>
        <v/>
      </c>
      <c r="J8141" s="1" t="str">
        <f t="shared" si="3"/>
        <v/>
      </c>
      <c r="K8141" s="1" t="str">
        <f t="shared" si="4"/>
        <v/>
      </c>
    </row>
    <row r="8142" hidden="1">
      <c r="F8142" s="1" t="str">
        <f t="shared" si="1"/>
        <v/>
      </c>
      <c r="G8142" s="1" t="str">
        <f t="shared" si="2"/>
        <v/>
      </c>
      <c r="J8142" s="1" t="str">
        <f t="shared" si="3"/>
        <v/>
      </c>
      <c r="K8142" s="1" t="str">
        <f t="shared" si="4"/>
        <v/>
      </c>
    </row>
    <row r="8143" hidden="1">
      <c r="F8143" s="1" t="str">
        <f t="shared" si="1"/>
        <v/>
      </c>
      <c r="G8143" s="1" t="str">
        <f t="shared" si="2"/>
        <v/>
      </c>
      <c r="J8143" s="1" t="str">
        <f t="shared" si="3"/>
        <v/>
      </c>
      <c r="K8143" s="1" t="str">
        <f t="shared" si="4"/>
        <v/>
      </c>
    </row>
    <row r="8144" hidden="1">
      <c r="F8144" s="1" t="str">
        <f t="shared" si="1"/>
        <v/>
      </c>
      <c r="G8144" s="1" t="str">
        <f t="shared" si="2"/>
        <v/>
      </c>
      <c r="J8144" s="1" t="str">
        <f t="shared" si="3"/>
        <v/>
      </c>
      <c r="K8144" s="1" t="str">
        <f t="shared" si="4"/>
        <v/>
      </c>
    </row>
    <row r="8145" hidden="1">
      <c r="F8145" s="1" t="str">
        <f t="shared" si="1"/>
        <v/>
      </c>
      <c r="G8145" s="1" t="str">
        <f t="shared" si="2"/>
        <v/>
      </c>
      <c r="J8145" s="1" t="str">
        <f t="shared" si="3"/>
        <v/>
      </c>
      <c r="K8145" s="1" t="str">
        <f t="shared" si="4"/>
        <v/>
      </c>
    </row>
    <row r="8146" hidden="1">
      <c r="F8146" s="1" t="str">
        <f t="shared" si="1"/>
        <v/>
      </c>
      <c r="G8146" s="1" t="str">
        <f t="shared" si="2"/>
        <v/>
      </c>
      <c r="J8146" s="1" t="str">
        <f t="shared" si="3"/>
        <v/>
      </c>
      <c r="K8146" s="1" t="str">
        <f t="shared" si="4"/>
        <v/>
      </c>
    </row>
    <row r="8147" hidden="1">
      <c r="F8147" s="1" t="str">
        <f t="shared" si="1"/>
        <v/>
      </c>
      <c r="G8147" s="1" t="str">
        <f t="shared" si="2"/>
        <v/>
      </c>
      <c r="J8147" s="1" t="str">
        <f t="shared" si="3"/>
        <v/>
      </c>
      <c r="K8147" s="1" t="str">
        <f t="shared" si="4"/>
        <v/>
      </c>
    </row>
    <row r="8148" hidden="1">
      <c r="F8148" s="1" t="str">
        <f t="shared" si="1"/>
        <v/>
      </c>
      <c r="G8148" s="1" t="str">
        <f t="shared" si="2"/>
        <v/>
      </c>
      <c r="J8148" s="1" t="str">
        <f t="shared" si="3"/>
        <v/>
      </c>
      <c r="K8148" s="1" t="str">
        <f t="shared" si="4"/>
        <v/>
      </c>
    </row>
    <row r="8149" hidden="1">
      <c r="F8149" s="1" t="str">
        <f t="shared" si="1"/>
        <v/>
      </c>
      <c r="G8149" s="1" t="str">
        <f t="shared" si="2"/>
        <v/>
      </c>
      <c r="J8149" s="1" t="str">
        <f t="shared" si="3"/>
        <v/>
      </c>
      <c r="K8149" s="1" t="str">
        <f t="shared" si="4"/>
        <v/>
      </c>
    </row>
    <row r="8150" hidden="1">
      <c r="F8150" s="1" t="str">
        <f t="shared" si="1"/>
        <v/>
      </c>
      <c r="G8150" s="1" t="str">
        <f t="shared" si="2"/>
        <v/>
      </c>
      <c r="J8150" s="1" t="str">
        <f t="shared" si="3"/>
        <v/>
      </c>
      <c r="K8150" s="1" t="str">
        <f t="shared" si="4"/>
        <v/>
      </c>
    </row>
    <row r="8151" hidden="1">
      <c r="F8151" s="1" t="str">
        <f t="shared" si="1"/>
        <v/>
      </c>
      <c r="G8151" s="1" t="str">
        <f t="shared" si="2"/>
        <v/>
      </c>
      <c r="J8151" s="1" t="str">
        <f t="shared" si="3"/>
        <v/>
      </c>
      <c r="K8151" s="1" t="str">
        <f t="shared" si="4"/>
        <v/>
      </c>
    </row>
    <row r="8152" hidden="1">
      <c r="F8152" s="1" t="str">
        <f t="shared" si="1"/>
        <v/>
      </c>
      <c r="G8152" s="1" t="str">
        <f t="shared" si="2"/>
        <v/>
      </c>
      <c r="J8152" s="1" t="str">
        <f t="shared" si="3"/>
        <v/>
      </c>
      <c r="K8152" s="1" t="str">
        <f t="shared" si="4"/>
        <v/>
      </c>
    </row>
    <row r="8153" hidden="1">
      <c r="F8153" s="1" t="str">
        <f t="shared" si="1"/>
        <v/>
      </c>
      <c r="G8153" s="1" t="str">
        <f t="shared" si="2"/>
        <v/>
      </c>
      <c r="J8153" s="1" t="str">
        <f t="shared" si="3"/>
        <v/>
      </c>
      <c r="K8153" s="1" t="str">
        <f t="shared" si="4"/>
        <v/>
      </c>
    </row>
    <row r="8154" hidden="1">
      <c r="F8154" s="1" t="str">
        <f t="shared" si="1"/>
        <v/>
      </c>
      <c r="G8154" s="1" t="str">
        <f t="shared" si="2"/>
        <v/>
      </c>
      <c r="J8154" s="1" t="str">
        <f t="shared" si="3"/>
        <v/>
      </c>
      <c r="K8154" s="1" t="str">
        <f t="shared" si="4"/>
        <v/>
      </c>
    </row>
    <row r="8155" hidden="1">
      <c r="F8155" s="1" t="str">
        <f t="shared" si="1"/>
        <v/>
      </c>
      <c r="G8155" s="1" t="str">
        <f t="shared" si="2"/>
        <v/>
      </c>
      <c r="J8155" s="1" t="str">
        <f t="shared" si="3"/>
        <v/>
      </c>
      <c r="K8155" s="1" t="str">
        <f t="shared" si="4"/>
        <v/>
      </c>
    </row>
    <row r="8156" hidden="1">
      <c r="F8156" s="1" t="str">
        <f t="shared" si="1"/>
        <v/>
      </c>
      <c r="G8156" s="1" t="str">
        <f t="shared" si="2"/>
        <v/>
      </c>
      <c r="J8156" s="1" t="str">
        <f t="shared" si="3"/>
        <v/>
      </c>
      <c r="K8156" s="1" t="str">
        <f t="shared" si="4"/>
        <v/>
      </c>
    </row>
    <row r="8157" hidden="1">
      <c r="F8157" s="1" t="str">
        <f t="shared" si="1"/>
        <v/>
      </c>
      <c r="G8157" s="1" t="str">
        <f t="shared" si="2"/>
        <v/>
      </c>
      <c r="J8157" s="1" t="str">
        <f t="shared" si="3"/>
        <v/>
      </c>
      <c r="K8157" s="1" t="str">
        <f t="shared" si="4"/>
        <v/>
      </c>
    </row>
    <row r="8158" hidden="1">
      <c r="F8158" s="1" t="str">
        <f t="shared" si="1"/>
        <v/>
      </c>
      <c r="G8158" s="1" t="str">
        <f t="shared" si="2"/>
        <v/>
      </c>
      <c r="J8158" s="1" t="str">
        <f t="shared" si="3"/>
        <v/>
      </c>
      <c r="K8158" s="1" t="str">
        <f t="shared" si="4"/>
        <v/>
      </c>
    </row>
    <row r="8159" hidden="1">
      <c r="F8159" s="1" t="str">
        <f t="shared" si="1"/>
        <v/>
      </c>
      <c r="G8159" s="1" t="str">
        <f t="shared" si="2"/>
        <v/>
      </c>
      <c r="J8159" s="1" t="str">
        <f t="shared" si="3"/>
        <v/>
      </c>
      <c r="K8159" s="1" t="str">
        <f t="shared" si="4"/>
        <v/>
      </c>
    </row>
    <row r="8160" hidden="1">
      <c r="F8160" s="1" t="str">
        <f t="shared" si="1"/>
        <v/>
      </c>
      <c r="G8160" s="1" t="str">
        <f t="shared" si="2"/>
        <v/>
      </c>
      <c r="J8160" s="1" t="str">
        <f t="shared" si="3"/>
        <v/>
      </c>
      <c r="K8160" s="1" t="str">
        <f t="shared" si="4"/>
        <v/>
      </c>
    </row>
    <row r="8161" hidden="1">
      <c r="F8161" s="1" t="str">
        <f t="shared" si="1"/>
        <v/>
      </c>
      <c r="G8161" s="1" t="str">
        <f t="shared" si="2"/>
        <v/>
      </c>
      <c r="J8161" s="1" t="str">
        <f t="shared" si="3"/>
        <v/>
      </c>
      <c r="K8161" s="1" t="str">
        <f t="shared" si="4"/>
        <v/>
      </c>
    </row>
    <row r="8162" hidden="1">
      <c r="F8162" s="1" t="str">
        <f t="shared" si="1"/>
        <v/>
      </c>
      <c r="G8162" s="1" t="str">
        <f t="shared" si="2"/>
        <v/>
      </c>
      <c r="J8162" s="1" t="str">
        <f t="shared" si="3"/>
        <v/>
      </c>
      <c r="K8162" s="1" t="str">
        <f t="shared" si="4"/>
        <v/>
      </c>
    </row>
    <row r="8163" hidden="1">
      <c r="F8163" s="1" t="str">
        <f t="shared" si="1"/>
        <v/>
      </c>
      <c r="G8163" s="1" t="str">
        <f t="shared" si="2"/>
        <v/>
      </c>
      <c r="J8163" s="1" t="str">
        <f t="shared" si="3"/>
        <v/>
      </c>
      <c r="K8163" s="1" t="str">
        <f t="shared" si="4"/>
        <v/>
      </c>
    </row>
    <row r="8164" hidden="1">
      <c r="F8164" s="1" t="str">
        <f t="shared" si="1"/>
        <v/>
      </c>
      <c r="G8164" s="1" t="str">
        <f t="shared" si="2"/>
        <v/>
      </c>
      <c r="J8164" s="1" t="str">
        <f t="shared" si="3"/>
        <v/>
      </c>
      <c r="K8164" s="1" t="str">
        <f t="shared" si="4"/>
        <v/>
      </c>
    </row>
    <row r="8165" hidden="1">
      <c r="F8165" s="1" t="str">
        <f t="shared" si="1"/>
        <v/>
      </c>
      <c r="G8165" s="1" t="str">
        <f t="shared" si="2"/>
        <v/>
      </c>
      <c r="J8165" s="1" t="str">
        <f t="shared" si="3"/>
        <v/>
      </c>
      <c r="K8165" s="1" t="str">
        <f t="shared" si="4"/>
        <v/>
      </c>
    </row>
    <row r="8166" hidden="1">
      <c r="F8166" s="1" t="str">
        <f t="shared" si="1"/>
        <v/>
      </c>
      <c r="G8166" s="1" t="str">
        <f t="shared" si="2"/>
        <v/>
      </c>
      <c r="J8166" s="1" t="str">
        <f t="shared" si="3"/>
        <v/>
      </c>
      <c r="K8166" s="1" t="str">
        <f t="shared" si="4"/>
        <v/>
      </c>
    </row>
    <row r="8167" hidden="1">
      <c r="F8167" s="1" t="str">
        <f t="shared" si="1"/>
        <v/>
      </c>
      <c r="G8167" s="1" t="str">
        <f t="shared" si="2"/>
        <v/>
      </c>
      <c r="J8167" s="1" t="str">
        <f t="shared" si="3"/>
        <v/>
      </c>
      <c r="K8167" s="1" t="str">
        <f t="shared" si="4"/>
        <v/>
      </c>
    </row>
    <row r="8168" hidden="1">
      <c r="F8168" s="1" t="str">
        <f t="shared" si="1"/>
        <v/>
      </c>
      <c r="G8168" s="1" t="str">
        <f t="shared" si="2"/>
        <v/>
      </c>
      <c r="J8168" s="1" t="str">
        <f t="shared" si="3"/>
        <v/>
      </c>
      <c r="K8168" s="1" t="str">
        <f t="shared" si="4"/>
        <v/>
      </c>
    </row>
    <row r="8169" hidden="1">
      <c r="F8169" s="1" t="str">
        <f t="shared" si="1"/>
        <v/>
      </c>
      <c r="G8169" s="1" t="str">
        <f t="shared" si="2"/>
        <v/>
      </c>
      <c r="J8169" s="1" t="str">
        <f t="shared" si="3"/>
        <v/>
      </c>
      <c r="K8169" s="1" t="str">
        <f t="shared" si="4"/>
        <v/>
      </c>
    </row>
    <row r="8170" hidden="1">
      <c r="F8170" s="1" t="str">
        <f t="shared" si="1"/>
        <v/>
      </c>
      <c r="G8170" s="1" t="str">
        <f t="shared" si="2"/>
        <v/>
      </c>
      <c r="J8170" s="1" t="str">
        <f t="shared" si="3"/>
        <v/>
      </c>
      <c r="K8170" s="1" t="str">
        <f t="shared" si="4"/>
        <v/>
      </c>
    </row>
    <row r="8171" hidden="1">
      <c r="F8171" s="1" t="str">
        <f t="shared" si="1"/>
        <v/>
      </c>
      <c r="G8171" s="1" t="str">
        <f t="shared" si="2"/>
        <v/>
      </c>
      <c r="J8171" s="1" t="str">
        <f t="shared" si="3"/>
        <v/>
      </c>
      <c r="K8171" s="1" t="str">
        <f t="shared" si="4"/>
        <v/>
      </c>
    </row>
    <row r="8172" hidden="1">
      <c r="F8172" s="1" t="str">
        <f t="shared" si="1"/>
        <v/>
      </c>
      <c r="G8172" s="1" t="str">
        <f t="shared" si="2"/>
        <v/>
      </c>
      <c r="J8172" s="1" t="str">
        <f t="shared" si="3"/>
        <v/>
      </c>
      <c r="K8172" s="1" t="str">
        <f t="shared" si="4"/>
        <v/>
      </c>
    </row>
    <row r="8173" hidden="1">
      <c r="F8173" s="1" t="str">
        <f t="shared" si="1"/>
        <v/>
      </c>
      <c r="G8173" s="1" t="str">
        <f t="shared" si="2"/>
        <v/>
      </c>
      <c r="J8173" s="1" t="str">
        <f t="shared" si="3"/>
        <v/>
      </c>
      <c r="K8173" s="1" t="str">
        <f t="shared" si="4"/>
        <v/>
      </c>
    </row>
    <row r="8174" hidden="1">
      <c r="F8174" s="1" t="str">
        <f t="shared" si="1"/>
        <v/>
      </c>
      <c r="G8174" s="1" t="str">
        <f t="shared" si="2"/>
        <v/>
      </c>
      <c r="J8174" s="1" t="str">
        <f t="shared" si="3"/>
        <v/>
      </c>
      <c r="K8174" s="1" t="str">
        <f t="shared" si="4"/>
        <v/>
      </c>
    </row>
    <row r="8175" hidden="1">
      <c r="F8175" s="1" t="str">
        <f t="shared" si="1"/>
        <v/>
      </c>
      <c r="G8175" s="1" t="str">
        <f t="shared" si="2"/>
        <v/>
      </c>
      <c r="J8175" s="1" t="str">
        <f t="shared" si="3"/>
        <v/>
      </c>
      <c r="K8175" s="1" t="str">
        <f t="shared" si="4"/>
        <v/>
      </c>
    </row>
    <row r="8176" hidden="1">
      <c r="F8176" s="1" t="str">
        <f t="shared" si="1"/>
        <v/>
      </c>
      <c r="G8176" s="1" t="str">
        <f t="shared" si="2"/>
        <v/>
      </c>
      <c r="J8176" s="1" t="str">
        <f t="shared" si="3"/>
        <v/>
      </c>
      <c r="K8176" s="1" t="str">
        <f t="shared" si="4"/>
        <v/>
      </c>
    </row>
    <row r="8177" hidden="1">
      <c r="F8177" s="1" t="str">
        <f t="shared" si="1"/>
        <v/>
      </c>
      <c r="G8177" s="1" t="str">
        <f t="shared" si="2"/>
        <v/>
      </c>
      <c r="J8177" s="1" t="str">
        <f t="shared" si="3"/>
        <v/>
      </c>
      <c r="K8177" s="1" t="str">
        <f t="shared" si="4"/>
        <v/>
      </c>
    </row>
    <row r="8178" hidden="1">
      <c r="F8178" s="1" t="str">
        <f t="shared" si="1"/>
        <v/>
      </c>
      <c r="G8178" s="1" t="str">
        <f t="shared" si="2"/>
        <v/>
      </c>
      <c r="J8178" s="1" t="str">
        <f t="shared" si="3"/>
        <v/>
      </c>
      <c r="K8178" s="1" t="str">
        <f t="shared" si="4"/>
        <v/>
      </c>
    </row>
    <row r="8179" hidden="1">
      <c r="F8179" s="1" t="str">
        <f t="shared" si="1"/>
        <v/>
      </c>
      <c r="G8179" s="1" t="str">
        <f t="shared" si="2"/>
        <v/>
      </c>
      <c r="J8179" s="1" t="str">
        <f t="shared" si="3"/>
        <v/>
      </c>
      <c r="K8179" s="1" t="str">
        <f t="shared" si="4"/>
        <v/>
      </c>
    </row>
    <row r="8180" hidden="1">
      <c r="F8180" s="1" t="str">
        <f t="shared" si="1"/>
        <v/>
      </c>
      <c r="G8180" s="1" t="str">
        <f t="shared" si="2"/>
        <v/>
      </c>
      <c r="J8180" s="1" t="str">
        <f t="shared" si="3"/>
        <v/>
      </c>
      <c r="K8180" s="1" t="str">
        <f t="shared" si="4"/>
        <v/>
      </c>
    </row>
    <row r="8181" hidden="1">
      <c r="F8181" s="1" t="str">
        <f t="shared" si="1"/>
        <v/>
      </c>
      <c r="G8181" s="1" t="str">
        <f t="shared" si="2"/>
        <v/>
      </c>
      <c r="J8181" s="1" t="str">
        <f t="shared" si="3"/>
        <v/>
      </c>
      <c r="K8181" s="1" t="str">
        <f t="shared" si="4"/>
        <v/>
      </c>
    </row>
    <row r="8182" hidden="1">
      <c r="F8182" s="1" t="str">
        <f t="shared" si="1"/>
        <v/>
      </c>
      <c r="G8182" s="1" t="str">
        <f t="shared" si="2"/>
        <v/>
      </c>
      <c r="J8182" s="1" t="str">
        <f t="shared" si="3"/>
        <v/>
      </c>
      <c r="K8182" s="1" t="str">
        <f t="shared" si="4"/>
        <v/>
      </c>
    </row>
    <row r="8183" hidden="1">
      <c r="F8183" s="1" t="str">
        <f t="shared" si="1"/>
        <v/>
      </c>
      <c r="G8183" s="1" t="str">
        <f t="shared" si="2"/>
        <v/>
      </c>
      <c r="J8183" s="1" t="str">
        <f t="shared" si="3"/>
        <v/>
      </c>
      <c r="K8183" s="1" t="str">
        <f t="shared" si="4"/>
        <v/>
      </c>
    </row>
    <row r="8184" hidden="1">
      <c r="F8184" s="1" t="str">
        <f t="shared" si="1"/>
        <v/>
      </c>
      <c r="G8184" s="1" t="str">
        <f t="shared" si="2"/>
        <v/>
      </c>
      <c r="J8184" s="1" t="str">
        <f t="shared" si="3"/>
        <v/>
      </c>
      <c r="K8184" s="1" t="str">
        <f t="shared" si="4"/>
        <v/>
      </c>
    </row>
    <row r="8185" hidden="1">
      <c r="F8185" s="1" t="str">
        <f t="shared" si="1"/>
        <v/>
      </c>
      <c r="G8185" s="1" t="str">
        <f t="shared" si="2"/>
        <v/>
      </c>
      <c r="J8185" s="1" t="str">
        <f t="shared" si="3"/>
        <v/>
      </c>
      <c r="K8185" s="1" t="str">
        <f t="shared" si="4"/>
        <v/>
      </c>
    </row>
    <row r="8186" hidden="1">
      <c r="F8186" s="1" t="str">
        <f t="shared" si="1"/>
        <v/>
      </c>
      <c r="G8186" s="1" t="str">
        <f t="shared" si="2"/>
        <v/>
      </c>
      <c r="J8186" s="1" t="str">
        <f t="shared" si="3"/>
        <v/>
      </c>
      <c r="K8186" s="1" t="str">
        <f t="shared" si="4"/>
        <v/>
      </c>
    </row>
    <row r="8187" hidden="1">
      <c r="F8187" s="1" t="str">
        <f t="shared" si="1"/>
        <v/>
      </c>
      <c r="G8187" s="1" t="str">
        <f t="shared" si="2"/>
        <v/>
      </c>
      <c r="J8187" s="1" t="str">
        <f t="shared" si="3"/>
        <v/>
      </c>
      <c r="K8187" s="1" t="str">
        <f t="shared" si="4"/>
        <v/>
      </c>
    </row>
    <row r="8188" hidden="1">
      <c r="F8188" s="1" t="str">
        <f t="shared" si="1"/>
        <v/>
      </c>
      <c r="G8188" s="1" t="str">
        <f t="shared" si="2"/>
        <v/>
      </c>
      <c r="J8188" s="1" t="str">
        <f t="shared" si="3"/>
        <v/>
      </c>
      <c r="K8188" s="1" t="str">
        <f t="shared" si="4"/>
        <v/>
      </c>
    </row>
    <row r="8189" hidden="1">
      <c r="F8189" s="1" t="str">
        <f t="shared" si="1"/>
        <v/>
      </c>
      <c r="G8189" s="1" t="str">
        <f t="shared" si="2"/>
        <v/>
      </c>
      <c r="J8189" s="1" t="str">
        <f t="shared" si="3"/>
        <v/>
      </c>
      <c r="K8189" s="1" t="str">
        <f t="shared" si="4"/>
        <v/>
      </c>
    </row>
    <row r="8190" hidden="1">
      <c r="F8190" s="1" t="str">
        <f t="shared" si="1"/>
        <v/>
      </c>
      <c r="G8190" s="1" t="str">
        <f t="shared" si="2"/>
        <v/>
      </c>
      <c r="J8190" s="1" t="str">
        <f t="shared" si="3"/>
        <v/>
      </c>
      <c r="K8190" s="1" t="str">
        <f t="shared" si="4"/>
        <v/>
      </c>
    </row>
    <row r="8191" hidden="1">
      <c r="F8191" s="1" t="str">
        <f t="shared" si="1"/>
        <v/>
      </c>
      <c r="G8191" s="1" t="str">
        <f t="shared" si="2"/>
        <v/>
      </c>
      <c r="J8191" s="1" t="str">
        <f t="shared" si="3"/>
        <v/>
      </c>
      <c r="K8191" s="1" t="str">
        <f t="shared" si="4"/>
        <v/>
      </c>
    </row>
    <row r="8192" hidden="1">
      <c r="F8192" s="1" t="str">
        <f t="shared" si="1"/>
        <v/>
      </c>
      <c r="G8192" s="1" t="str">
        <f t="shared" si="2"/>
        <v/>
      </c>
      <c r="J8192" s="1" t="str">
        <f t="shared" si="3"/>
        <v/>
      </c>
      <c r="K8192" s="1" t="str">
        <f t="shared" si="4"/>
        <v/>
      </c>
    </row>
    <row r="8193" hidden="1">
      <c r="F8193" s="1" t="str">
        <f t="shared" si="1"/>
        <v/>
      </c>
      <c r="G8193" s="1" t="str">
        <f t="shared" si="2"/>
        <v/>
      </c>
      <c r="J8193" s="1" t="str">
        <f t="shared" si="3"/>
        <v/>
      </c>
      <c r="K8193" s="1" t="str">
        <f t="shared" si="4"/>
        <v/>
      </c>
    </row>
    <row r="8194" hidden="1">
      <c r="F8194" s="1" t="str">
        <f t="shared" si="1"/>
        <v/>
      </c>
      <c r="G8194" s="1" t="str">
        <f t="shared" si="2"/>
        <v/>
      </c>
      <c r="J8194" s="1" t="str">
        <f t="shared" si="3"/>
        <v/>
      </c>
      <c r="K8194" s="1" t="str">
        <f t="shared" si="4"/>
        <v/>
      </c>
    </row>
    <row r="8195" hidden="1">
      <c r="F8195" s="1" t="str">
        <f t="shared" si="1"/>
        <v/>
      </c>
      <c r="G8195" s="1" t="str">
        <f t="shared" si="2"/>
        <v/>
      </c>
      <c r="J8195" s="1" t="str">
        <f t="shared" si="3"/>
        <v/>
      </c>
      <c r="K8195" s="1" t="str">
        <f t="shared" si="4"/>
        <v/>
      </c>
    </row>
    <row r="8196" hidden="1">
      <c r="F8196" s="1" t="str">
        <f t="shared" si="1"/>
        <v/>
      </c>
      <c r="G8196" s="1" t="str">
        <f t="shared" si="2"/>
        <v/>
      </c>
      <c r="J8196" s="1" t="str">
        <f t="shared" si="3"/>
        <v/>
      </c>
      <c r="K8196" s="1" t="str">
        <f t="shared" si="4"/>
        <v/>
      </c>
    </row>
    <row r="8197" hidden="1">
      <c r="F8197" s="1" t="str">
        <f t="shared" si="1"/>
        <v/>
      </c>
      <c r="G8197" s="1" t="str">
        <f t="shared" si="2"/>
        <v/>
      </c>
      <c r="J8197" s="1" t="str">
        <f t="shared" si="3"/>
        <v/>
      </c>
      <c r="K8197" s="1" t="str">
        <f t="shared" si="4"/>
        <v/>
      </c>
    </row>
    <row r="8198" hidden="1">
      <c r="F8198" s="1" t="str">
        <f t="shared" si="1"/>
        <v/>
      </c>
      <c r="G8198" s="1" t="str">
        <f t="shared" si="2"/>
        <v/>
      </c>
      <c r="J8198" s="1" t="str">
        <f t="shared" si="3"/>
        <v/>
      </c>
      <c r="K8198" s="1" t="str">
        <f t="shared" si="4"/>
        <v/>
      </c>
    </row>
    <row r="8199" hidden="1">
      <c r="F8199" s="1" t="str">
        <f t="shared" si="1"/>
        <v/>
      </c>
      <c r="G8199" s="1" t="str">
        <f t="shared" si="2"/>
        <v/>
      </c>
      <c r="J8199" s="1" t="str">
        <f t="shared" si="3"/>
        <v/>
      </c>
      <c r="K8199" s="1" t="str">
        <f t="shared" si="4"/>
        <v/>
      </c>
    </row>
    <row r="8200" hidden="1">
      <c r="F8200" s="1" t="str">
        <f t="shared" si="1"/>
        <v/>
      </c>
      <c r="G8200" s="1" t="str">
        <f t="shared" si="2"/>
        <v/>
      </c>
      <c r="J8200" s="1" t="str">
        <f t="shared" si="3"/>
        <v/>
      </c>
      <c r="K8200" s="1" t="str">
        <f t="shared" si="4"/>
        <v/>
      </c>
    </row>
    <row r="8201" hidden="1">
      <c r="F8201" s="1" t="str">
        <f t="shared" si="1"/>
        <v/>
      </c>
      <c r="G8201" s="1" t="str">
        <f t="shared" si="2"/>
        <v/>
      </c>
      <c r="J8201" s="1" t="str">
        <f t="shared" si="3"/>
        <v/>
      </c>
      <c r="K8201" s="1" t="str">
        <f t="shared" si="4"/>
        <v/>
      </c>
    </row>
    <row r="8202" hidden="1">
      <c r="F8202" s="1" t="str">
        <f t="shared" si="1"/>
        <v/>
      </c>
      <c r="G8202" s="1" t="str">
        <f t="shared" si="2"/>
        <v/>
      </c>
      <c r="J8202" s="1" t="str">
        <f t="shared" si="3"/>
        <v/>
      </c>
      <c r="K8202" s="1" t="str">
        <f t="shared" si="4"/>
        <v/>
      </c>
    </row>
    <row r="8203" hidden="1">
      <c r="F8203" s="1" t="str">
        <f t="shared" si="1"/>
        <v/>
      </c>
      <c r="G8203" s="1" t="str">
        <f t="shared" si="2"/>
        <v/>
      </c>
      <c r="J8203" s="1" t="str">
        <f t="shared" si="3"/>
        <v/>
      </c>
      <c r="K8203" s="1" t="str">
        <f t="shared" si="4"/>
        <v/>
      </c>
    </row>
    <row r="8204" hidden="1">
      <c r="F8204" s="1" t="str">
        <f t="shared" si="1"/>
        <v/>
      </c>
      <c r="G8204" s="1" t="str">
        <f t="shared" si="2"/>
        <v/>
      </c>
      <c r="J8204" s="1" t="str">
        <f t="shared" si="3"/>
        <v/>
      </c>
      <c r="K8204" s="1" t="str">
        <f t="shared" si="4"/>
        <v/>
      </c>
    </row>
    <row r="8205" hidden="1">
      <c r="F8205" s="1" t="str">
        <f t="shared" si="1"/>
        <v/>
      </c>
      <c r="G8205" s="1" t="str">
        <f t="shared" si="2"/>
        <v/>
      </c>
      <c r="J8205" s="1" t="str">
        <f t="shared" si="3"/>
        <v/>
      </c>
      <c r="K8205" s="1" t="str">
        <f t="shared" si="4"/>
        <v/>
      </c>
    </row>
    <row r="8206" hidden="1">
      <c r="F8206" s="1" t="str">
        <f t="shared" si="1"/>
        <v/>
      </c>
      <c r="G8206" s="1" t="str">
        <f t="shared" si="2"/>
        <v/>
      </c>
      <c r="J8206" s="1" t="str">
        <f t="shared" si="3"/>
        <v/>
      </c>
      <c r="K8206" s="1" t="str">
        <f t="shared" si="4"/>
        <v/>
      </c>
    </row>
    <row r="8207" hidden="1">
      <c r="F8207" s="1" t="str">
        <f t="shared" si="1"/>
        <v/>
      </c>
      <c r="G8207" s="1" t="str">
        <f t="shared" si="2"/>
        <v/>
      </c>
      <c r="J8207" s="1" t="str">
        <f t="shared" si="3"/>
        <v/>
      </c>
      <c r="K8207" s="1" t="str">
        <f t="shared" si="4"/>
        <v/>
      </c>
    </row>
    <row r="8208" hidden="1">
      <c r="F8208" s="1" t="str">
        <f t="shared" si="1"/>
        <v/>
      </c>
      <c r="G8208" s="1" t="str">
        <f t="shared" si="2"/>
        <v/>
      </c>
      <c r="J8208" s="1" t="str">
        <f t="shared" si="3"/>
        <v/>
      </c>
      <c r="K8208" s="1" t="str">
        <f t="shared" si="4"/>
        <v/>
      </c>
    </row>
    <row r="8209" hidden="1">
      <c r="F8209" s="1" t="str">
        <f t="shared" si="1"/>
        <v/>
      </c>
      <c r="G8209" s="1" t="str">
        <f t="shared" si="2"/>
        <v/>
      </c>
      <c r="J8209" s="1" t="str">
        <f t="shared" si="3"/>
        <v/>
      </c>
      <c r="K8209" s="1" t="str">
        <f t="shared" si="4"/>
        <v/>
      </c>
    </row>
    <row r="8210" hidden="1">
      <c r="F8210" s="1" t="str">
        <f t="shared" si="1"/>
        <v/>
      </c>
      <c r="G8210" s="1" t="str">
        <f t="shared" si="2"/>
        <v/>
      </c>
      <c r="J8210" s="1" t="str">
        <f t="shared" si="3"/>
        <v/>
      </c>
      <c r="K8210" s="1" t="str">
        <f t="shared" si="4"/>
        <v/>
      </c>
    </row>
    <row r="8211" hidden="1">
      <c r="F8211" s="1" t="str">
        <f t="shared" si="1"/>
        <v/>
      </c>
      <c r="G8211" s="1" t="str">
        <f t="shared" si="2"/>
        <v/>
      </c>
      <c r="J8211" s="1" t="str">
        <f t="shared" si="3"/>
        <v/>
      </c>
      <c r="K8211" s="1" t="str">
        <f t="shared" si="4"/>
        <v/>
      </c>
    </row>
    <row r="8212" hidden="1">
      <c r="F8212" s="1" t="str">
        <f t="shared" si="1"/>
        <v/>
      </c>
      <c r="G8212" s="1" t="str">
        <f t="shared" si="2"/>
        <v/>
      </c>
      <c r="J8212" s="1" t="str">
        <f t="shared" si="3"/>
        <v/>
      </c>
      <c r="K8212" s="1" t="str">
        <f t="shared" si="4"/>
        <v/>
      </c>
    </row>
    <row r="8213" hidden="1">
      <c r="F8213" s="1" t="str">
        <f t="shared" si="1"/>
        <v/>
      </c>
      <c r="G8213" s="1" t="str">
        <f t="shared" si="2"/>
        <v/>
      </c>
      <c r="J8213" s="1" t="str">
        <f t="shared" si="3"/>
        <v/>
      </c>
      <c r="K8213" s="1" t="str">
        <f t="shared" si="4"/>
        <v/>
      </c>
    </row>
    <row r="8214" hidden="1">
      <c r="F8214" s="1" t="str">
        <f t="shared" si="1"/>
        <v/>
      </c>
      <c r="G8214" s="1" t="str">
        <f t="shared" si="2"/>
        <v/>
      </c>
      <c r="J8214" s="1" t="str">
        <f t="shared" si="3"/>
        <v/>
      </c>
      <c r="K8214" s="1" t="str">
        <f t="shared" si="4"/>
        <v/>
      </c>
    </row>
    <row r="8215" hidden="1">
      <c r="F8215" s="1" t="str">
        <f t="shared" si="1"/>
        <v/>
      </c>
      <c r="G8215" s="1" t="str">
        <f t="shared" si="2"/>
        <v/>
      </c>
      <c r="J8215" s="1" t="str">
        <f t="shared" si="3"/>
        <v/>
      </c>
      <c r="K8215" s="1" t="str">
        <f t="shared" si="4"/>
        <v/>
      </c>
    </row>
    <row r="8216" hidden="1">
      <c r="F8216" s="1" t="str">
        <f t="shared" si="1"/>
        <v/>
      </c>
      <c r="G8216" s="1" t="str">
        <f t="shared" si="2"/>
        <v/>
      </c>
      <c r="J8216" s="1" t="str">
        <f t="shared" si="3"/>
        <v/>
      </c>
      <c r="K8216" s="1" t="str">
        <f t="shared" si="4"/>
        <v/>
      </c>
    </row>
    <row r="8217" hidden="1">
      <c r="F8217" s="1" t="str">
        <f t="shared" si="1"/>
        <v/>
      </c>
      <c r="G8217" s="1" t="str">
        <f t="shared" si="2"/>
        <v/>
      </c>
      <c r="J8217" s="1" t="str">
        <f t="shared" si="3"/>
        <v/>
      </c>
      <c r="K8217" s="1" t="str">
        <f t="shared" si="4"/>
        <v/>
      </c>
    </row>
    <row r="8218" hidden="1">
      <c r="F8218" s="1" t="str">
        <f t="shared" si="1"/>
        <v/>
      </c>
      <c r="G8218" s="1" t="str">
        <f t="shared" si="2"/>
        <v/>
      </c>
      <c r="J8218" s="1" t="str">
        <f t="shared" si="3"/>
        <v/>
      </c>
      <c r="K8218" s="1" t="str">
        <f t="shared" si="4"/>
        <v/>
      </c>
    </row>
    <row r="8219" hidden="1">
      <c r="F8219" s="1" t="str">
        <f t="shared" si="1"/>
        <v/>
      </c>
      <c r="G8219" s="1" t="str">
        <f t="shared" si="2"/>
        <v/>
      </c>
      <c r="J8219" s="1" t="str">
        <f t="shared" si="3"/>
        <v/>
      </c>
      <c r="K8219" s="1" t="str">
        <f t="shared" si="4"/>
        <v/>
      </c>
    </row>
    <row r="8220" hidden="1">
      <c r="F8220" s="1" t="str">
        <f t="shared" si="1"/>
        <v/>
      </c>
      <c r="G8220" s="1" t="str">
        <f t="shared" si="2"/>
        <v/>
      </c>
      <c r="J8220" s="1" t="str">
        <f t="shared" si="3"/>
        <v/>
      </c>
      <c r="K8220" s="1" t="str">
        <f t="shared" si="4"/>
        <v/>
      </c>
    </row>
    <row r="8221" hidden="1">
      <c r="F8221" s="1" t="str">
        <f t="shared" si="1"/>
        <v/>
      </c>
      <c r="G8221" s="1" t="str">
        <f t="shared" si="2"/>
        <v/>
      </c>
      <c r="J8221" s="1" t="str">
        <f t="shared" si="3"/>
        <v/>
      </c>
      <c r="K8221" s="1" t="str">
        <f t="shared" si="4"/>
        <v/>
      </c>
    </row>
    <row r="8222" hidden="1">
      <c r="F8222" s="1" t="str">
        <f t="shared" si="1"/>
        <v/>
      </c>
      <c r="G8222" s="1" t="str">
        <f t="shared" si="2"/>
        <v/>
      </c>
      <c r="J8222" s="1" t="str">
        <f t="shared" si="3"/>
        <v/>
      </c>
      <c r="K8222" s="1" t="str">
        <f t="shared" si="4"/>
        <v/>
      </c>
    </row>
    <row r="8223" hidden="1">
      <c r="F8223" s="1" t="str">
        <f t="shared" si="1"/>
        <v/>
      </c>
      <c r="G8223" s="1" t="str">
        <f t="shared" si="2"/>
        <v/>
      </c>
      <c r="J8223" s="1" t="str">
        <f t="shared" si="3"/>
        <v/>
      </c>
      <c r="K8223" s="1" t="str">
        <f t="shared" si="4"/>
        <v/>
      </c>
    </row>
    <row r="8224" hidden="1">
      <c r="F8224" s="1" t="str">
        <f t="shared" si="1"/>
        <v/>
      </c>
      <c r="G8224" s="1" t="str">
        <f t="shared" si="2"/>
        <v/>
      </c>
      <c r="J8224" s="1" t="str">
        <f t="shared" si="3"/>
        <v/>
      </c>
      <c r="K8224" s="1" t="str">
        <f t="shared" si="4"/>
        <v/>
      </c>
    </row>
    <row r="8225" hidden="1">
      <c r="F8225" s="1" t="str">
        <f t="shared" si="1"/>
        <v/>
      </c>
      <c r="G8225" s="1" t="str">
        <f t="shared" si="2"/>
        <v/>
      </c>
      <c r="J8225" s="1" t="str">
        <f t="shared" si="3"/>
        <v/>
      </c>
      <c r="K8225" s="1" t="str">
        <f t="shared" si="4"/>
        <v/>
      </c>
    </row>
    <row r="8226" hidden="1">
      <c r="F8226" s="1" t="str">
        <f t="shared" si="1"/>
        <v/>
      </c>
      <c r="G8226" s="1" t="str">
        <f t="shared" si="2"/>
        <v/>
      </c>
      <c r="J8226" s="1" t="str">
        <f t="shared" si="3"/>
        <v/>
      </c>
      <c r="K8226" s="1" t="str">
        <f t="shared" si="4"/>
        <v/>
      </c>
    </row>
    <row r="8227" hidden="1">
      <c r="F8227" s="1" t="str">
        <f t="shared" si="1"/>
        <v/>
      </c>
      <c r="G8227" s="1" t="str">
        <f t="shared" si="2"/>
        <v/>
      </c>
      <c r="J8227" s="1" t="str">
        <f t="shared" si="3"/>
        <v/>
      </c>
      <c r="K8227" s="1" t="str">
        <f t="shared" si="4"/>
        <v/>
      </c>
    </row>
    <row r="8228" hidden="1">
      <c r="F8228" s="1" t="str">
        <f t="shared" si="1"/>
        <v/>
      </c>
      <c r="G8228" s="1" t="str">
        <f t="shared" si="2"/>
        <v/>
      </c>
      <c r="J8228" s="1" t="str">
        <f t="shared" si="3"/>
        <v/>
      </c>
      <c r="K8228" s="1" t="str">
        <f t="shared" si="4"/>
        <v/>
      </c>
    </row>
    <row r="8229" hidden="1">
      <c r="F8229" s="1" t="str">
        <f t="shared" si="1"/>
        <v/>
      </c>
      <c r="G8229" s="1" t="str">
        <f t="shared" si="2"/>
        <v/>
      </c>
      <c r="J8229" s="1" t="str">
        <f t="shared" si="3"/>
        <v/>
      </c>
      <c r="K8229" s="1" t="str">
        <f t="shared" si="4"/>
        <v/>
      </c>
    </row>
    <row r="8230" hidden="1">
      <c r="F8230" s="1" t="str">
        <f t="shared" si="1"/>
        <v/>
      </c>
      <c r="G8230" s="1" t="str">
        <f t="shared" si="2"/>
        <v/>
      </c>
      <c r="J8230" s="1" t="str">
        <f t="shared" si="3"/>
        <v/>
      </c>
      <c r="K8230" s="1" t="str">
        <f t="shared" si="4"/>
        <v/>
      </c>
    </row>
    <row r="8231" hidden="1">
      <c r="F8231" s="1" t="str">
        <f t="shared" si="1"/>
        <v/>
      </c>
      <c r="G8231" s="1" t="str">
        <f t="shared" si="2"/>
        <v/>
      </c>
      <c r="J8231" s="1" t="str">
        <f t="shared" si="3"/>
        <v/>
      </c>
      <c r="K8231" s="1" t="str">
        <f t="shared" si="4"/>
        <v/>
      </c>
    </row>
    <row r="8232" hidden="1">
      <c r="F8232" s="1" t="str">
        <f t="shared" si="1"/>
        <v/>
      </c>
      <c r="G8232" s="1" t="str">
        <f t="shared" si="2"/>
        <v/>
      </c>
      <c r="J8232" s="1" t="str">
        <f t="shared" si="3"/>
        <v/>
      </c>
      <c r="K8232" s="1" t="str">
        <f t="shared" si="4"/>
        <v/>
      </c>
    </row>
    <row r="8233" hidden="1">
      <c r="F8233" s="1" t="str">
        <f t="shared" si="1"/>
        <v/>
      </c>
      <c r="G8233" s="1" t="str">
        <f t="shared" si="2"/>
        <v/>
      </c>
      <c r="J8233" s="1" t="str">
        <f t="shared" si="3"/>
        <v/>
      </c>
      <c r="K8233" s="1" t="str">
        <f t="shared" si="4"/>
        <v/>
      </c>
    </row>
    <row r="8234" hidden="1">
      <c r="F8234" s="1" t="str">
        <f t="shared" si="1"/>
        <v/>
      </c>
      <c r="G8234" s="1" t="str">
        <f t="shared" si="2"/>
        <v/>
      </c>
      <c r="J8234" s="1" t="str">
        <f t="shared" si="3"/>
        <v/>
      </c>
      <c r="K8234" s="1" t="str">
        <f t="shared" si="4"/>
        <v/>
      </c>
    </row>
    <row r="8235" hidden="1">
      <c r="F8235" s="1" t="str">
        <f t="shared" si="1"/>
        <v/>
      </c>
      <c r="G8235" s="1" t="str">
        <f t="shared" si="2"/>
        <v/>
      </c>
      <c r="J8235" s="1" t="str">
        <f t="shared" si="3"/>
        <v/>
      </c>
      <c r="K8235" s="1" t="str">
        <f t="shared" si="4"/>
        <v/>
      </c>
    </row>
    <row r="8236" hidden="1">
      <c r="F8236" s="1" t="str">
        <f t="shared" si="1"/>
        <v/>
      </c>
      <c r="G8236" s="1" t="str">
        <f t="shared" si="2"/>
        <v/>
      </c>
      <c r="J8236" s="1" t="str">
        <f t="shared" si="3"/>
        <v/>
      </c>
      <c r="K8236" s="1" t="str">
        <f t="shared" si="4"/>
        <v/>
      </c>
    </row>
    <row r="8237" hidden="1">
      <c r="F8237" s="1" t="str">
        <f t="shared" si="1"/>
        <v/>
      </c>
      <c r="G8237" s="1" t="str">
        <f t="shared" si="2"/>
        <v/>
      </c>
      <c r="J8237" s="1" t="str">
        <f t="shared" si="3"/>
        <v/>
      </c>
      <c r="K8237" s="1" t="str">
        <f t="shared" si="4"/>
        <v/>
      </c>
    </row>
    <row r="8238" hidden="1">
      <c r="F8238" s="1" t="str">
        <f t="shared" si="1"/>
        <v/>
      </c>
      <c r="G8238" s="1" t="str">
        <f t="shared" si="2"/>
        <v/>
      </c>
      <c r="J8238" s="1" t="str">
        <f t="shared" si="3"/>
        <v/>
      </c>
      <c r="K8238" s="1" t="str">
        <f t="shared" si="4"/>
        <v/>
      </c>
    </row>
    <row r="8239" hidden="1">
      <c r="F8239" s="1" t="str">
        <f t="shared" si="1"/>
        <v/>
      </c>
      <c r="G8239" s="1" t="str">
        <f t="shared" si="2"/>
        <v/>
      </c>
      <c r="J8239" s="1" t="str">
        <f t="shared" si="3"/>
        <v/>
      </c>
      <c r="K8239" s="1" t="str">
        <f t="shared" si="4"/>
        <v/>
      </c>
    </row>
    <row r="8240" hidden="1">
      <c r="F8240" s="1" t="str">
        <f t="shared" si="1"/>
        <v/>
      </c>
      <c r="G8240" s="1" t="str">
        <f t="shared" si="2"/>
        <v/>
      </c>
      <c r="J8240" s="1" t="str">
        <f t="shared" si="3"/>
        <v/>
      </c>
      <c r="K8240" s="1" t="str">
        <f t="shared" si="4"/>
        <v/>
      </c>
    </row>
    <row r="8241" hidden="1">
      <c r="F8241" s="1" t="str">
        <f t="shared" si="1"/>
        <v/>
      </c>
      <c r="G8241" s="1" t="str">
        <f t="shared" si="2"/>
        <v/>
      </c>
      <c r="J8241" s="1" t="str">
        <f t="shared" si="3"/>
        <v/>
      </c>
      <c r="K8241" s="1" t="str">
        <f t="shared" si="4"/>
        <v/>
      </c>
    </row>
    <row r="8242" hidden="1">
      <c r="F8242" s="1" t="str">
        <f t="shared" si="1"/>
        <v/>
      </c>
      <c r="G8242" s="1" t="str">
        <f t="shared" si="2"/>
        <v/>
      </c>
      <c r="J8242" s="1" t="str">
        <f t="shared" si="3"/>
        <v/>
      </c>
      <c r="K8242" s="1" t="str">
        <f t="shared" si="4"/>
        <v/>
      </c>
    </row>
    <row r="8243" hidden="1">
      <c r="F8243" s="1" t="str">
        <f t="shared" si="1"/>
        <v/>
      </c>
      <c r="G8243" s="1" t="str">
        <f t="shared" si="2"/>
        <v/>
      </c>
      <c r="J8243" s="1" t="str">
        <f t="shared" si="3"/>
        <v/>
      </c>
      <c r="K8243" s="1" t="str">
        <f t="shared" si="4"/>
        <v/>
      </c>
    </row>
    <row r="8244" hidden="1">
      <c r="F8244" s="1" t="str">
        <f t="shared" si="1"/>
        <v/>
      </c>
      <c r="G8244" s="1" t="str">
        <f t="shared" si="2"/>
        <v/>
      </c>
      <c r="J8244" s="1" t="str">
        <f t="shared" si="3"/>
        <v/>
      </c>
      <c r="K8244" s="1" t="str">
        <f t="shared" si="4"/>
        <v/>
      </c>
    </row>
    <row r="8245" hidden="1">
      <c r="F8245" s="1" t="str">
        <f t="shared" si="1"/>
        <v/>
      </c>
      <c r="G8245" s="1" t="str">
        <f t="shared" si="2"/>
        <v/>
      </c>
      <c r="J8245" s="1" t="str">
        <f t="shared" si="3"/>
        <v/>
      </c>
      <c r="K8245" s="1" t="str">
        <f t="shared" si="4"/>
        <v/>
      </c>
    </row>
    <row r="8246" hidden="1">
      <c r="F8246" s="1" t="str">
        <f t="shared" si="1"/>
        <v/>
      </c>
      <c r="G8246" s="1" t="str">
        <f t="shared" si="2"/>
        <v/>
      </c>
      <c r="J8246" s="1" t="str">
        <f t="shared" si="3"/>
        <v/>
      </c>
      <c r="K8246" s="1" t="str">
        <f t="shared" si="4"/>
        <v/>
      </c>
    </row>
    <row r="8247" hidden="1">
      <c r="F8247" s="1" t="str">
        <f t="shared" si="1"/>
        <v/>
      </c>
      <c r="G8247" s="1" t="str">
        <f t="shared" si="2"/>
        <v/>
      </c>
      <c r="J8247" s="1" t="str">
        <f t="shared" si="3"/>
        <v/>
      </c>
      <c r="K8247" s="1" t="str">
        <f t="shared" si="4"/>
        <v/>
      </c>
    </row>
    <row r="8248" hidden="1">
      <c r="F8248" s="1" t="str">
        <f t="shared" si="1"/>
        <v/>
      </c>
      <c r="G8248" s="1" t="str">
        <f t="shared" si="2"/>
        <v/>
      </c>
      <c r="J8248" s="1" t="str">
        <f t="shared" si="3"/>
        <v/>
      </c>
      <c r="K8248" s="1" t="str">
        <f t="shared" si="4"/>
        <v/>
      </c>
    </row>
    <row r="8249" hidden="1">
      <c r="F8249" s="1" t="str">
        <f t="shared" si="1"/>
        <v/>
      </c>
      <c r="G8249" s="1" t="str">
        <f t="shared" si="2"/>
        <v/>
      </c>
      <c r="J8249" s="1" t="str">
        <f t="shared" si="3"/>
        <v/>
      </c>
      <c r="K8249" s="1" t="str">
        <f t="shared" si="4"/>
        <v/>
      </c>
    </row>
    <row r="8250" hidden="1">
      <c r="F8250" s="1" t="str">
        <f t="shared" si="1"/>
        <v/>
      </c>
      <c r="G8250" s="1" t="str">
        <f t="shared" si="2"/>
        <v/>
      </c>
      <c r="J8250" s="1" t="str">
        <f t="shared" si="3"/>
        <v/>
      </c>
      <c r="K8250" s="1" t="str">
        <f t="shared" si="4"/>
        <v/>
      </c>
    </row>
    <row r="8251" hidden="1">
      <c r="F8251" s="1" t="str">
        <f t="shared" si="1"/>
        <v/>
      </c>
      <c r="G8251" s="1" t="str">
        <f t="shared" si="2"/>
        <v/>
      </c>
      <c r="J8251" s="1" t="str">
        <f t="shared" si="3"/>
        <v/>
      </c>
      <c r="K8251" s="1" t="str">
        <f t="shared" si="4"/>
        <v/>
      </c>
    </row>
    <row r="8252" hidden="1">
      <c r="F8252" s="1" t="str">
        <f t="shared" si="1"/>
        <v/>
      </c>
      <c r="G8252" s="1" t="str">
        <f t="shared" si="2"/>
        <v/>
      </c>
      <c r="J8252" s="1" t="str">
        <f t="shared" si="3"/>
        <v/>
      </c>
      <c r="K8252" s="1" t="str">
        <f t="shared" si="4"/>
        <v/>
      </c>
    </row>
    <row r="8253" hidden="1">
      <c r="F8253" s="1" t="str">
        <f t="shared" si="1"/>
        <v/>
      </c>
      <c r="G8253" s="1" t="str">
        <f t="shared" si="2"/>
        <v/>
      </c>
      <c r="J8253" s="1" t="str">
        <f t="shared" si="3"/>
        <v/>
      </c>
      <c r="K8253" s="1" t="str">
        <f t="shared" si="4"/>
        <v/>
      </c>
    </row>
    <row r="8254" hidden="1">
      <c r="F8254" s="1" t="str">
        <f t="shared" si="1"/>
        <v/>
      </c>
      <c r="G8254" s="1" t="str">
        <f t="shared" si="2"/>
        <v/>
      </c>
      <c r="J8254" s="1" t="str">
        <f t="shared" si="3"/>
        <v/>
      </c>
      <c r="K8254" s="1" t="str">
        <f t="shared" si="4"/>
        <v/>
      </c>
    </row>
    <row r="8255" hidden="1">
      <c r="F8255" s="1" t="str">
        <f t="shared" si="1"/>
        <v/>
      </c>
      <c r="G8255" s="1" t="str">
        <f t="shared" si="2"/>
        <v/>
      </c>
      <c r="J8255" s="1" t="str">
        <f t="shared" si="3"/>
        <v/>
      </c>
      <c r="K8255" s="1" t="str">
        <f t="shared" si="4"/>
        <v/>
      </c>
    </row>
    <row r="8256" hidden="1">
      <c r="F8256" s="1" t="str">
        <f t="shared" si="1"/>
        <v/>
      </c>
      <c r="G8256" s="1" t="str">
        <f t="shared" si="2"/>
        <v/>
      </c>
      <c r="J8256" s="1" t="str">
        <f t="shared" si="3"/>
        <v/>
      </c>
      <c r="K8256" s="1" t="str">
        <f t="shared" si="4"/>
        <v/>
      </c>
    </row>
    <row r="8257" hidden="1">
      <c r="F8257" s="1" t="str">
        <f t="shared" si="1"/>
        <v/>
      </c>
      <c r="G8257" s="1" t="str">
        <f t="shared" si="2"/>
        <v/>
      </c>
      <c r="J8257" s="1" t="str">
        <f t="shared" si="3"/>
        <v/>
      </c>
      <c r="K8257" s="1" t="str">
        <f t="shared" si="4"/>
        <v/>
      </c>
    </row>
    <row r="8258" hidden="1">
      <c r="F8258" s="1" t="str">
        <f t="shared" si="1"/>
        <v/>
      </c>
      <c r="G8258" s="1" t="str">
        <f t="shared" si="2"/>
        <v/>
      </c>
      <c r="J8258" s="1" t="str">
        <f t="shared" si="3"/>
        <v/>
      </c>
      <c r="K8258" s="1" t="str">
        <f t="shared" si="4"/>
        <v/>
      </c>
    </row>
    <row r="8259" hidden="1">
      <c r="F8259" s="1" t="str">
        <f t="shared" si="1"/>
        <v/>
      </c>
      <c r="G8259" s="1" t="str">
        <f t="shared" si="2"/>
        <v/>
      </c>
      <c r="J8259" s="1" t="str">
        <f t="shared" si="3"/>
        <v/>
      </c>
      <c r="K8259" s="1" t="str">
        <f t="shared" si="4"/>
        <v/>
      </c>
    </row>
    <row r="8260" hidden="1">
      <c r="F8260" s="1" t="str">
        <f t="shared" si="1"/>
        <v/>
      </c>
      <c r="G8260" s="1" t="str">
        <f t="shared" si="2"/>
        <v/>
      </c>
      <c r="J8260" s="1" t="str">
        <f t="shared" si="3"/>
        <v/>
      </c>
      <c r="K8260" s="1" t="str">
        <f t="shared" si="4"/>
        <v/>
      </c>
    </row>
    <row r="8261" hidden="1">
      <c r="F8261" s="1" t="str">
        <f t="shared" si="1"/>
        <v/>
      </c>
      <c r="G8261" s="1" t="str">
        <f t="shared" si="2"/>
        <v/>
      </c>
      <c r="J8261" s="1" t="str">
        <f t="shared" si="3"/>
        <v/>
      </c>
      <c r="K8261" s="1" t="str">
        <f t="shared" si="4"/>
        <v/>
      </c>
    </row>
    <row r="8262" hidden="1">
      <c r="F8262" s="1" t="str">
        <f t="shared" si="1"/>
        <v/>
      </c>
      <c r="G8262" s="1" t="str">
        <f t="shared" si="2"/>
        <v/>
      </c>
      <c r="J8262" s="1" t="str">
        <f t="shared" si="3"/>
        <v/>
      </c>
      <c r="K8262" s="1" t="str">
        <f t="shared" si="4"/>
        <v/>
      </c>
    </row>
    <row r="8263" hidden="1">
      <c r="F8263" s="1" t="str">
        <f t="shared" si="1"/>
        <v/>
      </c>
      <c r="G8263" s="1" t="str">
        <f t="shared" si="2"/>
        <v/>
      </c>
      <c r="J8263" s="1" t="str">
        <f t="shared" si="3"/>
        <v/>
      </c>
      <c r="K8263" s="1" t="str">
        <f t="shared" si="4"/>
        <v/>
      </c>
    </row>
    <row r="8264" hidden="1">
      <c r="F8264" s="1" t="str">
        <f t="shared" si="1"/>
        <v/>
      </c>
      <c r="G8264" s="1" t="str">
        <f t="shared" si="2"/>
        <v/>
      </c>
      <c r="J8264" s="1" t="str">
        <f t="shared" si="3"/>
        <v/>
      </c>
      <c r="K8264" s="1" t="str">
        <f t="shared" si="4"/>
        <v/>
      </c>
    </row>
    <row r="8265" hidden="1">
      <c r="F8265" s="1" t="str">
        <f t="shared" si="1"/>
        <v/>
      </c>
      <c r="G8265" s="1" t="str">
        <f t="shared" si="2"/>
        <v/>
      </c>
      <c r="J8265" s="1" t="str">
        <f t="shared" si="3"/>
        <v/>
      </c>
      <c r="K8265" s="1" t="str">
        <f t="shared" si="4"/>
        <v/>
      </c>
    </row>
    <row r="8266" hidden="1">
      <c r="F8266" s="1" t="str">
        <f t="shared" si="1"/>
        <v/>
      </c>
      <c r="G8266" s="1" t="str">
        <f t="shared" si="2"/>
        <v/>
      </c>
      <c r="J8266" s="1" t="str">
        <f t="shared" si="3"/>
        <v/>
      </c>
      <c r="K8266" s="1" t="str">
        <f t="shared" si="4"/>
        <v/>
      </c>
    </row>
    <row r="8267" hidden="1">
      <c r="F8267" s="1" t="str">
        <f t="shared" si="1"/>
        <v/>
      </c>
      <c r="G8267" s="1" t="str">
        <f t="shared" si="2"/>
        <v/>
      </c>
      <c r="J8267" s="1" t="str">
        <f t="shared" si="3"/>
        <v/>
      </c>
      <c r="K8267" s="1" t="str">
        <f t="shared" si="4"/>
        <v/>
      </c>
    </row>
    <row r="8268" hidden="1">
      <c r="F8268" s="1" t="str">
        <f t="shared" si="1"/>
        <v/>
      </c>
      <c r="G8268" s="1" t="str">
        <f t="shared" si="2"/>
        <v/>
      </c>
      <c r="J8268" s="1" t="str">
        <f t="shared" si="3"/>
        <v/>
      </c>
      <c r="K8268" s="1" t="str">
        <f t="shared" si="4"/>
        <v/>
      </c>
    </row>
    <row r="8269" hidden="1">
      <c r="F8269" s="1" t="str">
        <f t="shared" si="1"/>
        <v/>
      </c>
      <c r="G8269" s="1" t="str">
        <f t="shared" si="2"/>
        <v/>
      </c>
      <c r="J8269" s="1" t="str">
        <f t="shared" si="3"/>
        <v/>
      </c>
      <c r="K8269" s="1" t="str">
        <f t="shared" si="4"/>
        <v/>
      </c>
    </row>
    <row r="8270" hidden="1">
      <c r="F8270" s="1" t="str">
        <f t="shared" si="1"/>
        <v/>
      </c>
      <c r="G8270" s="1" t="str">
        <f t="shared" si="2"/>
        <v/>
      </c>
      <c r="J8270" s="1" t="str">
        <f t="shared" si="3"/>
        <v/>
      </c>
      <c r="K8270" s="1" t="str">
        <f t="shared" si="4"/>
        <v/>
      </c>
    </row>
    <row r="8271" hidden="1">
      <c r="F8271" s="1" t="str">
        <f t="shared" si="1"/>
        <v/>
      </c>
      <c r="G8271" s="1" t="str">
        <f t="shared" si="2"/>
        <v/>
      </c>
      <c r="J8271" s="1" t="str">
        <f t="shared" si="3"/>
        <v/>
      </c>
      <c r="K8271" s="1" t="str">
        <f t="shared" si="4"/>
        <v/>
      </c>
    </row>
    <row r="8272" hidden="1">
      <c r="F8272" s="1" t="str">
        <f t="shared" si="1"/>
        <v/>
      </c>
      <c r="G8272" s="1" t="str">
        <f t="shared" si="2"/>
        <v/>
      </c>
      <c r="J8272" s="1" t="str">
        <f t="shared" si="3"/>
        <v/>
      </c>
      <c r="K8272" s="1" t="str">
        <f t="shared" si="4"/>
        <v/>
      </c>
    </row>
    <row r="8273" hidden="1">
      <c r="F8273" s="1" t="str">
        <f t="shared" si="1"/>
        <v/>
      </c>
      <c r="G8273" s="1" t="str">
        <f t="shared" si="2"/>
        <v/>
      </c>
      <c r="J8273" s="1" t="str">
        <f t="shared" si="3"/>
        <v/>
      </c>
      <c r="K8273" s="1" t="str">
        <f t="shared" si="4"/>
        <v/>
      </c>
    </row>
    <row r="8274" hidden="1">
      <c r="F8274" s="1" t="str">
        <f t="shared" si="1"/>
        <v/>
      </c>
      <c r="G8274" s="1" t="str">
        <f t="shared" si="2"/>
        <v/>
      </c>
      <c r="J8274" s="1" t="str">
        <f t="shared" si="3"/>
        <v/>
      </c>
      <c r="K8274" s="1" t="str">
        <f t="shared" si="4"/>
        <v/>
      </c>
    </row>
    <row r="8275" hidden="1">
      <c r="F8275" s="1" t="str">
        <f t="shared" si="1"/>
        <v/>
      </c>
      <c r="G8275" s="1" t="str">
        <f t="shared" si="2"/>
        <v/>
      </c>
      <c r="J8275" s="1" t="str">
        <f t="shared" si="3"/>
        <v/>
      </c>
      <c r="K8275" s="1" t="str">
        <f t="shared" si="4"/>
        <v/>
      </c>
    </row>
    <row r="8276" hidden="1">
      <c r="F8276" s="1" t="str">
        <f t="shared" si="1"/>
        <v/>
      </c>
      <c r="G8276" s="1" t="str">
        <f t="shared" si="2"/>
        <v/>
      </c>
      <c r="J8276" s="1" t="str">
        <f t="shared" si="3"/>
        <v/>
      </c>
      <c r="K8276" s="1" t="str">
        <f t="shared" si="4"/>
        <v/>
      </c>
    </row>
    <row r="8277" hidden="1">
      <c r="F8277" s="1" t="str">
        <f t="shared" si="1"/>
        <v/>
      </c>
      <c r="G8277" s="1" t="str">
        <f t="shared" si="2"/>
        <v/>
      </c>
      <c r="J8277" s="1" t="str">
        <f t="shared" si="3"/>
        <v/>
      </c>
      <c r="K8277" s="1" t="str">
        <f t="shared" si="4"/>
        <v/>
      </c>
    </row>
    <row r="8278" hidden="1">
      <c r="F8278" s="1" t="str">
        <f t="shared" si="1"/>
        <v/>
      </c>
      <c r="G8278" s="1" t="str">
        <f t="shared" si="2"/>
        <v/>
      </c>
      <c r="J8278" s="1" t="str">
        <f t="shared" si="3"/>
        <v/>
      </c>
      <c r="K8278" s="1" t="str">
        <f t="shared" si="4"/>
        <v/>
      </c>
    </row>
    <row r="8279" hidden="1">
      <c r="F8279" s="1" t="str">
        <f t="shared" si="1"/>
        <v/>
      </c>
      <c r="G8279" s="1" t="str">
        <f t="shared" si="2"/>
        <v/>
      </c>
      <c r="J8279" s="1" t="str">
        <f t="shared" si="3"/>
        <v/>
      </c>
      <c r="K8279" s="1" t="str">
        <f t="shared" si="4"/>
        <v/>
      </c>
    </row>
    <row r="8280" hidden="1">
      <c r="F8280" s="1" t="str">
        <f t="shared" si="1"/>
        <v/>
      </c>
      <c r="G8280" s="1" t="str">
        <f t="shared" si="2"/>
        <v/>
      </c>
      <c r="J8280" s="1" t="str">
        <f t="shared" si="3"/>
        <v/>
      </c>
      <c r="K8280" s="1" t="str">
        <f t="shared" si="4"/>
        <v/>
      </c>
    </row>
    <row r="8281" hidden="1">
      <c r="F8281" s="1" t="str">
        <f t="shared" si="1"/>
        <v/>
      </c>
      <c r="G8281" s="1" t="str">
        <f t="shared" si="2"/>
        <v/>
      </c>
      <c r="J8281" s="1" t="str">
        <f t="shared" si="3"/>
        <v/>
      </c>
      <c r="K8281" s="1" t="str">
        <f t="shared" si="4"/>
        <v/>
      </c>
    </row>
    <row r="8282" hidden="1">
      <c r="F8282" s="1" t="str">
        <f t="shared" si="1"/>
        <v/>
      </c>
      <c r="G8282" s="1" t="str">
        <f t="shared" si="2"/>
        <v/>
      </c>
      <c r="J8282" s="1" t="str">
        <f t="shared" si="3"/>
        <v/>
      </c>
      <c r="K8282" s="1" t="str">
        <f t="shared" si="4"/>
        <v/>
      </c>
    </row>
    <row r="8283" hidden="1">
      <c r="F8283" s="1" t="str">
        <f t="shared" si="1"/>
        <v/>
      </c>
      <c r="G8283" s="1" t="str">
        <f t="shared" si="2"/>
        <v/>
      </c>
      <c r="J8283" s="1" t="str">
        <f t="shared" si="3"/>
        <v/>
      </c>
      <c r="K8283" s="1" t="str">
        <f t="shared" si="4"/>
        <v/>
      </c>
    </row>
    <row r="8284" hidden="1">
      <c r="F8284" s="1" t="str">
        <f t="shared" si="1"/>
        <v/>
      </c>
      <c r="G8284" s="1" t="str">
        <f t="shared" si="2"/>
        <v/>
      </c>
      <c r="J8284" s="1" t="str">
        <f t="shared" si="3"/>
        <v/>
      </c>
      <c r="K8284" s="1" t="str">
        <f t="shared" si="4"/>
        <v/>
      </c>
    </row>
    <row r="8285" hidden="1">
      <c r="F8285" s="1" t="str">
        <f t="shared" si="1"/>
        <v/>
      </c>
      <c r="G8285" s="1" t="str">
        <f t="shared" si="2"/>
        <v/>
      </c>
      <c r="J8285" s="1" t="str">
        <f t="shared" si="3"/>
        <v/>
      </c>
      <c r="K8285" s="1" t="str">
        <f t="shared" si="4"/>
        <v/>
      </c>
    </row>
    <row r="8286" hidden="1">
      <c r="F8286" s="1" t="str">
        <f t="shared" si="1"/>
        <v/>
      </c>
      <c r="G8286" s="1" t="str">
        <f t="shared" si="2"/>
        <v/>
      </c>
      <c r="J8286" s="1" t="str">
        <f t="shared" si="3"/>
        <v/>
      </c>
      <c r="K8286" s="1" t="str">
        <f t="shared" si="4"/>
        <v/>
      </c>
    </row>
    <row r="8287" hidden="1">
      <c r="F8287" s="1" t="str">
        <f t="shared" si="1"/>
        <v/>
      </c>
      <c r="G8287" s="1" t="str">
        <f t="shared" si="2"/>
        <v/>
      </c>
      <c r="J8287" s="1" t="str">
        <f t="shared" si="3"/>
        <v/>
      </c>
      <c r="K8287" s="1" t="str">
        <f t="shared" si="4"/>
        <v/>
      </c>
    </row>
    <row r="8288" hidden="1">
      <c r="F8288" s="1" t="str">
        <f t="shared" si="1"/>
        <v/>
      </c>
      <c r="G8288" s="1" t="str">
        <f t="shared" si="2"/>
        <v/>
      </c>
      <c r="J8288" s="1" t="str">
        <f t="shared" si="3"/>
        <v/>
      </c>
      <c r="K8288" s="1" t="str">
        <f t="shared" si="4"/>
        <v/>
      </c>
    </row>
    <row r="8289" hidden="1">
      <c r="F8289" s="1" t="str">
        <f t="shared" si="1"/>
        <v/>
      </c>
      <c r="G8289" s="1" t="str">
        <f t="shared" si="2"/>
        <v/>
      </c>
      <c r="J8289" s="1" t="str">
        <f t="shared" si="3"/>
        <v/>
      </c>
      <c r="K8289" s="1" t="str">
        <f t="shared" si="4"/>
        <v/>
      </c>
    </row>
    <row r="8290" hidden="1">
      <c r="F8290" s="1" t="str">
        <f t="shared" si="1"/>
        <v/>
      </c>
      <c r="G8290" s="1" t="str">
        <f t="shared" si="2"/>
        <v/>
      </c>
      <c r="J8290" s="1" t="str">
        <f t="shared" si="3"/>
        <v/>
      </c>
      <c r="K8290" s="1" t="str">
        <f t="shared" si="4"/>
        <v/>
      </c>
    </row>
    <row r="8291" hidden="1">
      <c r="F8291" s="1" t="str">
        <f t="shared" si="1"/>
        <v/>
      </c>
      <c r="G8291" s="1" t="str">
        <f t="shared" si="2"/>
        <v/>
      </c>
      <c r="J8291" s="1" t="str">
        <f t="shared" si="3"/>
        <v/>
      </c>
      <c r="K8291" s="1" t="str">
        <f t="shared" si="4"/>
        <v/>
      </c>
    </row>
    <row r="8292" hidden="1">
      <c r="F8292" s="1" t="str">
        <f t="shared" si="1"/>
        <v/>
      </c>
      <c r="G8292" s="1" t="str">
        <f t="shared" si="2"/>
        <v/>
      </c>
      <c r="J8292" s="1" t="str">
        <f t="shared" si="3"/>
        <v/>
      </c>
      <c r="K8292" s="1" t="str">
        <f t="shared" si="4"/>
        <v/>
      </c>
    </row>
    <row r="8293" hidden="1">
      <c r="F8293" s="1" t="str">
        <f t="shared" si="1"/>
        <v/>
      </c>
      <c r="G8293" s="1" t="str">
        <f t="shared" si="2"/>
        <v/>
      </c>
      <c r="J8293" s="1" t="str">
        <f t="shared" si="3"/>
        <v/>
      </c>
      <c r="K8293" s="1" t="str">
        <f t="shared" si="4"/>
        <v/>
      </c>
    </row>
    <row r="8294" hidden="1">
      <c r="F8294" s="1" t="str">
        <f t="shared" si="1"/>
        <v/>
      </c>
      <c r="G8294" s="1" t="str">
        <f t="shared" si="2"/>
        <v/>
      </c>
      <c r="J8294" s="1" t="str">
        <f t="shared" si="3"/>
        <v/>
      </c>
      <c r="K8294" s="1" t="str">
        <f t="shared" si="4"/>
        <v/>
      </c>
    </row>
    <row r="8295" hidden="1">
      <c r="F8295" s="1" t="str">
        <f t="shared" si="1"/>
        <v/>
      </c>
      <c r="G8295" s="1" t="str">
        <f t="shared" si="2"/>
        <v/>
      </c>
      <c r="J8295" s="1" t="str">
        <f t="shared" si="3"/>
        <v/>
      </c>
      <c r="K8295" s="1" t="str">
        <f t="shared" si="4"/>
        <v/>
      </c>
    </row>
    <row r="8296" hidden="1">
      <c r="F8296" s="1" t="str">
        <f t="shared" si="1"/>
        <v/>
      </c>
      <c r="G8296" s="1" t="str">
        <f t="shared" si="2"/>
        <v/>
      </c>
      <c r="J8296" s="1" t="str">
        <f t="shared" si="3"/>
        <v/>
      </c>
      <c r="K8296" s="1" t="str">
        <f t="shared" si="4"/>
        <v/>
      </c>
    </row>
    <row r="8297" hidden="1">
      <c r="F8297" s="1" t="str">
        <f t="shared" si="1"/>
        <v/>
      </c>
      <c r="G8297" s="1" t="str">
        <f t="shared" si="2"/>
        <v/>
      </c>
      <c r="J8297" s="1" t="str">
        <f t="shared" si="3"/>
        <v/>
      </c>
      <c r="K8297" s="1" t="str">
        <f t="shared" si="4"/>
        <v/>
      </c>
    </row>
    <row r="8298" hidden="1">
      <c r="F8298" s="1" t="str">
        <f t="shared" si="1"/>
        <v/>
      </c>
      <c r="G8298" s="1" t="str">
        <f t="shared" si="2"/>
        <v/>
      </c>
      <c r="J8298" s="1" t="str">
        <f t="shared" si="3"/>
        <v/>
      </c>
      <c r="K8298" s="1" t="str">
        <f t="shared" si="4"/>
        <v/>
      </c>
    </row>
    <row r="8299" hidden="1">
      <c r="F8299" s="1" t="str">
        <f t="shared" si="1"/>
        <v/>
      </c>
      <c r="G8299" s="1" t="str">
        <f t="shared" si="2"/>
        <v/>
      </c>
      <c r="J8299" s="1" t="str">
        <f t="shared" si="3"/>
        <v/>
      </c>
      <c r="K8299" s="1" t="str">
        <f t="shared" si="4"/>
        <v/>
      </c>
    </row>
    <row r="8300" hidden="1">
      <c r="F8300" s="1" t="str">
        <f t="shared" si="1"/>
        <v/>
      </c>
      <c r="G8300" s="1" t="str">
        <f t="shared" si="2"/>
        <v/>
      </c>
      <c r="J8300" s="1" t="str">
        <f t="shared" si="3"/>
        <v/>
      </c>
      <c r="K8300" s="1" t="str">
        <f t="shared" si="4"/>
        <v/>
      </c>
    </row>
    <row r="8301" hidden="1">
      <c r="F8301" s="1" t="str">
        <f t="shared" si="1"/>
        <v/>
      </c>
      <c r="G8301" s="1" t="str">
        <f t="shared" si="2"/>
        <v/>
      </c>
      <c r="J8301" s="1" t="str">
        <f t="shared" si="3"/>
        <v/>
      </c>
      <c r="K8301" s="1" t="str">
        <f t="shared" si="4"/>
        <v/>
      </c>
    </row>
    <row r="8302" hidden="1">
      <c r="F8302" s="1" t="str">
        <f t="shared" si="1"/>
        <v/>
      </c>
      <c r="G8302" s="1" t="str">
        <f t="shared" si="2"/>
        <v/>
      </c>
      <c r="J8302" s="1" t="str">
        <f t="shared" si="3"/>
        <v/>
      </c>
      <c r="K8302" s="1" t="str">
        <f t="shared" si="4"/>
        <v/>
      </c>
    </row>
    <row r="8303" hidden="1">
      <c r="F8303" s="1" t="str">
        <f t="shared" si="1"/>
        <v/>
      </c>
      <c r="G8303" s="1" t="str">
        <f t="shared" si="2"/>
        <v/>
      </c>
      <c r="J8303" s="1" t="str">
        <f t="shared" si="3"/>
        <v/>
      </c>
      <c r="K8303" s="1" t="str">
        <f t="shared" si="4"/>
        <v/>
      </c>
    </row>
    <row r="8304" hidden="1">
      <c r="F8304" s="1" t="str">
        <f t="shared" si="1"/>
        <v/>
      </c>
      <c r="G8304" s="1" t="str">
        <f t="shared" si="2"/>
        <v/>
      </c>
      <c r="J8304" s="1" t="str">
        <f t="shared" si="3"/>
        <v/>
      </c>
      <c r="K8304" s="1" t="str">
        <f t="shared" si="4"/>
        <v/>
      </c>
    </row>
    <row r="8305" hidden="1">
      <c r="F8305" s="1" t="str">
        <f t="shared" si="1"/>
        <v/>
      </c>
      <c r="G8305" s="1" t="str">
        <f t="shared" si="2"/>
        <v/>
      </c>
      <c r="J8305" s="1" t="str">
        <f t="shared" si="3"/>
        <v/>
      </c>
      <c r="K8305" s="1" t="str">
        <f t="shared" si="4"/>
        <v/>
      </c>
    </row>
    <row r="8306" hidden="1">
      <c r="F8306" s="1" t="str">
        <f t="shared" si="1"/>
        <v/>
      </c>
      <c r="G8306" s="1" t="str">
        <f t="shared" si="2"/>
        <v/>
      </c>
      <c r="J8306" s="1" t="str">
        <f t="shared" si="3"/>
        <v/>
      </c>
      <c r="K8306" s="1" t="str">
        <f t="shared" si="4"/>
        <v/>
      </c>
    </row>
    <row r="8307" hidden="1">
      <c r="F8307" s="1" t="str">
        <f t="shared" si="1"/>
        <v/>
      </c>
      <c r="G8307" s="1" t="str">
        <f t="shared" si="2"/>
        <v/>
      </c>
      <c r="J8307" s="1" t="str">
        <f t="shared" si="3"/>
        <v/>
      </c>
      <c r="K8307" s="1" t="str">
        <f t="shared" si="4"/>
        <v/>
      </c>
    </row>
    <row r="8308" hidden="1">
      <c r="F8308" s="1" t="str">
        <f t="shared" si="1"/>
        <v/>
      </c>
      <c r="G8308" s="1" t="str">
        <f t="shared" si="2"/>
        <v/>
      </c>
      <c r="J8308" s="1" t="str">
        <f t="shared" si="3"/>
        <v/>
      </c>
      <c r="K8308" s="1" t="str">
        <f t="shared" si="4"/>
        <v/>
      </c>
    </row>
    <row r="8309" hidden="1">
      <c r="F8309" s="1" t="str">
        <f t="shared" si="1"/>
        <v/>
      </c>
      <c r="G8309" s="1" t="str">
        <f t="shared" si="2"/>
        <v/>
      </c>
      <c r="J8309" s="1" t="str">
        <f t="shared" si="3"/>
        <v/>
      </c>
      <c r="K8309" s="1" t="str">
        <f t="shared" si="4"/>
        <v/>
      </c>
    </row>
    <row r="8310" hidden="1">
      <c r="F8310" s="1" t="str">
        <f t="shared" si="1"/>
        <v/>
      </c>
      <c r="G8310" s="1" t="str">
        <f t="shared" si="2"/>
        <v/>
      </c>
      <c r="J8310" s="1" t="str">
        <f t="shared" si="3"/>
        <v/>
      </c>
      <c r="K8310" s="1" t="str">
        <f t="shared" si="4"/>
        <v/>
      </c>
    </row>
    <row r="8311" hidden="1">
      <c r="F8311" s="1" t="str">
        <f t="shared" si="1"/>
        <v/>
      </c>
      <c r="G8311" s="1" t="str">
        <f t="shared" si="2"/>
        <v/>
      </c>
      <c r="J8311" s="1" t="str">
        <f t="shared" si="3"/>
        <v/>
      </c>
      <c r="K8311" s="1" t="str">
        <f t="shared" si="4"/>
        <v/>
      </c>
    </row>
    <row r="8312" hidden="1">
      <c r="F8312" s="1" t="str">
        <f t="shared" si="1"/>
        <v/>
      </c>
      <c r="G8312" s="1" t="str">
        <f t="shared" si="2"/>
        <v/>
      </c>
      <c r="J8312" s="1" t="str">
        <f t="shared" si="3"/>
        <v/>
      </c>
      <c r="K8312" s="1" t="str">
        <f t="shared" si="4"/>
        <v/>
      </c>
    </row>
    <row r="8313" hidden="1">
      <c r="F8313" s="1" t="str">
        <f t="shared" si="1"/>
        <v/>
      </c>
      <c r="G8313" s="1" t="str">
        <f t="shared" si="2"/>
        <v/>
      </c>
      <c r="J8313" s="1" t="str">
        <f t="shared" si="3"/>
        <v/>
      </c>
      <c r="K8313" s="1" t="str">
        <f t="shared" si="4"/>
        <v/>
      </c>
    </row>
    <row r="8314" hidden="1">
      <c r="F8314" s="1" t="str">
        <f t="shared" si="1"/>
        <v/>
      </c>
      <c r="G8314" s="1" t="str">
        <f t="shared" si="2"/>
        <v/>
      </c>
      <c r="J8314" s="1" t="str">
        <f t="shared" si="3"/>
        <v/>
      </c>
      <c r="K8314" s="1" t="str">
        <f t="shared" si="4"/>
        <v/>
      </c>
    </row>
    <row r="8315" hidden="1">
      <c r="F8315" s="1" t="str">
        <f t="shared" si="1"/>
        <v/>
      </c>
      <c r="G8315" s="1" t="str">
        <f t="shared" si="2"/>
        <v/>
      </c>
      <c r="J8315" s="1" t="str">
        <f t="shared" si="3"/>
        <v/>
      </c>
      <c r="K8315" s="1" t="str">
        <f t="shared" si="4"/>
        <v/>
      </c>
    </row>
    <row r="8316" hidden="1">
      <c r="F8316" s="1" t="str">
        <f t="shared" si="1"/>
        <v/>
      </c>
      <c r="G8316" s="1" t="str">
        <f t="shared" si="2"/>
        <v/>
      </c>
      <c r="J8316" s="1" t="str">
        <f t="shared" si="3"/>
        <v/>
      </c>
      <c r="K8316" s="1" t="str">
        <f t="shared" si="4"/>
        <v/>
      </c>
    </row>
    <row r="8317" hidden="1">
      <c r="F8317" s="1" t="str">
        <f t="shared" si="1"/>
        <v/>
      </c>
      <c r="G8317" s="1" t="str">
        <f t="shared" si="2"/>
        <v/>
      </c>
      <c r="J8317" s="1" t="str">
        <f t="shared" si="3"/>
        <v/>
      </c>
      <c r="K8317" s="1" t="str">
        <f t="shared" si="4"/>
        <v/>
      </c>
    </row>
    <row r="8318" hidden="1">
      <c r="F8318" s="1" t="str">
        <f t="shared" si="1"/>
        <v/>
      </c>
      <c r="G8318" s="1" t="str">
        <f t="shared" si="2"/>
        <v/>
      </c>
      <c r="J8318" s="1" t="str">
        <f t="shared" si="3"/>
        <v/>
      </c>
      <c r="K8318" s="1" t="str">
        <f t="shared" si="4"/>
        <v/>
      </c>
    </row>
    <row r="8319" hidden="1">
      <c r="F8319" s="1" t="str">
        <f t="shared" si="1"/>
        <v/>
      </c>
      <c r="G8319" s="1" t="str">
        <f t="shared" si="2"/>
        <v/>
      </c>
      <c r="J8319" s="1" t="str">
        <f t="shared" si="3"/>
        <v/>
      </c>
      <c r="K8319" s="1" t="str">
        <f t="shared" si="4"/>
        <v/>
      </c>
    </row>
    <row r="8320" hidden="1">
      <c r="F8320" s="1" t="str">
        <f t="shared" si="1"/>
        <v/>
      </c>
      <c r="G8320" s="1" t="str">
        <f t="shared" si="2"/>
        <v/>
      </c>
      <c r="J8320" s="1" t="str">
        <f t="shared" si="3"/>
        <v/>
      </c>
      <c r="K8320" s="1" t="str">
        <f t="shared" si="4"/>
        <v/>
      </c>
    </row>
    <row r="8321" hidden="1">
      <c r="F8321" s="1" t="str">
        <f t="shared" si="1"/>
        <v/>
      </c>
      <c r="G8321" s="1" t="str">
        <f t="shared" si="2"/>
        <v/>
      </c>
      <c r="J8321" s="1" t="str">
        <f t="shared" si="3"/>
        <v/>
      </c>
      <c r="K8321" s="1" t="str">
        <f t="shared" si="4"/>
        <v/>
      </c>
    </row>
    <row r="8322" hidden="1">
      <c r="F8322" s="1" t="str">
        <f t="shared" si="1"/>
        <v/>
      </c>
      <c r="G8322" s="1" t="str">
        <f t="shared" si="2"/>
        <v/>
      </c>
      <c r="J8322" s="1" t="str">
        <f t="shared" si="3"/>
        <v/>
      </c>
      <c r="K8322" s="1" t="str">
        <f t="shared" si="4"/>
        <v/>
      </c>
    </row>
    <row r="8323" hidden="1">
      <c r="F8323" s="1" t="str">
        <f t="shared" si="1"/>
        <v/>
      </c>
      <c r="G8323" s="1" t="str">
        <f t="shared" si="2"/>
        <v/>
      </c>
      <c r="J8323" s="1" t="str">
        <f t="shared" si="3"/>
        <v/>
      </c>
      <c r="K8323" s="1" t="str">
        <f t="shared" si="4"/>
        <v/>
      </c>
    </row>
    <row r="8324" hidden="1">
      <c r="F8324" s="1" t="str">
        <f t="shared" si="1"/>
        <v/>
      </c>
      <c r="G8324" s="1" t="str">
        <f t="shared" si="2"/>
        <v/>
      </c>
      <c r="J8324" s="1" t="str">
        <f t="shared" si="3"/>
        <v/>
      </c>
      <c r="K8324" s="1" t="str">
        <f t="shared" si="4"/>
        <v/>
      </c>
    </row>
    <row r="8325" hidden="1">
      <c r="F8325" s="1" t="str">
        <f t="shared" si="1"/>
        <v/>
      </c>
      <c r="G8325" s="1" t="str">
        <f t="shared" si="2"/>
        <v/>
      </c>
      <c r="J8325" s="1" t="str">
        <f t="shared" si="3"/>
        <v/>
      </c>
      <c r="K8325" s="1" t="str">
        <f t="shared" si="4"/>
        <v/>
      </c>
    </row>
    <row r="8326" hidden="1">
      <c r="F8326" s="1" t="str">
        <f t="shared" si="1"/>
        <v/>
      </c>
      <c r="G8326" s="1" t="str">
        <f t="shared" si="2"/>
        <v/>
      </c>
      <c r="J8326" s="1" t="str">
        <f t="shared" si="3"/>
        <v/>
      </c>
      <c r="K8326" s="1" t="str">
        <f t="shared" si="4"/>
        <v/>
      </c>
    </row>
    <row r="8327" hidden="1">
      <c r="F8327" s="1" t="str">
        <f t="shared" si="1"/>
        <v/>
      </c>
      <c r="G8327" s="1" t="str">
        <f t="shared" si="2"/>
        <v/>
      </c>
      <c r="J8327" s="1" t="str">
        <f t="shared" si="3"/>
        <v/>
      </c>
      <c r="K8327" s="1" t="str">
        <f t="shared" si="4"/>
        <v/>
      </c>
    </row>
    <row r="8328" hidden="1">
      <c r="F8328" s="1" t="str">
        <f t="shared" si="1"/>
        <v/>
      </c>
      <c r="G8328" s="1" t="str">
        <f t="shared" si="2"/>
        <v/>
      </c>
      <c r="J8328" s="1" t="str">
        <f t="shared" si="3"/>
        <v/>
      </c>
      <c r="K8328" s="1" t="str">
        <f t="shared" si="4"/>
        <v/>
      </c>
    </row>
    <row r="8329" hidden="1">
      <c r="F8329" s="1" t="str">
        <f t="shared" si="1"/>
        <v/>
      </c>
      <c r="G8329" s="1" t="str">
        <f t="shared" si="2"/>
        <v/>
      </c>
      <c r="J8329" s="1" t="str">
        <f t="shared" si="3"/>
        <v/>
      </c>
      <c r="K8329" s="1" t="str">
        <f t="shared" si="4"/>
        <v/>
      </c>
    </row>
    <row r="8330" hidden="1">
      <c r="F8330" s="1" t="str">
        <f t="shared" si="1"/>
        <v/>
      </c>
      <c r="G8330" s="1" t="str">
        <f t="shared" si="2"/>
        <v/>
      </c>
      <c r="J8330" s="1" t="str">
        <f t="shared" si="3"/>
        <v/>
      </c>
      <c r="K8330" s="1" t="str">
        <f t="shared" si="4"/>
        <v/>
      </c>
    </row>
    <row r="8331" hidden="1">
      <c r="F8331" s="1" t="str">
        <f t="shared" si="1"/>
        <v/>
      </c>
      <c r="G8331" s="1" t="str">
        <f t="shared" si="2"/>
        <v/>
      </c>
      <c r="J8331" s="1" t="str">
        <f t="shared" si="3"/>
        <v/>
      </c>
      <c r="K8331" s="1" t="str">
        <f t="shared" si="4"/>
        <v/>
      </c>
    </row>
    <row r="8332" hidden="1">
      <c r="F8332" s="1" t="str">
        <f t="shared" si="1"/>
        <v/>
      </c>
      <c r="G8332" s="1" t="str">
        <f t="shared" si="2"/>
        <v/>
      </c>
      <c r="J8332" s="1" t="str">
        <f t="shared" si="3"/>
        <v/>
      </c>
      <c r="K8332" s="1" t="str">
        <f t="shared" si="4"/>
        <v/>
      </c>
    </row>
    <row r="8333" hidden="1">
      <c r="F8333" s="1" t="str">
        <f t="shared" si="1"/>
        <v/>
      </c>
      <c r="G8333" s="1" t="str">
        <f t="shared" si="2"/>
        <v/>
      </c>
      <c r="J8333" s="1" t="str">
        <f t="shared" si="3"/>
        <v/>
      </c>
      <c r="K8333" s="1" t="str">
        <f t="shared" si="4"/>
        <v/>
      </c>
    </row>
    <row r="8334" hidden="1">
      <c r="F8334" s="1" t="str">
        <f t="shared" si="1"/>
        <v/>
      </c>
      <c r="G8334" s="1" t="str">
        <f t="shared" si="2"/>
        <v/>
      </c>
      <c r="J8334" s="1" t="str">
        <f t="shared" si="3"/>
        <v/>
      </c>
      <c r="K8334" s="1" t="str">
        <f t="shared" si="4"/>
        <v/>
      </c>
    </row>
    <row r="8335" hidden="1">
      <c r="F8335" s="1" t="str">
        <f t="shared" si="1"/>
        <v/>
      </c>
      <c r="G8335" s="1" t="str">
        <f t="shared" si="2"/>
        <v/>
      </c>
      <c r="J8335" s="1" t="str">
        <f t="shared" si="3"/>
        <v/>
      </c>
      <c r="K8335" s="1" t="str">
        <f t="shared" si="4"/>
        <v/>
      </c>
    </row>
    <row r="8336" hidden="1">
      <c r="F8336" s="1" t="str">
        <f t="shared" si="1"/>
        <v/>
      </c>
      <c r="G8336" s="1" t="str">
        <f t="shared" si="2"/>
        <v/>
      </c>
      <c r="J8336" s="1" t="str">
        <f t="shared" si="3"/>
        <v/>
      </c>
      <c r="K8336" s="1" t="str">
        <f t="shared" si="4"/>
        <v/>
      </c>
    </row>
    <row r="8337" hidden="1">
      <c r="F8337" s="1" t="str">
        <f t="shared" si="1"/>
        <v/>
      </c>
      <c r="G8337" s="1" t="str">
        <f t="shared" si="2"/>
        <v/>
      </c>
      <c r="J8337" s="1" t="str">
        <f t="shared" si="3"/>
        <v/>
      </c>
      <c r="K8337" s="1" t="str">
        <f t="shared" si="4"/>
        <v/>
      </c>
    </row>
    <row r="8338" hidden="1">
      <c r="F8338" s="1" t="str">
        <f t="shared" si="1"/>
        <v/>
      </c>
      <c r="G8338" s="1" t="str">
        <f t="shared" si="2"/>
        <v/>
      </c>
      <c r="J8338" s="1" t="str">
        <f t="shared" si="3"/>
        <v/>
      </c>
      <c r="K8338" s="1" t="str">
        <f t="shared" si="4"/>
        <v/>
      </c>
    </row>
    <row r="8339" hidden="1">
      <c r="F8339" s="1" t="str">
        <f t="shared" si="1"/>
        <v/>
      </c>
      <c r="G8339" s="1" t="str">
        <f t="shared" si="2"/>
        <v/>
      </c>
      <c r="J8339" s="1" t="str">
        <f t="shared" si="3"/>
        <v/>
      </c>
      <c r="K8339" s="1" t="str">
        <f t="shared" si="4"/>
        <v/>
      </c>
    </row>
    <row r="8340" hidden="1">
      <c r="F8340" s="1" t="str">
        <f t="shared" si="1"/>
        <v/>
      </c>
      <c r="G8340" s="1" t="str">
        <f t="shared" si="2"/>
        <v/>
      </c>
      <c r="J8340" s="1" t="str">
        <f t="shared" si="3"/>
        <v/>
      </c>
      <c r="K8340" s="1" t="str">
        <f t="shared" si="4"/>
        <v/>
      </c>
    </row>
    <row r="8341" hidden="1">
      <c r="F8341" s="1" t="str">
        <f t="shared" si="1"/>
        <v/>
      </c>
      <c r="G8341" s="1" t="str">
        <f t="shared" si="2"/>
        <v/>
      </c>
      <c r="J8341" s="1" t="str">
        <f t="shared" si="3"/>
        <v/>
      </c>
      <c r="K8341" s="1" t="str">
        <f t="shared" si="4"/>
        <v/>
      </c>
    </row>
    <row r="8342" hidden="1">
      <c r="F8342" s="1" t="str">
        <f t="shared" si="1"/>
        <v/>
      </c>
      <c r="G8342" s="1" t="str">
        <f t="shared" si="2"/>
        <v/>
      </c>
      <c r="J8342" s="1" t="str">
        <f t="shared" si="3"/>
        <v/>
      </c>
      <c r="K8342" s="1" t="str">
        <f t="shared" si="4"/>
        <v/>
      </c>
    </row>
    <row r="8343" hidden="1">
      <c r="F8343" s="1" t="str">
        <f t="shared" si="1"/>
        <v/>
      </c>
      <c r="G8343" s="1" t="str">
        <f t="shared" si="2"/>
        <v/>
      </c>
      <c r="J8343" s="1" t="str">
        <f t="shared" si="3"/>
        <v/>
      </c>
      <c r="K8343" s="1" t="str">
        <f t="shared" si="4"/>
        <v/>
      </c>
    </row>
    <row r="8344" hidden="1">
      <c r="F8344" s="1" t="str">
        <f t="shared" si="1"/>
        <v/>
      </c>
      <c r="G8344" s="1" t="str">
        <f t="shared" si="2"/>
        <v/>
      </c>
      <c r="J8344" s="1" t="str">
        <f t="shared" si="3"/>
        <v/>
      </c>
      <c r="K8344" s="1" t="str">
        <f t="shared" si="4"/>
        <v/>
      </c>
    </row>
    <row r="8345" hidden="1">
      <c r="F8345" s="1" t="str">
        <f t="shared" si="1"/>
        <v/>
      </c>
      <c r="G8345" s="1" t="str">
        <f t="shared" si="2"/>
        <v/>
      </c>
      <c r="J8345" s="1" t="str">
        <f t="shared" si="3"/>
        <v/>
      </c>
      <c r="K8345" s="1" t="str">
        <f t="shared" si="4"/>
        <v/>
      </c>
    </row>
    <row r="8346" hidden="1">
      <c r="F8346" s="1" t="str">
        <f t="shared" si="1"/>
        <v/>
      </c>
      <c r="G8346" s="1" t="str">
        <f t="shared" si="2"/>
        <v/>
      </c>
      <c r="J8346" s="1" t="str">
        <f t="shared" si="3"/>
        <v/>
      </c>
      <c r="K8346" s="1" t="str">
        <f t="shared" si="4"/>
        <v/>
      </c>
    </row>
    <row r="8347" hidden="1">
      <c r="F8347" s="1" t="str">
        <f t="shared" si="1"/>
        <v/>
      </c>
      <c r="G8347" s="1" t="str">
        <f t="shared" si="2"/>
        <v/>
      </c>
      <c r="J8347" s="1" t="str">
        <f t="shared" si="3"/>
        <v/>
      </c>
      <c r="K8347" s="1" t="str">
        <f t="shared" si="4"/>
        <v/>
      </c>
    </row>
    <row r="8348" hidden="1">
      <c r="F8348" s="1" t="str">
        <f t="shared" si="1"/>
        <v/>
      </c>
      <c r="G8348" s="1" t="str">
        <f t="shared" si="2"/>
        <v/>
      </c>
      <c r="J8348" s="1" t="str">
        <f t="shared" si="3"/>
        <v/>
      </c>
      <c r="K8348" s="1" t="str">
        <f t="shared" si="4"/>
        <v/>
      </c>
    </row>
    <row r="8349" hidden="1">
      <c r="F8349" s="1" t="str">
        <f t="shared" si="1"/>
        <v/>
      </c>
      <c r="G8349" s="1" t="str">
        <f t="shared" si="2"/>
        <v/>
      </c>
      <c r="J8349" s="1" t="str">
        <f t="shared" si="3"/>
        <v/>
      </c>
      <c r="K8349" s="1" t="str">
        <f t="shared" si="4"/>
        <v/>
      </c>
    </row>
    <row r="8350" hidden="1">
      <c r="F8350" s="1" t="str">
        <f t="shared" si="1"/>
        <v/>
      </c>
      <c r="G8350" s="1" t="str">
        <f t="shared" si="2"/>
        <v/>
      </c>
      <c r="J8350" s="1" t="str">
        <f t="shared" si="3"/>
        <v/>
      </c>
      <c r="K8350" s="1" t="str">
        <f t="shared" si="4"/>
        <v/>
      </c>
    </row>
    <row r="8351" hidden="1">
      <c r="F8351" s="1" t="str">
        <f t="shared" si="1"/>
        <v/>
      </c>
      <c r="G8351" s="1" t="str">
        <f t="shared" si="2"/>
        <v/>
      </c>
      <c r="J8351" s="1" t="str">
        <f t="shared" si="3"/>
        <v/>
      </c>
      <c r="K8351" s="1" t="str">
        <f t="shared" si="4"/>
        <v/>
      </c>
    </row>
    <row r="8352" hidden="1">
      <c r="F8352" s="1" t="str">
        <f t="shared" si="1"/>
        <v/>
      </c>
      <c r="G8352" s="1" t="str">
        <f t="shared" si="2"/>
        <v/>
      </c>
      <c r="J8352" s="1" t="str">
        <f t="shared" si="3"/>
        <v/>
      </c>
      <c r="K8352" s="1" t="str">
        <f t="shared" si="4"/>
        <v/>
      </c>
    </row>
    <row r="8353" hidden="1">
      <c r="F8353" s="1" t="str">
        <f t="shared" si="1"/>
        <v/>
      </c>
      <c r="G8353" s="1" t="str">
        <f t="shared" si="2"/>
        <v/>
      </c>
      <c r="J8353" s="1" t="str">
        <f t="shared" si="3"/>
        <v/>
      </c>
      <c r="K8353" s="1" t="str">
        <f t="shared" si="4"/>
        <v/>
      </c>
    </row>
    <row r="8354" hidden="1">
      <c r="F8354" s="1" t="str">
        <f t="shared" si="1"/>
        <v/>
      </c>
      <c r="G8354" s="1" t="str">
        <f t="shared" si="2"/>
        <v/>
      </c>
      <c r="J8354" s="1" t="str">
        <f t="shared" si="3"/>
        <v/>
      </c>
      <c r="K8354" s="1" t="str">
        <f t="shared" si="4"/>
        <v/>
      </c>
    </row>
    <row r="8355" hidden="1">
      <c r="F8355" s="1" t="str">
        <f t="shared" si="1"/>
        <v/>
      </c>
      <c r="G8355" s="1" t="str">
        <f t="shared" si="2"/>
        <v/>
      </c>
      <c r="J8355" s="1" t="str">
        <f t="shared" si="3"/>
        <v/>
      </c>
      <c r="K8355" s="1" t="str">
        <f t="shared" si="4"/>
        <v/>
      </c>
    </row>
    <row r="8356" hidden="1">
      <c r="F8356" s="1" t="str">
        <f t="shared" si="1"/>
        <v/>
      </c>
      <c r="G8356" s="1" t="str">
        <f t="shared" si="2"/>
        <v/>
      </c>
      <c r="J8356" s="1" t="str">
        <f t="shared" si="3"/>
        <v/>
      </c>
      <c r="K8356" s="1" t="str">
        <f t="shared" si="4"/>
        <v/>
      </c>
    </row>
    <row r="8357" hidden="1">
      <c r="F8357" s="1" t="str">
        <f t="shared" si="1"/>
        <v/>
      </c>
      <c r="G8357" s="1" t="str">
        <f t="shared" si="2"/>
        <v/>
      </c>
      <c r="J8357" s="1" t="str">
        <f t="shared" si="3"/>
        <v/>
      </c>
      <c r="K8357" s="1" t="str">
        <f t="shared" si="4"/>
        <v/>
      </c>
    </row>
    <row r="8358" hidden="1">
      <c r="F8358" s="1" t="str">
        <f t="shared" si="1"/>
        <v/>
      </c>
      <c r="G8358" s="1" t="str">
        <f t="shared" si="2"/>
        <v/>
      </c>
      <c r="J8358" s="1" t="str">
        <f t="shared" si="3"/>
        <v/>
      </c>
      <c r="K8358" s="1" t="str">
        <f t="shared" si="4"/>
        <v/>
      </c>
    </row>
    <row r="8359" hidden="1">
      <c r="F8359" s="1" t="str">
        <f t="shared" si="1"/>
        <v/>
      </c>
      <c r="G8359" s="1" t="str">
        <f t="shared" si="2"/>
        <v/>
      </c>
      <c r="J8359" s="1" t="str">
        <f t="shared" si="3"/>
        <v/>
      </c>
      <c r="K8359" s="1" t="str">
        <f t="shared" si="4"/>
        <v/>
      </c>
    </row>
    <row r="8360" hidden="1">
      <c r="F8360" s="1" t="str">
        <f t="shared" si="1"/>
        <v/>
      </c>
      <c r="G8360" s="1" t="str">
        <f t="shared" si="2"/>
        <v/>
      </c>
      <c r="J8360" s="1" t="str">
        <f t="shared" si="3"/>
        <v/>
      </c>
      <c r="K8360" s="1" t="str">
        <f t="shared" si="4"/>
        <v/>
      </c>
    </row>
    <row r="8361" hidden="1">
      <c r="F8361" s="1" t="str">
        <f t="shared" si="1"/>
        <v/>
      </c>
      <c r="G8361" s="1" t="str">
        <f t="shared" si="2"/>
        <v/>
      </c>
      <c r="J8361" s="1" t="str">
        <f t="shared" si="3"/>
        <v/>
      </c>
      <c r="K8361" s="1" t="str">
        <f t="shared" si="4"/>
        <v/>
      </c>
    </row>
    <row r="8362" hidden="1">
      <c r="F8362" s="1" t="str">
        <f t="shared" si="1"/>
        <v/>
      </c>
      <c r="G8362" s="1" t="str">
        <f t="shared" si="2"/>
        <v/>
      </c>
      <c r="J8362" s="1" t="str">
        <f t="shared" si="3"/>
        <v/>
      </c>
      <c r="K8362" s="1" t="str">
        <f t="shared" si="4"/>
        <v/>
      </c>
    </row>
    <row r="8363" hidden="1">
      <c r="F8363" s="1" t="str">
        <f t="shared" si="1"/>
        <v/>
      </c>
      <c r="G8363" s="1" t="str">
        <f t="shared" si="2"/>
        <v/>
      </c>
      <c r="J8363" s="1" t="str">
        <f t="shared" si="3"/>
        <v/>
      </c>
      <c r="K8363" s="1" t="str">
        <f t="shared" si="4"/>
        <v/>
      </c>
    </row>
    <row r="8364" hidden="1">
      <c r="F8364" s="1" t="str">
        <f t="shared" si="1"/>
        <v/>
      </c>
      <c r="G8364" s="1" t="str">
        <f t="shared" si="2"/>
        <v/>
      </c>
      <c r="J8364" s="1" t="str">
        <f t="shared" si="3"/>
        <v/>
      </c>
      <c r="K8364" s="1" t="str">
        <f t="shared" si="4"/>
        <v/>
      </c>
    </row>
    <row r="8365" hidden="1">
      <c r="F8365" s="1" t="str">
        <f t="shared" si="1"/>
        <v/>
      </c>
      <c r="G8365" s="1" t="str">
        <f t="shared" si="2"/>
        <v/>
      </c>
      <c r="J8365" s="1" t="str">
        <f t="shared" si="3"/>
        <v/>
      </c>
      <c r="K8365" s="1" t="str">
        <f t="shared" si="4"/>
        <v/>
      </c>
    </row>
    <row r="8366" hidden="1">
      <c r="F8366" s="1" t="str">
        <f t="shared" si="1"/>
        <v/>
      </c>
      <c r="G8366" s="1" t="str">
        <f t="shared" si="2"/>
        <v/>
      </c>
      <c r="J8366" s="1" t="str">
        <f t="shared" si="3"/>
        <v/>
      </c>
      <c r="K8366" s="1" t="str">
        <f t="shared" si="4"/>
        <v/>
      </c>
    </row>
    <row r="8367" hidden="1">
      <c r="F8367" s="1" t="str">
        <f t="shared" si="1"/>
        <v/>
      </c>
      <c r="G8367" s="1" t="str">
        <f t="shared" si="2"/>
        <v/>
      </c>
      <c r="J8367" s="1" t="str">
        <f t="shared" si="3"/>
        <v/>
      </c>
      <c r="K8367" s="1" t="str">
        <f t="shared" si="4"/>
        <v/>
      </c>
    </row>
    <row r="8368" hidden="1">
      <c r="F8368" s="1" t="str">
        <f t="shared" si="1"/>
        <v/>
      </c>
      <c r="G8368" s="1" t="str">
        <f t="shared" si="2"/>
        <v/>
      </c>
      <c r="J8368" s="1" t="str">
        <f t="shared" si="3"/>
        <v/>
      </c>
      <c r="K8368" s="1" t="str">
        <f t="shared" si="4"/>
        <v/>
      </c>
    </row>
    <row r="8369" hidden="1">
      <c r="F8369" s="1" t="str">
        <f t="shared" si="1"/>
        <v/>
      </c>
      <c r="G8369" s="1" t="str">
        <f t="shared" si="2"/>
        <v/>
      </c>
      <c r="J8369" s="1" t="str">
        <f t="shared" si="3"/>
        <v/>
      </c>
      <c r="K8369" s="1" t="str">
        <f t="shared" si="4"/>
        <v/>
      </c>
    </row>
    <row r="8370" hidden="1">
      <c r="F8370" s="1" t="str">
        <f t="shared" si="1"/>
        <v/>
      </c>
      <c r="G8370" s="1" t="str">
        <f t="shared" si="2"/>
        <v/>
      </c>
      <c r="J8370" s="1" t="str">
        <f t="shared" si="3"/>
        <v/>
      </c>
      <c r="K8370" s="1" t="str">
        <f t="shared" si="4"/>
        <v/>
      </c>
    </row>
    <row r="8371" hidden="1">
      <c r="F8371" s="1" t="str">
        <f t="shared" si="1"/>
        <v/>
      </c>
      <c r="G8371" s="1" t="str">
        <f t="shared" si="2"/>
        <v/>
      </c>
      <c r="J8371" s="1" t="str">
        <f t="shared" si="3"/>
        <v/>
      </c>
      <c r="K8371" s="1" t="str">
        <f t="shared" si="4"/>
        <v/>
      </c>
    </row>
    <row r="8372" hidden="1">
      <c r="F8372" s="1" t="str">
        <f t="shared" si="1"/>
        <v/>
      </c>
      <c r="G8372" s="1" t="str">
        <f t="shared" si="2"/>
        <v/>
      </c>
      <c r="J8372" s="1" t="str">
        <f t="shared" si="3"/>
        <v/>
      </c>
      <c r="K8372" s="1" t="str">
        <f t="shared" si="4"/>
        <v/>
      </c>
    </row>
    <row r="8373" hidden="1">
      <c r="F8373" s="1" t="str">
        <f t="shared" si="1"/>
        <v/>
      </c>
      <c r="G8373" s="1" t="str">
        <f t="shared" si="2"/>
        <v/>
      </c>
      <c r="J8373" s="1" t="str">
        <f t="shared" si="3"/>
        <v/>
      </c>
      <c r="K8373" s="1" t="str">
        <f t="shared" si="4"/>
        <v/>
      </c>
    </row>
    <row r="8374" hidden="1">
      <c r="F8374" s="1" t="str">
        <f t="shared" si="1"/>
        <v/>
      </c>
      <c r="G8374" s="1" t="str">
        <f t="shared" si="2"/>
        <v/>
      </c>
      <c r="J8374" s="1" t="str">
        <f t="shared" si="3"/>
        <v/>
      </c>
      <c r="K8374" s="1" t="str">
        <f t="shared" si="4"/>
        <v/>
      </c>
    </row>
    <row r="8375" hidden="1">
      <c r="F8375" s="1" t="str">
        <f t="shared" si="1"/>
        <v/>
      </c>
      <c r="G8375" s="1" t="str">
        <f t="shared" si="2"/>
        <v/>
      </c>
      <c r="J8375" s="1" t="str">
        <f t="shared" si="3"/>
        <v/>
      </c>
      <c r="K8375" s="1" t="str">
        <f t="shared" si="4"/>
        <v/>
      </c>
    </row>
    <row r="8376" hidden="1">
      <c r="F8376" s="1" t="str">
        <f t="shared" si="1"/>
        <v/>
      </c>
      <c r="G8376" s="1" t="str">
        <f t="shared" si="2"/>
        <v/>
      </c>
      <c r="J8376" s="1" t="str">
        <f t="shared" si="3"/>
        <v/>
      </c>
      <c r="K8376" s="1" t="str">
        <f t="shared" si="4"/>
        <v/>
      </c>
    </row>
    <row r="8377" hidden="1">
      <c r="F8377" s="1" t="str">
        <f t="shared" si="1"/>
        <v/>
      </c>
      <c r="G8377" s="1" t="str">
        <f t="shared" si="2"/>
        <v/>
      </c>
      <c r="J8377" s="1" t="str">
        <f t="shared" si="3"/>
        <v/>
      </c>
      <c r="K8377" s="1" t="str">
        <f t="shared" si="4"/>
        <v/>
      </c>
    </row>
    <row r="8378" hidden="1">
      <c r="F8378" s="1" t="str">
        <f t="shared" si="1"/>
        <v/>
      </c>
      <c r="G8378" s="1" t="str">
        <f t="shared" si="2"/>
        <v/>
      </c>
      <c r="J8378" s="1" t="str">
        <f t="shared" si="3"/>
        <v/>
      </c>
      <c r="K8378" s="1" t="str">
        <f t="shared" si="4"/>
        <v/>
      </c>
    </row>
    <row r="8379" hidden="1">
      <c r="F8379" s="1" t="str">
        <f t="shared" si="1"/>
        <v/>
      </c>
      <c r="G8379" s="1" t="str">
        <f t="shared" si="2"/>
        <v/>
      </c>
      <c r="J8379" s="1" t="str">
        <f t="shared" si="3"/>
        <v/>
      </c>
      <c r="K8379" s="1" t="str">
        <f t="shared" si="4"/>
        <v/>
      </c>
    </row>
    <row r="8380" hidden="1">
      <c r="F8380" s="1" t="str">
        <f t="shared" si="1"/>
        <v/>
      </c>
      <c r="G8380" s="1" t="str">
        <f t="shared" si="2"/>
        <v/>
      </c>
      <c r="J8380" s="1" t="str">
        <f t="shared" si="3"/>
        <v/>
      </c>
      <c r="K8380" s="1" t="str">
        <f t="shared" si="4"/>
        <v/>
      </c>
    </row>
    <row r="8381" hidden="1">
      <c r="F8381" s="1" t="str">
        <f t="shared" si="1"/>
        <v/>
      </c>
      <c r="G8381" s="1" t="str">
        <f t="shared" si="2"/>
        <v/>
      </c>
      <c r="J8381" s="1" t="str">
        <f t="shared" si="3"/>
        <v/>
      </c>
      <c r="K8381" s="1" t="str">
        <f t="shared" si="4"/>
        <v/>
      </c>
    </row>
    <row r="8382" hidden="1">
      <c r="F8382" s="1" t="str">
        <f t="shared" si="1"/>
        <v/>
      </c>
      <c r="G8382" s="1" t="str">
        <f t="shared" si="2"/>
        <v/>
      </c>
      <c r="J8382" s="1" t="str">
        <f t="shared" si="3"/>
        <v/>
      </c>
      <c r="K8382" s="1" t="str">
        <f t="shared" si="4"/>
        <v/>
      </c>
    </row>
    <row r="8383" hidden="1">
      <c r="F8383" s="1" t="str">
        <f t="shared" si="1"/>
        <v/>
      </c>
      <c r="G8383" s="1" t="str">
        <f t="shared" si="2"/>
        <v/>
      </c>
      <c r="J8383" s="1" t="str">
        <f t="shared" si="3"/>
        <v/>
      </c>
      <c r="K8383" s="1" t="str">
        <f t="shared" si="4"/>
        <v/>
      </c>
    </row>
    <row r="8384" hidden="1">
      <c r="F8384" s="1" t="str">
        <f t="shared" si="1"/>
        <v/>
      </c>
      <c r="G8384" s="1" t="str">
        <f t="shared" si="2"/>
        <v/>
      </c>
      <c r="J8384" s="1" t="str">
        <f t="shared" si="3"/>
        <v/>
      </c>
      <c r="K8384" s="1" t="str">
        <f t="shared" si="4"/>
        <v/>
      </c>
    </row>
    <row r="8385" hidden="1">
      <c r="F8385" s="1" t="str">
        <f t="shared" si="1"/>
        <v/>
      </c>
      <c r="G8385" s="1" t="str">
        <f t="shared" si="2"/>
        <v/>
      </c>
      <c r="J8385" s="1" t="str">
        <f t="shared" si="3"/>
        <v/>
      </c>
      <c r="K8385" s="1" t="str">
        <f t="shared" si="4"/>
        <v/>
      </c>
    </row>
    <row r="8386" hidden="1">
      <c r="F8386" s="1" t="str">
        <f t="shared" si="1"/>
        <v/>
      </c>
      <c r="G8386" s="1" t="str">
        <f t="shared" si="2"/>
        <v/>
      </c>
      <c r="J8386" s="1" t="str">
        <f t="shared" si="3"/>
        <v/>
      </c>
      <c r="K8386" s="1" t="str">
        <f t="shared" si="4"/>
        <v/>
      </c>
    </row>
    <row r="8387" hidden="1">
      <c r="F8387" s="1" t="str">
        <f t="shared" si="1"/>
        <v/>
      </c>
      <c r="G8387" s="1" t="str">
        <f t="shared" si="2"/>
        <v/>
      </c>
      <c r="J8387" s="1" t="str">
        <f t="shared" si="3"/>
        <v/>
      </c>
      <c r="K8387" s="1" t="str">
        <f t="shared" si="4"/>
        <v/>
      </c>
    </row>
    <row r="8388" hidden="1">
      <c r="F8388" s="1" t="str">
        <f t="shared" si="1"/>
        <v/>
      </c>
      <c r="G8388" s="1" t="str">
        <f t="shared" si="2"/>
        <v/>
      </c>
      <c r="J8388" s="1" t="str">
        <f t="shared" si="3"/>
        <v/>
      </c>
      <c r="K8388" s="1" t="str">
        <f t="shared" si="4"/>
        <v/>
      </c>
    </row>
    <row r="8389" hidden="1">
      <c r="F8389" s="1" t="str">
        <f t="shared" si="1"/>
        <v/>
      </c>
      <c r="G8389" s="1" t="str">
        <f t="shared" si="2"/>
        <v/>
      </c>
      <c r="J8389" s="1" t="str">
        <f t="shared" si="3"/>
        <v/>
      </c>
      <c r="K8389" s="1" t="str">
        <f t="shared" si="4"/>
        <v/>
      </c>
    </row>
    <row r="8390" hidden="1">
      <c r="F8390" s="1" t="str">
        <f t="shared" si="1"/>
        <v/>
      </c>
      <c r="G8390" s="1" t="str">
        <f t="shared" si="2"/>
        <v/>
      </c>
      <c r="J8390" s="1" t="str">
        <f t="shared" si="3"/>
        <v/>
      </c>
      <c r="K8390" s="1" t="str">
        <f t="shared" si="4"/>
        <v/>
      </c>
    </row>
    <row r="8391" hidden="1">
      <c r="F8391" s="1" t="str">
        <f t="shared" si="1"/>
        <v/>
      </c>
      <c r="G8391" s="1" t="str">
        <f t="shared" si="2"/>
        <v/>
      </c>
      <c r="J8391" s="1" t="str">
        <f t="shared" si="3"/>
        <v/>
      </c>
      <c r="K8391" s="1" t="str">
        <f t="shared" si="4"/>
        <v/>
      </c>
    </row>
    <row r="8392" hidden="1">
      <c r="F8392" s="1" t="str">
        <f t="shared" si="1"/>
        <v/>
      </c>
      <c r="G8392" s="1" t="str">
        <f t="shared" si="2"/>
        <v/>
      </c>
      <c r="J8392" s="1" t="str">
        <f t="shared" si="3"/>
        <v/>
      </c>
      <c r="K8392" s="1" t="str">
        <f t="shared" si="4"/>
        <v/>
      </c>
    </row>
    <row r="8393" hidden="1">
      <c r="F8393" s="1" t="str">
        <f t="shared" si="1"/>
        <v/>
      </c>
      <c r="G8393" s="1" t="str">
        <f t="shared" si="2"/>
        <v/>
      </c>
      <c r="J8393" s="1" t="str">
        <f t="shared" si="3"/>
        <v/>
      </c>
      <c r="K8393" s="1" t="str">
        <f t="shared" si="4"/>
        <v/>
      </c>
    </row>
    <row r="8394" hidden="1">
      <c r="F8394" s="1" t="str">
        <f t="shared" si="1"/>
        <v/>
      </c>
      <c r="G8394" s="1" t="str">
        <f t="shared" si="2"/>
        <v/>
      </c>
      <c r="J8394" s="1" t="str">
        <f t="shared" si="3"/>
        <v/>
      </c>
      <c r="K8394" s="1" t="str">
        <f t="shared" si="4"/>
        <v/>
      </c>
    </row>
    <row r="8395" hidden="1">
      <c r="F8395" s="1" t="str">
        <f t="shared" si="1"/>
        <v/>
      </c>
      <c r="G8395" s="1" t="str">
        <f t="shared" si="2"/>
        <v/>
      </c>
      <c r="J8395" s="1" t="str">
        <f t="shared" si="3"/>
        <v/>
      </c>
      <c r="K8395" s="1" t="str">
        <f t="shared" si="4"/>
        <v/>
      </c>
    </row>
    <row r="8396" hidden="1">
      <c r="F8396" s="1" t="str">
        <f t="shared" si="1"/>
        <v/>
      </c>
      <c r="G8396" s="1" t="str">
        <f t="shared" si="2"/>
        <v/>
      </c>
      <c r="J8396" s="1" t="str">
        <f t="shared" si="3"/>
        <v/>
      </c>
      <c r="K8396" s="1" t="str">
        <f t="shared" si="4"/>
        <v/>
      </c>
    </row>
    <row r="8397" hidden="1">
      <c r="F8397" s="1" t="str">
        <f t="shared" si="1"/>
        <v/>
      </c>
      <c r="G8397" s="1" t="str">
        <f t="shared" si="2"/>
        <v/>
      </c>
      <c r="J8397" s="1" t="str">
        <f t="shared" si="3"/>
        <v/>
      </c>
      <c r="K8397" s="1" t="str">
        <f t="shared" si="4"/>
        <v/>
      </c>
    </row>
    <row r="8398" hidden="1">
      <c r="F8398" s="1" t="str">
        <f t="shared" si="1"/>
        <v/>
      </c>
      <c r="G8398" s="1" t="str">
        <f t="shared" si="2"/>
        <v/>
      </c>
      <c r="J8398" s="1" t="str">
        <f t="shared" si="3"/>
        <v/>
      </c>
      <c r="K8398" s="1" t="str">
        <f t="shared" si="4"/>
        <v/>
      </c>
    </row>
    <row r="8399" hidden="1">
      <c r="F8399" s="1" t="str">
        <f t="shared" si="1"/>
        <v/>
      </c>
      <c r="G8399" s="1" t="str">
        <f t="shared" si="2"/>
        <v/>
      </c>
      <c r="J8399" s="1" t="str">
        <f t="shared" si="3"/>
        <v/>
      </c>
      <c r="K8399" s="1" t="str">
        <f t="shared" si="4"/>
        <v/>
      </c>
    </row>
    <row r="8400" hidden="1">
      <c r="F8400" s="1" t="str">
        <f t="shared" si="1"/>
        <v/>
      </c>
      <c r="G8400" s="1" t="str">
        <f t="shared" si="2"/>
        <v/>
      </c>
      <c r="J8400" s="1" t="str">
        <f t="shared" si="3"/>
        <v/>
      </c>
      <c r="K8400" s="1" t="str">
        <f t="shared" si="4"/>
        <v/>
      </c>
    </row>
    <row r="8401" hidden="1">
      <c r="F8401" s="1" t="str">
        <f t="shared" si="1"/>
        <v/>
      </c>
      <c r="G8401" s="1" t="str">
        <f t="shared" si="2"/>
        <v/>
      </c>
      <c r="J8401" s="1" t="str">
        <f t="shared" si="3"/>
        <v/>
      </c>
      <c r="K8401" s="1" t="str">
        <f t="shared" si="4"/>
        <v/>
      </c>
    </row>
    <row r="8402" hidden="1">
      <c r="F8402" s="1" t="str">
        <f t="shared" si="1"/>
        <v/>
      </c>
      <c r="G8402" s="1" t="str">
        <f t="shared" si="2"/>
        <v/>
      </c>
      <c r="J8402" s="1" t="str">
        <f t="shared" si="3"/>
        <v/>
      </c>
      <c r="K8402" s="1" t="str">
        <f t="shared" si="4"/>
        <v/>
      </c>
    </row>
    <row r="8403" hidden="1">
      <c r="F8403" s="1" t="str">
        <f t="shared" si="1"/>
        <v/>
      </c>
      <c r="G8403" s="1" t="str">
        <f t="shared" si="2"/>
        <v/>
      </c>
      <c r="J8403" s="1" t="str">
        <f t="shared" si="3"/>
        <v/>
      </c>
      <c r="K8403" s="1" t="str">
        <f t="shared" si="4"/>
        <v/>
      </c>
    </row>
    <row r="8404" hidden="1">
      <c r="F8404" s="1" t="str">
        <f t="shared" si="1"/>
        <v/>
      </c>
      <c r="G8404" s="1" t="str">
        <f t="shared" si="2"/>
        <v/>
      </c>
      <c r="J8404" s="1" t="str">
        <f t="shared" si="3"/>
        <v/>
      </c>
      <c r="K8404" s="1" t="str">
        <f t="shared" si="4"/>
        <v/>
      </c>
    </row>
    <row r="8405" hidden="1">
      <c r="F8405" s="1" t="str">
        <f t="shared" si="1"/>
        <v/>
      </c>
      <c r="G8405" s="1" t="str">
        <f t="shared" si="2"/>
        <v/>
      </c>
      <c r="J8405" s="1" t="str">
        <f t="shared" si="3"/>
        <v/>
      </c>
      <c r="K8405" s="1" t="str">
        <f t="shared" si="4"/>
        <v/>
      </c>
    </row>
    <row r="8406" hidden="1">
      <c r="F8406" s="1" t="str">
        <f t="shared" si="1"/>
        <v/>
      </c>
      <c r="G8406" s="1" t="str">
        <f t="shared" si="2"/>
        <v/>
      </c>
      <c r="J8406" s="1" t="str">
        <f t="shared" si="3"/>
        <v/>
      </c>
      <c r="K8406" s="1" t="str">
        <f t="shared" si="4"/>
        <v/>
      </c>
    </row>
    <row r="8407" hidden="1">
      <c r="F8407" s="1" t="str">
        <f t="shared" si="1"/>
        <v/>
      </c>
      <c r="G8407" s="1" t="str">
        <f t="shared" si="2"/>
        <v/>
      </c>
      <c r="J8407" s="1" t="str">
        <f t="shared" si="3"/>
        <v/>
      </c>
      <c r="K8407" s="1" t="str">
        <f t="shared" si="4"/>
        <v/>
      </c>
    </row>
    <row r="8408" hidden="1">
      <c r="F8408" s="1" t="str">
        <f t="shared" si="1"/>
        <v/>
      </c>
      <c r="G8408" s="1" t="str">
        <f t="shared" si="2"/>
        <v/>
      </c>
      <c r="J8408" s="1" t="str">
        <f t="shared" si="3"/>
        <v/>
      </c>
      <c r="K8408" s="1" t="str">
        <f t="shared" si="4"/>
        <v/>
      </c>
    </row>
    <row r="8409" hidden="1">
      <c r="F8409" s="1" t="str">
        <f t="shared" si="1"/>
        <v/>
      </c>
      <c r="G8409" s="1" t="str">
        <f t="shared" si="2"/>
        <v/>
      </c>
      <c r="J8409" s="1" t="str">
        <f t="shared" si="3"/>
        <v/>
      </c>
      <c r="K8409" s="1" t="str">
        <f t="shared" si="4"/>
        <v/>
      </c>
    </row>
    <row r="8410" hidden="1">
      <c r="F8410" s="1" t="str">
        <f t="shared" si="1"/>
        <v/>
      </c>
      <c r="G8410" s="1" t="str">
        <f t="shared" si="2"/>
        <v/>
      </c>
      <c r="J8410" s="1" t="str">
        <f t="shared" si="3"/>
        <v/>
      </c>
      <c r="K8410" s="1" t="str">
        <f t="shared" si="4"/>
        <v/>
      </c>
    </row>
    <row r="8411" hidden="1">
      <c r="F8411" s="1" t="str">
        <f t="shared" si="1"/>
        <v/>
      </c>
      <c r="G8411" s="1" t="str">
        <f t="shared" si="2"/>
        <v/>
      </c>
      <c r="J8411" s="1" t="str">
        <f t="shared" si="3"/>
        <v/>
      </c>
      <c r="K8411" s="1" t="str">
        <f t="shared" si="4"/>
        <v/>
      </c>
    </row>
    <row r="8412" hidden="1">
      <c r="F8412" s="1" t="str">
        <f t="shared" si="1"/>
        <v/>
      </c>
      <c r="G8412" s="1" t="str">
        <f t="shared" si="2"/>
        <v/>
      </c>
      <c r="J8412" s="1" t="str">
        <f t="shared" si="3"/>
        <v/>
      </c>
      <c r="K8412" s="1" t="str">
        <f t="shared" si="4"/>
        <v/>
      </c>
    </row>
    <row r="8413" hidden="1">
      <c r="F8413" s="1" t="str">
        <f t="shared" si="1"/>
        <v/>
      </c>
      <c r="G8413" s="1" t="str">
        <f t="shared" si="2"/>
        <v/>
      </c>
      <c r="J8413" s="1" t="str">
        <f t="shared" si="3"/>
        <v/>
      </c>
      <c r="K8413" s="1" t="str">
        <f t="shared" si="4"/>
        <v/>
      </c>
    </row>
    <row r="8414" hidden="1">
      <c r="F8414" s="1" t="str">
        <f t="shared" si="1"/>
        <v/>
      </c>
      <c r="G8414" s="1" t="str">
        <f t="shared" si="2"/>
        <v/>
      </c>
      <c r="J8414" s="1" t="str">
        <f t="shared" si="3"/>
        <v/>
      </c>
      <c r="K8414" s="1" t="str">
        <f t="shared" si="4"/>
        <v/>
      </c>
    </row>
    <row r="8415" hidden="1">
      <c r="F8415" s="1" t="str">
        <f t="shared" si="1"/>
        <v/>
      </c>
      <c r="G8415" s="1" t="str">
        <f t="shared" si="2"/>
        <v/>
      </c>
      <c r="J8415" s="1" t="str">
        <f t="shared" si="3"/>
        <v/>
      </c>
      <c r="K8415" s="1" t="str">
        <f t="shared" si="4"/>
        <v/>
      </c>
    </row>
    <row r="8416" hidden="1">
      <c r="F8416" s="1" t="str">
        <f t="shared" si="1"/>
        <v/>
      </c>
      <c r="G8416" s="1" t="str">
        <f t="shared" si="2"/>
        <v/>
      </c>
      <c r="J8416" s="1" t="str">
        <f t="shared" si="3"/>
        <v/>
      </c>
      <c r="K8416" s="1" t="str">
        <f t="shared" si="4"/>
        <v/>
      </c>
    </row>
    <row r="8417" hidden="1">
      <c r="F8417" s="1" t="str">
        <f t="shared" si="1"/>
        <v/>
      </c>
      <c r="G8417" s="1" t="str">
        <f t="shared" si="2"/>
        <v/>
      </c>
      <c r="J8417" s="1" t="str">
        <f t="shared" si="3"/>
        <v/>
      </c>
      <c r="K8417" s="1" t="str">
        <f t="shared" si="4"/>
        <v/>
      </c>
    </row>
    <row r="8418" hidden="1">
      <c r="F8418" s="1" t="str">
        <f t="shared" si="1"/>
        <v/>
      </c>
      <c r="G8418" s="1" t="str">
        <f t="shared" si="2"/>
        <v/>
      </c>
      <c r="J8418" s="1" t="str">
        <f t="shared" si="3"/>
        <v/>
      </c>
      <c r="K8418" s="1" t="str">
        <f t="shared" si="4"/>
        <v/>
      </c>
    </row>
    <row r="8419" hidden="1">
      <c r="F8419" s="1" t="str">
        <f t="shared" si="1"/>
        <v/>
      </c>
      <c r="G8419" s="1" t="str">
        <f t="shared" si="2"/>
        <v/>
      </c>
      <c r="J8419" s="1" t="str">
        <f t="shared" si="3"/>
        <v/>
      </c>
      <c r="K8419" s="1" t="str">
        <f t="shared" si="4"/>
        <v/>
      </c>
    </row>
    <row r="8420" hidden="1">
      <c r="F8420" s="1" t="str">
        <f t="shared" si="1"/>
        <v/>
      </c>
      <c r="G8420" s="1" t="str">
        <f t="shared" si="2"/>
        <v/>
      </c>
      <c r="J8420" s="1" t="str">
        <f t="shared" si="3"/>
        <v/>
      </c>
      <c r="K8420" s="1" t="str">
        <f t="shared" si="4"/>
        <v/>
      </c>
    </row>
    <row r="8421" hidden="1">
      <c r="F8421" s="1" t="str">
        <f t="shared" si="1"/>
        <v/>
      </c>
      <c r="G8421" s="1" t="str">
        <f t="shared" si="2"/>
        <v/>
      </c>
      <c r="J8421" s="1" t="str">
        <f t="shared" si="3"/>
        <v/>
      </c>
      <c r="K8421" s="1" t="str">
        <f t="shared" si="4"/>
        <v/>
      </c>
    </row>
    <row r="8422" hidden="1">
      <c r="F8422" s="1" t="str">
        <f t="shared" si="1"/>
        <v/>
      </c>
      <c r="G8422" s="1" t="str">
        <f t="shared" si="2"/>
        <v/>
      </c>
      <c r="J8422" s="1" t="str">
        <f t="shared" si="3"/>
        <v/>
      </c>
      <c r="K8422" s="1" t="str">
        <f t="shared" si="4"/>
        <v/>
      </c>
    </row>
    <row r="8423" hidden="1">
      <c r="F8423" s="1" t="str">
        <f t="shared" si="1"/>
        <v/>
      </c>
      <c r="G8423" s="1" t="str">
        <f t="shared" si="2"/>
        <v/>
      </c>
      <c r="J8423" s="1" t="str">
        <f t="shared" si="3"/>
        <v/>
      </c>
      <c r="K8423" s="1" t="str">
        <f t="shared" si="4"/>
        <v/>
      </c>
    </row>
    <row r="8424" hidden="1">
      <c r="F8424" s="1" t="str">
        <f t="shared" si="1"/>
        <v/>
      </c>
      <c r="G8424" s="1" t="str">
        <f t="shared" si="2"/>
        <v/>
      </c>
      <c r="J8424" s="1" t="str">
        <f t="shared" si="3"/>
        <v/>
      </c>
      <c r="K8424" s="1" t="str">
        <f t="shared" si="4"/>
        <v/>
      </c>
    </row>
    <row r="8425" hidden="1">
      <c r="F8425" s="1" t="str">
        <f t="shared" si="1"/>
        <v/>
      </c>
      <c r="G8425" s="1" t="str">
        <f t="shared" si="2"/>
        <v/>
      </c>
      <c r="J8425" s="1" t="str">
        <f t="shared" si="3"/>
        <v/>
      </c>
      <c r="K8425" s="1" t="str">
        <f t="shared" si="4"/>
        <v/>
      </c>
    </row>
    <row r="8426" hidden="1">
      <c r="F8426" s="1" t="str">
        <f t="shared" si="1"/>
        <v/>
      </c>
      <c r="G8426" s="1" t="str">
        <f t="shared" si="2"/>
        <v/>
      </c>
      <c r="J8426" s="1" t="str">
        <f t="shared" si="3"/>
        <v/>
      </c>
      <c r="K8426" s="1" t="str">
        <f t="shared" si="4"/>
        <v/>
      </c>
    </row>
    <row r="8427" hidden="1">
      <c r="F8427" s="1" t="str">
        <f t="shared" si="1"/>
        <v/>
      </c>
      <c r="G8427" s="1" t="str">
        <f t="shared" si="2"/>
        <v/>
      </c>
      <c r="J8427" s="1" t="str">
        <f t="shared" si="3"/>
        <v/>
      </c>
      <c r="K8427" s="1" t="str">
        <f t="shared" si="4"/>
        <v/>
      </c>
    </row>
    <row r="8428" hidden="1">
      <c r="F8428" s="1" t="str">
        <f t="shared" si="1"/>
        <v/>
      </c>
      <c r="G8428" s="1" t="str">
        <f t="shared" si="2"/>
        <v/>
      </c>
      <c r="J8428" s="1" t="str">
        <f t="shared" si="3"/>
        <v/>
      </c>
      <c r="K8428" s="1" t="str">
        <f t="shared" si="4"/>
        <v/>
      </c>
    </row>
    <row r="8429" hidden="1">
      <c r="F8429" s="1" t="str">
        <f t="shared" si="1"/>
        <v/>
      </c>
      <c r="G8429" s="1" t="str">
        <f t="shared" si="2"/>
        <v/>
      </c>
      <c r="J8429" s="1" t="str">
        <f t="shared" si="3"/>
        <v/>
      </c>
      <c r="K8429" s="1" t="str">
        <f t="shared" si="4"/>
        <v/>
      </c>
    </row>
    <row r="8430" hidden="1">
      <c r="F8430" s="1" t="str">
        <f t="shared" si="1"/>
        <v/>
      </c>
      <c r="G8430" s="1" t="str">
        <f t="shared" si="2"/>
        <v/>
      </c>
      <c r="J8430" s="1" t="str">
        <f t="shared" si="3"/>
        <v/>
      </c>
      <c r="K8430" s="1" t="str">
        <f t="shared" si="4"/>
        <v/>
      </c>
    </row>
    <row r="8431" hidden="1">
      <c r="F8431" s="1" t="str">
        <f t="shared" si="1"/>
        <v/>
      </c>
      <c r="G8431" s="1" t="str">
        <f t="shared" si="2"/>
        <v/>
      </c>
      <c r="J8431" s="1" t="str">
        <f t="shared" si="3"/>
        <v/>
      </c>
      <c r="K8431" s="1" t="str">
        <f t="shared" si="4"/>
        <v/>
      </c>
    </row>
    <row r="8432" hidden="1">
      <c r="F8432" s="1" t="str">
        <f t="shared" si="1"/>
        <v/>
      </c>
      <c r="G8432" s="1" t="str">
        <f t="shared" si="2"/>
        <v/>
      </c>
      <c r="J8432" s="1" t="str">
        <f t="shared" si="3"/>
        <v/>
      </c>
      <c r="K8432" s="1" t="str">
        <f t="shared" si="4"/>
        <v/>
      </c>
    </row>
    <row r="8433" hidden="1">
      <c r="F8433" s="1" t="str">
        <f t="shared" si="1"/>
        <v/>
      </c>
      <c r="G8433" s="1" t="str">
        <f t="shared" si="2"/>
        <v/>
      </c>
      <c r="J8433" s="1" t="str">
        <f t="shared" si="3"/>
        <v/>
      </c>
      <c r="K8433" s="1" t="str">
        <f t="shared" si="4"/>
        <v/>
      </c>
    </row>
    <row r="8434" hidden="1">
      <c r="F8434" s="1" t="str">
        <f t="shared" si="1"/>
        <v/>
      </c>
      <c r="G8434" s="1" t="str">
        <f t="shared" si="2"/>
        <v/>
      </c>
      <c r="J8434" s="1" t="str">
        <f t="shared" si="3"/>
        <v/>
      </c>
      <c r="K8434" s="1" t="str">
        <f t="shared" si="4"/>
        <v/>
      </c>
    </row>
    <row r="8435" hidden="1">
      <c r="F8435" s="1" t="str">
        <f t="shared" si="1"/>
        <v/>
      </c>
      <c r="G8435" s="1" t="str">
        <f t="shared" si="2"/>
        <v/>
      </c>
      <c r="J8435" s="1" t="str">
        <f t="shared" si="3"/>
        <v/>
      </c>
      <c r="K8435" s="1" t="str">
        <f t="shared" si="4"/>
        <v/>
      </c>
    </row>
    <row r="8436" hidden="1">
      <c r="F8436" s="1" t="str">
        <f t="shared" si="1"/>
        <v/>
      </c>
      <c r="G8436" s="1" t="str">
        <f t="shared" si="2"/>
        <v/>
      </c>
      <c r="J8436" s="1" t="str">
        <f t="shared" si="3"/>
        <v/>
      </c>
      <c r="K8436" s="1" t="str">
        <f t="shared" si="4"/>
        <v/>
      </c>
    </row>
    <row r="8437" hidden="1">
      <c r="F8437" s="1" t="str">
        <f t="shared" si="1"/>
        <v/>
      </c>
      <c r="G8437" s="1" t="str">
        <f t="shared" si="2"/>
        <v/>
      </c>
      <c r="J8437" s="1" t="str">
        <f t="shared" si="3"/>
        <v/>
      </c>
      <c r="K8437" s="1" t="str">
        <f t="shared" si="4"/>
        <v/>
      </c>
    </row>
    <row r="8438" hidden="1">
      <c r="F8438" s="1" t="str">
        <f t="shared" si="1"/>
        <v/>
      </c>
      <c r="G8438" s="1" t="str">
        <f t="shared" si="2"/>
        <v/>
      </c>
      <c r="J8438" s="1" t="str">
        <f t="shared" si="3"/>
        <v/>
      </c>
      <c r="K8438" s="1" t="str">
        <f t="shared" si="4"/>
        <v/>
      </c>
    </row>
    <row r="8439" hidden="1">
      <c r="F8439" s="1" t="str">
        <f t="shared" si="1"/>
        <v/>
      </c>
      <c r="G8439" s="1" t="str">
        <f t="shared" si="2"/>
        <v/>
      </c>
      <c r="J8439" s="1" t="str">
        <f t="shared" si="3"/>
        <v/>
      </c>
      <c r="K8439" s="1" t="str">
        <f t="shared" si="4"/>
        <v/>
      </c>
    </row>
    <row r="8440" hidden="1">
      <c r="F8440" s="1" t="str">
        <f t="shared" si="1"/>
        <v/>
      </c>
      <c r="G8440" s="1" t="str">
        <f t="shared" si="2"/>
        <v/>
      </c>
      <c r="J8440" s="1" t="str">
        <f t="shared" si="3"/>
        <v/>
      </c>
      <c r="K8440" s="1" t="str">
        <f t="shared" si="4"/>
        <v/>
      </c>
    </row>
    <row r="8441" hidden="1">
      <c r="F8441" s="1" t="str">
        <f t="shared" si="1"/>
        <v/>
      </c>
      <c r="G8441" s="1" t="str">
        <f t="shared" si="2"/>
        <v/>
      </c>
      <c r="J8441" s="1" t="str">
        <f t="shared" si="3"/>
        <v/>
      </c>
      <c r="K8441" s="1" t="str">
        <f t="shared" si="4"/>
        <v/>
      </c>
    </row>
    <row r="8442" hidden="1">
      <c r="F8442" s="1" t="str">
        <f t="shared" si="1"/>
        <v/>
      </c>
      <c r="G8442" s="1" t="str">
        <f t="shared" si="2"/>
        <v/>
      </c>
      <c r="J8442" s="1" t="str">
        <f t="shared" si="3"/>
        <v/>
      </c>
      <c r="K8442" s="1" t="str">
        <f t="shared" si="4"/>
        <v/>
      </c>
    </row>
    <row r="8443" hidden="1">
      <c r="F8443" s="1" t="str">
        <f t="shared" si="1"/>
        <v/>
      </c>
      <c r="G8443" s="1" t="str">
        <f t="shared" si="2"/>
        <v/>
      </c>
      <c r="J8443" s="1" t="str">
        <f t="shared" si="3"/>
        <v/>
      </c>
      <c r="K8443" s="1" t="str">
        <f t="shared" si="4"/>
        <v/>
      </c>
    </row>
    <row r="8444" hidden="1">
      <c r="F8444" s="1" t="str">
        <f t="shared" si="1"/>
        <v/>
      </c>
      <c r="G8444" s="1" t="str">
        <f t="shared" si="2"/>
        <v/>
      </c>
      <c r="J8444" s="1" t="str">
        <f t="shared" si="3"/>
        <v/>
      </c>
      <c r="K8444" s="1" t="str">
        <f t="shared" si="4"/>
        <v/>
      </c>
    </row>
    <row r="8445" hidden="1">
      <c r="F8445" s="1" t="str">
        <f t="shared" si="1"/>
        <v/>
      </c>
      <c r="G8445" s="1" t="str">
        <f t="shared" si="2"/>
        <v/>
      </c>
      <c r="J8445" s="1" t="str">
        <f t="shared" si="3"/>
        <v/>
      </c>
      <c r="K8445" s="1" t="str">
        <f t="shared" si="4"/>
        <v/>
      </c>
    </row>
    <row r="8446" hidden="1">
      <c r="F8446" s="1" t="str">
        <f t="shared" si="1"/>
        <v/>
      </c>
      <c r="G8446" s="1" t="str">
        <f t="shared" si="2"/>
        <v/>
      </c>
      <c r="J8446" s="1" t="str">
        <f t="shared" si="3"/>
        <v/>
      </c>
      <c r="K8446" s="1" t="str">
        <f t="shared" si="4"/>
        <v/>
      </c>
    </row>
    <row r="8447" hidden="1">
      <c r="F8447" s="1" t="str">
        <f t="shared" si="1"/>
        <v/>
      </c>
      <c r="G8447" s="1" t="str">
        <f t="shared" si="2"/>
        <v/>
      </c>
      <c r="J8447" s="1" t="str">
        <f t="shared" si="3"/>
        <v/>
      </c>
      <c r="K8447" s="1" t="str">
        <f t="shared" si="4"/>
        <v/>
      </c>
    </row>
    <row r="8448" hidden="1">
      <c r="F8448" s="1" t="str">
        <f t="shared" si="1"/>
        <v/>
      </c>
      <c r="G8448" s="1" t="str">
        <f t="shared" si="2"/>
        <v/>
      </c>
      <c r="J8448" s="1" t="str">
        <f t="shared" si="3"/>
        <v/>
      </c>
      <c r="K8448" s="1" t="str">
        <f t="shared" si="4"/>
        <v/>
      </c>
    </row>
    <row r="8449" hidden="1">
      <c r="F8449" s="1" t="str">
        <f t="shared" si="1"/>
        <v/>
      </c>
      <c r="G8449" s="1" t="str">
        <f t="shared" si="2"/>
        <v/>
      </c>
      <c r="J8449" s="1" t="str">
        <f t="shared" si="3"/>
        <v/>
      </c>
      <c r="K8449" s="1" t="str">
        <f t="shared" si="4"/>
        <v/>
      </c>
    </row>
    <row r="8450" hidden="1">
      <c r="F8450" s="1" t="str">
        <f t="shared" si="1"/>
        <v/>
      </c>
      <c r="G8450" s="1" t="str">
        <f t="shared" si="2"/>
        <v/>
      </c>
      <c r="J8450" s="1" t="str">
        <f t="shared" si="3"/>
        <v/>
      </c>
      <c r="K8450" s="1" t="str">
        <f t="shared" si="4"/>
        <v/>
      </c>
    </row>
    <row r="8451" hidden="1">
      <c r="F8451" s="1" t="str">
        <f t="shared" si="1"/>
        <v/>
      </c>
      <c r="G8451" s="1" t="str">
        <f t="shared" si="2"/>
        <v/>
      </c>
      <c r="J8451" s="1" t="str">
        <f t="shared" si="3"/>
        <v/>
      </c>
      <c r="K8451" s="1" t="str">
        <f t="shared" si="4"/>
        <v/>
      </c>
    </row>
    <row r="8452" hidden="1">
      <c r="F8452" s="1" t="str">
        <f t="shared" si="1"/>
        <v/>
      </c>
      <c r="G8452" s="1" t="str">
        <f t="shared" si="2"/>
        <v/>
      </c>
      <c r="J8452" s="1" t="str">
        <f t="shared" si="3"/>
        <v/>
      </c>
      <c r="K8452" s="1" t="str">
        <f t="shared" si="4"/>
        <v/>
      </c>
    </row>
    <row r="8453" hidden="1">
      <c r="F8453" s="1" t="str">
        <f t="shared" si="1"/>
        <v/>
      </c>
      <c r="G8453" s="1" t="str">
        <f t="shared" si="2"/>
        <v/>
      </c>
      <c r="J8453" s="1" t="str">
        <f t="shared" si="3"/>
        <v/>
      </c>
      <c r="K8453" s="1" t="str">
        <f t="shared" si="4"/>
        <v/>
      </c>
    </row>
    <row r="8454" hidden="1">
      <c r="F8454" s="1" t="str">
        <f t="shared" si="1"/>
        <v/>
      </c>
      <c r="G8454" s="1" t="str">
        <f t="shared" si="2"/>
        <v/>
      </c>
      <c r="J8454" s="1" t="str">
        <f t="shared" si="3"/>
        <v/>
      </c>
      <c r="K8454" s="1" t="str">
        <f t="shared" si="4"/>
        <v/>
      </c>
    </row>
    <row r="8455" hidden="1">
      <c r="F8455" s="1" t="str">
        <f t="shared" si="1"/>
        <v/>
      </c>
      <c r="G8455" s="1" t="str">
        <f t="shared" si="2"/>
        <v/>
      </c>
      <c r="J8455" s="1" t="str">
        <f t="shared" si="3"/>
        <v/>
      </c>
      <c r="K8455" s="1" t="str">
        <f t="shared" si="4"/>
        <v/>
      </c>
    </row>
    <row r="8456" hidden="1">
      <c r="F8456" s="1" t="str">
        <f t="shared" si="1"/>
        <v/>
      </c>
      <c r="G8456" s="1" t="str">
        <f t="shared" si="2"/>
        <v/>
      </c>
      <c r="J8456" s="1" t="str">
        <f t="shared" si="3"/>
        <v/>
      </c>
      <c r="K8456" s="1" t="str">
        <f t="shared" si="4"/>
        <v/>
      </c>
    </row>
    <row r="8457" hidden="1">
      <c r="F8457" s="1" t="str">
        <f t="shared" si="1"/>
        <v/>
      </c>
      <c r="G8457" s="1" t="str">
        <f t="shared" si="2"/>
        <v/>
      </c>
      <c r="J8457" s="1" t="str">
        <f t="shared" si="3"/>
        <v/>
      </c>
      <c r="K8457" s="1" t="str">
        <f t="shared" si="4"/>
        <v/>
      </c>
    </row>
    <row r="8458" hidden="1">
      <c r="F8458" s="1" t="str">
        <f t="shared" si="1"/>
        <v/>
      </c>
      <c r="G8458" s="1" t="str">
        <f t="shared" si="2"/>
        <v/>
      </c>
      <c r="J8458" s="1" t="str">
        <f t="shared" si="3"/>
        <v/>
      </c>
      <c r="K8458" s="1" t="str">
        <f t="shared" si="4"/>
        <v/>
      </c>
    </row>
    <row r="8459" hidden="1">
      <c r="F8459" s="1" t="str">
        <f t="shared" si="1"/>
        <v/>
      </c>
      <c r="G8459" s="1" t="str">
        <f t="shared" si="2"/>
        <v/>
      </c>
      <c r="J8459" s="1" t="str">
        <f t="shared" si="3"/>
        <v/>
      </c>
      <c r="K8459" s="1" t="str">
        <f t="shared" si="4"/>
        <v/>
      </c>
    </row>
    <row r="8460" hidden="1">
      <c r="F8460" s="1" t="str">
        <f t="shared" si="1"/>
        <v/>
      </c>
      <c r="G8460" s="1" t="str">
        <f t="shared" si="2"/>
        <v/>
      </c>
      <c r="J8460" s="1" t="str">
        <f t="shared" si="3"/>
        <v/>
      </c>
      <c r="K8460" s="1" t="str">
        <f t="shared" si="4"/>
        <v/>
      </c>
    </row>
    <row r="8461" hidden="1">
      <c r="F8461" s="1" t="str">
        <f t="shared" si="1"/>
        <v/>
      </c>
      <c r="G8461" s="1" t="str">
        <f t="shared" si="2"/>
        <v/>
      </c>
      <c r="J8461" s="1" t="str">
        <f t="shared" si="3"/>
        <v/>
      </c>
      <c r="K8461" s="1" t="str">
        <f t="shared" si="4"/>
        <v/>
      </c>
    </row>
    <row r="8462" hidden="1">
      <c r="F8462" s="1" t="str">
        <f t="shared" si="1"/>
        <v/>
      </c>
      <c r="G8462" s="1" t="str">
        <f t="shared" si="2"/>
        <v/>
      </c>
      <c r="J8462" s="1" t="str">
        <f t="shared" si="3"/>
        <v/>
      </c>
      <c r="K8462" s="1" t="str">
        <f t="shared" si="4"/>
        <v/>
      </c>
    </row>
    <row r="8463" hidden="1">
      <c r="F8463" s="1" t="str">
        <f t="shared" si="1"/>
        <v/>
      </c>
      <c r="G8463" s="1" t="str">
        <f t="shared" si="2"/>
        <v/>
      </c>
      <c r="J8463" s="1" t="str">
        <f t="shared" si="3"/>
        <v/>
      </c>
      <c r="K8463" s="1" t="str">
        <f t="shared" si="4"/>
        <v/>
      </c>
    </row>
    <row r="8464" hidden="1">
      <c r="F8464" s="1" t="str">
        <f t="shared" si="1"/>
        <v/>
      </c>
      <c r="G8464" s="1" t="str">
        <f t="shared" si="2"/>
        <v/>
      </c>
      <c r="J8464" s="1" t="str">
        <f t="shared" si="3"/>
        <v/>
      </c>
      <c r="K8464" s="1" t="str">
        <f t="shared" si="4"/>
        <v/>
      </c>
    </row>
    <row r="8465" hidden="1">
      <c r="F8465" s="1" t="str">
        <f t="shared" si="1"/>
        <v/>
      </c>
      <c r="G8465" s="1" t="str">
        <f t="shared" si="2"/>
        <v/>
      </c>
      <c r="J8465" s="1" t="str">
        <f t="shared" si="3"/>
        <v/>
      </c>
      <c r="K8465" s="1" t="str">
        <f t="shared" si="4"/>
        <v/>
      </c>
    </row>
    <row r="8466" hidden="1">
      <c r="F8466" s="1" t="str">
        <f t="shared" si="1"/>
        <v/>
      </c>
      <c r="G8466" s="1" t="str">
        <f t="shared" si="2"/>
        <v/>
      </c>
      <c r="J8466" s="1" t="str">
        <f t="shared" si="3"/>
        <v/>
      </c>
      <c r="K8466" s="1" t="str">
        <f t="shared" si="4"/>
        <v/>
      </c>
    </row>
    <row r="8467" hidden="1">
      <c r="F8467" s="1" t="str">
        <f t="shared" si="1"/>
        <v/>
      </c>
      <c r="G8467" s="1" t="str">
        <f t="shared" si="2"/>
        <v/>
      </c>
      <c r="J8467" s="1" t="str">
        <f t="shared" si="3"/>
        <v/>
      </c>
      <c r="K8467" s="1" t="str">
        <f t="shared" si="4"/>
        <v/>
      </c>
    </row>
    <row r="8468" hidden="1">
      <c r="F8468" s="1" t="str">
        <f t="shared" si="1"/>
        <v/>
      </c>
      <c r="G8468" s="1" t="str">
        <f t="shared" si="2"/>
        <v/>
      </c>
      <c r="J8468" s="1" t="str">
        <f t="shared" si="3"/>
        <v/>
      </c>
      <c r="K8468" s="1" t="str">
        <f t="shared" si="4"/>
        <v/>
      </c>
    </row>
    <row r="8469" hidden="1">
      <c r="F8469" s="1" t="str">
        <f t="shared" si="1"/>
        <v/>
      </c>
      <c r="G8469" s="1" t="str">
        <f t="shared" si="2"/>
        <v/>
      </c>
      <c r="J8469" s="1" t="str">
        <f t="shared" si="3"/>
        <v/>
      </c>
      <c r="K8469" s="1" t="str">
        <f t="shared" si="4"/>
        <v/>
      </c>
    </row>
    <row r="8470" hidden="1">
      <c r="F8470" s="1" t="str">
        <f t="shared" si="1"/>
        <v/>
      </c>
      <c r="G8470" s="1" t="str">
        <f t="shared" si="2"/>
        <v/>
      </c>
      <c r="J8470" s="1" t="str">
        <f t="shared" si="3"/>
        <v/>
      </c>
      <c r="K8470" s="1" t="str">
        <f t="shared" si="4"/>
        <v/>
      </c>
    </row>
    <row r="8471" hidden="1">
      <c r="F8471" s="1" t="str">
        <f t="shared" si="1"/>
        <v/>
      </c>
      <c r="G8471" s="1" t="str">
        <f t="shared" si="2"/>
        <v/>
      </c>
      <c r="J8471" s="1" t="str">
        <f t="shared" si="3"/>
        <v/>
      </c>
      <c r="K8471" s="1" t="str">
        <f t="shared" si="4"/>
        <v/>
      </c>
    </row>
    <row r="8472" hidden="1">
      <c r="F8472" s="1" t="str">
        <f t="shared" si="1"/>
        <v/>
      </c>
      <c r="G8472" s="1" t="str">
        <f t="shared" si="2"/>
        <v/>
      </c>
      <c r="J8472" s="1" t="str">
        <f t="shared" si="3"/>
        <v/>
      </c>
      <c r="K8472" s="1" t="str">
        <f t="shared" si="4"/>
        <v/>
      </c>
    </row>
    <row r="8473" hidden="1">
      <c r="F8473" s="1" t="str">
        <f t="shared" si="1"/>
        <v/>
      </c>
      <c r="G8473" s="1" t="str">
        <f t="shared" si="2"/>
        <v/>
      </c>
      <c r="J8473" s="1" t="str">
        <f t="shared" si="3"/>
        <v/>
      </c>
      <c r="K8473" s="1" t="str">
        <f t="shared" si="4"/>
        <v/>
      </c>
    </row>
    <row r="8474" hidden="1">
      <c r="F8474" s="1" t="str">
        <f t="shared" si="1"/>
        <v/>
      </c>
      <c r="G8474" s="1" t="str">
        <f t="shared" si="2"/>
        <v/>
      </c>
      <c r="J8474" s="1" t="str">
        <f t="shared" si="3"/>
        <v/>
      </c>
      <c r="K8474" s="1" t="str">
        <f t="shared" si="4"/>
        <v/>
      </c>
    </row>
    <row r="8475" hidden="1">
      <c r="F8475" s="1" t="str">
        <f t="shared" si="1"/>
        <v/>
      </c>
      <c r="G8475" s="1" t="str">
        <f t="shared" si="2"/>
        <v/>
      </c>
      <c r="J8475" s="1" t="str">
        <f t="shared" si="3"/>
        <v/>
      </c>
      <c r="K8475" s="1" t="str">
        <f t="shared" si="4"/>
        <v/>
      </c>
    </row>
    <row r="8476" hidden="1">
      <c r="F8476" s="1" t="str">
        <f t="shared" si="1"/>
        <v/>
      </c>
      <c r="G8476" s="1" t="str">
        <f t="shared" si="2"/>
        <v/>
      </c>
      <c r="J8476" s="1" t="str">
        <f t="shared" si="3"/>
        <v/>
      </c>
      <c r="K8476" s="1" t="str">
        <f t="shared" si="4"/>
        <v/>
      </c>
    </row>
    <row r="8477" hidden="1">
      <c r="F8477" s="1" t="str">
        <f t="shared" si="1"/>
        <v/>
      </c>
      <c r="G8477" s="1" t="str">
        <f t="shared" si="2"/>
        <v/>
      </c>
      <c r="J8477" s="1" t="str">
        <f t="shared" si="3"/>
        <v/>
      </c>
      <c r="K8477" s="1" t="str">
        <f t="shared" si="4"/>
        <v/>
      </c>
    </row>
    <row r="8478" hidden="1">
      <c r="F8478" s="1" t="str">
        <f t="shared" si="1"/>
        <v/>
      </c>
      <c r="G8478" s="1" t="str">
        <f t="shared" si="2"/>
        <v/>
      </c>
      <c r="J8478" s="1" t="str">
        <f t="shared" si="3"/>
        <v/>
      </c>
      <c r="K8478" s="1" t="str">
        <f t="shared" si="4"/>
        <v/>
      </c>
    </row>
    <row r="8479" hidden="1">
      <c r="F8479" s="1" t="str">
        <f t="shared" si="1"/>
        <v/>
      </c>
      <c r="G8479" s="1" t="str">
        <f t="shared" si="2"/>
        <v/>
      </c>
      <c r="J8479" s="1" t="str">
        <f t="shared" si="3"/>
        <v/>
      </c>
      <c r="K8479" s="1" t="str">
        <f t="shared" si="4"/>
        <v/>
      </c>
    </row>
    <row r="8480" hidden="1">
      <c r="F8480" s="1" t="str">
        <f t="shared" si="1"/>
        <v/>
      </c>
      <c r="G8480" s="1" t="str">
        <f t="shared" si="2"/>
        <v/>
      </c>
      <c r="J8480" s="1" t="str">
        <f t="shared" si="3"/>
        <v/>
      </c>
      <c r="K8480" s="1" t="str">
        <f t="shared" si="4"/>
        <v/>
      </c>
    </row>
    <row r="8481" hidden="1">
      <c r="F8481" s="1" t="str">
        <f t="shared" si="1"/>
        <v/>
      </c>
      <c r="G8481" s="1" t="str">
        <f t="shared" si="2"/>
        <v/>
      </c>
      <c r="J8481" s="1" t="str">
        <f t="shared" si="3"/>
        <v/>
      </c>
      <c r="K8481" s="1" t="str">
        <f t="shared" si="4"/>
        <v/>
      </c>
    </row>
    <row r="8482" hidden="1">
      <c r="F8482" s="1" t="str">
        <f t="shared" si="1"/>
        <v/>
      </c>
      <c r="G8482" s="1" t="str">
        <f t="shared" si="2"/>
        <v/>
      </c>
      <c r="J8482" s="1" t="str">
        <f t="shared" si="3"/>
        <v/>
      </c>
      <c r="K8482" s="1" t="str">
        <f t="shared" si="4"/>
        <v/>
      </c>
    </row>
    <row r="8483" hidden="1">
      <c r="F8483" s="1" t="str">
        <f t="shared" si="1"/>
        <v/>
      </c>
      <c r="G8483" s="1" t="str">
        <f t="shared" si="2"/>
        <v/>
      </c>
      <c r="J8483" s="1" t="str">
        <f t="shared" si="3"/>
        <v/>
      </c>
      <c r="K8483" s="1" t="str">
        <f t="shared" si="4"/>
        <v/>
      </c>
    </row>
    <row r="8484" hidden="1">
      <c r="F8484" s="1" t="str">
        <f t="shared" si="1"/>
        <v/>
      </c>
      <c r="G8484" s="1" t="str">
        <f t="shared" si="2"/>
        <v/>
      </c>
      <c r="J8484" s="1" t="str">
        <f t="shared" si="3"/>
        <v/>
      </c>
      <c r="K8484" s="1" t="str">
        <f t="shared" si="4"/>
        <v/>
      </c>
    </row>
    <row r="8485" hidden="1">
      <c r="F8485" s="1" t="str">
        <f t="shared" si="1"/>
        <v/>
      </c>
      <c r="G8485" s="1" t="str">
        <f t="shared" si="2"/>
        <v/>
      </c>
      <c r="J8485" s="1" t="str">
        <f t="shared" si="3"/>
        <v/>
      </c>
      <c r="K8485" s="1" t="str">
        <f t="shared" si="4"/>
        <v/>
      </c>
    </row>
    <row r="8486" hidden="1">
      <c r="F8486" s="1" t="str">
        <f t="shared" si="1"/>
        <v/>
      </c>
      <c r="G8486" s="1" t="str">
        <f t="shared" si="2"/>
        <v/>
      </c>
      <c r="J8486" s="1" t="str">
        <f t="shared" si="3"/>
        <v/>
      </c>
      <c r="K8486" s="1" t="str">
        <f t="shared" si="4"/>
        <v/>
      </c>
    </row>
    <row r="8487" hidden="1">
      <c r="F8487" s="1" t="str">
        <f t="shared" si="1"/>
        <v/>
      </c>
      <c r="G8487" s="1" t="str">
        <f t="shared" si="2"/>
        <v/>
      </c>
      <c r="J8487" s="1" t="str">
        <f t="shared" si="3"/>
        <v/>
      </c>
      <c r="K8487" s="1" t="str">
        <f t="shared" si="4"/>
        <v/>
      </c>
    </row>
    <row r="8488" hidden="1">
      <c r="F8488" s="1" t="str">
        <f t="shared" si="1"/>
        <v/>
      </c>
      <c r="G8488" s="1" t="str">
        <f t="shared" si="2"/>
        <v/>
      </c>
      <c r="J8488" s="1" t="str">
        <f t="shared" si="3"/>
        <v/>
      </c>
      <c r="K8488" s="1" t="str">
        <f t="shared" si="4"/>
        <v/>
      </c>
    </row>
    <row r="8489" hidden="1">
      <c r="F8489" s="1" t="str">
        <f t="shared" si="1"/>
        <v/>
      </c>
      <c r="G8489" s="1" t="str">
        <f t="shared" si="2"/>
        <v/>
      </c>
      <c r="J8489" s="1" t="str">
        <f t="shared" si="3"/>
        <v/>
      </c>
      <c r="K8489" s="1" t="str">
        <f t="shared" si="4"/>
        <v/>
      </c>
    </row>
    <row r="8490" hidden="1">
      <c r="F8490" s="1" t="str">
        <f t="shared" si="1"/>
        <v/>
      </c>
      <c r="G8490" s="1" t="str">
        <f t="shared" si="2"/>
        <v/>
      </c>
      <c r="J8490" s="1" t="str">
        <f t="shared" si="3"/>
        <v/>
      </c>
      <c r="K8490" s="1" t="str">
        <f t="shared" si="4"/>
        <v/>
      </c>
    </row>
    <row r="8491" hidden="1">
      <c r="F8491" s="1" t="str">
        <f t="shared" si="1"/>
        <v/>
      </c>
      <c r="G8491" s="1" t="str">
        <f t="shared" si="2"/>
        <v/>
      </c>
      <c r="J8491" s="1" t="str">
        <f t="shared" si="3"/>
        <v/>
      </c>
      <c r="K8491" s="1" t="str">
        <f t="shared" si="4"/>
        <v/>
      </c>
    </row>
    <row r="8492" hidden="1">
      <c r="F8492" s="1" t="str">
        <f t="shared" si="1"/>
        <v/>
      </c>
      <c r="G8492" s="1" t="str">
        <f t="shared" si="2"/>
        <v/>
      </c>
      <c r="J8492" s="1" t="str">
        <f t="shared" si="3"/>
        <v/>
      </c>
      <c r="K8492" s="1" t="str">
        <f t="shared" si="4"/>
        <v/>
      </c>
    </row>
    <row r="8493" hidden="1">
      <c r="F8493" s="1" t="str">
        <f t="shared" si="1"/>
        <v/>
      </c>
      <c r="G8493" s="1" t="str">
        <f t="shared" si="2"/>
        <v/>
      </c>
      <c r="J8493" s="1" t="str">
        <f t="shared" si="3"/>
        <v/>
      </c>
      <c r="K8493" s="1" t="str">
        <f t="shared" si="4"/>
        <v/>
      </c>
    </row>
    <row r="8494" hidden="1">
      <c r="F8494" s="1" t="str">
        <f t="shared" si="1"/>
        <v/>
      </c>
      <c r="G8494" s="1" t="str">
        <f t="shared" si="2"/>
        <v/>
      </c>
      <c r="J8494" s="1" t="str">
        <f t="shared" si="3"/>
        <v/>
      </c>
      <c r="K8494" s="1" t="str">
        <f t="shared" si="4"/>
        <v/>
      </c>
    </row>
    <row r="8495" hidden="1">
      <c r="F8495" s="1" t="str">
        <f t="shared" si="1"/>
        <v/>
      </c>
      <c r="G8495" s="1" t="str">
        <f t="shared" si="2"/>
        <v/>
      </c>
      <c r="J8495" s="1" t="str">
        <f t="shared" si="3"/>
        <v/>
      </c>
      <c r="K8495" s="1" t="str">
        <f t="shared" si="4"/>
        <v/>
      </c>
    </row>
    <row r="8496" hidden="1">
      <c r="F8496" s="1" t="str">
        <f t="shared" si="1"/>
        <v/>
      </c>
      <c r="G8496" s="1" t="str">
        <f t="shared" si="2"/>
        <v/>
      </c>
      <c r="J8496" s="1" t="str">
        <f t="shared" si="3"/>
        <v/>
      </c>
      <c r="K8496" s="1" t="str">
        <f t="shared" si="4"/>
        <v/>
      </c>
    </row>
    <row r="8497" hidden="1">
      <c r="F8497" s="1" t="str">
        <f t="shared" si="1"/>
        <v/>
      </c>
      <c r="G8497" s="1" t="str">
        <f t="shared" si="2"/>
        <v/>
      </c>
      <c r="J8497" s="1" t="str">
        <f t="shared" si="3"/>
        <v/>
      </c>
      <c r="K8497" s="1" t="str">
        <f t="shared" si="4"/>
        <v/>
      </c>
    </row>
    <row r="8498" hidden="1">
      <c r="F8498" s="1" t="str">
        <f t="shared" si="1"/>
        <v/>
      </c>
      <c r="G8498" s="1" t="str">
        <f t="shared" si="2"/>
        <v/>
      </c>
      <c r="J8498" s="1" t="str">
        <f t="shared" si="3"/>
        <v/>
      </c>
      <c r="K8498" s="1" t="str">
        <f t="shared" si="4"/>
        <v/>
      </c>
    </row>
    <row r="8499" hidden="1">
      <c r="F8499" s="1" t="str">
        <f t="shared" si="1"/>
        <v/>
      </c>
      <c r="G8499" s="1" t="str">
        <f t="shared" si="2"/>
        <v/>
      </c>
      <c r="J8499" s="1" t="str">
        <f t="shared" si="3"/>
        <v/>
      </c>
      <c r="K8499" s="1" t="str">
        <f t="shared" si="4"/>
        <v/>
      </c>
    </row>
    <row r="8500" hidden="1">
      <c r="F8500" s="1" t="str">
        <f t="shared" si="1"/>
        <v/>
      </c>
      <c r="G8500" s="1" t="str">
        <f t="shared" si="2"/>
        <v/>
      </c>
      <c r="J8500" s="1" t="str">
        <f t="shared" si="3"/>
        <v/>
      </c>
      <c r="K8500" s="1" t="str">
        <f t="shared" si="4"/>
        <v/>
      </c>
    </row>
    <row r="8501" hidden="1">
      <c r="F8501" s="1" t="str">
        <f t="shared" si="1"/>
        <v/>
      </c>
      <c r="G8501" s="1" t="str">
        <f t="shared" si="2"/>
        <v/>
      </c>
      <c r="J8501" s="1" t="str">
        <f t="shared" si="3"/>
        <v/>
      </c>
      <c r="K8501" s="1" t="str">
        <f t="shared" si="4"/>
        <v/>
      </c>
    </row>
    <row r="8502" hidden="1">
      <c r="F8502" s="1" t="str">
        <f t="shared" si="1"/>
        <v/>
      </c>
      <c r="G8502" s="1" t="str">
        <f t="shared" si="2"/>
        <v/>
      </c>
      <c r="J8502" s="1" t="str">
        <f t="shared" si="3"/>
        <v/>
      </c>
      <c r="K8502" s="1" t="str">
        <f t="shared" si="4"/>
        <v/>
      </c>
    </row>
    <row r="8503" hidden="1">
      <c r="F8503" s="1" t="str">
        <f t="shared" si="1"/>
        <v/>
      </c>
      <c r="G8503" s="1" t="str">
        <f t="shared" si="2"/>
        <v/>
      </c>
      <c r="J8503" s="1" t="str">
        <f t="shared" si="3"/>
        <v/>
      </c>
      <c r="K8503" s="1" t="str">
        <f t="shared" si="4"/>
        <v/>
      </c>
    </row>
    <row r="8504" hidden="1">
      <c r="F8504" s="1" t="str">
        <f t="shared" si="1"/>
        <v/>
      </c>
      <c r="G8504" s="1" t="str">
        <f t="shared" si="2"/>
        <v/>
      </c>
      <c r="J8504" s="1" t="str">
        <f t="shared" si="3"/>
        <v/>
      </c>
      <c r="K8504" s="1" t="str">
        <f t="shared" si="4"/>
        <v/>
      </c>
    </row>
    <row r="8505" hidden="1">
      <c r="F8505" s="1" t="str">
        <f t="shared" si="1"/>
        <v/>
      </c>
      <c r="G8505" s="1" t="str">
        <f t="shared" si="2"/>
        <v/>
      </c>
      <c r="J8505" s="1" t="str">
        <f t="shared" si="3"/>
        <v/>
      </c>
      <c r="K8505" s="1" t="str">
        <f t="shared" si="4"/>
        <v/>
      </c>
    </row>
    <row r="8506" hidden="1">
      <c r="F8506" s="1" t="str">
        <f t="shared" si="1"/>
        <v/>
      </c>
      <c r="G8506" s="1" t="str">
        <f t="shared" si="2"/>
        <v/>
      </c>
      <c r="J8506" s="1" t="str">
        <f t="shared" si="3"/>
        <v/>
      </c>
      <c r="K8506" s="1" t="str">
        <f t="shared" si="4"/>
        <v/>
      </c>
    </row>
    <row r="8507" hidden="1">
      <c r="F8507" s="1" t="str">
        <f t="shared" si="1"/>
        <v/>
      </c>
      <c r="G8507" s="1" t="str">
        <f t="shared" si="2"/>
        <v/>
      </c>
      <c r="J8507" s="1" t="str">
        <f t="shared" si="3"/>
        <v/>
      </c>
      <c r="K8507" s="1" t="str">
        <f t="shared" si="4"/>
        <v/>
      </c>
    </row>
    <row r="8508" hidden="1">
      <c r="F8508" s="1" t="str">
        <f t="shared" si="1"/>
        <v/>
      </c>
      <c r="G8508" s="1" t="str">
        <f t="shared" si="2"/>
        <v/>
      </c>
      <c r="J8508" s="1" t="str">
        <f t="shared" si="3"/>
        <v/>
      </c>
      <c r="K8508" s="1" t="str">
        <f t="shared" si="4"/>
        <v/>
      </c>
    </row>
    <row r="8509" hidden="1">
      <c r="F8509" s="1" t="str">
        <f t="shared" si="1"/>
        <v/>
      </c>
      <c r="G8509" s="1" t="str">
        <f t="shared" si="2"/>
        <v/>
      </c>
      <c r="J8509" s="1" t="str">
        <f t="shared" si="3"/>
        <v/>
      </c>
      <c r="K8509" s="1" t="str">
        <f t="shared" si="4"/>
        <v/>
      </c>
    </row>
    <row r="8510" hidden="1">
      <c r="F8510" s="1" t="str">
        <f t="shared" si="1"/>
        <v/>
      </c>
      <c r="G8510" s="1" t="str">
        <f t="shared" si="2"/>
        <v/>
      </c>
      <c r="J8510" s="1" t="str">
        <f t="shared" si="3"/>
        <v/>
      </c>
      <c r="K8510" s="1" t="str">
        <f t="shared" si="4"/>
        <v/>
      </c>
    </row>
    <row r="8511" hidden="1">
      <c r="F8511" s="1" t="str">
        <f t="shared" si="1"/>
        <v/>
      </c>
      <c r="G8511" s="1" t="str">
        <f t="shared" si="2"/>
        <v/>
      </c>
      <c r="J8511" s="1" t="str">
        <f t="shared" si="3"/>
        <v/>
      </c>
      <c r="K8511" s="1" t="str">
        <f t="shared" si="4"/>
        <v/>
      </c>
    </row>
    <row r="8512" hidden="1">
      <c r="F8512" s="1" t="str">
        <f t="shared" si="1"/>
        <v/>
      </c>
      <c r="G8512" s="1" t="str">
        <f t="shared" si="2"/>
        <v/>
      </c>
      <c r="J8512" s="1" t="str">
        <f t="shared" si="3"/>
        <v/>
      </c>
      <c r="K8512" s="1" t="str">
        <f t="shared" si="4"/>
        <v/>
      </c>
    </row>
    <row r="8513" hidden="1">
      <c r="F8513" s="1" t="str">
        <f t="shared" si="1"/>
        <v/>
      </c>
      <c r="G8513" s="1" t="str">
        <f t="shared" si="2"/>
        <v/>
      </c>
      <c r="J8513" s="1" t="str">
        <f t="shared" si="3"/>
        <v/>
      </c>
      <c r="K8513" s="1" t="str">
        <f t="shared" si="4"/>
        <v/>
      </c>
    </row>
    <row r="8514" hidden="1">
      <c r="F8514" s="1" t="str">
        <f t="shared" si="1"/>
        <v/>
      </c>
      <c r="G8514" s="1" t="str">
        <f t="shared" si="2"/>
        <v/>
      </c>
      <c r="J8514" s="1" t="str">
        <f t="shared" si="3"/>
        <v/>
      </c>
      <c r="K8514" s="1" t="str">
        <f t="shared" si="4"/>
        <v/>
      </c>
    </row>
    <row r="8515" hidden="1">
      <c r="F8515" s="1" t="str">
        <f t="shared" si="1"/>
        <v/>
      </c>
      <c r="G8515" s="1" t="str">
        <f t="shared" si="2"/>
        <v/>
      </c>
      <c r="J8515" s="1" t="str">
        <f t="shared" si="3"/>
        <v/>
      </c>
      <c r="K8515" s="1" t="str">
        <f t="shared" si="4"/>
        <v/>
      </c>
    </row>
    <row r="8516" hidden="1">
      <c r="F8516" s="1" t="str">
        <f t="shared" si="1"/>
        <v/>
      </c>
      <c r="G8516" s="1" t="str">
        <f t="shared" si="2"/>
        <v/>
      </c>
      <c r="J8516" s="1" t="str">
        <f t="shared" si="3"/>
        <v/>
      </c>
      <c r="K8516" s="1" t="str">
        <f t="shared" si="4"/>
        <v/>
      </c>
    </row>
    <row r="8517" hidden="1">
      <c r="F8517" s="1" t="str">
        <f t="shared" si="1"/>
        <v/>
      </c>
      <c r="G8517" s="1" t="str">
        <f t="shared" si="2"/>
        <v/>
      </c>
      <c r="J8517" s="1" t="str">
        <f t="shared" si="3"/>
        <v/>
      </c>
      <c r="K8517" s="1" t="str">
        <f t="shared" si="4"/>
        <v/>
      </c>
    </row>
    <row r="8518" hidden="1">
      <c r="F8518" s="1" t="str">
        <f t="shared" si="1"/>
        <v/>
      </c>
      <c r="G8518" s="1" t="str">
        <f t="shared" si="2"/>
        <v/>
      </c>
      <c r="J8518" s="1" t="str">
        <f t="shared" si="3"/>
        <v/>
      </c>
      <c r="K8518" s="1" t="str">
        <f t="shared" si="4"/>
        <v/>
      </c>
    </row>
    <row r="8519" hidden="1">
      <c r="F8519" s="1" t="str">
        <f t="shared" si="1"/>
        <v/>
      </c>
      <c r="G8519" s="1" t="str">
        <f t="shared" si="2"/>
        <v/>
      </c>
      <c r="J8519" s="1" t="str">
        <f t="shared" si="3"/>
        <v/>
      </c>
      <c r="K8519" s="1" t="str">
        <f t="shared" si="4"/>
        <v/>
      </c>
    </row>
    <row r="8520" hidden="1">
      <c r="F8520" s="1" t="str">
        <f t="shared" si="1"/>
        <v/>
      </c>
      <c r="G8520" s="1" t="str">
        <f t="shared" si="2"/>
        <v/>
      </c>
      <c r="J8520" s="1" t="str">
        <f t="shared" si="3"/>
        <v/>
      </c>
      <c r="K8520" s="1" t="str">
        <f t="shared" si="4"/>
        <v/>
      </c>
    </row>
    <row r="8521" hidden="1">
      <c r="F8521" s="1" t="str">
        <f t="shared" si="1"/>
        <v/>
      </c>
      <c r="G8521" s="1" t="str">
        <f t="shared" si="2"/>
        <v/>
      </c>
      <c r="J8521" s="1" t="str">
        <f t="shared" si="3"/>
        <v/>
      </c>
      <c r="K8521" s="1" t="str">
        <f t="shared" si="4"/>
        <v/>
      </c>
    </row>
    <row r="8522" hidden="1">
      <c r="F8522" s="1" t="str">
        <f t="shared" si="1"/>
        <v/>
      </c>
      <c r="G8522" s="1" t="str">
        <f t="shared" si="2"/>
        <v/>
      </c>
      <c r="J8522" s="1" t="str">
        <f t="shared" si="3"/>
        <v/>
      </c>
      <c r="K8522" s="1" t="str">
        <f t="shared" si="4"/>
        <v/>
      </c>
    </row>
    <row r="8523" hidden="1">
      <c r="F8523" s="1" t="str">
        <f t="shared" si="1"/>
        <v/>
      </c>
      <c r="G8523" s="1" t="str">
        <f t="shared" si="2"/>
        <v/>
      </c>
      <c r="J8523" s="1" t="str">
        <f t="shared" si="3"/>
        <v/>
      </c>
      <c r="K8523" s="1" t="str">
        <f t="shared" si="4"/>
        <v/>
      </c>
    </row>
    <row r="8524" hidden="1">
      <c r="F8524" s="1" t="str">
        <f t="shared" si="1"/>
        <v/>
      </c>
      <c r="G8524" s="1" t="str">
        <f t="shared" si="2"/>
        <v/>
      </c>
      <c r="J8524" s="1" t="str">
        <f t="shared" si="3"/>
        <v/>
      </c>
      <c r="K8524" s="1" t="str">
        <f t="shared" si="4"/>
        <v/>
      </c>
    </row>
    <row r="8525" hidden="1">
      <c r="F8525" s="1" t="str">
        <f t="shared" si="1"/>
        <v/>
      </c>
      <c r="G8525" s="1" t="str">
        <f t="shared" si="2"/>
        <v/>
      </c>
      <c r="J8525" s="1" t="str">
        <f t="shared" si="3"/>
        <v/>
      </c>
      <c r="K8525" s="1" t="str">
        <f t="shared" si="4"/>
        <v/>
      </c>
    </row>
    <row r="8526" hidden="1">
      <c r="F8526" s="1" t="str">
        <f t="shared" si="1"/>
        <v/>
      </c>
      <c r="G8526" s="1" t="str">
        <f t="shared" si="2"/>
        <v/>
      </c>
      <c r="J8526" s="1" t="str">
        <f t="shared" si="3"/>
        <v/>
      </c>
      <c r="K8526" s="1" t="str">
        <f t="shared" si="4"/>
        <v/>
      </c>
    </row>
    <row r="8527" hidden="1">
      <c r="F8527" s="1" t="str">
        <f t="shared" si="1"/>
        <v/>
      </c>
      <c r="G8527" s="1" t="str">
        <f t="shared" si="2"/>
        <v/>
      </c>
      <c r="J8527" s="1" t="str">
        <f t="shared" si="3"/>
        <v/>
      </c>
      <c r="K8527" s="1" t="str">
        <f t="shared" si="4"/>
        <v/>
      </c>
    </row>
    <row r="8528" hidden="1">
      <c r="F8528" s="1" t="str">
        <f t="shared" si="1"/>
        <v/>
      </c>
      <c r="G8528" s="1" t="str">
        <f t="shared" si="2"/>
        <v/>
      </c>
      <c r="J8528" s="1" t="str">
        <f t="shared" si="3"/>
        <v/>
      </c>
      <c r="K8528" s="1" t="str">
        <f t="shared" si="4"/>
        <v/>
      </c>
    </row>
    <row r="8529" hidden="1">
      <c r="F8529" s="1" t="str">
        <f t="shared" si="1"/>
        <v/>
      </c>
      <c r="G8529" s="1" t="str">
        <f t="shared" si="2"/>
        <v/>
      </c>
      <c r="J8529" s="1" t="str">
        <f t="shared" si="3"/>
        <v/>
      </c>
      <c r="K8529" s="1" t="str">
        <f t="shared" si="4"/>
        <v/>
      </c>
    </row>
    <row r="8530" hidden="1">
      <c r="F8530" s="1" t="str">
        <f t="shared" si="1"/>
        <v/>
      </c>
      <c r="G8530" s="1" t="str">
        <f t="shared" si="2"/>
        <v/>
      </c>
      <c r="J8530" s="1" t="str">
        <f t="shared" si="3"/>
        <v/>
      </c>
      <c r="K8530" s="1" t="str">
        <f t="shared" si="4"/>
        <v/>
      </c>
    </row>
    <row r="8531" hidden="1">
      <c r="F8531" s="1" t="str">
        <f t="shared" si="1"/>
        <v/>
      </c>
      <c r="G8531" s="1" t="str">
        <f t="shared" si="2"/>
        <v/>
      </c>
      <c r="J8531" s="1" t="str">
        <f t="shared" si="3"/>
        <v/>
      </c>
      <c r="K8531" s="1" t="str">
        <f t="shared" si="4"/>
        <v/>
      </c>
    </row>
    <row r="8532" hidden="1">
      <c r="F8532" s="1" t="str">
        <f t="shared" si="1"/>
        <v/>
      </c>
      <c r="G8532" s="1" t="str">
        <f t="shared" si="2"/>
        <v/>
      </c>
      <c r="J8532" s="1" t="str">
        <f t="shared" si="3"/>
        <v/>
      </c>
      <c r="K8532" s="1" t="str">
        <f t="shared" si="4"/>
        <v/>
      </c>
    </row>
    <row r="8533" hidden="1">
      <c r="F8533" s="1" t="str">
        <f t="shared" si="1"/>
        <v/>
      </c>
      <c r="G8533" s="1" t="str">
        <f t="shared" si="2"/>
        <v/>
      </c>
      <c r="J8533" s="1" t="str">
        <f t="shared" si="3"/>
        <v/>
      </c>
      <c r="K8533" s="1" t="str">
        <f t="shared" si="4"/>
        <v/>
      </c>
    </row>
    <row r="8534" hidden="1">
      <c r="F8534" s="1" t="str">
        <f t="shared" si="1"/>
        <v/>
      </c>
      <c r="G8534" s="1" t="str">
        <f t="shared" si="2"/>
        <v/>
      </c>
      <c r="J8534" s="1" t="str">
        <f t="shared" si="3"/>
        <v/>
      </c>
      <c r="K8534" s="1" t="str">
        <f t="shared" si="4"/>
        <v/>
      </c>
    </row>
    <row r="8535" hidden="1">
      <c r="F8535" s="1" t="str">
        <f t="shared" si="1"/>
        <v/>
      </c>
      <c r="G8535" s="1" t="str">
        <f t="shared" si="2"/>
        <v/>
      </c>
      <c r="J8535" s="1" t="str">
        <f t="shared" si="3"/>
        <v/>
      </c>
      <c r="K8535" s="1" t="str">
        <f t="shared" si="4"/>
        <v/>
      </c>
    </row>
    <row r="8536" hidden="1">
      <c r="F8536" s="1" t="str">
        <f t="shared" si="1"/>
        <v/>
      </c>
      <c r="G8536" s="1" t="str">
        <f t="shared" si="2"/>
        <v/>
      </c>
      <c r="J8536" s="1" t="str">
        <f t="shared" si="3"/>
        <v/>
      </c>
      <c r="K8536" s="1" t="str">
        <f t="shared" si="4"/>
        <v/>
      </c>
    </row>
    <row r="8537" hidden="1">
      <c r="F8537" s="1" t="str">
        <f t="shared" si="1"/>
        <v/>
      </c>
      <c r="G8537" s="1" t="str">
        <f t="shared" si="2"/>
        <v/>
      </c>
      <c r="J8537" s="1" t="str">
        <f t="shared" si="3"/>
        <v/>
      </c>
      <c r="K8537" s="1" t="str">
        <f t="shared" si="4"/>
        <v/>
      </c>
    </row>
    <row r="8538" hidden="1">
      <c r="F8538" s="1" t="str">
        <f t="shared" si="1"/>
        <v/>
      </c>
      <c r="G8538" s="1" t="str">
        <f t="shared" si="2"/>
        <v/>
      </c>
      <c r="J8538" s="1" t="str">
        <f t="shared" si="3"/>
        <v/>
      </c>
      <c r="K8538" s="1" t="str">
        <f t="shared" si="4"/>
        <v/>
      </c>
    </row>
    <row r="8539" hidden="1">
      <c r="F8539" s="1" t="str">
        <f t="shared" si="1"/>
        <v/>
      </c>
      <c r="G8539" s="1" t="str">
        <f t="shared" si="2"/>
        <v/>
      </c>
      <c r="J8539" s="1" t="str">
        <f t="shared" si="3"/>
        <v/>
      </c>
      <c r="K8539" s="1" t="str">
        <f t="shared" si="4"/>
        <v/>
      </c>
    </row>
    <row r="8540" hidden="1">
      <c r="F8540" s="1" t="str">
        <f t="shared" si="1"/>
        <v/>
      </c>
      <c r="G8540" s="1" t="str">
        <f t="shared" si="2"/>
        <v/>
      </c>
      <c r="J8540" s="1" t="str">
        <f t="shared" si="3"/>
        <v/>
      </c>
      <c r="K8540" s="1" t="str">
        <f t="shared" si="4"/>
        <v/>
      </c>
    </row>
    <row r="8541" hidden="1">
      <c r="F8541" s="1" t="str">
        <f t="shared" si="1"/>
        <v/>
      </c>
      <c r="G8541" s="1" t="str">
        <f t="shared" si="2"/>
        <v/>
      </c>
      <c r="J8541" s="1" t="str">
        <f t="shared" si="3"/>
        <v/>
      </c>
      <c r="K8541" s="1" t="str">
        <f t="shared" si="4"/>
        <v/>
      </c>
    </row>
    <row r="8542" hidden="1">
      <c r="F8542" s="1" t="str">
        <f t="shared" si="1"/>
        <v/>
      </c>
      <c r="G8542" s="1" t="str">
        <f t="shared" si="2"/>
        <v/>
      </c>
      <c r="J8542" s="1" t="str">
        <f t="shared" si="3"/>
        <v/>
      </c>
      <c r="K8542" s="1" t="str">
        <f t="shared" si="4"/>
        <v/>
      </c>
    </row>
    <row r="8543" hidden="1">
      <c r="F8543" s="1" t="str">
        <f t="shared" si="1"/>
        <v/>
      </c>
      <c r="G8543" s="1" t="str">
        <f t="shared" si="2"/>
        <v/>
      </c>
      <c r="J8543" s="1" t="str">
        <f t="shared" si="3"/>
        <v/>
      </c>
      <c r="K8543" s="1" t="str">
        <f t="shared" si="4"/>
        <v/>
      </c>
    </row>
    <row r="8544" hidden="1">
      <c r="F8544" s="1" t="str">
        <f t="shared" si="1"/>
        <v/>
      </c>
      <c r="G8544" s="1" t="str">
        <f t="shared" si="2"/>
        <v/>
      </c>
      <c r="J8544" s="1" t="str">
        <f t="shared" si="3"/>
        <v/>
      </c>
      <c r="K8544" s="1" t="str">
        <f t="shared" si="4"/>
        <v/>
      </c>
    </row>
    <row r="8545" hidden="1">
      <c r="F8545" s="1" t="str">
        <f t="shared" si="1"/>
        <v/>
      </c>
      <c r="G8545" s="1" t="str">
        <f t="shared" si="2"/>
        <v/>
      </c>
      <c r="J8545" s="1" t="str">
        <f t="shared" si="3"/>
        <v/>
      </c>
      <c r="K8545" s="1" t="str">
        <f t="shared" si="4"/>
        <v/>
      </c>
    </row>
    <row r="8546" hidden="1">
      <c r="F8546" s="1" t="str">
        <f t="shared" si="1"/>
        <v/>
      </c>
      <c r="G8546" s="1" t="str">
        <f t="shared" si="2"/>
        <v/>
      </c>
      <c r="J8546" s="1" t="str">
        <f t="shared" si="3"/>
        <v/>
      </c>
      <c r="K8546" s="1" t="str">
        <f t="shared" si="4"/>
        <v/>
      </c>
    </row>
    <row r="8547" hidden="1">
      <c r="F8547" s="1" t="str">
        <f t="shared" si="1"/>
        <v/>
      </c>
      <c r="G8547" s="1" t="str">
        <f t="shared" si="2"/>
        <v/>
      </c>
      <c r="J8547" s="1" t="str">
        <f t="shared" si="3"/>
        <v/>
      </c>
      <c r="K8547" s="1" t="str">
        <f t="shared" si="4"/>
        <v/>
      </c>
    </row>
    <row r="8548" hidden="1">
      <c r="F8548" s="1" t="str">
        <f t="shared" si="1"/>
        <v/>
      </c>
      <c r="G8548" s="1" t="str">
        <f t="shared" si="2"/>
        <v/>
      </c>
      <c r="J8548" s="1" t="str">
        <f t="shared" si="3"/>
        <v/>
      </c>
      <c r="K8548" s="1" t="str">
        <f t="shared" si="4"/>
        <v/>
      </c>
    </row>
    <row r="8549" hidden="1">
      <c r="F8549" s="1" t="str">
        <f t="shared" si="1"/>
        <v/>
      </c>
      <c r="G8549" s="1" t="str">
        <f t="shared" si="2"/>
        <v/>
      </c>
      <c r="J8549" s="1" t="str">
        <f t="shared" si="3"/>
        <v/>
      </c>
      <c r="K8549" s="1" t="str">
        <f t="shared" si="4"/>
        <v/>
      </c>
    </row>
    <row r="8550" hidden="1">
      <c r="F8550" s="1" t="str">
        <f t="shared" si="1"/>
        <v/>
      </c>
      <c r="G8550" s="1" t="str">
        <f t="shared" si="2"/>
        <v/>
      </c>
      <c r="J8550" s="1" t="str">
        <f t="shared" si="3"/>
        <v/>
      </c>
      <c r="K8550" s="1" t="str">
        <f t="shared" si="4"/>
        <v/>
      </c>
    </row>
    <row r="8551" hidden="1">
      <c r="F8551" s="1" t="str">
        <f t="shared" si="1"/>
        <v/>
      </c>
      <c r="G8551" s="1" t="str">
        <f t="shared" si="2"/>
        <v/>
      </c>
      <c r="J8551" s="1" t="str">
        <f t="shared" si="3"/>
        <v/>
      </c>
      <c r="K8551" s="1" t="str">
        <f t="shared" si="4"/>
        <v/>
      </c>
    </row>
    <row r="8552" hidden="1">
      <c r="F8552" s="1" t="str">
        <f t="shared" si="1"/>
        <v/>
      </c>
      <c r="G8552" s="1" t="str">
        <f t="shared" si="2"/>
        <v/>
      </c>
      <c r="J8552" s="1" t="str">
        <f t="shared" si="3"/>
        <v/>
      </c>
      <c r="K8552" s="1" t="str">
        <f t="shared" si="4"/>
        <v/>
      </c>
    </row>
    <row r="8553" hidden="1">
      <c r="F8553" s="1" t="str">
        <f t="shared" si="1"/>
        <v/>
      </c>
      <c r="G8553" s="1" t="str">
        <f t="shared" si="2"/>
        <v/>
      </c>
      <c r="J8553" s="1" t="str">
        <f t="shared" si="3"/>
        <v/>
      </c>
      <c r="K8553" s="1" t="str">
        <f t="shared" si="4"/>
        <v/>
      </c>
    </row>
    <row r="8554" hidden="1">
      <c r="F8554" s="1" t="str">
        <f t="shared" si="1"/>
        <v/>
      </c>
      <c r="G8554" s="1" t="str">
        <f t="shared" si="2"/>
        <v/>
      </c>
      <c r="J8554" s="1" t="str">
        <f t="shared" si="3"/>
        <v/>
      </c>
      <c r="K8554" s="1" t="str">
        <f t="shared" si="4"/>
        <v/>
      </c>
    </row>
    <row r="8555" hidden="1">
      <c r="F8555" s="1" t="str">
        <f t="shared" si="1"/>
        <v/>
      </c>
      <c r="G8555" s="1" t="str">
        <f t="shared" si="2"/>
        <v/>
      </c>
      <c r="J8555" s="1" t="str">
        <f t="shared" si="3"/>
        <v/>
      </c>
      <c r="K8555" s="1" t="str">
        <f t="shared" si="4"/>
        <v/>
      </c>
    </row>
    <row r="8556" hidden="1">
      <c r="F8556" s="1" t="str">
        <f t="shared" si="1"/>
        <v/>
      </c>
      <c r="G8556" s="1" t="str">
        <f t="shared" si="2"/>
        <v/>
      </c>
      <c r="J8556" s="1" t="str">
        <f t="shared" si="3"/>
        <v/>
      </c>
      <c r="K8556" s="1" t="str">
        <f t="shared" si="4"/>
        <v/>
      </c>
    </row>
    <row r="8557" hidden="1">
      <c r="F8557" s="1" t="str">
        <f t="shared" si="1"/>
        <v/>
      </c>
      <c r="G8557" s="1" t="str">
        <f t="shared" si="2"/>
        <v/>
      </c>
      <c r="J8557" s="1" t="str">
        <f t="shared" si="3"/>
        <v/>
      </c>
      <c r="K8557" s="1" t="str">
        <f t="shared" si="4"/>
        <v/>
      </c>
    </row>
    <row r="8558" hidden="1">
      <c r="F8558" s="1" t="str">
        <f t="shared" si="1"/>
        <v/>
      </c>
      <c r="G8558" s="1" t="str">
        <f t="shared" si="2"/>
        <v/>
      </c>
      <c r="J8558" s="1" t="str">
        <f t="shared" si="3"/>
        <v/>
      </c>
      <c r="K8558" s="1" t="str">
        <f t="shared" si="4"/>
        <v/>
      </c>
    </row>
    <row r="8559" hidden="1">
      <c r="F8559" s="1" t="str">
        <f t="shared" si="1"/>
        <v/>
      </c>
      <c r="G8559" s="1" t="str">
        <f t="shared" si="2"/>
        <v/>
      </c>
      <c r="J8559" s="1" t="str">
        <f t="shared" si="3"/>
        <v/>
      </c>
      <c r="K8559" s="1" t="str">
        <f t="shared" si="4"/>
        <v/>
      </c>
    </row>
    <row r="8560" hidden="1">
      <c r="F8560" s="1" t="str">
        <f t="shared" si="1"/>
        <v/>
      </c>
      <c r="G8560" s="1" t="str">
        <f t="shared" si="2"/>
        <v/>
      </c>
      <c r="J8560" s="1" t="str">
        <f t="shared" si="3"/>
        <v/>
      </c>
      <c r="K8560" s="1" t="str">
        <f t="shared" si="4"/>
        <v/>
      </c>
    </row>
    <row r="8561" hidden="1">
      <c r="F8561" s="1" t="str">
        <f t="shared" si="1"/>
        <v/>
      </c>
      <c r="G8561" s="1" t="str">
        <f t="shared" si="2"/>
        <v/>
      </c>
      <c r="J8561" s="1" t="str">
        <f t="shared" si="3"/>
        <v/>
      </c>
      <c r="K8561" s="1" t="str">
        <f t="shared" si="4"/>
        <v/>
      </c>
    </row>
    <row r="8562" hidden="1">
      <c r="F8562" s="1" t="str">
        <f t="shared" si="1"/>
        <v/>
      </c>
      <c r="G8562" s="1" t="str">
        <f t="shared" si="2"/>
        <v/>
      </c>
      <c r="J8562" s="1" t="str">
        <f t="shared" si="3"/>
        <v/>
      </c>
      <c r="K8562" s="1" t="str">
        <f t="shared" si="4"/>
        <v/>
      </c>
    </row>
    <row r="8563" hidden="1">
      <c r="F8563" s="1" t="str">
        <f t="shared" si="1"/>
        <v/>
      </c>
      <c r="G8563" s="1" t="str">
        <f t="shared" si="2"/>
        <v/>
      </c>
      <c r="J8563" s="1" t="str">
        <f t="shared" si="3"/>
        <v/>
      </c>
      <c r="K8563" s="1" t="str">
        <f t="shared" si="4"/>
        <v/>
      </c>
    </row>
    <row r="8564" hidden="1">
      <c r="F8564" s="1" t="str">
        <f t="shared" si="1"/>
        <v/>
      </c>
      <c r="G8564" s="1" t="str">
        <f t="shared" si="2"/>
        <v/>
      </c>
      <c r="J8564" s="1" t="str">
        <f t="shared" si="3"/>
        <v/>
      </c>
      <c r="K8564" s="1" t="str">
        <f t="shared" si="4"/>
        <v/>
      </c>
    </row>
    <row r="8565" hidden="1">
      <c r="F8565" s="1" t="str">
        <f t="shared" si="1"/>
        <v/>
      </c>
      <c r="G8565" s="1" t="str">
        <f t="shared" si="2"/>
        <v/>
      </c>
      <c r="J8565" s="1" t="str">
        <f t="shared" si="3"/>
        <v/>
      </c>
      <c r="K8565" s="1" t="str">
        <f t="shared" si="4"/>
        <v/>
      </c>
    </row>
    <row r="8566" hidden="1">
      <c r="F8566" s="1" t="str">
        <f t="shared" si="1"/>
        <v/>
      </c>
      <c r="G8566" s="1" t="str">
        <f t="shared" si="2"/>
        <v/>
      </c>
      <c r="J8566" s="1" t="str">
        <f t="shared" si="3"/>
        <v/>
      </c>
      <c r="K8566" s="1" t="str">
        <f t="shared" si="4"/>
        <v/>
      </c>
    </row>
    <row r="8567" hidden="1">
      <c r="F8567" s="1" t="str">
        <f t="shared" si="1"/>
        <v/>
      </c>
      <c r="G8567" s="1" t="str">
        <f t="shared" si="2"/>
        <v/>
      </c>
      <c r="J8567" s="1" t="str">
        <f t="shared" si="3"/>
        <v/>
      </c>
      <c r="K8567" s="1" t="str">
        <f t="shared" si="4"/>
        <v/>
      </c>
    </row>
    <row r="8568" hidden="1">
      <c r="F8568" s="1" t="str">
        <f t="shared" si="1"/>
        <v/>
      </c>
      <c r="G8568" s="1" t="str">
        <f t="shared" si="2"/>
        <v/>
      </c>
      <c r="J8568" s="1" t="str">
        <f t="shared" si="3"/>
        <v/>
      </c>
      <c r="K8568" s="1" t="str">
        <f t="shared" si="4"/>
        <v/>
      </c>
    </row>
    <row r="8569" hidden="1">
      <c r="F8569" s="1" t="str">
        <f t="shared" si="1"/>
        <v/>
      </c>
      <c r="G8569" s="1" t="str">
        <f t="shared" si="2"/>
        <v/>
      </c>
      <c r="J8569" s="1" t="str">
        <f t="shared" si="3"/>
        <v/>
      </c>
      <c r="K8569" s="1" t="str">
        <f t="shared" si="4"/>
        <v/>
      </c>
    </row>
    <row r="8570" hidden="1">
      <c r="F8570" s="1" t="str">
        <f t="shared" si="1"/>
        <v/>
      </c>
      <c r="G8570" s="1" t="str">
        <f t="shared" si="2"/>
        <v/>
      </c>
      <c r="J8570" s="1" t="str">
        <f t="shared" si="3"/>
        <v/>
      </c>
      <c r="K8570" s="1" t="str">
        <f t="shared" si="4"/>
        <v/>
      </c>
    </row>
    <row r="8571" hidden="1">
      <c r="F8571" s="1" t="str">
        <f t="shared" si="1"/>
        <v/>
      </c>
      <c r="G8571" s="1" t="str">
        <f t="shared" si="2"/>
        <v/>
      </c>
      <c r="J8571" s="1" t="str">
        <f t="shared" si="3"/>
        <v/>
      </c>
      <c r="K8571" s="1" t="str">
        <f t="shared" si="4"/>
        <v/>
      </c>
    </row>
    <row r="8572" hidden="1">
      <c r="F8572" s="1" t="str">
        <f t="shared" si="1"/>
        <v/>
      </c>
      <c r="G8572" s="1" t="str">
        <f t="shared" si="2"/>
        <v/>
      </c>
      <c r="J8572" s="1" t="str">
        <f t="shared" si="3"/>
        <v/>
      </c>
      <c r="K8572" s="1" t="str">
        <f t="shared" si="4"/>
        <v/>
      </c>
    </row>
    <row r="8573" hidden="1">
      <c r="F8573" s="1" t="str">
        <f t="shared" si="1"/>
        <v/>
      </c>
      <c r="G8573" s="1" t="str">
        <f t="shared" si="2"/>
        <v/>
      </c>
      <c r="J8573" s="1" t="str">
        <f t="shared" si="3"/>
        <v/>
      </c>
      <c r="K8573" s="1" t="str">
        <f t="shared" si="4"/>
        <v/>
      </c>
    </row>
    <row r="8574" hidden="1">
      <c r="F8574" s="1" t="str">
        <f t="shared" si="1"/>
        <v/>
      </c>
      <c r="G8574" s="1" t="str">
        <f t="shared" si="2"/>
        <v/>
      </c>
      <c r="J8574" s="1" t="str">
        <f t="shared" si="3"/>
        <v/>
      </c>
      <c r="K8574" s="1" t="str">
        <f t="shared" si="4"/>
        <v/>
      </c>
    </row>
    <row r="8575" hidden="1">
      <c r="F8575" s="1" t="str">
        <f t="shared" si="1"/>
        <v/>
      </c>
      <c r="G8575" s="1" t="str">
        <f t="shared" si="2"/>
        <v/>
      </c>
      <c r="J8575" s="1" t="str">
        <f t="shared" si="3"/>
        <v/>
      </c>
      <c r="K8575" s="1" t="str">
        <f t="shared" si="4"/>
        <v/>
      </c>
    </row>
    <row r="8576" hidden="1">
      <c r="F8576" s="1" t="str">
        <f t="shared" si="1"/>
        <v/>
      </c>
      <c r="G8576" s="1" t="str">
        <f t="shared" si="2"/>
        <v/>
      </c>
      <c r="J8576" s="1" t="str">
        <f t="shared" si="3"/>
        <v/>
      </c>
      <c r="K8576" s="1" t="str">
        <f t="shared" si="4"/>
        <v/>
      </c>
    </row>
    <row r="8577" hidden="1">
      <c r="F8577" s="1" t="str">
        <f t="shared" si="1"/>
        <v/>
      </c>
      <c r="G8577" s="1" t="str">
        <f t="shared" si="2"/>
        <v/>
      </c>
      <c r="J8577" s="1" t="str">
        <f t="shared" si="3"/>
        <v/>
      </c>
      <c r="K8577" s="1" t="str">
        <f t="shared" si="4"/>
        <v/>
      </c>
    </row>
    <row r="8578" hidden="1">
      <c r="F8578" s="1" t="str">
        <f t="shared" si="1"/>
        <v/>
      </c>
      <c r="G8578" s="1" t="str">
        <f t="shared" si="2"/>
        <v/>
      </c>
      <c r="J8578" s="1" t="str">
        <f t="shared" si="3"/>
        <v/>
      </c>
      <c r="K8578" s="1" t="str">
        <f t="shared" si="4"/>
        <v/>
      </c>
    </row>
    <row r="8579" hidden="1">
      <c r="F8579" s="1" t="str">
        <f t="shared" si="1"/>
        <v/>
      </c>
      <c r="G8579" s="1" t="str">
        <f t="shared" si="2"/>
        <v/>
      </c>
      <c r="J8579" s="1" t="str">
        <f t="shared" si="3"/>
        <v/>
      </c>
      <c r="K8579" s="1" t="str">
        <f t="shared" si="4"/>
        <v/>
      </c>
    </row>
    <row r="8580" hidden="1">
      <c r="F8580" s="1" t="str">
        <f t="shared" si="1"/>
        <v/>
      </c>
      <c r="G8580" s="1" t="str">
        <f t="shared" si="2"/>
        <v/>
      </c>
      <c r="J8580" s="1" t="str">
        <f t="shared" si="3"/>
        <v/>
      </c>
      <c r="K8580" s="1" t="str">
        <f t="shared" si="4"/>
        <v/>
      </c>
    </row>
    <row r="8581" hidden="1">
      <c r="F8581" s="1" t="str">
        <f t="shared" si="1"/>
        <v/>
      </c>
      <c r="G8581" s="1" t="str">
        <f t="shared" si="2"/>
        <v/>
      </c>
      <c r="J8581" s="1" t="str">
        <f t="shared" si="3"/>
        <v/>
      </c>
      <c r="K8581" s="1" t="str">
        <f t="shared" si="4"/>
        <v/>
      </c>
    </row>
    <row r="8582" hidden="1">
      <c r="F8582" s="1" t="str">
        <f t="shared" si="1"/>
        <v/>
      </c>
      <c r="G8582" s="1" t="str">
        <f t="shared" si="2"/>
        <v/>
      </c>
      <c r="J8582" s="1" t="str">
        <f t="shared" si="3"/>
        <v/>
      </c>
      <c r="K8582" s="1" t="str">
        <f t="shared" si="4"/>
        <v/>
      </c>
    </row>
    <row r="8583" hidden="1">
      <c r="F8583" s="1" t="str">
        <f t="shared" si="1"/>
        <v/>
      </c>
      <c r="G8583" s="1" t="str">
        <f t="shared" si="2"/>
        <v/>
      </c>
      <c r="J8583" s="1" t="str">
        <f t="shared" si="3"/>
        <v/>
      </c>
      <c r="K8583" s="1" t="str">
        <f t="shared" si="4"/>
        <v/>
      </c>
    </row>
    <row r="8584" hidden="1">
      <c r="F8584" s="1" t="str">
        <f t="shared" si="1"/>
        <v/>
      </c>
      <c r="G8584" s="1" t="str">
        <f t="shared" si="2"/>
        <v/>
      </c>
      <c r="J8584" s="1" t="str">
        <f t="shared" si="3"/>
        <v/>
      </c>
      <c r="K8584" s="1" t="str">
        <f t="shared" si="4"/>
        <v/>
      </c>
    </row>
    <row r="8585" hidden="1">
      <c r="F8585" s="1" t="str">
        <f t="shared" si="1"/>
        <v/>
      </c>
      <c r="G8585" s="1" t="str">
        <f t="shared" si="2"/>
        <v/>
      </c>
      <c r="J8585" s="1" t="str">
        <f t="shared" si="3"/>
        <v/>
      </c>
      <c r="K8585" s="1" t="str">
        <f t="shared" si="4"/>
        <v/>
      </c>
    </row>
    <row r="8586" hidden="1">
      <c r="F8586" s="1" t="str">
        <f t="shared" si="1"/>
        <v/>
      </c>
      <c r="G8586" s="1" t="str">
        <f t="shared" si="2"/>
        <v/>
      </c>
      <c r="J8586" s="1" t="str">
        <f t="shared" si="3"/>
        <v/>
      </c>
      <c r="K8586" s="1" t="str">
        <f t="shared" si="4"/>
        <v/>
      </c>
    </row>
    <row r="8587" hidden="1">
      <c r="F8587" s="1" t="str">
        <f t="shared" si="1"/>
        <v/>
      </c>
      <c r="G8587" s="1" t="str">
        <f t="shared" si="2"/>
        <v/>
      </c>
      <c r="J8587" s="1" t="str">
        <f t="shared" si="3"/>
        <v/>
      </c>
      <c r="K8587" s="1" t="str">
        <f t="shared" si="4"/>
        <v/>
      </c>
    </row>
    <row r="8588" hidden="1">
      <c r="F8588" s="1" t="str">
        <f t="shared" si="1"/>
        <v/>
      </c>
      <c r="G8588" s="1" t="str">
        <f t="shared" si="2"/>
        <v/>
      </c>
      <c r="J8588" s="1" t="str">
        <f t="shared" si="3"/>
        <v/>
      </c>
      <c r="K8588" s="1" t="str">
        <f t="shared" si="4"/>
        <v/>
      </c>
    </row>
    <row r="8589" hidden="1">
      <c r="F8589" s="1" t="str">
        <f t="shared" si="1"/>
        <v/>
      </c>
      <c r="G8589" s="1" t="str">
        <f t="shared" si="2"/>
        <v/>
      </c>
      <c r="J8589" s="1" t="str">
        <f t="shared" si="3"/>
        <v/>
      </c>
      <c r="K8589" s="1" t="str">
        <f t="shared" si="4"/>
        <v/>
      </c>
    </row>
    <row r="8590" hidden="1">
      <c r="F8590" s="1" t="str">
        <f t="shared" si="1"/>
        <v/>
      </c>
      <c r="G8590" s="1" t="str">
        <f t="shared" si="2"/>
        <v/>
      </c>
      <c r="J8590" s="1" t="str">
        <f t="shared" si="3"/>
        <v/>
      </c>
      <c r="K8590" s="1" t="str">
        <f t="shared" si="4"/>
        <v/>
      </c>
    </row>
    <row r="8591" hidden="1">
      <c r="F8591" s="1" t="str">
        <f t="shared" si="1"/>
        <v/>
      </c>
      <c r="G8591" s="1" t="str">
        <f t="shared" si="2"/>
        <v/>
      </c>
      <c r="J8591" s="1" t="str">
        <f t="shared" si="3"/>
        <v/>
      </c>
      <c r="K8591" s="1" t="str">
        <f t="shared" si="4"/>
        <v/>
      </c>
    </row>
    <row r="8592" hidden="1">
      <c r="F8592" s="1" t="str">
        <f t="shared" si="1"/>
        <v/>
      </c>
      <c r="G8592" s="1" t="str">
        <f t="shared" si="2"/>
        <v/>
      </c>
      <c r="J8592" s="1" t="str">
        <f t="shared" si="3"/>
        <v/>
      </c>
      <c r="K8592" s="1" t="str">
        <f t="shared" si="4"/>
        <v/>
      </c>
    </row>
    <row r="8593" hidden="1">
      <c r="F8593" s="1" t="str">
        <f t="shared" si="1"/>
        <v/>
      </c>
      <c r="G8593" s="1" t="str">
        <f t="shared" si="2"/>
        <v/>
      </c>
      <c r="J8593" s="1" t="str">
        <f t="shared" si="3"/>
        <v/>
      </c>
      <c r="K8593" s="1" t="str">
        <f t="shared" si="4"/>
        <v/>
      </c>
    </row>
    <row r="8594" hidden="1">
      <c r="F8594" s="1" t="str">
        <f t="shared" si="1"/>
        <v/>
      </c>
      <c r="G8594" s="1" t="str">
        <f t="shared" si="2"/>
        <v/>
      </c>
      <c r="J8594" s="1" t="str">
        <f t="shared" si="3"/>
        <v/>
      </c>
      <c r="K8594" s="1" t="str">
        <f t="shared" si="4"/>
        <v/>
      </c>
    </row>
    <row r="8595" hidden="1">
      <c r="F8595" s="1" t="str">
        <f t="shared" si="1"/>
        <v/>
      </c>
      <c r="G8595" s="1" t="str">
        <f t="shared" si="2"/>
        <v/>
      </c>
      <c r="J8595" s="1" t="str">
        <f t="shared" si="3"/>
        <v/>
      </c>
      <c r="K8595" s="1" t="str">
        <f t="shared" si="4"/>
        <v/>
      </c>
    </row>
    <row r="8596" hidden="1">
      <c r="F8596" s="1" t="str">
        <f t="shared" si="1"/>
        <v/>
      </c>
      <c r="G8596" s="1" t="str">
        <f t="shared" si="2"/>
        <v/>
      </c>
      <c r="J8596" s="1" t="str">
        <f t="shared" si="3"/>
        <v/>
      </c>
      <c r="K8596" s="1" t="str">
        <f t="shared" si="4"/>
        <v/>
      </c>
    </row>
    <row r="8597" hidden="1">
      <c r="F8597" s="1" t="str">
        <f t="shared" si="1"/>
        <v/>
      </c>
      <c r="G8597" s="1" t="str">
        <f t="shared" si="2"/>
        <v/>
      </c>
      <c r="J8597" s="1" t="str">
        <f t="shared" si="3"/>
        <v/>
      </c>
      <c r="K8597" s="1" t="str">
        <f t="shared" si="4"/>
        <v/>
      </c>
    </row>
    <row r="8598" hidden="1">
      <c r="F8598" s="1" t="str">
        <f t="shared" si="1"/>
        <v/>
      </c>
      <c r="G8598" s="1" t="str">
        <f t="shared" si="2"/>
        <v/>
      </c>
      <c r="J8598" s="1" t="str">
        <f t="shared" si="3"/>
        <v/>
      </c>
      <c r="K8598" s="1" t="str">
        <f t="shared" si="4"/>
        <v/>
      </c>
    </row>
    <row r="8599" hidden="1">
      <c r="F8599" s="1" t="str">
        <f t="shared" si="1"/>
        <v/>
      </c>
      <c r="G8599" s="1" t="str">
        <f t="shared" si="2"/>
        <v/>
      </c>
      <c r="J8599" s="1" t="str">
        <f t="shared" si="3"/>
        <v/>
      </c>
      <c r="K8599" s="1" t="str">
        <f t="shared" si="4"/>
        <v/>
      </c>
    </row>
    <row r="8600" hidden="1">
      <c r="F8600" s="1" t="str">
        <f t="shared" si="1"/>
        <v/>
      </c>
      <c r="G8600" s="1" t="str">
        <f t="shared" si="2"/>
        <v/>
      </c>
      <c r="J8600" s="1" t="str">
        <f t="shared" si="3"/>
        <v/>
      </c>
      <c r="K8600" s="1" t="str">
        <f t="shared" si="4"/>
        <v/>
      </c>
    </row>
    <row r="8601" hidden="1">
      <c r="F8601" s="1" t="str">
        <f t="shared" si="1"/>
        <v/>
      </c>
      <c r="G8601" s="1" t="str">
        <f t="shared" si="2"/>
        <v/>
      </c>
      <c r="J8601" s="1" t="str">
        <f t="shared" si="3"/>
        <v/>
      </c>
      <c r="K8601" s="1" t="str">
        <f t="shared" si="4"/>
        <v/>
      </c>
    </row>
    <row r="8602" hidden="1">
      <c r="F8602" s="1" t="str">
        <f t="shared" si="1"/>
        <v/>
      </c>
      <c r="G8602" s="1" t="str">
        <f t="shared" si="2"/>
        <v/>
      </c>
      <c r="J8602" s="1" t="str">
        <f t="shared" si="3"/>
        <v/>
      </c>
      <c r="K8602" s="1" t="str">
        <f t="shared" si="4"/>
        <v/>
      </c>
    </row>
    <row r="8603" hidden="1">
      <c r="F8603" s="1" t="str">
        <f t="shared" si="1"/>
        <v/>
      </c>
      <c r="G8603" s="1" t="str">
        <f t="shared" si="2"/>
        <v/>
      </c>
      <c r="J8603" s="1" t="str">
        <f t="shared" si="3"/>
        <v/>
      </c>
      <c r="K8603" s="1" t="str">
        <f t="shared" si="4"/>
        <v/>
      </c>
    </row>
    <row r="8604" hidden="1">
      <c r="F8604" s="1" t="str">
        <f t="shared" si="1"/>
        <v/>
      </c>
      <c r="G8604" s="1" t="str">
        <f t="shared" si="2"/>
        <v/>
      </c>
      <c r="J8604" s="1" t="str">
        <f t="shared" si="3"/>
        <v/>
      </c>
      <c r="K8604" s="1" t="str">
        <f t="shared" si="4"/>
        <v/>
      </c>
    </row>
    <row r="8605" hidden="1">
      <c r="F8605" s="1" t="str">
        <f t="shared" si="1"/>
        <v/>
      </c>
      <c r="G8605" s="1" t="str">
        <f t="shared" si="2"/>
        <v/>
      </c>
      <c r="J8605" s="1" t="str">
        <f t="shared" si="3"/>
        <v/>
      </c>
      <c r="K8605" s="1" t="str">
        <f t="shared" si="4"/>
        <v/>
      </c>
    </row>
    <row r="8606" hidden="1">
      <c r="F8606" s="1" t="str">
        <f t="shared" si="1"/>
        <v/>
      </c>
      <c r="G8606" s="1" t="str">
        <f t="shared" si="2"/>
        <v/>
      </c>
      <c r="J8606" s="1" t="str">
        <f t="shared" si="3"/>
        <v/>
      </c>
      <c r="K8606" s="1" t="str">
        <f t="shared" si="4"/>
        <v/>
      </c>
    </row>
    <row r="8607" hidden="1">
      <c r="F8607" s="1" t="str">
        <f t="shared" si="1"/>
        <v/>
      </c>
      <c r="G8607" s="1" t="str">
        <f t="shared" si="2"/>
        <v/>
      </c>
      <c r="J8607" s="1" t="str">
        <f t="shared" si="3"/>
        <v/>
      </c>
      <c r="K8607" s="1" t="str">
        <f t="shared" si="4"/>
        <v/>
      </c>
    </row>
    <row r="8608" hidden="1">
      <c r="F8608" s="1" t="str">
        <f t="shared" si="1"/>
        <v/>
      </c>
      <c r="G8608" s="1" t="str">
        <f t="shared" si="2"/>
        <v/>
      </c>
      <c r="J8608" s="1" t="str">
        <f t="shared" si="3"/>
        <v/>
      </c>
      <c r="K8608" s="1" t="str">
        <f t="shared" si="4"/>
        <v/>
      </c>
    </row>
    <row r="8609" hidden="1">
      <c r="F8609" s="1" t="str">
        <f t="shared" si="1"/>
        <v/>
      </c>
      <c r="G8609" s="1" t="str">
        <f t="shared" si="2"/>
        <v/>
      </c>
      <c r="J8609" s="1" t="str">
        <f t="shared" si="3"/>
        <v/>
      </c>
      <c r="K8609" s="1" t="str">
        <f t="shared" si="4"/>
        <v/>
      </c>
    </row>
    <row r="8610" hidden="1">
      <c r="F8610" s="1" t="str">
        <f t="shared" si="1"/>
        <v/>
      </c>
      <c r="G8610" s="1" t="str">
        <f t="shared" si="2"/>
        <v/>
      </c>
      <c r="J8610" s="1" t="str">
        <f t="shared" si="3"/>
        <v/>
      </c>
      <c r="K8610" s="1" t="str">
        <f t="shared" si="4"/>
        <v/>
      </c>
    </row>
    <row r="8611" hidden="1">
      <c r="F8611" s="1" t="str">
        <f t="shared" si="1"/>
        <v/>
      </c>
      <c r="G8611" s="1" t="str">
        <f t="shared" si="2"/>
        <v/>
      </c>
      <c r="J8611" s="1" t="str">
        <f t="shared" si="3"/>
        <v/>
      </c>
      <c r="K8611" s="1" t="str">
        <f t="shared" si="4"/>
        <v/>
      </c>
    </row>
    <row r="8612" hidden="1">
      <c r="F8612" s="1" t="str">
        <f t="shared" si="1"/>
        <v/>
      </c>
      <c r="G8612" s="1" t="str">
        <f t="shared" si="2"/>
        <v/>
      </c>
      <c r="J8612" s="1" t="str">
        <f t="shared" si="3"/>
        <v/>
      </c>
      <c r="K8612" s="1" t="str">
        <f t="shared" si="4"/>
        <v/>
      </c>
    </row>
    <row r="8613" hidden="1">
      <c r="F8613" s="1" t="str">
        <f t="shared" si="1"/>
        <v/>
      </c>
      <c r="G8613" s="1" t="str">
        <f t="shared" si="2"/>
        <v/>
      </c>
      <c r="J8613" s="1" t="str">
        <f t="shared" si="3"/>
        <v/>
      </c>
      <c r="K8613" s="1" t="str">
        <f t="shared" si="4"/>
        <v/>
      </c>
    </row>
    <row r="8614" hidden="1">
      <c r="F8614" s="1" t="str">
        <f t="shared" si="1"/>
        <v/>
      </c>
      <c r="G8614" s="1" t="str">
        <f t="shared" si="2"/>
        <v/>
      </c>
      <c r="J8614" s="1" t="str">
        <f t="shared" si="3"/>
        <v/>
      </c>
      <c r="K8614" s="1" t="str">
        <f t="shared" si="4"/>
        <v/>
      </c>
    </row>
    <row r="8615" hidden="1">
      <c r="F8615" s="1" t="str">
        <f t="shared" si="1"/>
        <v/>
      </c>
      <c r="G8615" s="1" t="str">
        <f t="shared" si="2"/>
        <v/>
      </c>
      <c r="J8615" s="1" t="str">
        <f t="shared" si="3"/>
        <v/>
      </c>
      <c r="K8615" s="1" t="str">
        <f t="shared" si="4"/>
        <v/>
      </c>
    </row>
    <row r="8616" hidden="1">
      <c r="F8616" s="1" t="str">
        <f t="shared" si="1"/>
        <v/>
      </c>
      <c r="G8616" s="1" t="str">
        <f t="shared" si="2"/>
        <v/>
      </c>
      <c r="J8616" s="1" t="str">
        <f t="shared" si="3"/>
        <v/>
      </c>
      <c r="K8616" s="1" t="str">
        <f t="shared" si="4"/>
        <v/>
      </c>
    </row>
    <row r="8617" hidden="1">
      <c r="F8617" s="1" t="str">
        <f t="shared" si="1"/>
        <v/>
      </c>
      <c r="G8617" s="1" t="str">
        <f t="shared" si="2"/>
        <v/>
      </c>
      <c r="J8617" s="1" t="str">
        <f t="shared" si="3"/>
        <v/>
      </c>
      <c r="K8617" s="1" t="str">
        <f t="shared" si="4"/>
        <v/>
      </c>
    </row>
    <row r="8618" hidden="1">
      <c r="F8618" s="1" t="str">
        <f t="shared" si="1"/>
        <v/>
      </c>
      <c r="G8618" s="1" t="str">
        <f t="shared" si="2"/>
        <v/>
      </c>
      <c r="J8618" s="1" t="str">
        <f t="shared" si="3"/>
        <v/>
      </c>
      <c r="K8618" s="1" t="str">
        <f t="shared" si="4"/>
        <v/>
      </c>
    </row>
    <row r="8619" hidden="1">
      <c r="F8619" s="1" t="str">
        <f t="shared" si="1"/>
        <v/>
      </c>
      <c r="G8619" s="1" t="str">
        <f t="shared" si="2"/>
        <v/>
      </c>
      <c r="J8619" s="1" t="str">
        <f t="shared" si="3"/>
        <v/>
      </c>
      <c r="K8619" s="1" t="str">
        <f t="shared" si="4"/>
        <v/>
      </c>
    </row>
    <row r="8620" hidden="1">
      <c r="F8620" s="1" t="str">
        <f t="shared" si="1"/>
        <v/>
      </c>
      <c r="G8620" s="1" t="str">
        <f t="shared" si="2"/>
        <v/>
      </c>
      <c r="J8620" s="1" t="str">
        <f t="shared" si="3"/>
        <v/>
      </c>
      <c r="K8620" s="1" t="str">
        <f t="shared" si="4"/>
        <v/>
      </c>
    </row>
    <row r="8621" hidden="1">
      <c r="F8621" s="1" t="str">
        <f t="shared" si="1"/>
        <v/>
      </c>
      <c r="G8621" s="1" t="str">
        <f t="shared" si="2"/>
        <v/>
      </c>
      <c r="J8621" s="1" t="str">
        <f t="shared" si="3"/>
        <v/>
      </c>
      <c r="K8621" s="1" t="str">
        <f t="shared" si="4"/>
        <v/>
      </c>
    </row>
    <row r="8622" hidden="1">
      <c r="F8622" s="1" t="str">
        <f t="shared" si="1"/>
        <v/>
      </c>
      <c r="G8622" s="1" t="str">
        <f t="shared" si="2"/>
        <v/>
      </c>
      <c r="J8622" s="1" t="str">
        <f t="shared" si="3"/>
        <v/>
      </c>
      <c r="K8622" s="1" t="str">
        <f t="shared" si="4"/>
        <v/>
      </c>
    </row>
    <row r="8623" hidden="1">
      <c r="F8623" s="1" t="str">
        <f t="shared" si="1"/>
        <v/>
      </c>
      <c r="G8623" s="1" t="str">
        <f t="shared" si="2"/>
        <v/>
      </c>
      <c r="J8623" s="1" t="str">
        <f t="shared" si="3"/>
        <v/>
      </c>
      <c r="K8623" s="1" t="str">
        <f t="shared" si="4"/>
        <v/>
      </c>
    </row>
    <row r="8624" hidden="1">
      <c r="F8624" s="1" t="str">
        <f t="shared" si="1"/>
        <v/>
      </c>
      <c r="G8624" s="1" t="str">
        <f t="shared" si="2"/>
        <v/>
      </c>
      <c r="J8624" s="1" t="str">
        <f t="shared" si="3"/>
        <v/>
      </c>
      <c r="K8624" s="1" t="str">
        <f t="shared" si="4"/>
        <v/>
      </c>
    </row>
    <row r="8625" hidden="1">
      <c r="F8625" s="1" t="str">
        <f t="shared" si="1"/>
        <v/>
      </c>
      <c r="G8625" s="1" t="str">
        <f t="shared" si="2"/>
        <v/>
      </c>
      <c r="J8625" s="1" t="str">
        <f t="shared" si="3"/>
        <v/>
      </c>
      <c r="K8625" s="1" t="str">
        <f t="shared" si="4"/>
        <v/>
      </c>
    </row>
    <row r="8626" hidden="1">
      <c r="F8626" s="1" t="str">
        <f t="shared" si="1"/>
        <v/>
      </c>
      <c r="G8626" s="1" t="str">
        <f t="shared" si="2"/>
        <v/>
      </c>
      <c r="J8626" s="1" t="str">
        <f t="shared" si="3"/>
        <v/>
      </c>
      <c r="K8626" s="1" t="str">
        <f t="shared" si="4"/>
        <v/>
      </c>
    </row>
    <row r="8627" hidden="1">
      <c r="F8627" s="1" t="str">
        <f t="shared" si="1"/>
        <v/>
      </c>
      <c r="G8627" s="1" t="str">
        <f t="shared" si="2"/>
        <v/>
      </c>
      <c r="J8627" s="1" t="str">
        <f t="shared" si="3"/>
        <v/>
      </c>
      <c r="K8627" s="1" t="str">
        <f t="shared" si="4"/>
        <v/>
      </c>
    </row>
    <row r="8628" hidden="1">
      <c r="F8628" s="1" t="str">
        <f t="shared" si="1"/>
        <v/>
      </c>
      <c r="G8628" s="1" t="str">
        <f t="shared" si="2"/>
        <v/>
      </c>
      <c r="J8628" s="1" t="str">
        <f t="shared" si="3"/>
        <v/>
      </c>
      <c r="K8628" s="1" t="str">
        <f t="shared" si="4"/>
        <v/>
      </c>
    </row>
    <row r="8629" hidden="1">
      <c r="F8629" s="1" t="str">
        <f t="shared" si="1"/>
        <v/>
      </c>
      <c r="G8629" s="1" t="str">
        <f t="shared" si="2"/>
        <v/>
      </c>
      <c r="J8629" s="1" t="str">
        <f t="shared" si="3"/>
        <v/>
      </c>
      <c r="K8629" s="1" t="str">
        <f t="shared" si="4"/>
        <v/>
      </c>
    </row>
    <row r="8630" hidden="1">
      <c r="F8630" s="1" t="str">
        <f t="shared" si="1"/>
        <v/>
      </c>
      <c r="G8630" s="1" t="str">
        <f t="shared" si="2"/>
        <v/>
      </c>
      <c r="J8630" s="1" t="str">
        <f t="shared" si="3"/>
        <v/>
      </c>
      <c r="K8630" s="1" t="str">
        <f t="shared" si="4"/>
        <v/>
      </c>
    </row>
    <row r="8631" hidden="1">
      <c r="F8631" s="1" t="str">
        <f t="shared" si="1"/>
        <v/>
      </c>
      <c r="G8631" s="1" t="str">
        <f t="shared" si="2"/>
        <v/>
      </c>
      <c r="J8631" s="1" t="str">
        <f t="shared" si="3"/>
        <v/>
      </c>
      <c r="K8631" s="1" t="str">
        <f t="shared" si="4"/>
        <v/>
      </c>
    </row>
    <row r="8632" hidden="1">
      <c r="F8632" s="1" t="str">
        <f t="shared" si="1"/>
        <v/>
      </c>
      <c r="G8632" s="1" t="str">
        <f t="shared" si="2"/>
        <v/>
      </c>
      <c r="J8632" s="1" t="str">
        <f t="shared" si="3"/>
        <v/>
      </c>
      <c r="K8632" s="1" t="str">
        <f t="shared" si="4"/>
        <v/>
      </c>
    </row>
    <row r="8633" hidden="1">
      <c r="F8633" s="1" t="str">
        <f t="shared" si="1"/>
        <v/>
      </c>
      <c r="G8633" s="1" t="str">
        <f t="shared" si="2"/>
        <v/>
      </c>
      <c r="J8633" s="1" t="str">
        <f t="shared" si="3"/>
        <v/>
      </c>
      <c r="K8633" s="1" t="str">
        <f t="shared" si="4"/>
        <v/>
      </c>
    </row>
    <row r="8634" hidden="1">
      <c r="F8634" s="1" t="str">
        <f t="shared" si="1"/>
        <v/>
      </c>
      <c r="G8634" s="1" t="str">
        <f t="shared" si="2"/>
        <v/>
      </c>
      <c r="J8634" s="1" t="str">
        <f t="shared" si="3"/>
        <v/>
      </c>
      <c r="K8634" s="1" t="str">
        <f t="shared" si="4"/>
        <v/>
      </c>
    </row>
    <row r="8635" hidden="1">
      <c r="F8635" s="1" t="str">
        <f t="shared" si="1"/>
        <v/>
      </c>
      <c r="G8635" s="1" t="str">
        <f t="shared" si="2"/>
        <v/>
      </c>
      <c r="J8635" s="1" t="str">
        <f t="shared" si="3"/>
        <v/>
      </c>
      <c r="K8635" s="1" t="str">
        <f t="shared" si="4"/>
        <v/>
      </c>
    </row>
    <row r="8636" hidden="1">
      <c r="F8636" s="1" t="str">
        <f t="shared" si="1"/>
        <v/>
      </c>
      <c r="G8636" s="1" t="str">
        <f t="shared" si="2"/>
        <v/>
      </c>
      <c r="J8636" s="1" t="str">
        <f t="shared" si="3"/>
        <v/>
      </c>
      <c r="K8636" s="1" t="str">
        <f t="shared" si="4"/>
        <v/>
      </c>
    </row>
    <row r="8637" hidden="1">
      <c r="F8637" s="1" t="str">
        <f t="shared" si="1"/>
        <v/>
      </c>
      <c r="G8637" s="1" t="str">
        <f t="shared" si="2"/>
        <v/>
      </c>
      <c r="J8637" s="1" t="str">
        <f t="shared" si="3"/>
        <v/>
      </c>
      <c r="K8637" s="1" t="str">
        <f t="shared" si="4"/>
        <v/>
      </c>
    </row>
    <row r="8638" hidden="1">
      <c r="F8638" s="1" t="str">
        <f t="shared" si="1"/>
        <v/>
      </c>
      <c r="G8638" s="1" t="str">
        <f t="shared" si="2"/>
        <v/>
      </c>
      <c r="J8638" s="1" t="str">
        <f t="shared" si="3"/>
        <v/>
      </c>
      <c r="K8638" s="1" t="str">
        <f t="shared" si="4"/>
        <v/>
      </c>
    </row>
    <row r="8639" hidden="1">
      <c r="F8639" s="1" t="str">
        <f t="shared" si="1"/>
        <v/>
      </c>
      <c r="G8639" s="1" t="str">
        <f t="shared" si="2"/>
        <v/>
      </c>
      <c r="J8639" s="1" t="str">
        <f t="shared" si="3"/>
        <v/>
      </c>
      <c r="K8639" s="1" t="str">
        <f t="shared" si="4"/>
        <v/>
      </c>
    </row>
    <row r="8640" hidden="1">
      <c r="F8640" s="1" t="str">
        <f t="shared" si="1"/>
        <v/>
      </c>
      <c r="G8640" s="1" t="str">
        <f t="shared" si="2"/>
        <v/>
      </c>
      <c r="J8640" s="1" t="str">
        <f t="shared" si="3"/>
        <v/>
      </c>
      <c r="K8640" s="1" t="str">
        <f t="shared" si="4"/>
        <v/>
      </c>
    </row>
    <row r="8641" hidden="1">
      <c r="F8641" s="1" t="str">
        <f t="shared" si="1"/>
        <v/>
      </c>
      <c r="G8641" s="1" t="str">
        <f t="shared" si="2"/>
        <v/>
      </c>
      <c r="J8641" s="1" t="str">
        <f t="shared" si="3"/>
        <v/>
      </c>
      <c r="K8641" s="1" t="str">
        <f t="shared" si="4"/>
        <v/>
      </c>
    </row>
    <row r="8642" hidden="1">
      <c r="F8642" s="1" t="str">
        <f t="shared" si="1"/>
        <v/>
      </c>
      <c r="G8642" s="1" t="str">
        <f t="shared" si="2"/>
        <v/>
      </c>
      <c r="J8642" s="1" t="str">
        <f t="shared" si="3"/>
        <v/>
      </c>
      <c r="K8642" s="1" t="str">
        <f t="shared" si="4"/>
        <v/>
      </c>
    </row>
    <row r="8643" hidden="1">
      <c r="F8643" s="1" t="str">
        <f t="shared" si="1"/>
        <v/>
      </c>
      <c r="G8643" s="1" t="str">
        <f t="shared" si="2"/>
        <v/>
      </c>
      <c r="J8643" s="1" t="str">
        <f t="shared" si="3"/>
        <v/>
      </c>
      <c r="K8643" s="1" t="str">
        <f t="shared" si="4"/>
        <v/>
      </c>
    </row>
    <row r="8644" hidden="1">
      <c r="F8644" s="1" t="str">
        <f t="shared" si="1"/>
        <v/>
      </c>
      <c r="G8644" s="1" t="str">
        <f t="shared" si="2"/>
        <v/>
      </c>
      <c r="J8644" s="1" t="str">
        <f t="shared" si="3"/>
        <v/>
      </c>
      <c r="K8644" s="1" t="str">
        <f t="shared" si="4"/>
        <v/>
      </c>
    </row>
    <row r="8645" hidden="1">
      <c r="F8645" s="1" t="str">
        <f t="shared" si="1"/>
        <v/>
      </c>
      <c r="G8645" s="1" t="str">
        <f t="shared" si="2"/>
        <v/>
      </c>
      <c r="J8645" s="1" t="str">
        <f t="shared" si="3"/>
        <v/>
      </c>
      <c r="K8645" s="1" t="str">
        <f t="shared" si="4"/>
        <v/>
      </c>
    </row>
    <row r="8646" hidden="1">
      <c r="F8646" s="1" t="str">
        <f t="shared" si="1"/>
        <v/>
      </c>
      <c r="G8646" s="1" t="str">
        <f t="shared" si="2"/>
        <v/>
      </c>
      <c r="J8646" s="1" t="str">
        <f t="shared" si="3"/>
        <v/>
      </c>
      <c r="K8646" s="1" t="str">
        <f t="shared" si="4"/>
        <v/>
      </c>
    </row>
    <row r="8647" hidden="1">
      <c r="F8647" s="1" t="str">
        <f t="shared" si="1"/>
        <v/>
      </c>
      <c r="G8647" s="1" t="str">
        <f t="shared" si="2"/>
        <v/>
      </c>
      <c r="J8647" s="1" t="str">
        <f t="shared" si="3"/>
        <v/>
      </c>
      <c r="K8647" s="1" t="str">
        <f t="shared" si="4"/>
        <v/>
      </c>
    </row>
    <row r="8648" hidden="1">
      <c r="F8648" s="1" t="str">
        <f t="shared" si="1"/>
        <v/>
      </c>
      <c r="G8648" s="1" t="str">
        <f t="shared" si="2"/>
        <v/>
      </c>
      <c r="J8648" s="1" t="str">
        <f t="shared" si="3"/>
        <v/>
      </c>
      <c r="K8648" s="1" t="str">
        <f t="shared" si="4"/>
        <v/>
      </c>
    </row>
    <row r="8649" hidden="1">
      <c r="F8649" s="1" t="str">
        <f t="shared" si="1"/>
        <v/>
      </c>
      <c r="G8649" s="1" t="str">
        <f t="shared" si="2"/>
        <v/>
      </c>
      <c r="J8649" s="1" t="str">
        <f t="shared" si="3"/>
        <v/>
      </c>
      <c r="K8649" s="1" t="str">
        <f t="shared" si="4"/>
        <v/>
      </c>
    </row>
    <row r="8650" hidden="1">
      <c r="F8650" s="1" t="str">
        <f t="shared" si="1"/>
        <v/>
      </c>
      <c r="G8650" s="1" t="str">
        <f t="shared" si="2"/>
        <v/>
      </c>
      <c r="J8650" s="1" t="str">
        <f t="shared" si="3"/>
        <v/>
      </c>
      <c r="K8650" s="1" t="str">
        <f t="shared" si="4"/>
        <v/>
      </c>
    </row>
    <row r="8651" hidden="1">
      <c r="F8651" s="1" t="str">
        <f t="shared" si="1"/>
        <v/>
      </c>
      <c r="G8651" s="1" t="str">
        <f t="shared" si="2"/>
        <v/>
      </c>
      <c r="J8651" s="1" t="str">
        <f t="shared" si="3"/>
        <v/>
      </c>
      <c r="K8651" s="1" t="str">
        <f t="shared" si="4"/>
        <v/>
      </c>
    </row>
    <row r="8652" hidden="1">
      <c r="F8652" s="1" t="str">
        <f t="shared" si="1"/>
        <v/>
      </c>
      <c r="G8652" s="1" t="str">
        <f t="shared" si="2"/>
        <v/>
      </c>
      <c r="J8652" s="1" t="str">
        <f t="shared" si="3"/>
        <v/>
      </c>
      <c r="K8652" s="1" t="str">
        <f t="shared" si="4"/>
        <v/>
      </c>
    </row>
    <row r="8653" hidden="1">
      <c r="F8653" s="1" t="str">
        <f t="shared" si="1"/>
        <v/>
      </c>
      <c r="G8653" s="1" t="str">
        <f t="shared" si="2"/>
        <v/>
      </c>
      <c r="J8653" s="1" t="str">
        <f t="shared" si="3"/>
        <v/>
      </c>
      <c r="K8653" s="1" t="str">
        <f t="shared" si="4"/>
        <v/>
      </c>
    </row>
    <row r="8654" hidden="1">
      <c r="F8654" s="1" t="str">
        <f t="shared" si="1"/>
        <v/>
      </c>
      <c r="G8654" s="1" t="str">
        <f t="shared" si="2"/>
        <v/>
      </c>
      <c r="J8654" s="1" t="str">
        <f t="shared" si="3"/>
        <v/>
      </c>
      <c r="K8654" s="1" t="str">
        <f t="shared" si="4"/>
        <v/>
      </c>
    </row>
    <row r="8655" hidden="1">
      <c r="F8655" s="1" t="str">
        <f t="shared" si="1"/>
        <v/>
      </c>
      <c r="G8655" s="1" t="str">
        <f t="shared" si="2"/>
        <v/>
      </c>
      <c r="J8655" s="1" t="str">
        <f t="shared" si="3"/>
        <v/>
      </c>
      <c r="K8655" s="1" t="str">
        <f t="shared" si="4"/>
        <v/>
      </c>
    </row>
    <row r="8656" hidden="1">
      <c r="F8656" s="1" t="str">
        <f t="shared" si="1"/>
        <v/>
      </c>
      <c r="G8656" s="1" t="str">
        <f t="shared" si="2"/>
        <v/>
      </c>
      <c r="J8656" s="1" t="str">
        <f t="shared" si="3"/>
        <v/>
      </c>
      <c r="K8656" s="1" t="str">
        <f t="shared" si="4"/>
        <v/>
      </c>
    </row>
    <row r="8657" hidden="1">
      <c r="F8657" s="1" t="str">
        <f t="shared" si="1"/>
        <v/>
      </c>
      <c r="G8657" s="1" t="str">
        <f t="shared" si="2"/>
        <v/>
      </c>
      <c r="J8657" s="1" t="str">
        <f t="shared" si="3"/>
        <v/>
      </c>
      <c r="K8657" s="1" t="str">
        <f t="shared" si="4"/>
        <v/>
      </c>
    </row>
    <row r="8658" hidden="1">
      <c r="F8658" s="1" t="str">
        <f t="shared" si="1"/>
        <v/>
      </c>
      <c r="G8658" s="1" t="str">
        <f t="shared" si="2"/>
        <v/>
      </c>
      <c r="J8658" s="1" t="str">
        <f t="shared" si="3"/>
        <v/>
      </c>
      <c r="K8658" s="1" t="str">
        <f t="shared" si="4"/>
        <v/>
      </c>
    </row>
    <row r="8659" hidden="1">
      <c r="F8659" s="1" t="str">
        <f t="shared" si="1"/>
        <v/>
      </c>
      <c r="G8659" s="1" t="str">
        <f t="shared" si="2"/>
        <v/>
      </c>
      <c r="J8659" s="1" t="str">
        <f t="shared" si="3"/>
        <v/>
      </c>
      <c r="K8659" s="1" t="str">
        <f t="shared" si="4"/>
        <v/>
      </c>
    </row>
    <row r="8660" hidden="1">
      <c r="F8660" s="1" t="str">
        <f t="shared" si="1"/>
        <v/>
      </c>
      <c r="G8660" s="1" t="str">
        <f t="shared" si="2"/>
        <v/>
      </c>
      <c r="J8660" s="1" t="str">
        <f t="shared" si="3"/>
        <v/>
      </c>
      <c r="K8660" s="1" t="str">
        <f t="shared" si="4"/>
        <v/>
      </c>
    </row>
    <row r="8661" hidden="1">
      <c r="F8661" s="1" t="str">
        <f t="shared" si="1"/>
        <v/>
      </c>
      <c r="G8661" s="1" t="str">
        <f t="shared" si="2"/>
        <v/>
      </c>
      <c r="J8661" s="1" t="str">
        <f t="shared" si="3"/>
        <v/>
      </c>
      <c r="K8661" s="1" t="str">
        <f t="shared" si="4"/>
        <v/>
      </c>
    </row>
    <row r="8662" hidden="1">
      <c r="F8662" s="1" t="str">
        <f t="shared" si="1"/>
        <v/>
      </c>
      <c r="G8662" s="1" t="str">
        <f t="shared" si="2"/>
        <v/>
      </c>
      <c r="J8662" s="1" t="str">
        <f t="shared" si="3"/>
        <v/>
      </c>
      <c r="K8662" s="1" t="str">
        <f t="shared" si="4"/>
        <v/>
      </c>
    </row>
    <row r="8663" hidden="1">
      <c r="F8663" s="1" t="str">
        <f t="shared" si="1"/>
        <v/>
      </c>
      <c r="G8663" s="1" t="str">
        <f t="shared" si="2"/>
        <v/>
      </c>
      <c r="J8663" s="1" t="str">
        <f t="shared" si="3"/>
        <v/>
      </c>
      <c r="K8663" s="1" t="str">
        <f t="shared" si="4"/>
        <v/>
      </c>
    </row>
    <row r="8664" hidden="1">
      <c r="F8664" s="1" t="str">
        <f t="shared" si="1"/>
        <v/>
      </c>
      <c r="G8664" s="1" t="str">
        <f t="shared" si="2"/>
        <v/>
      </c>
      <c r="J8664" s="1" t="str">
        <f t="shared" si="3"/>
        <v/>
      </c>
      <c r="K8664" s="1" t="str">
        <f t="shared" si="4"/>
        <v/>
      </c>
    </row>
    <row r="8665" hidden="1">
      <c r="F8665" s="1" t="str">
        <f t="shared" si="1"/>
        <v/>
      </c>
      <c r="G8665" s="1" t="str">
        <f t="shared" si="2"/>
        <v/>
      </c>
      <c r="J8665" s="1" t="str">
        <f t="shared" si="3"/>
        <v/>
      </c>
      <c r="K8665" s="1" t="str">
        <f t="shared" si="4"/>
        <v/>
      </c>
    </row>
    <row r="8666" hidden="1">
      <c r="F8666" s="1" t="str">
        <f t="shared" si="1"/>
        <v/>
      </c>
      <c r="G8666" s="1" t="str">
        <f t="shared" si="2"/>
        <v/>
      </c>
      <c r="J8666" s="1" t="str">
        <f t="shared" si="3"/>
        <v/>
      </c>
      <c r="K8666" s="1" t="str">
        <f t="shared" si="4"/>
        <v/>
      </c>
    </row>
    <row r="8667" hidden="1">
      <c r="F8667" s="1" t="str">
        <f t="shared" si="1"/>
        <v/>
      </c>
      <c r="G8667" s="1" t="str">
        <f t="shared" si="2"/>
        <v/>
      </c>
      <c r="J8667" s="1" t="str">
        <f t="shared" si="3"/>
        <v/>
      </c>
      <c r="K8667" s="1" t="str">
        <f t="shared" si="4"/>
        <v/>
      </c>
    </row>
    <row r="8668" hidden="1">
      <c r="F8668" s="1" t="str">
        <f t="shared" si="1"/>
        <v/>
      </c>
      <c r="G8668" s="1" t="str">
        <f t="shared" si="2"/>
        <v/>
      </c>
      <c r="J8668" s="1" t="str">
        <f t="shared" si="3"/>
        <v/>
      </c>
      <c r="K8668" s="1" t="str">
        <f t="shared" si="4"/>
        <v/>
      </c>
    </row>
    <row r="8669" hidden="1">
      <c r="F8669" s="1" t="str">
        <f t="shared" si="1"/>
        <v/>
      </c>
      <c r="G8669" s="1" t="str">
        <f t="shared" si="2"/>
        <v/>
      </c>
      <c r="J8669" s="1" t="str">
        <f t="shared" si="3"/>
        <v/>
      </c>
      <c r="K8669" s="1" t="str">
        <f t="shared" si="4"/>
        <v/>
      </c>
    </row>
    <row r="8670" hidden="1">
      <c r="F8670" s="1" t="str">
        <f t="shared" si="1"/>
        <v/>
      </c>
      <c r="G8670" s="1" t="str">
        <f t="shared" si="2"/>
        <v/>
      </c>
      <c r="J8670" s="1" t="str">
        <f t="shared" si="3"/>
        <v/>
      </c>
      <c r="K8670" s="1" t="str">
        <f t="shared" si="4"/>
        <v/>
      </c>
    </row>
    <row r="8671" hidden="1">
      <c r="F8671" s="1" t="str">
        <f t="shared" si="1"/>
        <v/>
      </c>
      <c r="G8671" s="1" t="str">
        <f t="shared" si="2"/>
        <v/>
      </c>
      <c r="J8671" s="1" t="str">
        <f t="shared" si="3"/>
        <v/>
      </c>
      <c r="K8671" s="1" t="str">
        <f t="shared" si="4"/>
        <v/>
      </c>
    </row>
    <row r="8672" hidden="1">
      <c r="F8672" s="1" t="str">
        <f t="shared" si="1"/>
        <v/>
      </c>
      <c r="G8672" s="1" t="str">
        <f t="shared" si="2"/>
        <v/>
      </c>
      <c r="J8672" s="1" t="str">
        <f t="shared" si="3"/>
        <v/>
      </c>
      <c r="K8672" s="1" t="str">
        <f t="shared" si="4"/>
        <v/>
      </c>
    </row>
    <row r="8673" hidden="1">
      <c r="F8673" s="1" t="str">
        <f t="shared" si="1"/>
        <v/>
      </c>
      <c r="G8673" s="1" t="str">
        <f t="shared" si="2"/>
        <v/>
      </c>
      <c r="J8673" s="1" t="str">
        <f t="shared" si="3"/>
        <v/>
      </c>
      <c r="K8673" s="1" t="str">
        <f t="shared" si="4"/>
        <v/>
      </c>
    </row>
    <row r="8674" hidden="1">
      <c r="F8674" s="1" t="str">
        <f t="shared" si="1"/>
        <v/>
      </c>
      <c r="G8674" s="1" t="str">
        <f t="shared" si="2"/>
        <v/>
      </c>
      <c r="J8674" s="1" t="str">
        <f t="shared" si="3"/>
        <v/>
      </c>
      <c r="K8674" s="1" t="str">
        <f t="shared" si="4"/>
        <v/>
      </c>
    </row>
    <row r="8675" hidden="1">
      <c r="F8675" s="1" t="str">
        <f t="shared" si="1"/>
        <v/>
      </c>
      <c r="G8675" s="1" t="str">
        <f t="shared" si="2"/>
        <v/>
      </c>
      <c r="J8675" s="1" t="str">
        <f t="shared" si="3"/>
        <v/>
      </c>
      <c r="K8675" s="1" t="str">
        <f t="shared" si="4"/>
        <v/>
      </c>
    </row>
    <row r="8676" hidden="1">
      <c r="F8676" s="1" t="str">
        <f t="shared" si="1"/>
        <v/>
      </c>
      <c r="G8676" s="1" t="str">
        <f t="shared" si="2"/>
        <v/>
      </c>
      <c r="J8676" s="1" t="str">
        <f t="shared" si="3"/>
        <v/>
      </c>
      <c r="K8676" s="1" t="str">
        <f t="shared" si="4"/>
        <v/>
      </c>
    </row>
    <row r="8677" hidden="1">
      <c r="F8677" s="1" t="str">
        <f t="shared" si="1"/>
        <v/>
      </c>
      <c r="G8677" s="1" t="str">
        <f t="shared" si="2"/>
        <v/>
      </c>
      <c r="J8677" s="1" t="str">
        <f t="shared" si="3"/>
        <v/>
      </c>
      <c r="K8677" s="1" t="str">
        <f t="shared" si="4"/>
        <v/>
      </c>
    </row>
    <row r="8678" hidden="1">
      <c r="F8678" s="1" t="str">
        <f t="shared" si="1"/>
        <v/>
      </c>
      <c r="G8678" s="1" t="str">
        <f t="shared" si="2"/>
        <v/>
      </c>
      <c r="J8678" s="1" t="str">
        <f t="shared" si="3"/>
        <v/>
      </c>
      <c r="K8678" s="1" t="str">
        <f t="shared" si="4"/>
        <v/>
      </c>
    </row>
    <row r="8679" hidden="1">
      <c r="F8679" s="1" t="str">
        <f t="shared" si="1"/>
        <v/>
      </c>
      <c r="G8679" s="1" t="str">
        <f t="shared" si="2"/>
        <v/>
      </c>
      <c r="J8679" s="1" t="str">
        <f t="shared" si="3"/>
        <v/>
      </c>
      <c r="K8679" s="1" t="str">
        <f t="shared" si="4"/>
        <v/>
      </c>
    </row>
    <row r="8680" hidden="1">
      <c r="F8680" s="1" t="str">
        <f t="shared" si="1"/>
        <v/>
      </c>
      <c r="G8680" s="1" t="str">
        <f t="shared" si="2"/>
        <v/>
      </c>
      <c r="J8680" s="1" t="str">
        <f t="shared" si="3"/>
        <v/>
      </c>
      <c r="K8680" s="1" t="str">
        <f t="shared" si="4"/>
        <v/>
      </c>
    </row>
    <row r="8681" hidden="1">
      <c r="F8681" s="1" t="str">
        <f t="shared" si="1"/>
        <v/>
      </c>
      <c r="G8681" s="1" t="str">
        <f t="shared" si="2"/>
        <v/>
      </c>
      <c r="J8681" s="1" t="str">
        <f t="shared" si="3"/>
        <v/>
      </c>
      <c r="K8681" s="1" t="str">
        <f t="shared" si="4"/>
        <v/>
      </c>
    </row>
    <row r="8682" hidden="1">
      <c r="F8682" s="1" t="str">
        <f t="shared" si="1"/>
        <v/>
      </c>
      <c r="G8682" s="1" t="str">
        <f t="shared" si="2"/>
        <v/>
      </c>
      <c r="J8682" s="1" t="str">
        <f t="shared" si="3"/>
        <v/>
      </c>
      <c r="K8682" s="1" t="str">
        <f t="shared" si="4"/>
        <v/>
      </c>
    </row>
    <row r="8683" hidden="1">
      <c r="F8683" s="1" t="str">
        <f t="shared" si="1"/>
        <v/>
      </c>
      <c r="G8683" s="1" t="str">
        <f t="shared" si="2"/>
        <v/>
      </c>
      <c r="J8683" s="1" t="str">
        <f t="shared" si="3"/>
        <v/>
      </c>
      <c r="K8683" s="1" t="str">
        <f t="shared" si="4"/>
        <v/>
      </c>
    </row>
    <row r="8684" hidden="1">
      <c r="F8684" s="1" t="str">
        <f t="shared" si="1"/>
        <v/>
      </c>
      <c r="G8684" s="1" t="str">
        <f t="shared" si="2"/>
        <v/>
      </c>
      <c r="J8684" s="1" t="str">
        <f t="shared" si="3"/>
        <v/>
      </c>
      <c r="K8684" s="1" t="str">
        <f t="shared" si="4"/>
        <v/>
      </c>
    </row>
    <row r="8685" hidden="1">
      <c r="F8685" s="1" t="str">
        <f t="shared" si="1"/>
        <v/>
      </c>
      <c r="G8685" s="1" t="str">
        <f t="shared" si="2"/>
        <v/>
      </c>
      <c r="J8685" s="1" t="str">
        <f t="shared" si="3"/>
        <v/>
      </c>
      <c r="K8685" s="1" t="str">
        <f t="shared" si="4"/>
        <v/>
      </c>
    </row>
    <row r="8686" hidden="1">
      <c r="F8686" s="1" t="str">
        <f t="shared" si="1"/>
        <v/>
      </c>
      <c r="G8686" s="1" t="str">
        <f t="shared" si="2"/>
        <v/>
      </c>
      <c r="J8686" s="1" t="str">
        <f t="shared" si="3"/>
        <v/>
      </c>
      <c r="K8686" s="1" t="str">
        <f t="shared" si="4"/>
        <v/>
      </c>
    </row>
    <row r="8687" hidden="1">
      <c r="F8687" s="1" t="str">
        <f t="shared" si="1"/>
        <v/>
      </c>
      <c r="G8687" s="1" t="str">
        <f t="shared" si="2"/>
        <v/>
      </c>
      <c r="J8687" s="1" t="str">
        <f t="shared" si="3"/>
        <v/>
      </c>
      <c r="K8687" s="1" t="str">
        <f t="shared" si="4"/>
        <v/>
      </c>
    </row>
    <row r="8688" hidden="1">
      <c r="F8688" s="1" t="str">
        <f t="shared" si="1"/>
        <v/>
      </c>
      <c r="G8688" s="1" t="str">
        <f t="shared" si="2"/>
        <v/>
      </c>
      <c r="J8688" s="1" t="str">
        <f t="shared" si="3"/>
        <v/>
      </c>
      <c r="K8688" s="1" t="str">
        <f t="shared" si="4"/>
        <v/>
      </c>
    </row>
    <row r="8689" hidden="1">
      <c r="F8689" s="1" t="str">
        <f t="shared" si="1"/>
        <v/>
      </c>
      <c r="G8689" s="1" t="str">
        <f t="shared" si="2"/>
        <v/>
      </c>
      <c r="J8689" s="1" t="str">
        <f t="shared" si="3"/>
        <v/>
      </c>
      <c r="K8689" s="1" t="str">
        <f t="shared" si="4"/>
        <v/>
      </c>
    </row>
    <row r="8690" hidden="1">
      <c r="F8690" s="1" t="str">
        <f t="shared" si="1"/>
        <v/>
      </c>
      <c r="G8690" s="1" t="str">
        <f t="shared" si="2"/>
        <v/>
      </c>
      <c r="J8690" s="1" t="str">
        <f t="shared" si="3"/>
        <v/>
      </c>
      <c r="K8690" s="1" t="str">
        <f t="shared" si="4"/>
        <v/>
      </c>
    </row>
    <row r="8691" hidden="1">
      <c r="F8691" s="1" t="str">
        <f t="shared" si="1"/>
        <v/>
      </c>
      <c r="G8691" s="1" t="str">
        <f t="shared" si="2"/>
        <v/>
      </c>
      <c r="J8691" s="1" t="str">
        <f t="shared" si="3"/>
        <v/>
      </c>
      <c r="K8691" s="1" t="str">
        <f t="shared" si="4"/>
        <v/>
      </c>
    </row>
    <row r="8692" hidden="1">
      <c r="F8692" s="1" t="str">
        <f t="shared" si="1"/>
        <v/>
      </c>
      <c r="G8692" s="1" t="str">
        <f t="shared" si="2"/>
        <v/>
      </c>
      <c r="J8692" s="1" t="str">
        <f t="shared" si="3"/>
        <v/>
      </c>
      <c r="K8692" s="1" t="str">
        <f t="shared" si="4"/>
        <v/>
      </c>
    </row>
    <row r="8693" hidden="1">
      <c r="F8693" s="1" t="str">
        <f t="shared" si="1"/>
        <v/>
      </c>
      <c r="G8693" s="1" t="str">
        <f t="shared" si="2"/>
        <v/>
      </c>
      <c r="J8693" s="1" t="str">
        <f t="shared" si="3"/>
        <v/>
      </c>
      <c r="K8693" s="1" t="str">
        <f t="shared" si="4"/>
        <v/>
      </c>
    </row>
    <row r="8694" hidden="1">
      <c r="F8694" s="1" t="str">
        <f t="shared" si="1"/>
        <v/>
      </c>
      <c r="G8694" s="1" t="str">
        <f t="shared" si="2"/>
        <v/>
      </c>
      <c r="J8694" s="1" t="str">
        <f t="shared" si="3"/>
        <v/>
      </c>
      <c r="K8694" s="1" t="str">
        <f t="shared" si="4"/>
        <v/>
      </c>
    </row>
    <row r="8695" hidden="1">
      <c r="F8695" s="1" t="str">
        <f t="shared" si="1"/>
        <v/>
      </c>
      <c r="G8695" s="1" t="str">
        <f t="shared" si="2"/>
        <v/>
      </c>
      <c r="J8695" s="1" t="str">
        <f t="shared" si="3"/>
        <v/>
      </c>
      <c r="K8695" s="1" t="str">
        <f t="shared" si="4"/>
        <v/>
      </c>
    </row>
    <row r="8696" hidden="1">
      <c r="F8696" s="1" t="str">
        <f t="shared" si="1"/>
        <v/>
      </c>
      <c r="G8696" s="1" t="str">
        <f t="shared" si="2"/>
        <v/>
      </c>
      <c r="J8696" s="1" t="str">
        <f t="shared" si="3"/>
        <v/>
      </c>
      <c r="K8696" s="1" t="str">
        <f t="shared" si="4"/>
        <v/>
      </c>
    </row>
    <row r="8697" hidden="1">
      <c r="F8697" s="1" t="str">
        <f t="shared" si="1"/>
        <v/>
      </c>
      <c r="G8697" s="1" t="str">
        <f t="shared" si="2"/>
        <v/>
      </c>
      <c r="J8697" s="1" t="str">
        <f t="shared" si="3"/>
        <v/>
      </c>
      <c r="K8697" s="1" t="str">
        <f t="shared" si="4"/>
        <v/>
      </c>
    </row>
    <row r="8698" hidden="1">
      <c r="F8698" s="1" t="str">
        <f t="shared" si="1"/>
        <v/>
      </c>
      <c r="G8698" s="1" t="str">
        <f t="shared" si="2"/>
        <v/>
      </c>
      <c r="J8698" s="1" t="str">
        <f t="shared" si="3"/>
        <v/>
      </c>
      <c r="K8698" s="1" t="str">
        <f t="shared" si="4"/>
        <v/>
      </c>
    </row>
    <row r="8699" hidden="1">
      <c r="F8699" s="1" t="str">
        <f t="shared" si="1"/>
        <v/>
      </c>
      <c r="G8699" s="1" t="str">
        <f t="shared" si="2"/>
        <v/>
      </c>
      <c r="J8699" s="1" t="str">
        <f t="shared" si="3"/>
        <v/>
      </c>
      <c r="K8699" s="1" t="str">
        <f t="shared" si="4"/>
        <v/>
      </c>
    </row>
    <row r="8700" hidden="1">
      <c r="F8700" s="1" t="str">
        <f t="shared" si="1"/>
        <v/>
      </c>
      <c r="G8700" s="1" t="str">
        <f t="shared" si="2"/>
        <v/>
      </c>
      <c r="J8700" s="1" t="str">
        <f t="shared" si="3"/>
        <v/>
      </c>
      <c r="K8700" s="1" t="str">
        <f t="shared" si="4"/>
        <v/>
      </c>
    </row>
    <row r="8701" hidden="1">
      <c r="F8701" s="1" t="str">
        <f t="shared" si="1"/>
        <v/>
      </c>
      <c r="G8701" s="1" t="str">
        <f t="shared" si="2"/>
        <v/>
      </c>
      <c r="J8701" s="1" t="str">
        <f t="shared" si="3"/>
        <v/>
      </c>
      <c r="K8701" s="1" t="str">
        <f t="shared" si="4"/>
        <v/>
      </c>
    </row>
    <row r="8702" hidden="1">
      <c r="F8702" s="1" t="str">
        <f t="shared" si="1"/>
        <v/>
      </c>
      <c r="G8702" s="1" t="str">
        <f t="shared" si="2"/>
        <v/>
      </c>
      <c r="J8702" s="1" t="str">
        <f t="shared" si="3"/>
        <v/>
      </c>
      <c r="K8702" s="1" t="str">
        <f t="shared" si="4"/>
        <v/>
      </c>
    </row>
    <row r="8703" hidden="1">
      <c r="F8703" s="1" t="str">
        <f t="shared" si="1"/>
        <v/>
      </c>
      <c r="G8703" s="1" t="str">
        <f t="shared" si="2"/>
        <v/>
      </c>
      <c r="J8703" s="1" t="str">
        <f t="shared" si="3"/>
        <v/>
      </c>
      <c r="K8703" s="1" t="str">
        <f t="shared" si="4"/>
        <v/>
      </c>
    </row>
    <row r="8704" hidden="1">
      <c r="F8704" s="1" t="str">
        <f t="shared" si="1"/>
        <v/>
      </c>
      <c r="G8704" s="1" t="str">
        <f t="shared" si="2"/>
        <v/>
      </c>
      <c r="J8704" s="1" t="str">
        <f t="shared" si="3"/>
        <v/>
      </c>
      <c r="K8704" s="1" t="str">
        <f t="shared" si="4"/>
        <v/>
      </c>
    </row>
    <row r="8705" hidden="1">
      <c r="F8705" s="1" t="str">
        <f t="shared" si="1"/>
        <v/>
      </c>
      <c r="G8705" s="1" t="str">
        <f t="shared" si="2"/>
        <v/>
      </c>
      <c r="J8705" s="1" t="str">
        <f t="shared" si="3"/>
        <v/>
      </c>
      <c r="K8705" s="1" t="str">
        <f t="shared" si="4"/>
        <v/>
      </c>
    </row>
    <row r="8706" hidden="1">
      <c r="F8706" s="1" t="str">
        <f t="shared" si="1"/>
        <v/>
      </c>
      <c r="G8706" s="1" t="str">
        <f t="shared" si="2"/>
        <v/>
      </c>
      <c r="J8706" s="1" t="str">
        <f t="shared" si="3"/>
        <v/>
      </c>
      <c r="K8706" s="1" t="str">
        <f t="shared" si="4"/>
        <v/>
      </c>
    </row>
    <row r="8707" hidden="1">
      <c r="F8707" s="1" t="str">
        <f t="shared" si="1"/>
        <v/>
      </c>
      <c r="G8707" s="1" t="str">
        <f t="shared" si="2"/>
        <v/>
      </c>
      <c r="J8707" s="1" t="str">
        <f t="shared" si="3"/>
        <v/>
      </c>
      <c r="K8707" s="1" t="str">
        <f t="shared" si="4"/>
        <v/>
      </c>
    </row>
    <row r="8708" hidden="1">
      <c r="F8708" s="1" t="str">
        <f t="shared" si="1"/>
        <v/>
      </c>
      <c r="G8708" s="1" t="str">
        <f t="shared" si="2"/>
        <v/>
      </c>
      <c r="J8708" s="1" t="str">
        <f t="shared" si="3"/>
        <v/>
      </c>
      <c r="K8708" s="1" t="str">
        <f t="shared" si="4"/>
        <v/>
      </c>
    </row>
    <row r="8709" hidden="1">
      <c r="F8709" s="1" t="str">
        <f t="shared" si="1"/>
        <v/>
      </c>
      <c r="G8709" s="1" t="str">
        <f t="shared" si="2"/>
        <v/>
      </c>
      <c r="J8709" s="1" t="str">
        <f t="shared" si="3"/>
        <v/>
      </c>
      <c r="K8709" s="1" t="str">
        <f t="shared" si="4"/>
        <v/>
      </c>
    </row>
    <row r="8710" hidden="1">
      <c r="F8710" s="1" t="str">
        <f t="shared" si="1"/>
        <v/>
      </c>
      <c r="G8710" s="1" t="str">
        <f t="shared" si="2"/>
        <v/>
      </c>
      <c r="J8710" s="1" t="str">
        <f t="shared" si="3"/>
        <v/>
      </c>
      <c r="K8710" s="1" t="str">
        <f t="shared" si="4"/>
        <v/>
      </c>
    </row>
    <row r="8711" hidden="1">
      <c r="F8711" s="1" t="str">
        <f t="shared" si="1"/>
        <v/>
      </c>
      <c r="G8711" s="1" t="str">
        <f t="shared" si="2"/>
        <v/>
      </c>
      <c r="J8711" s="1" t="str">
        <f t="shared" si="3"/>
        <v/>
      </c>
      <c r="K8711" s="1" t="str">
        <f t="shared" si="4"/>
        <v/>
      </c>
    </row>
    <row r="8712" hidden="1">
      <c r="F8712" s="1" t="str">
        <f t="shared" si="1"/>
        <v/>
      </c>
      <c r="G8712" s="1" t="str">
        <f t="shared" si="2"/>
        <v/>
      </c>
      <c r="J8712" s="1" t="str">
        <f t="shared" si="3"/>
        <v/>
      </c>
      <c r="K8712" s="1" t="str">
        <f t="shared" si="4"/>
        <v/>
      </c>
    </row>
    <row r="8713" hidden="1">
      <c r="F8713" s="1" t="str">
        <f t="shared" si="1"/>
        <v/>
      </c>
      <c r="G8713" s="1" t="str">
        <f t="shared" si="2"/>
        <v/>
      </c>
      <c r="J8713" s="1" t="str">
        <f t="shared" si="3"/>
        <v/>
      </c>
      <c r="K8713" s="1" t="str">
        <f t="shared" si="4"/>
        <v/>
      </c>
    </row>
    <row r="8714" hidden="1">
      <c r="F8714" s="1" t="str">
        <f t="shared" si="1"/>
        <v/>
      </c>
      <c r="G8714" s="1" t="str">
        <f t="shared" si="2"/>
        <v/>
      </c>
      <c r="J8714" s="1" t="str">
        <f t="shared" si="3"/>
        <v/>
      </c>
      <c r="K8714" s="1" t="str">
        <f t="shared" si="4"/>
        <v/>
      </c>
    </row>
    <row r="8715" hidden="1">
      <c r="F8715" s="1" t="str">
        <f t="shared" si="1"/>
        <v/>
      </c>
      <c r="G8715" s="1" t="str">
        <f t="shared" si="2"/>
        <v/>
      </c>
      <c r="J8715" s="1" t="str">
        <f t="shared" si="3"/>
        <v/>
      </c>
      <c r="K8715" s="1" t="str">
        <f t="shared" si="4"/>
        <v/>
      </c>
    </row>
    <row r="8716" hidden="1">
      <c r="F8716" s="1" t="str">
        <f t="shared" si="1"/>
        <v/>
      </c>
      <c r="G8716" s="1" t="str">
        <f t="shared" si="2"/>
        <v/>
      </c>
      <c r="J8716" s="1" t="str">
        <f t="shared" si="3"/>
        <v/>
      </c>
      <c r="K8716" s="1" t="str">
        <f t="shared" si="4"/>
        <v/>
      </c>
    </row>
    <row r="8717" hidden="1">
      <c r="F8717" s="1" t="str">
        <f t="shared" si="1"/>
        <v/>
      </c>
      <c r="G8717" s="1" t="str">
        <f t="shared" si="2"/>
        <v/>
      </c>
      <c r="J8717" s="1" t="str">
        <f t="shared" si="3"/>
        <v/>
      </c>
      <c r="K8717" s="1" t="str">
        <f t="shared" si="4"/>
        <v/>
      </c>
    </row>
    <row r="8718" hidden="1">
      <c r="F8718" s="1" t="str">
        <f t="shared" si="1"/>
        <v/>
      </c>
      <c r="G8718" s="1" t="str">
        <f t="shared" si="2"/>
        <v/>
      </c>
      <c r="J8718" s="1" t="str">
        <f t="shared" si="3"/>
        <v/>
      </c>
      <c r="K8718" s="1" t="str">
        <f t="shared" si="4"/>
        <v/>
      </c>
    </row>
    <row r="8719" hidden="1">
      <c r="F8719" s="1" t="str">
        <f t="shared" si="1"/>
        <v/>
      </c>
      <c r="G8719" s="1" t="str">
        <f t="shared" si="2"/>
        <v/>
      </c>
      <c r="J8719" s="1" t="str">
        <f t="shared" si="3"/>
        <v/>
      </c>
      <c r="K8719" s="1" t="str">
        <f t="shared" si="4"/>
        <v/>
      </c>
    </row>
    <row r="8720" hidden="1">
      <c r="F8720" s="1" t="str">
        <f t="shared" si="1"/>
        <v/>
      </c>
      <c r="G8720" s="1" t="str">
        <f t="shared" si="2"/>
        <v/>
      </c>
      <c r="J8720" s="1" t="str">
        <f t="shared" si="3"/>
        <v/>
      </c>
      <c r="K8720" s="1" t="str">
        <f t="shared" si="4"/>
        <v/>
      </c>
    </row>
    <row r="8721" hidden="1">
      <c r="F8721" s="1" t="str">
        <f t="shared" si="1"/>
        <v/>
      </c>
      <c r="G8721" s="1" t="str">
        <f t="shared" si="2"/>
        <v/>
      </c>
      <c r="J8721" s="1" t="str">
        <f t="shared" si="3"/>
        <v/>
      </c>
      <c r="K8721" s="1" t="str">
        <f t="shared" si="4"/>
        <v/>
      </c>
    </row>
    <row r="8722" hidden="1">
      <c r="F8722" s="1" t="str">
        <f t="shared" si="1"/>
        <v/>
      </c>
      <c r="G8722" s="1" t="str">
        <f t="shared" si="2"/>
        <v/>
      </c>
      <c r="J8722" s="1" t="str">
        <f t="shared" si="3"/>
        <v/>
      </c>
      <c r="K8722" s="1" t="str">
        <f t="shared" si="4"/>
        <v/>
      </c>
    </row>
    <row r="8723" hidden="1">
      <c r="F8723" s="1" t="str">
        <f t="shared" si="1"/>
        <v/>
      </c>
      <c r="G8723" s="1" t="str">
        <f t="shared" si="2"/>
        <v/>
      </c>
      <c r="J8723" s="1" t="str">
        <f t="shared" si="3"/>
        <v/>
      </c>
      <c r="K8723" s="1" t="str">
        <f t="shared" si="4"/>
        <v/>
      </c>
    </row>
    <row r="8724" hidden="1">
      <c r="F8724" s="1" t="str">
        <f t="shared" si="1"/>
        <v/>
      </c>
      <c r="G8724" s="1" t="str">
        <f t="shared" si="2"/>
        <v/>
      </c>
      <c r="J8724" s="1" t="str">
        <f t="shared" si="3"/>
        <v/>
      </c>
      <c r="K8724" s="1" t="str">
        <f t="shared" si="4"/>
        <v/>
      </c>
    </row>
    <row r="8725" hidden="1">
      <c r="F8725" s="1" t="str">
        <f t="shared" si="1"/>
        <v/>
      </c>
      <c r="G8725" s="1" t="str">
        <f t="shared" si="2"/>
        <v/>
      </c>
      <c r="J8725" s="1" t="str">
        <f t="shared" si="3"/>
        <v/>
      </c>
      <c r="K8725" s="1" t="str">
        <f t="shared" si="4"/>
        <v/>
      </c>
    </row>
    <row r="8726" hidden="1">
      <c r="F8726" s="1" t="str">
        <f t="shared" si="1"/>
        <v/>
      </c>
      <c r="G8726" s="1" t="str">
        <f t="shared" si="2"/>
        <v/>
      </c>
      <c r="J8726" s="1" t="str">
        <f t="shared" si="3"/>
        <v/>
      </c>
      <c r="K8726" s="1" t="str">
        <f t="shared" si="4"/>
        <v/>
      </c>
    </row>
    <row r="8727" hidden="1">
      <c r="F8727" s="1" t="str">
        <f t="shared" si="1"/>
        <v/>
      </c>
      <c r="G8727" s="1" t="str">
        <f t="shared" si="2"/>
        <v/>
      </c>
      <c r="J8727" s="1" t="str">
        <f t="shared" si="3"/>
        <v/>
      </c>
      <c r="K8727" s="1" t="str">
        <f t="shared" si="4"/>
        <v/>
      </c>
    </row>
    <row r="8728" hidden="1">
      <c r="F8728" s="1" t="str">
        <f t="shared" si="1"/>
        <v/>
      </c>
      <c r="G8728" s="1" t="str">
        <f t="shared" si="2"/>
        <v/>
      </c>
      <c r="J8728" s="1" t="str">
        <f t="shared" si="3"/>
        <v/>
      </c>
      <c r="K8728" s="1" t="str">
        <f t="shared" si="4"/>
        <v/>
      </c>
    </row>
    <row r="8729" hidden="1">
      <c r="F8729" s="1" t="str">
        <f t="shared" si="1"/>
        <v/>
      </c>
      <c r="G8729" s="1" t="str">
        <f t="shared" si="2"/>
        <v/>
      </c>
      <c r="J8729" s="1" t="str">
        <f t="shared" si="3"/>
        <v/>
      </c>
      <c r="K8729" s="1" t="str">
        <f t="shared" si="4"/>
        <v/>
      </c>
    </row>
    <row r="8730" hidden="1">
      <c r="F8730" s="1" t="str">
        <f t="shared" si="1"/>
        <v/>
      </c>
      <c r="G8730" s="1" t="str">
        <f t="shared" si="2"/>
        <v/>
      </c>
      <c r="J8730" s="1" t="str">
        <f t="shared" si="3"/>
        <v/>
      </c>
      <c r="K8730" s="1" t="str">
        <f t="shared" si="4"/>
        <v/>
      </c>
    </row>
    <row r="8731" hidden="1">
      <c r="F8731" s="1" t="str">
        <f t="shared" si="1"/>
        <v/>
      </c>
      <c r="G8731" s="1" t="str">
        <f t="shared" si="2"/>
        <v/>
      </c>
      <c r="J8731" s="1" t="str">
        <f t="shared" si="3"/>
        <v/>
      </c>
      <c r="K8731" s="1" t="str">
        <f t="shared" si="4"/>
        <v/>
      </c>
    </row>
    <row r="8732" hidden="1">
      <c r="F8732" s="1" t="str">
        <f t="shared" si="1"/>
        <v/>
      </c>
      <c r="G8732" s="1" t="str">
        <f t="shared" si="2"/>
        <v/>
      </c>
      <c r="J8732" s="1" t="str">
        <f t="shared" si="3"/>
        <v/>
      </c>
      <c r="K8732" s="1" t="str">
        <f t="shared" si="4"/>
        <v/>
      </c>
    </row>
    <row r="8733" hidden="1">
      <c r="F8733" s="1" t="str">
        <f t="shared" si="1"/>
        <v/>
      </c>
      <c r="G8733" s="1" t="str">
        <f t="shared" si="2"/>
        <v/>
      </c>
      <c r="J8733" s="1" t="str">
        <f t="shared" si="3"/>
        <v/>
      </c>
      <c r="K8733" s="1" t="str">
        <f t="shared" si="4"/>
        <v/>
      </c>
    </row>
    <row r="8734" hidden="1">
      <c r="F8734" s="1" t="str">
        <f t="shared" si="1"/>
        <v/>
      </c>
      <c r="G8734" s="1" t="str">
        <f t="shared" si="2"/>
        <v/>
      </c>
      <c r="J8734" s="1" t="str">
        <f t="shared" si="3"/>
        <v/>
      </c>
      <c r="K8734" s="1" t="str">
        <f t="shared" si="4"/>
        <v/>
      </c>
    </row>
    <row r="8735" hidden="1">
      <c r="F8735" s="1" t="str">
        <f t="shared" si="1"/>
        <v/>
      </c>
      <c r="G8735" s="1" t="str">
        <f t="shared" si="2"/>
        <v/>
      </c>
      <c r="J8735" s="1" t="str">
        <f t="shared" si="3"/>
        <v/>
      </c>
      <c r="K8735" s="1" t="str">
        <f t="shared" si="4"/>
        <v/>
      </c>
    </row>
    <row r="8736" hidden="1">
      <c r="F8736" s="1" t="str">
        <f t="shared" si="1"/>
        <v/>
      </c>
      <c r="G8736" s="1" t="str">
        <f t="shared" si="2"/>
        <v/>
      </c>
      <c r="J8736" s="1" t="str">
        <f t="shared" si="3"/>
        <v/>
      </c>
      <c r="K8736" s="1" t="str">
        <f t="shared" si="4"/>
        <v/>
      </c>
    </row>
    <row r="8737" hidden="1">
      <c r="F8737" s="1" t="str">
        <f t="shared" si="1"/>
        <v/>
      </c>
      <c r="G8737" s="1" t="str">
        <f t="shared" si="2"/>
        <v/>
      </c>
      <c r="J8737" s="1" t="str">
        <f t="shared" si="3"/>
        <v/>
      </c>
      <c r="K8737" s="1" t="str">
        <f t="shared" si="4"/>
        <v/>
      </c>
    </row>
    <row r="8738" hidden="1">
      <c r="F8738" s="1" t="str">
        <f t="shared" si="1"/>
        <v/>
      </c>
      <c r="G8738" s="1" t="str">
        <f t="shared" si="2"/>
        <v/>
      </c>
      <c r="J8738" s="1" t="str">
        <f t="shared" si="3"/>
        <v/>
      </c>
      <c r="K8738" s="1" t="str">
        <f t="shared" si="4"/>
        <v/>
      </c>
    </row>
    <row r="8739" hidden="1">
      <c r="F8739" s="1" t="str">
        <f t="shared" si="1"/>
        <v/>
      </c>
      <c r="G8739" s="1" t="str">
        <f t="shared" si="2"/>
        <v/>
      </c>
      <c r="J8739" s="1" t="str">
        <f t="shared" si="3"/>
        <v/>
      </c>
      <c r="K8739" s="1" t="str">
        <f t="shared" si="4"/>
        <v/>
      </c>
    </row>
    <row r="8740" hidden="1">
      <c r="F8740" s="1" t="str">
        <f t="shared" si="1"/>
        <v/>
      </c>
      <c r="G8740" s="1" t="str">
        <f t="shared" si="2"/>
        <v/>
      </c>
      <c r="J8740" s="1" t="str">
        <f t="shared" si="3"/>
        <v/>
      </c>
      <c r="K8740" s="1" t="str">
        <f t="shared" si="4"/>
        <v/>
      </c>
    </row>
    <row r="8741" hidden="1">
      <c r="F8741" s="1" t="str">
        <f t="shared" si="1"/>
        <v/>
      </c>
      <c r="G8741" s="1" t="str">
        <f t="shared" si="2"/>
        <v/>
      </c>
      <c r="J8741" s="1" t="str">
        <f t="shared" si="3"/>
        <v/>
      </c>
      <c r="K8741" s="1" t="str">
        <f t="shared" si="4"/>
        <v/>
      </c>
    </row>
    <row r="8742" hidden="1">
      <c r="F8742" s="1" t="str">
        <f t="shared" si="1"/>
        <v/>
      </c>
      <c r="G8742" s="1" t="str">
        <f t="shared" si="2"/>
        <v/>
      </c>
      <c r="J8742" s="1" t="str">
        <f t="shared" si="3"/>
        <v/>
      </c>
      <c r="K8742" s="1" t="str">
        <f t="shared" si="4"/>
        <v/>
      </c>
    </row>
    <row r="8743" hidden="1">
      <c r="F8743" s="1" t="str">
        <f t="shared" si="1"/>
        <v/>
      </c>
      <c r="G8743" s="1" t="str">
        <f t="shared" si="2"/>
        <v/>
      </c>
      <c r="J8743" s="1" t="str">
        <f t="shared" si="3"/>
        <v/>
      </c>
      <c r="K8743" s="1" t="str">
        <f t="shared" si="4"/>
        <v/>
      </c>
    </row>
    <row r="8744" hidden="1">
      <c r="F8744" s="1" t="str">
        <f t="shared" si="1"/>
        <v/>
      </c>
      <c r="G8744" s="1" t="str">
        <f t="shared" si="2"/>
        <v/>
      </c>
      <c r="J8744" s="1" t="str">
        <f t="shared" si="3"/>
        <v/>
      </c>
      <c r="K8744" s="1" t="str">
        <f t="shared" si="4"/>
        <v/>
      </c>
    </row>
    <row r="8745" hidden="1">
      <c r="F8745" s="1" t="str">
        <f t="shared" si="1"/>
        <v/>
      </c>
      <c r="G8745" s="1" t="str">
        <f t="shared" si="2"/>
        <v/>
      </c>
      <c r="J8745" s="1" t="str">
        <f t="shared" si="3"/>
        <v/>
      </c>
      <c r="K8745" s="1" t="str">
        <f t="shared" si="4"/>
        <v/>
      </c>
    </row>
    <row r="8746" hidden="1">
      <c r="F8746" s="1" t="str">
        <f t="shared" si="1"/>
        <v/>
      </c>
      <c r="G8746" s="1" t="str">
        <f t="shared" si="2"/>
        <v/>
      </c>
      <c r="J8746" s="1" t="str">
        <f t="shared" si="3"/>
        <v/>
      </c>
      <c r="K8746" s="1" t="str">
        <f t="shared" si="4"/>
        <v/>
      </c>
    </row>
    <row r="8747" hidden="1">
      <c r="F8747" s="1" t="str">
        <f t="shared" si="1"/>
        <v/>
      </c>
      <c r="G8747" s="1" t="str">
        <f t="shared" si="2"/>
        <v/>
      </c>
      <c r="J8747" s="1" t="str">
        <f t="shared" si="3"/>
        <v/>
      </c>
      <c r="K8747" s="1" t="str">
        <f t="shared" si="4"/>
        <v/>
      </c>
    </row>
    <row r="8748" hidden="1">
      <c r="F8748" s="1" t="str">
        <f t="shared" si="1"/>
        <v/>
      </c>
      <c r="G8748" s="1" t="str">
        <f t="shared" si="2"/>
        <v/>
      </c>
      <c r="J8748" s="1" t="str">
        <f t="shared" si="3"/>
        <v/>
      </c>
      <c r="K8748" s="1" t="str">
        <f t="shared" si="4"/>
        <v/>
      </c>
    </row>
    <row r="8749" hidden="1">
      <c r="F8749" s="1" t="str">
        <f t="shared" si="1"/>
        <v/>
      </c>
      <c r="G8749" s="1" t="str">
        <f t="shared" si="2"/>
        <v/>
      </c>
      <c r="J8749" s="1" t="str">
        <f t="shared" si="3"/>
        <v/>
      </c>
      <c r="K8749" s="1" t="str">
        <f t="shared" si="4"/>
        <v/>
      </c>
    </row>
    <row r="8750" hidden="1">
      <c r="F8750" s="1" t="str">
        <f t="shared" si="1"/>
        <v/>
      </c>
      <c r="G8750" s="1" t="str">
        <f t="shared" si="2"/>
        <v/>
      </c>
      <c r="J8750" s="1" t="str">
        <f t="shared" si="3"/>
        <v/>
      </c>
      <c r="K8750" s="1" t="str">
        <f t="shared" si="4"/>
        <v/>
      </c>
    </row>
    <row r="8751" hidden="1">
      <c r="F8751" s="1" t="str">
        <f t="shared" si="1"/>
        <v/>
      </c>
      <c r="G8751" s="1" t="str">
        <f t="shared" si="2"/>
        <v/>
      </c>
      <c r="J8751" s="1" t="str">
        <f t="shared" si="3"/>
        <v/>
      </c>
      <c r="K8751" s="1" t="str">
        <f t="shared" si="4"/>
        <v/>
      </c>
    </row>
    <row r="8752" hidden="1">
      <c r="F8752" s="1" t="str">
        <f t="shared" si="1"/>
        <v/>
      </c>
      <c r="G8752" s="1" t="str">
        <f t="shared" si="2"/>
        <v/>
      </c>
      <c r="J8752" s="1" t="str">
        <f t="shared" si="3"/>
        <v/>
      </c>
      <c r="K8752" s="1" t="str">
        <f t="shared" si="4"/>
        <v/>
      </c>
    </row>
    <row r="8753" hidden="1">
      <c r="F8753" s="1" t="str">
        <f t="shared" si="1"/>
        <v/>
      </c>
      <c r="G8753" s="1" t="str">
        <f t="shared" si="2"/>
        <v/>
      </c>
      <c r="J8753" s="1" t="str">
        <f t="shared" si="3"/>
        <v/>
      </c>
      <c r="K8753" s="1" t="str">
        <f t="shared" si="4"/>
        <v/>
      </c>
    </row>
    <row r="8754" hidden="1">
      <c r="F8754" s="1" t="str">
        <f t="shared" si="1"/>
        <v/>
      </c>
      <c r="G8754" s="1" t="str">
        <f t="shared" si="2"/>
        <v/>
      </c>
      <c r="J8754" s="1" t="str">
        <f t="shared" si="3"/>
        <v/>
      </c>
      <c r="K8754" s="1" t="str">
        <f t="shared" si="4"/>
        <v/>
      </c>
    </row>
    <row r="8755" hidden="1">
      <c r="F8755" s="1" t="str">
        <f t="shared" si="1"/>
        <v/>
      </c>
      <c r="G8755" s="1" t="str">
        <f t="shared" si="2"/>
        <v/>
      </c>
      <c r="J8755" s="1" t="str">
        <f t="shared" si="3"/>
        <v/>
      </c>
      <c r="K8755" s="1" t="str">
        <f t="shared" si="4"/>
        <v/>
      </c>
    </row>
    <row r="8756" hidden="1">
      <c r="F8756" s="1" t="str">
        <f t="shared" si="1"/>
        <v/>
      </c>
      <c r="G8756" s="1" t="str">
        <f t="shared" si="2"/>
        <v/>
      </c>
      <c r="J8756" s="1" t="str">
        <f t="shared" si="3"/>
        <v/>
      </c>
      <c r="K8756" s="1" t="str">
        <f t="shared" si="4"/>
        <v/>
      </c>
    </row>
    <row r="8757" hidden="1">
      <c r="F8757" s="1" t="str">
        <f t="shared" si="1"/>
        <v/>
      </c>
      <c r="G8757" s="1" t="str">
        <f t="shared" si="2"/>
        <v/>
      </c>
      <c r="J8757" s="1" t="str">
        <f t="shared" si="3"/>
        <v/>
      </c>
      <c r="K8757" s="1" t="str">
        <f t="shared" si="4"/>
        <v/>
      </c>
    </row>
    <row r="8758" hidden="1">
      <c r="F8758" s="1" t="str">
        <f t="shared" si="1"/>
        <v/>
      </c>
      <c r="G8758" s="1" t="str">
        <f t="shared" si="2"/>
        <v/>
      </c>
      <c r="J8758" s="1" t="str">
        <f t="shared" si="3"/>
        <v/>
      </c>
      <c r="K8758" s="1" t="str">
        <f t="shared" si="4"/>
        <v/>
      </c>
    </row>
    <row r="8759" hidden="1">
      <c r="F8759" s="1" t="str">
        <f t="shared" si="1"/>
        <v/>
      </c>
      <c r="G8759" s="1" t="str">
        <f t="shared" si="2"/>
        <v/>
      </c>
      <c r="J8759" s="1" t="str">
        <f t="shared" si="3"/>
        <v/>
      </c>
      <c r="K8759" s="1" t="str">
        <f t="shared" si="4"/>
        <v/>
      </c>
    </row>
    <row r="8760" hidden="1">
      <c r="F8760" s="1" t="str">
        <f t="shared" si="1"/>
        <v/>
      </c>
      <c r="G8760" s="1" t="str">
        <f t="shared" si="2"/>
        <v/>
      </c>
      <c r="J8760" s="1" t="str">
        <f t="shared" si="3"/>
        <v/>
      </c>
      <c r="K8760" s="1" t="str">
        <f t="shared" si="4"/>
        <v/>
      </c>
    </row>
    <row r="8761" hidden="1">
      <c r="F8761" s="1" t="str">
        <f t="shared" si="1"/>
        <v/>
      </c>
      <c r="G8761" s="1" t="str">
        <f t="shared" si="2"/>
        <v/>
      </c>
      <c r="J8761" s="1" t="str">
        <f t="shared" si="3"/>
        <v/>
      </c>
      <c r="K8761" s="1" t="str">
        <f t="shared" si="4"/>
        <v/>
      </c>
    </row>
    <row r="8762" hidden="1">
      <c r="F8762" s="1" t="str">
        <f t="shared" si="1"/>
        <v/>
      </c>
      <c r="G8762" s="1" t="str">
        <f t="shared" si="2"/>
        <v/>
      </c>
      <c r="J8762" s="1" t="str">
        <f t="shared" si="3"/>
        <v/>
      </c>
      <c r="K8762" s="1" t="str">
        <f t="shared" si="4"/>
        <v/>
      </c>
    </row>
    <row r="8763" hidden="1">
      <c r="F8763" s="1" t="str">
        <f t="shared" si="1"/>
        <v/>
      </c>
      <c r="G8763" s="1" t="str">
        <f t="shared" si="2"/>
        <v/>
      </c>
      <c r="J8763" s="1" t="str">
        <f t="shared" si="3"/>
        <v/>
      </c>
      <c r="K8763" s="1" t="str">
        <f t="shared" si="4"/>
        <v/>
      </c>
    </row>
    <row r="8764" hidden="1">
      <c r="F8764" s="1" t="str">
        <f t="shared" si="1"/>
        <v/>
      </c>
      <c r="G8764" s="1" t="str">
        <f t="shared" si="2"/>
        <v/>
      </c>
      <c r="J8764" s="1" t="str">
        <f t="shared" si="3"/>
        <v/>
      </c>
      <c r="K8764" s="1" t="str">
        <f t="shared" si="4"/>
        <v/>
      </c>
    </row>
    <row r="8765" hidden="1">
      <c r="F8765" s="1" t="str">
        <f t="shared" si="1"/>
        <v/>
      </c>
      <c r="G8765" s="1" t="str">
        <f t="shared" si="2"/>
        <v/>
      </c>
      <c r="J8765" s="1" t="str">
        <f t="shared" si="3"/>
        <v/>
      </c>
      <c r="K8765" s="1" t="str">
        <f t="shared" si="4"/>
        <v/>
      </c>
    </row>
    <row r="8766" hidden="1">
      <c r="F8766" s="1" t="str">
        <f t="shared" si="1"/>
        <v/>
      </c>
      <c r="G8766" s="1" t="str">
        <f t="shared" si="2"/>
        <v/>
      </c>
      <c r="J8766" s="1" t="str">
        <f t="shared" si="3"/>
        <v/>
      </c>
      <c r="K8766" s="1" t="str">
        <f t="shared" si="4"/>
        <v/>
      </c>
    </row>
    <row r="8767" hidden="1">
      <c r="F8767" s="1" t="str">
        <f t="shared" si="1"/>
        <v/>
      </c>
      <c r="G8767" s="1" t="str">
        <f t="shared" si="2"/>
        <v/>
      </c>
      <c r="J8767" s="1" t="str">
        <f t="shared" si="3"/>
        <v/>
      </c>
      <c r="K8767" s="1" t="str">
        <f t="shared" si="4"/>
        <v/>
      </c>
    </row>
    <row r="8768" hidden="1">
      <c r="F8768" s="1" t="str">
        <f t="shared" si="1"/>
        <v/>
      </c>
      <c r="G8768" s="1" t="str">
        <f t="shared" si="2"/>
        <v/>
      </c>
      <c r="J8768" s="1" t="str">
        <f t="shared" si="3"/>
        <v/>
      </c>
      <c r="K8768" s="1" t="str">
        <f t="shared" si="4"/>
        <v/>
      </c>
    </row>
    <row r="8769" hidden="1">
      <c r="F8769" s="1" t="str">
        <f t="shared" si="1"/>
        <v/>
      </c>
      <c r="G8769" s="1" t="str">
        <f t="shared" si="2"/>
        <v/>
      </c>
      <c r="J8769" s="1" t="str">
        <f t="shared" si="3"/>
        <v/>
      </c>
      <c r="K8769" s="1" t="str">
        <f t="shared" si="4"/>
        <v/>
      </c>
    </row>
    <row r="8770" hidden="1">
      <c r="F8770" s="1" t="str">
        <f t="shared" si="1"/>
        <v/>
      </c>
      <c r="G8770" s="1" t="str">
        <f t="shared" si="2"/>
        <v/>
      </c>
      <c r="J8770" s="1" t="str">
        <f t="shared" si="3"/>
        <v/>
      </c>
      <c r="K8770" s="1" t="str">
        <f t="shared" si="4"/>
        <v/>
      </c>
    </row>
    <row r="8771" hidden="1">
      <c r="F8771" s="1" t="str">
        <f t="shared" si="1"/>
        <v/>
      </c>
      <c r="G8771" s="1" t="str">
        <f t="shared" si="2"/>
        <v/>
      </c>
      <c r="J8771" s="1" t="str">
        <f t="shared" si="3"/>
        <v/>
      </c>
      <c r="K8771" s="1" t="str">
        <f t="shared" si="4"/>
        <v/>
      </c>
    </row>
    <row r="8772" hidden="1">
      <c r="F8772" s="1" t="str">
        <f t="shared" si="1"/>
        <v/>
      </c>
      <c r="G8772" s="1" t="str">
        <f t="shared" si="2"/>
        <v/>
      </c>
      <c r="J8772" s="1" t="str">
        <f t="shared" si="3"/>
        <v/>
      </c>
      <c r="K8772" s="1" t="str">
        <f t="shared" si="4"/>
        <v/>
      </c>
    </row>
    <row r="8773" hidden="1">
      <c r="F8773" s="1" t="str">
        <f t="shared" si="1"/>
        <v/>
      </c>
      <c r="G8773" s="1" t="str">
        <f t="shared" si="2"/>
        <v/>
      </c>
      <c r="J8773" s="1" t="str">
        <f t="shared" si="3"/>
        <v/>
      </c>
      <c r="K8773" s="1" t="str">
        <f t="shared" si="4"/>
        <v/>
      </c>
    </row>
    <row r="8774" hidden="1">
      <c r="F8774" s="1" t="str">
        <f t="shared" si="1"/>
        <v/>
      </c>
      <c r="G8774" s="1" t="str">
        <f t="shared" si="2"/>
        <v/>
      </c>
      <c r="J8774" s="1" t="str">
        <f t="shared" si="3"/>
        <v/>
      </c>
      <c r="K8774" s="1" t="str">
        <f t="shared" si="4"/>
        <v/>
      </c>
    </row>
    <row r="8775" hidden="1">
      <c r="F8775" s="1" t="str">
        <f t="shared" si="1"/>
        <v/>
      </c>
      <c r="G8775" s="1" t="str">
        <f t="shared" si="2"/>
        <v/>
      </c>
      <c r="J8775" s="1" t="str">
        <f t="shared" si="3"/>
        <v/>
      </c>
      <c r="K8775" s="1" t="str">
        <f t="shared" si="4"/>
        <v/>
      </c>
    </row>
    <row r="8776" hidden="1">
      <c r="F8776" s="1" t="str">
        <f t="shared" si="1"/>
        <v/>
      </c>
      <c r="G8776" s="1" t="str">
        <f t="shared" si="2"/>
        <v/>
      </c>
      <c r="J8776" s="1" t="str">
        <f t="shared" si="3"/>
        <v/>
      </c>
      <c r="K8776" s="1" t="str">
        <f t="shared" si="4"/>
        <v/>
      </c>
    </row>
    <row r="8777" hidden="1">
      <c r="F8777" s="1" t="str">
        <f t="shared" si="1"/>
        <v/>
      </c>
      <c r="G8777" s="1" t="str">
        <f t="shared" si="2"/>
        <v/>
      </c>
      <c r="J8777" s="1" t="str">
        <f t="shared" si="3"/>
        <v/>
      </c>
      <c r="K8777" s="1" t="str">
        <f t="shared" si="4"/>
        <v/>
      </c>
    </row>
    <row r="8778" hidden="1">
      <c r="F8778" s="1" t="str">
        <f t="shared" si="1"/>
        <v/>
      </c>
      <c r="G8778" s="1" t="str">
        <f t="shared" si="2"/>
        <v/>
      </c>
      <c r="J8778" s="1" t="str">
        <f t="shared" si="3"/>
        <v/>
      </c>
      <c r="K8778" s="1" t="str">
        <f t="shared" si="4"/>
        <v/>
      </c>
    </row>
    <row r="8779" hidden="1">
      <c r="F8779" s="1" t="str">
        <f t="shared" si="1"/>
        <v/>
      </c>
      <c r="G8779" s="1" t="str">
        <f t="shared" si="2"/>
        <v/>
      </c>
      <c r="J8779" s="1" t="str">
        <f t="shared" si="3"/>
        <v/>
      </c>
      <c r="K8779" s="1" t="str">
        <f t="shared" si="4"/>
        <v/>
      </c>
    </row>
    <row r="8780" hidden="1">
      <c r="F8780" s="1" t="str">
        <f t="shared" si="1"/>
        <v/>
      </c>
      <c r="G8780" s="1" t="str">
        <f t="shared" si="2"/>
        <v/>
      </c>
      <c r="J8780" s="1" t="str">
        <f t="shared" si="3"/>
        <v/>
      </c>
      <c r="K8780" s="1" t="str">
        <f t="shared" si="4"/>
        <v/>
      </c>
    </row>
    <row r="8781" hidden="1">
      <c r="F8781" s="1" t="str">
        <f t="shared" si="1"/>
        <v/>
      </c>
      <c r="G8781" s="1" t="str">
        <f t="shared" si="2"/>
        <v/>
      </c>
      <c r="J8781" s="1" t="str">
        <f t="shared" si="3"/>
        <v/>
      </c>
      <c r="K8781" s="1" t="str">
        <f t="shared" si="4"/>
        <v/>
      </c>
    </row>
    <row r="8782" hidden="1">
      <c r="F8782" s="1" t="str">
        <f t="shared" si="1"/>
        <v/>
      </c>
      <c r="G8782" s="1" t="str">
        <f t="shared" si="2"/>
        <v/>
      </c>
      <c r="J8782" s="1" t="str">
        <f t="shared" si="3"/>
        <v/>
      </c>
      <c r="K8782" s="1" t="str">
        <f t="shared" si="4"/>
        <v/>
      </c>
    </row>
    <row r="8783" hidden="1">
      <c r="F8783" s="1" t="str">
        <f t="shared" si="1"/>
        <v/>
      </c>
      <c r="G8783" s="1" t="str">
        <f t="shared" si="2"/>
        <v/>
      </c>
      <c r="J8783" s="1" t="str">
        <f t="shared" si="3"/>
        <v/>
      </c>
      <c r="K8783" s="1" t="str">
        <f t="shared" si="4"/>
        <v/>
      </c>
    </row>
    <row r="8784" hidden="1">
      <c r="F8784" s="1" t="str">
        <f t="shared" si="1"/>
        <v/>
      </c>
      <c r="G8784" s="1" t="str">
        <f t="shared" si="2"/>
        <v/>
      </c>
      <c r="J8784" s="1" t="str">
        <f t="shared" si="3"/>
        <v/>
      </c>
      <c r="K8784" s="1" t="str">
        <f t="shared" si="4"/>
        <v/>
      </c>
    </row>
    <row r="8785" hidden="1">
      <c r="F8785" s="1" t="str">
        <f t="shared" si="1"/>
        <v/>
      </c>
      <c r="G8785" s="1" t="str">
        <f t="shared" si="2"/>
        <v/>
      </c>
      <c r="J8785" s="1" t="str">
        <f t="shared" si="3"/>
        <v/>
      </c>
      <c r="K8785" s="1" t="str">
        <f t="shared" si="4"/>
        <v/>
      </c>
    </row>
    <row r="8786" hidden="1">
      <c r="F8786" s="1" t="str">
        <f t="shared" si="1"/>
        <v/>
      </c>
      <c r="G8786" s="1" t="str">
        <f t="shared" si="2"/>
        <v/>
      </c>
      <c r="J8786" s="1" t="str">
        <f t="shared" si="3"/>
        <v/>
      </c>
      <c r="K8786" s="1" t="str">
        <f t="shared" si="4"/>
        <v/>
      </c>
    </row>
    <row r="8787" hidden="1">
      <c r="F8787" s="1" t="str">
        <f t="shared" si="1"/>
        <v/>
      </c>
      <c r="G8787" s="1" t="str">
        <f t="shared" si="2"/>
        <v/>
      </c>
      <c r="J8787" s="1" t="str">
        <f t="shared" si="3"/>
        <v/>
      </c>
      <c r="K8787" s="1" t="str">
        <f t="shared" si="4"/>
        <v/>
      </c>
    </row>
    <row r="8788" hidden="1">
      <c r="F8788" s="1" t="str">
        <f t="shared" si="1"/>
        <v/>
      </c>
      <c r="G8788" s="1" t="str">
        <f t="shared" si="2"/>
        <v/>
      </c>
      <c r="J8788" s="1" t="str">
        <f t="shared" si="3"/>
        <v/>
      </c>
      <c r="K8788" s="1" t="str">
        <f t="shared" si="4"/>
        <v/>
      </c>
    </row>
    <row r="8789" hidden="1">
      <c r="F8789" s="1" t="str">
        <f t="shared" si="1"/>
        <v/>
      </c>
      <c r="G8789" s="1" t="str">
        <f t="shared" si="2"/>
        <v/>
      </c>
      <c r="J8789" s="1" t="str">
        <f t="shared" si="3"/>
        <v/>
      </c>
      <c r="K8789" s="1" t="str">
        <f t="shared" si="4"/>
        <v/>
      </c>
    </row>
    <row r="8790" hidden="1">
      <c r="F8790" s="1" t="str">
        <f t="shared" si="1"/>
        <v/>
      </c>
      <c r="G8790" s="1" t="str">
        <f t="shared" si="2"/>
        <v/>
      </c>
      <c r="J8790" s="1" t="str">
        <f t="shared" si="3"/>
        <v/>
      </c>
      <c r="K8790" s="1" t="str">
        <f t="shared" si="4"/>
        <v/>
      </c>
    </row>
    <row r="8791" hidden="1">
      <c r="F8791" s="1" t="str">
        <f t="shared" si="1"/>
        <v/>
      </c>
      <c r="G8791" s="1" t="str">
        <f t="shared" si="2"/>
        <v/>
      </c>
      <c r="J8791" s="1" t="str">
        <f t="shared" si="3"/>
        <v/>
      </c>
      <c r="K8791" s="1" t="str">
        <f t="shared" si="4"/>
        <v/>
      </c>
    </row>
    <row r="8792" hidden="1">
      <c r="F8792" s="1" t="str">
        <f t="shared" si="1"/>
        <v/>
      </c>
      <c r="G8792" s="1" t="str">
        <f t="shared" si="2"/>
        <v/>
      </c>
      <c r="J8792" s="1" t="str">
        <f t="shared" si="3"/>
        <v/>
      </c>
      <c r="K8792" s="1" t="str">
        <f t="shared" si="4"/>
        <v/>
      </c>
    </row>
    <row r="8793" hidden="1">
      <c r="F8793" s="1" t="str">
        <f t="shared" si="1"/>
        <v/>
      </c>
      <c r="G8793" s="1" t="str">
        <f t="shared" si="2"/>
        <v/>
      </c>
      <c r="J8793" s="1" t="str">
        <f t="shared" si="3"/>
        <v/>
      </c>
      <c r="K8793" s="1" t="str">
        <f t="shared" si="4"/>
        <v/>
      </c>
    </row>
    <row r="8794" hidden="1">
      <c r="F8794" s="1" t="str">
        <f t="shared" si="1"/>
        <v/>
      </c>
      <c r="G8794" s="1" t="str">
        <f t="shared" si="2"/>
        <v/>
      </c>
      <c r="J8794" s="1" t="str">
        <f t="shared" si="3"/>
        <v/>
      </c>
      <c r="K8794" s="1" t="str">
        <f t="shared" si="4"/>
        <v/>
      </c>
    </row>
    <row r="8795" hidden="1">
      <c r="F8795" s="1" t="str">
        <f t="shared" si="1"/>
        <v/>
      </c>
      <c r="G8795" s="1" t="str">
        <f t="shared" si="2"/>
        <v/>
      </c>
      <c r="J8795" s="1" t="str">
        <f t="shared" si="3"/>
        <v/>
      </c>
      <c r="K8795" s="1" t="str">
        <f t="shared" si="4"/>
        <v/>
      </c>
    </row>
    <row r="8796" hidden="1">
      <c r="F8796" s="1" t="str">
        <f t="shared" si="1"/>
        <v/>
      </c>
      <c r="G8796" s="1" t="str">
        <f t="shared" si="2"/>
        <v/>
      </c>
      <c r="J8796" s="1" t="str">
        <f t="shared" si="3"/>
        <v/>
      </c>
      <c r="K8796" s="1" t="str">
        <f t="shared" si="4"/>
        <v/>
      </c>
    </row>
    <row r="8797" hidden="1">
      <c r="F8797" s="1" t="str">
        <f t="shared" si="1"/>
        <v/>
      </c>
      <c r="G8797" s="1" t="str">
        <f t="shared" si="2"/>
        <v/>
      </c>
      <c r="J8797" s="1" t="str">
        <f t="shared" si="3"/>
        <v/>
      </c>
      <c r="K8797" s="1" t="str">
        <f t="shared" si="4"/>
        <v/>
      </c>
    </row>
    <row r="8798" hidden="1">
      <c r="F8798" s="1" t="str">
        <f t="shared" si="1"/>
        <v/>
      </c>
      <c r="G8798" s="1" t="str">
        <f t="shared" si="2"/>
        <v/>
      </c>
      <c r="J8798" s="1" t="str">
        <f t="shared" si="3"/>
        <v/>
      </c>
      <c r="K8798" s="1" t="str">
        <f t="shared" si="4"/>
        <v/>
      </c>
    </row>
    <row r="8799" hidden="1">
      <c r="F8799" s="1" t="str">
        <f t="shared" si="1"/>
        <v/>
      </c>
      <c r="G8799" s="1" t="str">
        <f t="shared" si="2"/>
        <v/>
      </c>
      <c r="J8799" s="1" t="str">
        <f t="shared" si="3"/>
        <v/>
      </c>
      <c r="K8799" s="1" t="str">
        <f t="shared" si="4"/>
        <v/>
      </c>
    </row>
    <row r="8800" hidden="1">
      <c r="F8800" s="1" t="str">
        <f t="shared" si="1"/>
        <v/>
      </c>
      <c r="G8800" s="1" t="str">
        <f t="shared" si="2"/>
        <v/>
      </c>
      <c r="J8800" s="1" t="str">
        <f t="shared" si="3"/>
        <v/>
      </c>
      <c r="K8800" s="1" t="str">
        <f t="shared" si="4"/>
        <v/>
      </c>
    </row>
    <row r="8801" hidden="1">
      <c r="F8801" s="1" t="str">
        <f t="shared" si="1"/>
        <v/>
      </c>
      <c r="G8801" s="1" t="str">
        <f t="shared" si="2"/>
        <v/>
      </c>
      <c r="J8801" s="1" t="str">
        <f t="shared" si="3"/>
        <v/>
      </c>
      <c r="K8801" s="1" t="str">
        <f t="shared" si="4"/>
        <v/>
      </c>
    </row>
    <row r="8802" hidden="1">
      <c r="F8802" s="1" t="str">
        <f t="shared" si="1"/>
        <v/>
      </c>
      <c r="G8802" s="1" t="str">
        <f t="shared" si="2"/>
        <v/>
      </c>
      <c r="J8802" s="1" t="str">
        <f t="shared" si="3"/>
        <v/>
      </c>
      <c r="K8802" s="1" t="str">
        <f t="shared" si="4"/>
        <v/>
      </c>
    </row>
    <row r="8803" hidden="1">
      <c r="F8803" s="1" t="str">
        <f t="shared" si="1"/>
        <v/>
      </c>
      <c r="G8803" s="1" t="str">
        <f t="shared" si="2"/>
        <v/>
      </c>
      <c r="J8803" s="1" t="str">
        <f t="shared" si="3"/>
        <v/>
      </c>
      <c r="K8803" s="1" t="str">
        <f t="shared" si="4"/>
        <v/>
      </c>
    </row>
    <row r="8804" hidden="1">
      <c r="F8804" s="1" t="str">
        <f t="shared" si="1"/>
        <v/>
      </c>
      <c r="G8804" s="1" t="str">
        <f t="shared" si="2"/>
        <v/>
      </c>
      <c r="J8804" s="1" t="str">
        <f t="shared" si="3"/>
        <v/>
      </c>
      <c r="K8804" s="1" t="str">
        <f t="shared" si="4"/>
        <v/>
      </c>
    </row>
    <row r="8805" hidden="1">
      <c r="F8805" s="1" t="str">
        <f t="shared" si="1"/>
        <v/>
      </c>
      <c r="G8805" s="1" t="str">
        <f t="shared" si="2"/>
        <v/>
      </c>
      <c r="J8805" s="1" t="str">
        <f t="shared" si="3"/>
        <v/>
      </c>
      <c r="K8805" s="1" t="str">
        <f t="shared" si="4"/>
        <v/>
      </c>
    </row>
    <row r="8806" hidden="1">
      <c r="F8806" s="1" t="str">
        <f t="shared" si="1"/>
        <v/>
      </c>
      <c r="G8806" s="1" t="str">
        <f t="shared" si="2"/>
        <v/>
      </c>
      <c r="J8806" s="1" t="str">
        <f t="shared" si="3"/>
        <v/>
      </c>
      <c r="K8806" s="1" t="str">
        <f t="shared" si="4"/>
        <v/>
      </c>
    </row>
    <row r="8807" hidden="1">
      <c r="F8807" s="1" t="str">
        <f t="shared" si="1"/>
        <v/>
      </c>
      <c r="G8807" s="1" t="str">
        <f t="shared" si="2"/>
        <v/>
      </c>
      <c r="J8807" s="1" t="str">
        <f t="shared" si="3"/>
        <v/>
      </c>
      <c r="K8807" s="1" t="str">
        <f t="shared" si="4"/>
        <v/>
      </c>
    </row>
    <row r="8808" hidden="1">
      <c r="F8808" s="1" t="str">
        <f t="shared" si="1"/>
        <v/>
      </c>
      <c r="G8808" s="1" t="str">
        <f t="shared" si="2"/>
        <v/>
      </c>
      <c r="J8808" s="1" t="str">
        <f t="shared" si="3"/>
        <v/>
      </c>
      <c r="K8808" s="1" t="str">
        <f t="shared" si="4"/>
        <v/>
      </c>
    </row>
    <row r="8809" hidden="1">
      <c r="F8809" s="1" t="str">
        <f t="shared" si="1"/>
        <v/>
      </c>
      <c r="G8809" s="1" t="str">
        <f t="shared" si="2"/>
        <v/>
      </c>
      <c r="J8809" s="1" t="str">
        <f t="shared" si="3"/>
        <v/>
      </c>
      <c r="K8809" s="1" t="str">
        <f t="shared" si="4"/>
        <v/>
      </c>
    </row>
    <row r="8810" hidden="1">
      <c r="F8810" s="1" t="str">
        <f t="shared" si="1"/>
        <v/>
      </c>
      <c r="G8810" s="1" t="str">
        <f t="shared" si="2"/>
        <v/>
      </c>
      <c r="J8810" s="1" t="str">
        <f t="shared" si="3"/>
        <v/>
      </c>
      <c r="K8810" s="1" t="str">
        <f t="shared" si="4"/>
        <v/>
      </c>
    </row>
    <row r="8811" hidden="1">
      <c r="F8811" s="1" t="str">
        <f t="shared" si="1"/>
        <v/>
      </c>
      <c r="G8811" s="1" t="str">
        <f t="shared" si="2"/>
        <v/>
      </c>
      <c r="J8811" s="1" t="str">
        <f t="shared" si="3"/>
        <v/>
      </c>
      <c r="K8811" s="1" t="str">
        <f t="shared" si="4"/>
        <v/>
      </c>
    </row>
    <row r="8812" hidden="1">
      <c r="F8812" s="1" t="str">
        <f t="shared" si="1"/>
        <v/>
      </c>
      <c r="G8812" s="1" t="str">
        <f t="shared" si="2"/>
        <v/>
      </c>
      <c r="J8812" s="1" t="str">
        <f t="shared" si="3"/>
        <v/>
      </c>
      <c r="K8812" s="1" t="str">
        <f t="shared" si="4"/>
        <v/>
      </c>
    </row>
    <row r="8813" hidden="1">
      <c r="F8813" s="1" t="str">
        <f t="shared" si="1"/>
        <v/>
      </c>
      <c r="G8813" s="1" t="str">
        <f t="shared" si="2"/>
        <v/>
      </c>
      <c r="J8813" s="1" t="str">
        <f t="shared" si="3"/>
        <v/>
      </c>
      <c r="K8813" s="1" t="str">
        <f t="shared" si="4"/>
        <v/>
      </c>
    </row>
    <row r="8814" hidden="1">
      <c r="F8814" s="1" t="str">
        <f t="shared" si="1"/>
        <v/>
      </c>
      <c r="G8814" s="1" t="str">
        <f t="shared" si="2"/>
        <v/>
      </c>
      <c r="J8814" s="1" t="str">
        <f t="shared" si="3"/>
        <v/>
      </c>
      <c r="K8814" s="1" t="str">
        <f t="shared" si="4"/>
        <v/>
      </c>
    </row>
    <row r="8815" hidden="1">
      <c r="F8815" s="1" t="str">
        <f t="shared" si="1"/>
        <v/>
      </c>
      <c r="G8815" s="1" t="str">
        <f t="shared" si="2"/>
        <v/>
      </c>
      <c r="J8815" s="1" t="str">
        <f t="shared" si="3"/>
        <v/>
      </c>
      <c r="K8815" s="1" t="str">
        <f t="shared" si="4"/>
        <v/>
      </c>
    </row>
    <row r="8816" hidden="1">
      <c r="F8816" s="1" t="str">
        <f t="shared" si="1"/>
        <v/>
      </c>
      <c r="G8816" s="1" t="str">
        <f t="shared" si="2"/>
        <v/>
      </c>
      <c r="J8816" s="1" t="str">
        <f t="shared" si="3"/>
        <v/>
      </c>
      <c r="K8816" s="1" t="str">
        <f t="shared" si="4"/>
        <v/>
      </c>
    </row>
    <row r="8817" hidden="1">
      <c r="F8817" s="1" t="str">
        <f t="shared" si="1"/>
        <v/>
      </c>
      <c r="G8817" s="1" t="str">
        <f t="shared" si="2"/>
        <v/>
      </c>
      <c r="J8817" s="1" t="str">
        <f t="shared" si="3"/>
        <v/>
      </c>
      <c r="K8817" s="1" t="str">
        <f t="shared" si="4"/>
        <v/>
      </c>
    </row>
    <row r="8818" hidden="1">
      <c r="F8818" s="1" t="str">
        <f t="shared" si="1"/>
        <v/>
      </c>
      <c r="G8818" s="1" t="str">
        <f t="shared" si="2"/>
        <v/>
      </c>
      <c r="J8818" s="1" t="str">
        <f t="shared" si="3"/>
        <v/>
      </c>
      <c r="K8818" s="1" t="str">
        <f t="shared" si="4"/>
        <v/>
      </c>
    </row>
    <row r="8819" hidden="1">
      <c r="F8819" s="1" t="str">
        <f t="shared" si="1"/>
        <v/>
      </c>
      <c r="G8819" s="1" t="str">
        <f t="shared" si="2"/>
        <v/>
      </c>
      <c r="J8819" s="1" t="str">
        <f t="shared" si="3"/>
        <v/>
      </c>
      <c r="K8819" s="1" t="str">
        <f t="shared" si="4"/>
        <v/>
      </c>
    </row>
    <row r="8820" hidden="1">
      <c r="F8820" s="1" t="str">
        <f t="shared" si="1"/>
        <v/>
      </c>
      <c r="G8820" s="1" t="str">
        <f t="shared" si="2"/>
        <v/>
      </c>
      <c r="J8820" s="1" t="str">
        <f t="shared" si="3"/>
        <v/>
      </c>
      <c r="K8820" s="1" t="str">
        <f t="shared" si="4"/>
        <v/>
      </c>
    </row>
    <row r="8821" hidden="1">
      <c r="F8821" s="1" t="str">
        <f t="shared" si="1"/>
        <v/>
      </c>
      <c r="G8821" s="1" t="str">
        <f t="shared" si="2"/>
        <v/>
      </c>
      <c r="J8821" s="1" t="str">
        <f t="shared" si="3"/>
        <v/>
      </c>
      <c r="K8821" s="1" t="str">
        <f t="shared" si="4"/>
        <v/>
      </c>
    </row>
    <row r="8822" hidden="1">
      <c r="F8822" s="1" t="str">
        <f t="shared" si="1"/>
        <v/>
      </c>
      <c r="G8822" s="1" t="str">
        <f t="shared" si="2"/>
        <v/>
      </c>
      <c r="J8822" s="1" t="str">
        <f t="shared" si="3"/>
        <v/>
      </c>
      <c r="K8822" s="1" t="str">
        <f t="shared" si="4"/>
        <v/>
      </c>
    </row>
    <row r="8823" hidden="1">
      <c r="F8823" s="1" t="str">
        <f t="shared" si="1"/>
        <v/>
      </c>
      <c r="G8823" s="1" t="str">
        <f t="shared" si="2"/>
        <v/>
      </c>
      <c r="J8823" s="1" t="str">
        <f t="shared" si="3"/>
        <v/>
      </c>
      <c r="K8823" s="1" t="str">
        <f t="shared" si="4"/>
        <v/>
      </c>
    </row>
    <row r="8824" hidden="1">
      <c r="F8824" s="1" t="str">
        <f t="shared" si="1"/>
        <v/>
      </c>
      <c r="G8824" s="1" t="str">
        <f t="shared" si="2"/>
        <v/>
      </c>
      <c r="J8824" s="1" t="str">
        <f t="shared" si="3"/>
        <v/>
      </c>
      <c r="K8824" s="1" t="str">
        <f t="shared" si="4"/>
        <v/>
      </c>
    </row>
    <row r="8825" hidden="1">
      <c r="F8825" s="1" t="str">
        <f t="shared" si="1"/>
        <v/>
      </c>
      <c r="G8825" s="1" t="str">
        <f t="shared" si="2"/>
        <v/>
      </c>
      <c r="J8825" s="1" t="str">
        <f t="shared" si="3"/>
        <v/>
      </c>
      <c r="K8825" s="1" t="str">
        <f t="shared" si="4"/>
        <v/>
      </c>
    </row>
    <row r="8826" hidden="1">
      <c r="F8826" s="1" t="str">
        <f t="shared" si="1"/>
        <v/>
      </c>
      <c r="G8826" s="1" t="str">
        <f t="shared" si="2"/>
        <v/>
      </c>
      <c r="J8826" s="1" t="str">
        <f t="shared" si="3"/>
        <v/>
      </c>
      <c r="K8826" s="1" t="str">
        <f t="shared" si="4"/>
        <v/>
      </c>
    </row>
    <row r="8827" hidden="1">
      <c r="F8827" s="1" t="str">
        <f t="shared" si="1"/>
        <v/>
      </c>
      <c r="G8827" s="1" t="str">
        <f t="shared" si="2"/>
        <v/>
      </c>
      <c r="J8827" s="1" t="str">
        <f t="shared" si="3"/>
        <v/>
      </c>
      <c r="K8827" s="1" t="str">
        <f t="shared" si="4"/>
        <v/>
      </c>
    </row>
    <row r="8828" hidden="1">
      <c r="F8828" s="1" t="str">
        <f t="shared" si="1"/>
        <v/>
      </c>
      <c r="G8828" s="1" t="str">
        <f t="shared" si="2"/>
        <v/>
      </c>
      <c r="J8828" s="1" t="str">
        <f t="shared" si="3"/>
        <v/>
      </c>
      <c r="K8828" s="1" t="str">
        <f t="shared" si="4"/>
        <v/>
      </c>
    </row>
    <row r="8829" hidden="1">
      <c r="F8829" s="1" t="str">
        <f t="shared" si="1"/>
        <v/>
      </c>
      <c r="G8829" s="1" t="str">
        <f t="shared" si="2"/>
        <v/>
      </c>
      <c r="J8829" s="1" t="str">
        <f t="shared" si="3"/>
        <v/>
      </c>
      <c r="K8829" s="1" t="str">
        <f t="shared" si="4"/>
        <v/>
      </c>
    </row>
    <row r="8830" hidden="1">
      <c r="F8830" s="1" t="str">
        <f t="shared" si="1"/>
        <v/>
      </c>
      <c r="G8830" s="1" t="str">
        <f t="shared" si="2"/>
        <v/>
      </c>
      <c r="J8830" s="1" t="str">
        <f t="shared" si="3"/>
        <v/>
      </c>
      <c r="K8830" s="1" t="str">
        <f t="shared" si="4"/>
        <v/>
      </c>
    </row>
    <row r="8831" hidden="1">
      <c r="F8831" s="1" t="str">
        <f t="shared" si="1"/>
        <v/>
      </c>
      <c r="G8831" s="1" t="str">
        <f t="shared" si="2"/>
        <v/>
      </c>
      <c r="J8831" s="1" t="str">
        <f t="shared" si="3"/>
        <v/>
      </c>
      <c r="K8831" s="1" t="str">
        <f t="shared" si="4"/>
        <v/>
      </c>
    </row>
    <row r="8832" hidden="1">
      <c r="F8832" s="1" t="str">
        <f t="shared" si="1"/>
        <v/>
      </c>
      <c r="G8832" s="1" t="str">
        <f t="shared" si="2"/>
        <v/>
      </c>
      <c r="J8832" s="1" t="str">
        <f t="shared" si="3"/>
        <v/>
      </c>
      <c r="K8832" s="1" t="str">
        <f t="shared" si="4"/>
        <v/>
      </c>
    </row>
    <row r="8833" hidden="1">
      <c r="F8833" s="1" t="str">
        <f t="shared" si="1"/>
        <v/>
      </c>
      <c r="G8833" s="1" t="str">
        <f t="shared" si="2"/>
        <v/>
      </c>
      <c r="J8833" s="1" t="str">
        <f t="shared" si="3"/>
        <v/>
      </c>
      <c r="K8833" s="1" t="str">
        <f t="shared" si="4"/>
        <v/>
      </c>
    </row>
    <row r="8834" hidden="1">
      <c r="F8834" s="1" t="str">
        <f t="shared" si="1"/>
        <v/>
      </c>
      <c r="G8834" s="1" t="str">
        <f t="shared" si="2"/>
        <v/>
      </c>
      <c r="J8834" s="1" t="str">
        <f t="shared" si="3"/>
        <v/>
      </c>
      <c r="K8834" s="1" t="str">
        <f t="shared" si="4"/>
        <v/>
      </c>
    </row>
    <row r="8835" hidden="1">
      <c r="F8835" s="1" t="str">
        <f t="shared" si="1"/>
        <v/>
      </c>
      <c r="G8835" s="1" t="str">
        <f t="shared" si="2"/>
        <v/>
      </c>
      <c r="J8835" s="1" t="str">
        <f t="shared" si="3"/>
        <v/>
      </c>
      <c r="K8835" s="1" t="str">
        <f t="shared" si="4"/>
        <v/>
      </c>
    </row>
    <row r="8836" hidden="1">
      <c r="F8836" s="1" t="str">
        <f t="shared" si="1"/>
        <v/>
      </c>
      <c r="G8836" s="1" t="str">
        <f t="shared" si="2"/>
        <v/>
      </c>
      <c r="J8836" s="1" t="str">
        <f t="shared" si="3"/>
        <v/>
      </c>
      <c r="K8836" s="1" t="str">
        <f t="shared" si="4"/>
        <v/>
      </c>
    </row>
    <row r="8837" hidden="1">
      <c r="F8837" s="1" t="str">
        <f t="shared" si="1"/>
        <v/>
      </c>
      <c r="G8837" s="1" t="str">
        <f t="shared" si="2"/>
        <v/>
      </c>
      <c r="J8837" s="1" t="str">
        <f t="shared" si="3"/>
        <v/>
      </c>
      <c r="K8837" s="1" t="str">
        <f t="shared" si="4"/>
        <v/>
      </c>
    </row>
    <row r="8838" hidden="1">
      <c r="F8838" s="1" t="str">
        <f t="shared" si="1"/>
        <v/>
      </c>
      <c r="G8838" s="1" t="str">
        <f t="shared" si="2"/>
        <v/>
      </c>
      <c r="J8838" s="1" t="str">
        <f t="shared" si="3"/>
        <v/>
      </c>
      <c r="K8838" s="1" t="str">
        <f t="shared" si="4"/>
        <v/>
      </c>
    </row>
    <row r="8839" hidden="1">
      <c r="F8839" s="1" t="str">
        <f t="shared" si="1"/>
        <v/>
      </c>
      <c r="G8839" s="1" t="str">
        <f t="shared" si="2"/>
        <v/>
      </c>
      <c r="J8839" s="1" t="str">
        <f t="shared" si="3"/>
        <v/>
      </c>
      <c r="K8839" s="1" t="str">
        <f t="shared" si="4"/>
        <v/>
      </c>
    </row>
    <row r="8840" hidden="1">
      <c r="F8840" s="1" t="str">
        <f t="shared" si="1"/>
        <v/>
      </c>
      <c r="G8840" s="1" t="str">
        <f t="shared" si="2"/>
        <v/>
      </c>
      <c r="J8840" s="1" t="str">
        <f t="shared" si="3"/>
        <v/>
      </c>
      <c r="K8840" s="1" t="str">
        <f t="shared" si="4"/>
        <v/>
      </c>
    </row>
    <row r="8841" hidden="1">
      <c r="F8841" s="1" t="str">
        <f t="shared" si="1"/>
        <v/>
      </c>
      <c r="G8841" s="1" t="str">
        <f t="shared" si="2"/>
        <v/>
      </c>
      <c r="J8841" s="1" t="str">
        <f t="shared" si="3"/>
        <v/>
      </c>
      <c r="K8841" s="1" t="str">
        <f t="shared" si="4"/>
        <v/>
      </c>
    </row>
    <row r="8842" hidden="1">
      <c r="F8842" s="1" t="str">
        <f t="shared" si="1"/>
        <v/>
      </c>
      <c r="G8842" s="1" t="str">
        <f t="shared" si="2"/>
        <v/>
      </c>
      <c r="J8842" s="1" t="str">
        <f t="shared" si="3"/>
        <v/>
      </c>
      <c r="K8842" s="1" t="str">
        <f t="shared" si="4"/>
        <v/>
      </c>
    </row>
    <row r="8843" hidden="1">
      <c r="F8843" s="1" t="str">
        <f t="shared" si="1"/>
        <v/>
      </c>
      <c r="G8843" s="1" t="str">
        <f t="shared" si="2"/>
        <v/>
      </c>
      <c r="J8843" s="1" t="str">
        <f t="shared" si="3"/>
        <v/>
      </c>
      <c r="K8843" s="1" t="str">
        <f t="shared" si="4"/>
        <v/>
      </c>
    </row>
    <row r="8844" hidden="1">
      <c r="F8844" s="1" t="str">
        <f t="shared" si="1"/>
        <v/>
      </c>
      <c r="G8844" s="1" t="str">
        <f t="shared" si="2"/>
        <v/>
      </c>
      <c r="J8844" s="1" t="str">
        <f t="shared" si="3"/>
        <v/>
      </c>
      <c r="K8844" s="1" t="str">
        <f t="shared" si="4"/>
        <v/>
      </c>
    </row>
    <row r="8845" hidden="1">
      <c r="F8845" s="1" t="str">
        <f t="shared" si="1"/>
        <v/>
      </c>
      <c r="G8845" s="1" t="str">
        <f t="shared" si="2"/>
        <v/>
      </c>
      <c r="J8845" s="1" t="str">
        <f t="shared" si="3"/>
        <v/>
      </c>
      <c r="K8845" s="1" t="str">
        <f t="shared" si="4"/>
        <v/>
      </c>
    </row>
    <row r="8846" hidden="1">
      <c r="F8846" s="1" t="str">
        <f t="shared" si="1"/>
        <v/>
      </c>
      <c r="G8846" s="1" t="str">
        <f t="shared" si="2"/>
        <v/>
      </c>
      <c r="J8846" s="1" t="str">
        <f t="shared" si="3"/>
        <v/>
      </c>
      <c r="K8846" s="1" t="str">
        <f t="shared" si="4"/>
        <v/>
      </c>
    </row>
    <row r="8847" hidden="1">
      <c r="F8847" s="1" t="str">
        <f t="shared" si="1"/>
        <v/>
      </c>
      <c r="G8847" s="1" t="str">
        <f t="shared" si="2"/>
        <v/>
      </c>
      <c r="J8847" s="1" t="str">
        <f t="shared" si="3"/>
        <v/>
      </c>
      <c r="K8847" s="1" t="str">
        <f t="shared" si="4"/>
        <v/>
      </c>
    </row>
    <row r="8848" hidden="1">
      <c r="F8848" s="1" t="str">
        <f t="shared" si="1"/>
        <v/>
      </c>
      <c r="G8848" s="1" t="str">
        <f t="shared" si="2"/>
        <v/>
      </c>
      <c r="J8848" s="1" t="str">
        <f t="shared" si="3"/>
        <v/>
      </c>
      <c r="K8848" s="1" t="str">
        <f t="shared" si="4"/>
        <v/>
      </c>
    </row>
    <row r="8849" hidden="1">
      <c r="F8849" s="1" t="str">
        <f t="shared" si="1"/>
        <v/>
      </c>
      <c r="G8849" s="1" t="str">
        <f t="shared" si="2"/>
        <v/>
      </c>
      <c r="J8849" s="1" t="str">
        <f t="shared" si="3"/>
        <v/>
      </c>
      <c r="K8849" s="1" t="str">
        <f t="shared" si="4"/>
        <v/>
      </c>
    </row>
    <row r="8850" hidden="1">
      <c r="F8850" s="1" t="str">
        <f t="shared" si="1"/>
        <v/>
      </c>
      <c r="G8850" s="1" t="str">
        <f t="shared" si="2"/>
        <v/>
      </c>
      <c r="J8850" s="1" t="str">
        <f t="shared" si="3"/>
        <v/>
      </c>
      <c r="K8850" s="1" t="str">
        <f t="shared" si="4"/>
        <v/>
      </c>
    </row>
    <row r="8851" hidden="1">
      <c r="F8851" s="1" t="str">
        <f t="shared" si="1"/>
        <v/>
      </c>
      <c r="G8851" s="1" t="str">
        <f t="shared" si="2"/>
        <v/>
      </c>
      <c r="J8851" s="1" t="str">
        <f t="shared" si="3"/>
        <v/>
      </c>
      <c r="K8851" s="1" t="str">
        <f t="shared" si="4"/>
        <v/>
      </c>
    </row>
    <row r="8852" hidden="1">
      <c r="F8852" s="1" t="str">
        <f t="shared" si="1"/>
        <v/>
      </c>
      <c r="G8852" s="1" t="str">
        <f t="shared" si="2"/>
        <v/>
      </c>
      <c r="J8852" s="1" t="str">
        <f t="shared" si="3"/>
        <v/>
      </c>
      <c r="K8852" s="1" t="str">
        <f t="shared" si="4"/>
        <v/>
      </c>
    </row>
    <row r="8853" hidden="1">
      <c r="F8853" s="1" t="str">
        <f t="shared" si="1"/>
        <v/>
      </c>
      <c r="G8853" s="1" t="str">
        <f t="shared" si="2"/>
        <v/>
      </c>
      <c r="J8853" s="1" t="str">
        <f t="shared" si="3"/>
        <v/>
      </c>
      <c r="K8853" s="1" t="str">
        <f t="shared" si="4"/>
        <v/>
      </c>
    </row>
    <row r="8854" hidden="1">
      <c r="F8854" s="1" t="str">
        <f t="shared" si="1"/>
        <v/>
      </c>
      <c r="G8854" s="1" t="str">
        <f t="shared" si="2"/>
        <v/>
      </c>
      <c r="J8854" s="1" t="str">
        <f t="shared" si="3"/>
        <v/>
      </c>
      <c r="K8854" s="1" t="str">
        <f t="shared" si="4"/>
        <v/>
      </c>
    </row>
    <row r="8855" hidden="1">
      <c r="F8855" s="1" t="str">
        <f t="shared" si="1"/>
        <v/>
      </c>
      <c r="G8855" s="1" t="str">
        <f t="shared" si="2"/>
        <v/>
      </c>
      <c r="J8855" s="1" t="str">
        <f t="shared" si="3"/>
        <v/>
      </c>
      <c r="K8855" s="1" t="str">
        <f t="shared" si="4"/>
        <v/>
      </c>
    </row>
    <row r="8856" hidden="1">
      <c r="F8856" s="1" t="str">
        <f t="shared" si="1"/>
        <v/>
      </c>
      <c r="G8856" s="1" t="str">
        <f t="shared" si="2"/>
        <v/>
      </c>
      <c r="J8856" s="1" t="str">
        <f t="shared" si="3"/>
        <v/>
      </c>
      <c r="K8856" s="1" t="str">
        <f t="shared" si="4"/>
        <v/>
      </c>
    </row>
    <row r="8857" hidden="1">
      <c r="F8857" s="1" t="str">
        <f t="shared" si="1"/>
        <v/>
      </c>
      <c r="G8857" s="1" t="str">
        <f t="shared" si="2"/>
        <v/>
      </c>
      <c r="J8857" s="1" t="str">
        <f t="shared" si="3"/>
        <v/>
      </c>
      <c r="K8857" s="1" t="str">
        <f t="shared" si="4"/>
        <v/>
      </c>
    </row>
    <row r="8858" hidden="1">
      <c r="F8858" s="1" t="str">
        <f t="shared" si="1"/>
        <v/>
      </c>
      <c r="G8858" s="1" t="str">
        <f t="shared" si="2"/>
        <v/>
      </c>
      <c r="J8858" s="1" t="str">
        <f t="shared" si="3"/>
        <v/>
      </c>
      <c r="K8858" s="1" t="str">
        <f t="shared" si="4"/>
        <v/>
      </c>
    </row>
    <row r="8859" hidden="1">
      <c r="F8859" s="1" t="str">
        <f t="shared" si="1"/>
        <v/>
      </c>
      <c r="G8859" s="1" t="str">
        <f t="shared" si="2"/>
        <v/>
      </c>
      <c r="J8859" s="1" t="str">
        <f t="shared" si="3"/>
        <v/>
      </c>
      <c r="K8859" s="1" t="str">
        <f t="shared" si="4"/>
        <v/>
      </c>
    </row>
    <row r="8860" hidden="1">
      <c r="F8860" s="1" t="str">
        <f t="shared" si="1"/>
        <v/>
      </c>
      <c r="G8860" s="1" t="str">
        <f t="shared" si="2"/>
        <v/>
      </c>
      <c r="J8860" s="1" t="str">
        <f t="shared" si="3"/>
        <v/>
      </c>
      <c r="K8860" s="1" t="str">
        <f t="shared" si="4"/>
        <v/>
      </c>
    </row>
    <row r="8861" hidden="1">
      <c r="F8861" s="1" t="str">
        <f t="shared" si="1"/>
        <v/>
      </c>
      <c r="G8861" s="1" t="str">
        <f t="shared" si="2"/>
        <v/>
      </c>
      <c r="J8861" s="1" t="str">
        <f t="shared" si="3"/>
        <v/>
      </c>
      <c r="K8861" s="1" t="str">
        <f t="shared" si="4"/>
        <v/>
      </c>
    </row>
    <row r="8862" hidden="1">
      <c r="F8862" s="1" t="str">
        <f t="shared" si="1"/>
        <v/>
      </c>
      <c r="G8862" s="1" t="str">
        <f t="shared" si="2"/>
        <v/>
      </c>
      <c r="J8862" s="1" t="str">
        <f t="shared" si="3"/>
        <v/>
      </c>
      <c r="K8862" s="1" t="str">
        <f t="shared" si="4"/>
        <v/>
      </c>
    </row>
    <row r="8863" hidden="1">
      <c r="F8863" s="1" t="str">
        <f t="shared" si="1"/>
        <v/>
      </c>
      <c r="G8863" s="1" t="str">
        <f t="shared" si="2"/>
        <v/>
      </c>
      <c r="J8863" s="1" t="str">
        <f t="shared" si="3"/>
        <v/>
      </c>
      <c r="K8863" s="1" t="str">
        <f t="shared" si="4"/>
        <v/>
      </c>
    </row>
    <row r="8864" hidden="1">
      <c r="F8864" s="1" t="str">
        <f t="shared" si="1"/>
        <v/>
      </c>
      <c r="G8864" s="1" t="str">
        <f t="shared" si="2"/>
        <v/>
      </c>
      <c r="J8864" s="1" t="str">
        <f t="shared" si="3"/>
        <v/>
      </c>
      <c r="K8864" s="1" t="str">
        <f t="shared" si="4"/>
        <v/>
      </c>
    </row>
    <row r="8865" hidden="1">
      <c r="F8865" s="1" t="str">
        <f t="shared" si="1"/>
        <v/>
      </c>
      <c r="G8865" s="1" t="str">
        <f t="shared" si="2"/>
        <v/>
      </c>
      <c r="J8865" s="1" t="str">
        <f t="shared" si="3"/>
        <v/>
      </c>
      <c r="K8865" s="1" t="str">
        <f t="shared" si="4"/>
        <v/>
      </c>
    </row>
    <row r="8866" hidden="1">
      <c r="F8866" s="1" t="str">
        <f t="shared" si="1"/>
        <v/>
      </c>
      <c r="G8866" s="1" t="str">
        <f t="shared" si="2"/>
        <v/>
      </c>
      <c r="J8866" s="1" t="str">
        <f t="shared" si="3"/>
        <v/>
      </c>
      <c r="K8866" s="1" t="str">
        <f t="shared" si="4"/>
        <v/>
      </c>
    </row>
    <row r="8867" hidden="1">
      <c r="F8867" s="1" t="str">
        <f t="shared" si="1"/>
        <v/>
      </c>
      <c r="G8867" s="1" t="str">
        <f t="shared" si="2"/>
        <v/>
      </c>
      <c r="J8867" s="1" t="str">
        <f t="shared" si="3"/>
        <v/>
      </c>
      <c r="K8867" s="1" t="str">
        <f t="shared" si="4"/>
        <v/>
      </c>
    </row>
    <row r="8868" hidden="1">
      <c r="F8868" s="1" t="str">
        <f t="shared" si="1"/>
        <v/>
      </c>
      <c r="G8868" s="1" t="str">
        <f t="shared" si="2"/>
        <v/>
      </c>
      <c r="J8868" s="1" t="str">
        <f t="shared" si="3"/>
        <v/>
      </c>
      <c r="K8868" s="1" t="str">
        <f t="shared" si="4"/>
        <v/>
      </c>
    </row>
    <row r="8869" hidden="1">
      <c r="F8869" s="1" t="str">
        <f t="shared" si="1"/>
        <v/>
      </c>
      <c r="G8869" s="1" t="str">
        <f t="shared" si="2"/>
        <v/>
      </c>
      <c r="J8869" s="1" t="str">
        <f t="shared" si="3"/>
        <v/>
      </c>
      <c r="K8869" s="1" t="str">
        <f t="shared" si="4"/>
        <v/>
      </c>
    </row>
    <row r="8870" hidden="1">
      <c r="F8870" s="1" t="str">
        <f t="shared" si="1"/>
        <v/>
      </c>
      <c r="G8870" s="1" t="str">
        <f t="shared" si="2"/>
        <v/>
      </c>
      <c r="J8870" s="1" t="str">
        <f t="shared" si="3"/>
        <v/>
      </c>
      <c r="K8870" s="1" t="str">
        <f t="shared" si="4"/>
        <v/>
      </c>
    </row>
    <row r="8871" hidden="1">
      <c r="F8871" s="1" t="str">
        <f t="shared" si="1"/>
        <v/>
      </c>
      <c r="G8871" s="1" t="str">
        <f t="shared" si="2"/>
        <v/>
      </c>
      <c r="J8871" s="1" t="str">
        <f t="shared" si="3"/>
        <v/>
      </c>
      <c r="K8871" s="1" t="str">
        <f t="shared" si="4"/>
        <v/>
      </c>
    </row>
    <row r="8872" hidden="1">
      <c r="F8872" s="1" t="str">
        <f t="shared" si="1"/>
        <v/>
      </c>
      <c r="G8872" s="1" t="str">
        <f t="shared" si="2"/>
        <v/>
      </c>
      <c r="J8872" s="1" t="str">
        <f t="shared" si="3"/>
        <v/>
      </c>
      <c r="K8872" s="1" t="str">
        <f t="shared" si="4"/>
        <v/>
      </c>
    </row>
    <row r="8873" hidden="1">
      <c r="F8873" s="1" t="str">
        <f t="shared" si="1"/>
        <v/>
      </c>
      <c r="G8873" s="1" t="str">
        <f t="shared" si="2"/>
        <v/>
      </c>
      <c r="J8873" s="1" t="str">
        <f t="shared" si="3"/>
        <v/>
      </c>
      <c r="K8873" s="1" t="str">
        <f t="shared" si="4"/>
        <v/>
      </c>
    </row>
    <row r="8874" hidden="1">
      <c r="F8874" s="1" t="str">
        <f t="shared" si="1"/>
        <v/>
      </c>
      <c r="G8874" s="1" t="str">
        <f t="shared" si="2"/>
        <v/>
      </c>
      <c r="J8874" s="1" t="str">
        <f t="shared" si="3"/>
        <v/>
      </c>
      <c r="K8874" s="1" t="str">
        <f t="shared" si="4"/>
        <v/>
      </c>
    </row>
    <row r="8875" hidden="1">
      <c r="F8875" s="1" t="str">
        <f t="shared" si="1"/>
        <v/>
      </c>
      <c r="G8875" s="1" t="str">
        <f t="shared" si="2"/>
        <v/>
      </c>
      <c r="J8875" s="1" t="str">
        <f t="shared" si="3"/>
        <v/>
      </c>
      <c r="K8875" s="1" t="str">
        <f t="shared" si="4"/>
        <v/>
      </c>
    </row>
    <row r="8876" hidden="1">
      <c r="F8876" s="1" t="str">
        <f t="shared" si="1"/>
        <v/>
      </c>
      <c r="G8876" s="1" t="str">
        <f t="shared" si="2"/>
        <v/>
      </c>
      <c r="J8876" s="1" t="str">
        <f t="shared" si="3"/>
        <v/>
      </c>
      <c r="K8876" s="1" t="str">
        <f t="shared" si="4"/>
        <v/>
      </c>
    </row>
    <row r="8877" hidden="1">
      <c r="F8877" s="1" t="str">
        <f t="shared" si="1"/>
        <v/>
      </c>
      <c r="G8877" s="1" t="str">
        <f t="shared" si="2"/>
        <v/>
      </c>
      <c r="J8877" s="1" t="str">
        <f t="shared" si="3"/>
        <v/>
      </c>
      <c r="K8877" s="1" t="str">
        <f t="shared" si="4"/>
        <v/>
      </c>
    </row>
    <row r="8878" hidden="1">
      <c r="F8878" s="1" t="str">
        <f t="shared" si="1"/>
        <v/>
      </c>
      <c r="G8878" s="1" t="str">
        <f t="shared" si="2"/>
        <v/>
      </c>
      <c r="J8878" s="1" t="str">
        <f t="shared" si="3"/>
        <v/>
      </c>
      <c r="K8878" s="1" t="str">
        <f t="shared" si="4"/>
        <v/>
      </c>
    </row>
    <row r="8879" hidden="1">
      <c r="F8879" s="1" t="str">
        <f t="shared" si="1"/>
        <v/>
      </c>
      <c r="G8879" s="1" t="str">
        <f t="shared" si="2"/>
        <v/>
      </c>
      <c r="J8879" s="1" t="str">
        <f t="shared" si="3"/>
        <v/>
      </c>
      <c r="K8879" s="1" t="str">
        <f t="shared" si="4"/>
        <v/>
      </c>
    </row>
    <row r="8880" hidden="1">
      <c r="F8880" s="1" t="str">
        <f t="shared" si="1"/>
        <v/>
      </c>
      <c r="G8880" s="1" t="str">
        <f t="shared" si="2"/>
        <v/>
      </c>
      <c r="J8880" s="1" t="str">
        <f t="shared" si="3"/>
        <v/>
      </c>
      <c r="K8880" s="1" t="str">
        <f t="shared" si="4"/>
        <v/>
      </c>
    </row>
    <row r="8881" hidden="1">
      <c r="F8881" s="1" t="str">
        <f t="shared" si="1"/>
        <v/>
      </c>
      <c r="G8881" s="1" t="str">
        <f t="shared" si="2"/>
        <v/>
      </c>
      <c r="J8881" s="1" t="str">
        <f t="shared" si="3"/>
        <v/>
      </c>
      <c r="K8881" s="1" t="str">
        <f t="shared" si="4"/>
        <v/>
      </c>
    </row>
    <row r="8882" hidden="1">
      <c r="F8882" s="1" t="str">
        <f t="shared" si="1"/>
        <v/>
      </c>
      <c r="G8882" s="1" t="str">
        <f t="shared" si="2"/>
        <v/>
      </c>
      <c r="J8882" s="1" t="str">
        <f t="shared" si="3"/>
        <v/>
      </c>
      <c r="K8882" s="1" t="str">
        <f t="shared" si="4"/>
        <v/>
      </c>
    </row>
    <row r="8883" hidden="1">
      <c r="F8883" s="1" t="str">
        <f t="shared" si="1"/>
        <v/>
      </c>
      <c r="G8883" s="1" t="str">
        <f t="shared" si="2"/>
        <v/>
      </c>
      <c r="J8883" s="1" t="str">
        <f t="shared" si="3"/>
        <v/>
      </c>
      <c r="K8883" s="1" t="str">
        <f t="shared" si="4"/>
        <v/>
      </c>
    </row>
    <row r="8884" hidden="1">
      <c r="F8884" s="1" t="str">
        <f t="shared" si="1"/>
        <v/>
      </c>
      <c r="G8884" s="1" t="str">
        <f t="shared" si="2"/>
        <v/>
      </c>
      <c r="J8884" s="1" t="str">
        <f t="shared" si="3"/>
        <v/>
      </c>
      <c r="K8884" s="1" t="str">
        <f t="shared" si="4"/>
        <v/>
      </c>
    </row>
    <row r="8885" hidden="1">
      <c r="F8885" s="1" t="str">
        <f t="shared" si="1"/>
        <v/>
      </c>
      <c r="G8885" s="1" t="str">
        <f t="shared" si="2"/>
        <v/>
      </c>
      <c r="J8885" s="1" t="str">
        <f t="shared" si="3"/>
        <v/>
      </c>
      <c r="K8885" s="1" t="str">
        <f t="shared" si="4"/>
        <v/>
      </c>
    </row>
    <row r="8886" hidden="1">
      <c r="F8886" s="1" t="str">
        <f t="shared" si="1"/>
        <v/>
      </c>
      <c r="G8886" s="1" t="str">
        <f t="shared" si="2"/>
        <v/>
      </c>
      <c r="J8886" s="1" t="str">
        <f t="shared" si="3"/>
        <v/>
      </c>
      <c r="K8886" s="1" t="str">
        <f t="shared" si="4"/>
        <v/>
      </c>
    </row>
    <row r="8887" hidden="1">
      <c r="F8887" s="1" t="str">
        <f t="shared" si="1"/>
        <v/>
      </c>
      <c r="G8887" s="1" t="str">
        <f t="shared" si="2"/>
        <v/>
      </c>
      <c r="J8887" s="1" t="str">
        <f t="shared" si="3"/>
        <v/>
      </c>
      <c r="K8887" s="1" t="str">
        <f t="shared" si="4"/>
        <v/>
      </c>
    </row>
    <row r="8888" hidden="1">
      <c r="F8888" s="1" t="str">
        <f t="shared" si="1"/>
        <v/>
      </c>
      <c r="G8888" s="1" t="str">
        <f t="shared" si="2"/>
        <v/>
      </c>
      <c r="J8888" s="1" t="str">
        <f t="shared" si="3"/>
        <v/>
      </c>
      <c r="K8888" s="1" t="str">
        <f t="shared" si="4"/>
        <v/>
      </c>
    </row>
    <row r="8889" hidden="1">
      <c r="F8889" s="1" t="str">
        <f t="shared" si="1"/>
        <v/>
      </c>
      <c r="G8889" s="1" t="str">
        <f t="shared" si="2"/>
        <v/>
      </c>
      <c r="J8889" s="1" t="str">
        <f t="shared" si="3"/>
        <v/>
      </c>
      <c r="K8889" s="1" t="str">
        <f t="shared" si="4"/>
        <v/>
      </c>
    </row>
    <row r="8890" hidden="1">
      <c r="F8890" s="1" t="str">
        <f t="shared" si="1"/>
        <v/>
      </c>
      <c r="G8890" s="1" t="str">
        <f t="shared" si="2"/>
        <v/>
      </c>
      <c r="J8890" s="1" t="str">
        <f t="shared" si="3"/>
        <v/>
      </c>
      <c r="K8890" s="1" t="str">
        <f t="shared" si="4"/>
        <v/>
      </c>
    </row>
    <row r="8891" hidden="1">
      <c r="F8891" s="1" t="str">
        <f t="shared" si="1"/>
        <v/>
      </c>
      <c r="G8891" s="1" t="str">
        <f t="shared" si="2"/>
        <v/>
      </c>
      <c r="J8891" s="1" t="str">
        <f t="shared" si="3"/>
        <v/>
      </c>
      <c r="K8891" s="1" t="str">
        <f t="shared" si="4"/>
        <v/>
      </c>
    </row>
    <row r="8892" hidden="1">
      <c r="F8892" s="1" t="str">
        <f t="shared" si="1"/>
        <v/>
      </c>
      <c r="G8892" s="1" t="str">
        <f t="shared" si="2"/>
        <v/>
      </c>
      <c r="J8892" s="1" t="str">
        <f t="shared" si="3"/>
        <v/>
      </c>
      <c r="K8892" s="1" t="str">
        <f t="shared" si="4"/>
        <v/>
      </c>
    </row>
    <row r="8893" hidden="1">
      <c r="F8893" s="1" t="str">
        <f t="shared" si="1"/>
        <v/>
      </c>
      <c r="G8893" s="1" t="str">
        <f t="shared" si="2"/>
        <v/>
      </c>
      <c r="J8893" s="1" t="str">
        <f t="shared" si="3"/>
        <v/>
      </c>
      <c r="K8893" s="1" t="str">
        <f t="shared" si="4"/>
        <v/>
      </c>
    </row>
    <row r="8894" hidden="1">
      <c r="F8894" s="1" t="str">
        <f t="shared" si="1"/>
        <v/>
      </c>
      <c r="G8894" s="1" t="str">
        <f t="shared" si="2"/>
        <v/>
      </c>
      <c r="J8894" s="1" t="str">
        <f t="shared" si="3"/>
        <v/>
      </c>
      <c r="K8894" s="1" t="str">
        <f t="shared" si="4"/>
        <v/>
      </c>
    </row>
    <row r="8895" hidden="1">
      <c r="F8895" s="1" t="str">
        <f t="shared" si="1"/>
        <v/>
      </c>
      <c r="G8895" s="1" t="str">
        <f t="shared" si="2"/>
        <v/>
      </c>
      <c r="J8895" s="1" t="str">
        <f t="shared" si="3"/>
        <v/>
      </c>
      <c r="K8895" s="1" t="str">
        <f t="shared" si="4"/>
        <v/>
      </c>
    </row>
    <row r="8896" hidden="1">
      <c r="F8896" s="1" t="str">
        <f t="shared" si="1"/>
        <v/>
      </c>
      <c r="G8896" s="1" t="str">
        <f t="shared" si="2"/>
        <v/>
      </c>
      <c r="J8896" s="1" t="str">
        <f t="shared" si="3"/>
        <v/>
      </c>
      <c r="K8896" s="1" t="str">
        <f t="shared" si="4"/>
        <v/>
      </c>
    </row>
    <row r="8897" hidden="1">
      <c r="F8897" s="1" t="str">
        <f t="shared" si="1"/>
        <v/>
      </c>
      <c r="G8897" s="1" t="str">
        <f t="shared" si="2"/>
        <v/>
      </c>
      <c r="J8897" s="1" t="str">
        <f t="shared" si="3"/>
        <v/>
      </c>
      <c r="K8897" s="1" t="str">
        <f t="shared" si="4"/>
        <v/>
      </c>
    </row>
    <row r="8898" hidden="1">
      <c r="F8898" s="1" t="str">
        <f t="shared" si="1"/>
        <v/>
      </c>
      <c r="G8898" s="1" t="str">
        <f t="shared" si="2"/>
        <v/>
      </c>
      <c r="J8898" s="1" t="str">
        <f t="shared" si="3"/>
        <v/>
      </c>
      <c r="K8898" s="1" t="str">
        <f t="shared" si="4"/>
        <v/>
      </c>
    </row>
    <row r="8899" hidden="1">
      <c r="F8899" s="1" t="str">
        <f t="shared" si="1"/>
        <v/>
      </c>
      <c r="G8899" s="1" t="str">
        <f t="shared" si="2"/>
        <v/>
      </c>
      <c r="J8899" s="1" t="str">
        <f t="shared" si="3"/>
        <v/>
      </c>
      <c r="K8899" s="1" t="str">
        <f t="shared" si="4"/>
        <v/>
      </c>
    </row>
    <row r="8900" hidden="1">
      <c r="F8900" s="1" t="str">
        <f t="shared" si="1"/>
        <v/>
      </c>
      <c r="G8900" s="1" t="str">
        <f t="shared" si="2"/>
        <v/>
      </c>
      <c r="J8900" s="1" t="str">
        <f t="shared" si="3"/>
        <v/>
      </c>
      <c r="K8900" s="1" t="str">
        <f t="shared" si="4"/>
        <v/>
      </c>
    </row>
    <row r="8901" hidden="1">
      <c r="F8901" s="1" t="str">
        <f t="shared" si="1"/>
        <v/>
      </c>
      <c r="G8901" s="1" t="str">
        <f t="shared" si="2"/>
        <v/>
      </c>
      <c r="J8901" s="1" t="str">
        <f t="shared" si="3"/>
        <v/>
      </c>
      <c r="K8901" s="1" t="str">
        <f t="shared" si="4"/>
        <v/>
      </c>
    </row>
    <row r="8902" hidden="1">
      <c r="F8902" s="1" t="str">
        <f t="shared" si="1"/>
        <v/>
      </c>
      <c r="G8902" s="1" t="str">
        <f t="shared" si="2"/>
        <v/>
      </c>
      <c r="J8902" s="1" t="str">
        <f t="shared" si="3"/>
        <v/>
      </c>
      <c r="K8902" s="1" t="str">
        <f t="shared" si="4"/>
        <v/>
      </c>
    </row>
    <row r="8903" hidden="1">
      <c r="F8903" s="1" t="str">
        <f t="shared" si="1"/>
        <v/>
      </c>
      <c r="G8903" s="1" t="str">
        <f t="shared" si="2"/>
        <v/>
      </c>
      <c r="J8903" s="1" t="str">
        <f t="shared" si="3"/>
        <v/>
      </c>
      <c r="K8903" s="1" t="str">
        <f t="shared" si="4"/>
        <v/>
      </c>
    </row>
    <row r="8904" hidden="1">
      <c r="F8904" s="1" t="str">
        <f t="shared" si="1"/>
        <v/>
      </c>
      <c r="G8904" s="1" t="str">
        <f t="shared" si="2"/>
        <v/>
      </c>
      <c r="J8904" s="1" t="str">
        <f t="shared" si="3"/>
        <v/>
      </c>
      <c r="K8904" s="1" t="str">
        <f t="shared" si="4"/>
        <v/>
      </c>
    </row>
    <row r="8905" hidden="1">
      <c r="F8905" s="1" t="str">
        <f t="shared" si="1"/>
        <v/>
      </c>
      <c r="G8905" s="1" t="str">
        <f t="shared" si="2"/>
        <v/>
      </c>
      <c r="J8905" s="1" t="str">
        <f t="shared" si="3"/>
        <v/>
      </c>
      <c r="K8905" s="1" t="str">
        <f t="shared" si="4"/>
        <v/>
      </c>
    </row>
    <row r="8906" hidden="1">
      <c r="F8906" s="1" t="str">
        <f t="shared" si="1"/>
        <v/>
      </c>
      <c r="G8906" s="1" t="str">
        <f t="shared" si="2"/>
        <v/>
      </c>
      <c r="J8906" s="1" t="str">
        <f t="shared" si="3"/>
        <v/>
      </c>
      <c r="K8906" s="1" t="str">
        <f t="shared" si="4"/>
        <v/>
      </c>
    </row>
    <row r="8907" hidden="1">
      <c r="F8907" s="1" t="str">
        <f t="shared" si="1"/>
        <v/>
      </c>
      <c r="G8907" s="1" t="str">
        <f t="shared" si="2"/>
        <v/>
      </c>
      <c r="J8907" s="1" t="str">
        <f t="shared" si="3"/>
        <v/>
      </c>
      <c r="K8907" s="1" t="str">
        <f t="shared" si="4"/>
        <v/>
      </c>
    </row>
    <row r="8908" hidden="1">
      <c r="F8908" s="1" t="str">
        <f t="shared" si="1"/>
        <v/>
      </c>
      <c r="G8908" s="1" t="str">
        <f t="shared" si="2"/>
        <v/>
      </c>
      <c r="J8908" s="1" t="str">
        <f t="shared" si="3"/>
        <v/>
      </c>
      <c r="K8908" s="1" t="str">
        <f t="shared" si="4"/>
        <v/>
      </c>
    </row>
    <row r="8909" hidden="1">
      <c r="F8909" s="1" t="str">
        <f t="shared" si="1"/>
        <v/>
      </c>
      <c r="G8909" s="1" t="str">
        <f t="shared" si="2"/>
        <v/>
      </c>
      <c r="J8909" s="1" t="str">
        <f t="shared" si="3"/>
        <v/>
      </c>
      <c r="K8909" s="1" t="str">
        <f t="shared" si="4"/>
        <v/>
      </c>
    </row>
    <row r="8910" hidden="1">
      <c r="F8910" s="1" t="str">
        <f t="shared" si="1"/>
        <v/>
      </c>
      <c r="G8910" s="1" t="str">
        <f t="shared" si="2"/>
        <v/>
      </c>
      <c r="J8910" s="1" t="str">
        <f t="shared" si="3"/>
        <v/>
      </c>
      <c r="K8910" s="1" t="str">
        <f t="shared" si="4"/>
        <v/>
      </c>
    </row>
    <row r="8911" hidden="1">
      <c r="F8911" s="1" t="str">
        <f t="shared" si="1"/>
        <v/>
      </c>
      <c r="G8911" s="1" t="str">
        <f t="shared" si="2"/>
        <v/>
      </c>
      <c r="J8911" s="1" t="str">
        <f t="shared" si="3"/>
        <v/>
      </c>
      <c r="K8911" s="1" t="str">
        <f t="shared" si="4"/>
        <v/>
      </c>
    </row>
    <row r="8912" hidden="1">
      <c r="F8912" s="1" t="str">
        <f t="shared" si="1"/>
        <v/>
      </c>
      <c r="G8912" s="1" t="str">
        <f t="shared" si="2"/>
        <v/>
      </c>
      <c r="J8912" s="1" t="str">
        <f t="shared" si="3"/>
        <v/>
      </c>
      <c r="K8912" s="1" t="str">
        <f t="shared" si="4"/>
        <v/>
      </c>
    </row>
    <row r="8913" hidden="1">
      <c r="F8913" s="1" t="str">
        <f t="shared" si="1"/>
        <v/>
      </c>
      <c r="G8913" s="1" t="str">
        <f t="shared" si="2"/>
        <v/>
      </c>
      <c r="J8913" s="1" t="str">
        <f t="shared" si="3"/>
        <v/>
      </c>
      <c r="K8913" s="1" t="str">
        <f t="shared" si="4"/>
        <v/>
      </c>
    </row>
    <row r="8914" hidden="1">
      <c r="F8914" s="1" t="str">
        <f t="shared" si="1"/>
        <v/>
      </c>
      <c r="G8914" s="1" t="str">
        <f t="shared" si="2"/>
        <v/>
      </c>
      <c r="J8914" s="1" t="str">
        <f t="shared" si="3"/>
        <v/>
      </c>
      <c r="K8914" s="1" t="str">
        <f t="shared" si="4"/>
        <v/>
      </c>
    </row>
    <row r="8915" hidden="1">
      <c r="F8915" s="1" t="str">
        <f t="shared" si="1"/>
        <v/>
      </c>
      <c r="G8915" s="1" t="str">
        <f t="shared" si="2"/>
        <v/>
      </c>
      <c r="J8915" s="1" t="str">
        <f t="shared" si="3"/>
        <v/>
      </c>
      <c r="K8915" s="1" t="str">
        <f t="shared" si="4"/>
        <v/>
      </c>
    </row>
    <row r="8916" hidden="1">
      <c r="F8916" s="1" t="str">
        <f t="shared" si="1"/>
        <v/>
      </c>
      <c r="G8916" s="1" t="str">
        <f t="shared" si="2"/>
        <v/>
      </c>
      <c r="J8916" s="1" t="str">
        <f t="shared" si="3"/>
        <v/>
      </c>
      <c r="K8916" s="1" t="str">
        <f t="shared" si="4"/>
        <v/>
      </c>
    </row>
    <row r="8917" hidden="1">
      <c r="F8917" s="1" t="str">
        <f t="shared" si="1"/>
        <v/>
      </c>
      <c r="G8917" s="1" t="str">
        <f t="shared" si="2"/>
        <v/>
      </c>
      <c r="J8917" s="1" t="str">
        <f t="shared" si="3"/>
        <v/>
      </c>
      <c r="K8917" s="1" t="str">
        <f t="shared" si="4"/>
        <v/>
      </c>
    </row>
    <row r="8918" hidden="1">
      <c r="F8918" s="1" t="str">
        <f t="shared" si="1"/>
        <v/>
      </c>
      <c r="G8918" s="1" t="str">
        <f t="shared" si="2"/>
        <v/>
      </c>
      <c r="J8918" s="1" t="str">
        <f t="shared" si="3"/>
        <v/>
      </c>
      <c r="K8918" s="1" t="str">
        <f t="shared" si="4"/>
        <v/>
      </c>
    </row>
    <row r="8919" hidden="1">
      <c r="F8919" s="1" t="str">
        <f t="shared" si="1"/>
        <v/>
      </c>
      <c r="G8919" s="1" t="str">
        <f t="shared" si="2"/>
        <v/>
      </c>
      <c r="J8919" s="1" t="str">
        <f t="shared" si="3"/>
        <v/>
      </c>
      <c r="K8919" s="1" t="str">
        <f t="shared" si="4"/>
        <v/>
      </c>
    </row>
    <row r="8920" hidden="1">
      <c r="F8920" s="1" t="str">
        <f t="shared" si="1"/>
        <v/>
      </c>
      <c r="G8920" s="1" t="str">
        <f t="shared" si="2"/>
        <v/>
      </c>
      <c r="J8920" s="1" t="str">
        <f t="shared" si="3"/>
        <v/>
      </c>
      <c r="K8920" s="1" t="str">
        <f t="shared" si="4"/>
        <v/>
      </c>
    </row>
    <row r="8921" hidden="1">
      <c r="F8921" s="1" t="str">
        <f t="shared" si="1"/>
        <v/>
      </c>
      <c r="G8921" s="1" t="str">
        <f t="shared" si="2"/>
        <v/>
      </c>
      <c r="J8921" s="1" t="str">
        <f t="shared" si="3"/>
        <v/>
      </c>
      <c r="K8921" s="1" t="str">
        <f t="shared" si="4"/>
        <v/>
      </c>
    </row>
    <row r="8922" hidden="1">
      <c r="F8922" s="1" t="str">
        <f t="shared" si="1"/>
        <v/>
      </c>
      <c r="G8922" s="1" t="str">
        <f t="shared" si="2"/>
        <v/>
      </c>
      <c r="J8922" s="1" t="str">
        <f t="shared" si="3"/>
        <v/>
      </c>
      <c r="K8922" s="1" t="str">
        <f t="shared" si="4"/>
        <v/>
      </c>
    </row>
    <row r="8923" hidden="1">
      <c r="F8923" s="1" t="str">
        <f t="shared" si="1"/>
        <v/>
      </c>
      <c r="G8923" s="1" t="str">
        <f t="shared" si="2"/>
        <v/>
      </c>
      <c r="J8923" s="1" t="str">
        <f t="shared" si="3"/>
        <v/>
      </c>
      <c r="K8923" s="1" t="str">
        <f t="shared" si="4"/>
        <v/>
      </c>
    </row>
    <row r="8924" hidden="1">
      <c r="F8924" s="1" t="str">
        <f t="shared" si="1"/>
        <v/>
      </c>
      <c r="G8924" s="1" t="str">
        <f t="shared" si="2"/>
        <v/>
      </c>
      <c r="J8924" s="1" t="str">
        <f t="shared" si="3"/>
        <v/>
      </c>
      <c r="K8924" s="1" t="str">
        <f t="shared" si="4"/>
        <v/>
      </c>
    </row>
    <row r="8925" hidden="1">
      <c r="F8925" s="1" t="str">
        <f t="shared" si="1"/>
        <v/>
      </c>
      <c r="G8925" s="1" t="str">
        <f t="shared" si="2"/>
        <v/>
      </c>
      <c r="J8925" s="1" t="str">
        <f t="shared" si="3"/>
        <v/>
      </c>
      <c r="K8925" s="1" t="str">
        <f t="shared" si="4"/>
        <v/>
      </c>
    </row>
    <row r="8926" hidden="1">
      <c r="F8926" s="1" t="str">
        <f t="shared" si="1"/>
        <v/>
      </c>
      <c r="G8926" s="1" t="str">
        <f t="shared" si="2"/>
        <v/>
      </c>
      <c r="J8926" s="1" t="str">
        <f t="shared" si="3"/>
        <v/>
      </c>
      <c r="K8926" s="1" t="str">
        <f t="shared" si="4"/>
        <v/>
      </c>
    </row>
    <row r="8927" hidden="1">
      <c r="F8927" s="1" t="str">
        <f t="shared" si="1"/>
        <v/>
      </c>
      <c r="G8927" s="1" t="str">
        <f t="shared" si="2"/>
        <v/>
      </c>
      <c r="J8927" s="1" t="str">
        <f t="shared" si="3"/>
        <v/>
      </c>
      <c r="K8927" s="1" t="str">
        <f t="shared" si="4"/>
        <v/>
      </c>
    </row>
    <row r="8928" hidden="1">
      <c r="F8928" s="1" t="str">
        <f t="shared" si="1"/>
        <v/>
      </c>
      <c r="G8928" s="1" t="str">
        <f t="shared" si="2"/>
        <v/>
      </c>
      <c r="J8928" s="1" t="str">
        <f t="shared" si="3"/>
        <v/>
      </c>
      <c r="K8928" s="1" t="str">
        <f t="shared" si="4"/>
        <v/>
      </c>
    </row>
    <row r="8929" hidden="1">
      <c r="F8929" s="1" t="str">
        <f t="shared" si="1"/>
        <v/>
      </c>
      <c r="G8929" s="1" t="str">
        <f t="shared" si="2"/>
        <v/>
      </c>
      <c r="J8929" s="1" t="str">
        <f t="shared" si="3"/>
        <v/>
      </c>
      <c r="K8929" s="1" t="str">
        <f t="shared" si="4"/>
        <v/>
      </c>
    </row>
    <row r="8930" hidden="1">
      <c r="F8930" s="1" t="str">
        <f t="shared" si="1"/>
        <v/>
      </c>
      <c r="G8930" s="1" t="str">
        <f t="shared" si="2"/>
        <v/>
      </c>
      <c r="J8930" s="1" t="str">
        <f t="shared" si="3"/>
        <v/>
      </c>
      <c r="K8930" s="1" t="str">
        <f t="shared" si="4"/>
        <v/>
      </c>
    </row>
    <row r="8931" hidden="1">
      <c r="F8931" s="1" t="str">
        <f t="shared" si="1"/>
        <v/>
      </c>
      <c r="G8931" s="1" t="str">
        <f t="shared" si="2"/>
        <v/>
      </c>
      <c r="J8931" s="1" t="str">
        <f t="shared" si="3"/>
        <v/>
      </c>
      <c r="K8931" s="1" t="str">
        <f t="shared" si="4"/>
        <v/>
      </c>
    </row>
    <row r="8932" hidden="1">
      <c r="F8932" s="1" t="str">
        <f t="shared" si="1"/>
        <v/>
      </c>
      <c r="G8932" s="1" t="str">
        <f t="shared" si="2"/>
        <v/>
      </c>
      <c r="J8932" s="1" t="str">
        <f t="shared" si="3"/>
        <v/>
      </c>
      <c r="K8932" s="1" t="str">
        <f t="shared" si="4"/>
        <v/>
      </c>
    </row>
    <row r="8933" hidden="1">
      <c r="F8933" s="1" t="str">
        <f t="shared" si="1"/>
        <v/>
      </c>
      <c r="G8933" s="1" t="str">
        <f t="shared" si="2"/>
        <v/>
      </c>
      <c r="J8933" s="1" t="str">
        <f t="shared" si="3"/>
        <v/>
      </c>
      <c r="K8933" s="1" t="str">
        <f t="shared" si="4"/>
        <v/>
      </c>
    </row>
    <row r="8934" hidden="1">
      <c r="F8934" s="1" t="str">
        <f t="shared" si="1"/>
        <v/>
      </c>
      <c r="G8934" s="1" t="str">
        <f t="shared" si="2"/>
        <v/>
      </c>
      <c r="J8934" s="1" t="str">
        <f t="shared" si="3"/>
        <v/>
      </c>
      <c r="K8934" s="1" t="str">
        <f t="shared" si="4"/>
        <v/>
      </c>
    </row>
    <row r="8935" hidden="1">
      <c r="F8935" s="1" t="str">
        <f t="shared" si="1"/>
        <v/>
      </c>
      <c r="G8935" s="1" t="str">
        <f t="shared" si="2"/>
        <v/>
      </c>
      <c r="J8935" s="1" t="str">
        <f t="shared" si="3"/>
        <v/>
      </c>
      <c r="K8935" s="1" t="str">
        <f t="shared" si="4"/>
        <v/>
      </c>
    </row>
    <row r="8936" hidden="1">
      <c r="F8936" s="1" t="str">
        <f t="shared" si="1"/>
        <v/>
      </c>
      <c r="G8936" s="1" t="str">
        <f t="shared" si="2"/>
        <v/>
      </c>
      <c r="J8936" s="1" t="str">
        <f t="shared" si="3"/>
        <v/>
      </c>
      <c r="K8936" s="1" t="str">
        <f t="shared" si="4"/>
        <v/>
      </c>
    </row>
    <row r="8937" hidden="1">
      <c r="F8937" s="1" t="str">
        <f t="shared" si="1"/>
        <v/>
      </c>
      <c r="G8937" s="1" t="str">
        <f t="shared" si="2"/>
        <v/>
      </c>
      <c r="J8937" s="1" t="str">
        <f t="shared" si="3"/>
        <v/>
      </c>
      <c r="K8937" s="1" t="str">
        <f t="shared" si="4"/>
        <v/>
      </c>
    </row>
    <row r="8938" hidden="1">
      <c r="F8938" s="1" t="str">
        <f t="shared" si="1"/>
        <v/>
      </c>
      <c r="G8938" s="1" t="str">
        <f t="shared" si="2"/>
        <v/>
      </c>
      <c r="J8938" s="1" t="str">
        <f t="shared" si="3"/>
        <v/>
      </c>
      <c r="K8938" s="1" t="str">
        <f t="shared" si="4"/>
        <v/>
      </c>
    </row>
    <row r="8939" hidden="1">
      <c r="F8939" s="1" t="str">
        <f t="shared" si="1"/>
        <v/>
      </c>
      <c r="G8939" s="1" t="str">
        <f t="shared" si="2"/>
        <v/>
      </c>
      <c r="J8939" s="1" t="str">
        <f t="shared" si="3"/>
        <v/>
      </c>
      <c r="K8939" s="1" t="str">
        <f t="shared" si="4"/>
        <v/>
      </c>
    </row>
    <row r="8940" hidden="1">
      <c r="F8940" s="1" t="str">
        <f t="shared" si="1"/>
        <v/>
      </c>
      <c r="G8940" s="1" t="str">
        <f t="shared" si="2"/>
        <v/>
      </c>
      <c r="J8940" s="1" t="str">
        <f t="shared" si="3"/>
        <v/>
      </c>
      <c r="K8940" s="1" t="str">
        <f t="shared" si="4"/>
        <v/>
      </c>
    </row>
    <row r="8941" hidden="1">
      <c r="F8941" s="1" t="str">
        <f t="shared" si="1"/>
        <v/>
      </c>
      <c r="G8941" s="1" t="str">
        <f t="shared" si="2"/>
        <v/>
      </c>
      <c r="J8941" s="1" t="str">
        <f t="shared" si="3"/>
        <v/>
      </c>
      <c r="K8941" s="1" t="str">
        <f t="shared" si="4"/>
        <v/>
      </c>
    </row>
    <row r="8942" hidden="1">
      <c r="F8942" s="1" t="str">
        <f t="shared" si="1"/>
        <v/>
      </c>
      <c r="G8942" s="1" t="str">
        <f t="shared" si="2"/>
        <v/>
      </c>
      <c r="J8942" s="1" t="str">
        <f t="shared" si="3"/>
        <v/>
      </c>
      <c r="K8942" s="1" t="str">
        <f t="shared" si="4"/>
        <v/>
      </c>
    </row>
    <row r="8943" hidden="1">
      <c r="F8943" s="1" t="str">
        <f t="shared" si="1"/>
        <v/>
      </c>
      <c r="G8943" s="1" t="str">
        <f t="shared" si="2"/>
        <v/>
      </c>
      <c r="J8943" s="1" t="str">
        <f t="shared" si="3"/>
        <v/>
      </c>
      <c r="K8943" s="1" t="str">
        <f t="shared" si="4"/>
        <v/>
      </c>
    </row>
    <row r="8944" hidden="1">
      <c r="F8944" s="1" t="str">
        <f t="shared" si="1"/>
        <v/>
      </c>
      <c r="G8944" s="1" t="str">
        <f t="shared" si="2"/>
        <v/>
      </c>
      <c r="J8944" s="1" t="str">
        <f t="shared" si="3"/>
        <v/>
      </c>
      <c r="K8944" s="1" t="str">
        <f t="shared" si="4"/>
        <v/>
      </c>
    </row>
    <row r="8945" hidden="1">
      <c r="F8945" s="1" t="str">
        <f t="shared" si="1"/>
        <v/>
      </c>
      <c r="G8945" s="1" t="str">
        <f t="shared" si="2"/>
        <v/>
      </c>
      <c r="J8945" s="1" t="str">
        <f t="shared" si="3"/>
        <v/>
      </c>
      <c r="K8945" s="1" t="str">
        <f t="shared" si="4"/>
        <v/>
      </c>
    </row>
    <row r="8946" hidden="1">
      <c r="F8946" s="1" t="str">
        <f t="shared" si="1"/>
        <v/>
      </c>
      <c r="G8946" s="1" t="str">
        <f t="shared" si="2"/>
        <v/>
      </c>
      <c r="J8946" s="1" t="str">
        <f t="shared" si="3"/>
        <v/>
      </c>
      <c r="K8946" s="1" t="str">
        <f t="shared" si="4"/>
        <v/>
      </c>
    </row>
    <row r="8947" hidden="1">
      <c r="F8947" s="1" t="str">
        <f t="shared" si="1"/>
        <v/>
      </c>
      <c r="G8947" s="1" t="str">
        <f t="shared" si="2"/>
        <v/>
      </c>
      <c r="J8947" s="1" t="str">
        <f t="shared" si="3"/>
        <v/>
      </c>
      <c r="K8947" s="1" t="str">
        <f t="shared" si="4"/>
        <v/>
      </c>
    </row>
    <row r="8948" hidden="1">
      <c r="F8948" s="1" t="str">
        <f t="shared" si="1"/>
        <v/>
      </c>
      <c r="G8948" s="1" t="str">
        <f t="shared" si="2"/>
        <v/>
      </c>
      <c r="J8948" s="1" t="str">
        <f t="shared" si="3"/>
        <v/>
      </c>
      <c r="K8948" s="1" t="str">
        <f t="shared" si="4"/>
        <v/>
      </c>
    </row>
    <row r="8949" hidden="1">
      <c r="F8949" s="1" t="str">
        <f t="shared" si="1"/>
        <v/>
      </c>
      <c r="G8949" s="1" t="str">
        <f t="shared" si="2"/>
        <v/>
      </c>
      <c r="J8949" s="1" t="str">
        <f t="shared" si="3"/>
        <v/>
      </c>
      <c r="K8949" s="1" t="str">
        <f t="shared" si="4"/>
        <v/>
      </c>
    </row>
    <row r="8950" hidden="1">
      <c r="F8950" s="1" t="str">
        <f t="shared" si="1"/>
        <v/>
      </c>
      <c r="G8950" s="1" t="str">
        <f t="shared" si="2"/>
        <v/>
      </c>
      <c r="J8950" s="1" t="str">
        <f t="shared" si="3"/>
        <v/>
      </c>
      <c r="K8950" s="1" t="str">
        <f t="shared" si="4"/>
        <v/>
      </c>
    </row>
    <row r="8951" hidden="1">
      <c r="F8951" s="1" t="str">
        <f t="shared" si="1"/>
        <v/>
      </c>
      <c r="G8951" s="1" t="str">
        <f t="shared" si="2"/>
        <v/>
      </c>
      <c r="J8951" s="1" t="str">
        <f t="shared" si="3"/>
        <v/>
      </c>
      <c r="K8951" s="1" t="str">
        <f t="shared" si="4"/>
        <v/>
      </c>
    </row>
    <row r="8952" hidden="1">
      <c r="F8952" s="1" t="str">
        <f t="shared" si="1"/>
        <v/>
      </c>
      <c r="G8952" s="1" t="str">
        <f t="shared" si="2"/>
        <v/>
      </c>
      <c r="J8952" s="1" t="str">
        <f t="shared" si="3"/>
        <v/>
      </c>
      <c r="K8952" s="1" t="str">
        <f t="shared" si="4"/>
        <v/>
      </c>
    </row>
    <row r="8953" hidden="1">
      <c r="F8953" s="1" t="str">
        <f t="shared" si="1"/>
        <v/>
      </c>
      <c r="G8953" s="1" t="str">
        <f t="shared" si="2"/>
        <v/>
      </c>
      <c r="J8953" s="1" t="str">
        <f t="shared" si="3"/>
        <v/>
      </c>
      <c r="K8953" s="1" t="str">
        <f t="shared" si="4"/>
        <v/>
      </c>
    </row>
    <row r="8954" hidden="1">
      <c r="F8954" s="1" t="str">
        <f t="shared" si="1"/>
        <v/>
      </c>
      <c r="G8954" s="1" t="str">
        <f t="shared" si="2"/>
        <v/>
      </c>
      <c r="J8954" s="1" t="str">
        <f t="shared" si="3"/>
        <v/>
      </c>
      <c r="K8954" s="1" t="str">
        <f t="shared" si="4"/>
        <v/>
      </c>
    </row>
    <row r="8955" hidden="1">
      <c r="F8955" s="1" t="str">
        <f t="shared" si="1"/>
        <v/>
      </c>
      <c r="G8955" s="1" t="str">
        <f t="shared" si="2"/>
        <v/>
      </c>
      <c r="J8955" s="1" t="str">
        <f t="shared" si="3"/>
        <v/>
      </c>
      <c r="K8955" s="1" t="str">
        <f t="shared" si="4"/>
        <v/>
      </c>
    </row>
    <row r="8956" hidden="1">
      <c r="F8956" s="1" t="str">
        <f t="shared" si="1"/>
        <v/>
      </c>
      <c r="G8956" s="1" t="str">
        <f t="shared" si="2"/>
        <v/>
      </c>
      <c r="J8956" s="1" t="str">
        <f t="shared" si="3"/>
        <v/>
      </c>
      <c r="K8956" s="1" t="str">
        <f t="shared" si="4"/>
        <v/>
      </c>
    </row>
    <row r="8957" hidden="1">
      <c r="F8957" s="1" t="str">
        <f t="shared" si="1"/>
        <v/>
      </c>
      <c r="G8957" s="1" t="str">
        <f t="shared" si="2"/>
        <v/>
      </c>
      <c r="J8957" s="1" t="str">
        <f t="shared" si="3"/>
        <v/>
      </c>
      <c r="K8957" s="1" t="str">
        <f t="shared" si="4"/>
        <v/>
      </c>
    </row>
    <row r="8958" hidden="1">
      <c r="F8958" s="1" t="str">
        <f t="shared" si="1"/>
        <v/>
      </c>
      <c r="G8958" s="1" t="str">
        <f t="shared" si="2"/>
        <v/>
      </c>
      <c r="J8958" s="1" t="str">
        <f t="shared" si="3"/>
        <v/>
      </c>
      <c r="K8958" s="1" t="str">
        <f t="shared" si="4"/>
        <v/>
      </c>
    </row>
    <row r="8959" hidden="1">
      <c r="F8959" s="1" t="str">
        <f t="shared" si="1"/>
        <v/>
      </c>
      <c r="G8959" s="1" t="str">
        <f t="shared" si="2"/>
        <v/>
      </c>
      <c r="J8959" s="1" t="str">
        <f t="shared" si="3"/>
        <v/>
      </c>
      <c r="K8959" s="1" t="str">
        <f t="shared" si="4"/>
        <v/>
      </c>
    </row>
    <row r="8960" hidden="1">
      <c r="F8960" s="1" t="str">
        <f t="shared" si="1"/>
        <v/>
      </c>
      <c r="G8960" s="1" t="str">
        <f t="shared" si="2"/>
        <v/>
      </c>
      <c r="J8960" s="1" t="str">
        <f t="shared" si="3"/>
        <v/>
      </c>
      <c r="K8960" s="1" t="str">
        <f t="shared" si="4"/>
        <v/>
      </c>
    </row>
    <row r="8961" hidden="1">
      <c r="F8961" s="1" t="str">
        <f t="shared" si="1"/>
        <v/>
      </c>
      <c r="G8961" s="1" t="str">
        <f t="shared" si="2"/>
        <v/>
      </c>
      <c r="J8961" s="1" t="str">
        <f t="shared" si="3"/>
        <v/>
      </c>
      <c r="K8961" s="1" t="str">
        <f t="shared" si="4"/>
        <v/>
      </c>
    </row>
    <row r="8962" hidden="1">
      <c r="F8962" s="1" t="str">
        <f t="shared" si="1"/>
        <v/>
      </c>
      <c r="G8962" s="1" t="str">
        <f t="shared" si="2"/>
        <v/>
      </c>
      <c r="J8962" s="1" t="str">
        <f t="shared" si="3"/>
        <v/>
      </c>
      <c r="K8962" s="1" t="str">
        <f t="shared" si="4"/>
        <v/>
      </c>
    </row>
    <row r="8963" hidden="1">
      <c r="F8963" s="1" t="str">
        <f t="shared" si="1"/>
        <v/>
      </c>
      <c r="G8963" s="1" t="str">
        <f t="shared" si="2"/>
        <v/>
      </c>
      <c r="J8963" s="1" t="str">
        <f t="shared" si="3"/>
        <v/>
      </c>
      <c r="K8963" s="1" t="str">
        <f t="shared" si="4"/>
        <v/>
      </c>
    </row>
    <row r="8964" hidden="1">
      <c r="F8964" s="1" t="str">
        <f t="shared" si="1"/>
        <v/>
      </c>
      <c r="G8964" s="1" t="str">
        <f t="shared" si="2"/>
        <v/>
      </c>
      <c r="J8964" s="1" t="str">
        <f t="shared" si="3"/>
        <v/>
      </c>
      <c r="K8964" s="1" t="str">
        <f t="shared" si="4"/>
        <v/>
      </c>
    </row>
    <row r="8965" hidden="1">
      <c r="F8965" s="1" t="str">
        <f t="shared" si="1"/>
        <v/>
      </c>
      <c r="G8965" s="1" t="str">
        <f t="shared" si="2"/>
        <v/>
      </c>
      <c r="J8965" s="1" t="str">
        <f t="shared" si="3"/>
        <v/>
      </c>
      <c r="K8965" s="1" t="str">
        <f t="shared" si="4"/>
        <v/>
      </c>
    </row>
    <row r="8966" hidden="1">
      <c r="F8966" s="1" t="str">
        <f t="shared" si="1"/>
        <v/>
      </c>
      <c r="G8966" s="1" t="str">
        <f t="shared" si="2"/>
        <v/>
      </c>
      <c r="J8966" s="1" t="str">
        <f t="shared" si="3"/>
        <v/>
      </c>
      <c r="K8966" s="1" t="str">
        <f t="shared" si="4"/>
        <v/>
      </c>
    </row>
    <row r="8967" hidden="1">
      <c r="F8967" s="1" t="str">
        <f t="shared" si="1"/>
        <v/>
      </c>
      <c r="G8967" s="1" t="str">
        <f t="shared" si="2"/>
        <v/>
      </c>
      <c r="J8967" s="1" t="str">
        <f t="shared" si="3"/>
        <v/>
      </c>
      <c r="K8967" s="1" t="str">
        <f t="shared" si="4"/>
        <v/>
      </c>
    </row>
    <row r="8968" hidden="1">
      <c r="F8968" s="1" t="str">
        <f t="shared" si="1"/>
        <v/>
      </c>
      <c r="G8968" s="1" t="str">
        <f t="shared" si="2"/>
        <v/>
      </c>
      <c r="J8968" s="1" t="str">
        <f t="shared" si="3"/>
        <v/>
      </c>
      <c r="K8968" s="1" t="str">
        <f t="shared" si="4"/>
        <v/>
      </c>
    </row>
    <row r="8969" hidden="1">
      <c r="F8969" s="1" t="str">
        <f t="shared" si="1"/>
        <v/>
      </c>
      <c r="G8969" s="1" t="str">
        <f t="shared" si="2"/>
        <v/>
      </c>
      <c r="J8969" s="1" t="str">
        <f t="shared" si="3"/>
        <v/>
      </c>
      <c r="K8969" s="1" t="str">
        <f t="shared" si="4"/>
        <v/>
      </c>
    </row>
    <row r="8970" hidden="1">
      <c r="F8970" s="1" t="str">
        <f t="shared" si="1"/>
        <v/>
      </c>
      <c r="G8970" s="1" t="str">
        <f t="shared" si="2"/>
        <v/>
      </c>
      <c r="J8970" s="1" t="str">
        <f t="shared" si="3"/>
        <v/>
      </c>
      <c r="K8970" s="1" t="str">
        <f t="shared" si="4"/>
        <v/>
      </c>
    </row>
    <row r="8971" hidden="1">
      <c r="F8971" s="1" t="str">
        <f t="shared" si="1"/>
        <v/>
      </c>
      <c r="G8971" s="1" t="str">
        <f t="shared" si="2"/>
        <v/>
      </c>
      <c r="J8971" s="1" t="str">
        <f t="shared" si="3"/>
        <v/>
      </c>
      <c r="K8971" s="1" t="str">
        <f t="shared" si="4"/>
        <v/>
      </c>
    </row>
    <row r="8972" hidden="1">
      <c r="F8972" s="1" t="str">
        <f t="shared" si="1"/>
        <v/>
      </c>
      <c r="G8972" s="1" t="str">
        <f t="shared" si="2"/>
        <v/>
      </c>
      <c r="J8972" s="1" t="str">
        <f t="shared" si="3"/>
        <v/>
      </c>
      <c r="K8972" s="1" t="str">
        <f t="shared" si="4"/>
        <v/>
      </c>
    </row>
    <row r="8973" hidden="1">
      <c r="F8973" s="1" t="str">
        <f t="shared" si="1"/>
        <v/>
      </c>
      <c r="G8973" s="1" t="str">
        <f t="shared" si="2"/>
        <v/>
      </c>
      <c r="J8973" s="1" t="str">
        <f t="shared" si="3"/>
        <v/>
      </c>
      <c r="K8973" s="1" t="str">
        <f t="shared" si="4"/>
        <v/>
      </c>
    </row>
    <row r="8974" hidden="1">
      <c r="F8974" s="1" t="str">
        <f t="shared" si="1"/>
        <v/>
      </c>
      <c r="G8974" s="1" t="str">
        <f t="shared" si="2"/>
        <v/>
      </c>
      <c r="J8974" s="1" t="str">
        <f t="shared" si="3"/>
        <v/>
      </c>
      <c r="K8974" s="1" t="str">
        <f t="shared" si="4"/>
        <v/>
      </c>
    </row>
    <row r="8975" hidden="1">
      <c r="F8975" s="1" t="str">
        <f t="shared" si="1"/>
        <v/>
      </c>
      <c r="G8975" s="1" t="str">
        <f t="shared" si="2"/>
        <v/>
      </c>
      <c r="J8975" s="1" t="str">
        <f t="shared" si="3"/>
        <v/>
      </c>
      <c r="K8975" s="1" t="str">
        <f t="shared" si="4"/>
        <v/>
      </c>
    </row>
    <row r="8976" hidden="1">
      <c r="F8976" s="1" t="str">
        <f t="shared" si="1"/>
        <v/>
      </c>
      <c r="G8976" s="1" t="str">
        <f t="shared" si="2"/>
        <v/>
      </c>
      <c r="J8976" s="1" t="str">
        <f t="shared" si="3"/>
        <v/>
      </c>
      <c r="K8976" s="1" t="str">
        <f t="shared" si="4"/>
        <v/>
      </c>
    </row>
    <row r="8977" hidden="1">
      <c r="F8977" s="1" t="str">
        <f t="shared" si="1"/>
        <v/>
      </c>
      <c r="G8977" s="1" t="str">
        <f t="shared" si="2"/>
        <v/>
      </c>
      <c r="J8977" s="1" t="str">
        <f t="shared" si="3"/>
        <v/>
      </c>
      <c r="K8977" s="1" t="str">
        <f t="shared" si="4"/>
        <v/>
      </c>
    </row>
    <row r="8978" hidden="1">
      <c r="F8978" s="1" t="str">
        <f t="shared" si="1"/>
        <v/>
      </c>
      <c r="G8978" s="1" t="str">
        <f t="shared" si="2"/>
        <v/>
      </c>
      <c r="J8978" s="1" t="str">
        <f t="shared" si="3"/>
        <v/>
      </c>
      <c r="K8978" s="1" t="str">
        <f t="shared" si="4"/>
        <v/>
      </c>
    </row>
    <row r="8979" hidden="1">
      <c r="F8979" s="1" t="str">
        <f t="shared" si="1"/>
        <v/>
      </c>
      <c r="G8979" s="1" t="str">
        <f t="shared" si="2"/>
        <v/>
      </c>
      <c r="J8979" s="1" t="str">
        <f t="shared" si="3"/>
        <v/>
      </c>
      <c r="K8979" s="1" t="str">
        <f t="shared" si="4"/>
        <v/>
      </c>
    </row>
    <row r="8980" hidden="1">
      <c r="F8980" s="1" t="str">
        <f t="shared" si="1"/>
        <v/>
      </c>
      <c r="G8980" s="1" t="str">
        <f t="shared" si="2"/>
        <v/>
      </c>
      <c r="J8980" s="1" t="str">
        <f t="shared" si="3"/>
        <v/>
      </c>
      <c r="K8980" s="1" t="str">
        <f t="shared" si="4"/>
        <v/>
      </c>
    </row>
    <row r="8981" hidden="1">
      <c r="F8981" s="1" t="str">
        <f t="shared" si="1"/>
        <v/>
      </c>
      <c r="G8981" s="1" t="str">
        <f t="shared" si="2"/>
        <v/>
      </c>
      <c r="J8981" s="1" t="str">
        <f t="shared" si="3"/>
        <v/>
      </c>
      <c r="K8981" s="1" t="str">
        <f t="shared" si="4"/>
        <v/>
      </c>
    </row>
    <row r="8982" hidden="1">
      <c r="F8982" s="1" t="str">
        <f t="shared" si="1"/>
        <v/>
      </c>
      <c r="G8982" s="1" t="str">
        <f t="shared" si="2"/>
        <v/>
      </c>
      <c r="J8982" s="1" t="str">
        <f t="shared" si="3"/>
        <v/>
      </c>
      <c r="K8982" s="1" t="str">
        <f t="shared" si="4"/>
        <v/>
      </c>
    </row>
    <row r="8983" hidden="1">
      <c r="F8983" s="1" t="str">
        <f t="shared" si="1"/>
        <v/>
      </c>
      <c r="G8983" s="1" t="str">
        <f t="shared" si="2"/>
        <v/>
      </c>
      <c r="J8983" s="1" t="str">
        <f t="shared" si="3"/>
        <v/>
      </c>
      <c r="K8983" s="1" t="str">
        <f t="shared" si="4"/>
        <v/>
      </c>
    </row>
    <row r="8984" hidden="1">
      <c r="F8984" s="1" t="str">
        <f t="shared" si="1"/>
        <v/>
      </c>
      <c r="G8984" s="1" t="str">
        <f t="shared" si="2"/>
        <v/>
      </c>
      <c r="J8984" s="1" t="str">
        <f t="shared" si="3"/>
        <v/>
      </c>
      <c r="K8984" s="1" t="str">
        <f t="shared" si="4"/>
        <v/>
      </c>
    </row>
    <row r="8985" hidden="1">
      <c r="F8985" s="1" t="str">
        <f t="shared" si="1"/>
        <v/>
      </c>
      <c r="G8985" s="1" t="str">
        <f t="shared" si="2"/>
        <v/>
      </c>
      <c r="J8985" s="1" t="str">
        <f t="shared" si="3"/>
        <v/>
      </c>
      <c r="K8985" s="1" t="str">
        <f t="shared" si="4"/>
        <v/>
      </c>
    </row>
    <row r="8986" hidden="1">
      <c r="F8986" s="1" t="str">
        <f t="shared" si="1"/>
        <v/>
      </c>
      <c r="G8986" s="1" t="str">
        <f t="shared" si="2"/>
        <v/>
      </c>
      <c r="J8986" s="1" t="str">
        <f t="shared" si="3"/>
        <v/>
      </c>
      <c r="K8986" s="1" t="str">
        <f t="shared" si="4"/>
        <v/>
      </c>
    </row>
    <row r="8987" hidden="1">
      <c r="F8987" s="1" t="str">
        <f t="shared" si="1"/>
        <v/>
      </c>
      <c r="G8987" s="1" t="str">
        <f t="shared" si="2"/>
        <v/>
      </c>
      <c r="J8987" s="1" t="str">
        <f t="shared" si="3"/>
        <v/>
      </c>
      <c r="K8987" s="1" t="str">
        <f t="shared" si="4"/>
        <v/>
      </c>
    </row>
    <row r="8988" hidden="1">
      <c r="F8988" s="1" t="str">
        <f t="shared" si="1"/>
        <v/>
      </c>
      <c r="G8988" s="1" t="str">
        <f t="shared" si="2"/>
        <v/>
      </c>
      <c r="J8988" s="1" t="str">
        <f t="shared" si="3"/>
        <v/>
      </c>
      <c r="K8988" s="1" t="str">
        <f t="shared" si="4"/>
        <v/>
      </c>
    </row>
    <row r="8989" hidden="1">
      <c r="F8989" s="1" t="str">
        <f t="shared" si="1"/>
        <v/>
      </c>
      <c r="G8989" s="1" t="str">
        <f t="shared" si="2"/>
        <v/>
      </c>
      <c r="J8989" s="1" t="str">
        <f t="shared" si="3"/>
        <v/>
      </c>
      <c r="K8989" s="1" t="str">
        <f t="shared" si="4"/>
        <v/>
      </c>
    </row>
    <row r="8990" hidden="1">
      <c r="F8990" s="1" t="str">
        <f t="shared" si="1"/>
        <v/>
      </c>
      <c r="G8990" s="1" t="str">
        <f t="shared" si="2"/>
        <v/>
      </c>
      <c r="J8990" s="1" t="str">
        <f t="shared" si="3"/>
        <v/>
      </c>
      <c r="K8990" s="1" t="str">
        <f t="shared" si="4"/>
        <v/>
      </c>
    </row>
    <row r="8991" hidden="1">
      <c r="F8991" s="1" t="str">
        <f t="shared" si="1"/>
        <v/>
      </c>
      <c r="G8991" s="1" t="str">
        <f t="shared" si="2"/>
        <v/>
      </c>
      <c r="J8991" s="1" t="str">
        <f t="shared" si="3"/>
        <v/>
      </c>
      <c r="K8991" s="1" t="str">
        <f t="shared" si="4"/>
        <v/>
      </c>
    </row>
    <row r="8992" hidden="1">
      <c r="F8992" s="1" t="str">
        <f t="shared" si="1"/>
        <v/>
      </c>
      <c r="G8992" s="1" t="str">
        <f t="shared" si="2"/>
        <v/>
      </c>
      <c r="J8992" s="1" t="str">
        <f t="shared" si="3"/>
        <v/>
      </c>
      <c r="K8992" s="1" t="str">
        <f t="shared" si="4"/>
        <v/>
      </c>
    </row>
    <row r="8993" hidden="1">
      <c r="F8993" s="1" t="str">
        <f t="shared" si="1"/>
        <v/>
      </c>
      <c r="G8993" s="1" t="str">
        <f t="shared" si="2"/>
        <v/>
      </c>
      <c r="J8993" s="1" t="str">
        <f t="shared" si="3"/>
        <v/>
      </c>
      <c r="K8993" s="1" t="str">
        <f t="shared" si="4"/>
        <v/>
      </c>
    </row>
    <row r="8994" hidden="1">
      <c r="F8994" s="1" t="str">
        <f t="shared" si="1"/>
        <v/>
      </c>
      <c r="G8994" s="1" t="str">
        <f t="shared" si="2"/>
        <v/>
      </c>
      <c r="J8994" s="1" t="str">
        <f t="shared" si="3"/>
        <v/>
      </c>
      <c r="K8994" s="1" t="str">
        <f t="shared" si="4"/>
        <v/>
      </c>
    </row>
    <row r="8995" hidden="1">
      <c r="F8995" s="1" t="str">
        <f t="shared" si="1"/>
        <v/>
      </c>
      <c r="G8995" s="1" t="str">
        <f t="shared" si="2"/>
        <v/>
      </c>
      <c r="J8995" s="1" t="str">
        <f t="shared" si="3"/>
        <v/>
      </c>
      <c r="K8995" s="1" t="str">
        <f t="shared" si="4"/>
        <v/>
      </c>
    </row>
    <row r="8996" hidden="1">
      <c r="F8996" s="1" t="str">
        <f t="shared" si="1"/>
        <v/>
      </c>
      <c r="G8996" s="1" t="str">
        <f t="shared" si="2"/>
        <v/>
      </c>
      <c r="J8996" s="1" t="str">
        <f t="shared" si="3"/>
        <v/>
      </c>
      <c r="K8996" s="1" t="str">
        <f t="shared" si="4"/>
        <v/>
      </c>
    </row>
    <row r="8997" hidden="1">
      <c r="F8997" s="1" t="str">
        <f t="shared" si="1"/>
        <v/>
      </c>
      <c r="G8997" s="1" t="str">
        <f t="shared" si="2"/>
        <v/>
      </c>
      <c r="J8997" s="1" t="str">
        <f t="shared" si="3"/>
        <v/>
      </c>
      <c r="K8997" s="1" t="str">
        <f t="shared" si="4"/>
        <v/>
      </c>
    </row>
    <row r="8998" hidden="1">
      <c r="F8998" s="1" t="str">
        <f t="shared" si="1"/>
        <v/>
      </c>
      <c r="G8998" s="1" t="str">
        <f t="shared" si="2"/>
        <v/>
      </c>
      <c r="J8998" s="1" t="str">
        <f t="shared" si="3"/>
        <v/>
      </c>
      <c r="K8998" s="1" t="str">
        <f t="shared" si="4"/>
        <v/>
      </c>
    </row>
    <row r="8999" hidden="1">
      <c r="F8999" s="1" t="str">
        <f t="shared" si="1"/>
        <v/>
      </c>
      <c r="G8999" s="1" t="str">
        <f t="shared" si="2"/>
        <v/>
      </c>
      <c r="J8999" s="1" t="str">
        <f t="shared" si="3"/>
        <v/>
      </c>
      <c r="K8999" s="1" t="str">
        <f t="shared" si="4"/>
        <v/>
      </c>
    </row>
    <row r="9000" hidden="1">
      <c r="F9000" s="1" t="str">
        <f t="shared" si="1"/>
        <v/>
      </c>
      <c r="G9000" s="1" t="str">
        <f t="shared" si="2"/>
        <v/>
      </c>
      <c r="J9000" s="1" t="str">
        <f t="shared" si="3"/>
        <v/>
      </c>
      <c r="K9000" s="1" t="str">
        <f t="shared" si="4"/>
        <v/>
      </c>
    </row>
    <row r="9001" hidden="1">
      <c r="F9001" s="1" t="str">
        <f t="shared" si="1"/>
        <v/>
      </c>
      <c r="G9001" s="1" t="str">
        <f t="shared" si="2"/>
        <v/>
      </c>
      <c r="J9001" s="1" t="str">
        <f t="shared" si="3"/>
        <v/>
      </c>
      <c r="K9001" s="1" t="str">
        <f t="shared" si="4"/>
        <v/>
      </c>
    </row>
    <row r="9002" hidden="1">
      <c r="F9002" s="1" t="str">
        <f t="shared" si="1"/>
        <v/>
      </c>
      <c r="G9002" s="1" t="str">
        <f t="shared" si="2"/>
        <v/>
      </c>
      <c r="J9002" s="1" t="str">
        <f t="shared" si="3"/>
        <v/>
      </c>
      <c r="K9002" s="1" t="str">
        <f t="shared" si="4"/>
        <v/>
      </c>
    </row>
    <row r="9003" hidden="1">
      <c r="F9003" s="1" t="str">
        <f t="shared" si="1"/>
        <v/>
      </c>
      <c r="G9003" s="1" t="str">
        <f t="shared" si="2"/>
        <v/>
      </c>
      <c r="J9003" s="1" t="str">
        <f t="shared" si="3"/>
        <v/>
      </c>
      <c r="K9003" s="1" t="str">
        <f t="shared" si="4"/>
        <v/>
      </c>
    </row>
    <row r="9004" hidden="1">
      <c r="F9004" s="1" t="str">
        <f t="shared" si="1"/>
        <v/>
      </c>
      <c r="G9004" s="1" t="str">
        <f t="shared" si="2"/>
        <v/>
      </c>
      <c r="J9004" s="1" t="str">
        <f t="shared" si="3"/>
        <v/>
      </c>
      <c r="K9004" s="1" t="str">
        <f t="shared" si="4"/>
        <v/>
      </c>
    </row>
    <row r="9005" hidden="1">
      <c r="F9005" s="1" t="str">
        <f t="shared" si="1"/>
        <v/>
      </c>
      <c r="G9005" s="1" t="str">
        <f t="shared" si="2"/>
        <v/>
      </c>
      <c r="J9005" s="1" t="str">
        <f t="shared" si="3"/>
        <v/>
      </c>
      <c r="K9005" s="1" t="str">
        <f t="shared" si="4"/>
        <v/>
      </c>
    </row>
    <row r="9006" hidden="1">
      <c r="F9006" s="1" t="str">
        <f t="shared" si="1"/>
        <v/>
      </c>
      <c r="G9006" s="1" t="str">
        <f t="shared" si="2"/>
        <v/>
      </c>
      <c r="J9006" s="1" t="str">
        <f t="shared" si="3"/>
        <v/>
      </c>
      <c r="K9006" s="1" t="str">
        <f t="shared" si="4"/>
        <v/>
      </c>
    </row>
    <row r="9007" hidden="1">
      <c r="F9007" s="1" t="str">
        <f t="shared" si="1"/>
        <v/>
      </c>
      <c r="G9007" s="1" t="str">
        <f t="shared" si="2"/>
        <v/>
      </c>
      <c r="J9007" s="1" t="str">
        <f t="shared" si="3"/>
        <v/>
      </c>
      <c r="K9007" s="1" t="str">
        <f t="shared" si="4"/>
        <v/>
      </c>
    </row>
    <row r="9008" hidden="1">
      <c r="F9008" s="1" t="str">
        <f t="shared" si="1"/>
        <v/>
      </c>
      <c r="G9008" s="1" t="str">
        <f t="shared" si="2"/>
        <v/>
      </c>
      <c r="J9008" s="1" t="str">
        <f t="shared" si="3"/>
        <v/>
      </c>
      <c r="K9008" s="1" t="str">
        <f t="shared" si="4"/>
        <v/>
      </c>
    </row>
    <row r="9009" hidden="1">
      <c r="F9009" s="1" t="str">
        <f t="shared" si="1"/>
        <v/>
      </c>
      <c r="G9009" s="1" t="str">
        <f t="shared" si="2"/>
        <v/>
      </c>
      <c r="J9009" s="1" t="str">
        <f t="shared" si="3"/>
        <v/>
      </c>
      <c r="K9009" s="1" t="str">
        <f t="shared" si="4"/>
        <v/>
      </c>
    </row>
    <row r="9010" hidden="1">
      <c r="F9010" s="1" t="str">
        <f t="shared" si="1"/>
        <v/>
      </c>
      <c r="G9010" s="1" t="str">
        <f t="shared" si="2"/>
        <v/>
      </c>
      <c r="J9010" s="1" t="str">
        <f t="shared" si="3"/>
        <v/>
      </c>
      <c r="K9010" s="1" t="str">
        <f t="shared" si="4"/>
        <v/>
      </c>
    </row>
    <row r="9011" hidden="1">
      <c r="F9011" s="1" t="str">
        <f t="shared" si="1"/>
        <v/>
      </c>
      <c r="G9011" s="1" t="str">
        <f t="shared" si="2"/>
        <v/>
      </c>
      <c r="J9011" s="1" t="str">
        <f t="shared" si="3"/>
        <v/>
      </c>
      <c r="K9011" s="1" t="str">
        <f t="shared" si="4"/>
        <v/>
      </c>
    </row>
    <row r="9012" hidden="1">
      <c r="F9012" s="1" t="str">
        <f t="shared" si="1"/>
        <v/>
      </c>
      <c r="G9012" s="1" t="str">
        <f t="shared" si="2"/>
        <v/>
      </c>
      <c r="J9012" s="1" t="str">
        <f t="shared" si="3"/>
        <v/>
      </c>
      <c r="K9012" s="1" t="str">
        <f t="shared" si="4"/>
        <v/>
      </c>
    </row>
    <row r="9013" hidden="1">
      <c r="F9013" s="1" t="str">
        <f t="shared" si="1"/>
        <v/>
      </c>
      <c r="G9013" s="1" t="str">
        <f t="shared" si="2"/>
        <v/>
      </c>
      <c r="J9013" s="1" t="str">
        <f t="shared" si="3"/>
        <v/>
      </c>
      <c r="K9013" s="1" t="str">
        <f t="shared" si="4"/>
        <v/>
      </c>
    </row>
    <row r="9014" hidden="1">
      <c r="F9014" s="1" t="str">
        <f t="shared" si="1"/>
        <v/>
      </c>
      <c r="G9014" s="1" t="str">
        <f t="shared" si="2"/>
        <v/>
      </c>
      <c r="J9014" s="1" t="str">
        <f t="shared" si="3"/>
        <v/>
      </c>
      <c r="K9014" s="1" t="str">
        <f t="shared" si="4"/>
        <v/>
      </c>
    </row>
    <row r="9015" hidden="1">
      <c r="F9015" s="1" t="str">
        <f t="shared" si="1"/>
        <v/>
      </c>
      <c r="G9015" s="1" t="str">
        <f t="shared" si="2"/>
        <v/>
      </c>
      <c r="J9015" s="1" t="str">
        <f t="shared" si="3"/>
        <v/>
      </c>
      <c r="K9015" s="1" t="str">
        <f t="shared" si="4"/>
        <v/>
      </c>
    </row>
    <row r="9016" hidden="1">
      <c r="F9016" s="1" t="str">
        <f t="shared" si="1"/>
        <v/>
      </c>
      <c r="G9016" s="1" t="str">
        <f t="shared" si="2"/>
        <v/>
      </c>
      <c r="J9016" s="1" t="str">
        <f t="shared" si="3"/>
        <v/>
      </c>
      <c r="K9016" s="1" t="str">
        <f t="shared" si="4"/>
        <v/>
      </c>
    </row>
    <row r="9017" hidden="1">
      <c r="F9017" s="1" t="str">
        <f t="shared" si="1"/>
        <v/>
      </c>
      <c r="G9017" s="1" t="str">
        <f t="shared" si="2"/>
        <v/>
      </c>
      <c r="J9017" s="1" t="str">
        <f t="shared" si="3"/>
        <v/>
      </c>
      <c r="K9017" s="1" t="str">
        <f t="shared" si="4"/>
        <v/>
      </c>
    </row>
    <row r="9018" hidden="1">
      <c r="F9018" s="1" t="str">
        <f t="shared" si="1"/>
        <v/>
      </c>
      <c r="G9018" s="1" t="str">
        <f t="shared" si="2"/>
        <v/>
      </c>
      <c r="J9018" s="1" t="str">
        <f t="shared" si="3"/>
        <v/>
      </c>
      <c r="K9018" s="1" t="str">
        <f t="shared" si="4"/>
        <v/>
      </c>
    </row>
    <row r="9019" hidden="1">
      <c r="F9019" s="1" t="str">
        <f t="shared" si="1"/>
        <v/>
      </c>
      <c r="G9019" s="1" t="str">
        <f t="shared" si="2"/>
        <v/>
      </c>
      <c r="J9019" s="1" t="str">
        <f t="shared" si="3"/>
        <v/>
      </c>
      <c r="K9019" s="1" t="str">
        <f t="shared" si="4"/>
        <v/>
      </c>
    </row>
    <row r="9020" hidden="1">
      <c r="F9020" s="1" t="str">
        <f t="shared" si="1"/>
        <v/>
      </c>
      <c r="G9020" s="1" t="str">
        <f t="shared" si="2"/>
        <v/>
      </c>
      <c r="J9020" s="1" t="str">
        <f t="shared" si="3"/>
        <v/>
      </c>
      <c r="K9020" s="1" t="str">
        <f t="shared" si="4"/>
        <v/>
      </c>
    </row>
    <row r="9021" hidden="1">
      <c r="F9021" s="1" t="str">
        <f t="shared" si="1"/>
        <v/>
      </c>
      <c r="G9021" s="1" t="str">
        <f t="shared" si="2"/>
        <v/>
      </c>
      <c r="J9021" s="1" t="str">
        <f t="shared" si="3"/>
        <v/>
      </c>
      <c r="K9021" s="1" t="str">
        <f t="shared" si="4"/>
        <v/>
      </c>
    </row>
    <row r="9022" hidden="1">
      <c r="F9022" s="1" t="str">
        <f t="shared" si="1"/>
        <v/>
      </c>
      <c r="G9022" s="1" t="str">
        <f t="shared" si="2"/>
        <v/>
      </c>
      <c r="J9022" s="1" t="str">
        <f t="shared" si="3"/>
        <v/>
      </c>
      <c r="K9022" s="1" t="str">
        <f t="shared" si="4"/>
        <v/>
      </c>
    </row>
    <row r="9023" hidden="1">
      <c r="F9023" s="1" t="str">
        <f t="shared" si="1"/>
        <v/>
      </c>
      <c r="G9023" s="1" t="str">
        <f t="shared" si="2"/>
        <v/>
      </c>
      <c r="J9023" s="1" t="str">
        <f t="shared" si="3"/>
        <v/>
      </c>
      <c r="K9023" s="1" t="str">
        <f t="shared" si="4"/>
        <v/>
      </c>
    </row>
    <row r="9024" hidden="1">
      <c r="F9024" s="1" t="str">
        <f t="shared" si="1"/>
        <v/>
      </c>
      <c r="G9024" s="1" t="str">
        <f t="shared" si="2"/>
        <v/>
      </c>
      <c r="J9024" s="1" t="str">
        <f t="shared" si="3"/>
        <v/>
      </c>
      <c r="K9024" s="1" t="str">
        <f t="shared" si="4"/>
        <v/>
      </c>
    </row>
    <row r="9025" hidden="1">
      <c r="F9025" s="1" t="str">
        <f t="shared" si="1"/>
        <v/>
      </c>
      <c r="G9025" s="1" t="str">
        <f t="shared" si="2"/>
        <v/>
      </c>
      <c r="J9025" s="1" t="str">
        <f t="shared" si="3"/>
        <v/>
      </c>
      <c r="K9025" s="1" t="str">
        <f t="shared" si="4"/>
        <v/>
      </c>
    </row>
    <row r="9026" hidden="1">
      <c r="F9026" s="1" t="str">
        <f t="shared" si="1"/>
        <v/>
      </c>
      <c r="G9026" s="1" t="str">
        <f t="shared" si="2"/>
        <v/>
      </c>
      <c r="J9026" s="1" t="str">
        <f t="shared" si="3"/>
        <v/>
      </c>
      <c r="K9026" s="1" t="str">
        <f t="shared" si="4"/>
        <v/>
      </c>
    </row>
    <row r="9027" hidden="1">
      <c r="F9027" s="1" t="str">
        <f t="shared" si="1"/>
        <v/>
      </c>
      <c r="G9027" s="1" t="str">
        <f t="shared" si="2"/>
        <v/>
      </c>
      <c r="J9027" s="1" t="str">
        <f t="shared" si="3"/>
        <v/>
      </c>
      <c r="K9027" s="1" t="str">
        <f t="shared" si="4"/>
        <v/>
      </c>
    </row>
    <row r="9028" hidden="1">
      <c r="F9028" s="1" t="str">
        <f t="shared" si="1"/>
        <v/>
      </c>
      <c r="G9028" s="1" t="str">
        <f t="shared" si="2"/>
        <v/>
      </c>
      <c r="J9028" s="1" t="str">
        <f t="shared" si="3"/>
        <v/>
      </c>
      <c r="K9028" s="1" t="str">
        <f t="shared" si="4"/>
        <v/>
      </c>
    </row>
    <row r="9029" hidden="1">
      <c r="F9029" s="1" t="str">
        <f t="shared" si="1"/>
        <v/>
      </c>
      <c r="G9029" s="1" t="str">
        <f t="shared" si="2"/>
        <v/>
      </c>
      <c r="J9029" s="1" t="str">
        <f t="shared" si="3"/>
        <v/>
      </c>
      <c r="K9029" s="1" t="str">
        <f t="shared" si="4"/>
        <v/>
      </c>
    </row>
    <row r="9030" hidden="1">
      <c r="F9030" s="1" t="str">
        <f t="shared" si="1"/>
        <v/>
      </c>
      <c r="G9030" s="1" t="str">
        <f t="shared" si="2"/>
        <v/>
      </c>
      <c r="J9030" s="1" t="str">
        <f t="shared" si="3"/>
        <v/>
      </c>
      <c r="K9030" s="1" t="str">
        <f t="shared" si="4"/>
        <v/>
      </c>
    </row>
    <row r="9031" hidden="1">
      <c r="F9031" s="1" t="str">
        <f t="shared" si="1"/>
        <v/>
      </c>
      <c r="G9031" s="1" t="str">
        <f t="shared" si="2"/>
        <v/>
      </c>
      <c r="J9031" s="1" t="str">
        <f t="shared" si="3"/>
        <v/>
      </c>
      <c r="K9031" s="1" t="str">
        <f t="shared" si="4"/>
        <v/>
      </c>
    </row>
    <row r="9032" hidden="1">
      <c r="F9032" s="1" t="str">
        <f t="shared" si="1"/>
        <v/>
      </c>
      <c r="G9032" s="1" t="str">
        <f t="shared" si="2"/>
        <v/>
      </c>
      <c r="J9032" s="1" t="str">
        <f t="shared" si="3"/>
        <v/>
      </c>
      <c r="K9032" s="1" t="str">
        <f t="shared" si="4"/>
        <v/>
      </c>
    </row>
    <row r="9033" hidden="1">
      <c r="F9033" s="1" t="str">
        <f t="shared" si="1"/>
        <v/>
      </c>
      <c r="G9033" s="1" t="str">
        <f t="shared" si="2"/>
        <v/>
      </c>
      <c r="J9033" s="1" t="str">
        <f t="shared" si="3"/>
        <v/>
      </c>
      <c r="K9033" s="1" t="str">
        <f t="shared" si="4"/>
        <v/>
      </c>
    </row>
    <row r="9034" hidden="1">
      <c r="F9034" s="1" t="str">
        <f t="shared" si="1"/>
        <v/>
      </c>
      <c r="G9034" s="1" t="str">
        <f t="shared" si="2"/>
        <v/>
      </c>
      <c r="J9034" s="1" t="str">
        <f t="shared" si="3"/>
        <v/>
      </c>
      <c r="K9034" s="1" t="str">
        <f t="shared" si="4"/>
        <v/>
      </c>
    </row>
    <row r="9035" hidden="1">
      <c r="F9035" s="1" t="str">
        <f t="shared" si="1"/>
        <v/>
      </c>
      <c r="G9035" s="1" t="str">
        <f t="shared" si="2"/>
        <v/>
      </c>
      <c r="J9035" s="1" t="str">
        <f t="shared" si="3"/>
        <v/>
      </c>
      <c r="K9035" s="1" t="str">
        <f t="shared" si="4"/>
        <v/>
      </c>
    </row>
    <row r="9036" hidden="1">
      <c r="F9036" s="1" t="str">
        <f t="shared" si="1"/>
        <v/>
      </c>
      <c r="G9036" s="1" t="str">
        <f t="shared" si="2"/>
        <v/>
      </c>
      <c r="J9036" s="1" t="str">
        <f t="shared" si="3"/>
        <v/>
      </c>
      <c r="K9036" s="1" t="str">
        <f t="shared" si="4"/>
        <v/>
      </c>
    </row>
    <row r="9037" hidden="1">
      <c r="F9037" s="1" t="str">
        <f t="shared" si="1"/>
        <v/>
      </c>
      <c r="G9037" s="1" t="str">
        <f t="shared" si="2"/>
        <v/>
      </c>
      <c r="J9037" s="1" t="str">
        <f t="shared" si="3"/>
        <v/>
      </c>
      <c r="K9037" s="1" t="str">
        <f t="shared" si="4"/>
        <v/>
      </c>
    </row>
    <row r="9038" hidden="1">
      <c r="F9038" s="1" t="str">
        <f t="shared" si="1"/>
        <v/>
      </c>
      <c r="G9038" s="1" t="str">
        <f t="shared" si="2"/>
        <v/>
      </c>
      <c r="J9038" s="1" t="str">
        <f t="shared" si="3"/>
        <v/>
      </c>
      <c r="K9038" s="1" t="str">
        <f t="shared" si="4"/>
        <v/>
      </c>
    </row>
    <row r="9039" hidden="1">
      <c r="F9039" s="1" t="str">
        <f t="shared" si="1"/>
        <v/>
      </c>
      <c r="G9039" s="1" t="str">
        <f t="shared" si="2"/>
        <v/>
      </c>
      <c r="J9039" s="1" t="str">
        <f t="shared" si="3"/>
        <v/>
      </c>
      <c r="K9039" s="1" t="str">
        <f t="shared" si="4"/>
        <v/>
      </c>
    </row>
    <row r="9040" hidden="1">
      <c r="F9040" s="1" t="str">
        <f t="shared" si="1"/>
        <v/>
      </c>
      <c r="G9040" s="1" t="str">
        <f t="shared" si="2"/>
        <v/>
      </c>
      <c r="J9040" s="1" t="str">
        <f t="shared" si="3"/>
        <v/>
      </c>
      <c r="K9040" s="1" t="str">
        <f t="shared" si="4"/>
        <v/>
      </c>
    </row>
    <row r="9041" hidden="1">
      <c r="F9041" s="1" t="str">
        <f t="shared" si="1"/>
        <v/>
      </c>
      <c r="G9041" s="1" t="str">
        <f t="shared" si="2"/>
        <v/>
      </c>
      <c r="J9041" s="1" t="str">
        <f t="shared" si="3"/>
        <v/>
      </c>
      <c r="K9041" s="1" t="str">
        <f t="shared" si="4"/>
        <v/>
      </c>
    </row>
    <row r="9042" hidden="1">
      <c r="F9042" s="1" t="str">
        <f t="shared" si="1"/>
        <v/>
      </c>
      <c r="G9042" s="1" t="str">
        <f t="shared" si="2"/>
        <v/>
      </c>
      <c r="J9042" s="1" t="str">
        <f t="shared" si="3"/>
        <v/>
      </c>
      <c r="K9042" s="1" t="str">
        <f t="shared" si="4"/>
        <v/>
      </c>
    </row>
    <row r="9043" hidden="1">
      <c r="F9043" s="1" t="str">
        <f t="shared" si="1"/>
        <v/>
      </c>
      <c r="G9043" s="1" t="str">
        <f t="shared" si="2"/>
        <v/>
      </c>
      <c r="J9043" s="1" t="str">
        <f t="shared" si="3"/>
        <v/>
      </c>
      <c r="K9043" s="1" t="str">
        <f t="shared" si="4"/>
        <v/>
      </c>
    </row>
    <row r="9044" hidden="1">
      <c r="F9044" s="1" t="str">
        <f t="shared" si="1"/>
        <v/>
      </c>
      <c r="G9044" s="1" t="str">
        <f t="shared" si="2"/>
        <v/>
      </c>
      <c r="J9044" s="1" t="str">
        <f t="shared" si="3"/>
        <v/>
      </c>
      <c r="K9044" s="1" t="str">
        <f t="shared" si="4"/>
        <v/>
      </c>
    </row>
    <row r="9045" hidden="1">
      <c r="F9045" s="1" t="str">
        <f t="shared" si="1"/>
        <v/>
      </c>
      <c r="G9045" s="1" t="str">
        <f t="shared" si="2"/>
        <v/>
      </c>
      <c r="J9045" s="1" t="str">
        <f t="shared" si="3"/>
        <v/>
      </c>
      <c r="K9045" s="1" t="str">
        <f t="shared" si="4"/>
        <v/>
      </c>
    </row>
    <row r="9046" hidden="1">
      <c r="F9046" s="1" t="str">
        <f t="shared" si="1"/>
        <v/>
      </c>
      <c r="G9046" s="1" t="str">
        <f t="shared" si="2"/>
        <v/>
      </c>
      <c r="J9046" s="1" t="str">
        <f t="shared" si="3"/>
        <v/>
      </c>
      <c r="K9046" s="1" t="str">
        <f t="shared" si="4"/>
        <v/>
      </c>
    </row>
    <row r="9047" hidden="1">
      <c r="F9047" s="1" t="str">
        <f t="shared" si="1"/>
        <v/>
      </c>
      <c r="G9047" s="1" t="str">
        <f t="shared" si="2"/>
        <v/>
      </c>
      <c r="J9047" s="1" t="str">
        <f t="shared" si="3"/>
        <v/>
      </c>
      <c r="K9047" s="1" t="str">
        <f t="shared" si="4"/>
        <v/>
      </c>
    </row>
    <row r="9048" hidden="1">
      <c r="F9048" s="1" t="str">
        <f t="shared" si="1"/>
        <v/>
      </c>
      <c r="G9048" s="1" t="str">
        <f t="shared" si="2"/>
        <v/>
      </c>
      <c r="J9048" s="1" t="str">
        <f t="shared" si="3"/>
        <v/>
      </c>
      <c r="K9048" s="1" t="str">
        <f t="shared" si="4"/>
        <v/>
      </c>
    </row>
    <row r="9049" hidden="1">
      <c r="F9049" s="1" t="str">
        <f t="shared" si="1"/>
        <v/>
      </c>
      <c r="G9049" s="1" t="str">
        <f t="shared" si="2"/>
        <v/>
      </c>
      <c r="J9049" s="1" t="str">
        <f t="shared" si="3"/>
        <v/>
      </c>
      <c r="K9049" s="1" t="str">
        <f t="shared" si="4"/>
        <v/>
      </c>
    </row>
    <row r="9050" hidden="1">
      <c r="F9050" s="1" t="str">
        <f t="shared" si="1"/>
        <v/>
      </c>
      <c r="G9050" s="1" t="str">
        <f t="shared" si="2"/>
        <v/>
      </c>
      <c r="J9050" s="1" t="str">
        <f t="shared" si="3"/>
        <v/>
      </c>
      <c r="K9050" s="1" t="str">
        <f t="shared" si="4"/>
        <v/>
      </c>
    </row>
    <row r="9051" hidden="1">
      <c r="F9051" s="1" t="str">
        <f t="shared" si="1"/>
        <v/>
      </c>
      <c r="G9051" s="1" t="str">
        <f t="shared" si="2"/>
        <v/>
      </c>
      <c r="J9051" s="1" t="str">
        <f t="shared" si="3"/>
        <v/>
      </c>
      <c r="K9051" s="1" t="str">
        <f t="shared" si="4"/>
        <v/>
      </c>
    </row>
    <row r="9052" hidden="1">
      <c r="F9052" s="1" t="str">
        <f t="shared" si="1"/>
        <v/>
      </c>
      <c r="G9052" s="1" t="str">
        <f t="shared" si="2"/>
        <v/>
      </c>
      <c r="J9052" s="1" t="str">
        <f t="shared" si="3"/>
        <v/>
      </c>
      <c r="K9052" s="1" t="str">
        <f t="shared" si="4"/>
        <v/>
      </c>
    </row>
    <row r="9053" hidden="1">
      <c r="F9053" s="1" t="str">
        <f t="shared" si="1"/>
        <v/>
      </c>
      <c r="G9053" s="1" t="str">
        <f t="shared" si="2"/>
        <v/>
      </c>
      <c r="J9053" s="1" t="str">
        <f t="shared" si="3"/>
        <v/>
      </c>
      <c r="K9053" s="1" t="str">
        <f t="shared" si="4"/>
        <v/>
      </c>
    </row>
    <row r="9054" hidden="1">
      <c r="F9054" s="1" t="str">
        <f t="shared" si="1"/>
        <v/>
      </c>
      <c r="G9054" s="1" t="str">
        <f t="shared" si="2"/>
        <v/>
      </c>
      <c r="J9054" s="1" t="str">
        <f t="shared" si="3"/>
        <v/>
      </c>
      <c r="K9054" s="1" t="str">
        <f t="shared" si="4"/>
        <v/>
      </c>
    </row>
    <row r="9055" hidden="1">
      <c r="F9055" s="1" t="str">
        <f t="shared" si="1"/>
        <v/>
      </c>
      <c r="G9055" s="1" t="str">
        <f t="shared" si="2"/>
        <v/>
      </c>
      <c r="J9055" s="1" t="str">
        <f t="shared" si="3"/>
        <v/>
      </c>
      <c r="K9055" s="1" t="str">
        <f t="shared" si="4"/>
        <v/>
      </c>
    </row>
    <row r="9056" hidden="1">
      <c r="F9056" s="1" t="str">
        <f t="shared" si="1"/>
        <v/>
      </c>
      <c r="G9056" s="1" t="str">
        <f t="shared" si="2"/>
        <v/>
      </c>
      <c r="J9056" s="1" t="str">
        <f t="shared" si="3"/>
        <v/>
      </c>
      <c r="K9056" s="1" t="str">
        <f t="shared" si="4"/>
        <v/>
      </c>
    </row>
    <row r="9057" hidden="1">
      <c r="F9057" s="1" t="str">
        <f t="shared" si="1"/>
        <v/>
      </c>
      <c r="G9057" s="1" t="str">
        <f t="shared" si="2"/>
        <v/>
      </c>
      <c r="J9057" s="1" t="str">
        <f t="shared" si="3"/>
        <v/>
      </c>
      <c r="K9057" s="1" t="str">
        <f t="shared" si="4"/>
        <v/>
      </c>
    </row>
    <row r="9058" hidden="1">
      <c r="F9058" s="1" t="str">
        <f t="shared" si="1"/>
        <v/>
      </c>
      <c r="G9058" s="1" t="str">
        <f t="shared" si="2"/>
        <v/>
      </c>
      <c r="J9058" s="1" t="str">
        <f t="shared" si="3"/>
        <v/>
      </c>
      <c r="K9058" s="1" t="str">
        <f t="shared" si="4"/>
        <v/>
      </c>
    </row>
    <row r="9059" hidden="1">
      <c r="F9059" s="1" t="str">
        <f t="shared" si="1"/>
        <v/>
      </c>
      <c r="G9059" s="1" t="str">
        <f t="shared" si="2"/>
        <v/>
      </c>
      <c r="J9059" s="1" t="str">
        <f t="shared" si="3"/>
        <v/>
      </c>
      <c r="K9059" s="1" t="str">
        <f t="shared" si="4"/>
        <v/>
      </c>
    </row>
    <row r="9060" hidden="1">
      <c r="F9060" s="1" t="str">
        <f t="shared" si="1"/>
        <v/>
      </c>
      <c r="G9060" s="1" t="str">
        <f t="shared" si="2"/>
        <v/>
      </c>
      <c r="J9060" s="1" t="str">
        <f t="shared" si="3"/>
        <v/>
      </c>
      <c r="K9060" s="1" t="str">
        <f t="shared" si="4"/>
        <v/>
      </c>
    </row>
    <row r="9061" hidden="1">
      <c r="F9061" s="1" t="str">
        <f t="shared" si="1"/>
        <v/>
      </c>
      <c r="G9061" s="1" t="str">
        <f t="shared" si="2"/>
        <v/>
      </c>
      <c r="J9061" s="1" t="str">
        <f t="shared" si="3"/>
        <v/>
      </c>
      <c r="K9061" s="1" t="str">
        <f t="shared" si="4"/>
        <v/>
      </c>
    </row>
    <row r="9062" hidden="1">
      <c r="F9062" s="1" t="str">
        <f t="shared" si="1"/>
        <v/>
      </c>
      <c r="G9062" s="1" t="str">
        <f t="shared" si="2"/>
        <v/>
      </c>
      <c r="J9062" s="1" t="str">
        <f t="shared" si="3"/>
        <v/>
      </c>
      <c r="K9062" s="1" t="str">
        <f t="shared" si="4"/>
        <v/>
      </c>
    </row>
    <row r="9063" hidden="1">
      <c r="F9063" s="1" t="str">
        <f t="shared" si="1"/>
        <v/>
      </c>
      <c r="G9063" s="1" t="str">
        <f t="shared" si="2"/>
        <v/>
      </c>
      <c r="J9063" s="1" t="str">
        <f t="shared" si="3"/>
        <v/>
      </c>
      <c r="K9063" s="1" t="str">
        <f t="shared" si="4"/>
        <v/>
      </c>
    </row>
    <row r="9064" hidden="1">
      <c r="F9064" s="1" t="str">
        <f t="shared" si="1"/>
        <v/>
      </c>
      <c r="G9064" s="1" t="str">
        <f t="shared" si="2"/>
        <v/>
      </c>
      <c r="J9064" s="1" t="str">
        <f t="shared" si="3"/>
        <v/>
      </c>
      <c r="K9064" s="1" t="str">
        <f t="shared" si="4"/>
        <v/>
      </c>
    </row>
    <row r="9065" hidden="1">
      <c r="F9065" s="1" t="str">
        <f t="shared" si="1"/>
        <v/>
      </c>
      <c r="G9065" s="1" t="str">
        <f t="shared" si="2"/>
        <v/>
      </c>
      <c r="J9065" s="1" t="str">
        <f t="shared" si="3"/>
        <v/>
      </c>
      <c r="K9065" s="1" t="str">
        <f t="shared" si="4"/>
        <v/>
      </c>
    </row>
    <row r="9066" hidden="1">
      <c r="F9066" s="1" t="str">
        <f t="shared" si="1"/>
        <v/>
      </c>
      <c r="G9066" s="1" t="str">
        <f t="shared" si="2"/>
        <v/>
      </c>
      <c r="J9066" s="1" t="str">
        <f t="shared" si="3"/>
        <v/>
      </c>
      <c r="K9066" s="1" t="str">
        <f t="shared" si="4"/>
        <v/>
      </c>
    </row>
    <row r="9067" hidden="1">
      <c r="F9067" s="1" t="str">
        <f t="shared" si="1"/>
        <v/>
      </c>
      <c r="G9067" s="1" t="str">
        <f t="shared" si="2"/>
        <v/>
      </c>
      <c r="J9067" s="1" t="str">
        <f t="shared" si="3"/>
        <v/>
      </c>
      <c r="K9067" s="1" t="str">
        <f t="shared" si="4"/>
        <v/>
      </c>
    </row>
    <row r="9068" hidden="1">
      <c r="F9068" s="1" t="str">
        <f t="shared" si="1"/>
        <v/>
      </c>
      <c r="G9068" s="1" t="str">
        <f t="shared" si="2"/>
        <v/>
      </c>
      <c r="J9068" s="1" t="str">
        <f t="shared" si="3"/>
        <v/>
      </c>
      <c r="K9068" s="1" t="str">
        <f t="shared" si="4"/>
        <v/>
      </c>
    </row>
    <row r="9069" hidden="1">
      <c r="F9069" s="1" t="str">
        <f t="shared" si="1"/>
        <v/>
      </c>
      <c r="G9069" s="1" t="str">
        <f t="shared" si="2"/>
        <v/>
      </c>
      <c r="J9069" s="1" t="str">
        <f t="shared" si="3"/>
        <v/>
      </c>
      <c r="K9069" s="1" t="str">
        <f t="shared" si="4"/>
        <v/>
      </c>
    </row>
    <row r="9070" hidden="1">
      <c r="F9070" s="1" t="str">
        <f t="shared" si="1"/>
        <v/>
      </c>
      <c r="G9070" s="1" t="str">
        <f t="shared" si="2"/>
        <v/>
      </c>
      <c r="J9070" s="1" t="str">
        <f t="shared" si="3"/>
        <v/>
      </c>
      <c r="K9070" s="1" t="str">
        <f t="shared" si="4"/>
        <v/>
      </c>
    </row>
    <row r="9071" hidden="1">
      <c r="F9071" s="1" t="str">
        <f t="shared" si="1"/>
        <v/>
      </c>
      <c r="G9071" s="1" t="str">
        <f t="shared" si="2"/>
        <v/>
      </c>
      <c r="J9071" s="1" t="str">
        <f t="shared" si="3"/>
        <v/>
      </c>
      <c r="K9071" s="1" t="str">
        <f t="shared" si="4"/>
        <v/>
      </c>
    </row>
    <row r="9072" hidden="1">
      <c r="F9072" s="1" t="str">
        <f t="shared" si="1"/>
        <v/>
      </c>
      <c r="G9072" s="1" t="str">
        <f t="shared" si="2"/>
        <v/>
      </c>
      <c r="J9072" s="1" t="str">
        <f t="shared" si="3"/>
        <v/>
      </c>
      <c r="K9072" s="1" t="str">
        <f t="shared" si="4"/>
        <v/>
      </c>
    </row>
    <row r="9073" hidden="1">
      <c r="F9073" s="1" t="str">
        <f t="shared" si="1"/>
        <v/>
      </c>
      <c r="G9073" s="1" t="str">
        <f t="shared" si="2"/>
        <v/>
      </c>
      <c r="J9073" s="1" t="str">
        <f t="shared" si="3"/>
        <v/>
      </c>
      <c r="K9073" s="1" t="str">
        <f t="shared" si="4"/>
        <v/>
      </c>
    </row>
    <row r="9074" hidden="1">
      <c r="F9074" s="1" t="str">
        <f t="shared" si="1"/>
        <v/>
      </c>
      <c r="G9074" s="1" t="str">
        <f t="shared" si="2"/>
        <v/>
      </c>
      <c r="J9074" s="1" t="str">
        <f t="shared" si="3"/>
        <v/>
      </c>
      <c r="K9074" s="1" t="str">
        <f t="shared" si="4"/>
        <v/>
      </c>
    </row>
    <row r="9075" hidden="1">
      <c r="F9075" s="1" t="str">
        <f t="shared" si="1"/>
        <v/>
      </c>
      <c r="G9075" s="1" t="str">
        <f t="shared" si="2"/>
        <v/>
      </c>
      <c r="J9075" s="1" t="str">
        <f t="shared" si="3"/>
        <v/>
      </c>
      <c r="K9075" s="1" t="str">
        <f t="shared" si="4"/>
        <v/>
      </c>
    </row>
    <row r="9076" hidden="1">
      <c r="F9076" s="1" t="str">
        <f t="shared" si="1"/>
        <v/>
      </c>
      <c r="G9076" s="1" t="str">
        <f t="shared" si="2"/>
        <v/>
      </c>
      <c r="J9076" s="1" t="str">
        <f t="shared" si="3"/>
        <v/>
      </c>
      <c r="K9076" s="1" t="str">
        <f t="shared" si="4"/>
        <v/>
      </c>
    </row>
    <row r="9077" hidden="1">
      <c r="F9077" s="1" t="str">
        <f t="shared" si="1"/>
        <v/>
      </c>
      <c r="G9077" s="1" t="str">
        <f t="shared" si="2"/>
        <v/>
      </c>
      <c r="J9077" s="1" t="str">
        <f t="shared" si="3"/>
        <v/>
      </c>
      <c r="K9077" s="1" t="str">
        <f t="shared" si="4"/>
        <v/>
      </c>
    </row>
    <row r="9078" hidden="1">
      <c r="F9078" s="1" t="str">
        <f t="shared" si="1"/>
        <v/>
      </c>
      <c r="G9078" s="1" t="str">
        <f t="shared" si="2"/>
        <v/>
      </c>
      <c r="J9078" s="1" t="str">
        <f t="shared" si="3"/>
        <v/>
      </c>
      <c r="K9078" s="1" t="str">
        <f t="shared" si="4"/>
        <v/>
      </c>
    </row>
    <row r="9079" hidden="1">
      <c r="F9079" s="1" t="str">
        <f t="shared" si="1"/>
        <v/>
      </c>
      <c r="G9079" s="1" t="str">
        <f t="shared" si="2"/>
        <v/>
      </c>
      <c r="J9079" s="1" t="str">
        <f t="shared" si="3"/>
        <v/>
      </c>
      <c r="K9079" s="1" t="str">
        <f t="shared" si="4"/>
        <v/>
      </c>
    </row>
    <row r="9080" hidden="1">
      <c r="F9080" s="1" t="str">
        <f t="shared" si="1"/>
        <v/>
      </c>
      <c r="G9080" s="1" t="str">
        <f t="shared" si="2"/>
        <v/>
      </c>
      <c r="J9080" s="1" t="str">
        <f t="shared" si="3"/>
        <v/>
      </c>
      <c r="K9080" s="1" t="str">
        <f t="shared" si="4"/>
        <v/>
      </c>
    </row>
    <row r="9081" hidden="1">
      <c r="F9081" s="1" t="str">
        <f t="shared" si="1"/>
        <v/>
      </c>
      <c r="G9081" s="1" t="str">
        <f t="shared" si="2"/>
        <v/>
      </c>
      <c r="J9081" s="1" t="str">
        <f t="shared" si="3"/>
        <v/>
      </c>
      <c r="K9081" s="1" t="str">
        <f t="shared" si="4"/>
        <v/>
      </c>
    </row>
    <row r="9082" hidden="1">
      <c r="F9082" s="1" t="str">
        <f t="shared" si="1"/>
        <v/>
      </c>
      <c r="G9082" s="1" t="str">
        <f t="shared" si="2"/>
        <v/>
      </c>
      <c r="J9082" s="1" t="str">
        <f t="shared" si="3"/>
        <v/>
      </c>
      <c r="K9082" s="1" t="str">
        <f t="shared" si="4"/>
        <v/>
      </c>
    </row>
    <row r="9083" hidden="1">
      <c r="F9083" s="1" t="str">
        <f t="shared" si="1"/>
        <v/>
      </c>
      <c r="G9083" s="1" t="str">
        <f t="shared" si="2"/>
        <v/>
      </c>
      <c r="J9083" s="1" t="str">
        <f t="shared" si="3"/>
        <v/>
      </c>
      <c r="K9083" s="1" t="str">
        <f t="shared" si="4"/>
        <v/>
      </c>
    </row>
    <row r="9084" hidden="1">
      <c r="F9084" s="1" t="str">
        <f t="shared" si="1"/>
        <v/>
      </c>
      <c r="G9084" s="1" t="str">
        <f t="shared" si="2"/>
        <v/>
      </c>
      <c r="J9084" s="1" t="str">
        <f t="shared" si="3"/>
        <v/>
      </c>
      <c r="K9084" s="1" t="str">
        <f t="shared" si="4"/>
        <v/>
      </c>
    </row>
    <row r="9085" hidden="1">
      <c r="F9085" s="1" t="str">
        <f t="shared" si="1"/>
        <v/>
      </c>
      <c r="G9085" s="1" t="str">
        <f t="shared" si="2"/>
        <v/>
      </c>
      <c r="J9085" s="1" t="str">
        <f t="shared" si="3"/>
        <v/>
      </c>
      <c r="K9085" s="1" t="str">
        <f t="shared" si="4"/>
        <v/>
      </c>
    </row>
    <row r="9086" hidden="1">
      <c r="F9086" s="1" t="str">
        <f t="shared" si="1"/>
        <v/>
      </c>
      <c r="G9086" s="1" t="str">
        <f t="shared" si="2"/>
        <v/>
      </c>
      <c r="J9086" s="1" t="str">
        <f t="shared" si="3"/>
        <v/>
      </c>
      <c r="K9086" s="1" t="str">
        <f t="shared" si="4"/>
        <v/>
      </c>
    </row>
    <row r="9087" hidden="1">
      <c r="F9087" s="1" t="str">
        <f t="shared" si="1"/>
        <v/>
      </c>
      <c r="G9087" s="1" t="str">
        <f t="shared" si="2"/>
        <v/>
      </c>
      <c r="J9087" s="1" t="str">
        <f t="shared" si="3"/>
        <v/>
      </c>
      <c r="K9087" s="1" t="str">
        <f t="shared" si="4"/>
        <v/>
      </c>
    </row>
    <row r="9088" hidden="1">
      <c r="F9088" s="1" t="str">
        <f t="shared" si="1"/>
        <v/>
      </c>
      <c r="G9088" s="1" t="str">
        <f t="shared" si="2"/>
        <v/>
      </c>
      <c r="J9088" s="1" t="str">
        <f t="shared" si="3"/>
        <v/>
      </c>
      <c r="K9088" s="1" t="str">
        <f t="shared" si="4"/>
        <v/>
      </c>
    </row>
    <row r="9089" hidden="1">
      <c r="F9089" s="1" t="str">
        <f t="shared" si="1"/>
        <v/>
      </c>
      <c r="G9089" s="1" t="str">
        <f t="shared" si="2"/>
        <v/>
      </c>
      <c r="J9089" s="1" t="str">
        <f t="shared" si="3"/>
        <v/>
      </c>
      <c r="K9089" s="1" t="str">
        <f t="shared" si="4"/>
        <v/>
      </c>
    </row>
    <row r="9090" hidden="1">
      <c r="F9090" s="1" t="str">
        <f t="shared" si="1"/>
        <v/>
      </c>
      <c r="G9090" s="1" t="str">
        <f t="shared" si="2"/>
        <v/>
      </c>
      <c r="J9090" s="1" t="str">
        <f t="shared" si="3"/>
        <v/>
      </c>
      <c r="K9090" s="1" t="str">
        <f t="shared" si="4"/>
        <v/>
      </c>
    </row>
    <row r="9091" hidden="1">
      <c r="F9091" s="1" t="str">
        <f t="shared" si="1"/>
        <v/>
      </c>
      <c r="G9091" s="1" t="str">
        <f t="shared" si="2"/>
        <v/>
      </c>
      <c r="J9091" s="1" t="str">
        <f t="shared" si="3"/>
        <v/>
      </c>
      <c r="K9091" s="1" t="str">
        <f t="shared" si="4"/>
        <v/>
      </c>
    </row>
    <row r="9092" hidden="1">
      <c r="F9092" s="1" t="str">
        <f t="shared" si="1"/>
        <v/>
      </c>
      <c r="G9092" s="1" t="str">
        <f t="shared" si="2"/>
        <v/>
      </c>
      <c r="J9092" s="1" t="str">
        <f t="shared" si="3"/>
        <v/>
      </c>
      <c r="K9092" s="1" t="str">
        <f t="shared" si="4"/>
        <v/>
      </c>
    </row>
    <row r="9093" hidden="1">
      <c r="F9093" s="1" t="str">
        <f t="shared" si="1"/>
        <v/>
      </c>
      <c r="G9093" s="1" t="str">
        <f t="shared" si="2"/>
        <v/>
      </c>
      <c r="J9093" s="1" t="str">
        <f t="shared" si="3"/>
        <v/>
      </c>
      <c r="K9093" s="1" t="str">
        <f t="shared" si="4"/>
        <v/>
      </c>
    </row>
    <row r="9094" hidden="1">
      <c r="F9094" s="1" t="str">
        <f t="shared" si="1"/>
        <v/>
      </c>
      <c r="G9094" s="1" t="str">
        <f t="shared" si="2"/>
        <v/>
      </c>
      <c r="J9094" s="1" t="str">
        <f t="shared" si="3"/>
        <v/>
      </c>
      <c r="K9094" s="1" t="str">
        <f t="shared" si="4"/>
        <v/>
      </c>
    </row>
    <row r="9095" hidden="1">
      <c r="F9095" s="1" t="str">
        <f t="shared" si="1"/>
        <v/>
      </c>
      <c r="G9095" s="1" t="str">
        <f t="shared" si="2"/>
        <v/>
      </c>
      <c r="J9095" s="1" t="str">
        <f t="shared" si="3"/>
        <v/>
      </c>
      <c r="K9095" s="1" t="str">
        <f t="shared" si="4"/>
        <v/>
      </c>
    </row>
    <row r="9096" hidden="1">
      <c r="F9096" s="1" t="str">
        <f t="shared" si="1"/>
        <v/>
      </c>
      <c r="G9096" s="1" t="str">
        <f t="shared" si="2"/>
        <v/>
      </c>
      <c r="J9096" s="1" t="str">
        <f t="shared" si="3"/>
        <v/>
      </c>
      <c r="K9096" s="1" t="str">
        <f t="shared" si="4"/>
        <v/>
      </c>
    </row>
    <row r="9097" hidden="1">
      <c r="F9097" s="1" t="str">
        <f t="shared" si="1"/>
        <v/>
      </c>
      <c r="G9097" s="1" t="str">
        <f t="shared" si="2"/>
        <v/>
      </c>
      <c r="J9097" s="1" t="str">
        <f t="shared" si="3"/>
        <v/>
      </c>
      <c r="K9097" s="1" t="str">
        <f t="shared" si="4"/>
        <v/>
      </c>
    </row>
    <row r="9098" hidden="1">
      <c r="F9098" s="1" t="str">
        <f t="shared" si="1"/>
        <v/>
      </c>
      <c r="G9098" s="1" t="str">
        <f t="shared" si="2"/>
        <v/>
      </c>
      <c r="J9098" s="1" t="str">
        <f t="shared" si="3"/>
        <v/>
      </c>
      <c r="K9098" s="1" t="str">
        <f t="shared" si="4"/>
        <v/>
      </c>
    </row>
    <row r="9099" hidden="1">
      <c r="F9099" s="1" t="str">
        <f t="shared" si="1"/>
        <v/>
      </c>
      <c r="G9099" s="1" t="str">
        <f t="shared" si="2"/>
        <v/>
      </c>
      <c r="J9099" s="1" t="str">
        <f t="shared" si="3"/>
        <v/>
      </c>
      <c r="K9099" s="1" t="str">
        <f t="shared" si="4"/>
        <v/>
      </c>
    </row>
    <row r="9100" hidden="1">
      <c r="F9100" s="1" t="str">
        <f t="shared" si="1"/>
        <v/>
      </c>
      <c r="G9100" s="1" t="str">
        <f t="shared" si="2"/>
        <v/>
      </c>
      <c r="J9100" s="1" t="str">
        <f t="shared" si="3"/>
        <v/>
      </c>
      <c r="K9100" s="1" t="str">
        <f t="shared" si="4"/>
        <v/>
      </c>
    </row>
    <row r="9101" hidden="1">
      <c r="F9101" s="1" t="str">
        <f t="shared" si="1"/>
        <v/>
      </c>
      <c r="G9101" s="1" t="str">
        <f t="shared" si="2"/>
        <v/>
      </c>
      <c r="J9101" s="1" t="str">
        <f t="shared" si="3"/>
        <v/>
      </c>
      <c r="K9101" s="1" t="str">
        <f t="shared" si="4"/>
        <v/>
      </c>
    </row>
    <row r="9102" hidden="1">
      <c r="F9102" s="1" t="str">
        <f t="shared" si="1"/>
        <v/>
      </c>
      <c r="G9102" s="1" t="str">
        <f t="shared" si="2"/>
        <v/>
      </c>
      <c r="J9102" s="1" t="str">
        <f t="shared" si="3"/>
        <v/>
      </c>
      <c r="K9102" s="1" t="str">
        <f t="shared" si="4"/>
        <v/>
      </c>
    </row>
    <row r="9103" hidden="1">
      <c r="F9103" s="1" t="str">
        <f t="shared" si="1"/>
        <v/>
      </c>
      <c r="G9103" s="1" t="str">
        <f t="shared" si="2"/>
        <v/>
      </c>
      <c r="J9103" s="1" t="str">
        <f t="shared" si="3"/>
        <v/>
      </c>
      <c r="K9103" s="1" t="str">
        <f t="shared" si="4"/>
        <v/>
      </c>
    </row>
    <row r="9104" hidden="1">
      <c r="F9104" s="1" t="str">
        <f t="shared" si="1"/>
        <v/>
      </c>
      <c r="G9104" s="1" t="str">
        <f t="shared" si="2"/>
        <v/>
      </c>
      <c r="J9104" s="1" t="str">
        <f t="shared" si="3"/>
        <v/>
      </c>
      <c r="K9104" s="1" t="str">
        <f t="shared" si="4"/>
        <v/>
      </c>
    </row>
    <row r="9105" hidden="1">
      <c r="F9105" s="1" t="str">
        <f t="shared" si="1"/>
        <v/>
      </c>
      <c r="G9105" s="1" t="str">
        <f t="shared" si="2"/>
        <v/>
      </c>
      <c r="J9105" s="1" t="str">
        <f t="shared" si="3"/>
        <v/>
      </c>
      <c r="K9105" s="1" t="str">
        <f t="shared" si="4"/>
        <v/>
      </c>
    </row>
    <row r="9106" hidden="1">
      <c r="F9106" s="1" t="str">
        <f t="shared" si="1"/>
        <v/>
      </c>
      <c r="G9106" s="1" t="str">
        <f t="shared" si="2"/>
        <v/>
      </c>
      <c r="J9106" s="1" t="str">
        <f t="shared" si="3"/>
        <v/>
      </c>
      <c r="K9106" s="1" t="str">
        <f t="shared" si="4"/>
        <v/>
      </c>
    </row>
    <row r="9107" hidden="1">
      <c r="F9107" s="1" t="str">
        <f t="shared" si="1"/>
        <v/>
      </c>
      <c r="G9107" s="1" t="str">
        <f t="shared" si="2"/>
        <v/>
      </c>
      <c r="J9107" s="1" t="str">
        <f t="shared" si="3"/>
        <v/>
      </c>
      <c r="K9107" s="1" t="str">
        <f t="shared" si="4"/>
        <v/>
      </c>
    </row>
    <row r="9108" hidden="1">
      <c r="F9108" s="1" t="str">
        <f t="shared" si="1"/>
        <v/>
      </c>
      <c r="G9108" s="1" t="str">
        <f t="shared" si="2"/>
        <v/>
      </c>
      <c r="J9108" s="1" t="str">
        <f t="shared" si="3"/>
        <v/>
      </c>
      <c r="K9108" s="1" t="str">
        <f t="shared" si="4"/>
        <v/>
      </c>
    </row>
    <row r="9109" hidden="1">
      <c r="F9109" s="1" t="str">
        <f t="shared" si="1"/>
        <v/>
      </c>
      <c r="G9109" s="1" t="str">
        <f t="shared" si="2"/>
        <v/>
      </c>
      <c r="J9109" s="1" t="str">
        <f t="shared" si="3"/>
        <v/>
      </c>
      <c r="K9109" s="1" t="str">
        <f t="shared" si="4"/>
        <v/>
      </c>
    </row>
    <row r="9110" hidden="1">
      <c r="F9110" s="1" t="str">
        <f t="shared" si="1"/>
        <v/>
      </c>
      <c r="G9110" s="1" t="str">
        <f t="shared" si="2"/>
        <v/>
      </c>
      <c r="J9110" s="1" t="str">
        <f t="shared" si="3"/>
        <v/>
      </c>
      <c r="K9110" s="1" t="str">
        <f t="shared" si="4"/>
        <v/>
      </c>
    </row>
    <row r="9111" hidden="1">
      <c r="F9111" s="1" t="str">
        <f t="shared" si="1"/>
        <v/>
      </c>
      <c r="G9111" s="1" t="str">
        <f t="shared" si="2"/>
        <v/>
      </c>
      <c r="J9111" s="1" t="str">
        <f t="shared" si="3"/>
        <v/>
      </c>
      <c r="K9111" s="1" t="str">
        <f t="shared" si="4"/>
        <v/>
      </c>
    </row>
    <row r="9112" hidden="1">
      <c r="F9112" s="1" t="str">
        <f t="shared" si="1"/>
        <v/>
      </c>
      <c r="G9112" s="1" t="str">
        <f t="shared" si="2"/>
        <v/>
      </c>
      <c r="J9112" s="1" t="str">
        <f t="shared" si="3"/>
        <v/>
      </c>
      <c r="K9112" s="1" t="str">
        <f t="shared" si="4"/>
        <v/>
      </c>
    </row>
    <row r="9113" hidden="1">
      <c r="F9113" s="1" t="str">
        <f t="shared" si="1"/>
        <v/>
      </c>
      <c r="G9113" s="1" t="str">
        <f t="shared" si="2"/>
        <v/>
      </c>
      <c r="J9113" s="1" t="str">
        <f t="shared" si="3"/>
        <v/>
      </c>
      <c r="K9113" s="1" t="str">
        <f t="shared" si="4"/>
        <v/>
      </c>
    </row>
    <row r="9114" hidden="1">
      <c r="F9114" s="1" t="str">
        <f t="shared" si="1"/>
        <v/>
      </c>
      <c r="G9114" s="1" t="str">
        <f t="shared" si="2"/>
        <v/>
      </c>
      <c r="J9114" s="1" t="str">
        <f t="shared" si="3"/>
        <v/>
      </c>
      <c r="K9114" s="1" t="str">
        <f t="shared" si="4"/>
        <v/>
      </c>
    </row>
    <row r="9115" hidden="1">
      <c r="F9115" s="1" t="str">
        <f t="shared" si="1"/>
        <v/>
      </c>
      <c r="G9115" s="1" t="str">
        <f t="shared" si="2"/>
        <v/>
      </c>
      <c r="J9115" s="1" t="str">
        <f t="shared" si="3"/>
        <v/>
      </c>
      <c r="K9115" s="1" t="str">
        <f t="shared" si="4"/>
        <v/>
      </c>
    </row>
    <row r="9116" hidden="1">
      <c r="F9116" s="1" t="str">
        <f t="shared" si="1"/>
        <v/>
      </c>
      <c r="G9116" s="1" t="str">
        <f t="shared" si="2"/>
        <v/>
      </c>
      <c r="J9116" s="1" t="str">
        <f t="shared" si="3"/>
        <v/>
      </c>
      <c r="K9116" s="1" t="str">
        <f t="shared" si="4"/>
        <v/>
      </c>
    </row>
    <row r="9117" hidden="1">
      <c r="F9117" s="1" t="str">
        <f t="shared" si="1"/>
        <v/>
      </c>
      <c r="G9117" s="1" t="str">
        <f t="shared" si="2"/>
        <v/>
      </c>
      <c r="J9117" s="1" t="str">
        <f t="shared" si="3"/>
        <v/>
      </c>
      <c r="K9117" s="1" t="str">
        <f t="shared" si="4"/>
        <v/>
      </c>
    </row>
    <row r="9118" hidden="1">
      <c r="F9118" s="1" t="str">
        <f t="shared" si="1"/>
        <v/>
      </c>
      <c r="G9118" s="1" t="str">
        <f t="shared" si="2"/>
        <v/>
      </c>
      <c r="J9118" s="1" t="str">
        <f t="shared" si="3"/>
        <v/>
      </c>
      <c r="K9118" s="1" t="str">
        <f t="shared" si="4"/>
        <v/>
      </c>
    </row>
    <row r="9119" hidden="1">
      <c r="F9119" s="1" t="str">
        <f t="shared" si="1"/>
        <v/>
      </c>
      <c r="G9119" s="1" t="str">
        <f t="shared" si="2"/>
        <v/>
      </c>
      <c r="J9119" s="1" t="str">
        <f t="shared" si="3"/>
        <v/>
      </c>
      <c r="K9119" s="1" t="str">
        <f t="shared" si="4"/>
        <v/>
      </c>
    </row>
    <row r="9120" hidden="1">
      <c r="F9120" s="1" t="str">
        <f t="shared" si="1"/>
        <v/>
      </c>
      <c r="G9120" s="1" t="str">
        <f t="shared" si="2"/>
        <v/>
      </c>
      <c r="J9120" s="1" t="str">
        <f t="shared" si="3"/>
        <v/>
      </c>
      <c r="K9120" s="1" t="str">
        <f t="shared" si="4"/>
        <v/>
      </c>
    </row>
    <row r="9121" hidden="1">
      <c r="F9121" s="1" t="str">
        <f t="shared" si="1"/>
        <v/>
      </c>
      <c r="G9121" s="1" t="str">
        <f t="shared" si="2"/>
        <v/>
      </c>
      <c r="J9121" s="1" t="str">
        <f t="shared" si="3"/>
        <v/>
      </c>
      <c r="K9121" s="1" t="str">
        <f t="shared" si="4"/>
        <v/>
      </c>
    </row>
    <row r="9122" hidden="1">
      <c r="F9122" s="1" t="str">
        <f t="shared" si="1"/>
        <v/>
      </c>
      <c r="G9122" s="1" t="str">
        <f t="shared" si="2"/>
        <v/>
      </c>
      <c r="J9122" s="1" t="str">
        <f t="shared" si="3"/>
        <v/>
      </c>
      <c r="K9122" s="1" t="str">
        <f t="shared" si="4"/>
        <v/>
      </c>
    </row>
    <row r="9123" hidden="1">
      <c r="F9123" s="1" t="str">
        <f t="shared" si="1"/>
        <v/>
      </c>
      <c r="G9123" s="1" t="str">
        <f t="shared" si="2"/>
        <v/>
      </c>
      <c r="J9123" s="1" t="str">
        <f t="shared" si="3"/>
        <v/>
      </c>
      <c r="K9123" s="1" t="str">
        <f t="shared" si="4"/>
        <v/>
      </c>
    </row>
    <row r="9124" hidden="1">
      <c r="F9124" s="1" t="str">
        <f t="shared" si="1"/>
        <v/>
      </c>
      <c r="G9124" s="1" t="str">
        <f t="shared" si="2"/>
        <v/>
      </c>
      <c r="J9124" s="1" t="str">
        <f t="shared" si="3"/>
        <v/>
      </c>
      <c r="K9124" s="1" t="str">
        <f t="shared" si="4"/>
        <v/>
      </c>
    </row>
    <row r="9125" hidden="1">
      <c r="F9125" s="1" t="str">
        <f t="shared" si="1"/>
        <v/>
      </c>
      <c r="G9125" s="1" t="str">
        <f t="shared" si="2"/>
        <v/>
      </c>
      <c r="J9125" s="1" t="str">
        <f t="shared" si="3"/>
        <v/>
      </c>
      <c r="K9125" s="1" t="str">
        <f t="shared" si="4"/>
        <v/>
      </c>
    </row>
    <row r="9126" hidden="1">
      <c r="F9126" s="1" t="str">
        <f t="shared" si="1"/>
        <v/>
      </c>
      <c r="G9126" s="1" t="str">
        <f t="shared" si="2"/>
        <v/>
      </c>
      <c r="J9126" s="1" t="str">
        <f t="shared" si="3"/>
        <v/>
      </c>
      <c r="K9126" s="1" t="str">
        <f t="shared" si="4"/>
        <v/>
      </c>
    </row>
    <row r="9127" hidden="1">
      <c r="F9127" s="1" t="str">
        <f t="shared" si="1"/>
        <v/>
      </c>
      <c r="G9127" s="1" t="str">
        <f t="shared" si="2"/>
        <v/>
      </c>
      <c r="J9127" s="1" t="str">
        <f t="shared" si="3"/>
        <v/>
      </c>
      <c r="K9127" s="1" t="str">
        <f t="shared" si="4"/>
        <v/>
      </c>
    </row>
    <row r="9128" hidden="1">
      <c r="F9128" s="1" t="str">
        <f t="shared" si="1"/>
        <v/>
      </c>
      <c r="G9128" s="1" t="str">
        <f t="shared" si="2"/>
        <v/>
      </c>
      <c r="J9128" s="1" t="str">
        <f t="shared" si="3"/>
        <v/>
      </c>
      <c r="K9128" s="1" t="str">
        <f t="shared" si="4"/>
        <v/>
      </c>
    </row>
    <row r="9129" hidden="1">
      <c r="F9129" s="1" t="str">
        <f t="shared" si="1"/>
        <v/>
      </c>
      <c r="G9129" s="1" t="str">
        <f t="shared" si="2"/>
        <v/>
      </c>
      <c r="J9129" s="1" t="str">
        <f t="shared" si="3"/>
        <v/>
      </c>
      <c r="K9129" s="1" t="str">
        <f t="shared" si="4"/>
        <v/>
      </c>
    </row>
    <row r="9130" hidden="1">
      <c r="F9130" s="1" t="str">
        <f t="shared" si="1"/>
        <v/>
      </c>
      <c r="G9130" s="1" t="str">
        <f t="shared" si="2"/>
        <v/>
      </c>
      <c r="J9130" s="1" t="str">
        <f t="shared" si="3"/>
        <v/>
      </c>
      <c r="K9130" s="1" t="str">
        <f t="shared" si="4"/>
        <v/>
      </c>
    </row>
    <row r="9131" hidden="1">
      <c r="F9131" s="1" t="str">
        <f t="shared" si="1"/>
        <v/>
      </c>
      <c r="G9131" s="1" t="str">
        <f t="shared" si="2"/>
        <v/>
      </c>
      <c r="J9131" s="1" t="str">
        <f t="shared" si="3"/>
        <v/>
      </c>
      <c r="K9131" s="1" t="str">
        <f t="shared" si="4"/>
        <v/>
      </c>
    </row>
    <row r="9132" hidden="1">
      <c r="F9132" s="1" t="str">
        <f t="shared" si="1"/>
        <v/>
      </c>
      <c r="G9132" s="1" t="str">
        <f t="shared" si="2"/>
        <v/>
      </c>
      <c r="J9132" s="1" t="str">
        <f t="shared" si="3"/>
        <v/>
      </c>
      <c r="K9132" s="1" t="str">
        <f t="shared" si="4"/>
        <v/>
      </c>
    </row>
    <row r="9133" hidden="1">
      <c r="F9133" s="1" t="str">
        <f t="shared" si="1"/>
        <v/>
      </c>
      <c r="G9133" s="1" t="str">
        <f t="shared" si="2"/>
        <v/>
      </c>
      <c r="J9133" s="1" t="str">
        <f t="shared" si="3"/>
        <v/>
      </c>
      <c r="K9133" s="1" t="str">
        <f t="shared" si="4"/>
        <v/>
      </c>
    </row>
    <row r="9134" hidden="1">
      <c r="F9134" s="1" t="str">
        <f t="shared" si="1"/>
        <v/>
      </c>
      <c r="G9134" s="1" t="str">
        <f t="shared" si="2"/>
        <v/>
      </c>
      <c r="J9134" s="1" t="str">
        <f t="shared" si="3"/>
        <v/>
      </c>
      <c r="K9134" s="1" t="str">
        <f t="shared" si="4"/>
        <v/>
      </c>
    </row>
    <row r="9135" hidden="1">
      <c r="F9135" s="1" t="str">
        <f t="shared" si="1"/>
        <v/>
      </c>
      <c r="G9135" s="1" t="str">
        <f t="shared" si="2"/>
        <v/>
      </c>
      <c r="J9135" s="1" t="str">
        <f t="shared" si="3"/>
        <v/>
      </c>
      <c r="K9135" s="1" t="str">
        <f t="shared" si="4"/>
        <v/>
      </c>
    </row>
    <row r="9136" hidden="1">
      <c r="F9136" s="1" t="str">
        <f t="shared" si="1"/>
        <v/>
      </c>
      <c r="G9136" s="1" t="str">
        <f t="shared" si="2"/>
        <v/>
      </c>
      <c r="J9136" s="1" t="str">
        <f t="shared" si="3"/>
        <v/>
      </c>
      <c r="K9136" s="1" t="str">
        <f t="shared" si="4"/>
        <v/>
      </c>
    </row>
    <row r="9137" hidden="1">
      <c r="F9137" s="1" t="str">
        <f t="shared" si="1"/>
        <v/>
      </c>
      <c r="G9137" s="1" t="str">
        <f t="shared" si="2"/>
        <v/>
      </c>
      <c r="J9137" s="1" t="str">
        <f t="shared" si="3"/>
        <v/>
      </c>
      <c r="K9137" s="1" t="str">
        <f t="shared" si="4"/>
        <v/>
      </c>
    </row>
    <row r="9138" hidden="1">
      <c r="F9138" s="1" t="str">
        <f t="shared" si="1"/>
        <v/>
      </c>
      <c r="G9138" s="1" t="str">
        <f t="shared" si="2"/>
        <v/>
      </c>
      <c r="J9138" s="1" t="str">
        <f t="shared" si="3"/>
        <v/>
      </c>
      <c r="K9138" s="1" t="str">
        <f t="shared" si="4"/>
        <v/>
      </c>
    </row>
    <row r="9139" hidden="1">
      <c r="F9139" s="1" t="str">
        <f t="shared" si="1"/>
        <v/>
      </c>
      <c r="G9139" s="1" t="str">
        <f t="shared" si="2"/>
        <v/>
      </c>
      <c r="J9139" s="1" t="str">
        <f t="shared" si="3"/>
        <v/>
      </c>
      <c r="K9139" s="1" t="str">
        <f t="shared" si="4"/>
        <v/>
      </c>
    </row>
    <row r="9140" hidden="1">
      <c r="F9140" s="1" t="str">
        <f t="shared" si="1"/>
        <v/>
      </c>
      <c r="G9140" s="1" t="str">
        <f t="shared" si="2"/>
        <v/>
      </c>
      <c r="J9140" s="1" t="str">
        <f t="shared" si="3"/>
        <v/>
      </c>
      <c r="K9140" s="1" t="str">
        <f t="shared" si="4"/>
        <v/>
      </c>
    </row>
    <row r="9141" hidden="1">
      <c r="F9141" s="1" t="str">
        <f t="shared" si="1"/>
        <v/>
      </c>
      <c r="G9141" s="1" t="str">
        <f t="shared" si="2"/>
        <v/>
      </c>
      <c r="J9141" s="1" t="str">
        <f t="shared" si="3"/>
        <v/>
      </c>
      <c r="K9141" s="1" t="str">
        <f t="shared" si="4"/>
        <v/>
      </c>
    </row>
    <row r="9142" hidden="1">
      <c r="F9142" s="1" t="str">
        <f t="shared" si="1"/>
        <v/>
      </c>
      <c r="G9142" s="1" t="str">
        <f t="shared" si="2"/>
        <v/>
      </c>
      <c r="J9142" s="1" t="str">
        <f t="shared" si="3"/>
        <v/>
      </c>
      <c r="K9142" s="1" t="str">
        <f t="shared" si="4"/>
        <v/>
      </c>
    </row>
    <row r="9143" hidden="1">
      <c r="F9143" s="1" t="str">
        <f t="shared" si="1"/>
        <v/>
      </c>
      <c r="G9143" s="1" t="str">
        <f t="shared" si="2"/>
        <v/>
      </c>
      <c r="J9143" s="1" t="str">
        <f t="shared" si="3"/>
        <v/>
      </c>
      <c r="K9143" s="1" t="str">
        <f t="shared" si="4"/>
        <v/>
      </c>
    </row>
    <row r="9144" hidden="1">
      <c r="F9144" s="1" t="str">
        <f t="shared" si="1"/>
        <v/>
      </c>
      <c r="G9144" s="1" t="str">
        <f t="shared" si="2"/>
        <v/>
      </c>
      <c r="J9144" s="1" t="str">
        <f t="shared" si="3"/>
        <v/>
      </c>
      <c r="K9144" s="1" t="str">
        <f t="shared" si="4"/>
        <v/>
      </c>
    </row>
    <row r="9145" hidden="1">
      <c r="F9145" s="1" t="str">
        <f t="shared" si="1"/>
        <v/>
      </c>
      <c r="G9145" s="1" t="str">
        <f t="shared" si="2"/>
        <v/>
      </c>
      <c r="J9145" s="1" t="str">
        <f t="shared" si="3"/>
        <v/>
      </c>
      <c r="K9145" s="1" t="str">
        <f t="shared" si="4"/>
        <v/>
      </c>
    </row>
    <row r="9146" hidden="1">
      <c r="F9146" s="1" t="str">
        <f t="shared" si="1"/>
        <v/>
      </c>
      <c r="G9146" s="1" t="str">
        <f t="shared" si="2"/>
        <v/>
      </c>
      <c r="J9146" s="1" t="str">
        <f t="shared" si="3"/>
        <v/>
      </c>
      <c r="K9146" s="1" t="str">
        <f t="shared" si="4"/>
        <v/>
      </c>
    </row>
    <row r="9147" hidden="1">
      <c r="F9147" s="1" t="str">
        <f t="shared" si="1"/>
        <v/>
      </c>
      <c r="G9147" s="1" t="str">
        <f t="shared" si="2"/>
        <v/>
      </c>
      <c r="J9147" s="1" t="str">
        <f t="shared" si="3"/>
        <v/>
      </c>
      <c r="K9147" s="1" t="str">
        <f t="shared" si="4"/>
        <v/>
      </c>
    </row>
    <row r="9148" hidden="1">
      <c r="F9148" s="1" t="str">
        <f t="shared" si="1"/>
        <v/>
      </c>
      <c r="G9148" s="1" t="str">
        <f t="shared" si="2"/>
        <v/>
      </c>
      <c r="J9148" s="1" t="str">
        <f t="shared" si="3"/>
        <v/>
      </c>
      <c r="K9148" s="1" t="str">
        <f t="shared" si="4"/>
        <v/>
      </c>
    </row>
    <row r="9149" hidden="1">
      <c r="F9149" s="1" t="str">
        <f t="shared" si="1"/>
        <v/>
      </c>
      <c r="G9149" s="1" t="str">
        <f t="shared" si="2"/>
        <v/>
      </c>
      <c r="J9149" s="1" t="str">
        <f t="shared" si="3"/>
        <v/>
      </c>
      <c r="K9149" s="1" t="str">
        <f t="shared" si="4"/>
        <v/>
      </c>
    </row>
    <row r="9150" hidden="1">
      <c r="F9150" s="1" t="str">
        <f t="shared" si="1"/>
        <v/>
      </c>
      <c r="G9150" s="1" t="str">
        <f t="shared" si="2"/>
        <v/>
      </c>
      <c r="J9150" s="1" t="str">
        <f t="shared" si="3"/>
        <v/>
      </c>
      <c r="K9150" s="1" t="str">
        <f t="shared" si="4"/>
        <v/>
      </c>
    </row>
    <row r="9151" hidden="1">
      <c r="F9151" s="1" t="str">
        <f t="shared" si="1"/>
        <v/>
      </c>
      <c r="G9151" s="1" t="str">
        <f t="shared" si="2"/>
        <v/>
      </c>
      <c r="J9151" s="1" t="str">
        <f t="shared" si="3"/>
        <v/>
      </c>
      <c r="K9151" s="1" t="str">
        <f t="shared" si="4"/>
        <v/>
      </c>
    </row>
    <row r="9152" hidden="1">
      <c r="F9152" s="1" t="str">
        <f t="shared" si="1"/>
        <v/>
      </c>
      <c r="G9152" s="1" t="str">
        <f t="shared" si="2"/>
        <v/>
      </c>
      <c r="J9152" s="1" t="str">
        <f t="shared" si="3"/>
        <v/>
      </c>
      <c r="K9152" s="1" t="str">
        <f t="shared" si="4"/>
        <v/>
      </c>
    </row>
    <row r="9153" hidden="1">
      <c r="F9153" s="1" t="str">
        <f t="shared" si="1"/>
        <v/>
      </c>
      <c r="G9153" s="1" t="str">
        <f t="shared" si="2"/>
        <v/>
      </c>
      <c r="J9153" s="1" t="str">
        <f t="shared" si="3"/>
        <v/>
      </c>
      <c r="K9153" s="1" t="str">
        <f t="shared" si="4"/>
        <v/>
      </c>
    </row>
    <row r="9154" hidden="1">
      <c r="F9154" s="1" t="str">
        <f t="shared" si="1"/>
        <v/>
      </c>
      <c r="G9154" s="1" t="str">
        <f t="shared" si="2"/>
        <v/>
      </c>
      <c r="J9154" s="1" t="str">
        <f t="shared" si="3"/>
        <v/>
      </c>
      <c r="K9154" s="1" t="str">
        <f t="shared" si="4"/>
        <v/>
      </c>
    </row>
    <row r="9155" hidden="1">
      <c r="F9155" s="1" t="str">
        <f t="shared" si="1"/>
        <v/>
      </c>
      <c r="G9155" s="1" t="str">
        <f t="shared" si="2"/>
        <v/>
      </c>
      <c r="J9155" s="1" t="str">
        <f t="shared" si="3"/>
        <v/>
      </c>
      <c r="K9155" s="1" t="str">
        <f t="shared" si="4"/>
        <v/>
      </c>
    </row>
    <row r="9156" hidden="1">
      <c r="F9156" s="1" t="str">
        <f t="shared" si="1"/>
        <v/>
      </c>
      <c r="G9156" s="1" t="str">
        <f t="shared" si="2"/>
        <v/>
      </c>
      <c r="J9156" s="1" t="str">
        <f t="shared" si="3"/>
        <v/>
      </c>
      <c r="K9156" s="1" t="str">
        <f t="shared" si="4"/>
        <v/>
      </c>
    </row>
    <row r="9157" hidden="1">
      <c r="F9157" s="1" t="str">
        <f t="shared" si="1"/>
        <v/>
      </c>
      <c r="G9157" s="1" t="str">
        <f t="shared" si="2"/>
        <v/>
      </c>
      <c r="J9157" s="1" t="str">
        <f t="shared" si="3"/>
        <v/>
      </c>
      <c r="K9157" s="1" t="str">
        <f t="shared" si="4"/>
        <v/>
      </c>
    </row>
    <row r="9158" hidden="1">
      <c r="F9158" s="1" t="str">
        <f t="shared" si="1"/>
        <v/>
      </c>
      <c r="G9158" s="1" t="str">
        <f t="shared" si="2"/>
        <v/>
      </c>
      <c r="J9158" s="1" t="str">
        <f t="shared" si="3"/>
        <v/>
      </c>
      <c r="K9158" s="1" t="str">
        <f t="shared" si="4"/>
        <v/>
      </c>
    </row>
    <row r="9159" hidden="1">
      <c r="F9159" s="1" t="str">
        <f t="shared" si="1"/>
        <v/>
      </c>
      <c r="G9159" s="1" t="str">
        <f t="shared" si="2"/>
        <v/>
      </c>
      <c r="J9159" s="1" t="str">
        <f t="shared" si="3"/>
        <v/>
      </c>
      <c r="K9159" s="1" t="str">
        <f t="shared" si="4"/>
        <v/>
      </c>
    </row>
    <row r="9160" hidden="1">
      <c r="F9160" s="1" t="str">
        <f t="shared" si="1"/>
        <v/>
      </c>
      <c r="G9160" s="1" t="str">
        <f t="shared" si="2"/>
        <v/>
      </c>
      <c r="J9160" s="1" t="str">
        <f t="shared" si="3"/>
        <v/>
      </c>
      <c r="K9160" s="1" t="str">
        <f t="shared" si="4"/>
        <v/>
      </c>
    </row>
    <row r="9161" hidden="1">
      <c r="F9161" s="1" t="str">
        <f t="shared" si="1"/>
        <v/>
      </c>
      <c r="G9161" s="1" t="str">
        <f t="shared" si="2"/>
        <v/>
      </c>
      <c r="J9161" s="1" t="str">
        <f t="shared" si="3"/>
        <v/>
      </c>
      <c r="K9161" s="1" t="str">
        <f t="shared" si="4"/>
        <v/>
      </c>
    </row>
    <row r="9162" hidden="1">
      <c r="F9162" s="1" t="str">
        <f t="shared" si="1"/>
        <v/>
      </c>
      <c r="G9162" s="1" t="str">
        <f t="shared" si="2"/>
        <v/>
      </c>
      <c r="J9162" s="1" t="str">
        <f t="shared" si="3"/>
        <v/>
      </c>
      <c r="K9162" s="1" t="str">
        <f t="shared" si="4"/>
        <v/>
      </c>
    </row>
    <row r="9163" hidden="1">
      <c r="F9163" s="1" t="str">
        <f t="shared" si="1"/>
        <v/>
      </c>
      <c r="G9163" s="1" t="str">
        <f t="shared" si="2"/>
        <v/>
      </c>
      <c r="J9163" s="1" t="str">
        <f t="shared" si="3"/>
        <v/>
      </c>
      <c r="K9163" s="1" t="str">
        <f t="shared" si="4"/>
        <v/>
      </c>
    </row>
    <row r="9164" hidden="1">
      <c r="F9164" s="1" t="str">
        <f t="shared" si="1"/>
        <v/>
      </c>
      <c r="G9164" s="1" t="str">
        <f t="shared" si="2"/>
        <v/>
      </c>
      <c r="J9164" s="1" t="str">
        <f t="shared" si="3"/>
        <v/>
      </c>
      <c r="K9164" s="1" t="str">
        <f t="shared" si="4"/>
        <v/>
      </c>
    </row>
    <row r="9165" hidden="1">
      <c r="F9165" s="1" t="str">
        <f t="shared" si="1"/>
        <v/>
      </c>
      <c r="G9165" s="1" t="str">
        <f t="shared" si="2"/>
        <v/>
      </c>
      <c r="J9165" s="1" t="str">
        <f t="shared" si="3"/>
        <v/>
      </c>
      <c r="K9165" s="1" t="str">
        <f t="shared" si="4"/>
        <v/>
      </c>
    </row>
    <row r="9166" hidden="1">
      <c r="F9166" s="1" t="str">
        <f t="shared" si="1"/>
        <v/>
      </c>
      <c r="G9166" s="1" t="str">
        <f t="shared" si="2"/>
        <v/>
      </c>
      <c r="J9166" s="1" t="str">
        <f t="shared" si="3"/>
        <v/>
      </c>
      <c r="K9166" s="1" t="str">
        <f t="shared" si="4"/>
        <v/>
      </c>
    </row>
    <row r="9167" hidden="1">
      <c r="F9167" s="1" t="str">
        <f t="shared" si="1"/>
        <v/>
      </c>
      <c r="G9167" s="1" t="str">
        <f t="shared" si="2"/>
        <v/>
      </c>
      <c r="J9167" s="1" t="str">
        <f t="shared" si="3"/>
        <v/>
      </c>
      <c r="K9167" s="1" t="str">
        <f t="shared" si="4"/>
        <v/>
      </c>
    </row>
    <row r="9168" hidden="1">
      <c r="F9168" s="1" t="str">
        <f t="shared" si="1"/>
        <v/>
      </c>
      <c r="G9168" s="1" t="str">
        <f t="shared" si="2"/>
        <v/>
      </c>
      <c r="J9168" s="1" t="str">
        <f t="shared" si="3"/>
        <v/>
      </c>
      <c r="K9168" s="1" t="str">
        <f t="shared" si="4"/>
        <v/>
      </c>
    </row>
    <row r="9169" hidden="1">
      <c r="F9169" s="1" t="str">
        <f t="shared" si="1"/>
        <v/>
      </c>
      <c r="G9169" s="1" t="str">
        <f t="shared" si="2"/>
        <v/>
      </c>
      <c r="J9169" s="1" t="str">
        <f t="shared" si="3"/>
        <v/>
      </c>
      <c r="K9169" s="1" t="str">
        <f t="shared" si="4"/>
        <v/>
      </c>
    </row>
    <row r="9170" hidden="1">
      <c r="F9170" s="1" t="str">
        <f t="shared" si="1"/>
        <v/>
      </c>
      <c r="G9170" s="1" t="str">
        <f t="shared" si="2"/>
        <v/>
      </c>
      <c r="J9170" s="1" t="str">
        <f t="shared" si="3"/>
        <v/>
      </c>
      <c r="K9170" s="1" t="str">
        <f t="shared" si="4"/>
        <v/>
      </c>
    </row>
    <row r="9171" hidden="1">
      <c r="F9171" s="1" t="str">
        <f t="shared" si="1"/>
        <v/>
      </c>
      <c r="G9171" s="1" t="str">
        <f t="shared" si="2"/>
        <v/>
      </c>
      <c r="J9171" s="1" t="str">
        <f t="shared" si="3"/>
        <v/>
      </c>
      <c r="K9171" s="1" t="str">
        <f t="shared" si="4"/>
        <v/>
      </c>
    </row>
    <row r="9172" hidden="1">
      <c r="F9172" s="1" t="str">
        <f t="shared" si="1"/>
        <v/>
      </c>
      <c r="G9172" s="1" t="str">
        <f t="shared" si="2"/>
        <v/>
      </c>
      <c r="J9172" s="1" t="str">
        <f t="shared" si="3"/>
        <v/>
      </c>
      <c r="K9172" s="1" t="str">
        <f t="shared" si="4"/>
        <v/>
      </c>
    </row>
    <row r="9173" hidden="1">
      <c r="F9173" s="1" t="str">
        <f t="shared" si="1"/>
        <v/>
      </c>
      <c r="G9173" s="1" t="str">
        <f t="shared" si="2"/>
        <v/>
      </c>
      <c r="J9173" s="1" t="str">
        <f t="shared" si="3"/>
        <v/>
      </c>
      <c r="K9173" s="1" t="str">
        <f t="shared" si="4"/>
        <v/>
      </c>
    </row>
    <row r="9174" hidden="1">
      <c r="F9174" s="1" t="str">
        <f t="shared" si="1"/>
        <v/>
      </c>
      <c r="G9174" s="1" t="str">
        <f t="shared" si="2"/>
        <v/>
      </c>
      <c r="J9174" s="1" t="str">
        <f t="shared" si="3"/>
        <v/>
      </c>
      <c r="K9174" s="1" t="str">
        <f t="shared" si="4"/>
        <v/>
      </c>
    </row>
    <row r="9175" hidden="1">
      <c r="F9175" s="1" t="str">
        <f t="shared" si="1"/>
        <v/>
      </c>
      <c r="G9175" s="1" t="str">
        <f t="shared" si="2"/>
        <v/>
      </c>
      <c r="J9175" s="1" t="str">
        <f t="shared" si="3"/>
        <v/>
      </c>
      <c r="K9175" s="1" t="str">
        <f t="shared" si="4"/>
        <v/>
      </c>
    </row>
    <row r="9176" hidden="1">
      <c r="F9176" s="1" t="str">
        <f t="shared" si="1"/>
        <v/>
      </c>
      <c r="G9176" s="1" t="str">
        <f t="shared" si="2"/>
        <v/>
      </c>
      <c r="J9176" s="1" t="str">
        <f t="shared" si="3"/>
        <v/>
      </c>
      <c r="K9176" s="1" t="str">
        <f t="shared" si="4"/>
        <v/>
      </c>
    </row>
    <row r="9177" hidden="1">
      <c r="F9177" s="1" t="str">
        <f t="shared" si="1"/>
        <v/>
      </c>
      <c r="G9177" s="1" t="str">
        <f t="shared" si="2"/>
        <v/>
      </c>
      <c r="J9177" s="1" t="str">
        <f t="shared" si="3"/>
        <v/>
      </c>
      <c r="K9177" s="1" t="str">
        <f t="shared" si="4"/>
        <v/>
      </c>
    </row>
    <row r="9178" hidden="1">
      <c r="F9178" s="1" t="str">
        <f t="shared" si="1"/>
        <v/>
      </c>
      <c r="G9178" s="1" t="str">
        <f t="shared" si="2"/>
        <v/>
      </c>
      <c r="J9178" s="1" t="str">
        <f t="shared" si="3"/>
        <v/>
      </c>
      <c r="K9178" s="1" t="str">
        <f t="shared" si="4"/>
        <v/>
      </c>
    </row>
    <row r="9179" hidden="1">
      <c r="F9179" s="1" t="str">
        <f t="shared" si="1"/>
        <v/>
      </c>
      <c r="G9179" s="1" t="str">
        <f t="shared" si="2"/>
        <v/>
      </c>
      <c r="J9179" s="1" t="str">
        <f t="shared" si="3"/>
        <v/>
      </c>
      <c r="K9179" s="1" t="str">
        <f t="shared" si="4"/>
        <v/>
      </c>
    </row>
    <row r="9180" hidden="1">
      <c r="F9180" s="1" t="str">
        <f t="shared" si="1"/>
        <v/>
      </c>
      <c r="G9180" s="1" t="str">
        <f t="shared" si="2"/>
        <v/>
      </c>
      <c r="J9180" s="1" t="str">
        <f t="shared" si="3"/>
        <v/>
      </c>
      <c r="K9180" s="1" t="str">
        <f t="shared" si="4"/>
        <v/>
      </c>
    </row>
    <row r="9181" hidden="1">
      <c r="F9181" s="1" t="str">
        <f t="shared" si="1"/>
        <v/>
      </c>
      <c r="G9181" s="1" t="str">
        <f t="shared" si="2"/>
        <v/>
      </c>
      <c r="J9181" s="1" t="str">
        <f t="shared" si="3"/>
        <v/>
      </c>
      <c r="K9181" s="1" t="str">
        <f t="shared" si="4"/>
        <v/>
      </c>
    </row>
    <row r="9182" hidden="1">
      <c r="F9182" s="1" t="str">
        <f t="shared" si="1"/>
        <v/>
      </c>
      <c r="G9182" s="1" t="str">
        <f t="shared" si="2"/>
        <v/>
      </c>
      <c r="J9182" s="1" t="str">
        <f t="shared" si="3"/>
        <v/>
      </c>
      <c r="K9182" s="1" t="str">
        <f t="shared" si="4"/>
        <v/>
      </c>
    </row>
    <row r="9183" hidden="1">
      <c r="F9183" s="1" t="str">
        <f t="shared" si="1"/>
        <v/>
      </c>
      <c r="G9183" s="1" t="str">
        <f t="shared" si="2"/>
        <v/>
      </c>
      <c r="J9183" s="1" t="str">
        <f t="shared" si="3"/>
        <v/>
      </c>
      <c r="K9183" s="1" t="str">
        <f t="shared" si="4"/>
        <v/>
      </c>
    </row>
    <row r="9184" hidden="1">
      <c r="F9184" s="1" t="str">
        <f t="shared" si="1"/>
        <v/>
      </c>
      <c r="G9184" s="1" t="str">
        <f t="shared" si="2"/>
        <v/>
      </c>
      <c r="J9184" s="1" t="str">
        <f t="shared" si="3"/>
        <v/>
      </c>
      <c r="K9184" s="1" t="str">
        <f t="shared" si="4"/>
        <v/>
      </c>
    </row>
    <row r="9185" hidden="1">
      <c r="F9185" s="1" t="str">
        <f t="shared" si="1"/>
        <v/>
      </c>
      <c r="G9185" s="1" t="str">
        <f t="shared" si="2"/>
        <v/>
      </c>
      <c r="J9185" s="1" t="str">
        <f t="shared" si="3"/>
        <v/>
      </c>
      <c r="K9185" s="1" t="str">
        <f t="shared" si="4"/>
        <v/>
      </c>
    </row>
    <row r="9186" hidden="1">
      <c r="F9186" s="1" t="str">
        <f t="shared" si="1"/>
        <v/>
      </c>
      <c r="G9186" s="1" t="str">
        <f t="shared" si="2"/>
        <v/>
      </c>
      <c r="J9186" s="1" t="str">
        <f t="shared" si="3"/>
        <v/>
      </c>
      <c r="K9186" s="1" t="str">
        <f t="shared" si="4"/>
        <v/>
      </c>
    </row>
    <row r="9187" hidden="1">
      <c r="F9187" s="1" t="str">
        <f t="shared" si="1"/>
        <v/>
      </c>
      <c r="G9187" s="1" t="str">
        <f t="shared" si="2"/>
        <v/>
      </c>
      <c r="J9187" s="1" t="str">
        <f t="shared" si="3"/>
        <v/>
      </c>
      <c r="K9187" s="1" t="str">
        <f t="shared" si="4"/>
        <v/>
      </c>
    </row>
    <row r="9188" hidden="1">
      <c r="F9188" s="1" t="str">
        <f t="shared" si="1"/>
        <v/>
      </c>
      <c r="G9188" s="1" t="str">
        <f t="shared" si="2"/>
        <v/>
      </c>
      <c r="J9188" s="1" t="str">
        <f t="shared" si="3"/>
        <v/>
      </c>
      <c r="K9188" s="1" t="str">
        <f t="shared" si="4"/>
        <v/>
      </c>
    </row>
    <row r="9189" hidden="1">
      <c r="F9189" s="1" t="str">
        <f t="shared" si="1"/>
        <v/>
      </c>
      <c r="G9189" s="1" t="str">
        <f t="shared" si="2"/>
        <v/>
      </c>
      <c r="J9189" s="1" t="str">
        <f t="shared" si="3"/>
        <v/>
      </c>
      <c r="K9189" s="1" t="str">
        <f t="shared" si="4"/>
        <v/>
      </c>
    </row>
    <row r="9190" hidden="1">
      <c r="F9190" s="1" t="str">
        <f t="shared" si="1"/>
        <v/>
      </c>
      <c r="G9190" s="1" t="str">
        <f t="shared" si="2"/>
        <v/>
      </c>
      <c r="J9190" s="1" t="str">
        <f t="shared" si="3"/>
        <v/>
      </c>
      <c r="K9190" s="1" t="str">
        <f t="shared" si="4"/>
        <v/>
      </c>
    </row>
    <row r="9191" hidden="1">
      <c r="F9191" s="1" t="str">
        <f t="shared" si="1"/>
        <v/>
      </c>
      <c r="G9191" s="1" t="str">
        <f t="shared" si="2"/>
        <v/>
      </c>
      <c r="J9191" s="1" t="str">
        <f t="shared" si="3"/>
        <v/>
      </c>
      <c r="K9191" s="1" t="str">
        <f t="shared" si="4"/>
        <v/>
      </c>
    </row>
    <row r="9192" hidden="1">
      <c r="F9192" s="1" t="str">
        <f t="shared" si="1"/>
        <v/>
      </c>
      <c r="G9192" s="1" t="str">
        <f t="shared" si="2"/>
        <v/>
      </c>
      <c r="J9192" s="1" t="str">
        <f t="shared" si="3"/>
        <v/>
      </c>
      <c r="K9192" s="1" t="str">
        <f t="shared" si="4"/>
        <v/>
      </c>
    </row>
    <row r="9193" hidden="1">
      <c r="F9193" s="1" t="str">
        <f t="shared" si="1"/>
        <v/>
      </c>
      <c r="G9193" s="1" t="str">
        <f t="shared" si="2"/>
        <v/>
      </c>
      <c r="J9193" s="1" t="str">
        <f t="shared" si="3"/>
        <v/>
      </c>
      <c r="K9193" s="1" t="str">
        <f t="shared" si="4"/>
        <v/>
      </c>
    </row>
    <row r="9194" hidden="1">
      <c r="F9194" s="1" t="str">
        <f t="shared" si="1"/>
        <v/>
      </c>
      <c r="G9194" s="1" t="str">
        <f t="shared" si="2"/>
        <v/>
      </c>
      <c r="J9194" s="1" t="str">
        <f t="shared" si="3"/>
        <v/>
      </c>
      <c r="K9194" s="1" t="str">
        <f t="shared" si="4"/>
        <v/>
      </c>
    </row>
    <row r="9195" hidden="1">
      <c r="F9195" s="1" t="str">
        <f t="shared" si="1"/>
        <v/>
      </c>
      <c r="G9195" s="1" t="str">
        <f t="shared" si="2"/>
        <v/>
      </c>
      <c r="J9195" s="1" t="str">
        <f t="shared" si="3"/>
        <v/>
      </c>
      <c r="K9195" s="1" t="str">
        <f t="shared" si="4"/>
        <v/>
      </c>
    </row>
    <row r="9196" hidden="1">
      <c r="F9196" s="1" t="str">
        <f t="shared" si="1"/>
        <v/>
      </c>
      <c r="G9196" s="1" t="str">
        <f t="shared" si="2"/>
        <v/>
      </c>
      <c r="J9196" s="1" t="str">
        <f t="shared" si="3"/>
        <v/>
      </c>
      <c r="K9196" s="1" t="str">
        <f t="shared" si="4"/>
        <v/>
      </c>
    </row>
    <row r="9197" hidden="1">
      <c r="F9197" s="1" t="str">
        <f t="shared" si="1"/>
        <v/>
      </c>
      <c r="G9197" s="1" t="str">
        <f t="shared" si="2"/>
        <v/>
      </c>
      <c r="J9197" s="1" t="str">
        <f t="shared" si="3"/>
        <v/>
      </c>
      <c r="K9197" s="1" t="str">
        <f t="shared" si="4"/>
        <v/>
      </c>
    </row>
    <row r="9198" hidden="1">
      <c r="F9198" s="1" t="str">
        <f t="shared" si="1"/>
        <v/>
      </c>
      <c r="G9198" s="1" t="str">
        <f t="shared" si="2"/>
        <v/>
      </c>
      <c r="J9198" s="1" t="str">
        <f t="shared" si="3"/>
        <v/>
      </c>
      <c r="K9198" s="1" t="str">
        <f t="shared" si="4"/>
        <v/>
      </c>
    </row>
    <row r="9199" hidden="1">
      <c r="F9199" s="1" t="str">
        <f t="shared" si="1"/>
        <v/>
      </c>
      <c r="G9199" s="1" t="str">
        <f t="shared" si="2"/>
        <v/>
      </c>
      <c r="J9199" s="1" t="str">
        <f t="shared" si="3"/>
        <v/>
      </c>
      <c r="K9199" s="1" t="str">
        <f t="shared" si="4"/>
        <v/>
      </c>
    </row>
    <row r="9200" hidden="1">
      <c r="F9200" s="1" t="str">
        <f t="shared" si="1"/>
        <v/>
      </c>
      <c r="G9200" s="1" t="str">
        <f t="shared" si="2"/>
        <v/>
      </c>
      <c r="J9200" s="1" t="str">
        <f t="shared" si="3"/>
        <v/>
      </c>
      <c r="K9200" s="1" t="str">
        <f t="shared" si="4"/>
        <v/>
      </c>
    </row>
    <row r="9201" hidden="1">
      <c r="F9201" s="1" t="str">
        <f t="shared" si="1"/>
        <v/>
      </c>
      <c r="G9201" s="1" t="str">
        <f t="shared" si="2"/>
        <v/>
      </c>
      <c r="J9201" s="1" t="str">
        <f t="shared" si="3"/>
        <v/>
      </c>
      <c r="K9201" s="1" t="str">
        <f t="shared" si="4"/>
        <v/>
      </c>
    </row>
    <row r="9202" hidden="1">
      <c r="F9202" s="1" t="str">
        <f t="shared" si="1"/>
        <v/>
      </c>
      <c r="G9202" s="1" t="str">
        <f t="shared" si="2"/>
        <v/>
      </c>
      <c r="J9202" s="1" t="str">
        <f t="shared" si="3"/>
        <v/>
      </c>
      <c r="K9202" s="1" t="str">
        <f t="shared" si="4"/>
        <v/>
      </c>
    </row>
    <row r="9203" hidden="1">
      <c r="F9203" s="1" t="str">
        <f t="shared" si="1"/>
        <v/>
      </c>
      <c r="G9203" s="1" t="str">
        <f t="shared" si="2"/>
        <v/>
      </c>
      <c r="J9203" s="1" t="str">
        <f t="shared" si="3"/>
        <v/>
      </c>
      <c r="K9203" s="1" t="str">
        <f t="shared" si="4"/>
        <v/>
      </c>
    </row>
    <row r="9204" hidden="1">
      <c r="F9204" s="1" t="str">
        <f t="shared" si="1"/>
        <v/>
      </c>
      <c r="G9204" s="1" t="str">
        <f t="shared" si="2"/>
        <v/>
      </c>
      <c r="J9204" s="1" t="str">
        <f t="shared" si="3"/>
        <v/>
      </c>
      <c r="K9204" s="1" t="str">
        <f t="shared" si="4"/>
        <v/>
      </c>
    </row>
    <row r="9205" hidden="1">
      <c r="F9205" s="1" t="str">
        <f t="shared" si="1"/>
        <v/>
      </c>
      <c r="G9205" s="1" t="str">
        <f t="shared" si="2"/>
        <v/>
      </c>
      <c r="J9205" s="1" t="str">
        <f t="shared" si="3"/>
        <v/>
      </c>
      <c r="K9205" s="1" t="str">
        <f t="shared" si="4"/>
        <v/>
      </c>
    </row>
    <row r="9206" hidden="1">
      <c r="F9206" s="1" t="str">
        <f t="shared" si="1"/>
        <v/>
      </c>
      <c r="G9206" s="1" t="str">
        <f t="shared" si="2"/>
        <v/>
      </c>
      <c r="J9206" s="1" t="str">
        <f t="shared" si="3"/>
        <v/>
      </c>
      <c r="K9206" s="1" t="str">
        <f t="shared" si="4"/>
        <v/>
      </c>
    </row>
    <row r="9207" hidden="1">
      <c r="F9207" s="1" t="str">
        <f t="shared" si="1"/>
        <v/>
      </c>
      <c r="G9207" s="1" t="str">
        <f t="shared" si="2"/>
        <v/>
      </c>
      <c r="J9207" s="1" t="str">
        <f t="shared" si="3"/>
        <v/>
      </c>
      <c r="K9207" s="1" t="str">
        <f t="shared" si="4"/>
        <v/>
      </c>
    </row>
    <row r="9208" hidden="1">
      <c r="F9208" s="1" t="str">
        <f t="shared" si="1"/>
        <v/>
      </c>
      <c r="G9208" s="1" t="str">
        <f t="shared" si="2"/>
        <v/>
      </c>
      <c r="J9208" s="1" t="str">
        <f t="shared" si="3"/>
        <v/>
      </c>
      <c r="K9208" s="1" t="str">
        <f t="shared" si="4"/>
        <v/>
      </c>
    </row>
    <row r="9209" hidden="1">
      <c r="F9209" s="1" t="str">
        <f t="shared" si="1"/>
        <v/>
      </c>
      <c r="G9209" s="1" t="str">
        <f t="shared" si="2"/>
        <v/>
      </c>
      <c r="J9209" s="1" t="str">
        <f t="shared" si="3"/>
        <v/>
      </c>
      <c r="K9209" s="1" t="str">
        <f t="shared" si="4"/>
        <v/>
      </c>
    </row>
    <row r="9210" hidden="1">
      <c r="F9210" s="1" t="str">
        <f t="shared" si="1"/>
        <v/>
      </c>
      <c r="G9210" s="1" t="str">
        <f t="shared" si="2"/>
        <v/>
      </c>
      <c r="J9210" s="1" t="str">
        <f t="shared" si="3"/>
        <v/>
      </c>
      <c r="K9210" s="1" t="str">
        <f t="shared" si="4"/>
        <v/>
      </c>
    </row>
    <row r="9211" hidden="1">
      <c r="F9211" s="1" t="str">
        <f t="shared" si="1"/>
        <v/>
      </c>
      <c r="G9211" s="1" t="str">
        <f t="shared" si="2"/>
        <v/>
      </c>
      <c r="J9211" s="1" t="str">
        <f t="shared" si="3"/>
        <v/>
      </c>
      <c r="K9211" s="1" t="str">
        <f t="shared" si="4"/>
        <v/>
      </c>
    </row>
    <row r="9212" hidden="1">
      <c r="F9212" s="1" t="str">
        <f t="shared" si="1"/>
        <v/>
      </c>
      <c r="G9212" s="1" t="str">
        <f t="shared" si="2"/>
        <v/>
      </c>
      <c r="J9212" s="1" t="str">
        <f t="shared" si="3"/>
        <v/>
      </c>
      <c r="K9212" s="1" t="str">
        <f t="shared" si="4"/>
        <v/>
      </c>
    </row>
    <row r="9213" hidden="1">
      <c r="F9213" s="1" t="str">
        <f t="shared" si="1"/>
        <v/>
      </c>
      <c r="G9213" s="1" t="str">
        <f t="shared" si="2"/>
        <v/>
      </c>
      <c r="J9213" s="1" t="str">
        <f t="shared" si="3"/>
        <v/>
      </c>
      <c r="K9213" s="1" t="str">
        <f t="shared" si="4"/>
        <v/>
      </c>
    </row>
    <row r="9214" hidden="1">
      <c r="F9214" s="1" t="str">
        <f t="shared" si="1"/>
        <v/>
      </c>
      <c r="G9214" s="1" t="str">
        <f t="shared" si="2"/>
        <v/>
      </c>
      <c r="J9214" s="1" t="str">
        <f t="shared" si="3"/>
        <v/>
      </c>
      <c r="K9214" s="1" t="str">
        <f t="shared" si="4"/>
        <v/>
      </c>
    </row>
    <row r="9215" hidden="1">
      <c r="F9215" s="1" t="str">
        <f t="shared" si="1"/>
        <v/>
      </c>
      <c r="G9215" s="1" t="str">
        <f t="shared" si="2"/>
        <v/>
      </c>
      <c r="J9215" s="1" t="str">
        <f t="shared" si="3"/>
        <v/>
      </c>
      <c r="K9215" s="1" t="str">
        <f t="shared" si="4"/>
        <v/>
      </c>
    </row>
    <row r="9216" hidden="1">
      <c r="F9216" s="1" t="str">
        <f t="shared" si="1"/>
        <v/>
      </c>
      <c r="G9216" s="1" t="str">
        <f t="shared" si="2"/>
        <v/>
      </c>
      <c r="J9216" s="1" t="str">
        <f t="shared" si="3"/>
        <v/>
      </c>
      <c r="K9216" s="1" t="str">
        <f t="shared" si="4"/>
        <v/>
      </c>
    </row>
    <row r="9217" hidden="1">
      <c r="F9217" s="1" t="str">
        <f t="shared" si="1"/>
        <v/>
      </c>
      <c r="G9217" s="1" t="str">
        <f t="shared" si="2"/>
        <v/>
      </c>
      <c r="J9217" s="1" t="str">
        <f t="shared" si="3"/>
        <v/>
      </c>
      <c r="K9217" s="1" t="str">
        <f t="shared" si="4"/>
        <v/>
      </c>
    </row>
    <row r="9218" hidden="1">
      <c r="F9218" s="1" t="str">
        <f t="shared" si="1"/>
        <v/>
      </c>
      <c r="G9218" s="1" t="str">
        <f t="shared" si="2"/>
        <v/>
      </c>
      <c r="J9218" s="1" t="str">
        <f t="shared" si="3"/>
        <v/>
      </c>
      <c r="K9218" s="1" t="str">
        <f t="shared" si="4"/>
        <v/>
      </c>
    </row>
    <row r="9219" hidden="1">
      <c r="F9219" s="1" t="str">
        <f t="shared" si="1"/>
        <v/>
      </c>
      <c r="G9219" s="1" t="str">
        <f t="shared" si="2"/>
        <v/>
      </c>
      <c r="J9219" s="1" t="str">
        <f t="shared" si="3"/>
        <v/>
      </c>
      <c r="K9219" s="1" t="str">
        <f t="shared" si="4"/>
        <v/>
      </c>
    </row>
    <row r="9220" hidden="1">
      <c r="F9220" s="1" t="str">
        <f t="shared" si="1"/>
        <v/>
      </c>
      <c r="G9220" s="1" t="str">
        <f t="shared" si="2"/>
        <v/>
      </c>
      <c r="J9220" s="1" t="str">
        <f t="shared" si="3"/>
        <v/>
      </c>
      <c r="K9220" s="1" t="str">
        <f t="shared" si="4"/>
        <v/>
      </c>
    </row>
    <row r="9221" hidden="1">
      <c r="F9221" s="1" t="str">
        <f t="shared" si="1"/>
        <v/>
      </c>
      <c r="G9221" s="1" t="str">
        <f t="shared" si="2"/>
        <v/>
      </c>
      <c r="J9221" s="1" t="str">
        <f t="shared" si="3"/>
        <v/>
      </c>
      <c r="K9221" s="1" t="str">
        <f t="shared" si="4"/>
        <v/>
      </c>
    </row>
    <row r="9222" hidden="1">
      <c r="F9222" s="1" t="str">
        <f t="shared" si="1"/>
        <v/>
      </c>
      <c r="G9222" s="1" t="str">
        <f t="shared" si="2"/>
        <v/>
      </c>
      <c r="J9222" s="1" t="str">
        <f t="shared" si="3"/>
        <v/>
      </c>
      <c r="K9222" s="1" t="str">
        <f t="shared" si="4"/>
        <v/>
      </c>
    </row>
    <row r="9223" hidden="1">
      <c r="F9223" s="1" t="str">
        <f t="shared" si="1"/>
        <v/>
      </c>
      <c r="G9223" s="1" t="str">
        <f t="shared" si="2"/>
        <v/>
      </c>
      <c r="J9223" s="1" t="str">
        <f t="shared" si="3"/>
        <v/>
      </c>
      <c r="K9223" s="1" t="str">
        <f t="shared" si="4"/>
        <v/>
      </c>
    </row>
    <row r="9224" hidden="1">
      <c r="F9224" s="1" t="str">
        <f t="shared" si="1"/>
        <v/>
      </c>
      <c r="G9224" s="1" t="str">
        <f t="shared" si="2"/>
        <v/>
      </c>
      <c r="J9224" s="1" t="str">
        <f t="shared" si="3"/>
        <v/>
      </c>
      <c r="K9224" s="1" t="str">
        <f t="shared" si="4"/>
        <v/>
      </c>
    </row>
    <row r="9225" hidden="1">
      <c r="F9225" s="1" t="str">
        <f t="shared" si="1"/>
        <v/>
      </c>
      <c r="G9225" s="1" t="str">
        <f t="shared" si="2"/>
        <v/>
      </c>
      <c r="J9225" s="1" t="str">
        <f t="shared" si="3"/>
        <v/>
      </c>
      <c r="K9225" s="1" t="str">
        <f t="shared" si="4"/>
        <v/>
      </c>
    </row>
    <row r="9226" hidden="1">
      <c r="F9226" s="1" t="str">
        <f t="shared" si="1"/>
        <v/>
      </c>
      <c r="G9226" s="1" t="str">
        <f t="shared" si="2"/>
        <v/>
      </c>
      <c r="J9226" s="1" t="str">
        <f t="shared" si="3"/>
        <v/>
      </c>
      <c r="K9226" s="1" t="str">
        <f t="shared" si="4"/>
        <v/>
      </c>
    </row>
    <row r="9227" hidden="1">
      <c r="F9227" s="1" t="str">
        <f t="shared" si="1"/>
        <v/>
      </c>
      <c r="G9227" s="1" t="str">
        <f t="shared" si="2"/>
        <v/>
      </c>
      <c r="J9227" s="1" t="str">
        <f t="shared" si="3"/>
        <v/>
      </c>
      <c r="K9227" s="1" t="str">
        <f t="shared" si="4"/>
        <v/>
      </c>
    </row>
    <row r="9228" hidden="1">
      <c r="F9228" s="1" t="str">
        <f t="shared" si="1"/>
        <v/>
      </c>
      <c r="G9228" s="1" t="str">
        <f t="shared" si="2"/>
        <v/>
      </c>
      <c r="J9228" s="1" t="str">
        <f t="shared" si="3"/>
        <v/>
      </c>
      <c r="K9228" s="1" t="str">
        <f t="shared" si="4"/>
        <v/>
      </c>
    </row>
    <row r="9229" hidden="1">
      <c r="F9229" s="1" t="str">
        <f t="shared" si="1"/>
        <v/>
      </c>
      <c r="G9229" s="1" t="str">
        <f t="shared" si="2"/>
        <v/>
      </c>
      <c r="J9229" s="1" t="str">
        <f t="shared" si="3"/>
        <v/>
      </c>
      <c r="K9229" s="1" t="str">
        <f t="shared" si="4"/>
        <v/>
      </c>
    </row>
    <row r="9230" hidden="1">
      <c r="F9230" s="1" t="str">
        <f t="shared" si="1"/>
        <v/>
      </c>
      <c r="G9230" s="1" t="str">
        <f t="shared" si="2"/>
        <v/>
      </c>
      <c r="J9230" s="1" t="str">
        <f t="shared" si="3"/>
        <v/>
      </c>
      <c r="K9230" s="1" t="str">
        <f t="shared" si="4"/>
        <v/>
      </c>
    </row>
    <row r="9231" hidden="1">
      <c r="F9231" s="1" t="str">
        <f t="shared" si="1"/>
        <v/>
      </c>
      <c r="G9231" s="1" t="str">
        <f t="shared" si="2"/>
        <v/>
      </c>
      <c r="J9231" s="1" t="str">
        <f t="shared" si="3"/>
        <v/>
      </c>
      <c r="K9231" s="1" t="str">
        <f t="shared" si="4"/>
        <v/>
      </c>
    </row>
    <row r="9232" hidden="1">
      <c r="F9232" s="1" t="str">
        <f t="shared" si="1"/>
        <v/>
      </c>
      <c r="G9232" s="1" t="str">
        <f t="shared" si="2"/>
        <v/>
      </c>
      <c r="J9232" s="1" t="str">
        <f t="shared" si="3"/>
        <v/>
      </c>
      <c r="K9232" s="1" t="str">
        <f t="shared" si="4"/>
        <v/>
      </c>
    </row>
    <row r="9233" hidden="1">
      <c r="F9233" s="1" t="str">
        <f t="shared" si="1"/>
        <v/>
      </c>
      <c r="G9233" s="1" t="str">
        <f t="shared" si="2"/>
        <v/>
      </c>
      <c r="J9233" s="1" t="str">
        <f t="shared" si="3"/>
        <v/>
      </c>
      <c r="K9233" s="1" t="str">
        <f t="shared" si="4"/>
        <v/>
      </c>
    </row>
    <row r="9234" hidden="1">
      <c r="F9234" s="1" t="str">
        <f t="shared" si="1"/>
        <v/>
      </c>
      <c r="G9234" s="1" t="str">
        <f t="shared" si="2"/>
        <v/>
      </c>
      <c r="J9234" s="1" t="str">
        <f t="shared" si="3"/>
        <v/>
      </c>
      <c r="K9234" s="1" t="str">
        <f t="shared" si="4"/>
        <v/>
      </c>
    </row>
    <row r="9235" hidden="1">
      <c r="F9235" s="1" t="str">
        <f t="shared" si="1"/>
        <v/>
      </c>
      <c r="G9235" s="1" t="str">
        <f t="shared" si="2"/>
        <v/>
      </c>
      <c r="J9235" s="1" t="str">
        <f t="shared" si="3"/>
        <v/>
      </c>
      <c r="K9235" s="1" t="str">
        <f t="shared" si="4"/>
        <v/>
      </c>
    </row>
    <row r="9236" hidden="1">
      <c r="F9236" s="1" t="str">
        <f t="shared" si="1"/>
        <v/>
      </c>
      <c r="G9236" s="1" t="str">
        <f t="shared" si="2"/>
        <v/>
      </c>
      <c r="J9236" s="1" t="str">
        <f t="shared" si="3"/>
        <v/>
      </c>
      <c r="K9236" s="1" t="str">
        <f t="shared" si="4"/>
        <v/>
      </c>
    </row>
    <row r="9237" hidden="1">
      <c r="F9237" s="1" t="str">
        <f t="shared" si="1"/>
        <v/>
      </c>
      <c r="G9237" s="1" t="str">
        <f t="shared" si="2"/>
        <v/>
      </c>
      <c r="J9237" s="1" t="str">
        <f t="shared" si="3"/>
        <v/>
      </c>
      <c r="K9237" s="1" t="str">
        <f t="shared" si="4"/>
        <v/>
      </c>
    </row>
    <row r="9238" hidden="1">
      <c r="F9238" s="1" t="str">
        <f t="shared" si="1"/>
        <v/>
      </c>
      <c r="G9238" s="1" t="str">
        <f t="shared" si="2"/>
        <v/>
      </c>
      <c r="J9238" s="1" t="str">
        <f t="shared" si="3"/>
        <v/>
      </c>
      <c r="K9238" s="1" t="str">
        <f t="shared" si="4"/>
        <v/>
      </c>
    </row>
    <row r="9239" hidden="1">
      <c r="F9239" s="1" t="str">
        <f t="shared" si="1"/>
        <v/>
      </c>
      <c r="G9239" s="1" t="str">
        <f t="shared" si="2"/>
        <v/>
      </c>
      <c r="J9239" s="1" t="str">
        <f t="shared" si="3"/>
        <v/>
      </c>
      <c r="K9239" s="1" t="str">
        <f t="shared" si="4"/>
        <v/>
      </c>
    </row>
    <row r="9240" hidden="1">
      <c r="F9240" s="1" t="str">
        <f t="shared" si="1"/>
        <v/>
      </c>
      <c r="G9240" s="1" t="str">
        <f t="shared" si="2"/>
        <v/>
      </c>
      <c r="J9240" s="1" t="str">
        <f t="shared" si="3"/>
        <v/>
      </c>
      <c r="K9240" s="1" t="str">
        <f t="shared" si="4"/>
        <v/>
      </c>
    </row>
    <row r="9241" hidden="1">
      <c r="F9241" s="1" t="str">
        <f t="shared" si="1"/>
        <v/>
      </c>
      <c r="G9241" s="1" t="str">
        <f t="shared" si="2"/>
        <v/>
      </c>
      <c r="J9241" s="1" t="str">
        <f t="shared" si="3"/>
        <v/>
      </c>
      <c r="K9241" s="1" t="str">
        <f t="shared" si="4"/>
        <v/>
      </c>
    </row>
    <row r="9242" hidden="1">
      <c r="F9242" s="1" t="str">
        <f t="shared" si="1"/>
        <v/>
      </c>
      <c r="G9242" s="1" t="str">
        <f t="shared" si="2"/>
        <v/>
      </c>
      <c r="J9242" s="1" t="str">
        <f t="shared" si="3"/>
        <v/>
      </c>
      <c r="K9242" s="1" t="str">
        <f t="shared" si="4"/>
        <v/>
      </c>
    </row>
    <row r="9243" hidden="1">
      <c r="F9243" s="1" t="str">
        <f t="shared" si="1"/>
        <v/>
      </c>
      <c r="G9243" s="1" t="str">
        <f t="shared" si="2"/>
        <v/>
      </c>
      <c r="J9243" s="1" t="str">
        <f t="shared" si="3"/>
        <v/>
      </c>
      <c r="K9243" s="1" t="str">
        <f t="shared" si="4"/>
        <v/>
      </c>
    </row>
    <row r="9244" hidden="1">
      <c r="F9244" s="1" t="str">
        <f t="shared" si="1"/>
        <v/>
      </c>
      <c r="G9244" s="1" t="str">
        <f t="shared" si="2"/>
        <v/>
      </c>
      <c r="J9244" s="1" t="str">
        <f t="shared" si="3"/>
        <v/>
      </c>
      <c r="K9244" s="1" t="str">
        <f t="shared" si="4"/>
        <v/>
      </c>
    </row>
    <row r="9245" hidden="1">
      <c r="F9245" s="1" t="str">
        <f t="shared" si="1"/>
        <v/>
      </c>
      <c r="G9245" s="1" t="str">
        <f t="shared" si="2"/>
        <v/>
      </c>
      <c r="J9245" s="1" t="str">
        <f t="shared" si="3"/>
        <v/>
      </c>
      <c r="K9245" s="1" t="str">
        <f t="shared" si="4"/>
        <v/>
      </c>
    </row>
    <row r="9246" hidden="1">
      <c r="F9246" s="1" t="str">
        <f t="shared" si="1"/>
        <v/>
      </c>
      <c r="G9246" s="1" t="str">
        <f t="shared" si="2"/>
        <v/>
      </c>
      <c r="J9246" s="1" t="str">
        <f t="shared" si="3"/>
        <v/>
      </c>
      <c r="K9246" s="1" t="str">
        <f t="shared" si="4"/>
        <v/>
      </c>
    </row>
    <row r="9247" hidden="1">
      <c r="F9247" s="1" t="str">
        <f t="shared" si="1"/>
        <v/>
      </c>
      <c r="G9247" s="1" t="str">
        <f t="shared" si="2"/>
        <v/>
      </c>
      <c r="J9247" s="1" t="str">
        <f t="shared" si="3"/>
        <v/>
      </c>
      <c r="K9247" s="1" t="str">
        <f t="shared" si="4"/>
        <v/>
      </c>
    </row>
    <row r="9248" hidden="1">
      <c r="F9248" s="1" t="str">
        <f t="shared" si="1"/>
        <v/>
      </c>
      <c r="G9248" s="1" t="str">
        <f t="shared" si="2"/>
        <v/>
      </c>
      <c r="J9248" s="1" t="str">
        <f t="shared" si="3"/>
        <v/>
      </c>
      <c r="K9248" s="1" t="str">
        <f t="shared" si="4"/>
        <v/>
      </c>
    </row>
    <row r="9249" hidden="1">
      <c r="F9249" s="1" t="str">
        <f t="shared" si="1"/>
        <v/>
      </c>
      <c r="G9249" s="1" t="str">
        <f t="shared" si="2"/>
        <v/>
      </c>
      <c r="J9249" s="1" t="str">
        <f t="shared" si="3"/>
        <v/>
      </c>
      <c r="K9249" s="1" t="str">
        <f t="shared" si="4"/>
        <v/>
      </c>
    </row>
    <row r="9250" hidden="1">
      <c r="F9250" s="1" t="str">
        <f t="shared" si="1"/>
        <v/>
      </c>
      <c r="G9250" s="1" t="str">
        <f t="shared" si="2"/>
        <v/>
      </c>
      <c r="J9250" s="1" t="str">
        <f t="shared" si="3"/>
        <v/>
      </c>
      <c r="K9250" s="1" t="str">
        <f t="shared" si="4"/>
        <v/>
      </c>
    </row>
    <row r="9251" hidden="1">
      <c r="F9251" s="1" t="str">
        <f t="shared" si="1"/>
        <v/>
      </c>
      <c r="G9251" s="1" t="str">
        <f t="shared" si="2"/>
        <v/>
      </c>
      <c r="J9251" s="1" t="str">
        <f t="shared" si="3"/>
        <v/>
      </c>
      <c r="K9251" s="1" t="str">
        <f t="shared" si="4"/>
        <v/>
      </c>
    </row>
    <row r="9252" hidden="1">
      <c r="F9252" s="1" t="str">
        <f t="shared" si="1"/>
        <v/>
      </c>
      <c r="G9252" s="1" t="str">
        <f t="shared" si="2"/>
        <v/>
      </c>
      <c r="J9252" s="1" t="str">
        <f t="shared" si="3"/>
        <v/>
      </c>
      <c r="K9252" s="1" t="str">
        <f t="shared" si="4"/>
        <v/>
      </c>
    </row>
    <row r="9253" hidden="1">
      <c r="F9253" s="1" t="str">
        <f t="shared" si="1"/>
        <v/>
      </c>
      <c r="G9253" s="1" t="str">
        <f t="shared" si="2"/>
        <v/>
      </c>
      <c r="J9253" s="1" t="str">
        <f t="shared" si="3"/>
        <v/>
      </c>
      <c r="K9253" s="1" t="str">
        <f t="shared" si="4"/>
        <v/>
      </c>
    </row>
    <row r="9254" hidden="1">
      <c r="F9254" s="1" t="str">
        <f t="shared" si="1"/>
        <v/>
      </c>
      <c r="G9254" s="1" t="str">
        <f t="shared" si="2"/>
        <v/>
      </c>
      <c r="J9254" s="1" t="str">
        <f t="shared" si="3"/>
        <v/>
      </c>
      <c r="K9254" s="1" t="str">
        <f t="shared" si="4"/>
        <v/>
      </c>
    </row>
    <row r="9255" hidden="1">
      <c r="F9255" s="1" t="str">
        <f t="shared" si="1"/>
        <v/>
      </c>
      <c r="G9255" s="1" t="str">
        <f t="shared" si="2"/>
        <v/>
      </c>
      <c r="J9255" s="1" t="str">
        <f t="shared" si="3"/>
        <v/>
      </c>
      <c r="K9255" s="1" t="str">
        <f t="shared" si="4"/>
        <v/>
      </c>
    </row>
    <row r="9256" hidden="1">
      <c r="F9256" s="1" t="str">
        <f t="shared" si="1"/>
        <v/>
      </c>
      <c r="G9256" s="1" t="str">
        <f t="shared" si="2"/>
        <v/>
      </c>
      <c r="J9256" s="1" t="str">
        <f t="shared" si="3"/>
        <v/>
      </c>
      <c r="K9256" s="1" t="str">
        <f t="shared" si="4"/>
        <v/>
      </c>
    </row>
    <row r="9257" hidden="1">
      <c r="F9257" s="1" t="str">
        <f t="shared" si="1"/>
        <v/>
      </c>
      <c r="G9257" s="1" t="str">
        <f t="shared" si="2"/>
        <v/>
      </c>
      <c r="J9257" s="1" t="str">
        <f t="shared" si="3"/>
        <v/>
      </c>
      <c r="K9257" s="1" t="str">
        <f t="shared" si="4"/>
        <v/>
      </c>
    </row>
    <row r="9258" hidden="1">
      <c r="F9258" s="1" t="str">
        <f t="shared" si="1"/>
        <v/>
      </c>
      <c r="G9258" s="1" t="str">
        <f t="shared" si="2"/>
        <v/>
      </c>
      <c r="J9258" s="1" t="str">
        <f t="shared" si="3"/>
        <v/>
      </c>
      <c r="K9258" s="1" t="str">
        <f t="shared" si="4"/>
        <v/>
      </c>
    </row>
    <row r="9259" hidden="1">
      <c r="F9259" s="1" t="str">
        <f t="shared" si="1"/>
        <v/>
      </c>
      <c r="G9259" s="1" t="str">
        <f t="shared" si="2"/>
        <v/>
      </c>
      <c r="J9259" s="1" t="str">
        <f t="shared" si="3"/>
        <v/>
      </c>
      <c r="K9259" s="1" t="str">
        <f t="shared" si="4"/>
        <v/>
      </c>
    </row>
    <row r="9260" hidden="1">
      <c r="F9260" s="1" t="str">
        <f t="shared" si="1"/>
        <v/>
      </c>
      <c r="G9260" s="1" t="str">
        <f t="shared" si="2"/>
        <v/>
      </c>
      <c r="J9260" s="1" t="str">
        <f t="shared" si="3"/>
        <v/>
      </c>
      <c r="K9260" s="1" t="str">
        <f t="shared" si="4"/>
        <v/>
      </c>
    </row>
    <row r="9261" hidden="1">
      <c r="F9261" s="1" t="str">
        <f t="shared" si="1"/>
        <v/>
      </c>
      <c r="G9261" s="1" t="str">
        <f t="shared" si="2"/>
        <v/>
      </c>
      <c r="J9261" s="1" t="str">
        <f t="shared" si="3"/>
        <v/>
      </c>
      <c r="K9261" s="1" t="str">
        <f t="shared" si="4"/>
        <v/>
      </c>
    </row>
    <row r="9262" hidden="1">
      <c r="F9262" s="1" t="str">
        <f t="shared" si="1"/>
        <v/>
      </c>
      <c r="G9262" s="1" t="str">
        <f t="shared" si="2"/>
        <v/>
      </c>
      <c r="J9262" s="1" t="str">
        <f t="shared" si="3"/>
        <v/>
      </c>
      <c r="K9262" s="1" t="str">
        <f t="shared" si="4"/>
        <v/>
      </c>
    </row>
    <row r="9263" hidden="1">
      <c r="F9263" s="1" t="str">
        <f t="shared" si="1"/>
        <v/>
      </c>
      <c r="G9263" s="1" t="str">
        <f t="shared" si="2"/>
        <v/>
      </c>
      <c r="J9263" s="1" t="str">
        <f t="shared" si="3"/>
        <v/>
      </c>
      <c r="K9263" s="1" t="str">
        <f t="shared" si="4"/>
        <v/>
      </c>
    </row>
    <row r="9264" hidden="1">
      <c r="F9264" s="1" t="str">
        <f t="shared" si="1"/>
        <v/>
      </c>
      <c r="G9264" s="1" t="str">
        <f t="shared" si="2"/>
        <v/>
      </c>
      <c r="J9264" s="1" t="str">
        <f t="shared" si="3"/>
        <v/>
      </c>
      <c r="K9264" s="1" t="str">
        <f t="shared" si="4"/>
        <v/>
      </c>
    </row>
    <row r="9265" hidden="1">
      <c r="F9265" s="1" t="str">
        <f t="shared" si="1"/>
        <v/>
      </c>
      <c r="G9265" s="1" t="str">
        <f t="shared" si="2"/>
        <v/>
      </c>
      <c r="J9265" s="1" t="str">
        <f t="shared" si="3"/>
        <v/>
      </c>
      <c r="K9265" s="1" t="str">
        <f t="shared" si="4"/>
        <v/>
      </c>
    </row>
    <row r="9266" hidden="1">
      <c r="F9266" s="1" t="str">
        <f t="shared" si="1"/>
        <v/>
      </c>
      <c r="G9266" s="1" t="str">
        <f t="shared" si="2"/>
        <v/>
      </c>
      <c r="J9266" s="1" t="str">
        <f t="shared" si="3"/>
        <v/>
      </c>
      <c r="K9266" s="1" t="str">
        <f t="shared" si="4"/>
        <v/>
      </c>
    </row>
    <row r="9267" hidden="1">
      <c r="F9267" s="1" t="str">
        <f t="shared" si="1"/>
        <v/>
      </c>
      <c r="G9267" s="1" t="str">
        <f t="shared" si="2"/>
        <v/>
      </c>
      <c r="J9267" s="1" t="str">
        <f t="shared" si="3"/>
        <v/>
      </c>
      <c r="K9267" s="1" t="str">
        <f t="shared" si="4"/>
        <v/>
      </c>
    </row>
    <row r="9268" hidden="1">
      <c r="F9268" s="1" t="str">
        <f t="shared" si="1"/>
        <v/>
      </c>
      <c r="G9268" s="1" t="str">
        <f t="shared" si="2"/>
        <v/>
      </c>
      <c r="J9268" s="1" t="str">
        <f t="shared" si="3"/>
        <v/>
      </c>
      <c r="K9268" s="1" t="str">
        <f t="shared" si="4"/>
        <v/>
      </c>
    </row>
    <row r="9269" hidden="1">
      <c r="F9269" s="1" t="str">
        <f t="shared" si="1"/>
        <v/>
      </c>
      <c r="G9269" s="1" t="str">
        <f t="shared" si="2"/>
        <v/>
      </c>
      <c r="J9269" s="1" t="str">
        <f t="shared" si="3"/>
        <v/>
      </c>
      <c r="K9269" s="1" t="str">
        <f t="shared" si="4"/>
        <v/>
      </c>
    </row>
    <row r="9270" hidden="1">
      <c r="F9270" s="1" t="str">
        <f t="shared" si="1"/>
        <v/>
      </c>
      <c r="G9270" s="1" t="str">
        <f t="shared" si="2"/>
        <v/>
      </c>
      <c r="J9270" s="1" t="str">
        <f t="shared" si="3"/>
        <v/>
      </c>
      <c r="K9270" s="1" t="str">
        <f t="shared" si="4"/>
        <v/>
      </c>
    </row>
    <row r="9271" hidden="1">
      <c r="F9271" s="1" t="str">
        <f t="shared" si="1"/>
        <v/>
      </c>
      <c r="G9271" s="1" t="str">
        <f t="shared" si="2"/>
        <v/>
      </c>
      <c r="J9271" s="1" t="str">
        <f t="shared" si="3"/>
        <v/>
      </c>
      <c r="K9271" s="1" t="str">
        <f t="shared" si="4"/>
        <v/>
      </c>
    </row>
    <row r="9272" hidden="1">
      <c r="F9272" s="1" t="str">
        <f t="shared" si="1"/>
        <v/>
      </c>
      <c r="G9272" s="1" t="str">
        <f t="shared" si="2"/>
        <v/>
      </c>
      <c r="J9272" s="1" t="str">
        <f t="shared" si="3"/>
        <v/>
      </c>
      <c r="K9272" s="1" t="str">
        <f t="shared" si="4"/>
        <v/>
      </c>
    </row>
    <row r="9273" hidden="1">
      <c r="F9273" s="1" t="str">
        <f t="shared" si="1"/>
        <v/>
      </c>
      <c r="G9273" s="1" t="str">
        <f t="shared" si="2"/>
        <v/>
      </c>
      <c r="J9273" s="1" t="str">
        <f t="shared" si="3"/>
        <v/>
      </c>
      <c r="K9273" s="1" t="str">
        <f t="shared" si="4"/>
        <v/>
      </c>
    </row>
    <row r="9274" hidden="1">
      <c r="F9274" s="1" t="str">
        <f t="shared" si="1"/>
        <v/>
      </c>
      <c r="G9274" s="1" t="str">
        <f t="shared" si="2"/>
        <v/>
      </c>
      <c r="J9274" s="1" t="str">
        <f t="shared" si="3"/>
        <v/>
      </c>
      <c r="K9274" s="1" t="str">
        <f t="shared" si="4"/>
        <v/>
      </c>
    </row>
    <row r="9275" hidden="1">
      <c r="F9275" s="1" t="str">
        <f t="shared" si="1"/>
        <v/>
      </c>
      <c r="G9275" s="1" t="str">
        <f t="shared" si="2"/>
        <v/>
      </c>
      <c r="J9275" s="1" t="str">
        <f t="shared" si="3"/>
        <v/>
      </c>
      <c r="K9275" s="1" t="str">
        <f t="shared" si="4"/>
        <v/>
      </c>
    </row>
    <row r="9276" hidden="1">
      <c r="F9276" s="1" t="str">
        <f t="shared" si="1"/>
        <v/>
      </c>
      <c r="G9276" s="1" t="str">
        <f t="shared" si="2"/>
        <v/>
      </c>
      <c r="J9276" s="1" t="str">
        <f t="shared" si="3"/>
        <v/>
      </c>
      <c r="K9276" s="1" t="str">
        <f t="shared" si="4"/>
        <v/>
      </c>
    </row>
    <row r="9277" hidden="1">
      <c r="F9277" s="1" t="str">
        <f t="shared" si="1"/>
        <v/>
      </c>
      <c r="G9277" s="1" t="str">
        <f t="shared" si="2"/>
        <v/>
      </c>
      <c r="J9277" s="1" t="str">
        <f t="shared" si="3"/>
        <v/>
      </c>
      <c r="K9277" s="1" t="str">
        <f t="shared" si="4"/>
        <v/>
      </c>
    </row>
    <row r="9278" hidden="1">
      <c r="F9278" s="1" t="str">
        <f t="shared" si="1"/>
        <v/>
      </c>
      <c r="G9278" s="1" t="str">
        <f t="shared" si="2"/>
        <v/>
      </c>
      <c r="J9278" s="1" t="str">
        <f t="shared" si="3"/>
        <v/>
      </c>
      <c r="K9278" s="1" t="str">
        <f t="shared" si="4"/>
        <v/>
      </c>
    </row>
    <row r="9279" hidden="1">
      <c r="F9279" s="1" t="str">
        <f t="shared" si="1"/>
        <v/>
      </c>
      <c r="G9279" s="1" t="str">
        <f t="shared" si="2"/>
        <v/>
      </c>
      <c r="J9279" s="1" t="str">
        <f t="shared" si="3"/>
        <v/>
      </c>
      <c r="K9279" s="1" t="str">
        <f t="shared" si="4"/>
        <v/>
      </c>
    </row>
    <row r="9280" hidden="1">
      <c r="F9280" s="1" t="str">
        <f t="shared" si="1"/>
        <v/>
      </c>
      <c r="G9280" s="1" t="str">
        <f t="shared" si="2"/>
        <v/>
      </c>
      <c r="J9280" s="1" t="str">
        <f t="shared" si="3"/>
        <v/>
      </c>
      <c r="K9280" s="1" t="str">
        <f t="shared" si="4"/>
        <v/>
      </c>
    </row>
    <row r="9281" hidden="1">
      <c r="F9281" s="1" t="str">
        <f t="shared" si="1"/>
        <v/>
      </c>
      <c r="G9281" s="1" t="str">
        <f t="shared" si="2"/>
        <v/>
      </c>
      <c r="J9281" s="1" t="str">
        <f t="shared" si="3"/>
        <v/>
      </c>
      <c r="K9281" s="1" t="str">
        <f t="shared" si="4"/>
        <v/>
      </c>
    </row>
    <row r="9282" hidden="1">
      <c r="F9282" s="1" t="str">
        <f t="shared" si="1"/>
        <v/>
      </c>
      <c r="G9282" s="1" t="str">
        <f t="shared" si="2"/>
        <v/>
      </c>
      <c r="J9282" s="1" t="str">
        <f t="shared" si="3"/>
        <v/>
      </c>
      <c r="K9282" s="1" t="str">
        <f t="shared" si="4"/>
        <v/>
      </c>
    </row>
    <row r="9283" hidden="1">
      <c r="F9283" s="1" t="str">
        <f t="shared" si="1"/>
        <v/>
      </c>
      <c r="G9283" s="1" t="str">
        <f t="shared" si="2"/>
        <v/>
      </c>
      <c r="J9283" s="1" t="str">
        <f t="shared" si="3"/>
        <v/>
      </c>
      <c r="K9283" s="1" t="str">
        <f t="shared" si="4"/>
        <v/>
      </c>
    </row>
    <row r="9284" hidden="1">
      <c r="F9284" s="1" t="str">
        <f t="shared" si="1"/>
        <v/>
      </c>
      <c r="G9284" s="1" t="str">
        <f t="shared" si="2"/>
        <v/>
      </c>
      <c r="J9284" s="1" t="str">
        <f t="shared" si="3"/>
        <v/>
      </c>
      <c r="K9284" s="1" t="str">
        <f t="shared" si="4"/>
        <v/>
      </c>
    </row>
    <row r="9285" hidden="1">
      <c r="F9285" s="1" t="str">
        <f t="shared" si="1"/>
        <v/>
      </c>
      <c r="G9285" s="1" t="str">
        <f t="shared" si="2"/>
        <v/>
      </c>
      <c r="J9285" s="1" t="str">
        <f t="shared" si="3"/>
        <v/>
      </c>
      <c r="K9285" s="1" t="str">
        <f t="shared" si="4"/>
        <v/>
      </c>
    </row>
    <row r="9286" hidden="1">
      <c r="F9286" s="1" t="str">
        <f t="shared" si="1"/>
        <v/>
      </c>
      <c r="G9286" s="1" t="str">
        <f t="shared" si="2"/>
        <v/>
      </c>
      <c r="J9286" s="1" t="str">
        <f t="shared" si="3"/>
        <v/>
      </c>
      <c r="K9286" s="1" t="str">
        <f t="shared" si="4"/>
        <v/>
      </c>
    </row>
    <row r="9287" hidden="1">
      <c r="F9287" s="1" t="str">
        <f t="shared" si="1"/>
        <v/>
      </c>
      <c r="G9287" s="1" t="str">
        <f t="shared" si="2"/>
        <v/>
      </c>
      <c r="J9287" s="1" t="str">
        <f t="shared" si="3"/>
        <v/>
      </c>
      <c r="K9287" s="1" t="str">
        <f t="shared" si="4"/>
        <v/>
      </c>
    </row>
    <row r="9288" hidden="1">
      <c r="F9288" s="1" t="str">
        <f t="shared" si="1"/>
        <v/>
      </c>
      <c r="G9288" s="1" t="str">
        <f t="shared" si="2"/>
        <v/>
      </c>
      <c r="J9288" s="1" t="str">
        <f t="shared" si="3"/>
        <v/>
      </c>
      <c r="K9288" s="1" t="str">
        <f t="shared" si="4"/>
        <v/>
      </c>
    </row>
    <row r="9289" hidden="1">
      <c r="F9289" s="1" t="str">
        <f t="shared" si="1"/>
        <v/>
      </c>
      <c r="G9289" s="1" t="str">
        <f t="shared" si="2"/>
        <v/>
      </c>
      <c r="J9289" s="1" t="str">
        <f t="shared" si="3"/>
        <v/>
      </c>
      <c r="K9289" s="1" t="str">
        <f t="shared" si="4"/>
        <v/>
      </c>
    </row>
    <row r="9290" hidden="1">
      <c r="F9290" s="1" t="str">
        <f t="shared" si="1"/>
        <v/>
      </c>
      <c r="G9290" s="1" t="str">
        <f t="shared" si="2"/>
        <v/>
      </c>
      <c r="J9290" s="1" t="str">
        <f t="shared" si="3"/>
        <v/>
      </c>
      <c r="K9290" s="1" t="str">
        <f t="shared" si="4"/>
        <v/>
      </c>
    </row>
    <row r="9291" hidden="1">
      <c r="F9291" s="1" t="str">
        <f t="shared" si="1"/>
        <v/>
      </c>
      <c r="G9291" s="1" t="str">
        <f t="shared" si="2"/>
        <v/>
      </c>
      <c r="J9291" s="1" t="str">
        <f t="shared" si="3"/>
        <v/>
      </c>
      <c r="K9291" s="1" t="str">
        <f t="shared" si="4"/>
        <v/>
      </c>
    </row>
    <row r="9292" hidden="1">
      <c r="F9292" s="1" t="str">
        <f t="shared" si="1"/>
        <v/>
      </c>
      <c r="G9292" s="1" t="str">
        <f t="shared" si="2"/>
        <v/>
      </c>
      <c r="J9292" s="1" t="str">
        <f t="shared" si="3"/>
        <v/>
      </c>
      <c r="K9292" s="1" t="str">
        <f t="shared" si="4"/>
        <v/>
      </c>
    </row>
    <row r="9293" hidden="1">
      <c r="F9293" s="1" t="str">
        <f t="shared" si="1"/>
        <v/>
      </c>
      <c r="G9293" s="1" t="str">
        <f t="shared" si="2"/>
        <v/>
      </c>
      <c r="J9293" s="1" t="str">
        <f t="shared" si="3"/>
        <v/>
      </c>
      <c r="K9293" s="1" t="str">
        <f t="shared" si="4"/>
        <v/>
      </c>
    </row>
    <row r="9294" hidden="1">
      <c r="F9294" s="1" t="str">
        <f t="shared" si="1"/>
        <v/>
      </c>
      <c r="G9294" s="1" t="str">
        <f t="shared" si="2"/>
        <v/>
      </c>
      <c r="J9294" s="1" t="str">
        <f t="shared" si="3"/>
        <v/>
      </c>
      <c r="K9294" s="1" t="str">
        <f t="shared" si="4"/>
        <v/>
      </c>
    </row>
    <row r="9295" hidden="1">
      <c r="F9295" s="1" t="str">
        <f t="shared" si="1"/>
        <v/>
      </c>
      <c r="G9295" s="1" t="str">
        <f t="shared" si="2"/>
        <v/>
      </c>
      <c r="J9295" s="1" t="str">
        <f t="shared" si="3"/>
        <v/>
      </c>
      <c r="K9295" s="1" t="str">
        <f t="shared" si="4"/>
        <v/>
      </c>
    </row>
    <row r="9296" hidden="1">
      <c r="F9296" s="1" t="str">
        <f t="shared" si="1"/>
        <v/>
      </c>
      <c r="G9296" s="1" t="str">
        <f t="shared" si="2"/>
        <v/>
      </c>
      <c r="J9296" s="1" t="str">
        <f t="shared" si="3"/>
        <v/>
      </c>
      <c r="K9296" s="1" t="str">
        <f t="shared" si="4"/>
        <v/>
      </c>
    </row>
    <row r="9297" hidden="1">
      <c r="F9297" s="1" t="str">
        <f t="shared" si="1"/>
        <v/>
      </c>
      <c r="G9297" s="1" t="str">
        <f t="shared" si="2"/>
        <v/>
      </c>
      <c r="J9297" s="1" t="str">
        <f t="shared" si="3"/>
        <v/>
      </c>
      <c r="K9297" s="1" t="str">
        <f t="shared" si="4"/>
        <v/>
      </c>
    </row>
    <row r="9298" hidden="1">
      <c r="F9298" s="1" t="str">
        <f t="shared" si="1"/>
        <v/>
      </c>
      <c r="G9298" s="1" t="str">
        <f t="shared" si="2"/>
        <v/>
      </c>
      <c r="J9298" s="1" t="str">
        <f t="shared" si="3"/>
        <v/>
      </c>
      <c r="K9298" s="1" t="str">
        <f t="shared" si="4"/>
        <v/>
      </c>
    </row>
    <row r="9299" hidden="1">
      <c r="F9299" s="1" t="str">
        <f t="shared" si="1"/>
        <v/>
      </c>
      <c r="G9299" s="1" t="str">
        <f t="shared" si="2"/>
        <v/>
      </c>
      <c r="J9299" s="1" t="str">
        <f t="shared" si="3"/>
        <v/>
      </c>
      <c r="K9299" s="1" t="str">
        <f t="shared" si="4"/>
        <v/>
      </c>
    </row>
    <row r="9300" hidden="1">
      <c r="F9300" s="1" t="str">
        <f t="shared" si="1"/>
        <v/>
      </c>
      <c r="G9300" s="1" t="str">
        <f t="shared" si="2"/>
        <v/>
      </c>
      <c r="J9300" s="1" t="str">
        <f t="shared" si="3"/>
        <v/>
      </c>
      <c r="K9300" s="1" t="str">
        <f t="shared" si="4"/>
        <v/>
      </c>
    </row>
    <row r="9301" hidden="1">
      <c r="F9301" s="1" t="str">
        <f t="shared" si="1"/>
        <v/>
      </c>
      <c r="G9301" s="1" t="str">
        <f t="shared" si="2"/>
        <v/>
      </c>
      <c r="J9301" s="1" t="str">
        <f t="shared" si="3"/>
        <v/>
      </c>
      <c r="K9301" s="1" t="str">
        <f t="shared" si="4"/>
        <v/>
      </c>
    </row>
    <row r="9302" hidden="1">
      <c r="F9302" s="1" t="str">
        <f t="shared" si="1"/>
        <v/>
      </c>
      <c r="G9302" s="1" t="str">
        <f t="shared" si="2"/>
        <v/>
      </c>
      <c r="J9302" s="1" t="str">
        <f t="shared" si="3"/>
        <v/>
      </c>
      <c r="K9302" s="1" t="str">
        <f t="shared" si="4"/>
        <v/>
      </c>
    </row>
    <row r="9303" hidden="1">
      <c r="F9303" s="1" t="str">
        <f t="shared" si="1"/>
        <v/>
      </c>
      <c r="G9303" s="1" t="str">
        <f t="shared" si="2"/>
        <v/>
      </c>
      <c r="J9303" s="1" t="str">
        <f t="shared" si="3"/>
        <v/>
      </c>
      <c r="K9303" s="1" t="str">
        <f t="shared" si="4"/>
        <v/>
      </c>
    </row>
    <row r="9304" hidden="1">
      <c r="F9304" s="1" t="str">
        <f t="shared" si="1"/>
        <v/>
      </c>
      <c r="G9304" s="1" t="str">
        <f t="shared" si="2"/>
        <v/>
      </c>
      <c r="J9304" s="1" t="str">
        <f t="shared" si="3"/>
        <v/>
      </c>
      <c r="K9304" s="1" t="str">
        <f t="shared" si="4"/>
        <v/>
      </c>
    </row>
    <row r="9305" hidden="1">
      <c r="F9305" s="1" t="str">
        <f t="shared" si="1"/>
        <v/>
      </c>
      <c r="G9305" s="1" t="str">
        <f t="shared" si="2"/>
        <v/>
      </c>
      <c r="J9305" s="1" t="str">
        <f t="shared" si="3"/>
        <v/>
      </c>
      <c r="K9305" s="1" t="str">
        <f t="shared" si="4"/>
        <v/>
      </c>
    </row>
    <row r="9306" hidden="1">
      <c r="F9306" s="1" t="str">
        <f t="shared" si="1"/>
        <v/>
      </c>
      <c r="G9306" s="1" t="str">
        <f t="shared" si="2"/>
        <v/>
      </c>
      <c r="J9306" s="1" t="str">
        <f t="shared" si="3"/>
        <v/>
      </c>
      <c r="K9306" s="1" t="str">
        <f t="shared" si="4"/>
        <v/>
      </c>
    </row>
    <row r="9307" hidden="1">
      <c r="F9307" s="1" t="str">
        <f t="shared" si="1"/>
        <v/>
      </c>
      <c r="G9307" s="1" t="str">
        <f t="shared" si="2"/>
        <v/>
      </c>
      <c r="J9307" s="1" t="str">
        <f t="shared" si="3"/>
        <v/>
      </c>
      <c r="K9307" s="1" t="str">
        <f t="shared" si="4"/>
        <v/>
      </c>
    </row>
    <row r="9308" hidden="1">
      <c r="F9308" s="1" t="str">
        <f t="shared" si="1"/>
        <v/>
      </c>
      <c r="G9308" s="1" t="str">
        <f t="shared" si="2"/>
        <v/>
      </c>
      <c r="J9308" s="1" t="str">
        <f t="shared" si="3"/>
        <v/>
      </c>
      <c r="K9308" s="1" t="str">
        <f t="shared" si="4"/>
        <v/>
      </c>
    </row>
    <row r="9309" hidden="1">
      <c r="F9309" s="1" t="str">
        <f t="shared" si="1"/>
        <v/>
      </c>
      <c r="G9309" s="1" t="str">
        <f t="shared" si="2"/>
        <v/>
      </c>
      <c r="J9309" s="1" t="str">
        <f t="shared" si="3"/>
        <v/>
      </c>
      <c r="K9309" s="1" t="str">
        <f t="shared" si="4"/>
        <v/>
      </c>
    </row>
    <row r="9310" hidden="1">
      <c r="F9310" s="1" t="str">
        <f t="shared" si="1"/>
        <v/>
      </c>
      <c r="G9310" s="1" t="str">
        <f t="shared" si="2"/>
        <v/>
      </c>
      <c r="J9310" s="1" t="str">
        <f t="shared" si="3"/>
        <v/>
      </c>
      <c r="K9310" s="1" t="str">
        <f t="shared" si="4"/>
        <v/>
      </c>
    </row>
    <row r="9311" hidden="1">
      <c r="F9311" s="1" t="str">
        <f t="shared" si="1"/>
        <v/>
      </c>
      <c r="G9311" s="1" t="str">
        <f t="shared" si="2"/>
        <v/>
      </c>
      <c r="J9311" s="1" t="str">
        <f t="shared" si="3"/>
        <v/>
      </c>
      <c r="K9311" s="1" t="str">
        <f t="shared" si="4"/>
        <v/>
      </c>
    </row>
    <row r="9312" hidden="1">
      <c r="F9312" s="1" t="str">
        <f t="shared" si="1"/>
        <v/>
      </c>
      <c r="G9312" s="1" t="str">
        <f t="shared" si="2"/>
        <v/>
      </c>
      <c r="J9312" s="1" t="str">
        <f t="shared" si="3"/>
        <v/>
      </c>
      <c r="K9312" s="1" t="str">
        <f t="shared" si="4"/>
        <v/>
      </c>
    </row>
    <row r="9313" hidden="1">
      <c r="F9313" s="1" t="str">
        <f t="shared" si="1"/>
        <v/>
      </c>
      <c r="G9313" s="1" t="str">
        <f t="shared" si="2"/>
        <v/>
      </c>
      <c r="J9313" s="1" t="str">
        <f t="shared" si="3"/>
        <v/>
      </c>
      <c r="K9313" s="1" t="str">
        <f t="shared" si="4"/>
        <v/>
      </c>
    </row>
    <row r="9314" hidden="1">
      <c r="F9314" s="1" t="str">
        <f t="shared" si="1"/>
        <v/>
      </c>
      <c r="G9314" s="1" t="str">
        <f t="shared" si="2"/>
        <v/>
      </c>
      <c r="J9314" s="1" t="str">
        <f t="shared" si="3"/>
        <v/>
      </c>
      <c r="K9314" s="1" t="str">
        <f t="shared" si="4"/>
        <v/>
      </c>
    </row>
    <row r="9315" hidden="1">
      <c r="F9315" s="1" t="str">
        <f t="shared" si="1"/>
        <v/>
      </c>
      <c r="G9315" s="1" t="str">
        <f t="shared" si="2"/>
        <v/>
      </c>
      <c r="J9315" s="1" t="str">
        <f t="shared" si="3"/>
        <v/>
      </c>
      <c r="K9315" s="1" t="str">
        <f t="shared" si="4"/>
        <v/>
      </c>
    </row>
    <row r="9316" hidden="1">
      <c r="F9316" s="1" t="str">
        <f t="shared" si="1"/>
        <v/>
      </c>
      <c r="G9316" s="1" t="str">
        <f t="shared" si="2"/>
        <v/>
      </c>
      <c r="J9316" s="1" t="str">
        <f t="shared" si="3"/>
        <v/>
      </c>
      <c r="K9316" s="1" t="str">
        <f t="shared" si="4"/>
        <v/>
      </c>
    </row>
    <row r="9317" hidden="1">
      <c r="F9317" s="1" t="str">
        <f t="shared" si="1"/>
        <v/>
      </c>
      <c r="G9317" s="1" t="str">
        <f t="shared" si="2"/>
        <v/>
      </c>
      <c r="J9317" s="1" t="str">
        <f t="shared" si="3"/>
        <v/>
      </c>
      <c r="K9317" s="1" t="str">
        <f t="shared" si="4"/>
        <v/>
      </c>
    </row>
    <row r="9318" hidden="1">
      <c r="F9318" s="1" t="str">
        <f t="shared" si="1"/>
        <v/>
      </c>
      <c r="G9318" s="1" t="str">
        <f t="shared" si="2"/>
        <v/>
      </c>
      <c r="J9318" s="1" t="str">
        <f t="shared" si="3"/>
        <v/>
      </c>
      <c r="K9318" s="1" t="str">
        <f t="shared" si="4"/>
        <v/>
      </c>
    </row>
    <row r="9319" hidden="1">
      <c r="F9319" s="1" t="str">
        <f t="shared" si="1"/>
        <v/>
      </c>
      <c r="G9319" s="1" t="str">
        <f t="shared" si="2"/>
        <v/>
      </c>
      <c r="J9319" s="1" t="str">
        <f t="shared" si="3"/>
        <v/>
      </c>
      <c r="K9319" s="1" t="str">
        <f t="shared" si="4"/>
        <v/>
      </c>
    </row>
    <row r="9320" hidden="1">
      <c r="F9320" s="1" t="str">
        <f t="shared" si="1"/>
        <v/>
      </c>
      <c r="G9320" s="1" t="str">
        <f t="shared" si="2"/>
        <v/>
      </c>
      <c r="J9320" s="1" t="str">
        <f t="shared" si="3"/>
        <v/>
      </c>
      <c r="K9320" s="1" t="str">
        <f t="shared" si="4"/>
        <v/>
      </c>
    </row>
    <row r="9321" hidden="1">
      <c r="F9321" s="1" t="str">
        <f t="shared" si="1"/>
        <v/>
      </c>
      <c r="G9321" s="1" t="str">
        <f t="shared" si="2"/>
        <v/>
      </c>
      <c r="J9321" s="1" t="str">
        <f t="shared" si="3"/>
        <v/>
      </c>
      <c r="K9321" s="1" t="str">
        <f t="shared" si="4"/>
        <v/>
      </c>
    </row>
    <row r="9322" hidden="1">
      <c r="F9322" s="1" t="str">
        <f t="shared" si="1"/>
        <v/>
      </c>
      <c r="G9322" s="1" t="str">
        <f t="shared" si="2"/>
        <v/>
      </c>
      <c r="J9322" s="1" t="str">
        <f t="shared" si="3"/>
        <v/>
      </c>
      <c r="K9322" s="1" t="str">
        <f t="shared" si="4"/>
        <v/>
      </c>
    </row>
    <row r="9323" hidden="1">
      <c r="F9323" s="1" t="str">
        <f t="shared" si="1"/>
        <v/>
      </c>
      <c r="G9323" s="1" t="str">
        <f t="shared" si="2"/>
        <v/>
      </c>
      <c r="J9323" s="1" t="str">
        <f t="shared" si="3"/>
        <v/>
      </c>
      <c r="K9323" s="1" t="str">
        <f t="shared" si="4"/>
        <v/>
      </c>
    </row>
    <row r="9324" hidden="1">
      <c r="F9324" s="1" t="str">
        <f t="shared" si="1"/>
        <v/>
      </c>
      <c r="G9324" s="1" t="str">
        <f t="shared" si="2"/>
        <v/>
      </c>
      <c r="J9324" s="1" t="str">
        <f t="shared" si="3"/>
        <v/>
      </c>
      <c r="K9324" s="1" t="str">
        <f t="shared" si="4"/>
        <v/>
      </c>
    </row>
    <row r="9325" hidden="1">
      <c r="F9325" s="1" t="str">
        <f t="shared" si="1"/>
        <v/>
      </c>
      <c r="G9325" s="1" t="str">
        <f t="shared" si="2"/>
        <v/>
      </c>
      <c r="J9325" s="1" t="str">
        <f t="shared" si="3"/>
        <v/>
      </c>
      <c r="K9325" s="1" t="str">
        <f t="shared" si="4"/>
        <v/>
      </c>
    </row>
    <row r="9326" hidden="1">
      <c r="F9326" s="1" t="str">
        <f t="shared" si="1"/>
        <v/>
      </c>
      <c r="G9326" s="1" t="str">
        <f t="shared" si="2"/>
        <v/>
      </c>
      <c r="J9326" s="1" t="str">
        <f t="shared" si="3"/>
        <v/>
      </c>
      <c r="K9326" s="1" t="str">
        <f t="shared" si="4"/>
        <v/>
      </c>
    </row>
    <row r="9327" hidden="1">
      <c r="F9327" s="1" t="str">
        <f t="shared" si="1"/>
        <v/>
      </c>
      <c r="G9327" s="1" t="str">
        <f t="shared" si="2"/>
        <v/>
      </c>
      <c r="J9327" s="1" t="str">
        <f t="shared" si="3"/>
        <v/>
      </c>
      <c r="K9327" s="1" t="str">
        <f t="shared" si="4"/>
        <v/>
      </c>
    </row>
    <row r="9328" hidden="1">
      <c r="F9328" s="1" t="str">
        <f t="shared" si="1"/>
        <v/>
      </c>
      <c r="G9328" s="1" t="str">
        <f t="shared" si="2"/>
        <v/>
      </c>
      <c r="J9328" s="1" t="str">
        <f t="shared" si="3"/>
        <v/>
      </c>
      <c r="K9328" s="1" t="str">
        <f t="shared" si="4"/>
        <v/>
      </c>
    </row>
    <row r="9329" hidden="1">
      <c r="F9329" s="1" t="str">
        <f t="shared" si="1"/>
        <v/>
      </c>
      <c r="G9329" s="1" t="str">
        <f t="shared" si="2"/>
        <v/>
      </c>
      <c r="J9329" s="1" t="str">
        <f t="shared" si="3"/>
        <v/>
      </c>
      <c r="K9329" s="1" t="str">
        <f t="shared" si="4"/>
        <v/>
      </c>
    </row>
    <row r="9330" hidden="1">
      <c r="F9330" s="1" t="str">
        <f t="shared" si="1"/>
        <v/>
      </c>
      <c r="G9330" s="1" t="str">
        <f t="shared" si="2"/>
        <v/>
      </c>
      <c r="J9330" s="1" t="str">
        <f t="shared" si="3"/>
        <v/>
      </c>
      <c r="K9330" s="1" t="str">
        <f t="shared" si="4"/>
        <v/>
      </c>
    </row>
    <row r="9331" hidden="1">
      <c r="F9331" s="1" t="str">
        <f t="shared" si="1"/>
        <v/>
      </c>
      <c r="G9331" s="1" t="str">
        <f t="shared" si="2"/>
        <v/>
      </c>
      <c r="J9331" s="1" t="str">
        <f t="shared" si="3"/>
        <v/>
      </c>
      <c r="K9331" s="1" t="str">
        <f t="shared" si="4"/>
        <v/>
      </c>
    </row>
    <row r="9332" hidden="1">
      <c r="F9332" s="1" t="str">
        <f t="shared" si="1"/>
        <v/>
      </c>
      <c r="G9332" s="1" t="str">
        <f t="shared" si="2"/>
        <v/>
      </c>
      <c r="J9332" s="1" t="str">
        <f t="shared" si="3"/>
        <v/>
      </c>
      <c r="K9332" s="1" t="str">
        <f t="shared" si="4"/>
        <v/>
      </c>
    </row>
    <row r="9333" hidden="1">
      <c r="F9333" s="1" t="str">
        <f t="shared" si="1"/>
        <v/>
      </c>
      <c r="G9333" s="1" t="str">
        <f t="shared" si="2"/>
        <v/>
      </c>
      <c r="J9333" s="1" t="str">
        <f t="shared" si="3"/>
        <v/>
      </c>
      <c r="K9333" s="1" t="str">
        <f t="shared" si="4"/>
        <v/>
      </c>
    </row>
    <row r="9334" hidden="1">
      <c r="F9334" s="1" t="str">
        <f t="shared" si="1"/>
        <v/>
      </c>
      <c r="G9334" s="1" t="str">
        <f t="shared" si="2"/>
        <v/>
      </c>
      <c r="J9334" s="1" t="str">
        <f t="shared" si="3"/>
        <v/>
      </c>
      <c r="K9334" s="1" t="str">
        <f t="shared" si="4"/>
        <v/>
      </c>
    </row>
    <row r="9335" hidden="1">
      <c r="F9335" s="1" t="str">
        <f t="shared" si="1"/>
        <v/>
      </c>
      <c r="G9335" s="1" t="str">
        <f t="shared" si="2"/>
        <v/>
      </c>
      <c r="J9335" s="1" t="str">
        <f t="shared" si="3"/>
        <v/>
      </c>
      <c r="K9335" s="1" t="str">
        <f t="shared" si="4"/>
        <v/>
      </c>
    </row>
    <row r="9336" hidden="1">
      <c r="F9336" s="1" t="str">
        <f t="shared" si="1"/>
        <v/>
      </c>
      <c r="G9336" s="1" t="str">
        <f t="shared" si="2"/>
        <v/>
      </c>
      <c r="J9336" s="1" t="str">
        <f t="shared" si="3"/>
        <v/>
      </c>
      <c r="K9336" s="1" t="str">
        <f t="shared" si="4"/>
        <v/>
      </c>
    </row>
    <row r="9337" hidden="1">
      <c r="F9337" s="1" t="str">
        <f t="shared" si="1"/>
        <v/>
      </c>
      <c r="G9337" s="1" t="str">
        <f t="shared" si="2"/>
        <v/>
      </c>
      <c r="J9337" s="1" t="str">
        <f t="shared" si="3"/>
        <v/>
      </c>
      <c r="K9337" s="1" t="str">
        <f t="shared" si="4"/>
        <v/>
      </c>
    </row>
    <row r="9338" hidden="1">
      <c r="F9338" s="1" t="str">
        <f t="shared" si="1"/>
        <v/>
      </c>
      <c r="G9338" s="1" t="str">
        <f t="shared" si="2"/>
        <v/>
      </c>
      <c r="J9338" s="1" t="str">
        <f t="shared" si="3"/>
        <v/>
      </c>
      <c r="K9338" s="1" t="str">
        <f t="shared" si="4"/>
        <v/>
      </c>
    </row>
    <row r="9339" hidden="1">
      <c r="F9339" s="1" t="str">
        <f t="shared" si="1"/>
        <v/>
      </c>
      <c r="G9339" s="1" t="str">
        <f t="shared" si="2"/>
        <v/>
      </c>
      <c r="J9339" s="1" t="str">
        <f t="shared" si="3"/>
        <v/>
      </c>
      <c r="K9339" s="1" t="str">
        <f t="shared" si="4"/>
        <v/>
      </c>
    </row>
    <row r="9340" hidden="1">
      <c r="F9340" s="1" t="str">
        <f t="shared" si="1"/>
        <v/>
      </c>
      <c r="G9340" s="1" t="str">
        <f t="shared" si="2"/>
        <v/>
      </c>
      <c r="J9340" s="1" t="str">
        <f t="shared" si="3"/>
        <v/>
      </c>
      <c r="K9340" s="1" t="str">
        <f t="shared" si="4"/>
        <v/>
      </c>
    </row>
    <row r="9341" hidden="1">
      <c r="F9341" s="1" t="str">
        <f t="shared" si="1"/>
        <v/>
      </c>
      <c r="G9341" s="1" t="str">
        <f t="shared" si="2"/>
        <v/>
      </c>
      <c r="J9341" s="1" t="str">
        <f t="shared" si="3"/>
        <v/>
      </c>
      <c r="K9341" s="1" t="str">
        <f t="shared" si="4"/>
        <v/>
      </c>
    </row>
    <row r="9342" hidden="1">
      <c r="F9342" s="1" t="str">
        <f t="shared" si="1"/>
        <v/>
      </c>
      <c r="G9342" s="1" t="str">
        <f t="shared" si="2"/>
        <v/>
      </c>
      <c r="J9342" s="1" t="str">
        <f t="shared" si="3"/>
        <v/>
      </c>
      <c r="K9342" s="1" t="str">
        <f t="shared" si="4"/>
        <v/>
      </c>
    </row>
    <row r="9343" hidden="1">
      <c r="F9343" s="1" t="str">
        <f t="shared" si="1"/>
        <v/>
      </c>
      <c r="G9343" s="1" t="str">
        <f t="shared" si="2"/>
        <v/>
      </c>
      <c r="J9343" s="1" t="str">
        <f t="shared" si="3"/>
        <v/>
      </c>
      <c r="K9343" s="1" t="str">
        <f t="shared" si="4"/>
        <v/>
      </c>
    </row>
    <row r="9344" hidden="1">
      <c r="F9344" s="1" t="str">
        <f t="shared" si="1"/>
        <v/>
      </c>
      <c r="G9344" s="1" t="str">
        <f t="shared" si="2"/>
        <v/>
      </c>
      <c r="J9344" s="1" t="str">
        <f t="shared" si="3"/>
        <v/>
      </c>
      <c r="K9344" s="1" t="str">
        <f t="shared" si="4"/>
        <v/>
      </c>
    </row>
    <row r="9345" hidden="1">
      <c r="F9345" s="1" t="str">
        <f t="shared" si="1"/>
        <v/>
      </c>
      <c r="G9345" s="1" t="str">
        <f t="shared" si="2"/>
        <v/>
      </c>
      <c r="J9345" s="1" t="str">
        <f t="shared" si="3"/>
        <v/>
      </c>
      <c r="K9345" s="1" t="str">
        <f t="shared" si="4"/>
        <v/>
      </c>
    </row>
    <row r="9346" hidden="1">
      <c r="F9346" s="1" t="str">
        <f t="shared" si="1"/>
        <v/>
      </c>
      <c r="G9346" s="1" t="str">
        <f t="shared" si="2"/>
        <v/>
      </c>
      <c r="J9346" s="1" t="str">
        <f t="shared" si="3"/>
        <v/>
      </c>
      <c r="K9346" s="1" t="str">
        <f t="shared" si="4"/>
        <v/>
      </c>
    </row>
    <row r="9347" hidden="1">
      <c r="F9347" s="1" t="str">
        <f t="shared" si="1"/>
        <v/>
      </c>
      <c r="G9347" s="1" t="str">
        <f t="shared" si="2"/>
        <v/>
      </c>
      <c r="J9347" s="1" t="str">
        <f t="shared" si="3"/>
        <v/>
      </c>
      <c r="K9347" s="1" t="str">
        <f t="shared" si="4"/>
        <v/>
      </c>
    </row>
    <row r="9348" hidden="1">
      <c r="F9348" s="1" t="str">
        <f t="shared" si="1"/>
        <v/>
      </c>
      <c r="G9348" s="1" t="str">
        <f t="shared" si="2"/>
        <v/>
      </c>
      <c r="J9348" s="1" t="str">
        <f t="shared" si="3"/>
        <v/>
      </c>
      <c r="K9348" s="1" t="str">
        <f t="shared" si="4"/>
        <v/>
      </c>
    </row>
    <row r="9349" hidden="1">
      <c r="F9349" s="1" t="str">
        <f t="shared" si="1"/>
        <v/>
      </c>
      <c r="G9349" s="1" t="str">
        <f t="shared" si="2"/>
        <v/>
      </c>
      <c r="J9349" s="1" t="str">
        <f t="shared" si="3"/>
        <v/>
      </c>
      <c r="K9349" s="1" t="str">
        <f t="shared" si="4"/>
        <v/>
      </c>
    </row>
    <row r="9350" hidden="1">
      <c r="F9350" s="1" t="str">
        <f t="shared" si="1"/>
        <v/>
      </c>
      <c r="G9350" s="1" t="str">
        <f t="shared" si="2"/>
        <v/>
      </c>
      <c r="J9350" s="1" t="str">
        <f t="shared" si="3"/>
        <v/>
      </c>
      <c r="K9350" s="1" t="str">
        <f t="shared" si="4"/>
        <v/>
      </c>
    </row>
    <row r="9351" hidden="1">
      <c r="F9351" s="1" t="str">
        <f t="shared" si="1"/>
        <v/>
      </c>
      <c r="G9351" s="1" t="str">
        <f t="shared" si="2"/>
        <v/>
      </c>
      <c r="J9351" s="1" t="str">
        <f t="shared" si="3"/>
        <v/>
      </c>
      <c r="K9351" s="1" t="str">
        <f t="shared" si="4"/>
        <v/>
      </c>
    </row>
    <row r="9352" hidden="1">
      <c r="F9352" s="1" t="str">
        <f t="shared" si="1"/>
        <v/>
      </c>
      <c r="G9352" s="1" t="str">
        <f t="shared" si="2"/>
        <v/>
      </c>
      <c r="J9352" s="1" t="str">
        <f t="shared" si="3"/>
        <v/>
      </c>
      <c r="K9352" s="1" t="str">
        <f t="shared" si="4"/>
        <v/>
      </c>
    </row>
    <row r="9353" hidden="1">
      <c r="F9353" s="1" t="str">
        <f t="shared" si="1"/>
        <v/>
      </c>
      <c r="G9353" s="1" t="str">
        <f t="shared" si="2"/>
        <v/>
      </c>
      <c r="J9353" s="1" t="str">
        <f t="shared" si="3"/>
        <v/>
      </c>
      <c r="K9353" s="1" t="str">
        <f t="shared" si="4"/>
        <v/>
      </c>
    </row>
    <row r="9354" hidden="1">
      <c r="F9354" s="1" t="str">
        <f t="shared" si="1"/>
        <v/>
      </c>
      <c r="G9354" s="1" t="str">
        <f t="shared" si="2"/>
        <v/>
      </c>
      <c r="J9354" s="1" t="str">
        <f t="shared" si="3"/>
        <v/>
      </c>
      <c r="K9354" s="1" t="str">
        <f t="shared" si="4"/>
        <v/>
      </c>
    </row>
    <row r="9355" hidden="1">
      <c r="F9355" s="1" t="str">
        <f t="shared" si="1"/>
        <v/>
      </c>
      <c r="G9355" s="1" t="str">
        <f t="shared" si="2"/>
        <v/>
      </c>
      <c r="J9355" s="1" t="str">
        <f t="shared" si="3"/>
        <v/>
      </c>
      <c r="K9355" s="1" t="str">
        <f t="shared" si="4"/>
        <v/>
      </c>
    </row>
    <row r="9356" hidden="1">
      <c r="F9356" s="1" t="str">
        <f t="shared" si="1"/>
        <v/>
      </c>
      <c r="G9356" s="1" t="str">
        <f t="shared" si="2"/>
        <v/>
      </c>
      <c r="J9356" s="1" t="str">
        <f t="shared" si="3"/>
        <v/>
      </c>
      <c r="K9356" s="1" t="str">
        <f t="shared" si="4"/>
        <v/>
      </c>
    </row>
    <row r="9357" hidden="1">
      <c r="F9357" s="1" t="str">
        <f t="shared" si="1"/>
        <v/>
      </c>
      <c r="G9357" s="1" t="str">
        <f t="shared" si="2"/>
        <v/>
      </c>
      <c r="J9357" s="1" t="str">
        <f t="shared" si="3"/>
        <v/>
      </c>
      <c r="K9357" s="1" t="str">
        <f t="shared" si="4"/>
        <v/>
      </c>
    </row>
    <row r="9358" hidden="1">
      <c r="F9358" s="1" t="str">
        <f t="shared" si="1"/>
        <v/>
      </c>
      <c r="G9358" s="1" t="str">
        <f t="shared" si="2"/>
        <v/>
      </c>
      <c r="J9358" s="1" t="str">
        <f t="shared" si="3"/>
        <v/>
      </c>
      <c r="K9358" s="1" t="str">
        <f t="shared" si="4"/>
        <v/>
      </c>
    </row>
    <row r="9359" hidden="1">
      <c r="F9359" s="1" t="str">
        <f t="shared" si="1"/>
        <v/>
      </c>
      <c r="G9359" s="1" t="str">
        <f t="shared" si="2"/>
        <v/>
      </c>
      <c r="J9359" s="1" t="str">
        <f t="shared" si="3"/>
        <v/>
      </c>
      <c r="K9359" s="1" t="str">
        <f t="shared" si="4"/>
        <v/>
      </c>
    </row>
    <row r="9360" hidden="1">
      <c r="F9360" s="1" t="str">
        <f t="shared" si="1"/>
        <v/>
      </c>
      <c r="G9360" s="1" t="str">
        <f t="shared" si="2"/>
        <v/>
      </c>
      <c r="J9360" s="1" t="str">
        <f t="shared" si="3"/>
        <v/>
      </c>
      <c r="K9360" s="1" t="str">
        <f t="shared" si="4"/>
        <v/>
      </c>
    </row>
    <row r="9361" hidden="1">
      <c r="F9361" s="1" t="str">
        <f t="shared" si="1"/>
        <v/>
      </c>
      <c r="G9361" s="1" t="str">
        <f t="shared" si="2"/>
        <v/>
      </c>
      <c r="J9361" s="1" t="str">
        <f t="shared" si="3"/>
        <v/>
      </c>
      <c r="K9361" s="1" t="str">
        <f t="shared" si="4"/>
        <v/>
      </c>
    </row>
    <row r="9362" hidden="1">
      <c r="F9362" s="1" t="str">
        <f t="shared" si="1"/>
        <v/>
      </c>
      <c r="G9362" s="1" t="str">
        <f t="shared" si="2"/>
        <v/>
      </c>
      <c r="J9362" s="1" t="str">
        <f t="shared" si="3"/>
        <v/>
      </c>
      <c r="K9362" s="1" t="str">
        <f t="shared" si="4"/>
        <v/>
      </c>
    </row>
    <row r="9363" hidden="1">
      <c r="F9363" s="1" t="str">
        <f t="shared" si="1"/>
        <v/>
      </c>
      <c r="G9363" s="1" t="str">
        <f t="shared" si="2"/>
        <v/>
      </c>
      <c r="J9363" s="1" t="str">
        <f t="shared" si="3"/>
        <v/>
      </c>
      <c r="K9363" s="1" t="str">
        <f t="shared" si="4"/>
        <v/>
      </c>
    </row>
    <row r="9364" hidden="1">
      <c r="F9364" s="1" t="str">
        <f t="shared" si="1"/>
        <v/>
      </c>
      <c r="G9364" s="1" t="str">
        <f t="shared" si="2"/>
        <v/>
      </c>
      <c r="J9364" s="1" t="str">
        <f t="shared" si="3"/>
        <v/>
      </c>
      <c r="K9364" s="1" t="str">
        <f t="shared" si="4"/>
        <v/>
      </c>
    </row>
    <row r="9365" hidden="1">
      <c r="F9365" s="1" t="str">
        <f t="shared" si="1"/>
        <v/>
      </c>
      <c r="G9365" s="1" t="str">
        <f t="shared" si="2"/>
        <v/>
      </c>
      <c r="J9365" s="1" t="str">
        <f t="shared" si="3"/>
        <v/>
      </c>
      <c r="K9365" s="1" t="str">
        <f t="shared" si="4"/>
        <v/>
      </c>
    </row>
    <row r="9366" hidden="1">
      <c r="F9366" s="1" t="str">
        <f t="shared" si="1"/>
        <v/>
      </c>
      <c r="G9366" s="1" t="str">
        <f t="shared" si="2"/>
        <v/>
      </c>
      <c r="J9366" s="1" t="str">
        <f t="shared" si="3"/>
        <v/>
      </c>
      <c r="K9366" s="1" t="str">
        <f t="shared" si="4"/>
        <v/>
      </c>
    </row>
    <row r="9367" hidden="1">
      <c r="F9367" s="1" t="str">
        <f t="shared" si="1"/>
        <v/>
      </c>
      <c r="G9367" s="1" t="str">
        <f t="shared" si="2"/>
        <v/>
      </c>
      <c r="J9367" s="1" t="str">
        <f t="shared" si="3"/>
        <v/>
      </c>
      <c r="K9367" s="1" t="str">
        <f t="shared" si="4"/>
        <v/>
      </c>
    </row>
    <row r="9368" hidden="1">
      <c r="F9368" s="1" t="str">
        <f t="shared" si="1"/>
        <v/>
      </c>
      <c r="G9368" s="1" t="str">
        <f t="shared" si="2"/>
        <v/>
      </c>
      <c r="J9368" s="1" t="str">
        <f t="shared" si="3"/>
        <v/>
      </c>
      <c r="K9368" s="1" t="str">
        <f t="shared" si="4"/>
        <v/>
      </c>
    </row>
    <row r="9369" hidden="1">
      <c r="F9369" s="1" t="str">
        <f t="shared" si="1"/>
        <v/>
      </c>
      <c r="G9369" s="1" t="str">
        <f t="shared" si="2"/>
        <v/>
      </c>
      <c r="J9369" s="1" t="str">
        <f t="shared" si="3"/>
        <v/>
      </c>
      <c r="K9369" s="1" t="str">
        <f t="shared" si="4"/>
        <v/>
      </c>
    </row>
    <row r="9370" hidden="1">
      <c r="F9370" s="1" t="str">
        <f t="shared" si="1"/>
        <v/>
      </c>
      <c r="G9370" s="1" t="str">
        <f t="shared" si="2"/>
        <v/>
      </c>
      <c r="J9370" s="1" t="str">
        <f t="shared" si="3"/>
        <v/>
      </c>
      <c r="K9370" s="1" t="str">
        <f t="shared" si="4"/>
        <v/>
      </c>
    </row>
    <row r="9371" hidden="1">
      <c r="F9371" s="1" t="str">
        <f t="shared" si="1"/>
        <v/>
      </c>
      <c r="G9371" s="1" t="str">
        <f t="shared" si="2"/>
        <v/>
      </c>
      <c r="J9371" s="1" t="str">
        <f t="shared" si="3"/>
        <v/>
      </c>
      <c r="K9371" s="1" t="str">
        <f t="shared" si="4"/>
        <v/>
      </c>
    </row>
    <row r="9372" hidden="1">
      <c r="F9372" s="1" t="str">
        <f t="shared" si="1"/>
        <v/>
      </c>
      <c r="G9372" s="1" t="str">
        <f t="shared" si="2"/>
        <v/>
      </c>
      <c r="J9372" s="1" t="str">
        <f t="shared" si="3"/>
        <v/>
      </c>
      <c r="K9372" s="1" t="str">
        <f t="shared" si="4"/>
        <v/>
      </c>
    </row>
    <row r="9373" hidden="1">
      <c r="F9373" s="1" t="str">
        <f t="shared" si="1"/>
        <v/>
      </c>
      <c r="G9373" s="1" t="str">
        <f t="shared" si="2"/>
        <v/>
      </c>
      <c r="J9373" s="1" t="str">
        <f t="shared" si="3"/>
        <v/>
      </c>
      <c r="K9373" s="1" t="str">
        <f t="shared" si="4"/>
        <v/>
      </c>
    </row>
    <row r="9374" hidden="1">
      <c r="F9374" s="1" t="str">
        <f t="shared" si="1"/>
        <v/>
      </c>
      <c r="G9374" s="1" t="str">
        <f t="shared" si="2"/>
        <v/>
      </c>
      <c r="J9374" s="1" t="str">
        <f t="shared" si="3"/>
        <v/>
      </c>
      <c r="K9374" s="1" t="str">
        <f t="shared" si="4"/>
        <v/>
      </c>
    </row>
    <row r="9375" hidden="1">
      <c r="F9375" s="1" t="str">
        <f t="shared" si="1"/>
        <v/>
      </c>
      <c r="G9375" s="1" t="str">
        <f t="shared" si="2"/>
        <v/>
      </c>
      <c r="J9375" s="1" t="str">
        <f t="shared" si="3"/>
        <v/>
      </c>
      <c r="K9375" s="1" t="str">
        <f t="shared" si="4"/>
        <v/>
      </c>
    </row>
    <row r="9376" hidden="1">
      <c r="F9376" s="1" t="str">
        <f t="shared" si="1"/>
        <v/>
      </c>
      <c r="G9376" s="1" t="str">
        <f t="shared" si="2"/>
        <v/>
      </c>
      <c r="J9376" s="1" t="str">
        <f t="shared" si="3"/>
        <v/>
      </c>
      <c r="K9376" s="1" t="str">
        <f t="shared" si="4"/>
        <v/>
      </c>
    </row>
    <row r="9377" hidden="1">
      <c r="F9377" s="1" t="str">
        <f t="shared" si="1"/>
        <v/>
      </c>
      <c r="G9377" s="1" t="str">
        <f t="shared" si="2"/>
        <v/>
      </c>
      <c r="J9377" s="1" t="str">
        <f t="shared" si="3"/>
        <v/>
      </c>
      <c r="K9377" s="1" t="str">
        <f t="shared" si="4"/>
        <v/>
      </c>
    </row>
    <row r="9378" hidden="1">
      <c r="F9378" s="1" t="str">
        <f t="shared" si="1"/>
        <v/>
      </c>
      <c r="G9378" s="1" t="str">
        <f t="shared" si="2"/>
        <v/>
      </c>
      <c r="J9378" s="1" t="str">
        <f t="shared" si="3"/>
        <v/>
      </c>
      <c r="K9378" s="1" t="str">
        <f t="shared" si="4"/>
        <v/>
      </c>
    </row>
    <row r="9379" hidden="1">
      <c r="F9379" s="1" t="str">
        <f t="shared" si="1"/>
        <v/>
      </c>
      <c r="G9379" s="1" t="str">
        <f t="shared" si="2"/>
        <v/>
      </c>
      <c r="J9379" s="1" t="str">
        <f t="shared" si="3"/>
        <v/>
      </c>
      <c r="K9379" s="1" t="str">
        <f t="shared" si="4"/>
        <v/>
      </c>
    </row>
    <row r="9380" hidden="1">
      <c r="F9380" s="1" t="str">
        <f t="shared" si="1"/>
        <v/>
      </c>
      <c r="G9380" s="1" t="str">
        <f t="shared" si="2"/>
        <v/>
      </c>
      <c r="J9380" s="1" t="str">
        <f t="shared" si="3"/>
        <v/>
      </c>
      <c r="K9380" s="1" t="str">
        <f t="shared" si="4"/>
        <v/>
      </c>
    </row>
    <row r="9381" hidden="1">
      <c r="F9381" s="1" t="str">
        <f t="shared" si="1"/>
        <v/>
      </c>
      <c r="G9381" s="1" t="str">
        <f t="shared" si="2"/>
        <v/>
      </c>
      <c r="J9381" s="1" t="str">
        <f t="shared" si="3"/>
        <v/>
      </c>
      <c r="K9381" s="1" t="str">
        <f t="shared" si="4"/>
        <v/>
      </c>
    </row>
    <row r="9382" hidden="1">
      <c r="F9382" s="1" t="str">
        <f t="shared" si="1"/>
        <v/>
      </c>
      <c r="G9382" s="1" t="str">
        <f t="shared" si="2"/>
        <v/>
      </c>
      <c r="J9382" s="1" t="str">
        <f t="shared" si="3"/>
        <v/>
      </c>
      <c r="K9382" s="1" t="str">
        <f t="shared" si="4"/>
        <v/>
      </c>
    </row>
    <row r="9383" hidden="1">
      <c r="F9383" s="1" t="str">
        <f t="shared" si="1"/>
        <v/>
      </c>
      <c r="G9383" s="1" t="str">
        <f t="shared" si="2"/>
        <v/>
      </c>
      <c r="J9383" s="1" t="str">
        <f t="shared" si="3"/>
        <v/>
      </c>
      <c r="K9383" s="1" t="str">
        <f t="shared" si="4"/>
        <v/>
      </c>
    </row>
    <row r="9384" hidden="1">
      <c r="F9384" s="1" t="str">
        <f t="shared" si="1"/>
        <v/>
      </c>
      <c r="G9384" s="1" t="str">
        <f t="shared" si="2"/>
        <v/>
      </c>
      <c r="J9384" s="1" t="str">
        <f t="shared" si="3"/>
        <v/>
      </c>
      <c r="K9384" s="1" t="str">
        <f t="shared" si="4"/>
        <v/>
      </c>
    </row>
    <row r="9385" hidden="1">
      <c r="F9385" s="1" t="str">
        <f t="shared" si="1"/>
        <v/>
      </c>
      <c r="G9385" s="1" t="str">
        <f t="shared" si="2"/>
        <v/>
      </c>
      <c r="J9385" s="1" t="str">
        <f t="shared" si="3"/>
        <v/>
      </c>
      <c r="K9385" s="1" t="str">
        <f t="shared" si="4"/>
        <v/>
      </c>
    </row>
    <row r="9386" hidden="1">
      <c r="F9386" s="1" t="str">
        <f t="shared" si="1"/>
        <v/>
      </c>
      <c r="G9386" s="1" t="str">
        <f t="shared" si="2"/>
        <v/>
      </c>
      <c r="J9386" s="1" t="str">
        <f t="shared" si="3"/>
        <v/>
      </c>
      <c r="K9386" s="1" t="str">
        <f t="shared" si="4"/>
        <v/>
      </c>
    </row>
    <row r="9387" hidden="1">
      <c r="F9387" s="1" t="str">
        <f t="shared" si="1"/>
        <v/>
      </c>
      <c r="G9387" s="1" t="str">
        <f t="shared" si="2"/>
        <v/>
      </c>
      <c r="J9387" s="1" t="str">
        <f t="shared" si="3"/>
        <v/>
      </c>
      <c r="K9387" s="1" t="str">
        <f t="shared" si="4"/>
        <v/>
      </c>
    </row>
    <row r="9388" hidden="1">
      <c r="F9388" s="1" t="str">
        <f t="shared" si="1"/>
        <v/>
      </c>
      <c r="G9388" s="1" t="str">
        <f t="shared" si="2"/>
        <v/>
      </c>
      <c r="J9388" s="1" t="str">
        <f t="shared" si="3"/>
        <v/>
      </c>
      <c r="K9388" s="1" t="str">
        <f t="shared" si="4"/>
        <v/>
      </c>
    </row>
    <row r="9389" hidden="1">
      <c r="F9389" s="1" t="str">
        <f t="shared" si="1"/>
        <v/>
      </c>
      <c r="G9389" s="1" t="str">
        <f t="shared" si="2"/>
        <v/>
      </c>
      <c r="J9389" s="1" t="str">
        <f t="shared" si="3"/>
        <v/>
      </c>
      <c r="K9389" s="1" t="str">
        <f t="shared" si="4"/>
        <v/>
      </c>
    </row>
    <row r="9390" hidden="1">
      <c r="F9390" s="1" t="str">
        <f t="shared" si="1"/>
        <v/>
      </c>
      <c r="G9390" s="1" t="str">
        <f t="shared" si="2"/>
        <v/>
      </c>
      <c r="J9390" s="1" t="str">
        <f t="shared" si="3"/>
        <v/>
      </c>
      <c r="K9390" s="1" t="str">
        <f t="shared" si="4"/>
        <v/>
      </c>
    </row>
    <row r="9391" hidden="1">
      <c r="F9391" s="1" t="str">
        <f t="shared" si="1"/>
        <v/>
      </c>
      <c r="G9391" s="1" t="str">
        <f t="shared" si="2"/>
        <v/>
      </c>
      <c r="J9391" s="1" t="str">
        <f t="shared" si="3"/>
        <v/>
      </c>
      <c r="K9391" s="1" t="str">
        <f t="shared" si="4"/>
        <v/>
      </c>
    </row>
    <row r="9392" hidden="1">
      <c r="F9392" s="1" t="str">
        <f t="shared" si="1"/>
        <v/>
      </c>
      <c r="G9392" s="1" t="str">
        <f t="shared" si="2"/>
        <v/>
      </c>
      <c r="J9392" s="1" t="str">
        <f t="shared" si="3"/>
        <v/>
      </c>
      <c r="K9392" s="1" t="str">
        <f t="shared" si="4"/>
        <v/>
      </c>
    </row>
    <row r="9393" hidden="1">
      <c r="F9393" s="1" t="str">
        <f t="shared" si="1"/>
        <v/>
      </c>
      <c r="G9393" s="1" t="str">
        <f t="shared" si="2"/>
        <v/>
      </c>
      <c r="J9393" s="1" t="str">
        <f t="shared" si="3"/>
        <v/>
      </c>
      <c r="K9393" s="1" t="str">
        <f t="shared" si="4"/>
        <v/>
      </c>
    </row>
    <row r="9394" hidden="1">
      <c r="F9394" s="1" t="str">
        <f t="shared" si="1"/>
        <v/>
      </c>
      <c r="G9394" s="1" t="str">
        <f t="shared" si="2"/>
        <v/>
      </c>
      <c r="J9394" s="1" t="str">
        <f t="shared" si="3"/>
        <v/>
      </c>
      <c r="K9394" s="1" t="str">
        <f t="shared" si="4"/>
        <v/>
      </c>
    </row>
    <row r="9395" hidden="1">
      <c r="F9395" s="1" t="str">
        <f t="shared" si="1"/>
        <v/>
      </c>
      <c r="G9395" s="1" t="str">
        <f t="shared" si="2"/>
        <v/>
      </c>
      <c r="J9395" s="1" t="str">
        <f t="shared" si="3"/>
        <v/>
      </c>
      <c r="K9395" s="1" t="str">
        <f t="shared" si="4"/>
        <v/>
      </c>
    </row>
    <row r="9396" hidden="1">
      <c r="F9396" s="1" t="str">
        <f t="shared" si="1"/>
        <v/>
      </c>
      <c r="G9396" s="1" t="str">
        <f t="shared" si="2"/>
        <v/>
      </c>
      <c r="J9396" s="1" t="str">
        <f t="shared" si="3"/>
        <v/>
      </c>
      <c r="K9396" s="1" t="str">
        <f t="shared" si="4"/>
        <v/>
      </c>
    </row>
    <row r="9397" hidden="1">
      <c r="F9397" s="1" t="str">
        <f t="shared" si="1"/>
        <v/>
      </c>
      <c r="G9397" s="1" t="str">
        <f t="shared" si="2"/>
        <v/>
      </c>
      <c r="J9397" s="1" t="str">
        <f t="shared" si="3"/>
        <v/>
      </c>
      <c r="K9397" s="1" t="str">
        <f t="shared" si="4"/>
        <v/>
      </c>
    </row>
    <row r="9398" hidden="1">
      <c r="F9398" s="1" t="str">
        <f t="shared" si="1"/>
        <v/>
      </c>
      <c r="G9398" s="1" t="str">
        <f t="shared" si="2"/>
        <v/>
      </c>
      <c r="J9398" s="1" t="str">
        <f t="shared" si="3"/>
        <v/>
      </c>
      <c r="K9398" s="1" t="str">
        <f t="shared" si="4"/>
        <v/>
      </c>
    </row>
    <row r="9399" hidden="1">
      <c r="F9399" s="1" t="str">
        <f t="shared" si="1"/>
        <v/>
      </c>
      <c r="G9399" s="1" t="str">
        <f t="shared" si="2"/>
        <v/>
      </c>
      <c r="J9399" s="1" t="str">
        <f t="shared" si="3"/>
        <v/>
      </c>
      <c r="K9399" s="1" t="str">
        <f t="shared" si="4"/>
        <v/>
      </c>
    </row>
    <row r="9400" hidden="1">
      <c r="F9400" s="1" t="str">
        <f t="shared" si="1"/>
        <v/>
      </c>
      <c r="G9400" s="1" t="str">
        <f t="shared" si="2"/>
        <v/>
      </c>
      <c r="J9400" s="1" t="str">
        <f t="shared" si="3"/>
        <v/>
      </c>
      <c r="K9400" s="1" t="str">
        <f t="shared" si="4"/>
        <v/>
      </c>
    </row>
    <row r="9401" hidden="1">
      <c r="F9401" s="1" t="str">
        <f t="shared" si="1"/>
        <v/>
      </c>
      <c r="G9401" s="1" t="str">
        <f t="shared" si="2"/>
        <v/>
      </c>
      <c r="J9401" s="1" t="str">
        <f t="shared" si="3"/>
        <v/>
      </c>
      <c r="K9401" s="1" t="str">
        <f t="shared" si="4"/>
        <v/>
      </c>
    </row>
    <row r="9402" hidden="1">
      <c r="F9402" s="1" t="str">
        <f t="shared" si="1"/>
        <v/>
      </c>
      <c r="G9402" s="1" t="str">
        <f t="shared" si="2"/>
        <v/>
      </c>
      <c r="J9402" s="1" t="str">
        <f t="shared" si="3"/>
        <v/>
      </c>
      <c r="K9402" s="1" t="str">
        <f t="shared" si="4"/>
        <v/>
      </c>
    </row>
    <row r="9403" hidden="1">
      <c r="F9403" s="1" t="str">
        <f t="shared" si="1"/>
        <v/>
      </c>
      <c r="G9403" s="1" t="str">
        <f t="shared" si="2"/>
        <v/>
      </c>
      <c r="J9403" s="1" t="str">
        <f t="shared" si="3"/>
        <v/>
      </c>
      <c r="K9403" s="1" t="str">
        <f t="shared" si="4"/>
        <v/>
      </c>
    </row>
    <row r="9404" hidden="1">
      <c r="F9404" s="1" t="str">
        <f t="shared" si="1"/>
        <v/>
      </c>
      <c r="G9404" s="1" t="str">
        <f t="shared" si="2"/>
        <v/>
      </c>
      <c r="J9404" s="1" t="str">
        <f t="shared" si="3"/>
        <v/>
      </c>
      <c r="K9404" s="1" t="str">
        <f t="shared" si="4"/>
        <v/>
      </c>
    </row>
    <row r="9405" hidden="1">
      <c r="F9405" s="1" t="str">
        <f t="shared" si="1"/>
        <v/>
      </c>
      <c r="G9405" s="1" t="str">
        <f t="shared" si="2"/>
        <v/>
      </c>
      <c r="J9405" s="1" t="str">
        <f t="shared" si="3"/>
        <v/>
      </c>
      <c r="K9405" s="1" t="str">
        <f t="shared" si="4"/>
        <v/>
      </c>
    </row>
    <row r="9406" hidden="1">
      <c r="F9406" s="1" t="str">
        <f t="shared" si="1"/>
        <v/>
      </c>
      <c r="G9406" s="1" t="str">
        <f t="shared" si="2"/>
        <v/>
      </c>
      <c r="J9406" s="1" t="str">
        <f t="shared" si="3"/>
        <v/>
      </c>
      <c r="K9406" s="1" t="str">
        <f t="shared" si="4"/>
        <v/>
      </c>
    </row>
    <row r="9407" hidden="1">
      <c r="F9407" s="1" t="str">
        <f t="shared" si="1"/>
        <v/>
      </c>
      <c r="G9407" s="1" t="str">
        <f t="shared" si="2"/>
        <v/>
      </c>
      <c r="J9407" s="1" t="str">
        <f t="shared" si="3"/>
        <v/>
      </c>
      <c r="K9407" s="1" t="str">
        <f t="shared" si="4"/>
        <v/>
      </c>
    </row>
    <row r="9408" hidden="1">
      <c r="F9408" s="1" t="str">
        <f t="shared" si="1"/>
        <v/>
      </c>
      <c r="G9408" s="1" t="str">
        <f t="shared" si="2"/>
        <v/>
      </c>
      <c r="J9408" s="1" t="str">
        <f t="shared" si="3"/>
        <v/>
      </c>
      <c r="K9408" s="1" t="str">
        <f t="shared" si="4"/>
        <v/>
      </c>
    </row>
    <row r="9409" hidden="1">
      <c r="F9409" s="1" t="str">
        <f t="shared" si="1"/>
        <v/>
      </c>
      <c r="G9409" s="1" t="str">
        <f t="shared" si="2"/>
        <v/>
      </c>
      <c r="J9409" s="1" t="str">
        <f t="shared" si="3"/>
        <v/>
      </c>
      <c r="K9409" s="1" t="str">
        <f t="shared" si="4"/>
        <v/>
      </c>
    </row>
    <row r="9410" hidden="1">
      <c r="F9410" s="1" t="str">
        <f t="shared" si="1"/>
        <v/>
      </c>
      <c r="G9410" s="1" t="str">
        <f t="shared" si="2"/>
        <v/>
      </c>
      <c r="J9410" s="1" t="str">
        <f t="shared" si="3"/>
        <v/>
      </c>
      <c r="K9410" s="1" t="str">
        <f t="shared" si="4"/>
        <v/>
      </c>
    </row>
    <row r="9411" hidden="1">
      <c r="F9411" s="1" t="str">
        <f t="shared" si="1"/>
        <v/>
      </c>
      <c r="G9411" s="1" t="str">
        <f t="shared" si="2"/>
        <v/>
      </c>
      <c r="J9411" s="1" t="str">
        <f t="shared" si="3"/>
        <v/>
      </c>
      <c r="K9411" s="1" t="str">
        <f t="shared" si="4"/>
        <v/>
      </c>
    </row>
    <row r="9412" hidden="1">
      <c r="F9412" s="1" t="str">
        <f t="shared" si="1"/>
        <v/>
      </c>
      <c r="G9412" s="1" t="str">
        <f t="shared" si="2"/>
        <v/>
      </c>
      <c r="J9412" s="1" t="str">
        <f t="shared" si="3"/>
        <v/>
      </c>
      <c r="K9412" s="1" t="str">
        <f t="shared" si="4"/>
        <v/>
      </c>
    </row>
    <row r="9413" hidden="1">
      <c r="F9413" s="1" t="str">
        <f t="shared" si="1"/>
        <v/>
      </c>
      <c r="G9413" s="1" t="str">
        <f t="shared" si="2"/>
        <v/>
      </c>
      <c r="J9413" s="1" t="str">
        <f t="shared" si="3"/>
        <v/>
      </c>
      <c r="K9413" s="1" t="str">
        <f t="shared" si="4"/>
        <v/>
      </c>
    </row>
    <row r="9414" hidden="1">
      <c r="F9414" s="1" t="str">
        <f t="shared" si="1"/>
        <v/>
      </c>
      <c r="G9414" s="1" t="str">
        <f t="shared" si="2"/>
        <v/>
      </c>
      <c r="J9414" s="1" t="str">
        <f t="shared" si="3"/>
        <v/>
      </c>
      <c r="K9414" s="1" t="str">
        <f t="shared" si="4"/>
        <v/>
      </c>
    </row>
    <row r="9415" hidden="1">
      <c r="F9415" s="1" t="str">
        <f t="shared" si="1"/>
        <v/>
      </c>
      <c r="G9415" s="1" t="str">
        <f t="shared" si="2"/>
        <v/>
      </c>
      <c r="J9415" s="1" t="str">
        <f t="shared" si="3"/>
        <v/>
      </c>
      <c r="K9415" s="1" t="str">
        <f t="shared" si="4"/>
        <v/>
      </c>
    </row>
    <row r="9416" hidden="1">
      <c r="F9416" s="1" t="str">
        <f t="shared" si="1"/>
        <v/>
      </c>
      <c r="G9416" s="1" t="str">
        <f t="shared" si="2"/>
        <v/>
      </c>
      <c r="J9416" s="1" t="str">
        <f t="shared" si="3"/>
        <v/>
      </c>
      <c r="K9416" s="1" t="str">
        <f t="shared" si="4"/>
        <v/>
      </c>
    </row>
    <row r="9417" hidden="1">
      <c r="F9417" s="1" t="str">
        <f t="shared" si="1"/>
        <v/>
      </c>
      <c r="G9417" s="1" t="str">
        <f t="shared" si="2"/>
        <v/>
      </c>
      <c r="J9417" s="1" t="str">
        <f t="shared" si="3"/>
        <v/>
      </c>
      <c r="K9417" s="1" t="str">
        <f t="shared" si="4"/>
        <v/>
      </c>
    </row>
    <row r="9418" hidden="1">
      <c r="F9418" s="1" t="str">
        <f t="shared" si="1"/>
        <v/>
      </c>
      <c r="G9418" s="1" t="str">
        <f t="shared" si="2"/>
        <v/>
      </c>
      <c r="J9418" s="1" t="str">
        <f t="shared" si="3"/>
        <v/>
      </c>
      <c r="K9418" s="1" t="str">
        <f t="shared" si="4"/>
        <v/>
      </c>
    </row>
    <row r="9419" hidden="1">
      <c r="F9419" s="1" t="str">
        <f t="shared" si="1"/>
        <v/>
      </c>
      <c r="G9419" s="1" t="str">
        <f t="shared" si="2"/>
        <v/>
      </c>
      <c r="J9419" s="1" t="str">
        <f t="shared" si="3"/>
        <v/>
      </c>
      <c r="K9419" s="1" t="str">
        <f t="shared" si="4"/>
        <v/>
      </c>
    </row>
    <row r="9420" hidden="1">
      <c r="F9420" s="1" t="str">
        <f t="shared" si="1"/>
        <v/>
      </c>
      <c r="G9420" s="1" t="str">
        <f t="shared" si="2"/>
        <v/>
      </c>
      <c r="J9420" s="1" t="str">
        <f t="shared" si="3"/>
        <v/>
      </c>
      <c r="K9420" s="1" t="str">
        <f t="shared" si="4"/>
        <v/>
      </c>
    </row>
    <row r="9421" hidden="1">
      <c r="F9421" s="1" t="str">
        <f t="shared" si="1"/>
        <v/>
      </c>
      <c r="G9421" s="1" t="str">
        <f t="shared" si="2"/>
        <v/>
      </c>
      <c r="J9421" s="1" t="str">
        <f t="shared" si="3"/>
        <v/>
      </c>
      <c r="K9421" s="1" t="str">
        <f t="shared" si="4"/>
        <v/>
      </c>
    </row>
    <row r="9422" hidden="1">
      <c r="F9422" s="1" t="str">
        <f t="shared" si="1"/>
        <v/>
      </c>
      <c r="G9422" s="1" t="str">
        <f t="shared" si="2"/>
        <v/>
      </c>
      <c r="J9422" s="1" t="str">
        <f t="shared" si="3"/>
        <v/>
      </c>
      <c r="K9422" s="1" t="str">
        <f t="shared" si="4"/>
        <v/>
      </c>
    </row>
    <row r="9423" hidden="1">
      <c r="F9423" s="1" t="str">
        <f t="shared" si="1"/>
        <v/>
      </c>
      <c r="G9423" s="1" t="str">
        <f t="shared" si="2"/>
        <v/>
      </c>
      <c r="J9423" s="1" t="str">
        <f t="shared" si="3"/>
        <v/>
      </c>
      <c r="K9423" s="1" t="str">
        <f t="shared" si="4"/>
        <v/>
      </c>
    </row>
    <row r="9424" hidden="1">
      <c r="F9424" s="1" t="str">
        <f t="shared" si="1"/>
        <v/>
      </c>
      <c r="G9424" s="1" t="str">
        <f t="shared" si="2"/>
        <v/>
      </c>
      <c r="J9424" s="1" t="str">
        <f t="shared" si="3"/>
        <v/>
      </c>
      <c r="K9424" s="1" t="str">
        <f t="shared" si="4"/>
        <v/>
      </c>
    </row>
    <row r="9425" hidden="1">
      <c r="F9425" s="1" t="str">
        <f t="shared" si="1"/>
        <v/>
      </c>
      <c r="G9425" s="1" t="str">
        <f t="shared" si="2"/>
        <v/>
      </c>
      <c r="J9425" s="1" t="str">
        <f t="shared" si="3"/>
        <v/>
      </c>
      <c r="K9425" s="1" t="str">
        <f t="shared" si="4"/>
        <v/>
      </c>
    </row>
    <row r="9426" hidden="1">
      <c r="F9426" s="1" t="str">
        <f t="shared" si="1"/>
        <v/>
      </c>
      <c r="G9426" s="1" t="str">
        <f t="shared" si="2"/>
        <v/>
      </c>
      <c r="J9426" s="1" t="str">
        <f t="shared" si="3"/>
        <v/>
      </c>
      <c r="K9426" s="1" t="str">
        <f t="shared" si="4"/>
        <v/>
      </c>
    </row>
    <row r="9427" hidden="1">
      <c r="F9427" s="1" t="str">
        <f t="shared" si="1"/>
        <v/>
      </c>
      <c r="G9427" s="1" t="str">
        <f t="shared" si="2"/>
        <v/>
      </c>
      <c r="J9427" s="1" t="str">
        <f t="shared" si="3"/>
        <v/>
      </c>
      <c r="K9427" s="1" t="str">
        <f t="shared" si="4"/>
        <v/>
      </c>
    </row>
    <row r="9428" hidden="1">
      <c r="F9428" s="1" t="str">
        <f t="shared" si="1"/>
        <v/>
      </c>
      <c r="G9428" s="1" t="str">
        <f t="shared" si="2"/>
        <v/>
      </c>
      <c r="J9428" s="1" t="str">
        <f t="shared" si="3"/>
        <v/>
      </c>
      <c r="K9428" s="1" t="str">
        <f t="shared" si="4"/>
        <v/>
      </c>
    </row>
    <row r="9429" hidden="1">
      <c r="F9429" s="1" t="str">
        <f t="shared" si="1"/>
        <v/>
      </c>
      <c r="G9429" s="1" t="str">
        <f t="shared" si="2"/>
        <v/>
      </c>
      <c r="J9429" s="1" t="str">
        <f t="shared" si="3"/>
        <v/>
      </c>
      <c r="K9429" s="1" t="str">
        <f t="shared" si="4"/>
        <v/>
      </c>
    </row>
    <row r="9430" hidden="1">
      <c r="F9430" s="1" t="str">
        <f t="shared" si="1"/>
        <v/>
      </c>
      <c r="G9430" s="1" t="str">
        <f t="shared" si="2"/>
        <v/>
      </c>
      <c r="J9430" s="1" t="str">
        <f t="shared" si="3"/>
        <v/>
      </c>
      <c r="K9430" s="1" t="str">
        <f t="shared" si="4"/>
        <v/>
      </c>
    </row>
    <row r="9431" hidden="1">
      <c r="F9431" s="1" t="str">
        <f t="shared" si="1"/>
        <v/>
      </c>
      <c r="G9431" s="1" t="str">
        <f t="shared" si="2"/>
        <v/>
      </c>
      <c r="J9431" s="1" t="str">
        <f t="shared" si="3"/>
        <v/>
      </c>
      <c r="K9431" s="1" t="str">
        <f t="shared" si="4"/>
        <v/>
      </c>
    </row>
    <row r="9432" hidden="1">
      <c r="F9432" s="1" t="str">
        <f t="shared" si="1"/>
        <v/>
      </c>
      <c r="G9432" s="1" t="str">
        <f t="shared" si="2"/>
        <v/>
      </c>
      <c r="J9432" s="1" t="str">
        <f t="shared" si="3"/>
        <v/>
      </c>
      <c r="K9432" s="1" t="str">
        <f t="shared" si="4"/>
        <v/>
      </c>
    </row>
    <row r="9433" hidden="1">
      <c r="F9433" s="1" t="str">
        <f t="shared" si="1"/>
        <v/>
      </c>
      <c r="G9433" s="1" t="str">
        <f t="shared" si="2"/>
        <v/>
      </c>
      <c r="J9433" s="1" t="str">
        <f t="shared" si="3"/>
        <v/>
      </c>
      <c r="K9433" s="1" t="str">
        <f t="shared" si="4"/>
        <v/>
      </c>
    </row>
    <row r="9434" hidden="1">
      <c r="F9434" s="1" t="str">
        <f t="shared" si="1"/>
        <v/>
      </c>
      <c r="G9434" s="1" t="str">
        <f t="shared" si="2"/>
        <v/>
      </c>
      <c r="J9434" s="1" t="str">
        <f t="shared" si="3"/>
        <v/>
      </c>
      <c r="K9434" s="1" t="str">
        <f t="shared" si="4"/>
        <v/>
      </c>
    </row>
    <row r="9435" hidden="1">
      <c r="F9435" s="1" t="str">
        <f t="shared" si="1"/>
        <v/>
      </c>
      <c r="G9435" s="1" t="str">
        <f t="shared" si="2"/>
        <v/>
      </c>
      <c r="J9435" s="1" t="str">
        <f t="shared" si="3"/>
        <v/>
      </c>
      <c r="K9435" s="1" t="str">
        <f t="shared" si="4"/>
        <v/>
      </c>
    </row>
    <row r="9436" hidden="1">
      <c r="F9436" s="1" t="str">
        <f t="shared" si="1"/>
        <v/>
      </c>
      <c r="G9436" s="1" t="str">
        <f t="shared" si="2"/>
        <v/>
      </c>
      <c r="J9436" s="1" t="str">
        <f t="shared" si="3"/>
        <v/>
      </c>
      <c r="K9436" s="1" t="str">
        <f t="shared" si="4"/>
        <v/>
      </c>
    </row>
    <row r="9437" hidden="1">
      <c r="F9437" s="1" t="str">
        <f t="shared" si="1"/>
        <v/>
      </c>
      <c r="G9437" s="1" t="str">
        <f t="shared" si="2"/>
        <v/>
      </c>
      <c r="J9437" s="1" t="str">
        <f t="shared" si="3"/>
        <v/>
      </c>
      <c r="K9437" s="1" t="str">
        <f t="shared" si="4"/>
        <v/>
      </c>
    </row>
    <row r="9438" hidden="1">
      <c r="F9438" s="1" t="str">
        <f t="shared" si="1"/>
        <v/>
      </c>
      <c r="G9438" s="1" t="str">
        <f t="shared" si="2"/>
        <v/>
      </c>
      <c r="J9438" s="1" t="str">
        <f t="shared" si="3"/>
        <v/>
      </c>
      <c r="K9438" s="1" t="str">
        <f t="shared" si="4"/>
        <v/>
      </c>
    </row>
    <row r="9439" hidden="1">
      <c r="F9439" s="1" t="str">
        <f t="shared" si="1"/>
        <v/>
      </c>
      <c r="G9439" s="1" t="str">
        <f t="shared" si="2"/>
        <v/>
      </c>
      <c r="J9439" s="1" t="str">
        <f t="shared" si="3"/>
        <v/>
      </c>
      <c r="K9439" s="1" t="str">
        <f t="shared" si="4"/>
        <v/>
      </c>
    </row>
    <row r="9440" hidden="1">
      <c r="F9440" s="1" t="str">
        <f t="shared" si="1"/>
        <v/>
      </c>
      <c r="G9440" s="1" t="str">
        <f t="shared" si="2"/>
        <v/>
      </c>
      <c r="J9440" s="1" t="str">
        <f t="shared" si="3"/>
        <v/>
      </c>
      <c r="K9440" s="1" t="str">
        <f t="shared" si="4"/>
        <v/>
      </c>
    </row>
    <row r="9441" hidden="1">
      <c r="F9441" s="1" t="str">
        <f t="shared" si="1"/>
        <v/>
      </c>
      <c r="G9441" s="1" t="str">
        <f t="shared" si="2"/>
        <v/>
      </c>
      <c r="J9441" s="1" t="str">
        <f t="shared" si="3"/>
        <v/>
      </c>
      <c r="K9441" s="1" t="str">
        <f t="shared" si="4"/>
        <v/>
      </c>
    </row>
    <row r="9442" hidden="1">
      <c r="F9442" s="1" t="str">
        <f t="shared" si="1"/>
        <v/>
      </c>
      <c r="G9442" s="1" t="str">
        <f t="shared" si="2"/>
        <v/>
      </c>
      <c r="J9442" s="1" t="str">
        <f t="shared" si="3"/>
        <v/>
      </c>
      <c r="K9442" s="1" t="str">
        <f t="shared" si="4"/>
        <v/>
      </c>
    </row>
    <row r="9443" hidden="1">
      <c r="F9443" s="1" t="str">
        <f t="shared" si="1"/>
        <v/>
      </c>
      <c r="G9443" s="1" t="str">
        <f t="shared" si="2"/>
        <v/>
      </c>
      <c r="J9443" s="1" t="str">
        <f t="shared" si="3"/>
        <v/>
      </c>
      <c r="K9443" s="1" t="str">
        <f t="shared" si="4"/>
        <v/>
      </c>
    </row>
    <row r="9444" hidden="1">
      <c r="F9444" s="1" t="str">
        <f t="shared" si="1"/>
        <v/>
      </c>
      <c r="G9444" s="1" t="str">
        <f t="shared" si="2"/>
        <v/>
      </c>
      <c r="J9444" s="1" t="str">
        <f t="shared" si="3"/>
        <v/>
      </c>
      <c r="K9444" s="1" t="str">
        <f t="shared" si="4"/>
        <v/>
      </c>
    </row>
    <row r="9445" hidden="1">
      <c r="F9445" s="1" t="str">
        <f t="shared" si="1"/>
        <v/>
      </c>
      <c r="G9445" s="1" t="str">
        <f t="shared" si="2"/>
        <v/>
      </c>
      <c r="J9445" s="1" t="str">
        <f t="shared" si="3"/>
        <v/>
      </c>
      <c r="K9445" s="1" t="str">
        <f t="shared" si="4"/>
        <v/>
      </c>
    </row>
    <row r="9446" hidden="1">
      <c r="F9446" s="1" t="str">
        <f t="shared" si="1"/>
        <v/>
      </c>
      <c r="G9446" s="1" t="str">
        <f t="shared" si="2"/>
        <v/>
      </c>
      <c r="J9446" s="1" t="str">
        <f t="shared" si="3"/>
        <v/>
      </c>
      <c r="K9446" s="1" t="str">
        <f t="shared" si="4"/>
        <v/>
      </c>
    </row>
    <row r="9447" hidden="1">
      <c r="F9447" s="1" t="str">
        <f t="shared" si="1"/>
        <v/>
      </c>
      <c r="G9447" s="1" t="str">
        <f t="shared" si="2"/>
        <v/>
      </c>
      <c r="J9447" s="1" t="str">
        <f t="shared" si="3"/>
        <v/>
      </c>
      <c r="K9447" s="1" t="str">
        <f t="shared" si="4"/>
        <v/>
      </c>
    </row>
    <row r="9448" hidden="1">
      <c r="F9448" s="1" t="str">
        <f t="shared" si="1"/>
        <v/>
      </c>
      <c r="G9448" s="1" t="str">
        <f t="shared" si="2"/>
        <v/>
      </c>
      <c r="J9448" s="1" t="str">
        <f t="shared" si="3"/>
        <v/>
      </c>
      <c r="K9448" s="1" t="str">
        <f t="shared" si="4"/>
        <v/>
      </c>
    </row>
    <row r="9449" hidden="1">
      <c r="F9449" s="1" t="str">
        <f t="shared" si="1"/>
        <v/>
      </c>
      <c r="G9449" s="1" t="str">
        <f t="shared" si="2"/>
        <v/>
      </c>
      <c r="J9449" s="1" t="str">
        <f t="shared" si="3"/>
        <v/>
      </c>
      <c r="K9449" s="1" t="str">
        <f t="shared" si="4"/>
        <v/>
      </c>
    </row>
    <row r="9450" hidden="1">
      <c r="F9450" s="1" t="str">
        <f t="shared" si="1"/>
        <v/>
      </c>
      <c r="G9450" s="1" t="str">
        <f t="shared" si="2"/>
        <v/>
      </c>
      <c r="J9450" s="1" t="str">
        <f t="shared" si="3"/>
        <v/>
      </c>
      <c r="K9450" s="1" t="str">
        <f t="shared" si="4"/>
        <v/>
      </c>
    </row>
    <row r="9451" hidden="1">
      <c r="F9451" s="1" t="str">
        <f t="shared" si="1"/>
        <v/>
      </c>
      <c r="G9451" s="1" t="str">
        <f t="shared" si="2"/>
        <v/>
      </c>
      <c r="J9451" s="1" t="str">
        <f t="shared" si="3"/>
        <v/>
      </c>
      <c r="K9451" s="1" t="str">
        <f t="shared" si="4"/>
        <v/>
      </c>
    </row>
    <row r="9452" hidden="1">
      <c r="F9452" s="1" t="str">
        <f t="shared" si="1"/>
        <v/>
      </c>
      <c r="G9452" s="1" t="str">
        <f t="shared" si="2"/>
        <v/>
      </c>
      <c r="J9452" s="1" t="str">
        <f t="shared" si="3"/>
        <v/>
      </c>
      <c r="K9452" s="1" t="str">
        <f t="shared" si="4"/>
        <v/>
      </c>
    </row>
    <row r="9453" hidden="1">
      <c r="F9453" s="1" t="str">
        <f t="shared" si="1"/>
        <v/>
      </c>
      <c r="G9453" s="1" t="str">
        <f t="shared" si="2"/>
        <v/>
      </c>
      <c r="J9453" s="1" t="str">
        <f t="shared" si="3"/>
        <v/>
      </c>
      <c r="K9453" s="1" t="str">
        <f t="shared" si="4"/>
        <v/>
      </c>
    </row>
    <row r="9454" hidden="1">
      <c r="F9454" s="1" t="str">
        <f t="shared" si="1"/>
        <v/>
      </c>
      <c r="G9454" s="1" t="str">
        <f t="shared" si="2"/>
        <v/>
      </c>
      <c r="J9454" s="1" t="str">
        <f t="shared" si="3"/>
        <v/>
      </c>
      <c r="K9454" s="1" t="str">
        <f t="shared" si="4"/>
        <v/>
      </c>
    </row>
    <row r="9455" hidden="1">
      <c r="F9455" s="1" t="str">
        <f t="shared" si="1"/>
        <v/>
      </c>
      <c r="G9455" s="1" t="str">
        <f t="shared" si="2"/>
        <v/>
      </c>
      <c r="J9455" s="1" t="str">
        <f t="shared" si="3"/>
        <v/>
      </c>
      <c r="K9455" s="1" t="str">
        <f t="shared" si="4"/>
        <v/>
      </c>
    </row>
    <row r="9456" hidden="1">
      <c r="F9456" s="1" t="str">
        <f t="shared" si="1"/>
        <v/>
      </c>
      <c r="G9456" s="1" t="str">
        <f t="shared" si="2"/>
        <v/>
      </c>
      <c r="J9456" s="1" t="str">
        <f t="shared" si="3"/>
        <v/>
      </c>
      <c r="K9456" s="1" t="str">
        <f t="shared" si="4"/>
        <v/>
      </c>
    </row>
    <row r="9457" hidden="1">
      <c r="F9457" s="1" t="str">
        <f t="shared" si="1"/>
        <v/>
      </c>
      <c r="G9457" s="1" t="str">
        <f t="shared" si="2"/>
        <v/>
      </c>
      <c r="J9457" s="1" t="str">
        <f t="shared" si="3"/>
        <v/>
      </c>
      <c r="K9457" s="1" t="str">
        <f t="shared" si="4"/>
        <v/>
      </c>
    </row>
    <row r="9458" hidden="1">
      <c r="F9458" s="1" t="str">
        <f t="shared" si="1"/>
        <v/>
      </c>
      <c r="G9458" s="1" t="str">
        <f t="shared" si="2"/>
        <v/>
      </c>
      <c r="J9458" s="1" t="str">
        <f t="shared" si="3"/>
        <v/>
      </c>
      <c r="K9458" s="1" t="str">
        <f t="shared" si="4"/>
        <v/>
      </c>
    </row>
    <row r="9459" hidden="1">
      <c r="F9459" s="1" t="str">
        <f t="shared" si="1"/>
        <v/>
      </c>
      <c r="G9459" s="1" t="str">
        <f t="shared" si="2"/>
        <v/>
      </c>
      <c r="J9459" s="1" t="str">
        <f t="shared" si="3"/>
        <v/>
      </c>
      <c r="K9459" s="1" t="str">
        <f t="shared" si="4"/>
        <v/>
      </c>
    </row>
    <row r="9460" hidden="1">
      <c r="F9460" s="1" t="str">
        <f t="shared" si="1"/>
        <v/>
      </c>
      <c r="G9460" s="1" t="str">
        <f t="shared" si="2"/>
        <v/>
      </c>
      <c r="J9460" s="1" t="str">
        <f t="shared" si="3"/>
        <v/>
      </c>
      <c r="K9460" s="1" t="str">
        <f t="shared" si="4"/>
        <v/>
      </c>
    </row>
    <row r="9461" hidden="1">
      <c r="F9461" s="1" t="str">
        <f t="shared" si="1"/>
        <v/>
      </c>
      <c r="G9461" s="1" t="str">
        <f t="shared" si="2"/>
        <v/>
      </c>
      <c r="J9461" s="1" t="str">
        <f t="shared" si="3"/>
        <v/>
      </c>
      <c r="K9461" s="1" t="str">
        <f t="shared" si="4"/>
        <v/>
      </c>
    </row>
    <row r="9462" hidden="1">
      <c r="F9462" s="1" t="str">
        <f t="shared" si="1"/>
        <v/>
      </c>
      <c r="G9462" s="1" t="str">
        <f t="shared" si="2"/>
        <v/>
      </c>
      <c r="J9462" s="1" t="str">
        <f t="shared" si="3"/>
        <v/>
      </c>
      <c r="K9462" s="1" t="str">
        <f t="shared" si="4"/>
        <v/>
      </c>
    </row>
    <row r="9463" hidden="1">
      <c r="F9463" s="1" t="str">
        <f t="shared" si="1"/>
        <v/>
      </c>
      <c r="G9463" s="1" t="str">
        <f t="shared" si="2"/>
        <v/>
      </c>
      <c r="J9463" s="1" t="str">
        <f t="shared" si="3"/>
        <v/>
      </c>
      <c r="K9463" s="1" t="str">
        <f t="shared" si="4"/>
        <v/>
      </c>
    </row>
    <row r="9464" hidden="1">
      <c r="F9464" s="1" t="str">
        <f t="shared" si="1"/>
        <v/>
      </c>
      <c r="G9464" s="1" t="str">
        <f t="shared" si="2"/>
        <v/>
      </c>
      <c r="J9464" s="1" t="str">
        <f t="shared" si="3"/>
        <v/>
      </c>
      <c r="K9464" s="1" t="str">
        <f t="shared" si="4"/>
        <v/>
      </c>
    </row>
    <row r="9465" hidden="1">
      <c r="F9465" s="1" t="str">
        <f t="shared" si="1"/>
        <v/>
      </c>
      <c r="G9465" s="1" t="str">
        <f t="shared" si="2"/>
        <v/>
      </c>
      <c r="J9465" s="1" t="str">
        <f t="shared" si="3"/>
        <v/>
      </c>
      <c r="K9465" s="1" t="str">
        <f t="shared" si="4"/>
        <v/>
      </c>
    </row>
    <row r="9466" hidden="1">
      <c r="F9466" s="1" t="str">
        <f t="shared" si="1"/>
        <v/>
      </c>
      <c r="G9466" s="1" t="str">
        <f t="shared" si="2"/>
        <v/>
      </c>
      <c r="J9466" s="1" t="str">
        <f t="shared" si="3"/>
        <v/>
      </c>
      <c r="K9466" s="1" t="str">
        <f t="shared" si="4"/>
        <v/>
      </c>
    </row>
    <row r="9467" hidden="1">
      <c r="F9467" s="1" t="str">
        <f t="shared" si="1"/>
        <v/>
      </c>
      <c r="G9467" s="1" t="str">
        <f t="shared" si="2"/>
        <v/>
      </c>
      <c r="J9467" s="1" t="str">
        <f t="shared" si="3"/>
        <v/>
      </c>
      <c r="K9467" s="1" t="str">
        <f t="shared" si="4"/>
        <v/>
      </c>
    </row>
    <row r="9468" hidden="1">
      <c r="F9468" s="1" t="str">
        <f t="shared" si="1"/>
        <v/>
      </c>
      <c r="G9468" s="1" t="str">
        <f t="shared" si="2"/>
        <v/>
      </c>
      <c r="J9468" s="1" t="str">
        <f t="shared" si="3"/>
        <v/>
      </c>
      <c r="K9468" s="1" t="str">
        <f t="shared" si="4"/>
        <v/>
      </c>
    </row>
    <row r="9469" hidden="1">
      <c r="F9469" s="1" t="str">
        <f t="shared" si="1"/>
        <v/>
      </c>
      <c r="G9469" s="1" t="str">
        <f t="shared" si="2"/>
        <v/>
      </c>
      <c r="J9469" s="1" t="str">
        <f t="shared" si="3"/>
        <v/>
      </c>
      <c r="K9469" s="1" t="str">
        <f t="shared" si="4"/>
        <v/>
      </c>
    </row>
    <row r="9470" hidden="1">
      <c r="F9470" s="1" t="str">
        <f t="shared" si="1"/>
        <v/>
      </c>
      <c r="G9470" s="1" t="str">
        <f t="shared" si="2"/>
        <v/>
      </c>
      <c r="J9470" s="1" t="str">
        <f t="shared" si="3"/>
        <v/>
      </c>
      <c r="K9470" s="1" t="str">
        <f t="shared" si="4"/>
        <v/>
      </c>
    </row>
    <row r="9471" hidden="1">
      <c r="F9471" s="1" t="str">
        <f t="shared" si="1"/>
        <v/>
      </c>
      <c r="G9471" s="1" t="str">
        <f t="shared" si="2"/>
        <v/>
      </c>
      <c r="J9471" s="1" t="str">
        <f t="shared" si="3"/>
        <v/>
      </c>
      <c r="K9471" s="1" t="str">
        <f t="shared" si="4"/>
        <v/>
      </c>
    </row>
    <row r="9472" hidden="1">
      <c r="F9472" s="1" t="str">
        <f t="shared" si="1"/>
        <v/>
      </c>
      <c r="G9472" s="1" t="str">
        <f t="shared" si="2"/>
        <v/>
      </c>
      <c r="J9472" s="1" t="str">
        <f t="shared" si="3"/>
        <v/>
      </c>
      <c r="K9472" s="1" t="str">
        <f t="shared" si="4"/>
        <v/>
      </c>
    </row>
    <row r="9473" hidden="1">
      <c r="F9473" s="1" t="str">
        <f t="shared" si="1"/>
        <v/>
      </c>
      <c r="G9473" s="1" t="str">
        <f t="shared" si="2"/>
        <v/>
      </c>
      <c r="J9473" s="1" t="str">
        <f t="shared" si="3"/>
        <v/>
      </c>
      <c r="K9473" s="1" t="str">
        <f t="shared" si="4"/>
        <v/>
      </c>
    </row>
    <row r="9474" hidden="1">
      <c r="F9474" s="1" t="str">
        <f t="shared" si="1"/>
        <v/>
      </c>
      <c r="G9474" s="1" t="str">
        <f t="shared" si="2"/>
        <v/>
      </c>
      <c r="J9474" s="1" t="str">
        <f t="shared" si="3"/>
        <v/>
      </c>
      <c r="K9474" s="1" t="str">
        <f t="shared" si="4"/>
        <v/>
      </c>
    </row>
    <row r="9475" hidden="1">
      <c r="F9475" s="1" t="str">
        <f t="shared" si="1"/>
        <v/>
      </c>
      <c r="G9475" s="1" t="str">
        <f t="shared" si="2"/>
        <v/>
      </c>
      <c r="J9475" s="1" t="str">
        <f t="shared" si="3"/>
        <v/>
      </c>
      <c r="K9475" s="1" t="str">
        <f t="shared" si="4"/>
        <v/>
      </c>
    </row>
    <row r="9476" hidden="1">
      <c r="F9476" s="1" t="str">
        <f t="shared" si="1"/>
        <v/>
      </c>
      <c r="G9476" s="1" t="str">
        <f t="shared" si="2"/>
        <v/>
      </c>
      <c r="J9476" s="1" t="str">
        <f t="shared" si="3"/>
        <v/>
      </c>
      <c r="K9476" s="1" t="str">
        <f t="shared" si="4"/>
        <v/>
      </c>
    </row>
    <row r="9477" hidden="1">
      <c r="F9477" s="1" t="str">
        <f t="shared" si="1"/>
        <v/>
      </c>
      <c r="G9477" s="1" t="str">
        <f t="shared" si="2"/>
        <v/>
      </c>
      <c r="J9477" s="1" t="str">
        <f t="shared" si="3"/>
        <v/>
      </c>
      <c r="K9477" s="1" t="str">
        <f t="shared" si="4"/>
        <v/>
      </c>
    </row>
    <row r="9478" hidden="1">
      <c r="F9478" s="1" t="str">
        <f t="shared" si="1"/>
        <v/>
      </c>
      <c r="G9478" s="1" t="str">
        <f t="shared" si="2"/>
        <v/>
      </c>
      <c r="J9478" s="1" t="str">
        <f t="shared" si="3"/>
        <v/>
      </c>
      <c r="K9478" s="1" t="str">
        <f t="shared" si="4"/>
        <v/>
      </c>
    </row>
    <row r="9479" hidden="1">
      <c r="F9479" s="1" t="str">
        <f t="shared" si="1"/>
        <v/>
      </c>
      <c r="G9479" s="1" t="str">
        <f t="shared" si="2"/>
        <v/>
      </c>
      <c r="J9479" s="1" t="str">
        <f t="shared" si="3"/>
        <v/>
      </c>
      <c r="K9479" s="1" t="str">
        <f t="shared" si="4"/>
        <v/>
      </c>
    </row>
    <row r="9480" hidden="1">
      <c r="F9480" s="1" t="str">
        <f t="shared" si="1"/>
        <v/>
      </c>
      <c r="G9480" s="1" t="str">
        <f t="shared" si="2"/>
        <v/>
      </c>
      <c r="J9480" s="1" t="str">
        <f t="shared" si="3"/>
        <v/>
      </c>
      <c r="K9480" s="1" t="str">
        <f t="shared" si="4"/>
        <v/>
      </c>
    </row>
    <row r="9481" hidden="1">
      <c r="F9481" s="1" t="str">
        <f t="shared" si="1"/>
        <v/>
      </c>
      <c r="G9481" s="1" t="str">
        <f t="shared" si="2"/>
        <v/>
      </c>
      <c r="J9481" s="1" t="str">
        <f t="shared" si="3"/>
        <v/>
      </c>
      <c r="K9481" s="1" t="str">
        <f t="shared" si="4"/>
        <v/>
      </c>
    </row>
    <row r="9482" hidden="1">
      <c r="F9482" s="1" t="str">
        <f t="shared" si="1"/>
        <v/>
      </c>
      <c r="G9482" s="1" t="str">
        <f t="shared" si="2"/>
        <v/>
      </c>
      <c r="J9482" s="1" t="str">
        <f t="shared" si="3"/>
        <v/>
      </c>
      <c r="K9482" s="1" t="str">
        <f t="shared" si="4"/>
        <v/>
      </c>
    </row>
    <row r="9483" hidden="1">
      <c r="F9483" s="1" t="str">
        <f t="shared" si="1"/>
        <v/>
      </c>
      <c r="G9483" s="1" t="str">
        <f t="shared" si="2"/>
        <v/>
      </c>
      <c r="J9483" s="1" t="str">
        <f t="shared" si="3"/>
        <v/>
      </c>
      <c r="K9483" s="1" t="str">
        <f t="shared" si="4"/>
        <v/>
      </c>
    </row>
    <row r="9484" hidden="1">
      <c r="F9484" s="1" t="str">
        <f t="shared" si="1"/>
        <v/>
      </c>
      <c r="G9484" s="1" t="str">
        <f t="shared" si="2"/>
        <v/>
      </c>
      <c r="J9484" s="1" t="str">
        <f t="shared" si="3"/>
        <v/>
      </c>
      <c r="K9484" s="1" t="str">
        <f t="shared" si="4"/>
        <v/>
      </c>
    </row>
    <row r="9485" hidden="1">
      <c r="F9485" s="1" t="str">
        <f t="shared" si="1"/>
        <v/>
      </c>
      <c r="G9485" s="1" t="str">
        <f t="shared" si="2"/>
        <v/>
      </c>
      <c r="J9485" s="1" t="str">
        <f t="shared" si="3"/>
        <v/>
      </c>
      <c r="K9485" s="1" t="str">
        <f t="shared" si="4"/>
        <v/>
      </c>
    </row>
    <row r="9486" hidden="1">
      <c r="F9486" s="1" t="str">
        <f t="shared" si="1"/>
        <v/>
      </c>
      <c r="G9486" s="1" t="str">
        <f t="shared" si="2"/>
        <v/>
      </c>
      <c r="J9486" s="1" t="str">
        <f t="shared" si="3"/>
        <v/>
      </c>
      <c r="K9486" s="1" t="str">
        <f t="shared" si="4"/>
        <v/>
      </c>
    </row>
    <row r="9487" hidden="1">
      <c r="F9487" s="1" t="str">
        <f t="shared" si="1"/>
        <v/>
      </c>
      <c r="G9487" s="1" t="str">
        <f t="shared" si="2"/>
        <v/>
      </c>
      <c r="J9487" s="1" t="str">
        <f t="shared" si="3"/>
        <v/>
      </c>
      <c r="K9487" s="1" t="str">
        <f t="shared" si="4"/>
        <v/>
      </c>
    </row>
    <row r="9488" hidden="1">
      <c r="F9488" s="1" t="str">
        <f t="shared" si="1"/>
        <v/>
      </c>
      <c r="G9488" s="1" t="str">
        <f t="shared" si="2"/>
        <v/>
      </c>
      <c r="J9488" s="1" t="str">
        <f t="shared" si="3"/>
        <v/>
      </c>
      <c r="K9488" s="1" t="str">
        <f t="shared" si="4"/>
        <v/>
      </c>
    </row>
    <row r="9489" hidden="1">
      <c r="F9489" s="1" t="str">
        <f t="shared" si="1"/>
        <v/>
      </c>
      <c r="G9489" s="1" t="str">
        <f t="shared" si="2"/>
        <v/>
      </c>
      <c r="J9489" s="1" t="str">
        <f t="shared" si="3"/>
        <v/>
      </c>
      <c r="K9489" s="1" t="str">
        <f t="shared" si="4"/>
        <v/>
      </c>
    </row>
    <row r="9490" hidden="1">
      <c r="F9490" s="1" t="str">
        <f t="shared" si="1"/>
        <v/>
      </c>
      <c r="G9490" s="1" t="str">
        <f t="shared" si="2"/>
        <v/>
      </c>
      <c r="J9490" s="1" t="str">
        <f t="shared" si="3"/>
        <v/>
      </c>
      <c r="K9490" s="1" t="str">
        <f t="shared" si="4"/>
        <v/>
      </c>
    </row>
    <row r="9491" hidden="1">
      <c r="F9491" s="1" t="str">
        <f t="shared" si="1"/>
        <v/>
      </c>
      <c r="G9491" s="1" t="str">
        <f t="shared" si="2"/>
        <v/>
      </c>
      <c r="J9491" s="1" t="str">
        <f t="shared" si="3"/>
        <v/>
      </c>
      <c r="K9491" s="1" t="str">
        <f t="shared" si="4"/>
        <v/>
      </c>
    </row>
    <row r="9492" hidden="1">
      <c r="F9492" s="1" t="str">
        <f t="shared" si="1"/>
        <v/>
      </c>
      <c r="G9492" s="1" t="str">
        <f t="shared" si="2"/>
        <v/>
      </c>
      <c r="J9492" s="1" t="str">
        <f t="shared" si="3"/>
        <v/>
      </c>
      <c r="K9492" s="1" t="str">
        <f t="shared" si="4"/>
        <v/>
      </c>
    </row>
    <row r="9493" hidden="1">
      <c r="F9493" s="1" t="str">
        <f t="shared" si="1"/>
        <v/>
      </c>
      <c r="G9493" s="1" t="str">
        <f t="shared" si="2"/>
        <v/>
      </c>
      <c r="J9493" s="1" t="str">
        <f t="shared" si="3"/>
        <v/>
      </c>
      <c r="K9493" s="1" t="str">
        <f t="shared" si="4"/>
        <v/>
      </c>
    </row>
    <row r="9494" hidden="1">
      <c r="F9494" s="1" t="str">
        <f t="shared" si="1"/>
        <v/>
      </c>
      <c r="G9494" s="1" t="str">
        <f t="shared" si="2"/>
        <v/>
      </c>
      <c r="J9494" s="1" t="str">
        <f t="shared" si="3"/>
        <v/>
      </c>
      <c r="K9494" s="1" t="str">
        <f t="shared" si="4"/>
        <v/>
      </c>
    </row>
    <row r="9495" hidden="1">
      <c r="F9495" s="1" t="str">
        <f t="shared" si="1"/>
        <v/>
      </c>
      <c r="G9495" s="1" t="str">
        <f t="shared" si="2"/>
        <v/>
      </c>
      <c r="J9495" s="1" t="str">
        <f t="shared" si="3"/>
        <v/>
      </c>
      <c r="K9495" s="1" t="str">
        <f t="shared" si="4"/>
        <v/>
      </c>
    </row>
    <row r="9496" hidden="1">
      <c r="F9496" s="1" t="str">
        <f t="shared" si="1"/>
        <v/>
      </c>
      <c r="G9496" s="1" t="str">
        <f t="shared" si="2"/>
        <v/>
      </c>
      <c r="J9496" s="1" t="str">
        <f t="shared" si="3"/>
        <v/>
      </c>
      <c r="K9496" s="1" t="str">
        <f t="shared" si="4"/>
        <v/>
      </c>
    </row>
    <row r="9497" hidden="1">
      <c r="F9497" s="1" t="str">
        <f t="shared" si="1"/>
        <v/>
      </c>
      <c r="G9497" s="1" t="str">
        <f t="shared" si="2"/>
        <v/>
      </c>
      <c r="J9497" s="1" t="str">
        <f t="shared" si="3"/>
        <v/>
      </c>
      <c r="K9497" s="1" t="str">
        <f t="shared" si="4"/>
        <v/>
      </c>
    </row>
    <row r="9498" hidden="1">
      <c r="F9498" s="1" t="str">
        <f t="shared" si="1"/>
        <v/>
      </c>
      <c r="G9498" s="1" t="str">
        <f t="shared" si="2"/>
        <v/>
      </c>
      <c r="J9498" s="1" t="str">
        <f t="shared" si="3"/>
        <v/>
      </c>
      <c r="K9498" s="1" t="str">
        <f t="shared" si="4"/>
        <v/>
      </c>
    </row>
    <row r="9499" hidden="1">
      <c r="F9499" s="1" t="str">
        <f t="shared" si="1"/>
        <v/>
      </c>
      <c r="G9499" s="1" t="str">
        <f t="shared" si="2"/>
        <v/>
      </c>
      <c r="J9499" s="1" t="str">
        <f t="shared" si="3"/>
        <v/>
      </c>
      <c r="K9499" s="1" t="str">
        <f t="shared" si="4"/>
        <v/>
      </c>
    </row>
    <row r="9500" hidden="1">
      <c r="F9500" s="1" t="str">
        <f t="shared" si="1"/>
        <v/>
      </c>
      <c r="G9500" s="1" t="str">
        <f t="shared" si="2"/>
        <v/>
      </c>
      <c r="J9500" s="1" t="str">
        <f t="shared" si="3"/>
        <v/>
      </c>
      <c r="K9500" s="1" t="str">
        <f t="shared" si="4"/>
        <v/>
      </c>
    </row>
    <row r="9501" hidden="1">
      <c r="F9501" s="1" t="str">
        <f t="shared" si="1"/>
        <v/>
      </c>
      <c r="G9501" s="1" t="str">
        <f t="shared" si="2"/>
        <v/>
      </c>
      <c r="J9501" s="1" t="str">
        <f t="shared" si="3"/>
        <v/>
      </c>
      <c r="K9501" s="1" t="str">
        <f t="shared" si="4"/>
        <v/>
      </c>
    </row>
    <row r="9502" hidden="1">
      <c r="F9502" s="1" t="str">
        <f t="shared" si="1"/>
        <v/>
      </c>
      <c r="G9502" s="1" t="str">
        <f t="shared" si="2"/>
        <v/>
      </c>
      <c r="J9502" s="1" t="str">
        <f t="shared" si="3"/>
        <v/>
      </c>
      <c r="K9502" s="1" t="str">
        <f t="shared" si="4"/>
        <v/>
      </c>
    </row>
    <row r="9503" hidden="1">
      <c r="F9503" s="1" t="str">
        <f t="shared" si="1"/>
        <v/>
      </c>
      <c r="G9503" s="1" t="str">
        <f t="shared" si="2"/>
        <v/>
      </c>
      <c r="J9503" s="1" t="str">
        <f t="shared" si="3"/>
        <v/>
      </c>
      <c r="K9503" s="1" t="str">
        <f t="shared" si="4"/>
        <v/>
      </c>
    </row>
    <row r="9504" hidden="1">
      <c r="F9504" s="1" t="str">
        <f t="shared" si="1"/>
        <v/>
      </c>
      <c r="G9504" s="1" t="str">
        <f t="shared" si="2"/>
        <v/>
      </c>
      <c r="J9504" s="1" t="str">
        <f t="shared" si="3"/>
        <v/>
      </c>
      <c r="K9504" s="1" t="str">
        <f t="shared" si="4"/>
        <v/>
      </c>
    </row>
    <row r="9505" hidden="1">
      <c r="F9505" s="1" t="str">
        <f t="shared" si="1"/>
        <v/>
      </c>
      <c r="G9505" s="1" t="str">
        <f t="shared" si="2"/>
        <v/>
      </c>
      <c r="J9505" s="1" t="str">
        <f t="shared" si="3"/>
        <v/>
      </c>
      <c r="K9505" s="1" t="str">
        <f t="shared" si="4"/>
        <v/>
      </c>
    </row>
    <row r="9506" hidden="1">
      <c r="F9506" s="1" t="str">
        <f t="shared" si="1"/>
        <v/>
      </c>
      <c r="G9506" s="1" t="str">
        <f t="shared" si="2"/>
        <v/>
      </c>
      <c r="J9506" s="1" t="str">
        <f t="shared" si="3"/>
        <v/>
      </c>
      <c r="K9506" s="1" t="str">
        <f t="shared" si="4"/>
        <v/>
      </c>
    </row>
    <row r="9507" hidden="1">
      <c r="F9507" s="1" t="str">
        <f t="shared" si="1"/>
        <v/>
      </c>
      <c r="G9507" s="1" t="str">
        <f t="shared" si="2"/>
        <v/>
      </c>
      <c r="J9507" s="1" t="str">
        <f t="shared" si="3"/>
        <v/>
      </c>
      <c r="K9507" s="1" t="str">
        <f t="shared" si="4"/>
        <v/>
      </c>
    </row>
    <row r="9508" hidden="1">
      <c r="F9508" s="1" t="str">
        <f t="shared" si="1"/>
        <v/>
      </c>
      <c r="G9508" s="1" t="str">
        <f t="shared" si="2"/>
        <v/>
      </c>
      <c r="J9508" s="1" t="str">
        <f t="shared" si="3"/>
        <v/>
      </c>
      <c r="K9508" s="1" t="str">
        <f t="shared" si="4"/>
        <v/>
      </c>
    </row>
    <row r="9509" hidden="1">
      <c r="F9509" s="1" t="str">
        <f t="shared" si="1"/>
        <v/>
      </c>
      <c r="G9509" s="1" t="str">
        <f t="shared" si="2"/>
        <v/>
      </c>
      <c r="J9509" s="1" t="str">
        <f t="shared" si="3"/>
        <v/>
      </c>
      <c r="K9509" s="1" t="str">
        <f t="shared" si="4"/>
        <v/>
      </c>
    </row>
    <row r="9510" hidden="1">
      <c r="F9510" s="1" t="str">
        <f t="shared" si="1"/>
        <v/>
      </c>
      <c r="G9510" s="1" t="str">
        <f t="shared" si="2"/>
        <v/>
      </c>
      <c r="J9510" s="1" t="str">
        <f t="shared" si="3"/>
        <v/>
      </c>
      <c r="K9510" s="1" t="str">
        <f t="shared" si="4"/>
        <v/>
      </c>
    </row>
    <row r="9511" hidden="1">
      <c r="F9511" s="1" t="str">
        <f t="shared" si="1"/>
        <v/>
      </c>
      <c r="G9511" s="1" t="str">
        <f t="shared" si="2"/>
        <v/>
      </c>
      <c r="J9511" s="1" t="str">
        <f t="shared" si="3"/>
        <v/>
      </c>
      <c r="K9511" s="1" t="str">
        <f t="shared" si="4"/>
        <v/>
      </c>
    </row>
    <row r="9512" hidden="1">
      <c r="F9512" s="1" t="str">
        <f t="shared" si="1"/>
        <v/>
      </c>
      <c r="G9512" s="1" t="str">
        <f t="shared" si="2"/>
        <v/>
      </c>
      <c r="J9512" s="1" t="str">
        <f t="shared" si="3"/>
        <v/>
      </c>
      <c r="K9512" s="1" t="str">
        <f t="shared" si="4"/>
        <v/>
      </c>
    </row>
    <row r="9513" hidden="1">
      <c r="F9513" s="1" t="str">
        <f t="shared" si="1"/>
        <v/>
      </c>
      <c r="G9513" s="1" t="str">
        <f t="shared" si="2"/>
        <v/>
      </c>
      <c r="J9513" s="1" t="str">
        <f t="shared" si="3"/>
        <v/>
      </c>
      <c r="K9513" s="1" t="str">
        <f t="shared" si="4"/>
        <v/>
      </c>
    </row>
    <row r="9514" hidden="1">
      <c r="F9514" s="1" t="str">
        <f t="shared" si="1"/>
        <v/>
      </c>
      <c r="G9514" s="1" t="str">
        <f t="shared" si="2"/>
        <v/>
      </c>
      <c r="J9514" s="1" t="str">
        <f t="shared" si="3"/>
        <v/>
      </c>
      <c r="K9514" s="1" t="str">
        <f t="shared" si="4"/>
        <v/>
      </c>
    </row>
    <row r="9515" hidden="1">
      <c r="F9515" s="1" t="str">
        <f t="shared" si="1"/>
        <v/>
      </c>
      <c r="G9515" s="1" t="str">
        <f t="shared" si="2"/>
        <v/>
      </c>
      <c r="J9515" s="1" t="str">
        <f t="shared" si="3"/>
        <v/>
      </c>
      <c r="K9515" s="1" t="str">
        <f t="shared" si="4"/>
        <v/>
      </c>
    </row>
    <row r="9516" hidden="1">
      <c r="F9516" s="1" t="str">
        <f t="shared" si="1"/>
        <v/>
      </c>
      <c r="G9516" s="1" t="str">
        <f t="shared" si="2"/>
        <v/>
      </c>
      <c r="J9516" s="1" t="str">
        <f t="shared" si="3"/>
        <v/>
      </c>
      <c r="K9516" s="1" t="str">
        <f t="shared" si="4"/>
        <v/>
      </c>
    </row>
    <row r="9517" hidden="1">
      <c r="F9517" s="1" t="str">
        <f t="shared" si="1"/>
        <v/>
      </c>
      <c r="G9517" s="1" t="str">
        <f t="shared" si="2"/>
        <v/>
      </c>
      <c r="J9517" s="1" t="str">
        <f t="shared" si="3"/>
        <v/>
      </c>
      <c r="K9517" s="1" t="str">
        <f t="shared" si="4"/>
        <v/>
      </c>
    </row>
    <row r="9518" hidden="1">
      <c r="F9518" s="1" t="str">
        <f t="shared" si="1"/>
        <v/>
      </c>
      <c r="G9518" s="1" t="str">
        <f t="shared" si="2"/>
        <v/>
      </c>
      <c r="J9518" s="1" t="str">
        <f t="shared" si="3"/>
        <v/>
      </c>
      <c r="K9518" s="1" t="str">
        <f t="shared" si="4"/>
        <v/>
      </c>
    </row>
    <row r="9519" hidden="1">
      <c r="F9519" s="1" t="str">
        <f t="shared" si="1"/>
        <v/>
      </c>
      <c r="G9519" s="1" t="str">
        <f t="shared" si="2"/>
        <v/>
      </c>
      <c r="J9519" s="1" t="str">
        <f t="shared" si="3"/>
        <v/>
      </c>
      <c r="K9519" s="1" t="str">
        <f t="shared" si="4"/>
        <v/>
      </c>
    </row>
    <row r="9520" hidden="1">
      <c r="F9520" s="1" t="str">
        <f t="shared" si="1"/>
        <v/>
      </c>
      <c r="G9520" s="1" t="str">
        <f t="shared" si="2"/>
        <v/>
      </c>
      <c r="J9520" s="1" t="str">
        <f t="shared" si="3"/>
        <v/>
      </c>
      <c r="K9520" s="1" t="str">
        <f t="shared" si="4"/>
        <v/>
      </c>
    </row>
    <row r="9521" hidden="1">
      <c r="F9521" s="1" t="str">
        <f t="shared" si="1"/>
        <v/>
      </c>
      <c r="G9521" s="1" t="str">
        <f t="shared" si="2"/>
        <v/>
      </c>
      <c r="J9521" s="1" t="str">
        <f t="shared" si="3"/>
        <v/>
      </c>
      <c r="K9521" s="1" t="str">
        <f t="shared" si="4"/>
        <v/>
      </c>
    </row>
    <row r="9522" hidden="1">
      <c r="F9522" s="1" t="str">
        <f t="shared" si="1"/>
        <v/>
      </c>
      <c r="G9522" s="1" t="str">
        <f t="shared" si="2"/>
        <v/>
      </c>
      <c r="J9522" s="1" t="str">
        <f t="shared" si="3"/>
        <v/>
      </c>
      <c r="K9522" s="1" t="str">
        <f t="shared" si="4"/>
        <v/>
      </c>
    </row>
    <row r="9523" hidden="1">
      <c r="F9523" s="1" t="str">
        <f t="shared" si="1"/>
        <v/>
      </c>
      <c r="G9523" s="1" t="str">
        <f t="shared" si="2"/>
        <v/>
      </c>
      <c r="J9523" s="1" t="str">
        <f t="shared" si="3"/>
        <v/>
      </c>
      <c r="K9523" s="1" t="str">
        <f t="shared" si="4"/>
        <v/>
      </c>
    </row>
    <row r="9524" hidden="1">
      <c r="F9524" s="1" t="str">
        <f t="shared" si="1"/>
        <v/>
      </c>
      <c r="G9524" s="1" t="str">
        <f t="shared" si="2"/>
        <v/>
      </c>
      <c r="J9524" s="1" t="str">
        <f t="shared" si="3"/>
        <v/>
      </c>
      <c r="K9524" s="1" t="str">
        <f t="shared" si="4"/>
        <v/>
      </c>
    </row>
    <row r="9525" hidden="1">
      <c r="F9525" s="1" t="str">
        <f t="shared" si="1"/>
        <v/>
      </c>
      <c r="G9525" s="1" t="str">
        <f t="shared" si="2"/>
        <v/>
      </c>
      <c r="J9525" s="1" t="str">
        <f t="shared" si="3"/>
        <v/>
      </c>
      <c r="K9525" s="1" t="str">
        <f t="shared" si="4"/>
        <v/>
      </c>
    </row>
    <row r="9526" hidden="1">
      <c r="F9526" s="1" t="str">
        <f t="shared" si="1"/>
        <v/>
      </c>
      <c r="G9526" s="1" t="str">
        <f t="shared" si="2"/>
        <v/>
      </c>
      <c r="J9526" s="1" t="str">
        <f t="shared" si="3"/>
        <v/>
      </c>
      <c r="K9526" s="1" t="str">
        <f t="shared" si="4"/>
        <v/>
      </c>
    </row>
    <row r="9527" hidden="1">
      <c r="F9527" s="1" t="str">
        <f t="shared" si="1"/>
        <v/>
      </c>
      <c r="G9527" s="1" t="str">
        <f t="shared" si="2"/>
        <v/>
      </c>
      <c r="J9527" s="1" t="str">
        <f t="shared" si="3"/>
        <v/>
      </c>
      <c r="K9527" s="1" t="str">
        <f t="shared" si="4"/>
        <v/>
      </c>
    </row>
    <row r="9528" hidden="1">
      <c r="F9528" s="1" t="str">
        <f t="shared" si="1"/>
        <v/>
      </c>
      <c r="G9528" s="1" t="str">
        <f t="shared" si="2"/>
        <v/>
      </c>
      <c r="J9528" s="1" t="str">
        <f t="shared" si="3"/>
        <v/>
      </c>
      <c r="K9528" s="1" t="str">
        <f t="shared" si="4"/>
        <v/>
      </c>
    </row>
    <row r="9529" hidden="1">
      <c r="F9529" s="1" t="str">
        <f t="shared" si="1"/>
        <v/>
      </c>
      <c r="G9529" s="1" t="str">
        <f t="shared" si="2"/>
        <v/>
      </c>
      <c r="J9529" s="1" t="str">
        <f t="shared" si="3"/>
        <v/>
      </c>
      <c r="K9529" s="1" t="str">
        <f t="shared" si="4"/>
        <v/>
      </c>
    </row>
    <row r="9530" hidden="1">
      <c r="F9530" s="1" t="str">
        <f t="shared" si="1"/>
        <v/>
      </c>
      <c r="G9530" s="1" t="str">
        <f t="shared" si="2"/>
        <v/>
      </c>
      <c r="J9530" s="1" t="str">
        <f t="shared" si="3"/>
        <v/>
      </c>
      <c r="K9530" s="1" t="str">
        <f t="shared" si="4"/>
        <v/>
      </c>
    </row>
    <row r="9531" hidden="1">
      <c r="F9531" s="1" t="str">
        <f t="shared" si="1"/>
        <v/>
      </c>
      <c r="G9531" s="1" t="str">
        <f t="shared" si="2"/>
        <v/>
      </c>
      <c r="J9531" s="1" t="str">
        <f t="shared" si="3"/>
        <v/>
      </c>
      <c r="K9531" s="1" t="str">
        <f t="shared" si="4"/>
        <v/>
      </c>
    </row>
    <row r="9532" hidden="1">
      <c r="F9532" s="1" t="str">
        <f t="shared" si="1"/>
        <v/>
      </c>
      <c r="G9532" s="1" t="str">
        <f t="shared" si="2"/>
        <v/>
      </c>
      <c r="J9532" s="1" t="str">
        <f t="shared" si="3"/>
        <v/>
      </c>
      <c r="K9532" s="1" t="str">
        <f t="shared" si="4"/>
        <v/>
      </c>
    </row>
    <row r="9533" hidden="1">
      <c r="F9533" s="1" t="str">
        <f t="shared" si="1"/>
        <v/>
      </c>
      <c r="G9533" s="1" t="str">
        <f t="shared" si="2"/>
        <v/>
      </c>
      <c r="J9533" s="1" t="str">
        <f t="shared" si="3"/>
        <v/>
      </c>
      <c r="K9533" s="1" t="str">
        <f t="shared" si="4"/>
        <v/>
      </c>
    </row>
    <row r="9534" hidden="1">
      <c r="F9534" s="1" t="str">
        <f t="shared" si="1"/>
        <v/>
      </c>
      <c r="G9534" s="1" t="str">
        <f t="shared" si="2"/>
        <v/>
      </c>
      <c r="J9534" s="1" t="str">
        <f t="shared" si="3"/>
        <v/>
      </c>
      <c r="K9534" s="1" t="str">
        <f t="shared" si="4"/>
        <v/>
      </c>
    </row>
    <row r="9535" hidden="1">
      <c r="F9535" s="1" t="str">
        <f t="shared" si="1"/>
        <v/>
      </c>
      <c r="G9535" s="1" t="str">
        <f t="shared" si="2"/>
        <v/>
      </c>
      <c r="J9535" s="1" t="str">
        <f t="shared" si="3"/>
        <v/>
      </c>
      <c r="K9535" s="1" t="str">
        <f t="shared" si="4"/>
        <v/>
      </c>
    </row>
    <row r="9536" hidden="1">
      <c r="F9536" s="1" t="str">
        <f t="shared" si="1"/>
        <v/>
      </c>
      <c r="G9536" s="1" t="str">
        <f t="shared" si="2"/>
        <v/>
      </c>
      <c r="J9536" s="1" t="str">
        <f t="shared" si="3"/>
        <v/>
      </c>
      <c r="K9536" s="1" t="str">
        <f t="shared" si="4"/>
        <v/>
      </c>
    </row>
    <row r="9537" hidden="1">
      <c r="F9537" s="1" t="str">
        <f t="shared" si="1"/>
        <v/>
      </c>
      <c r="G9537" s="1" t="str">
        <f t="shared" si="2"/>
        <v/>
      </c>
      <c r="J9537" s="1" t="str">
        <f t="shared" si="3"/>
        <v/>
      </c>
      <c r="K9537" s="1" t="str">
        <f t="shared" si="4"/>
        <v/>
      </c>
    </row>
    <row r="9538" hidden="1">
      <c r="F9538" s="1" t="str">
        <f t="shared" si="1"/>
        <v/>
      </c>
      <c r="G9538" s="1" t="str">
        <f t="shared" si="2"/>
        <v/>
      </c>
      <c r="J9538" s="1" t="str">
        <f t="shared" si="3"/>
        <v/>
      </c>
      <c r="K9538" s="1" t="str">
        <f t="shared" si="4"/>
        <v/>
      </c>
    </row>
    <row r="9539" hidden="1">
      <c r="F9539" s="1" t="str">
        <f t="shared" si="1"/>
        <v/>
      </c>
      <c r="G9539" s="1" t="str">
        <f t="shared" si="2"/>
        <v/>
      </c>
      <c r="J9539" s="1" t="str">
        <f t="shared" si="3"/>
        <v/>
      </c>
      <c r="K9539" s="1" t="str">
        <f t="shared" si="4"/>
        <v/>
      </c>
    </row>
    <row r="9540" hidden="1">
      <c r="F9540" s="1" t="str">
        <f t="shared" si="1"/>
        <v/>
      </c>
      <c r="G9540" s="1" t="str">
        <f t="shared" si="2"/>
        <v/>
      </c>
      <c r="J9540" s="1" t="str">
        <f t="shared" si="3"/>
        <v/>
      </c>
      <c r="K9540" s="1" t="str">
        <f t="shared" si="4"/>
        <v/>
      </c>
    </row>
    <row r="9541" hidden="1">
      <c r="F9541" s="1" t="str">
        <f t="shared" si="1"/>
        <v/>
      </c>
      <c r="G9541" s="1" t="str">
        <f t="shared" si="2"/>
        <v/>
      </c>
      <c r="J9541" s="1" t="str">
        <f t="shared" si="3"/>
        <v/>
      </c>
      <c r="K9541" s="1" t="str">
        <f t="shared" si="4"/>
        <v/>
      </c>
    </row>
    <row r="9542" hidden="1">
      <c r="F9542" s="1" t="str">
        <f t="shared" si="1"/>
        <v/>
      </c>
      <c r="G9542" s="1" t="str">
        <f t="shared" si="2"/>
        <v/>
      </c>
      <c r="J9542" s="1" t="str">
        <f t="shared" si="3"/>
        <v/>
      </c>
      <c r="K9542" s="1" t="str">
        <f t="shared" si="4"/>
        <v/>
      </c>
    </row>
    <row r="9543" hidden="1">
      <c r="F9543" s="1" t="str">
        <f t="shared" si="1"/>
        <v/>
      </c>
      <c r="G9543" s="1" t="str">
        <f t="shared" si="2"/>
        <v/>
      </c>
      <c r="J9543" s="1" t="str">
        <f t="shared" si="3"/>
        <v/>
      </c>
      <c r="K9543" s="1" t="str">
        <f t="shared" si="4"/>
        <v/>
      </c>
    </row>
    <row r="9544" hidden="1">
      <c r="F9544" s="1" t="str">
        <f t="shared" si="1"/>
        <v/>
      </c>
      <c r="G9544" s="1" t="str">
        <f t="shared" si="2"/>
        <v/>
      </c>
      <c r="J9544" s="1" t="str">
        <f t="shared" si="3"/>
        <v/>
      </c>
      <c r="K9544" s="1" t="str">
        <f t="shared" si="4"/>
        <v/>
      </c>
    </row>
    <row r="9545" hidden="1">
      <c r="F9545" s="1" t="str">
        <f t="shared" si="1"/>
        <v/>
      </c>
      <c r="G9545" s="1" t="str">
        <f t="shared" si="2"/>
        <v/>
      </c>
      <c r="J9545" s="1" t="str">
        <f t="shared" si="3"/>
        <v/>
      </c>
      <c r="K9545" s="1" t="str">
        <f t="shared" si="4"/>
        <v/>
      </c>
    </row>
    <row r="9546" hidden="1">
      <c r="F9546" s="1" t="str">
        <f t="shared" si="1"/>
        <v/>
      </c>
      <c r="G9546" s="1" t="str">
        <f t="shared" si="2"/>
        <v/>
      </c>
      <c r="J9546" s="1" t="str">
        <f t="shared" si="3"/>
        <v/>
      </c>
      <c r="K9546" s="1" t="str">
        <f t="shared" si="4"/>
        <v/>
      </c>
    </row>
    <row r="9547" hidden="1">
      <c r="F9547" s="1" t="str">
        <f t="shared" si="1"/>
        <v/>
      </c>
      <c r="G9547" s="1" t="str">
        <f t="shared" si="2"/>
        <v/>
      </c>
      <c r="J9547" s="1" t="str">
        <f t="shared" si="3"/>
        <v/>
      </c>
      <c r="K9547" s="1" t="str">
        <f t="shared" si="4"/>
        <v/>
      </c>
    </row>
    <row r="9548" hidden="1">
      <c r="F9548" s="1" t="str">
        <f t="shared" si="1"/>
        <v/>
      </c>
      <c r="G9548" s="1" t="str">
        <f t="shared" si="2"/>
        <v/>
      </c>
      <c r="J9548" s="1" t="str">
        <f t="shared" si="3"/>
        <v/>
      </c>
      <c r="K9548" s="1" t="str">
        <f t="shared" si="4"/>
        <v/>
      </c>
    </row>
    <row r="9549" hidden="1">
      <c r="F9549" s="1" t="str">
        <f t="shared" si="1"/>
        <v/>
      </c>
      <c r="G9549" s="1" t="str">
        <f t="shared" si="2"/>
        <v/>
      </c>
      <c r="J9549" s="1" t="str">
        <f t="shared" si="3"/>
        <v/>
      </c>
      <c r="K9549" s="1" t="str">
        <f t="shared" si="4"/>
        <v/>
      </c>
    </row>
    <row r="9550" hidden="1">
      <c r="F9550" s="1" t="str">
        <f t="shared" si="1"/>
        <v/>
      </c>
      <c r="G9550" s="1" t="str">
        <f t="shared" si="2"/>
        <v/>
      </c>
      <c r="J9550" s="1" t="str">
        <f t="shared" si="3"/>
        <v/>
      </c>
      <c r="K9550" s="1" t="str">
        <f t="shared" si="4"/>
        <v/>
      </c>
    </row>
    <row r="9551" hidden="1">
      <c r="F9551" s="1" t="str">
        <f t="shared" si="1"/>
        <v/>
      </c>
      <c r="G9551" s="1" t="str">
        <f t="shared" si="2"/>
        <v/>
      </c>
      <c r="J9551" s="1" t="str">
        <f t="shared" si="3"/>
        <v/>
      </c>
      <c r="K9551" s="1" t="str">
        <f t="shared" si="4"/>
        <v/>
      </c>
    </row>
    <row r="9552" hidden="1">
      <c r="F9552" s="1" t="str">
        <f t="shared" si="1"/>
        <v/>
      </c>
      <c r="G9552" s="1" t="str">
        <f t="shared" si="2"/>
        <v/>
      </c>
      <c r="J9552" s="1" t="str">
        <f t="shared" si="3"/>
        <v/>
      </c>
      <c r="K9552" s="1" t="str">
        <f t="shared" si="4"/>
        <v/>
      </c>
    </row>
    <row r="9553" hidden="1">
      <c r="F9553" s="1" t="str">
        <f t="shared" si="1"/>
        <v/>
      </c>
      <c r="G9553" s="1" t="str">
        <f t="shared" si="2"/>
        <v/>
      </c>
      <c r="J9553" s="1" t="str">
        <f t="shared" si="3"/>
        <v/>
      </c>
      <c r="K9553" s="1" t="str">
        <f t="shared" si="4"/>
        <v/>
      </c>
    </row>
    <row r="9554" hidden="1">
      <c r="F9554" s="1" t="str">
        <f t="shared" si="1"/>
        <v/>
      </c>
      <c r="G9554" s="1" t="str">
        <f t="shared" si="2"/>
        <v/>
      </c>
      <c r="J9554" s="1" t="str">
        <f t="shared" si="3"/>
        <v/>
      </c>
      <c r="K9554" s="1" t="str">
        <f t="shared" si="4"/>
        <v/>
      </c>
    </row>
    <row r="9555" hidden="1">
      <c r="F9555" s="1" t="str">
        <f t="shared" si="1"/>
        <v/>
      </c>
      <c r="G9555" s="1" t="str">
        <f t="shared" si="2"/>
        <v/>
      </c>
      <c r="J9555" s="1" t="str">
        <f t="shared" si="3"/>
        <v/>
      </c>
      <c r="K9555" s="1" t="str">
        <f t="shared" si="4"/>
        <v/>
      </c>
    </row>
    <row r="9556" hidden="1">
      <c r="F9556" s="1" t="str">
        <f t="shared" si="1"/>
        <v/>
      </c>
      <c r="G9556" s="1" t="str">
        <f t="shared" si="2"/>
        <v/>
      </c>
      <c r="J9556" s="1" t="str">
        <f t="shared" si="3"/>
        <v/>
      </c>
      <c r="K9556" s="1" t="str">
        <f t="shared" si="4"/>
        <v/>
      </c>
    </row>
    <row r="9557" hidden="1">
      <c r="F9557" s="1" t="str">
        <f t="shared" si="1"/>
        <v/>
      </c>
      <c r="G9557" s="1" t="str">
        <f t="shared" si="2"/>
        <v/>
      </c>
      <c r="J9557" s="1" t="str">
        <f t="shared" si="3"/>
        <v/>
      </c>
      <c r="K9557" s="1" t="str">
        <f t="shared" si="4"/>
        <v/>
      </c>
    </row>
    <row r="9558" hidden="1">
      <c r="F9558" s="1" t="str">
        <f t="shared" si="1"/>
        <v/>
      </c>
      <c r="G9558" s="1" t="str">
        <f t="shared" si="2"/>
        <v/>
      </c>
      <c r="J9558" s="1" t="str">
        <f t="shared" si="3"/>
        <v/>
      </c>
      <c r="K9558" s="1" t="str">
        <f t="shared" si="4"/>
        <v/>
      </c>
    </row>
    <row r="9559" hidden="1">
      <c r="F9559" s="1" t="str">
        <f t="shared" si="1"/>
        <v/>
      </c>
      <c r="G9559" s="1" t="str">
        <f t="shared" si="2"/>
        <v/>
      </c>
      <c r="J9559" s="1" t="str">
        <f t="shared" si="3"/>
        <v/>
      </c>
      <c r="K9559" s="1" t="str">
        <f t="shared" si="4"/>
        <v/>
      </c>
    </row>
    <row r="9560" hidden="1">
      <c r="F9560" s="1" t="str">
        <f t="shared" si="1"/>
        <v/>
      </c>
      <c r="G9560" s="1" t="str">
        <f t="shared" si="2"/>
        <v/>
      </c>
      <c r="J9560" s="1" t="str">
        <f t="shared" si="3"/>
        <v/>
      </c>
      <c r="K9560" s="1" t="str">
        <f t="shared" si="4"/>
        <v/>
      </c>
    </row>
    <row r="9561" hidden="1">
      <c r="F9561" s="1" t="str">
        <f t="shared" si="1"/>
        <v/>
      </c>
      <c r="G9561" s="1" t="str">
        <f t="shared" si="2"/>
        <v/>
      </c>
      <c r="J9561" s="1" t="str">
        <f t="shared" si="3"/>
        <v/>
      </c>
      <c r="K9561" s="1" t="str">
        <f t="shared" si="4"/>
        <v/>
      </c>
    </row>
    <row r="9562" hidden="1">
      <c r="F9562" s="1" t="str">
        <f t="shared" si="1"/>
        <v/>
      </c>
      <c r="G9562" s="1" t="str">
        <f t="shared" si="2"/>
        <v/>
      </c>
      <c r="J9562" s="1" t="str">
        <f t="shared" si="3"/>
        <v/>
      </c>
      <c r="K9562" s="1" t="str">
        <f t="shared" si="4"/>
        <v/>
      </c>
    </row>
    <row r="9563" hidden="1">
      <c r="F9563" s="1" t="str">
        <f t="shared" si="1"/>
        <v/>
      </c>
      <c r="G9563" s="1" t="str">
        <f t="shared" si="2"/>
        <v/>
      </c>
      <c r="J9563" s="1" t="str">
        <f t="shared" si="3"/>
        <v/>
      </c>
      <c r="K9563" s="1" t="str">
        <f t="shared" si="4"/>
        <v/>
      </c>
    </row>
    <row r="9564" hidden="1">
      <c r="F9564" s="1" t="str">
        <f t="shared" si="1"/>
        <v/>
      </c>
      <c r="G9564" s="1" t="str">
        <f t="shared" si="2"/>
        <v/>
      </c>
      <c r="J9564" s="1" t="str">
        <f t="shared" si="3"/>
        <v/>
      </c>
      <c r="K9564" s="1" t="str">
        <f t="shared" si="4"/>
        <v/>
      </c>
    </row>
    <row r="9565" hidden="1">
      <c r="F9565" s="1" t="str">
        <f t="shared" si="1"/>
        <v/>
      </c>
      <c r="G9565" s="1" t="str">
        <f t="shared" si="2"/>
        <v/>
      </c>
      <c r="J9565" s="1" t="str">
        <f t="shared" si="3"/>
        <v/>
      </c>
      <c r="K9565" s="1" t="str">
        <f t="shared" si="4"/>
        <v/>
      </c>
    </row>
    <row r="9566" hidden="1">
      <c r="F9566" s="1" t="str">
        <f t="shared" si="1"/>
        <v/>
      </c>
      <c r="G9566" s="1" t="str">
        <f t="shared" si="2"/>
        <v/>
      </c>
      <c r="J9566" s="1" t="str">
        <f t="shared" si="3"/>
        <v/>
      </c>
      <c r="K9566" s="1" t="str">
        <f t="shared" si="4"/>
        <v/>
      </c>
    </row>
    <row r="9567" hidden="1">
      <c r="F9567" s="1" t="str">
        <f t="shared" si="1"/>
        <v/>
      </c>
      <c r="G9567" s="1" t="str">
        <f t="shared" si="2"/>
        <v/>
      </c>
      <c r="J9567" s="1" t="str">
        <f t="shared" si="3"/>
        <v/>
      </c>
      <c r="K9567" s="1" t="str">
        <f t="shared" si="4"/>
        <v/>
      </c>
    </row>
    <row r="9568" hidden="1">
      <c r="F9568" s="1" t="str">
        <f t="shared" si="1"/>
        <v/>
      </c>
      <c r="G9568" s="1" t="str">
        <f t="shared" si="2"/>
        <v/>
      </c>
      <c r="J9568" s="1" t="str">
        <f t="shared" si="3"/>
        <v/>
      </c>
      <c r="K9568" s="1" t="str">
        <f t="shared" si="4"/>
        <v/>
      </c>
    </row>
    <row r="9569" hidden="1">
      <c r="F9569" s="1" t="str">
        <f t="shared" si="1"/>
        <v/>
      </c>
      <c r="G9569" s="1" t="str">
        <f t="shared" si="2"/>
        <v/>
      </c>
      <c r="J9569" s="1" t="str">
        <f t="shared" si="3"/>
        <v/>
      </c>
      <c r="K9569" s="1" t="str">
        <f t="shared" si="4"/>
        <v/>
      </c>
    </row>
    <row r="9570" hidden="1">
      <c r="F9570" s="1" t="str">
        <f t="shared" si="1"/>
        <v/>
      </c>
      <c r="G9570" s="1" t="str">
        <f t="shared" si="2"/>
        <v/>
      </c>
      <c r="J9570" s="1" t="str">
        <f t="shared" si="3"/>
        <v/>
      </c>
      <c r="K9570" s="1" t="str">
        <f t="shared" si="4"/>
        <v/>
      </c>
    </row>
    <row r="9571" hidden="1">
      <c r="F9571" s="1" t="str">
        <f t="shared" si="1"/>
        <v/>
      </c>
      <c r="G9571" s="1" t="str">
        <f t="shared" si="2"/>
        <v/>
      </c>
      <c r="J9571" s="1" t="str">
        <f t="shared" si="3"/>
        <v/>
      </c>
      <c r="K9571" s="1" t="str">
        <f t="shared" si="4"/>
        <v/>
      </c>
    </row>
    <row r="9572" hidden="1">
      <c r="F9572" s="1" t="str">
        <f t="shared" si="1"/>
        <v/>
      </c>
      <c r="G9572" s="1" t="str">
        <f t="shared" si="2"/>
        <v/>
      </c>
      <c r="J9572" s="1" t="str">
        <f t="shared" si="3"/>
        <v/>
      </c>
      <c r="K9572" s="1" t="str">
        <f t="shared" si="4"/>
        <v/>
      </c>
    </row>
    <row r="9573" hidden="1">
      <c r="F9573" s="1" t="str">
        <f t="shared" si="1"/>
        <v/>
      </c>
      <c r="G9573" s="1" t="str">
        <f t="shared" si="2"/>
        <v/>
      </c>
      <c r="J9573" s="1" t="str">
        <f t="shared" si="3"/>
        <v/>
      </c>
      <c r="K9573" s="1" t="str">
        <f t="shared" si="4"/>
        <v/>
      </c>
    </row>
    <row r="9574" hidden="1">
      <c r="F9574" s="1" t="str">
        <f t="shared" si="1"/>
        <v/>
      </c>
      <c r="G9574" s="1" t="str">
        <f t="shared" si="2"/>
        <v/>
      </c>
      <c r="J9574" s="1" t="str">
        <f t="shared" si="3"/>
        <v/>
      </c>
      <c r="K9574" s="1" t="str">
        <f t="shared" si="4"/>
        <v/>
      </c>
    </row>
    <row r="9575" hidden="1">
      <c r="F9575" s="1" t="str">
        <f t="shared" si="1"/>
        <v/>
      </c>
      <c r="G9575" s="1" t="str">
        <f t="shared" si="2"/>
        <v/>
      </c>
      <c r="J9575" s="1" t="str">
        <f t="shared" si="3"/>
        <v/>
      </c>
      <c r="K9575" s="1" t="str">
        <f t="shared" si="4"/>
        <v/>
      </c>
    </row>
    <row r="9576" hidden="1">
      <c r="F9576" s="1" t="str">
        <f t="shared" si="1"/>
        <v/>
      </c>
      <c r="G9576" s="1" t="str">
        <f t="shared" si="2"/>
        <v/>
      </c>
      <c r="J9576" s="1" t="str">
        <f t="shared" si="3"/>
        <v/>
      </c>
      <c r="K9576" s="1" t="str">
        <f t="shared" si="4"/>
        <v/>
      </c>
    </row>
    <row r="9577" hidden="1">
      <c r="F9577" s="1" t="str">
        <f t="shared" si="1"/>
        <v/>
      </c>
      <c r="G9577" s="1" t="str">
        <f t="shared" si="2"/>
        <v/>
      </c>
      <c r="J9577" s="1" t="str">
        <f t="shared" si="3"/>
        <v/>
      </c>
      <c r="K9577" s="1" t="str">
        <f t="shared" si="4"/>
        <v/>
      </c>
    </row>
    <row r="9578" hidden="1">
      <c r="F9578" s="1" t="str">
        <f t="shared" si="1"/>
        <v/>
      </c>
      <c r="G9578" s="1" t="str">
        <f t="shared" si="2"/>
        <v/>
      </c>
      <c r="J9578" s="1" t="str">
        <f t="shared" si="3"/>
        <v/>
      </c>
      <c r="K9578" s="1" t="str">
        <f t="shared" si="4"/>
        <v/>
      </c>
    </row>
    <row r="9579" hidden="1">
      <c r="F9579" s="1" t="str">
        <f t="shared" si="1"/>
        <v/>
      </c>
      <c r="G9579" s="1" t="str">
        <f t="shared" si="2"/>
        <v/>
      </c>
      <c r="J9579" s="1" t="str">
        <f t="shared" si="3"/>
        <v/>
      </c>
      <c r="K9579" s="1" t="str">
        <f t="shared" si="4"/>
        <v/>
      </c>
    </row>
    <row r="9580" hidden="1">
      <c r="F9580" s="1" t="str">
        <f t="shared" si="1"/>
        <v/>
      </c>
      <c r="G9580" s="1" t="str">
        <f t="shared" si="2"/>
        <v/>
      </c>
      <c r="J9580" s="1" t="str">
        <f t="shared" si="3"/>
        <v/>
      </c>
      <c r="K9580" s="1" t="str">
        <f t="shared" si="4"/>
        <v/>
      </c>
    </row>
    <row r="9581" hidden="1">
      <c r="F9581" s="1" t="str">
        <f t="shared" si="1"/>
        <v/>
      </c>
      <c r="G9581" s="1" t="str">
        <f t="shared" si="2"/>
        <v/>
      </c>
      <c r="J9581" s="1" t="str">
        <f t="shared" si="3"/>
        <v/>
      </c>
      <c r="K9581" s="1" t="str">
        <f t="shared" si="4"/>
        <v/>
      </c>
    </row>
    <row r="9582" hidden="1">
      <c r="F9582" s="1" t="str">
        <f t="shared" si="1"/>
        <v/>
      </c>
      <c r="G9582" s="1" t="str">
        <f t="shared" si="2"/>
        <v/>
      </c>
      <c r="J9582" s="1" t="str">
        <f t="shared" si="3"/>
        <v/>
      </c>
      <c r="K9582" s="1" t="str">
        <f t="shared" si="4"/>
        <v/>
      </c>
    </row>
    <row r="9583" hidden="1">
      <c r="F9583" s="1" t="str">
        <f t="shared" si="1"/>
        <v/>
      </c>
      <c r="G9583" s="1" t="str">
        <f t="shared" si="2"/>
        <v/>
      </c>
      <c r="J9583" s="1" t="str">
        <f t="shared" si="3"/>
        <v/>
      </c>
      <c r="K9583" s="1" t="str">
        <f t="shared" si="4"/>
        <v/>
      </c>
    </row>
    <row r="9584" hidden="1">
      <c r="F9584" s="1" t="str">
        <f t="shared" si="1"/>
        <v/>
      </c>
      <c r="G9584" s="1" t="str">
        <f t="shared" si="2"/>
        <v/>
      </c>
      <c r="J9584" s="1" t="str">
        <f t="shared" si="3"/>
        <v/>
      </c>
      <c r="K9584" s="1" t="str">
        <f t="shared" si="4"/>
        <v/>
      </c>
    </row>
    <row r="9585" hidden="1">
      <c r="F9585" s="1" t="str">
        <f t="shared" si="1"/>
        <v/>
      </c>
      <c r="G9585" s="1" t="str">
        <f t="shared" si="2"/>
        <v/>
      </c>
      <c r="J9585" s="1" t="str">
        <f t="shared" si="3"/>
        <v/>
      </c>
      <c r="K9585" s="1" t="str">
        <f t="shared" si="4"/>
        <v/>
      </c>
    </row>
    <row r="9586" hidden="1">
      <c r="F9586" s="1" t="str">
        <f t="shared" si="1"/>
        <v/>
      </c>
      <c r="G9586" s="1" t="str">
        <f t="shared" si="2"/>
        <v/>
      </c>
      <c r="J9586" s="1" t="str">
        <f t="shared" si="3"/>
        <v/>
      </c>
      <c r="K9586" s="1" t="str">
        <f t="shared" si="4"/>
        <v/>
      </c>
    </row>
    <row r="9587" hidden="1">
      <c r="F9587" s="1" t="str">
        <f t="shared" si="1"/>
        <v/>
      </c>
      <c r="G9587" s="1" t="str">
        <f t="shared" si="2"/>
        <v/>
      </c>
      <c r="J9587" s="1" t="str">
        <f t="shared" si="3"/>
        <v/>
      </c>
      <c r="K9587" s="1" t="str">
        <f t="shared" si="4"/>
        <v/>
      </c>
    </row>
    <row r="9588" hidden="1">
      <c r="F9588" s="1" t="str">
        <f t="shared" si="1"/>
        <v/>
      </c>
      <c r="G9588" s="1" t="str">
        <f t="shared" si="2"/>
        <v/>
      </c>
      <c r="J9588" s="1" t="str">
        <f t="shared" si="3"/>
        <v/>
      </c>
      <c r="K9588" s="1" t="str">
        <f t="shared" si="4"/>
        <v/>
      </c>
    </row>
    <row r="9589" hidden="1">
      <c r="F9589" s="1" t="str">
        <f t="shared" si="1"/>
        <v/>
      </c>
      <c r="G9589" s="1" t="str">
        <f t="shared" si="2"/>
        <v/>
      </c>
      <c r="J9589" s="1" t="str">
        <f t="shared" si="3"/>
        <v/>
      </c>
      <c r="K9589" s="1" t="str">
        <f t="shared" si="4"/>
        <v/>
      </c>
    </row>
    <row r="9590" hidden="1">
      <c r="F9590" s="1" t="str">
        <f t="shared" si="1"/>
        <v/>
      </c>
      <c r="G9590" s="1" t="str">
        <f t="shared" si="2"/>
        <v/>
      </c>
      <c r="J9590" s="1" t="str">
        <f t="shared" si="3"/>
        <v/>
      </c>
      <c r="K9590" s="1" t="str">
        <f t="shared" si="4"/>
        <v/>
      </c>
    </row>
    <row r="9591" hidden="1">
      <c r="F9591" s="1" t="str">
        <f t="shared" si="1"/>
        <v/>
      </c>
      <c r="G9591" s="1" t="str">
        <f t="shared" si="2"/>
        <v/>
      </c>
      <c r="J9591" s="1" t="str">
        <f t="shared" si="3"/>
        <v/>
      </c>
      <c r="K9591" s="1" t="str">
        <f t="shared" si="4"/>
        <v/>
      </c>
    </row>
    <row r="9592" hidden="1">
      <c r="F9592" s="1" t="str">
        <f t="shared" si="1"/>
        <v/>
      </c>
      <c r="G9592" s="1" t="str">
        <f t="shared" si="2"/>
        <v/>
      </c>
      <c r="J9592" s="1" t="str">
        <f t="shared" si="3"/>
        <v/>
      </c>
      <c r="K9592" s="1" t="str">
        <f t="shared" si="4"/>
        <v/>
      </c>
    </row>
    <row r="9593" hidden="1">
      <c r="F9593" s="1" t="str">
        <f t="shared" si="1"/>
        <v/>
      </c>
      <c r="G9593" s="1" t="str">
        <f t="shared" si="2"/>
        <v/>
      </c>
      <c r="J9593" s="1" t="str">
        <f t="shared" si="3"/>
        <v/>
      </c>
      <c r="K9593" s="1" t="str">
        <f t="shared" si="4"/>
        <v/>
      </c>
    </row>
    <row r="9594" hidden="1">
      <c r="F9594" s="1" t="str">
        <f t="shared" si="1"/>
        <v/>
      </c>
      <c r="G9594" s="1" t="str">
        <f t="shared" si="2"/>
        <v/>
      </c>
      <c r="J9594" s="1" t="str">
        <f t="shared" si="3"/>
        <v/>
      </c>
      <c r="K9594" s="1" t="str">
        <f t="shared" si="4"/>
        <v/>
      </c>
    </row>
    <row r="9595" hidden="1">
      <c r="F9595" s="1" t="str">
        <f t="shared" si="1"/>
        <v/>
      </c>
      <c r="G9595" s="1" t="str">
        <f t="shared" si="2"/>
        <v/>
      </c>
      <c r="J9595" s="1" t="str">
        <f t="shared" si="3"/>
        <v/>
      </c>
      <c r="K9595" s="1" t="str">
        <f t="shared" si="4"/>
        <v/>
      </c>
    </row>
    <row r="9596" hidden="1">
      <c r="F9596" s="1" t="str">
        <f t="shared" si="1"/>
        <v/>
      </c>
      <c r="G9596" s="1" t="str">
        <f t="shared" si="2"/>
        <v/>
      </c>
      <c r="J9596" s="1" t="str">
        <f t="shared" si="3"/>
        <v/>
      </c>
      <c r="K9596" s="1" t="str">
        <f t="shared" si="4"/>
        <v/>
      </c>
    </row>
    <row r="9597" hidden="1">
      <c r="F9597" s="1" t="str">
        <f t="shared" si="1"/>
        <v/>
      </c>
      <c r="G9597" s="1" t="str">
        <f t="shared" si="2"/>
        <v/>
      </c>
      <c r="J9597" s="1" t="str">
        <f t="shared" si="3"/>
        <v/>
      </c>
      <c r="K9597" s="1" t="str">
        <f t="shared" si="4"/>
        <v/>
      </c>
    </row>
    <row r="9598" hidden="1">
      <c r="F9598" s="1" t="str">
        <f t="shared" si="1"/>
        <v/>
      </c>
      <c r="G9598" s="1" t="str">
        <f t="shared" si="2"/>
        <v/>
      </c>
      <c r="J9598" s="1" t="str">
        <f t="shared" si="3"/>
        <v/>
      </c>
      <c r="K9598" s="1" t="str">
        <f t="shared" si="4"/>
        <v/>
      </c>
    </row>
    <row r="9599" hidden="1">
      <c r="F9599" s="1" t="str">
        <f t="shared" si="1"/>
        <v/>
      </c>
      <c r="G9599" s="1" t="str">
        <f t="shared" si="2"/>
        <v/>
      </c>
      <c r="J9599" s="1" t="str">
        <f t="shared" si="3"/>
        <v/>
      </c>
      <c r="K9599" s="1" t="str">
        <f t="shared" si="4"/>
        <v/>
      </c>
    </row>
    <row r="9600" hidden="1">
      <c r="F9600" s="1" t="str">
        <f t="shared" si="1"/>
        <v/>
      </c>
      <c r="G9600" s="1" t="str">
        <f t="shared" si="2"/>
        <v/>
      </c>
      <c r="J9600" s="1" t="str">
        <f t="shared" si="3"/>
        <v/>
      </c>
      <c r="K9600" s="1" t="str">
        <f t="shared" si="4"/>
        <v/>
      </c>
    </row>
    <row r="9601" hidden="1">
      <c r="F9601" s="1" t="str">
        <f t="shared" si="1"/>
        <v/>
      </c>
      <c r="G9601" s="1" t="str">
        <f t="shared" si="2"/>
        <v/>
      </c>
      <c r="J9601" s="1" t="str">
        <f t="shared" si="3"/>
        <v/>
      </c>
      <c r="K9601" s="1" t="str">
        <f t="shared" si="4"/>
        <v/>
      </c>
    </row>
    <row r="9602" hidden="1">
      <c r="F9602" s="1" t="str">
        <f t="shared" si="1"/>
        <v/>
      </c>
      <c r="G9602" s="1" t="str">
        <f t="shared" si="2"/>
        <v/>
      </c>
      <c r="J9602" s="1" t="str">
        <f t="shared" si="3"/>
        <v/>
      </c>
      <c r="K9602" s="1" t="str">
        <f t="shared" si="4"/>
        <v/>
      </c>
    </row>
    <row r="9603" hidden="1">
      <c r="F9603" s="1" t="str">
        <f t="shared" si="1"/>
        <v/>
      </c>
      <c r="G9603" s="1" t="str">
        <f t="shared" si="2"/>
        <v/>
      </c>
      <c r="J9603" s="1" t="str">
        <f t="shared" si="3"/>
        <v/>
      </c>
      <c r="K9603" s="1" t="str">
        <f t="shared" si="4"/>
        <v/>
      </c>
    </row>
    <row r="9604" hidden="1">
      <c r="F9604" s="1" t="str">
        <f t="shared" si="1"/>
        <v/>
      </c>
      <c r="G9604" s="1" t="str">
        <f t="shared" si="2"/>
        <v/>
      </c>
      <c r="J9604" s="1" t="str">
        <f t="shared" si="3"/>
        <v/>
      </c>
      <c r="K9604" s="1" t="str">
        <f t="shared" si="4"/>
        <v/>
      </c>
    </row>
    <row r="9605" hidden="1">
      <c r="F9605" s="1" t="str">
        <f t="shared" si="1"/>
        <v/>
      </c>
      <c r="G9605" s="1" t="str">
        <f t="shared" si="2"/>
        <v/>
      </c>
      <c r="J9605" s="1" t="str">
        <f t="shared" si="3"/>
        <v/>
      </c>
      <c r="K9605" s="1" t="str">
        <f t="shared" si="4"/>
        <v/>
      </c>
    </row>
    <row r="9606" hidden="1">
      <c r="F9606" s="1" t="str">
        <f t="shared" si="1"/>
        <v/>
      </c>
      <c r="G9606" s="1" t="str">
        <f t="shared" si="2"/>
        <v/>
      </c>
      <c r="J9606" s="1" t="str">
        <f t="shared" si="3"/>
        <v/>
      </c>
      <c r="K9606" s="1" t="str">
        <f t="shared" si="4"/>
        <v/>
      </c>
    </row>
    <row r="9607" hidden="1">
      <c r="F9607" s="1" t="str">
        <f t="shared" si="1"/>
        <v/>
      </c>
      <c r="G9607" s="1" t="str">
        <f t="shared" si="2"/>
        <v/>
      </c>
      <c r="J9607" s="1" t="str">
        <f t="shared" si="3"/>
        <v/>
      </c>
      <c r="K9607" s="1" t="str">
        <f t="shared" si="4"/>
        <v/>
      </c>
    </row>
    <row r="9608" hidden="1">
      <c r="F9608" s="1" t="str">
        <f t="shared" si="1"/>
        <v/>
      </c>
      <c r="G9608" s="1" t="str">
        <f t="shared" si="2"/>
        <v/>
      </c>
      <c r="J9608" s="1" t="str">
        <f t="shared" si="3"/>
        <v/>
      </c>
      <c r="K9608" s="1" t="str">
        <f t="shared" si="4"/>
        <v/>
      </c>
    </row>
    <row r="9609" hidden="1">
      <c r="F9609" s="1" t="str">
        <f t="shared" si="1"/>
        <v/>
      </c>
      <c r="G9609" s="1" t="str">
        <f t="shared" si="2"/>
        <v/>
      </c>
      <c r="J9609" s="1" t="str">
        <f t="shared" si="3"/>
        <v/>
      </c>
      <c r="K9609" s="1" t="str">
        <f t="shared" si="4"/>
        <v/>
      </c>
    </row>
    <row r="9610" hidden="1">
      <c r="F9610" s="1" t="str">
        <f t="shared" si="1"/>
        <v/>
      </c>
      <c r="G9610" s="1" t="str">
        <f t="shared" si="2"/>
        <v/>
      </c>
      <c r="J9610" s="1" t="str">
        <f t="shared" si="3"/>
        <v/>
      </c>
      <c r="K9610" s="1" t="str">
        <f t="shared" si="4"/>
        <v/>
      </c>
    </row>
    <row r="9611" hidden="1">
      <c r="F9611" s="1" t="str">
        <f t="shared" si="1"/>
        <v/>
      </c>
      <c r="G9611" s="1" t="str">
        <f t="shared" si="2"/>
        <v/>
      </c>
      <c r="J9611" s="1" t="str">
        <f t="shared" si="3"/>
        <v/>
      </c>
      <c r="K9611" s="1" t="str">
        <f t="shared" si="4"/>
        <v/>
      </c>
    </row>
    <row r="9612" hidden="1">
      <c r="F9612" s="1" t="str">
        <f t="shared" si="1"/>
        <v/>
      </c>
      <c r="G9612" s="1" t="str">
        <f t="shared" si="2"/>
        <v/>
      </c>
      <c r="J9612" s="1" t="str">
        <f t="shared" si="3"/>
        <v/>
      </c>
      <c r="K9612" s="1" t="str">
        <f t="shared" si="4"/>
        <v/>
      </c>
    </row>
    <row r="9613" hidden="1">
      <c r="F9613" s="1" t="str">
        <f t="shared" si="1"/>
        <v/>
      </c>
      <c r="G9613" s="1" t="str">
        <f t="shared" si="2"/>
        <v/>
      </c>
      <c r="J9613" s="1" t="str">
        <f t="shared" si="3"/>
        <v/>
      </c>
      <c r="K9613" s="1" t="str">
        <f t="shared" si="4"/>
        <v/>
      </c>
    </row>
    <row r="9614" hidden="1">
      <c r="F9614" s="1" t="str">
        <f t="shared" si="1"/>
        <v/>
      </c>
      <c r="G9614" s="1" t="str">
        <f t="shared" si="2"/>
        <v/>
      </c>
      <c r="J9614" s="1" t="str">
        <f t="shared" si="3"/>
        <v/>
      </c>
      <c r="K9614" s="1" t="str">
        <f t="shared" si="4"/>
        <v/>
      </c>
    </row>
    <row r="9615" hidden="1">
      <c r="F9615" s="1" t="str">
        <f t="shared" si="1"/>
        <v/>
      </c>
      <c r="G9615" s="1" t="str">
        <f t="shared" si="2"/>
        <v/>
      </c>
      <c r="J9615" s="1" t="str">
        <f t="shared" si="3"/>
        <v/>
      </c>
      <c r="K9615" s="1" t="str">
        <f t="shared" si="4"/>
        <v/>
      </c>
    </row>
    <row r="9616" hidden="1">
      <c r="F9616" s="1" t="str">
        <f t="shared" si="1"/>
        <v/>
      </c>
      <c r="G9616" s="1" t="str">
        <f t="shared" si="2"/>
        <v/>
      </c>
      <c r="J9616" s="1" t="str">
        <f t="shared" si="3"/>
        <v/>
      </c>
      <c r="K9616" s="1" t="str">
        <f t="shared" si="4"/>
        <v/>
      </c>
    </row>
    <row r="9617" hidden="1">
      <c r="F9617" s="1" t="str">
        <f t="shared" si="1"/>
        <v/>
      </c>
      <c r="G9617" s="1" t="str">
        <f t="shared" si="2"/>
        <v/>
      </c>
      <c r="J9617" s="1" t="str">
        <f t="shared" si="3"/>
        <v/>
      </c>
      <c r="K9617" s="1" t="str">
        <f t="shared" si="4"/>
        <v/>
      </c>
    </row>
    <row r="9618" hidden="1">
      <c r="F9618" s="1" t="str">
        <f t="shared" si="1"/>
        <v/>
      </c>
      <c r="G9618" s="1" t="str">
        <f t="shared" si="2"/>
        <v/>
      </c>
      <c r="J9618" s="1" t="str">
        <f t="shared" si="3"/>
        <v/>
      </c>
      <c r="K9618" s="1" t="str">
        <f t="shared" si="4"/>
        <v/>
      </c>
    </row>
    <row r="9619" hidden="1">
      <c r="F9619" s="1" t="str">
        <f t="shared" si="1"/>
        <v/>
      </c>
      <c r="G9619" s="1" t="str">
        <f t="shared" si="2"/>
        <v/>
      </c>
      <c r="J9619" s="1" t="str">
        <f t="shared" si="3"/>
        <v/>
      </c>
      <c r="K9619" s="1" t="str">
        <f t="shared" si="4"/>
        <v/>
      </c>
    </row>
    <row r="9620" hidden="1">
      <c r="F9620" s="1" t="str">
        <f t="shared" si="1"/>
        <v/>
      </c>
      <c r="G9620" s="1" t="str">
        <f t="shared" si="2"/>
        <v/>
      </c>
      <c r="J9620" s="1" t="str">
        <f t="shared" si="3"/>
        <v/>
      </c>
      <c r="K9620" s="1" t="str">
        <f t="shared" si="4"/>
        <v/>
      </c>
    </row>
    <row r="9621" hidden="1">
      <c r="F9621" s="1" t="str">
        <f t="shared" si="1"/>
        <v/>
      </c>
      <c r="G9621" s="1" t="str">
        <f t="shared" si="2"/>
        <v/>
      </c>
      <c r="J9621" s="1" t="str">
        <f t="shared" si="3"/>
        <v/>
      </c>
      <c r="K9621" s="1" t="str">
        <f t="shared" si="4"/>
        <v/>
      </c>
    </row>
    <row r="9622" hidden="1">
      <c r="F9622" s="1" t="str">
        <f t="shared" si="1"/>
        <v/>
      </c>
      <c r="G9622" s="1" t="str">
        <f t="shared" si="2"/>
        <v/>
      </c>
      <c r="J9622" s="1" t="str">
        <f t="shared" si="3"/>
        <v/>
      </c>
      <c r="K9622" s="1" t="str">
        <f t="shared" si="4"/>
        <v/>
      </c>
    </row>
    <row r="9623" hidden="1">
      <c r="F9623" s="1" t="str">
        <f t="shared" si="1"/>
        <v/>
      </c>
      <c r="G9623" s="1" t="str">
        <f t="shared" si="2"/>
        <v/>
      </c>
      <c r="J9623" s="1" t="str">
        <f t="shared" si="3"/>
        <v/>
      </c>
      <c r="K9623" s="1" t="str">
        <f t="shared" si="4"/>
        <v/>
      </c>
    </row>
    <row r="9624" hidden="1">
      <c r="F9624" s="1" t="str">
        <f t="shared" si="1"/>
        <v/>
      </c>
      <c r="G9624" s="1" t="str">
        <f t="shared" si="2"/>
        <v/>
      </c>
      <c r="J9624" s="1" t="str">
        <f t="shared" si="3"/>
        <v/>
      </c>
      <c r="K9624" s="1" t="str">
        <f t="shared" si="4"/>
        <v/>
      </c>
    </row>
    <row r="9625" hidden="1">
      <c r="F9625" s="1" t="str">
        <f t="shared" si="1"/>
        <v/>
      </c>
      <c r="G9625" s="1" t="str">
        <f t="shared" si="2"/>
        <v/>
      </c>
      <c r="J9625" s="1" t="str">
        <f t="shared" si="3"/>
        <v/>
      </c>
      <c r="K9625" s="1" t="str">
        <f t="shared" si="4"/>
        <v/>
      </c>
    </row>
    <row r="9626" hidden="1">
      <c r="F9626" s="1" t="str">
        <f t="shared" si="1"/>
        <v/>
      </c>
      <c r="G9626" s="1" t="str">
        <f t="shared" si="2"/>
        <v/>
      </c>
      <c r="J9626" s="1" t="str">
        <f t="shared" si="3"/>
        <v/>
      </c>
      <c r="K9626" s="1" t="str">
        <f t="shared" si="4"/>
        <v/>
      </c>
    </row>
    <row r="9627" hidden="1">
      <c r="F9627" s="1" t="str">
        <f t="shared" si="1"/>
        <v/>
      </c>
      <c r="G9627" s="1" t="str">
        <f t="shared" si="2"/>
        <v/>
      </c>
      <c r="J9627" s="1" t="str">
        <f t="shared" si="3"/>
        <v/>
      </c>
      <c r="K9627" s="1" t="str">
        <f t="shared" si="4"/>
        <v/>
      </c>
    </row>
    <row r="9628" hidden="1">
      <c r="F9628" s="1" t="str">
        <f t="shared" si="1"/>
        <v/>
      </c>
      <c r="G9628" s="1" t="str">
        <f t="shared" si="2"/>
        <v/>
      </c>
      <c r="J9628" s="1" t="str">
        <f t="shared" si="3"/>
        <v/>
      </c>
      <c r="K9628" s="1" t="str">
        <f t="shared" si="4"/>
        <v/>
      </c>
    </row>
    <row r="9629" hidden="1">
      <c r="F9629" s="1" t="str">
        <f t="shared" si="1"/>
        <v/>
      </c>
      <c r="G9629" s="1" t="str">
        <f t="shared" si="2"/>
        <v/>
      </c>
      <c r="J9629" s="1" t="str">
        <f t="shared" si="3"/>
        <v/>
      </c>
      <c r="K9629" s="1" t="str">
        <f t="shared" si="4"/>
        <v/>
      </c>
    </row>
    <row r="9630" hidden="1">
      <c r="F9630" s="1" t="str">
        <f t="shared" si="1"/>
        <v/>
      </c>
      <c r="G9630" s="1" t="str">
        <f t="shared" si="2"/>
        <v/>
      </c>
      <c r="J9630" s="1" t="str">
        <f t="shared" si="3"/>
        <v/>
      </c>
      <c r="K9630" s="1" t="str">
        <f t="shared" si="4"/>
        <v/>
      </c>
    </row>
    <row r="9631" hidden="1">
      <c r="F9631" s="1" t="str">
        <f t="shared" si="1"/>
        <v/>
      </c>
      <c r="G9631" s="1" t="str">
        <f t="shared" si="2"/>
        <v/>
      </c>
      <c r="J9631" s="1" t="str">
        <f t="shared" si="3"/>
        <v/>
      </c>
      <c r="K9631" s="1" t="str">
        <f t="shared" si="4"/>
        <v/>
      </c>
    </row>
    <row r="9632" hidden="1">
      <c r="F9632" s="1" t="str">
        <f t="shared" si="1"/>
        <v/>
      </c>
      <c r="G9632" s="1" t="str">
        <f t="shared" si="2"/>
        <v/>
      </c>
      <c r="J9632" s="1" t="str">
        <f t="shared" si="3"/>
        <v/>
      </c>
      <c r="K9632" s="1" t="str">
        <f t="shared" si="4"/>
        <v/>
      </c>
    </row>
    <row r="9633" hidden="1">
      <c r="F9633" s="1" t="str">
        <f t="shared" si="1"/>
        <v/>
      </c>
      <c r="G9633" s="1" t="str">
        <f t="shared" si="2"/>
        <v/>
      </c>
      <c r="J9633" s="1" t="str">
        <f t="shared" si="3"/>
        <v/>
      </c>
      <c r="K9633" s="1" t="str">
        <f t="shared" si="4"/>
        <v/>
      </c>
    </row>
    <row r="9634" hidden="1">
      <c r="F9634" s="1" t="str">
        <f t="shared" si="1"/>
        <v/>
      </c>
      <c r="G9634" s="1" t="str">
        <f t="shared" si="2"/>
        <v/>
      </c>
      <c r="J9634" s="1" t="str">
        <f t="shared" si="3"/>
        <v/>
      </c>
      <c r="K9634" s="1" t="str">
        <f t="shared" si="4"/>
        <v/>
      </c>
    </row>
    <row r="9635" hidden="1">
      <c r="F9635" s="1" t="str">
        <f t="shared" si="1"/>
        <v/>
      </c>
      <c r="G9635" s="1" t="str">
        <f t="shared" si="2"/>
        <v/>
      </c>
      <c r="J9635" s="1" t="str">
        <f t="shared" si="3"/>
        <v/>
      </c>
      <c r="K9635" s="1" t="str">
        <f t="shared" si="4"/>
        <v/>
      </c>
    </row>
    <row r="9636" hidden="1">
      <c r="F9636" s="1" t="str">
        <f t="shared" si="1"/>
        <v/>
      </c>
      <c r="G9636" s="1" t="str">
        <f t="shared" si="2"/>
        <v/>
      </c>
      <c r="J9636" s="1" t="str">
        <f t="shared" si="3"/>
        <v/>
      </c>
      <c r="K9636" s="1" t="str">
        <f t="shared" si="4"/>
        <v/>
      </c>
    </row>
    <row r="9637" hidden="1">
      <c r="F9637" s="1" t="str">
        <f t="shared" si="1"/>
        <v/>
      </c>
      <c r="G9637" s="1" t="str">
        <f t="shared" si="2"/>
        <v/>
      </c>
      <c r="J9637" s="1" t="str">
        <f t="shared" si="3"/>
        <v/>
      </c>
      <c r="K9637" s="1" t="str">
        <f t="shared" si="4"/>
        <v/>
      </c>
    </row>
    <row r="9638" hidden="1">
      <c r="F9638" s="1" t="str">
        <f t="shared" si="1"/>
        <v/>
      </c>
      <c r="G9638" s="1" t="str">
        <f t="shared" si="2"/>
        <v/>
      </c>
      <c r="J9638" s="1" t="str">
        <f t="shared" si="3"/>
        <v/>
      </c>
      <c r="K9638" s="1" t="str">
        <f t="shared" si="4"/>
        <v/>
      </c>
    </row>
    <row r="9639" hidden="1">
      <c r="F9639" s="1" t="str">
        <f t="shared" si="1"/>
        <v/>
      </c>
      <c r="G9639" s="1" t="str">
        <f t="shared" si="2"/>
        <v/>
      </c>
      <c r="J9639" s="1" t="str">
        <f t="shared" si="3"/>
        <v/>
      </c>
      <c r="K9639" s="1" t="str">
        <f t="shared" si="4"/>
        <v/>
      </c>
    </row>
    <row r="9640" hidden="1">
      <c r="F9640" s="1" t="str">
        <f t="shared" si="1"/>
        <v/>
      </c>
      <c r="G9640" s="1" t="str">
        <f t="shared" si="2"/>
        <v/>
      </c>
      <c r="J9640" s="1" t="str">
        <f t="shared" si="3"/>
        <v/>
      </c>
      <c r="K9640" s="1" t="str">
        <f t="shared" si="4"/>
        <v/>
      </c>
    </row>
    <row r="9641" hidden="1">
      <c r="F9641" s="1" t="str">
        <f t="shared" si="1"/>
        <v/>
      </c>
      <c r="G9641" s="1" t="str">
        <f t="shared" si="2"/>
        <v/>
      </c>
      <c r="J9641" s="1" t="str">
        <f t="shared" si="3"/>
        <v/>
      </c>
      <c r="K9641" s="1" t="str">
        <f t="shared" si="4"/>
        <v/>
      </c>
    </row>
    <row r="9642" hidden="1">
      <c r="F9642" s="1" t="str">
        <f t="shared" si="1"/>
        <v/>
      </c>
      <c r="G9642" s="1" t="str">
        <f t="shared" si="2"/>
        <v/>
      </c>
      <c r="J9642" s="1" t="str">
        <f t="shared" si="3"/>
        <v/>
      </c>
      <c r="K9642" s="1" t="str">
        <f t="shared" si="4"/>
        <v/>
      </c>
    </row>
    <row r="9643" hidden="1">
      <c r="F9643" s="1" t="str">
        <f t="shared" si="1"/>
        <v/>
      </c>
      <c r="G9643" s="1" t="str">
        <f t="shared" si="2"/>
        <v/>
      </c>
      <c r="J9643" s="1" t="str">
        <f t="shared" si="3"/>
        <v/>
      </c>
      <c r="K9643" s="1" t="str">
        <f t="shared" si="4"/>
        <v/>
      </c>
    </row>
    <row r="9644" hidden="1">
      <c r="F9644" s="1" t="str">
        <f t="shared" si="1"/>
        <v/>
      </c>
      <c r="G9644" s="1" t="str">
        <f t="shared" si="2"/>
        <v/>
      </c>
      <c r="J9644" s="1" t="str">
        <f t="shared" si="3"/>
        <v/>
      </c>
      <c r="K9644" s="1" t="str">
        <f t="shared" si="4"/>
        <v/>
      </c>
    </row>
    <row r="9645" hidden="1">
      <c r="F9645" s="1" t="str">
        <f t="shared" si="1"/>
        <v/>
      </c>
      <c r="G9645" s="1" t="str">
        <f t="shared" si="2"/>
        <v/>
      </c>
      <c r="J9645" s="1" t="str">
        <f t="shared" si="3"/>
        <v/>
      </c>
      <c r="K9645" s="1" t="str">
        <f t="shared" si="4"/>
        <v/>
      </c>
    </row>
    <row r="9646" hidden="1">
      <c r="F9646" s="1" t="str">
        <f t="shared" si="1"/>
        <v/>
      </c>
      <c r="G9646" s="1" t="str">
        <f t="shared" si="2"/>
        <v/>
      </c>
      <c r="J9646" s="1" t="str">
        <f t="shared" si="3"/>
        <v/>
      </c>
      <c r="K9646" s="1" t="str">
        <f t="shared" si="4"/>
        <v/>
      </c>
    </row>
    <row r="9647" hidden="1">
      <c r="F9647" s="1" t="str">
        <f t="shared" si="1"/>
        <v/>
      </c>
      <c r="G9647" s="1" t="str">
        <f t="shared" si="2"/>
        <v/>
      </c>
      <c r="J9647" s="1" t="str">
        <f t="shared" si="3"/>
        <v/>
      </c>
      <c r="K9647" s="1" t="str">
        <f t="shared" si="4"/>
        <v/>
      </c>
    </row>
    <row r="9648" hidden="1">
      <c r="F9648" s="1" t="str">
        <f t="shared" si="1"/>
        <v/>
      </c>
      <c r="G9648" s="1" t="str">
        <f t="shared" si="2"/>
        <v/>
      </c>
      <c r="J9648" s="1" t="str">
        <f t="shared" si="3"/>
        <v/>
      </c>
      <c r="K9648" s="1" t="str">
        <f t="shared" si="4"/>
        <v/>
      </c>
    </row>
    <row r="9649" hidden="1">
      <c r="F9649" s="1" t="str">
        <f t="shared" si="1"/>
        <v/>
      </c>
      <c r="G9649" s="1" t="str">
        <f t="shared" si="2"/>
        <v/>
      </c>
      <c r="J9649" s="1" t="str">
        <f t="shared" si="3"/>
        <v/>
      </c>
      <c r="K9649" s="1" t="str">
        <f t="shared" si="4"/>
        <v/>
      </c>
    </row>
    <row r="9650" hidden="1">
      <c r="F9650" s="1" t="str">
        <f t="shared" si="1"/>
        <v/>
      </c>
      <c r="G9650" s="1" t="str">
        <f t="shared" si="2"/>
        <v/>
      </c>
      <c r="J9650" s="1" t="str">
        <f t="shared" si="3"/>
        <v/>
      </c>
      <c r="K9650" s="1" t="str">
        <f t="shared" si="4"/>
        <v/>
      </c>
    </row>
    <row r="9651" hidden="1">
      <c r="F9651" s="1" t="str">
        <f t="shared" si="1"/>
        <v/>
      </c>
      <c r="G9651" s="1" t="str">
        <f t="shared" si="2"/>
        <v/>
      </c>
      <c r="J9651" s="1" t="str">
        <f t="shared" si="3"/>
        <v/>
      </c>
      <c r="K9651" s="1" t="str">
        <f t="shared" si="4"/>
        <v/>
      </c>
    </row>
    <row r="9652" hidden="1">
      <c r="F9652" s="1" t="str">
        <f t="shared" si="1"/>
        <v/>
      </c>
      <c r="G9652" s="1" t="str">
        <f t="shared" si="2"/>
        <v/>
      </c>
      <c r="J9652" s="1" t="str">
        <f t="shared" si="3"/>
        <v/>
      </c>
      <c r="K9652" s="1" t="str">
        <f t="shared" si="4"/>
        <v/>
      </c>
    </row>
    <row r="9653" hidden="1">
      <c r="F9653" s="1" t="str">
        <f t="shared" si="1"/>
        <v/>
      </c>
      <c r="G9653" s="1" t="str">
        <f t="shared" si="2"/>
        <v/>
      </c>
      <c r="J9653" s="1" t="str">
        <f t="shared" si="3"/>
        <v/>
      </c>
      <c r="K9653" s="1" t="str">
        <f t="shared" si="4"/>
        <v/>
      </c>
    </row>
    <row r="9654" hidden="1">
      <c r="F9654" s="1" t="str">
        <f t="shared" si="1"/>
        <v/>
      </c>
      <c r="G9654" s="1" t="str">
        <f t="shared" si="2"/>
        <v/>
      </c>
      <c r="J9654" s="1" t="str">
        <f t="shared" si="3"/>
        <v/>
      </c>
      <c r="K9654" s="1" t="str">
        <f t="shared" si="4"/>
        <v/>
      </c>
    </row>
    <row r="9655" hidden="1">
      <c r="F9655" s="1" t="str">
        <f t="shared" si="1"/>
        <v/>
      </c>
      <c r="G9655" s="1" t="str">
        <f t="shared" si="2"/>
        <v/>
      </c>
      <c r="J9655" s="1" t="str">
        <f t="shared" si="3"/>
        <v/>
      </c>
      <c r="K9655" s="1" t="str">
        <f t="shared" si="4"/>
        <v/>
      </c>
    </row>
    <row r="9656" hidden="1">
      <c r="F9656" s="1" t="str">
        <f t="shared" si="1"/>
        <v/>
      </c>
      <c r="G9656" s="1" t="str">
        <f t="shared" si="2"/>
        <v/>
      </c>
      <c r="J9656" s="1" t="str">
        <f t="shared" si="3"/>
        <v/>
      </c>
      <c r="K9656" s="1" t="str">
        <f t="shared" si="4"/>
        <v/>
      </c>
    </row>
    <row r="9657" hidden="1">
      <c r="F9657" s="1" t="str">
        <f t="shared" si="1"/>
        <v/>
      </c>
      <c r="G9657" s="1" t="str">
        <f t="shared" si="2"/>
        <v/>
      </c>
      <c r="J9657" s="1" t="str">
        <f t="shared" si="3"/>
        <v/>
      </c>
      <c r="K9657" s="1" t="str">
        <f t="shared" si="4"/>
        <v/>
      </c>
    </row>
    <row r="9658" hidden="1">
      <c r="F9658" s="1" t="str">
        <f t="shared" si="1"/>
        <v/>
      </c>
      <c r="G9658" s="1" t="str">
        <f t="shared" si="2"/>
        <v/>
      </c>
      <c r="J9658" s="1" t="str">
        <f t="shared" si="3"/>
        <v/>
      </c>
      <c r="K9658" s="1" t="str">
        <f t="shared" si="4"/>
        <v/>
      </c>
    </row>
    <row r="9659" hidden="1">
      <c r="F9659" s="1" t="str">
        <f t="shared" si="1"/>
        <v/>
      </c>
      <c r="G9659" s="1" t="str">
        <f t="shared" si="2"/>
        <v/>
      </c>
      <c r="J9659" s="1" t="str">
        <f t="shared" si="3"/>
        <v/>
      </c>
      <c r="K9659" s="1" t="str">
        <f t="shared" si="4"/>
        <v/>
      </c>
    </row>
    <row r="9660" hidden="1">
      <c r="F9660" s="1" t="str">
        <f t="shared" si="1"/>
        <v/>
      </c>
      <c r="G9660" s="1" t="str">
        <f t="shared" si="2"/>
        <v/>
      </c>
      <c r="J9660" s="1" t="str">
        <f t="shared" si="3"/>
        <v/>
      </c>
      <c r="K9660" s="1" t="str">
        <f t="shared" si="4"/>
        <v/>
      </c>
    </row>
    <row r="9661" hidden="1">
      <c r="F9661" s="1" t="str">
        <f t="shared" si="1"/>
        <v/>
      </c>
      <c r="G9661" s="1" t="str">
        <f t="shared" si="2"/>
        <v/>
      </c>
      <c r="J9661" s="1" t="str">
        <f t="shared" si="3"/>
        <v/>
      </c>
      <c r="K9661" s="1" t="str">
        <f t="shared" si="4"/>
        <v/>
      </c>
    </row>
    <row r="9662" hidden="1">
      <c r="F9662" s="1" t="str">
        <f t="shared" si="1"/>
        <v/>
      </c>
      <c r="G9662" s="1" t="str">
        <f t="shared" si="2"/>
        <v/>
      </c>
      <c r="J9662" s="1" t="str">
        <f t="shared" si="3"/>
        <v/>
      </c>
      <c r="K9662" s="1" t="str">
        <f t="shared" si="4"/>
        <v/>
      </c>
    </row>
    <row r="9663" hidden="1">
      <c r="F9663" s="1" t="str">
        <f t="shared" si="1"/>
        <v/>
      </c>
      <c r="G9663" s="1" t="str">
        <f t="shared" si="2"/>
        <v/>
      </c>
      <c r="J9663" s="1" t="str">
        <f t="shared" si="3"/>
        <v/>
      </c>
      <c r="K9663" s="1" t="str">
        <f t="shared" si="4"/>
        <v/>
      </c>
    </row>
    <row r="9664" hidden="1">
      <c r="F9664" s="1" t="str">
        <f t="shared" si="1"/>
        <v/>
      </c>
      <c r="G9664" s="1" t="str">
        <f t="shared" si="2"/>
        <v/>
      </c>
      <c r="J9664" s="1" t="str">
        <f t="shared" si="3"/>
        <v/>
      </c>
      <c r="K9664" s="1" t="str">
        <f t="shared" si="4"/>
        <v/>
      </c>
    </row>
    <row r="9665" hidden="1">
      <c r="F9665" s="1" t="str">
        <f t="shared" si="1"/>
        <v/>
      </c>
      <c r="G9665" s="1" t="str">
        <f t="shared" si="2"/>
        <v/>
      </c>
      <c r="J9665" s="1" t="str">
        <f t="shared" si="3"/>
        <v/>
      </c>
      <c r="K9665" s="1" t="str">
        <f t="shared" si="4"/>
        <v/>
      </c>
    </row>
    <row r="9666" hidden="1">
      <c r="F9666" s="1" t="str">
        <f t="shared" si="1"/>
        <v/>
      </c>
      <c r="G9666" s="1" t="str">
        <f t="shared" si="2"/>
        <v/>
      </c>
      <c r="J9666" s="1" t="str">
        <f t="shared" si="3"/>
        <v/>
      </c>
      <c r="K9666" s="1" t="str">
        <f t="shared" si="4"/>
        <v/>
      </c>
    </row>
    <row r="9667" hidden="1">
      <c r="F9667" s="1" t="str">
        <f t="shared" si="1"/>
        <v/>
      </c>
      <c r="G9667" s="1" t="str">
        <f t="shared" si="2"/>
        <v/>
      </c>
      <c r="J9667" s="1" t="str">
        <f t="shared" si="3"/>
        <v/>
      </c>
      <c r="K9667" s="1" t="str">
        <f t="shared" si="4"/>
        <v/>
      </c>
    </row>
    <row r="9668" hidden="1">
      <c r="F9668" s="1" t="str">
        <f t="shared" si="1"/>
        <v/>
      </c>
      <c r="G9668" s="1" t="str">
        <f t="shared" si="2"/>
        <v/>
      </c>
      <c r="J9668" s="1" t="str">
        <f t="shared" si="3"/>
        <v/>
      </c>
      <c r="K9668" s="1" t="str">
        <f t="shared" si="4"/>
        <v/>
      </c>
    </row>
    <row r="9669" hidden="1">
      <c r="F9669" s="1" t="str">
        <f t="shared" si="1"/>
        <v/>
      </c>
      <c r="G9669" s="1" t="str">
        <f t="shared" si="2"/>
        <v/>
      </c>
      <c r="J9669" s="1" t="str">
        <f t="shared" si="3"/>
        <v/>
      </c>
      <c r="K9669" s="1" t="str">
        <f t="shared" si="4"/>
        <v/>
      </c>
    </row>
    <row r="9670" hidden="1">
      <c r="F9670" s="1" t="str">
        <f t="shared" si="1"/>
        <v/>
      </c>
      <c r="G9670" s="1" t="str">
        <f t="shared" si="2"/>
        <v/>
      </c>
      <c r="J9670" s="1" t="str">
        <f t="shared" si="3"/>
        <v/>
      </c>
      <c r="K9670" s="1" t="str">
        <f t="shared" si="4"/>
        <v/>
      </c>
    </row>
    <row r="9671" hidden="1">
      <c r="F9671" s="1" t="str">
        <f t="shared" si="1"/>
        <v/>
      </c>
      <c r="G9671" s="1" t="str">
        <f t="shared" si="2"/>
        <v/>
      </c>
      <c r="J9671" s="1" t="str">
        <f t="shared" si="3"/>
        <v/>
      </c>
      <c r="K9671" s="1" t="str">
        <f t="shared" si="4"/>
        <v/>
      </c>
    </row>
    <row r="9672" hidden="1">
      <c r="F9672" s="1" t="str">
        <f t="shared" si="1"/>
        <v/>
      </c>
      <c r="G9672" s="1" t="str">
        <f t="shared" si="2"/>
        <v/>
      </c>
      <c r="J9672" s="1" t="str">
        <f t="shared" si="3"/>
        <v/>
      </c>
      <c r="K9672" s="1" t="str">
        <f t="shared" si="4"/>
        <v/>
      </c>
    </row>
    <row r="9673" hidden="1">
      <c r="F9673" s="1" t="str">
        <f t="shared" si="1"/>
        <v/>
      </c>
      <c r="G9673" s="1" t="str">
        <f t="shared" si="2"/>
        <v/>
      </c>
      <c r="J9673" s="1" t="str">
        <f t="shared" si="3"/>
        <v/>
      </c>
      <c r="K9673" s="1" t="str">
        <f t="shared" si="4"/>
        <v/>
      </c>
    </row>
    <row r="9674" hidden="1">
      <c r="F9674" s="1" t="str">
        <f t="shared" si="1"/>
        <v/>
      </c>
      <c r="G9674" s="1" t="str">
        <f t="shared" si="2"/>
        <v/>
      </c>
      <c r="J9674" s="1" t="str">
        <f t="shared" si="3"/>
        <v/>
      </c>
      <c r="K9674" s="1" t="str">
        <f t="shared" si="4"/>
        <v/>
      </c>
    </row>
    <row r="9675" hidden="1">
      <c r="F9675" s="1" t="str">
        <f t="shared" si="1"/>
        <v/>
      </c>
      <c r="G9675" s="1" t="str">
        <f t="shared" si="2"/>
        <v/>
      </c>
      <c r="J9675" s="1" t="str">
        <f t="shared" si="3"/>
        <v/>
      </c>
      <c r="K9675" s="1" t="str">
        <f t="shared" si="4"/>
        <v/>
      </c>
    </row>
    <row r="9676" hidden="1">
      <c r="F9676" s="1" t="str">
        <f t="shared" si="1"/>
        <v/>
      </c>
      <c r="G9676" s="1" t="str">
        <f t="shared" si="2"/>
        <v/>
      </c>
      <c r="J9676" s="1" t="str">
        <f t="shared" si="3"/>
        <v/>
      </c>
      <c r="K9676" s="1" t="str">
        <f t="shared" si="4"/>
        <v/>
      </c>
    </row>
    <row r="9677" hidden="1">
      <c r="F9677" s="1" t="str">
        <f t="shared" si="1"/>
        <v/>
      </c>
      <c r="G9677" s="1" t="str">
        <f t="shared" si="2"/>
        <v/>
      </c>
      <c r="J9677" s="1" t="str">
        <f t="shared" si="3"/>
        <v/>
      </c>
      <c r="K9677" s="1" t="str">
        <f t="shared" si="4"/>
        <v/>
      </c>
    </row>
    <row r="9678" hidden="1">
      <c r="F9678" s="1" t="str">
        <f t="shared" si="1"/>
        <v/>
      </c>
      <c r="G9678" s="1" t="str">
        <f t="shared" si="2"/>
        <v/>
      </c>
      <c r="J9678" s="1" t="str">
        <f t="shared" si="3"/>
        <v/>
      </c>
      <c r="K9678" s="1" t="str">
        <f t="shared" si="4"/>
        <v/>
      </c>
    </row>
    <row r="9679" hidden="1">
      <c r="F9679" s="1" t="str">
        <f t="shared" si="1"/>
        <v/>
      </c>
      <c r="G9679" s="1" t="str">
        <f t="shared" si="2"/>
        <v/>
      </c>
      <c r="J9679" s="1" t="str">
        <f t="shared" si="3"/>
        <v/>
      </c>
      <c r="K9679" s="1" t="str">
        <f t="shared" si="4"/>
        <v/>
      </c>
    </row>
    <row r="9680" hidden="1">
      <c r="F9680" s="1" t="str">
        <f t="shared" si="1"/>
        <v/>
      </c>
      <c r="G9680" s="1" t="str">
        <f t="shared" si="2"/>
        <v/>
      </c>
      <c r="J9680" s="1" t="str">
        <f t="shared" si="3"/>
        <v/>
      </c>
      <c r="K9680" s="1" t="str">
        <f t="shared" si="4"/>
        <v/>
      </c>
    </row>
    <row r="9681" hidden="1">
      <c r="F9681" s="1" t="str">
        <f t="shared" si="1"/>
        <v/>
      </c>
      <c r="G9681" s="1" t="str">
        <f t="shared" si="2"/>
        <v/>
      </c>
      <c r="J9681" s="1" t="str">
        <f t="shared" si="3"/>
        <v/>
      </c>
      <c r="K9681" s="1" t="str">
        <f t="shared" si="4"/>
        <v/>
      </c>
    </row>
    <row r="9682" hidden="1">
      <c r="F9682" s="1" t="str">
        <f t="shared" si="1"/>
        <v/>
      </c>
      <c r="G9682" s="1" t="str">
        <f t="shared" si="2"/>
        <v/>
      </c>
      <c r="J9682" s="1" t="str">
        <f t="shared" si="3"/>
        <v/>
      </c>
      <c r="K9682" s="1" t="str">
        <f t="shared" si="4"/>
        <v/>
      </c>
    </row>
    <row r="9683" hidden="1">
      <c r="F9683" s="1" t="str">
        <f t="shared" si="1"/>
        <v/>
      </c>
      <c r="G9683" s="1" t="str">
        <f t="shared" si="2"/>
        <v/>
      </c>
      <c r="J9683" s="1" t="str">
        <f t="shared" si="3"/>
        <v/>
      </c>
      <c r="K9683" s="1" t="str">
        <f t="shared" si="4"/>
        <v/>
      </c>
    </row>
    <row r="9684" hidden="1">
      <c r="F9684" s="1" t="str">
        <f t="shared" si="1"/>
        <v/>
      </c>
      <c r="G9684" s="1" t="str">
        <f t="shared" si="2"/>
        <v/>
      </c>
      <c r="J9684" s="1" t="str">
        <f t="shared" si="3"/>
        <v/>
      </c>
      <c r="K9684" s="1" t="str">
        <f t="shared" si="4"/>
        <v/>
      </c>
    </row>
    <row r="9685" hidden="1">
      <c r="F9685" s="1" t="str">
        <f t="shared" si="1"/>
        <v/>
      </c>
      <c r="G9685" s="1" t="str">
        <f t="shared" si="2"/>
        <v/>
      </c>
      <c r="J9685" s="1" t="str">
        <f t="shared" si="3"/>
        <v/>
      </c>
      <c r="K9685" s="1" t="str">
        <f t="shared" si="4"/>
        <v/>
      </c>
    </row>
    <row r="9686" hidden="1">
      <c r="F9686" s="1" t="str">
        <f t="shared" si="1"/>
        <v/>
      </c>
      <c r="G9686" s="1" t="str">
        <f t="shared" si="2"/>
        <v/>
      </c>
      <c r="J9686" s="1" t="str">
        <f t="shared" si="3"/>
        <v/>
      </c>
      <c r="K9686" s="1" t="str">
        <f t="shared" si="4"/>
        <v/>
      </c>
    </row>
    <row r="9687" hidden="1">
      <c r="F9687" s="1" t="str">
        <f t="shared" si="1"/>
        <v/>
      </c>
      <c r="G9687" s="1" t="str">
        <f t="shared" si="2"/>
        <v/>
      </c>
      <c r="J9687" s="1" t="str">
        <f t="shared" si="3"/>
        <v/>
      </c>
      <c r="K9687" s="1" t="str">
        <f t="shared" si="4"/>
        <v/>
      </c>
    </row>
    <row r="9688" hidden="1">
      <c r="F9688" s="1" t="str">
        <f t="shared" si="1"/>
        <v/>
      </c>
      <c r="G9688" s="1" t="str">
        <f t="shared" si="2"/>
        <v/>
      </c>
      <c r="J9688" s="1" t="str">
        <f t="shared" si="3"/>
        <v/>
      </c>
      <c r="K9688" s="1" t="str">
        <f t="shared" si="4"/>
        <v/>
      </c>
    </row>
    <row r="9689" hidden="1">
      <c r="F9689" s="1" t="str">
        <f t="shared" si="1"/>
        <v/>
      </c>
      <c r="G9689" s="1" t="str">
        <f t="shared" si="2"/>
        <v/>
      </c>
      <c r="J9689" s="1" t="str">
        <f t="shared" si="3"/>
        <v/>
      </c>
      <c r="K9689" s="1" t="str">
        <f t="shared" si="4"/>
        <v/>
      </c>
    </row>
    <row r="9690" hidden="1">
      <c r="F9690" s="1" t="str">
        <f t="shared" si="1"/>
        <v/>
      </c>
      <c r="G9690" s="1" t="str">
        <f t="shared" si="2"/>
        <v/>
      </c>
      <c r="J9690" s="1" t="str">
        <f t="shared" si="3"/>
        <v/>
      </c>
      <c r="K9690" s="1" t="str">
        <f t="shared" si="4"/>
        <v/>
      </c>
    </row>
    <row r="9691" hidden="1">
      <c r="F9691" s="1" t="str">
        <f t="shared" si="1"/>
        <v/>
      </c>
      <c r="G9691" s="1" t="str">
        <f t="shared" si="2"/>
        <v/>
      </c>
      <c r="J9691" s="1" t="str">
        <f t="shared" si="3"/>
        <v/>
      </c>
      <c r="K9691" s="1" t="str">
        <f t="shared" si="4"/>
        <v/>
      </c>
    </row>
    <row r="9692" hidden="1">
      <c r="F9692" s="1" t="str">
        <f t="shared" si="1"/>
        <v/>
      </c>
      <c r="G9692" s="1" t="str">
        <f t="shared" si="2"/>
        <v/>
      </c>
      <c r="J9692" s="1" t="str">
        <f t="shared" si="3"/>
        <v/>
      </c>
      <c r="K9692" s="1" t="str">
        <f t="shared" si="4"/>
        <v/>
      </c>
    </row>
    <row r="9693" hidden="1">
      <c r="F9693" s="1" t="str">
        <f t="shared" si="1"/>
        <v/>
      </c>
      <c r="G9693" s="1" t="str">
        <f t="shared" si="2"/>
        <v/>
      </c>
      <c r="J9693" s="1" t="str">
        <f t="shared" si="3"/>
        <v/>
      </c>
      <c r="K9693" s="1" t="str">
        <f t="shared" si="4"/>
        <v/>
      </c>
    </row>
    <row r="9694" hidden="1">
      <c r="F9694" s="1" t="str">
        <f t="shared" si="1"/>
        <v/>
      </c>
      <c r="G9694" s="1" t="str">
        <f t="shared" si="2"/>
        <v/>
      </c>
      <c r="J9694" s="1" t="str">
        <f t="shared" si="3"/>
        <v/>
      </c>
      <c r="K9694" s="1" t="str">
        <f t="shared" si="4"/>
        <v/>
      </c>
    </row>
    <row r="9695" hidden="1">
      <c r="F9695" s="1" t="str">
        <f t="shared" si="1"/>
        <v/>
      </c>
      <c r="G9695" s="1" t="str">
        <f t="shared" si="2"/>
        <v/>
      </c>
      <c r="J9695" s="1" t="str">
        <f t="shared" si="3"/>
        <v/>
      </c>
      <c r="K9695" s="1" t="str">
        <f t="shared" si="4"/>
        <v/>
      </c>
    </row>
    <row r="9696" hidden="1">
      <c r="F9696" s="1" t="str">
        <f t="shared" si="1"/>
        <v/>
      </c>
      <c r="G9696" s="1" t="str">
        <f t="shared" si="2"/>
        <v/>
      </c>
      <c r="J9696" s="1" t="str">
        <f t="shared" si="3"/>
        <v/>
      </c>
      <c r="K9696" s="1" t="str">
        <f t="shared" si="4"/>
        <v/>
      </c>
    </row>
    <row r="9697" hidden="1">
      <c r="F9697" s="1" t="str">
        <f t="shared" si="1"/>
        <v/>
      </c>
      <c r="G9697" s="1" t="str">
        <f t="shared" si="2"/>
        <v/>
      </c>
      <c r="J9697" s="1" t="str">
        <f t="shared" si="3"/>
        <v/>
      </c>
      <c r="K9697" s="1" t="str">
        <f t="shared" si="4"/>
        <v/>
      </c>
    </row>
    <row r="9698" hidden="1">
      <c r="F9698" s="1" t="str">
        <f t="shared" si="1"/>
        <v/>
      </c>
      <c r="G9698" s="1" t="str">
        <f t="shared" si="2"/>
        <v/>
      </c>
      <c r="J9698" s="1" t="str">
        <f t="shared" si="3"/>
        <v/>
      </c>
      <c r="K9698" s="1" t="str">
        <f t="shared" si="4"/>
        <v/>
      </c>
    </row>
    <row r="9699" hidden="1">
      <c r="F9699" s="1" t="str">
        <f t="shared" si="1"/>
        <v/>
      </c>
      <c r="G9699" s="1" t="str">
        <f t="shared" si="2"/>
        <v/>
      </c>
      <c r="J9699" s="1" t="str">
        <f t="shared" si="3"/>
        <v/>
      </c>
      <c r="K9699" s="1" t="str">
        <f t="shared" si="4"/>
        <v/>
      </c>
    </row>
    <row r="9700" hidden="1">
      <c r="F9700" s="1" t="str">
        <f t="shared" si="1"/>
        <v/>
      </c>
      <c r="G9700" s="1" t="str">
        <f t="shared" si="2"/>
        <v/>
      </c>
      <c r="J9700" s="1" t="str">
        <f t="shared" si="3"/>
        <v/>
      </c>
      <c r="K9700" s="1" t="str">
        <f t="shared" si="4"/>
        <v/>
      </c>
    </row>
    <row r="9701" hidden="1">
      <c r="F9701" s="1" t="str">
        <f t="shared" si="1"/>
        <v/>
      </c>
      <c r="G9701" s="1" t="str">
        <f t="shared" si="2"/>
        <v/>
      </c>
      <c r="J9701" s="1" t="str">
        <f t="shared" si="3"/>
        <v/>
      </c>
      <c r="K9701" s="1" t="str">
        <f t="shared" si="4"/>
        <v/>
      </c>
    </row>
    <row r="9702" hidden="1">
      <c r="F9702" s="1" t="str">
        <f t="shared" si="1"/>
        <v/>
      </c>
      <c r="G9702" s="1" t="str">
        <f t="shared" si="2"/>
        <v/>
      </c>
      <c r="J9702" s="1" t="str">
        <f t="shared" si="3"/>
        <v/>
      </c>
      <c r="K9702" s="1" t="str">
        <f t="shared" si="4"/>
        <v/>
      </c>
    </row>
    <row r="9703" hidden="1">
      <c r="F9703" s="1" t="str">
        <f t="shared" si="1"/>
        <v/>
      </c>
      <c r="G9703" s="1" t="str">
        <f t="shared" si="2"/>
        <v/>
      </c>
      <c r="J9703" s="1" t="str">
        <f t="shared" si="3"/>
        <v/>
      </c>
      <c r="K9703" s="1" t="str">
        <f t="shared" si="4"/>
        <v/>
      </c>
    </row>
    <row r="9704" hidden="1">
      <c r="F9704" s="1" t="str">
        <f t="shared" si="1"/>
        <v/>
      </c>
      <c r="G9704" s="1" t="str">
        <f t="shared" si="2"/>
        <v/>
      </c>
      <c r="J9704" s="1" t="str">
        <f t="shared" si="3"/>
        <v/>
      </c>
      <c r="K9704" s="1" t="str">
        <f t="shared" si="4"/>
        <v/>
      </c>
    </row>
    <row r="9705" hidden="1">
      <c r="F9705" s="1" t="str">
        <f t="shared" si="1"/>
        <v/>
      </c>
      <c r="G9705" s="1" t="str">
        <f t="shared" si="2"/>
        <v/>
      </c>
      <c r="J9705" s="1" t="str">
        <f t="shared" si="3"/>
        <v/>
      </c>
      <c r="K9705" s="1" t="str">
        <f t="shared" si="4"/>
        <v/>
      </c>
    </row>
    <row r="9706" hidden="1">
      <c r="F9706" s="1" t="str">
        <f t="shared" si="1"/>
        <v/>
      </c>
      <c r="G9706" s="1" t="str">
        <f t="shared" si="2"/>
        <v/>
      </c>
      <c r="J9706" s="1" t="str">
        <f t="shared" si="3"/>
        <v/>
      </c>
      <c r="K9706" s="1" t="str">
        <f t="shared" si="4"/>
        <v/>
      </c>
    </row>
    <row r="9707" hidden="1">
      <c r="F9707" s="1" t="str">
        <f t="shared" si="1"/>
        <v/>
      </c>
      <c r="G9707" s="1" t="str">
        <f t="shared" si="2"/>
        <v/>
      </c>
      <c r="J9707" s="1" t="str">
        <f t="shared" si="3"/>
        <v/>
      </c>
      <c r="K9707" s="1" t="str">
        <f t="shared" si="4"/>
        <v/>
      </c>
    </row>
    <row r="9708" hidden="1">
      <c r="F9708" s="1" t="str">
        <f t="shared" si="1"/>
        <v/>
      </c>
      <c r="G9708" s="1" t="str">
        <f t="shared" si="2"/>
        <v/>
      </c>
      <c r="J9708" s="1" t="str">
        <f t="shared" si="3"/>
        <v/>
      </c>
      <c r="K9708" s="1" t="str">
        <f t="shared" si="4"/>
        <v/>
      </c>
    </row>
    <row r="9709" hidden="1">
      <c r="F9709" s="1" t="str">
        <f t="shared" si="1"/>
        <v/>
      </c>
      <c r="G9709" s="1" t="str">
        <f t="shared" si="2"/>
        <v/>
      </c>
      <c r="J9709" s="1" t="str">
        <f t="shared" si="3"/>
        <v/>
      </c>
      <c r="K9709" s="1" t="str">
        <f t="shared" si="4"/>
        <v/>
      </c>
    </row>
    <row r="9710" hidden="1">
      <c r="F9710" s="1" t="str">
        <f t="shared" si="1"/>
        <v/>
      </c>
      <c r="G9710" s="1" t="str">
        <f t="shared" si="2"/>
        <v/>
      </c>
      <c r="J9710" s="1" t="str">
        <f t="shared" si="3"/>
        <v/>
      </c>
      <c r="K9710" s="1" t="str">
        <f t="shared" si="4"/>
        <v/>
      </c>
    </row>
    <row r="9711" hidden="1">
      <c r="F9711" s="1" t="str">
        <f t="shared" si="1"/>
        <v/>
      </c>
      <c r="G9711" s="1" t="str">
        <f t="shared" si="2"/>
        <v/>
      </c>
      <c r="J9711" s="1" t="str">
        <f t="shared" si="3"/>
        <v/>
      </c>
      <c r="K9711" s="1" t="str">
        <f t="shared" si="4"/>
        <v/>
      </c>
    </row>
    <row r="9712" hidden="1">
      <c r="F9712" s="1" t="str">
        <f t="shared" si="1"/>
        <v/>
      </c>
      <c r="G9712" s="1" t="str">
        <f t="shared" si="2"/>
        <v/>
      </c>
      <c r="J9712" s="1" t="str">
        <f t="shared" si="3"/>
        <v/>
      </c>
      <c r="K9712" s="1" t="str">
        <f t="shared" si="4"/>
        <v/>
      </c>
    </row>
    <row r="9713" hidden="1">
      <c r="F9713" s="1" t="str">
        <f t="shared" si="1"/>
        <v/>
      </c>
      <c r="G9713" s="1" t="str">
        <f t="shared" si="2"/>
        <v/>
      </c>
      <c r="J9713" s="1" t="str">
        <f t="shared" si="3"/>
        <v/>
      </c>
      <c r="K9713" s="1" t="str">
        <f t="shared" si="4"/>
        <v/>
      </c>
    </row>
    <row r="9714" hidden="1">
      <c r="F9714" s="1" t="str">
        <f t="shared" si="1"/>
        <v/>
      </c>
      <c r="G9714" s="1" t="str">
        <f t="shared" si="2"/>
        <v/>
      </c>
      <c r="J9714" s="1" t="str">
        <f t="shared" si="3"/>
        <v/>
      </c>
      <c r="K9714" s="1" t="str">
        <f t="shared" si="4"/>
        <v/>
      </c>
    </row>
    <row r="9715" hidden="1">
      <c r="F9715" s="1" t="str">
        <f t="shared" si="1"/>
        <v/>
      </c>
      <c r="G9715" s="1" t="str">
        <f t="shared" si="2"/>
        <v/>
      </c>
      <c r="J9715" s="1" t="str">
        <f t="shared" si="3"/>
        <v/>
      </c>
      <c r="K9715" s="1" t="str">
        <f t="shared" si="4"/>
        <v/>
      </c>
    </row>
    <row r="9716" hidden="1">
      <c r="F9716" s="1" t="str">
        <f t="shared" si="1"/>
        <v/>
      </c>
      <c r="G9716" s="1" t="str">
        <f t="shared" si="2"/>
        <v/>
      </c>
      <c r="J9716" s="1" t="str">
        <f t="shared" si="3"/>
        <v/>
      </c>
      <c r="K9716" s="1" t="str">
        <f t="shared" si="4"/>
        <v/>
      </c>
    </row>
    <row r="9717" hidden="1">
      <c r="F9717" s="1" t="str">
        <f t="shared" si="1"/>
        <v/>
      </c>
      <c r="G9717" s="1" t="str">
        <f t="shared" si="2"/>
        <v/>
      </c>
      <c r="J9717" s="1" t="str">
        <f t="shared" si="3"/>
        <v/>
      </c>
      <c r="K9717" s="1" t="str">
        <f t="shared" si="4"/>
        <v/>
      </c>
    </row>
    <row r="9718" hidden="1">
      <c r="F9718" s="1" t="str">
        <f t="shared" si="1"/>
        <v/>
      </c>
      <c r="G9718" s="1" t="str">
        <f t="shared" si="2"/>
        <v/>
      </c>
      <c r="J9718" s="1" t="str">
        <f t="shared" si="3"/>
        <v/>
      </c>
      <c r="K9718" s="1" t="str">
        <f t="shared" si="4"/>
        <v/>
      </c>
    </row>
    <row r="9719" hidden="1">
      <c r="F9719" s="1" t="str">
        <f t="shared" si="1"/>
        <v/>
      </c>
      <c r="G9719" s="1" t="str">
        <f t="shared" si="2"/>
        <v/>
      </c>
      <c r="J9719" s="1" t="str">
        <f t="shared" si="3"/>
        <v/>
      </c>
      <c r="K9719" s="1" t="str">
        <f t="shared" si="4"/>
        <v/>
      </c>
    </row>
    <row r="9720" hidden="1">
      <c r="F9720" s="1" t="str">
        <f t="shared" si="1"/>
        <v/>
      </c>
      <c r="G9720" s="1" t="str">
        <f t="shared" si="2"/>
        <v/>
      </c>
      <c r="J9720" s="1" t="str">
        <f t="shared" si="3"/>
        <v/>
      </c>
      <c r="K9720" s="1" t="str">
        <f t="shared" si="4"/>
        <v/>
      </c>
    </row>
    <row r="9721" hidden="1">
      <c r="F9721" s="1" t="str">
        <f t="shared" si="1"/>
        <v/>
      </c>
      <c r="G9721" s="1" t="str">
        <f t="shared" si="2"/>
        <v/>
      </c>
      <c r="J9721" s="1" t="str">
        <f t="shared" si="3"/>
        <v/>
      </c>
      <c r="K9721" s="1" t="str">
        <f t="shared" si="4"/>
        <v/>
      </c>
    </row>
    <row r="9722" hidden="1">
      <c r="F9722" s="1" t="str">
        <f t="shared" si="1"/>
        <v/>
      </c>
      <c r="G9722" s="1" t="str">
        <f t="shared" si="2"/>
        <v/>
      </c>
      <c r="J9722" s="1" t="str">
        <f t="shared" si="3"/>
        <v/>
      </c>
      <c r="K9722" s="1" t="str">
        <f t="shared" si="4"/>
        <v/>
      </c>
    </row>
    <row r="9723" hidden="1">
      <c r="F9723" s="1" t="str">
        <f t="shared" si="1"/>
        <v/>
      </c>
      <c r="G9723" s="1" t="str">
        <f t="shared" si="2"/>
        <v/>
      </c>
      <c r="J9723" s="1" t="str">
        <f t="shared" si="3"/>
        <v/>
      </c>
      <c r="K9723" s="1" t="str">
        <f t="shared" si="4"/>
        <v/>
      </c>
    </row>
    <row r="9724" hidden="1">
      <c r="F9724" s="1" t="str">
        <f t="shared" si="1"/>
        <v/>
      </c>
      <c r="G9724" s="1" t="str">
        <f t="shared" si="2"/>
        <v/>
      </c>
      <c r="J9724" s="1" t="str">
        <f t="shared" si="3"/>
        <v/>
      </c>
      <c r="K9724" s="1" t="str">
        <f t="shared" si="4"/>
        <v/>
      </c>
    </row>
    <row r="9725" hidden="1">
      <c r="F9725" s="1" t="str">
        <f t="shared" si="1"/>
        <v/>
      </c>
      <c r="G9725" s="1" t="str">
        <f t="shared" si="2"/>
        <v/>
      </c>
      <c r="J9725" s="1" t="str">
        <f t="shared" si="3"/>
        <v/>
      </c>
      <c r="K9725" s="1" t="str">
        <f t="shared" si="4"/>
        <v/>
      </c>
    </row>
    <row r="9726" hidden="1">
      <c r="F9726" s="1" t="str">
        <f t="shared" si="1"/>
        <v/>
      </c>
      <c r="G9726" s="1" t="str">
        <f t="shared" si="2"/>
        <v/>
      </c>
      <c r="J9726" s="1" t="str">
        <f t="shared" si="3"/>
        <v/>
      </c>
      <c r="K9726" s="1" t="str">
        <f t="shared" si="4"/>
        <v/>
      </c>
    </row>
    <row r="9727" hidden="1">
      <c r="F9727" s="1" t="str">
        <f t="shared" si="1"/>
        <v/>
      </c>
      <c r="G9727" s="1" t="str">
        <f t="shared" si="2"/>
        <v/>
      </c>
      <c r="J9727" s="1" t="str">
        <f t="shared" si="3"/>
        <v/>
      </c>
      <c r="K9727" s="1" t="str">
        <f t="shared" si="4"/>
        <v/>
      </c>
    </row>
    <row r="9728" hidden="1">
      <c r="F9728" s="1" t="str">
        <f t="shared" si="1"/>
        <v/>
      </c>
      <c r="G9728" s="1" t="str">
        <f t="shared" si="2"/>
        <v/>
      </c>
      <c r="J9728" s="1" t="str">
        <f t="shared" si="3"/>
        <v/>
      </c>
      <c r="K9728" s="1" t="str">
        <f t="shared" si="4"/>
        <v/>
      </c>
    </row>
    <row r="9729" hidden="1">
      <c r="F9729" s="1" t="str">
        <f t="shared" si="1"/>
        <v/>
      </c>
      <c r="G9729" s="1" t="str">
        <f t="shared" si="2"/>
        <v/>
      </c>
      <c r="J9729" s="1" t="str">
        <f t="shared" si="3"/>
        <v/>
      </c>
      <c r="K9729" s="1" t="str">
        <f t="shared" si="4"/>
        <v/>
      </c>
    </row>
    <row r="9730" hidden="1">
      <c r="F9730" s="1" t="str">
        <f t="shared" si="1"/>
        <v/>
      </c>
      <c r="G9730" s="1" t="str">
        <f t="shared" si="2"/>
        <v/>
      </c>
      <c r="J9730" s="1" t="str">
        <f t="shared" si="3"/>
        <v/>
      </c>
      <c r="K9730" s="1" t="str">
        <f t="shared" si="4"/>
        <v/>
      </c>
    </row>
    <row r="9731" hidden="1">
      <c r="F9731" s="1" t="str">
        <f t="shared" si="1"/>
        <v/>
      </c>
      <c r="G9731" s="1" t="str">
        <f t="shared" si="2"/>
        <v/>
      </c>
      <c r="J9731" s="1" t="str">
        <f t="shared" si="3"/>
        <v/>
      </c>
      <c r="K9731" s="1" t="str">
        <f t="shared" si="4"/>
        <v/>
      </c>
    </row>
    <row r="9732" hidden="1">
      <c r="F9732" s="1" t="str">
        <f t="shared" si="1"/>
        <v/>
      </c>
      <c r="G9732" s="1" t="str">
        <f t="shared" si="2"/>
        <v/>
      </c>
      <c r="J9732" s="1" t="str">
        <f t="shared" si="3"/>
        <v/>
      </c>
      <c r="K9732" s="1" t="str">
        <f t="shared" si="4"/>
        <v/>
      </c>
    </row>
    <row r="9733" hidden="1">
      <c r="F9733" s="1" t="str">
        <f t="shared" si="1"/>
        <v/>
      </c>
      <c r="G9733" s="1" t="str">
        <f t="shared" si="2"/>
        <v/>
      </c>
      <c r="J9733" s="1" t="str">
        <f t="shared" si="3"/>
        <v/>
      </c>
      <c r="K9733" s="1" t="str">
        <f t="shared" si="4"/>
        <v/>
      </c>
    </row>
    <row r="9734" hidden="1">
      <c r="F9734" s="1" t="str">
        <f t="shared" si="1"/>
        <v/>
      </c>
      <c r="G9734" s="1" t="str">
        <f t="shared" si="2"/>
        <v/>
      </c>
      <c r="J9734" s="1" t="str">
        <f t="shared" si="3"/>
        <v/>
      </c>
      <c r="K9734" s="1" t="str">
        <f t="shared" si="4"/>
        <v/>
      </c>
    </row>
    <row r="9735" hidden="1">
      <c r="F9735" s="1" t="str">
        <f t="shared" si="1"/>
        <v/>
      </c>
      <c r="G9735" s="1" t="str">
        <f t="shared" si="2"/>
        <v/>
      </c>
      <c r="J9735" s="1" t="str">
        <f t="shared" si="3"/>
        <v/>
      </c>
      <c r="K9735" s="1" t="str">
        <f t="shared" si="4"/>
        <v/>
      </c>
    </row>
    <row r="9736" hidden="1">
      <c r="F9736" s="1" t="str">
        <f t="shared" si="1"/>
        <v/>
      </c>
      <c r="G9736" s="1" t="str">
        <f t="shared" si="2"/>
        <v/>
      </c>
      <c r="J9736" s="1" t="str">
        <f t="shared" si="3"/>
        <v/>
      </c>
      <c r="K9736" s="1" t="str">
        <f t="shared" si="4"/>
        <v/>
      </c>
    </row>
    <row r="9737" hidden="1">
      <c r="F9737" s="1" t="str">
        <f t="shared" si="1"/>
        <v/>
      </c>
      <c r="G9737" s="1" t="str">
        <f t="shared" si="2"/>
        <v/>
      </c>
      <c r="J9737" s="1" t="str">
        <f t="shared" si="3"/>
        <v/>
      </c>
      <c r="K9737" s="1" t="str">
        <f t="shared" si="4"/>
        <v/>
      </c>
    </row>
    <row r="9738" hidden="1">
      <c r="F9738" s="1" t="str">
        <f t="shared" si="1"/>
        <v/>
      </c>
      <c r="G9738" s="1" t="str">
        <f t="shared" si="2"/>
        <v/>
      </c>
      <c r="J9738" s="1" t="str">
        <f t="shared" si="3"/>
        <v/>
      </c>
      <c r="K9738" s="1" t="str">
        <f t="shared" si="4"/>
        <v/>
      </c>
    </row>
    <row r="9739" hidden="1">
      <c r="F9739" s="1" t="str">
        <f t="shared" si="1"/>
        <v/>
      </c>
      <c r="G9739" s="1" t="str">
        <f t="shared" si="2"/>
        <v/>
      </c>
      <c r="J9739" s="1" t="str">
        <f t="shared" si="3"/>
        <v/>
      </c>
      <c r="K9739" s="1" t="str">
        <f t="shared" si="4"/>
        <v/>
      </c>
    </row>
    <row r="9740" hidden="1">
      <c r="F9740" s="1" t="str">
        <f t="shared" si="1"/>
        <v/>
      </c>
      <c r="G9740" s="1" t="str">
        <f t="shared" si="2"/>
        <v/>
      </c>
      <c r="J9740" s="1" t="str">
        <f t="shared" si="3"/>
        <v/>
      </c>
      <c r="K9740" s="1" t="str">
        <f t="shared" si="4"/>
        <v/>
      </c>
    </row>
    <row r="9741" hidden="1">
      <c r="F9741" s="1" t="str">
        <f t="shared" si="1"/>
        <v/>
      </c>
      <c r="G9741" s="1" t="str">
        <f t="shared" si="2"/>
        <v/>
      </c>
      <c r="J9741" s="1" t="str">
        <f t="shared" si="3"/>
        <v/>
      </c>
      <c r="K9741" s="1" t="str">
        <f t="shared" si="4"/>
        <v/>
      </c>
    </row>
    <row r="9742" hidden="1">
      <c r="F9742" s="1" t="str">
        <f t="shared" si="1"/>
        <v/>
      </c>
      <c r="G9742" s="1" t="str">
        <f t="shared" si="2"/>
        <v/>
      </c>
      <c r="J9742" s="1" t="str">
        <f t="shared" si="3"/>
        <v/>
      </c>
      <c r="K9742" s="1" t="str">
        <f t="shared" si="4"/>
        <v/>
      </c>
    </row>
    <row r="9743" hidden="1">
      <c r="F9743" s="1" t="str">
        <f t="shared" si="1"/>
        <v/>
      </c>
      <c r="G9743" s="1" t="str">
        <f t="shared" si="2"/>
        <v/>
      </c>
      <c r="J9743" s="1" t="str">
        <f t="shared" si="3"/>
        <v/>
      </c>
      <c r="K9743" s="1" t="str">
        <f t="shared" si="4"/>
        <v/>
      </c>
    </row>
    <row r="9744" hidden="1">
      <c r="F9744" s="1" t="str">
        <f t="shared" si="1"/>
        <v/>
      </c>
      <c r="G9744" s="1" t="str">
        <f t="shared" si="2"/>
        <v/>
      </c>
      <c r="J9744" s="1" t="str">
        <f t="shared" si="3"/>
        <v/>
      </c>
      <c r="K9744" s="1" t="str">
        <f t="shared" si="4"/>
        <v/>
      </c>
    </row>
    <row r="9745" hidden="1">
      <c r="F9745" s="1" t="str">
        <f t="shared" si="1"/>
        <v/>
      </c>
      <c r="G9745" s="1" t="str">
        <f t="shared" si="2"/>
        <v/>
      </c>
      <c r="J9745" s="1" t="str">
        <f t="shared" si="3"/>
        <v/>
      </c>
      <c r="K9745" s="1" t="str">
        <f t="shared" si="4"/>
        <v/>
      </c>
    </row>
    <row r="9746" hidden="1">
      <c r="F9746" s="1" t="str">
        <f t="shared" si="1"/>
        <v/>
      </c>
      <c r="G9746" s="1" t="str">
        <f t="shared" si="2"/>
        <v/>
      </c>
      <c r="J9746" s="1" t="str">
        <f t="shared" si="3"/>
        <v/>
      </c>
      <c r="K9746" s="1" t="str">
        <f t="shared" si="4"/>
        <v/>
      </c>
    </row>
    <row r="9747" hidden="1">
      <c r="F9747" s="1" t="str">
        <f t="shared" si="1"/>
        <v/>
      </c>
      <c r="G9747" s="1" t="str">
        <f t="shared" si="2"/>
        <v/>
      </c>
      <c r="J9747" s="1" t="str">
        <f t="shared" si="3"/>
        <v/>
      </c>
      <c r="K9747" s="1" t="str">
        <f t="shared" si="4"/>
        <v/>
      </c>
    </row>
    <row r="9748" hidden="1">
      <c r="F9748" s="1" t="str">
        <f t="shared" si="1"/>
        <v/>
      </c>
      <c r="G9748" s="1" t="str">
        <f t="shared" si="2"/>
        <v/>
      </c>
      <c r="J9748" s="1" t="str">
        <f t="shared" si="3"/>
        <v/>
      </c>
      <c r="K9748" s="1" t="str">
        <f t="shared" si="4"/>
        <v/>
      </c>
    </row>
    <row r="9749" hidden="1">
      <c r="F9749" s="1" t="str">
        <f t="shared" si="1"/>
        <v/>
      </c>
      <c r="G9749" s="1" t="str">
        <f t="shared" si="2"/>
        <v/>
      </c>
      <c r="J9749" s="1" t="str">
        <f t="shared" si="3"/>
        <v/>
      </c>
      <c r="K9749" s="1" t="str">
        <f t="shared" si="4"/>
        <v/>
      </c>
    </row>
    <row r="9750" hidden="1">
      <c r="F9750" s="1" t="str">
        <f t="shared" si="1"/>
        <v/>
      </c>
      <c r="G9750" s="1" t="str">
        <f t="shared" si="2"/>
        <v/>
      </c>
      <c r="J9750" s="1" t="str">
        <f t="shared" si="3"/>
        <v/>
      </c>
      <c r="K9750" s="1" t="str">
        <f t="shared" si="4"/>
        <v/>
      </c>
    </row>
    <row r="9751" hidden="1">
      <c r="F9751" s="1" t="str">
        <f t="shared" si="1"/>
        <v/>
      </c>
      <c r="G9751" s="1" t="str">
        <f t="shared" si="2"/>
        <v/>
      </c>
      <c r="J9751" s="1" t="str">
        <f t="shared" si="3"/>
        <v/>
      </c>
      <c r="K9751" s="1" t="str">
        <f t="shared" si="4"/>
        <v/>
      </c>
    </row>
    <row r="9752" hidden="1">
      <c r="F9752" s="1" t="str">
        <f t="shared" si="1"/>
        <v/>
      </c>
      <c r="G9752" s="1" t="str">
        <f t="shared" si="2"/>
        <v/>
      </c>
      <c r="J9752" s="1" t="str">
        <f t="shared" si="3"/>
        <v/>
      </c>
      <c r="K9752" s="1" t="str">
        <f t="shared" si="4"/>
        <v/>
      </c>
    </row>
    <row r="9753" hidden="1">
      <c r="F9753" s="1" t="str">
        <f t="shared" si="1"/>
        <v/>
      </c>
      <c r="G9753" s="1" t="str">
        <f t="shared" si="2"/>
        <v/>
      </c>
      <c r="J9753" s="1" t="str">
        <f t="shared" si="3"/>
        <v/>
      </c>
      <c r="K9753" s="1" t="str">
        <f t="shared" si="4"/>
        <v/>
      </c>
    </row>
    <row r="9754" hidden="1">
      <c r="F9754" s="1" t="str">
        <f t="shared" si="1"/>
        <v/>
      </c>
      <c r="G9754" s="1" t="str">
        <f t="shared" si="2"/>
        <v/>
      </c>
      <c r="J9754" s="1" t="str">
        <f t="shared" si="3"/>
        <v/>
      </c>
      <c r="K9754" s="1" t="str">
        <f t="shared" si="4"/>
        <v/>
      </c>
    </row>
    <row r="9755" hidden="1">
      <c r="F9755" s="1" t="str">
        <f t="shared" si="1"/>
        <v/>
      </c>
      <c r="G9755" s="1" t="str">
        <f t="shared" si="2"/>
        <v/>
      </c>
      <c r="J9755" s="1" t="str">
        <f t="shared" si="3"/>
        <v/>
      </c>
      <c r="K9755" s="1" t="str">
        <f t="shared" si="4"/>
        <v/>
      </c>
    </row>
    <row r="9756" hidden="1">
      <c r="F9756" s="1" t="str">
        <f t="shared" si="1"/>
        <v/>
      </c>
      <c r="G9756" s="1" t="str">
        <f t="shared" si="2"/>
        <v/>
      </c>
      <c r="J9756" s="1" t="str">
        <f t="shared" si="3"/>
        <v/>
      </c>
      <c r="K9756" s="1" t="str">
        <f t="shared" si="4"/>
        <v/>
      </c>
    </row>
    <row r="9757" hidden="1">
      <c r="F9757" s="1" t="str">
        <f t="shared" si="1"/>
        <v/>
      </c>
      <c r="G9757" s="1" t="str">
        <f t="shared" si="2"/>
        <v/>
      </c>
      <c r="J9757" s="1" t="str">
        <f t="shared" si="3"/>
        <v/>
      </c>
      <c r="K9757" s="1" t="str">
        <f t="shared" si="4"/>
        <v/>
      </c>
    </row>
    <row r="9758" hidden="1">
      <c r="F9758" s="1" t="str">
        <f t="shared" si="1"/>
        <v/>
      </c>
      <c r="G9758" s="1" t="str">
        <f t="shared" si="2"/>
        <v/>
      </c>
      <c r="J9758" s="1" t="str">
        <f t="shared" si="3"/>
        <v/>
      </c>
      <c r="K9758" s="1" t="str">
        <f t="shared" si="4"/>
        <v/>
      </c>
    </row>
    <row r="9759" hidden="1">
      <c r="F9759" s="1" t="str">
        <f t="shared" si="1"/>
        <v/>
      </c>
      <c r="G9759" s="1" t="str">
        <f t="shared" si="2"/>
        <v/>
      </c>
      <c r="J9759" s="1" t="str">
        <f t="shared" si="3"/>
        <v/>
      </c>
      <c r="K9759" s="1" t="str">
        <f t="shared" si="4"/>
        <v/>
      </c>
    </row>
    <row r="9760" hidden="1">
      <c r="F9760" s="1" t="str">
        <f t="shared" si="1"/>
        <v/>
      </c>
      <c r="G9760" s="1" t="str">
        <f t="shared" si="2"/>
        <v/>
      </c>
      <c r="J9760" s="1" t="str">
        <f t="shared" si="3"/>
        <v/>
      </c>
      <c r="K9760" s="1" t="str">
        <f t="shared" si="4"/>
        <v/>
      </c>
    </row>
    <row r="9761" hidden="1">
      <c r="F9761" s="1" t="str">
        <f t="shared" si="1"/>
        <v/>
      </c>
      <c r="G9761" s="1" t="str">
        <f t="shared" si="2"/>
        <v/>
      </c>
      <c r="J9761" s="1" t="str">
        <f t="shared" si="3"/>
        <v/>
      </c>
      <c r="K9761" s="1" t="str">
        <f t="shared" si="4"/>
        <v/>
      </c>
    </row>
    <row r="9762" hidden="1">
      <c r="F9762" s="1" t="str">
        <f t="shared" si="1"/>
        <v/>
      </c>
      <c r="G9762" s="1" t="str">
        <f t="shared" si="2"/>
        <v/>
      </c>
      <c r="J9762" s="1" t="str">
        <f t="shared" si="3"/>
        <v/>
      </c>
      <c r="K9762" s="1" t="str">
        <f t="shared" si="4"/>
        <v/>
      </c>
    </row>
    <row r="9763" hidden="1">
      <c r="F9763" s="1" t="str">
        <f t="shared" si="1"/>
        <v/>
      </c>
      <c r="G9763" s="1" t="str">
        <f t="shared" si="2"/>
        <v/>
      </c>
      <c r="J9763" s="1" t="str">
        <f t="shared" si="3"/>
        <v/>
      </c>
      <c r="K9763" s="1" t="str">
        <f t="shared" si="4"/>
        <v/>
      </c>
    </row>
    <row r="9764" hidden="1">
      <c r="F9764" s="1" t="str">
        <f t="shared" si="1"/>
        <v/>
      </c>
      <c r="G9764" s="1" t="str">
        <f t="shared" si="2"/>
        <v/>
      </c>
      <c r="J9764" s="1" t="str">
        <f t="shared" si="3"/>
        <v/>
      </c>
      <c r="K9764" s="1" t="str">
        <f t="shared" si="4"/>
        <v/>
      </c>
    </row>
    <row r="9765" hidden="1">
      <c r="F9765" s="1" t="str">
        <f t="shared" si="1"/>
        <v/>
      </c>
      <c r="G9765" s="1" t="str">
        <f t="shared" si="2"/>
        <v/>
      </c>
      <c r="J9765" s="1" t="str">
        <f t="shared" si="3"/>
        <v/>
      </c>
      <c r="K9765" s="1" t="str">
        <f t="shared" si="4"/>
        <v/>
      </c>
    </row>
    <row r="9766" hidden="1">
      <c r="F9766" s="1" t="str">
        <f t="shared" si="1"/>
        <v/>
      </c>
      <c r="G9766" s="1" t="str">
        <f t="shared" si="2"/>
        <v/>
      </c>
      <c r="J9766" s="1" t="str">
        <f t="shared" si="3"/>
        <v/>
      </c>
      <c r="K9766" s="1" t="str">
        <f t="shared" si="4"/>
        <v/>
      </c>
    </row>
    <row r="9767" hidden="1">
      <c r="F9767" s="1" t="str">
        <f t="shared" si="1"/>
        <v/>
      </c>
      <c r="G9767" s="1" t="str">
        <f t="shared" si="2"/>
        <v/>
      </c>
      <c r="J9767" s="1" t="str">
        <f t="shared" si="3"/>
        <v/>
      </c>
      <c r="K9767" s="1" t="str">
        <f t="shared" si="4"/>
        <v/>
      </c>
    </row>
    <row r="9768" hidden="1">
      <c r="F9768" s="1" t="str">
        <f t="shared" si="1"/>
        <v/>
      </c>
      <c r="G9768" s="1" t="str">
        <f t="shared" si="2"/>
        <v/>
      </c>
      <c r="J9768" s="1" t="str">
        <f t="shared" si="3"/>
        <v/>
      </c>
      <c r="K9768" s="1" t="str">
        <f t="shared" si="4"/>
        <v/>
      </c>
    </row>
    <row r="9769" hidden="1">
      <c r="F9769" s="1" t="str">
        <f t="shared" si="1"/>
        <v/>
      </c>
      <c r="G9769" s="1" t="str">
        <f t="shared" si="2"/>
        <v/>
      </c>
      <c r="J9769" s="1" t="str">
        <f t="shared" si="3"/>
        <v/>
      </c>
      <c r="K9769" s="1" t="str">
        <f t="shared" si="4"/>
        <v/>
      </c>
    </row>
    <row r="9770" hidden="1">
      <c r="F9770" s="1" t="str">
        <f t="shared" si="1"/>
        <v/>
      </c>
      <c r="G9770" s="1" t="str">
        <f t="shared" si="2"/>
        <v/>
      </c>
      <c r="J9770" s="1" t="str">
        <f t="shared" si="3"/>
        <v/>
      </c>
      <c r="K9770" s="1" t="str">
        <f t="shared" si="4"/>
        <v/>
      </c>
    </row>
    <row r="9771" hidden="1">
      <c r="F9771" s="1" t="str">
        <f t="shared" si="1"/>
        <v/>
      </c>
      <c r="G9771" s="1" t="str">
        <f t="shared" si="2"/>
        <v/>
      </c>
      <c r="J9771" s="1" t="str">
        <f t="shared" si="3"/>
        <v/>
      </c>
      <c r="K9771" s="1" t="str">
        <f t="shared" si="4"/>
        <v/>
      </c>
    </row>
    <row r="9772" hidden="1">
      <c r="F9772" s="1" t="str">
        <f t="shared" si="1"/>
        <v/>
      </c>
      <c r="G9772" s="1" t="str">
        <f t="shared" si="2"/>
        <v/>
      </c>
      <c r="J9772" s="1" t="str">
        <f t="shared" si="3"/>
        <v/>
      </c>
      <c r="K9772" s="1" t="str">
        <f t="shared" si="4"/>
        <v/>
      </c>
    </row>
    <row r="9773" hidden="1">
      <c r="F9773" s="1" t="str">
        <f t="shared" si="1"/>
        <v/>
      </c>
      <c r="G9773" s="1" t="str">
        <f t="shared" si="2"/>
        <v/>
      </c>
      <c r="J9773" s="1" t="str">
        <f t="shared" si="3"/>
        <v/>
      </c>
      <c r="K9773" s="1" t="str">
        <f t="shared" si="4"/>
        <v/>
      </c>
    </row>
    <row r="9774" hidden="1">
      <c r="F9774" s="1" t="str">
        <f t="shared" si="1"/>
        <v/>
      </c>
      <c r="G9774" s="1" t="str">
        <f t="shared" si="2"/>
        <v/>
      </c>
      <c r="J9774" s="1" t="str">
        <f t="shared" si="3"/>
        <v/>
      </c>
      <c r="K9774" s="1" t="str">
        <f t="shared" si="4"/>
        <v/>
      </c>
    </row>
    <row r="9775" hidden="1">
      <c r="F9775" s="1" t="str">
        <f t="shared" si="1"/>
        <v/>
      </c>
      <c r="G9775" s="1" t="str">
        <f t="shared" si="2"/>
        <v/>
      </c>
      <c r="J9775" s="1" t="str">
        <f t="shared" si="3"/>
        <v/>
      </c>
      <c r="K9775" s="1" t="str">
        <f t="shared" si="4"/>
        <v/>
      </c>
    </row>
    <row r="9776" hidden="1">
      <c r="F9776" s="1" t="str">
        <f t="shared" si="1"/>
        <v/>
      </c>
      <c r="G9776" s="1" t="str">
        <f t="shared" si="2"/>
        <v/>
      </c>
      <c r="J9776" s="1" t="str">
        <f t="shared" si="3"/>
        <v/>
      </c>
      <c r="K9776" s="1" t="str">
        <f t="shared" si="4"/>
        <v/>
      </c>
    </row>
    <row r="9777" hidden="1">
      <c r="F9777" s="1" t="str">
        <f t="shared" si="1"/>
        <v/>
      </c>
      <c r="G9777" s="1" t="str">
        <f t="shared" si="2"/>
        <v/>
      </c>
      <c r="J9777" s="1" t="str">
        <f t="shared" si="3"/>
        <v/>
      </c>
      <c r="K9777" s="1" t="str">
        <f t="shared" si="4"/>
        <v/>
      </c>
    </row>
    <row r="9778" hidden="1">
      <c r="F9778" s="1" t="str">
        <f t="shared" si="1"/>
        <v/>
      </c>
      <c r="G9778" s="1" t="str">
        <f t="shared" si="2"/>
        <v/>
      </c>
      <c r="J9778" s="1" t="str">
        <f t="shared" si="3"/>
        <v/>
      </c>
      <c r="K9778" s="1" t="str">
        <f t="shared" si="4"/>
        <v/>
      </c>
    </row>
    <row r="9779" hidden="1">
      <c r="F9779" s="1" t="str">
        <f t="shared" si="1"/>
        <v/>
      </c>
      <c r="G9779" s="1" t="str">
        <f t="shared" si="2"/>
        <v/>
      </c>
      <c r="J9779" s="1" t="str">
        <f t="shared" si="3"/>
        <v/>
      </c>
      <c r="K9779" s="1" t="str">
        <f t="shared" si="4"/>
        <v/>
      </c>
    </row>
    <row r="9780" hidden="1">
      <c r="F9780" s="1" t="str">
        <f t="shared" si="1"/>
        <v/>
      </c>
      <c r="G9780" s="1" t="str">
        <f t="shared" si="2"/>
        <v/>
      </c>
      <c r="J9780" s="1" t="str">
        <f t="shared" si="3"/>
        <v/>
      </c>
      <c r="K9780" s="1" t="str">
        <f t="shared" si="4"/>
        <v/>
      </c>
    </row>
    <row r="9781" hidden="1">
      <c r="F9781" s="1" t="str">
        <f t="shared" si="1"/>
        <v/>
      </c>
      <c r="G9781" s="1" t="str">
        <f t="shared" si="2"/>
        <v/>
      </c>
      <c r="J9781" s="1" t="str">
        <f t="shared" si="3"/>
        <v/>
      </c>
      <c r="K9781" s="1" t="str">
        <f t="shared" si="4"/>
        <v/>
      </c>
    </row>
    <row r="9782" hidden="1">
      <c r="F9782" s="1" t="str">
        <f t="shared" si="1"/>
        <v/>
      </c>
      <c r="G9782" s="1" t="str">
        <f t="shared" si="2"/>
        <v/>
      </c>
      <c r="J9782" s="1" t="str">
        <f t="shared" si="3"/>
        <v/>
      </c>
      <c r="K9782" s="1" t="str">
        <f t="shared" si="4"/>
        <v/>
      </c>
    </row>
    <row r="9783" hidden="1">
      <c r="F9783" s="1" t="str">
        <f t="shared" si="1"/>
        <v/>
      </c>
      <c r="G9783" s="1" t="str">
        <f t="shared" si="2"/>
        <v/>
      </c>
      <c r="J9783" s="1" t="str">
        <f t="shared" si="3"/>
        <v/>
      </c>
      <c r="K9783" s="1" t="str">
        <f t="shared" si="4"/>
        <v/>
      </c>
    </row>
    <row r="9784" hidden="1">
      <c r="F9784" s="1" t="str">
        <f t="shared" si="1"/>
        <v/>
      </c>
      <c r="G9784" s="1" t="str">
        <f t="shared" si="2"/>
        <v/>
      </c>
      <c r="J9784" s="1" t="str">
        <f t="shared" si="3"/>
        <v/>
      </c>
      <c r="K9784" s="1" t="str">
        <f t="shared" si="4"/>
        <v/>
      </c>
    </row>
    <row r="9785" hidden="1">
      <c r="F9785" s="1" t="str">
        <f t="shared" si="1"/>
        <v/>
      </c>
      <c r="G9785" s="1" t="str">
        <f t="shared" si="2"/>
        <v/>
      </c>
      <c r="J9785" s="1" t="str">
        <f t="shared" si="3"/>
        <v/>
      </c>
      <c r="K9785" s="1" t="str">
        <f t="shared" si="4"/>
        <v/>
      </c>
    </row>
    <row r="9786" hidden="1">
      <c r="F9786" s="1" t="str">
        <f t="shared" si="1"/>
        <v/>
      </c>
      <c r="G9786" s="1" t="str">
        <f t="shared" si="2"/>
        <v/>
      </c>
      <c r="J9786" s="1" t="str">
        <f t="shared" si="3"/>
        <v/>
      </c>
      <c r="K9786" s="1" t="str">
        <f t="shared" si="4"/>
        <v/>
      </c>
    </row>
    <row r="9787" hidden="1">
      <c r="F9787" s="1" t="str">
        <f t="shared" si="1"/>
        <v/>
      </c>
      <c r="G9787" s="1" t="str">
        <f t="shared" si="2"/>
        <v/>
      </c>
      <c r="J9787" s="1" t="str">
        <f t="shared" si="3"/>
        <v/>
      </c>
      <c r="K9787" s="1" t="str">
        <f t="shared" si="4"/>
        <v/>
      </c>
    </row>
    <row r="9788" hidden="1">
      <c r="F9788" s="1" t="str">
        <f t="shared" si="1"/>
        <v/>
      </c>
      <c r="G9788" s="1" t="str">
        <f t="shared" si="2"/>
        <v/>
      </c>
      <c r="J9788" s="1" t="str">
        <f t="shared" si="3"/>
        <v/>
      </c>
      <c r="K9788" s="1" t="str">
        <f t="shared" si="4"/>
        <v/>
      </c>
    </row>
    <row r="9789" hidden="1">
      <c r="F9789" s="1" t="str">
        <f t="shared" si="1"/>
        <v/>
      </c>
      <c r="G9789" s="1" t="str">
        <f t="shared" si="2"/>
        <v/>
      </c>
      <c r="J9789" s="1" t="str">
        <f t="shared" si="3"/>
        <v/>
      </c>
      <c r="K9789" s="1" t="str">
        <f t="shared" si="4"/>
        <v/>
      </c>
    </row>
    <row r="9790" hidden="1">
      <c r="F9790" s="1" t="str">
        <f t="shared" si="1"/>
        <v/>
      </c>
      <c r="G9790" s="1" t="str">
        <f t="shared" si="2"/>
        <v/>
      </c>
      <c r="J9790" s="1" t="str">
        <f t="shared" si="3"/>
        <v/>
      </c>
      <c r="K9790" s="1" t="str">
        <f t="shared" si="4"/>
        <v/>
      </c>
    </row>
    <row r="9791" hidden="1">
      <c r="F9791" s="1" t="str">
        <f t="shared" si="1"/>
        <v/>
      </c>
      <c r="G9791" s="1" t="str">
        <f t="shared" si="2"/>
        <v/>
      </c>
      <c r="J9791" s="1" t="str">
        <f t="shared" si="3"/>
        <v/>
      </c>
      <c r="K9791" s="1" t="str">
        <f t="shared" si="4"/>
        <v/>
      </c>
    </row>
    <row r="9792" hidden="1">
      <c r="F9792" s="1" t="str">
        <f t="shared" si="1"/>
        <v/>
      </c>
      <c r="G9792" s="1" t="str">
        <f t="shared" si="2"/>
        <v/>
      </c>
      <c r="J9792" s="1" t="str">
        <f t="shared" si="3"/>
        <v/>
      </c>
      <c r="K9792" s="1" t="str">
        <f t="shared" si="4"/>
        <v/>
      </c>
    </row>
    <row r="9793" hidden="1">
      <c r="F9793" s="1" t="str">
        <f t="shared" si="1"/>
        <v/>
      </c>
      <c r="G9793" s="1" t="str">
        <f t="shared" si="2"/>
        <v/>
      </c>
      <c r="J9793" s="1" t="str">
        <f t="shared" si="3"/>
        <v/>
      </c>
      <c r="K9793" s="1" t="str">
        <f t="shared" si="4"/>
        <v/>
      </c>
    </row>
    <row r="9794" hidden="1">
      <c r="F9794" s="1" t="str">
        <f t="shared" si="1"/>
        <v/>
      </c>
      <c r="G9794" s="1" t="str">
        <f t="shared" si="2"/>
        <v/>
      </c>
      <c r="J9794" s="1" t="str">
        <f t="shared" si="3"/>
        <v/>
      </c>
      <c r="K9794" s="1" t="str">
        <f t="shared" si="4"/>
        <v/>
      </c>
    </row>
    <row r="9795" hidden="1">
      <c r="F9795" s="1" t="str">
        <f t="shared" si="1"/>
        <v/>
      </c>
      <c r="G9795" s="1" t="str">
        <f t="shared" si="2"/>
        <v/>
      </c>
      <c r="J9795" s="1" t="str">
        <f t="shared" si="3"/>
        <v/>
      </c>
      <c r="K9795" s="1" t="str">
        <f t="shared" si="4"/>
        <v/>
      </c>
    </row>
    <row r="9796" hidden="1">
      <c r="F9796" s="1" t="str">
        <f t="shared" si="1"/>
        <v/>
      </c>
      <c r="G9796" s="1" t="str">
        <f t="shared" si="2"/>
        <v/>
      </c>
      <c r="J9796" s="1" t="str">
        <f t="shared" si="3"/>
        <v/>
      </c>
      <c r="K9796" s="1" t="str">
        <f t="shared" si="4"/>
        <v/>
      </c>
    </row>
    <row r="9797" hidden="1">
      <c r="F9797" s="1" t="str">
        <f t="shared" si="1"/>
        <v/>
      </c>
      <c r="G9797" s="1" t="str">
        <f t="shared" si="2"/>
        <v/>
      </c>
      <c r="J9797" s="1" t="str">
        <f t="shared" si="3"/>
        <v/>
      </c>
      <c r="K9797" s="1" t="str">
        <f t="shared" si="4"/>
        <v/>
      </c>
    </row>
    <row r="9798" hidden="1">
      <c r="F9798" s="1" t="str">
        <f t="shared" si="1"/>
        <v/>
      </c>
      <c r="G9798" s="1" t="str">
        <f t="shared" si="2"/>
        <v/>
      </c>
      <c r="J9798" s="1" t="str">
        <f t="shared" si="3"/>
        <v/>
      </c>
      <c r="K9798" s="1" t="str">
        <f t="shared" si="4"/>
        <v/>
      </c>
    </row>
    <row r="9799" hidden="1">
      <c r="F9799" s="1" t="str">
        <f t="shared" si="1"/>
        <v/>
      </c>
      <c r="G9799" s="1" t="str">
        <f t="shared" si="2"/>
        <v/>
      </c>
      <c r="J9799" s="1" t="str">
        <f t="shared" si="3"/>
        <v/>
      </c>
      <c r="K9799" s="1" t="str">
        <f t="shared" si="4"/>
        <v/>
      </c>
    </row>
    <row r="9800" hidden="1">
      <c r="F9800" s="1" t="str">
        <f t="shared" si="1"/>
        <v/>
      </c>
      <c r="G9800" s="1" t="str">
        <f t="shared" si="2"/>
        <v/>
      </c>
      <c r="J9800" s="1" t="str">
        <f t="shared" si="3"/>
        <v/>
      </c>
      <c r="K9800" s="1" t="str">
        <f t="shared" si="4"/>
        <v/>
      </c>
    </row>
    <row r="9801" hidden="1">
      <c r="F9801" s="1" t="str">
        <f t="shared" si="1"/>
        <v/>
      </c>
      <c r="G9801" s="1" t="str">
        <f t="shared" si="2"/>
        <v/>
      </c>
      <c r="J9801" s="1" t="str">
        <f t="shared" si="3"/>
        <v/>
      </c>
      <c r="K9801" s="1" t="str">
        <f t="shared" si="4"/>
        <v/>
      </c>
    </row>
    <row r="9802" hidden="1">
      <c r="F9802" s="1" t="str">
        <f t="shared" si="1"/>
        <v/>
      </c>
      <c r="G9802" s="1" t="str">
        <f t="shared" si="2"/>
        <v/>
      </c>
      <c r="J9802" s="1" t="str">
        <f t="shared" si="3"/>
        <v/>
      </c>
      <c r="K9802" s="1" t="str">
        <f t="shared" si="4"/>
        <v/>
      </c>
    </row>
    <row r="9803" hidden="1">
      <c r="F9803" s="1" t="str">
        <f t="shared" si="1"/>
        <v/>
      </c>
      <c r="G9803" s="1" t="str">
        <f t="shared" si="2"/>
        <v/>
      </c>
      <c r="J9803" s="1" t="str">
        <f t="shared" si="3"/>
        <v/>
      </c>
      <c r="K9803" s="1" t="str">
        <f t="shared" si="4"/>
        <v/>
      </c>
    </row>
    <row r="9804" hidden="1">
      <c r="F9804" s="1" t="str">
        <f t="shared" si="1"/>
        <v/>
      </c>
      <c r="G9804" s="1" t="str">
        <f t="shared" si="2"/>
        <v/>
      </c>
      <c r="J9804" s="1" t="str">
        <f t="shared" si="3"/>
        <v/>
      </c>
      <c r="K9804" s="1" t="str">
        <f t="shared" si="4"/>
        <v/>
      </c>
    </row>
    <row r="9805" hidden="1">
      <c r="F9805" s="1" t="str">
        <f t="shared" si="1"/>
        <v/>
      </c>
      <c r="G9805" s="1" t="str">
        <f t="shared" si="2"/>
        <v/>
      </c>
      <c r="J9805" s="1" t="str">
        <f t="shared" si="3"/>
        <v/>
      </c>
      <c r="K9805" s="1" t="str">
        <f t="shared" si="4"/>
        <v/>
      </c>
    </row>
    <row r="9806" hidden="1">
      <c r="F9806" s="1" t="str">
        <f t="shared" si="1"/>
        <v/>
      </c>
      <c r="G9806" s="1" t="str">
        <f t="shared" si="2"/>
        <v/>
      </c>
      <c r="J9806" s="1" t="str">
        <f t="shared" si="3"/>
        <v/>
      </c>
      <c r="K9806" s="1" t="str">
        <f t="shared" si="4"/>
        <v/>
      </c>
    </row>
    <row r="9807" hidden="1">
      <c r="F9807" s="1" t="str">
        <f t="shared" si="1"/>
        <v/>
      </c>
      <c r="G9807" s="1" t="str">
        <f t="shared" si="2"/>
        <v/>
      </c>
      <c r="J9807" s="1" t="str">
        <f t="shared" si="3"/>
        <v/>
      </c>
      <c r="K9807" s="1" t="str">
        <f t="shared" si="4"/>
        <v/>
      </c>
    </row>
    <row r="9808" hidden="1">
      <c r="F9808" s="1" t="str">
        <f t="shared" si="1"/>
        <v/>
      </c>
      <c r="G9808" s="1" t="str">
        <f t="shared" si="2"/>
        <v/>
      </c>
      <c r="J9808" s="1" t="str">
        <f t="shared" si="3"/>
        <v/>
      </c>
      <c r="K9808" s="1" t="str">
        <f t="shared" si="4"/>
        <v/>
      </c>
    </row>
    <row r="9809" hidden="1">
      <c r="F9809" s="1" t="str">
        <f t="shared" si="1"/>
        <v/>
      </c>
      <c r="G9809" s="1" t="str">
        <f t="shared" si="2"/>
        <v/>
      </c>
      <c r="J9809" s="1" t="str">
        <f t="shared" si="3"/>
        <v/>
      </c>
      <c r="K9809" s="1" t="str">
        <f t="shared" si="4"/>
        <v/>
      </c>
    </row>
    <row r="9810" hidden="1">
      <c r="F9810" s="1" t="str">
        <f t="shared" si="1"/>
        <v/>
      </c>
      <c r="G9810" s="1" t="str">
        <f t="shared" si="2"/>
        <v/>
      </c>
      <c r="J9810" s="1" t="str">
        <f t="shared" si="3"/>
        <v/>
      </c>
      <c r="K9810" s="1" t="str">
        <f t="shared" si="4"/>
        <v/>
      </c>
    </row>
    <row r="9811" hidden="1">
      <c r="F9811" s="1" t="str">
        <f t="shared" si="1"/>
        <v/>
      </c>
      <c r="G9811" s="1" t="str">
        <f t="shared" si="2"/>
        <v/>
      </c>
      <c r="J9811" s="1" t="str">
        <f t="shared" si="3"/>
        <v/>
      </c>
      <c r="K9811" s="1" t="str">
        <f t="shared" si="4"/>
        <v/>
      </c>
    </row>
    <row r="9812" hidden="1">
      <c r="F9812" s="1" t="str">
        <f t="shared" si="1"/>
        <v/>
      </c>
      <c r="G9812" s="1" t="str">
        <f t="shared" si="2"/>
        <v/>
      </c>
      <c r="J9812" s="1" t="str">
        <f t="shared" si="3"/>
        <v/>
      </c>
      <c r="K9812" s="1" t="str">
        <f t="shared" si="4"/>
        <v/>
      </c>
    </row>
    <row r="9813" hidden="1">
      <c r="F9813" s="1" t="str">
        <f t="shared" si="1"/>
        <v/>
      </c>
      <c r="G9813" s="1" t="str">
        <f t="shared" si="2"/>
        <v/>
      </c>
      <c r="J9813" s="1" t="str">
        <f t="shared" si="3"/>
        <v/>
      </c>
      <c r="K9813" s="1" t="str">
        <f t="shared" si="4"/>
        <v/>
      </c>
    </row>
    <row r="9814" hidden="1">
      <c r="F9814" s="1" t="str">
        <f t="shared" si="1"/>
        <v/>
      </c>
      <c r="G9814" s="1" t="str">
        <f t="shared" si="2"/>
        <v/>
      </c>
      <c r="J9814" s="1" t="str">
        <f t="shared" si="3"/>
        <v/>
      </c>
      <c r="K9814" s="1" t="str">
        <f t="shared" si="4"/>
        <v/>
      </c>
    </row>
    <row r="9815" hidden="1">
      <c r="F9815" s="1" t="str">
        <f t="shared" si="1"/>
        <v/>
      </c>
      <c r="G9815" s="1" t="str">
        <f t="shared" si="2"/>
        <v/>
      </c>
      <c r="J9815" s="1" t="str">
        <f t="shared" si="3"/>
        <v/>
      </c>
      <c r="K9815" s="1" t="str">
        <f t="shared" si="4"/>
        <v/>
      </c>
    </row>
    <row r="9816" hidden="1">
      <c r="F9816" s="1" t="str">
        <f t="shared" si="1"/>
        <v/>
      </c>
      <c r="G9816" s="1" t="str">
        <f t="shared" si="2"/>
        <v/>
      </c>
      <c r="J9816" s="1" t="str">
        <f t="shared" si="3"/>
        <v/>
      </c>
      <c r="K9816" s="1" t="str">
        <f t="shared" si="4"/>
        <v/>
      </c>
    </row>
    <row r="9817" hidden="1">
      <c r="F9817" s="1" t="str">
        <f t="shared" si="1"/>
        <v/>
      </c>
      <c r="G9817" s="1" t="str">
        <f t="shared" si="2"/>
        <v/>
      </c>
      <c r="J9817" s="1" t="str">
        <f t="shared" si="3"/>
        <v/>
      </c>
      <c r="K9817" s="1" t="str">
        <f t="shared" si="4"/>
        <v/>
      </c>
    </row>
    <row r="9818" hidden="1">
      <c r="F9818" s="1" t="str">
        <f t="shared" si="1"/>
        <v/>
      </c>
      <c r="G9818" s="1" t="str">
        <f t="shared" si="2"/>
        <v/>
      </c>
      <c r="J9818" s="1" t="str">
        <f t="shared" si="3"/>
        <v/>
      </c>
      <c r="K9818" s="1" t="str">
        <f t="shared" si="4"/>
        <v/>
      </c>
    </row>
    <row r="9819" hidden="1">
      <c r="F9819" s="1" t="str">
        <f t="shared" si="1"/>
        <v/>
      </c>
      <c r="G9819" s="1" t="str">
        <f t="shared" si="2"/>
        <v/>
      </c>
      <c r="J9819" s="1" t="str">
        <f t="shared" si="3"/>
        <v/>
      </c>
      <c r="K9819" s="1" t="str">
        <f t="shared" si="4"/>
        <v/>
      </c>
    </row>
    <row r="9820" hidden="1">
      <c r="F9820" s="1" t="str">
        <f t="shared" si="1"/>
        <v/>
      </c>
      <c r="G9820" s="1" t="str">
        <f t="shared" si="2"/>
        <v/>
      </c>
      <c r="J9820" s="1" t="str">
        <f t="shared" si="3"/>
        <v/>
      </c>
      <c r="K9820" s="1" t="str">
        <f t="shared" si="4"/>
        <v/>
      </c>
    </row>
    <row r="9821" hidden="1">
      <c r="F9821" s="1" t="str">
        <f t="shared" si="1"/>
        <v/>
      </c>
      <c r="G9821" s="1" t="str">
        <f t="shared" si="2"/>
        <v/>
      </c>
      <c r="J9821" s="1" t="str">
        <f t="shared" si="3"/>
        <v/>
      </c>
      <c r="K9821" s="1" t="str">
        <f t="shared" si="4"/>
        <v/>
      </c>
    </row>
    <row r="9822" hidden="1">
      <c r="F9822" s="1" t="str">
        <f t="shared" si="1"/>
        <v/>
      </c>
      <c r="G9822" s="1" t="str">
        <f t="shared" si="2"/>
        <v/>
      </c>
      <c r="J9822" s="1" t="str">
        <f t="shared" si="3"/>
        <v/>
      </c>
      <c r="K9822" s="1" t="str">
        <f t="shared" si="4"/>
        <v/>
      </c>
    </row>
    <row r="9823" hidden="1">
      <c r="F9823" s="1" t="str">
        <f t="shared" si="1"/>
        <v/>
      </c>
      <c r="G9823" s="1" t="str">
        <f t="shared" si="2"/>
        <v/>
      </c>
      <c r="J9823" s="1" t="str">
        <f t="shared" si="3"/>
        <v/>
      </c>
      <c r="K9823" s="1" t="str">
        <f t="shared" si="4"/>
        <v/>
      </c>
    </row>
    <row r="9824" hidden="1">
      <c r="F9824" s="1" t="str">
        <f t="shared" si="1"/>
        <v/>
      </c>
      <c r="G9824" s="1" t="str">
        <f t="shared" si="2"/>
        <v/>
      </c>
      <c r="J9824" s="1" t="str">
        <f t="shared" si="3"/>
        <v/>
      </c>
      <c r="K9824" s="1" t="str">
        <f t="shared" si="4"/>
        <v/>
      </c>
    </row>
    <row r="9825" hidden="1">
      <c r="F9825" s="1" t="str">
        <f t="shared" si="1"/>
        <v/>
      </c>
      <c r="G9825" s="1" t="str">
        <f t="shared" si="2"/>
        <v/>
      </c>
      <c r="J9825" s="1" t="str">
        <f t="shared" si="3"/>
        <v/>
      </c>
      <c r="K9825" s="1" t="str">
        <f t="shared" si="4"/>
        <v/>
      </c>
    </row>
    <row r="9826" hidden="1">
      <c r="F9826" s="1" t="str">
        <f t="shared" si="1"/>
        <v/>
      </c>
      <c r="G9826" s="1" t="str">
        <f t="shared" si="2"/>
        <v/>
      </c>
      <c r="J9826" s="1" t="str">
        <f t="shared" si="3"/>
        <v/>
      </c>
      <c r="K9826" s="1" t="str">
        <f t="shared" si="4"/>
        <v/>
      </c>
    </row>
    <row r="9827" hidden="1">
      <c r="F9827" s="1" t="str">
        <f t="shared" si="1"/>
        <v/>
      </c>
      <c r="G9827" s="1" t="str">
        <f t="shared" si="2"/>
        <v/>
      </c>
      <c r="J9827" s="1" t="str">
        <f t="shared" si="3"/>
        <v/>
      </c>
      <c r="K9827" s="1" t="str">
        <f t="shared" si="4"/>
        <v/>
      </c>
    </row>
    <row r="9828" hidden="1">
      <c r="F9828" s="1" t="str">
        <f t="shared" si="1"/>
        <v/>
      </c>
      <c r="G9828" s="1" t="str">
        <f t="shared" si="2"/>
        <v/>
      </c>
      <c r="J9828" s="1" t="str">
        <f t="shared" si="3"/>
        <v/>
      </c>
      <c r="K9828" s="1" t="str">
        <f t="shared" si="4"/>
        <v/>
      </c>
    </row>
    <row r="9829" hidden="1">
      <c r="F9829" s="1" t="str">
        <f t="shared" si="1"/>
        <v/>
      </c>
      <c r="G9829" s="1" t="str">
        <f t="shared" si="2"/>
        <v/>
      </c>
      <c r="J9829" s="1" t="str">
        <f t="shared" si="3"/>
        <v/>
      </c>
      <c r="K9829" s="1" t="str">
        <f t="shared" si="4"/>
        <v/>
      </c>
    </row>
    <row r="9830" hidden="1">
      <c r="F9830" s="1" t="str">
        <f t="shared" si="1"/>
        <v/>
      </c>
      <c r="G9830" s="1" t="str">
        <f t="shared" si="2"/>
        <v/>
      </c>
      <c r="J9830" s="1" t="str">
        <f t="shared" si="3"/>
        <v/>
      </c>
      <c r="K9830" s="1" t="str">
        <f t="shared" si="4"/>
        <v/>
      </c>
    </row>
    <row r="9831" hidden="1">
      <c r="F9831" s="1" t="str">
        <f t="shared" si="1"/>
        <v/>
      </c>
      <c r="G9831" s="1" t="str">
        <f t="shared" si="2"/>
        <v/>
      </c>
      <c r="J9831" s="1" t="str">
        <f t="shared" si="3"/>
        <v/>
      </c>
      <c r="K9831" s="1" t="str">
        <f t="shared" si="4"/>
        <v/>
      </c>
    </row>
    <row r="9832" hidden="1">
      <c r="F9832" s="1" t="str">
        <f t="shared" si="1"/>
        <v/>
      </c>
      <c r="G9832" s="1" t="str">
        <f t="shared" si="2"/>
        <v/>
      </c>
      <c r="J9832" s="1" t="str">
        <f t="shared" si="3"/>
        <v/>
      </c>
      <c r="K9832" s="1" t="str">
        <f t="shared" si="4"/>
        <v/>
      </c>
    </row>
    <row r="9833" hidden="1">
      <c r="F9833" s="1" t="str">
        <f t="shared" si="1"/>
        <v/>
      </c>
      <c r="G9833" s="1" t="str">
        <f t="shared" si="2"/>
        <v/>
      </c>
      <c r="J9833" s="1" t="str">
        <f t="shared" si="3"/>
        <v/>
      </c>
      <c r="K9833" s="1" t="str">
        <f t="shared" si="4"/>
        <v/>
      </c>
    </row>
    <row r="9834" hidden="1">
      <c r="F9834" s="1" t="str">
        <f t="shared" si="1"/>
        <v/>
      </c>
      <c r="G9834" s="1" t="str">
        <f t="shared" si="2"/>
        <v/>
      </c>
      <c r="J9834" s="1" t="str">
        <f t="shared" si="3"/>
        <v/>
      </c>
      <c r="K9834" s="1" t="str">
        <f t="shared" si="4"/>
        <v/>
      </c>
    </row>
    <row r="9835" hidden="1">
      <c r="F9835" s="1" t="str">
        <f t="shared" si="1"/>
        <v/>
      </c>
      <c r="G9835" s="1" t="str">
        <f t="shared" si="2"/>
        <v/>
      </c>
      <c r="J9835" s="1" t="str">
        <f t="shared" si="3"/>
        <v/>
      </c>
      <c r="K9835" s="1" t="str">
        <f t="shared" si="4"/>
        <v/>
      </c>
    </row>
    <row r="9836" hidden="1">
      <c r="F9836" s="1" t="str">
        <f t="shared" si="1"/>
        <v/>
      </c>
      <c r="G9836" s="1" t="str">
        <f t="shared" si="2"/>
        <v/>
      </c>
      <c r="J9836" s="1" t="str">
        <f t="shared" si="3"/>
        <v/>
      </c>
      <c r="K9836" s="1" t="str">
        <f t="shared" si="4"/>
        <v/>
      </c>
    </row>
    <row r="9837" hidden="1">
      <c r="F9837" s="1" t="str">
        <f t="shared" si="1"/>
        <v/>
      </c>
      <c r="G9837" s="1" t="str">
        <f t="shared" si="2"/>
        <v/>
      </c>
      <c r="J9837" s="1" t="str">
        <f t="shared" si="3"/>
        <v/>
      </c>
      <c r="K9837" s="1" t="str">
        <f t="shared" si="4"/>
        <v/>
      </c>
    </row>
    <row r="9838" hidden="1">
      <c r="F9838" s="1" t="str">
        <f t="shared" si="1"/>
        <v/>
      </c>
      <c r="G9838" s="1" t="str">
        <f t="shared" si="2"/>
        <v/>
      </c>
      <c r="J9838" s="1" t="str">
        <f t="shared" si="3"/>
        <v/>
      </c>
      <c r="K9838" s="1" t="str">
        <f t="shared" si="4"/>
        <v/>
      </c>
    </row>
    <row r="9839" hidden="1">
      <c r="F9839" s="1" t="str">
        <f t="shared" si="1"/>
        <v/>
      </c>
      <c r="G9839" s="1" t="str">
        <f t="shared" si="2"/>
        <v/>
      </c>
      <c r="J9839" s="1" t="str">
        <f t="shared" si="3"/>
        <v/>
      </c>
      <c r="K9839" s="1" t="str">
        <f t="shared" si="4"/>
        <v/>
      </c>
    </row>
    <row r="9840" hidden="1">
      <c r="F9840" s="1" t="str">
        <f t="shared" si="1"/>
        <v/>
      </c>
      <c r="G9840" s="1" t="str">
        <f t="shared" si="2"/>
        <v/>
      </c>
      <c r="J9840" s="1" t="str">
        <f t="shared" si="3"/>
        <v/>
      </c>
      <c r="K9840" s="1" t="str">
        <f t="shared" si="4"/>
        <v/>
      </c>
    </row>
    <row r="9841" hidden="1">
      <c r="F9841" s="1" t="str">
        <f t="shared" si="1"/>
        <v/>
      </c>
      <c r="G9841" s="1" t="str">
        <f t="shared" si="2"/>
        <v/>
      </c>
      <c r="J9841" s="1" t="str">
        <f t="shared" si="3"/>
        <v/>
      </c>
      <c r="K9841" s="1" t="str">
        <f t="shared" si="4"/>
        <v/>
      </c>
    </row>
    <row r="9842" hidden="1">
      <c r="F9842" s="1" t="str">
        <f t="shared" si="1"/>
        <v/>
      </c>
      <c r="G9842" s="1" t="str">
        <f t="shared" si="2"/>
        <v/>
      </c>
      <c r="J9842" s="1" t="str">
        <f t="shared" si="3"/>
        <v/>
      </c>
      <c r="K9842" s="1" t="str">
        <f t="shared" si="4"/>
        <v/>
      </c>
    </row>
    <row r="9843" hidden="1">
      <c r="F9843" s="1" t="str">
        <f t="shared" si="1"/>
        <v/>
      </c>
      <c r="G9843" s="1" t="str">
        <f t="shared" si="2"/>
        <v/>
      </c>
      <c r="J9843" s="1" t="str">
        <f t="shared" si="3"/>
        <v/>
      </c>
      <c r="K9843" s="1" t="str">
        <f t="shared" si="4"/>
        <v/>
      </c>
    </row>
    <row r="9844" hidden="1">
      <c r="F9844" s="1" t="str">
        <f t="shared" si="1"/>
        <v/>
      </c>
      <c r="G9844" s="1" t="str">
        <f t="shared" si="2"/>
        <v/>
      </c>
      <c r="J9844" s="1" t="str">
        <f t="shared" si="3"/>
        <v/>
      </c>
      <c r="K9844" s="1" t="str">
        <f t="shared" si="4"/>
        <v/>
      </c>
    </row>
    <row r="9845" hidden="1">
      <c r="F9845" s="1" t="str">
        <f t="shared" si="1"/>
        <v/>
      </c>
      <c r="G9845" s="1" t="str">
        <f t="shared" si="2"/>
        <v/>
      </c>
      <c r="J9845" s="1" t="str">
        <f t="shared" si="3"/>
        <v/>
      </c>
      <c r="K9845" s="1" t="str">
        <f t="shared" si="4"/>
        <v/>
      </c>
    </row>
    <row r="9846" hidden="1">
      <c r="F9846" s="1" t="str">
        <f t="shared" si="1"/>
        <v/>
      </c>
      <c r="G9846" s="1" t="str">
        <f t="shared" si="2"/>
        <v/>
      </c>
      <c r="J9846" s="1" t="str">
        <f t="shared" si="3"/>
        <v/>
      </c>
      <c r="K9846" s="1" t="str">
        <f t="shared" si="4"/>
        <v/>
      </c>
    </row>
    <row r="9847" hidden="1">
      <c r="F9847" s="1" t="str">
        <f t="shared" si="1"/>
        <v/>
      </c>
      <c r="G9847" s="1" t="str">
        <f t="shared" si="2"/>
        <v/>
      </c>
      <c r="J9847" s="1" t="str">
        <f t="shared" si="3"/>
        <v/>
      </c>
      <c r="K9847" s="1" t="str">
        <f t="shared" si="4"/>
        <v/>
      </c>
    </row>
    <row r="9848" hidden="1">
      <c r="F9848" s="1" t="str">
        <f t="shared" si="1"/>
        <v/>
      </c>
      <c r="G9848" s="1" t="str">
        <f t="shared" si="2"/>
        <v/>
      </c>
      <c r="J9848" s="1" t="str">
        <f t="shared" si="3"/>
        <v/>
      </c>
      <c r="K9848" s="1" t="str">
        <f t="shared" si="4"/>
        <v/>
      </c>
    </row>
    <row r="9849" hidden="1">
      <c r="F9849" s="1" t="str">
        <f t="shared" si="1"/>
        <v/>
      </c>
      <c r="G9849" s="1" t="str">
        <f t="shared" si="2"/>
        <v/>
      </c>
      <c r="J9849" s="1" t="str">
        <f t="shared" si="3"/>
        <v/>
      </c>
      <c r="K9849" s="1" t="str">
        <f t="shared" si="4"/>
        <v/>
      </c>
    </row>
    <row r="9850" hidden="1">
      <c r="F9850" s="1" t="str">
        <f t="shared" si="1"/>
        <v/>
      </c>
      <c r="G9850" s="1" t="str">
        <f t="shared" si="2"/>
        <v/>
      </c>
      <c r="J9850" s="1" t="str">
        <f t="shared" si="3"/>
        <v/>
      </c>
      <c r="K9850" s="1" t="str">
        <f t="shared" si="4"/>
        <v/>
      </c>
    </row>
    <row r="9851" hidden="1">
      <c r="F9851" s="1" t="str">
        <f t="shared" si="1"/>
        <v/>
      </c>
      <c r="G9851" s="1" t="str">
        <f t="shared" si="2"/>
        <v/>
      </c>
      <c r="J9851" s="1" t="str">
        <f t="shared" si="3"/>
        <v/>
      </c>
      <c r="K9851" s="1" t="str">
        <f t="shared" si="4"/>
        <v/>
      </c>
    </row>
    <row r="9852" hidden="1">
      <c r="F9852" s="1" t="str">
        <f t="shared" si="1"/>
        <v/>
      </c>
      <c r="G9852" s="1" t="str">
        <f t="shared" si="2"/>
        <v/>
      </c>
      <c r="J9852" s="1" t="str">
        <f t="shared" si="3"/>
        <v/>
      </c>
      <c r="K9852" s="1" t="str">
        <f t="shared" si="4"/>
        <v/>
      </c>
    </row>
    <row r="9853" hidden="1">
      <c r="F9853" s="1" t="str">
        <f t="shared" si="1"/>
        <v/>
      </c>
      <c r="G9853" s="1" t="str">
        <f t="shared" si="2"/>
        <v/>
      </c>
      <c r="J9853" s="1" t="str">
        <f t="shared" si="3"/>
        <v/>
      </c>
      <c r="K9853" s="1" t="str">
        <f t="shared" si="4"/>
        <v/>
      </c>
    </row>
    <row r="9854" hidden="1">
      <c r="F9854" s="1" t="str">
        <f t="shared" si="1"/>
        <v/>
      </c>
      <c r="G9854" s="1" t="str">
        <f t="shared" si="2"/>
        <v/>
      </c>
      <c r="J9854" s="1" t="str">
        <f t="shared" si="3"/>
        <v/>
      </c>
      <c r="K9854" s="1" t="str">
        <f t="shared" si="4"/>
        <v/>
      </c>
    </row>
    <row r="9855" hidden="1">
      <c r="F9855" s="1" t="str">
        <f t="shared" si="1"/>
        <v/>
      </c>
      <c r="G9855" s="1" t="str">
        <f t="shared" si="2"/>
        <v/>
      </c>
      <c r="J9855" s="1" t="str">
        <f t="shared" si="3"/>
        <v/>
      </c>
      <c r="K9855" s="1" t="str">
        <f t="shared" si="4"/>
        <v/>
      </c>
    </row>
    <row r="9856" hidden="1">
      <c r="F9856" s="1" t="str">
        <f t="shared" si="1"/>
        <v/>
      </c>
      <c r="G9856" s="1" t="str">
        <f t="shared" si="2"/>
        <v/>
      </c>
      <c r="J9856" s="1" t="str">
        <f t="shared" si="3"/>
        <v/>
      </c>
      <c r="K9856" s="1" t="str">
        <f t="shared" si="4"/>
        <v/>
      </c>
    </row>
    <row r="9857" hidden="1">
      <c r="F9857" s="1" t="str">
        <f t="shared" si="1"/>
        <v/>
      </c>
      <c r="G9857" s="1" t="str">
        <f t="shared" si="2"/>
        <v/>
      </c>
      <c r="J9857" s="1" t="str">
        <f t="shared" si="3"/>
        <v/>
      </c>
      <c r="K9857" s="1" t="str">
        <f t="shared" si="4"/>
        <v/>
      </c>
    </row>
    <row r="9858" hidden="1">
      <c r="F9858" s="1" t="str">
        <f t="shared" si="1"/>
        <v/>
      </c>
      <c r="G9858" s="1" t="str">
        <f t="shared" si="2"/>
        <v/>
      </c>
      <c r="J9858" s="1" t="str">
        <f t="shared" si="3"/>
        <v/>
      </c>
      <c r="K9858" s="1" t="str">
        <f t="shared" si="4"/>
        <v/>
      </c>
    </row>
    <row r="9859" hidden="1">
      <c r="F9859" s="1" t="str">
        <f t="shared" si="1"/>
        <v/>
      </c>
      <c r="G9859" s="1" t="str">
        <f t="shared" si="2"/>
        <v/>
      </c>
      <c r="J9859" s="1" t="str">
        <f t="shared" si="3"/>
        <v/>
      </c>
      <c r="K9859" s="1" t="str">
        <f t="shared" si="4"/>
        <v/>
      </c>
    </row>
    <row r="9860" hidden="1">
      <c r="F9860" s="1" t="str">
        <f t="shared" si="1"/>
        <v/>
      </c>
      <c r="G9860" s="1" t="str">
        <f t="shared" si="2"/>
        <v/>
      </c>
      <c r="J9860" s="1" t="str">
        <f t="shared" si="3"/>
        <v/>
      </c>
      <c r="K9860" s="1" t="str">
        <f t="shared" si="4"/>
        <v/>
      </c>
    </row>
    <row r="9861" hidden="1">
      <c r="F9861" s="1" t="str">
        <f t="shared" si="1"/>
        <v/>
      </c>
      <c r="G9861" s="1" t="str">
        <f t="shared" si="2"/>
        <v/>
      </c>
      <c r="J9861" s="1" t="str">
        <f t="shared" si="3"/>
        <v/>
      </c>
      <c r="K9861" s="1" t="str">
        <f t="shared" si="4"/>
        <v/>
      </c>
    </row>
    <row r="9862" hidden="1">
      <c r="F9862" s="1" t="str">
        <f t="shared" si="1"/>
        <v/>
      </c>
      <c r="G9862" s="1" t="str">
        <f t="shared" si="2"/>
        <v/>
      </c>
      <c r="J9862" s="1" t="str">
        <f t="shared" si="3"/>
        <v/>
      </c>
      <c r="K9862" s="1" t="str">
        <f t="shared" si="4"/>
        <v/>
      </c>
    </row>
    <row r="9863" hidden="1">
      <c r="F9863" s="1" t="str">
        <f t="shared" si="1"/>
        <v/>
      </c>
      <c r="G9863" s="1" t="str">
        <f t="shared" si="2"/>
        <v/>
      </c>
      <c r="J9863" s="1" t="str">
        <f t="shared" si="3"/>
        <v/>
      </c>
      <c r="K9863" s="1" t="str">
        <f t="shared" si="4"/>
        <v/>
      </c>
    </row>
    <row r="9864" hidden="1">
      <c r="F9864" s="1" t="str">
        <f t="shared" si="1"/>
        <v/>
      </c>
      <c r="G9864" s="1" t="str">
        <f t="shared" si="2"/>
        <v/>
      </c>
      <c r="J9864" s="1" t="str">
        <f t="shared" si="3"/>
        <v/>
      </c>
      <c r="K9864" s="1" t="str">
        <f t="shared" si="4"/>
        <v/>
      </c>
    </row>
    <row r="9865" hidden="1">
      <c r="F9865" s="1" t="str">
        <f t="shared" si="1"/>
        <v/>
      </c>
      <c r="G9865" s="1" t="str">
        <f t="shared" si="2"/>
        <v/>
      </c>
      <c r="J9865" s="1" t="str">
        <f t="shared" si="3"/>
        <v/>
      </c>
      <c r="K9865" s="1" t="str">
        <f t="shared" si="4"/>
        <v/>
      </c>
    </row>
    <row r="9866" hidden="1">
      <c r="F9866" s="1" t="str">
        <f t="shared" si="1"/>
        <v/>
      </c>
      <c r="G9866" s="1" t="str">
        <f t="shared" si="2"/>
        <v/>
      </c>
      <c r="J9866" s="1" t="str">
        <f t="shared" si="3"/>
        <v/>
      </c>
      <c r="K9866" s="1" t="str">
        <f t="shared" si="4"/>
        <v/>
      </c>
    </row>
    <row r="9867" hidden="1">
      <c r="F9867" s="1" t="str">
        <f t="shared" si="1"/>
        <v/>
      </c>
      <c r="G9867" s="1" t="str">
        <f t="shared" si="2"/>
        <v/>
      </c>
      <c r="J9867" s="1" t="str">
        <f t="shared" si="3"/>
        <v/>
      </c>
      <c r="K9867" s="1" t="str">
        <f t="shared" si="4"/>
        <v/>
      </c>
    </row>
    <row r="9868" hidden="1">
      <c r="F9868" s="1" t="str">
        <f t="shared" si="1"/>
        <v/>
      </c>
      <c r="G9868" s="1" t="str">
        <f t="shared" si="2"/>
        <v/>
      </c>
      <c r="J9868" s="1" t="str">
        <f t="shared" si="3"/>
        <v/>
      </c>
      <c r="K9868" s="1" t="str">
        <f t="shared" si="4"/>
        <v/>
      </c>
    </row>
    <row r="9869" hidden="1">
      <c r="F9869" s="1" t="str">
        <f t="shared" si="1"/>
        <v/>
      </c>
      <c r="G9869" s="1" t="str">
        <f t="shared" si="2"/>
        <v/>
      </c>
      <c r="J9869" s="1" t="str">
        <f t="shared" si="3"/>
        <v/>
      </c>
      <c r="K9869" s="1" t="str">
        <f t="shared" si="4"/>
        <v/>
      </c>
    </row>
    <row r="9870" hidden="1">
      <c r="F9870" s="1" t="str">
        <f t="shared" si="1"/>
        <v/>
      </c>
      <c r="G9870" s="1" t="str">
        <f t="shared" si="2"/>
        <v/>
      </c>
      <c r="J9870" s="1" t="str">
        <f t="shared" si="3"/>
        <v/>
      </c>
      <c r="K9870" s="1" t="str">
        <f t="shared" si="4"/>
        <v/>
      </c>
    </row>
    <row r="9871" hidden="1">
      <c r="F9871" s="1" t="str">
        <f t="shared" si="1"/>
        <v/>
      </c>
      <c r="G9871" s="1" t="str">
        <f t="shared" si="2"/>
        <v/>
      </c>
      <c r="J9871" s="1" t="str">
        <f t="shared" si="3"/>
        <v/>
      </c>
      <c r="K9871" s="1" t="str">
        <f t="shared" si="4"/>
        <v/>
      </c>
    </row>
    <row r="9872" hidden="1">
      <c r="F9872" s="1" t="str">
        <f t="shared" si="1"/>
        <v/>
      </c>
      <c r="G9872" s="1" t="str">
        <f t="shared" si="2"/>
        <v/>
      </c>
      <c r="J9872" s="1" t="str">
        <f t="shared" si="3"/>
        <v/>
      </c>
      <c r="K9872" s="1" t="str">
        <f t="shared" si="4"/>
        <v/>
      </c>
    </row>
    <row r="9873" hidden="1">
      <c r="F9873" s="1" t="str">
        <f t="shared" si="1"/>
        <v/>
      </c>
      <c r="G9873" s="1" t="str">
        <f t="shared" si="2"/>
        <v/>
      </c>
      <c r="J9873" s="1" t="str">
        <f t="shared" si="3"/>
        <v/>
      </c>
      <c r="K9873" s="1" t="str">
        <f t="shared" si="4"/>
        <v/>
      </c>
    </row>
    <row r="9874" hidden="1">
      <c r="F9874" s="1" t="str">
        <f t="shared" si="1"/>
        <v/>
      </c>
      <c r="G9874" s="1" t="str">
        <f t="shared" si="2"/>
        <v/>
      </c>
      <c r="J9874" s="1" t="str">
        <f t="shared" si="3"/>
        <v/>
      </c>
      <c r="K9874" s="1" t="str">
        <f t="shared" si="4"/>
        <v/>
      </c>
    </row>
    <row r="9875" hidden="1">
      <c r="F9875" s="1" t="str">
        <f t="shared" si="1"/>
        <v/>
      </c>
      <c r="G9875" s="1" t="str">
        <f t="shared" si="2"/>
        <v/>
      </c>
      <c r="J9875" s="1" t="str">
        <f t="shared" si="3"/>
        <v/>
      </c>
      <c r="K9875" s="1" t="str">
        <f t="shared" si="4"/>
        <v/>
      </c>
    </row>
    <row r="9876" hidden="1">
      <c r="F9876" s="1" t="str">
        <f t="shared" si="1"/>
        <v/>
      </c>
      <c r="G9876" s="1" t="str">
        <f t="shared" si="2"/>
        <v/>
      </c>
      <c r="J9876" s="1" t="str">
        <f t="shared" si="3"/>
        <v/>
      </c>
      <c r="K9876" s="1" t="str">
        <f t="shared" si="4"/>
        <v/>
      </c>
    </row>
    <row r="9877" hidden="1">
      <c r="F9877" s="1" t="str">
        <f t="shared" si="1"/>
        <v/>
      </c>
      <c r="G9877" s="1" t="str">
        <f t="shared" si="2"/>
        <v/>
      </c>
      <c r="J9877" s="1" t="str">
        <f t="shared" si="3"/>
        <v/>
      </c>
      <c r="K9877" s="1" t="str">
        <f t="shared" si="4"/>
        <v/>
      </c>
    </row>
    <row r="9878" hidden="1">
      <c r="F9878" s="1" t="str">
        <f t="shared" si="1"/>
        <v/>
      </c>
      <c r="G9878" s="1" t="str">
        <f t="shared" si="2"/>
        <v/>
      </c>
      <c r="J9878" s="1" t="str">
        <f t="shared" si="3"/>
        <v/>
      </c>
      <c r="K9878" s="1" t="str">
        <f t="shared" si="4"/>
        <v/>
      </c>
    </row>
    <row r="9879" hidden="1">
      <c r="F9879" s="1" t="str">
        <f t="shared" si="1"/>
        <v/>
      </c>
      <c r="G9879" s="1" t="str">
        <f t="shared" si="2"/>
        <v/>
      </c>
      <c r="J9879" s="1" t="str">
        <f t="shared" si="3"/>
        <v/>
      </c>
      <c r="K9879" s="1" t="str">
        <f t="shared" si="4"/>
        <v/>
      </c>
    </row>
    <row r="9880" hidden="1">
      <c r="F9880" s="1" t="str">
        <f t="shared" si="1"/>
        <v/>
      </c>
      <c r="G9880" s="1" t="str">
        <f t="shared" si="2"/>
        <v/>
      </c>
      <c r="J9880" s="1" t="str">
        <f t="shared" si="3"/>
        <v/>
      </c>
      <c r="K9880" s="1" t="str">
        <f t="shared" si="4"/>
        <v/>
      </c>
    </row>
    <row r="9881" hidden="1">
      <c r="F9881" s="1" t="str">
        <f t="shared" si="1"/>
        <v/>
      </c>
      <c r="G9881" s="1" t="str">
        <f t="shared" si="2"/>
        <v/>
      </c>
      <c r="J9881" s="1" t="str">
        <f t="shared" si="3"/>
        <v/>
      </c>
      <c r="K9881" s="1" t="str">
        <f t="shared" si="4"/>
        <v/>
      </c>
    </row>
    <row r="9882" hidden="1">
      <c r="F9882" s="1" t="str">
        <f t="shared" si="1"/>
        <v/>
      </c>
      <c r="G9882" s="1" t="str">
        <f t="shared" si="2"/>
        <v/>
      </c>
      <c r="J9882" s="1" t="str">
        <f t="shared" si="3"/>
        <v/>
      </c>
      <c r="K9882" s="1" t="str">
        <f t="shared" si="4"/>
        <v/>
      </c>
    </row>
    <row r="9883" hidden="1">
      <c r="F9883" s="1" t="str">
        <f t="shared" si="1"/>
        <v/>
      </c>
      <c r="G9883" s="1" t="str">
        <f t="shared" si="2"/>
        <v/>
      </c>
      <c r="J9883" s="1" t="str">
        <f t="shared" si="3"/>
        <v/>
      </c>
      <c r="K9883" s="1" t="str">
        <f t="shared" si="4"/>
        <v/>
      </c>
    </row>
    <row r="9884" hidden="1">
      <c r="F9884" s="1" t="str">
        <f t="shared" si="1"/>
        <v/>
      </c>
      <c r="G9884" s="1" t="str">
        <f t="shared" si="2"/>
        <v/>
      </c>
      <c r="J9884" s="1" t="str">
        <f t="shared" si="3"/>
        <v/>
      </c>
      <c r="K9884" s="1" t="str">
        <f t="shared" si="4"/>
        <v/>
      </c>
    </row>
    <row r="9885" hidden="1">
      <c r="F9885" s="1" t="str">
        <f t="shared" si="1"/>
        <v/>
      </c>
      <c r="G9885" s="1" t="str">
        <f t="shared" si="2"/>
        <v/>
      </c>
      <c r="J9885" s="1" t="str">
        <f t="shared" si="3"/>
        <v/>
      </c>
      <c r="K9885" s="1" t="str">
        <f t="shared" si="4"/>
        <v/>
      </c>
    </row>
    <row r="9886" hidden="1">
      <c r="F9886" s="1" t="str">
        <f t="shared" si="1"/>
        <v/>
      </c>
      <c r="G9886" s="1" t="str">
        <f t="shared" si="2"/>
        <v/>
      </c>
      <c r="J9886" s="1" t="str">
        <f t="shared" si="3"/>
        <v/>
      </c>
      <c r="K9886" s="1" t="str">
        <f t="shared" si="4"/>
        <v/>
      </c>
    </row>
    <row r="9887" hidden="1">
      <c r="F9887" s="1" t="str">
        <f t="shared" si="1"/>
        <v/>
      </c>
      <c r="G9887" s="1" t="str">
        <f t="shared" si="2"/>
        <v/>
      </c>
      <c r="J9887" s="1" t="str">
        <f t="shared" si="3"/>
        <v/>
      </c>
      <c r="K9887" s="1" t="str">
        <f t="shared" si="4"/>
        <v/>
      </c>
    </row>
    <row r="9888" hidden="1">
      <c r="F9888" s="1" t="str">
        <f t="shared" si="1"/>
        <v/>
      </c>
      <c r="G9888" s="1" t="str">
        <f t="shared" si="2"/>
        <v/>
      </c>
      <c r="J9888" s="1" t="str">
        <f t="shared" si="3"/>
        <v/>
      </c>
      <c r="K9888" s="1" t="str">
        <f t="shared" si="4"/>
        <v/>
      </c>
    </row>
    <row r="9889" hidden="1">
      <c r="F9889" s="1" t="str">
        <f t="shared" si="1"/>
        <v/>
      </c>
      <c r="G9889" s="1" t="str">
        <f t="shared" si="2"/>
        <v/>
      </c>
      <c r="J9889" s="1" t="str">
        <f t="shared" si="3"/>
        <v/>
      </c>
      <c r="K9889" s="1" t="str">
        <f t="shared" si="4"/>
        <v/>
      </c>
    </row>
    <row r="9890" hidden="1">
      <c r="F9890" s="1" t="str">
        <f t="shared" si="1"/>
        <v/>
      </c>
      <c r="G9890" s="1" t="str">
        <f t="shared" si="2"/>
        <v/>
      </c>
      <c r="J9890" s="1" t="str">
        <f t="shared" si="3"/>
        <v/>
      </c>
      <c r="K9890" s="1" t="str">
        <f t="shared" si="4"/>
        <v/>
      </c>
    </row>
    <row r="9891" hidden="1">
      <c r="F9891" s="1" t="str">
        <f t="shared" si="1"/>
        <v/>
      </c>
      <c r="G9891" s="1" t="str">
        <f t="shared" si="2"/>
        <v/>
      </c>
      <c r="J9891" s="1" t="str">
        <f t="shared" si="3"/>
        <v/>
      </c>
      <c r="K9891" s="1" t="str">
        <f t="shared" si="4"/>
        <v/>
      </c>
    </row>
    <row r="9892" hidden="1">
      <c r="F9892" s="1" t="str">
        <f t="shared" si="1"/>
        <v/>
      </c>
      <c r="G9892" s="1" t="str">
        <f t="shared" si="2"/>
        <v/>
      </c>
      <c r="J9892" s="1" t="str">
        <f t="shared" si="3"/>
        <v/>
      </c>
      <c r="K9892" s="1" t="str">
        <f t="shared" si="4"/>
        <v/>
      </c>
    </row>
    <row r="9893" hidden="1">
      <c r="F9893" s="1" t="str">
        <f t="shared" si="1"/>
        <v/>
      </c>
      <c r="G9893" s="1" t="str">
        <f t="shared" si="2"/>
        <v/>
      </c>
      <c r="J9893" s="1" t="str">
        <f t="shared" si="3"/>
        <v/>
      </c>
      <c r="K9893" s="1" t="str">
        <f t="shared" si="4"/>
        <v/>
      </c>
    </row>
    <row r="9894" hidden="1">
      <c r="F9894" s="1" t="str">
        <f t="shared" si="1"/>
        <v/>
      </c>
      <c r="G9894" s="1" t="str">
        <f t="shared" si="2"/>
        <v/>
      </c>
      <c r="J9894" s="1" t="str">
        <f t="shared" si="3"/>
        <v/>
      </c>
      <c r="K9894" s="1" t="str">
        <f t="shared" si="4"/>
        <v/>
      </c>
    </row>
    <row r="9895" hidden="1">
      <c r="F9895" s="1" t="str">
        <f t="shared" si="1"/>
        <v/>
      </c>
      <c r="G9895" s="1" t="str">
        <f t="shared" si="2"/>
        <v/>
      </c>
      <c r="J9895" s="1" t="str">
        <f t="shared" si="3"/>
        <v/>
      </c>
      <c r="K9895" s="1" t="str">
        <f t="shared" si="4"/>
        <v/>
      </c>
    </row>
    <row r="9896" hidden="1">
      <c r="F9896" s="1" t="str">
        <f t="shared" si="1"/>
        <v/>
      </c>
      <c r="G9896" s="1" t="str">
        <f t="shared" si="2"/>
        <v/>
      </c>
      <c r="J9896" s="1" t="str">
        <f t="shared" si="3"/>
        <v/>
      </c>
      <c r="K9896" s="1" t="str">
        <f t="shared" si="4"/>
        <v/>
      </c>
    </row>
    <row r="9897" hidden="1">
      <c r="F9897" s="1" t="str">
        <f t="shared" si="1"/>
        <v/>
      </c>
      <c r="G9897" s="1" t="str">
        <f t="shared" si="2"/>
        <v/>
      </c>
      <c r="J9897" s="1" t="str">
        <f t="shared" si="3"/>
        <v/>
      </c>
      <c r="K9897" s="1" t="str">
        <f t="shared" si="4"/>
        <v/>
      </c>
    </row>
    <row r="9898" hidden="1">
      <c r="F9898" s="1" t="str">
        <f t="shared" si="1"/>
        <v/>
      </c>
      <c r="G9898" s="1" t="str">
        <f t="shared" si="2"/>
        <v/>
      </c>
      <c r="J9898" s="1" t="str">
        <f t="shared" si="3"/>
        <v/>
      </c>
      <c r="K9898" s="1" t="str">
        <f t="shared" si="4"/>
        <v/>
      </c>
    </row>
    <row r="9899" hidden="1">
      <c r="F9899" s="1" t="str">
        <f t="shared" si="1"/>
        <v/>
      </c>
      <c r="G9899" s="1" t="str">
        <f t="shared" si="2"/>
        <v/>
      </c>
      <c r="J9899" s="1" t="str">
        <f t="shared" si="3"/>
        <v/>
      </c>
      <c r="K9899" s="1" t="str">
        <f t="shared" si="4"/>
        <v/>
      </c>
    </row>
    <row r="9900" hidden="1">
      <c r="F9900" s="1" t="str">
        <f t="shared" si="1"/>
        <v/>
      </c>
      <c r="G9900" s="1" t="str">
        <f t="shared" si="2"/>
        <v/>
      </c>
      <c r="J9900" s="1" t="str">
        <f t="shared" si="3"/>
        <v/>
      </c>
      <c r="K9900" s="1" t="str">
        <f t="shared" si="4"/>
        <v/>
      </c>
    </row>
    <row r="9901" hidden="1">
      <c r="F9901" s="1" t="str">
        <f t="shared" si="1"/>
        <v/>
      </c>
      <c r="G9901" s="1" t="str">
        <f t="shared" si="2"/>
        <v/>
      </c>
      <c r="J9901" s="1" t="str">
        <f t="shared" si="3"/>
        <v/>
      </c>
      <c r="K9901" s="1" t="str">
        <f t="shared" si="4"/>
        <v/>
      </c>
    </row>
    <row r="9902" hidden="1">
      <c r="F9902" s="1" t="str">
        <f t="shared" si="1"/>
        <v/>
      </c>
      <c r="G9902" s="1" t="str">
        <f t="shared" si="2"/>
        <v/>
      </c>
      <c r="J9902" s="1" t="str">
        <f t="shared" si="3"/>
        <v/>
      </c>
      <c r="K9902" s="1" t="str">
        <f t="shared" si="4"/>
        <v/>
      </c>
    </row>
    <row r="9903" hidden="1">
      <c r="F9903" s="1" t="str">
        <f t="shared" si="1"/>
        <v/>
      </c>
      <c r="G9903" s="1" t="str">
        <f t="shared" si="2"/>
        <v/>
      </c>
      <c r="J9903" s="1" t="str">
        <f t="shared" si="3"/>
        <v/>
      </c>
      <c r="K9903" s="1" t="str">
        <f t="shared" si="4"/>
        <v/>
      </c>
    </row>
    <row r="9904" hidden="1">
      <c r="F9904" s="1" t="str">
        <f t="shared" si="1"/>
        <v/>
      </c>
      <c r="G9904" s="1" t="str">
        <f t="shared" si="2"/>
        <v/>
      </c>
      <c r="J9904" s="1" t="str">
        <f t="shared" si="3"/>
        <v/>
      </c>
      <c r="K9904" s="1" t="str">
        <f t="shared" si="4"/>
        <v/>
      </c>
    </row>
    <row r="9905" hidden="1">
      <c r="F9905" s="1" t="str">
        <f t="shared" si="1"/>
        <v/>
      </c>
      <c r="G9905" s="1" t="str">
        <f t="shared" si="2"/>
        <v/>
      </c>
      <c r="J9905" s="1" t="str">
        <f t="shared" si="3"/>
        <v/>
      </c>
      <c r="K9905" s="1" t="str">
        <f t="shared" si="4"/>
        <v/>
      </c>
    </row>
    <row r="9906" hidden="1">
      <c r="F9906" s="1" t="str">
        <f t="shared" si="1"/>
        <v/>
      </c>
      <c r="G9906" s="1" t="str">
        <f t="shared" si="2"/>
        <v/>
      </c>
      <c r="J9906" s="1" t="str">
        <f t="shared" si="3"/>
        <v/>
      </c>
      <c r="K9906" s="1" t="str">
        <f t="shared" si="4"/>
        <v/>
      </c>
    </row>
    <row r="9907" hidden="1">
      <c r="F9907" s="1" t="str">
        <f t="shared" si="1"/>
        <v/>
      </c>
      <c r="G9907" s="1" t="str">
        <f t="shared" si="2"/>
        <v/>
      </c>
      <c r="J9907" s="1" t="str">
        <f t="shared" si="3"/>
        <v/>
      </c>
      <c r="K9907" s="1" t="str">
        <f t="shared" si="4"/>
        <v/>
      </c>
    </row>
    <row r="9908" hidden="1">
      <c r="F9908" s="1" t="str">
        <f t="shared" si="1"/>
        <v/>
      </c>
      <c r="G9908" s="1" t="str">
        <f t="shared" si="2"/>
        <v/>
      </c>
      <c r="J9908" s="1" t="str">
        <f t="shared" si="3"/>
        <v/>
      </c>
      <c r="K9908" s="1" t="str">
        <f t="shared" si="4"/>
        <v/>
      </c>
    </row>
    <row r="9909" hidden="1">
      <c r="F9909" s="1" t="str">
        <f t="shared" si="1"/>
        <v/>
      </c>
      <c r="G9909" s="1" t="str">
        <f t="shared" si="2"/>
        <v/>
      </c>
      <c r="J9909" s="1" t="str">
        <f t="shared" si="3"/>
        <v/>
      </c>
      <c r="K9909" s="1" t="str">
        <f t="shared" si="4"/>
        <v/>
      </c>
    </row>
    <row r="9910" hidden="1">
      <c r="F9910" s="1" t="str">
        <f t="shared" si="1"/>
        <v/>
      </c>
      <c r="G9910" s="1" t="str">
        <f t="shared" si="2"/>
        <v/>
      </c>
      <c r="J9910" s="1" t="str">
        <f t="shared" si="3"/>
        <v/>
      </c>
      <c r="K9910" s="1" t="str">
        <f t="shared" si="4"/>
        <v/>
      </c>
    </row>
    <row r="9911" hidden="1">
      <c r="F9911" s="1" t="str">
        <f t="shared" si="1"/>
        <v/>
      </c>
      <c r="G9911" s="1" t="str">
        <f t="shared" si="2"/>
        <v/>
      </c>
      <c r="J9911" s="1" t="str">
        <f t="shared" si="3"/>
        <v/>
      </c>
      <c r="K9911" s="1" t="str">
        <f t="shared" si="4"/>
        <v/>
      </c>
    </row>
    <row r="9912" hidden="1">
      <c r="F9912" s="1" t="str">
        <f t="shared" si="1"/>
        <v/>
      </c>
      <c r="G9912" s="1" t="str">
        <f t="shared" si="2"/>
        <v/>
      </c>
      <c r="J9912" s="1" t="str">
        <f t="shared" si="3"/>
        <v/>
      </c>
      <c r="K9912" s="1" t="str">
        <f t="shared" si="4"/>
        <v/>
      </c>
    </row>
    <row r="9913" hidden="1">
      <c r="F9913" s="1" t="str">
        <f t="shared" si="1"/>
        <v/>
      </c>
      <c r="G9913" s="1" t="str">
        <f t="shared" si="2"/>
        <v/>
      </c>
      <c r="J9913" s="1" t="str">
        <f t="shared" si="3"/>
        <v/>
      </c>
      <c r="K9913" s="1" t="str">
        <f t="shared" si="4"/>
        <v/>
      </c>
    </row>
    <row r="9914" hidden="1">
      <c r="F9914" s="1" t="str">
        <f t="shared" si="1"/>
        <v/>
      </c>
      <c r="G9914" s="1" t="str">
        <f t="shared" si="2"/>
        <v/>
      </c>
      <c r="J9914" s="1" t="str">
        <f t="shared" si="3"/>
        <v/>
      </c>
      <c r="K9914" s="1" t="str">
        <f t="shared" si="4"/>
        <v/>
      </c>
    </row>
    <row r="9915" hidden="1">
      <c r="F9915" s="1" t="str">
        <f t="shared" si="1"/>
        <v/>
      </c>
      <c r="G9915" s="1" t="str">
        <f t="shared" si="2"/>
        <v/>
      </c>
      <c r="J9915" s="1" t="str">
        <f t="shared" si="3"/>
        <v/>
      </c>
      <c r="K9915" s="1" t="str">
        <f t="shared" si="4"/>
        <v/>
      </c>
    </row>
    <row r="9916" hidden="1">
      <c r="F9916" s="1" t="str">
        <f t="shared" si="1"/>
        <v/>
      </c>
      <c r="G9916" s="1" t="str">
        <f t="shared" si="2"/>
        <v/>
      </c>
      <c r="J9916" s="1" t="str">
        <f t="shared" si="3"/>
        <v/>
      </c>
      <c r="K9916" s="1" t="str">
        <f t="shared" si="4"/>
        <v/>
      </c>
    </row>
    <row r="9917" hidden="1">
      <c r="F9917" s="1" t="str">
        <f t="shared" si="1"/>
        <v/>
      </c>
      <c r="G9917" s="1" t="str">
        <f t="shared" si="2"/>
        <v/>
      </c>
      <c r="J9917" s="1" t="str">
        <f t="shared" si="3"/>
        <v/>
      </c>
      <c r="K9917" s="1" t="str">
        <f t="shared" si="4"/>
        <v/>
      </c>
    </row>
    <row r="9918" hidden="1">
      <c r="F9918" s="1" t="str">
        <f t="shared" si="1"/>
        <v/>
      </c>
      <c r="G9918" s="1" t="str">
        <f t="shared" si="2"/>
        <v/>
      </c>
      <c r="J9918" s="1" t="str">
        <f t="shared" si="3"/>
        <v/>
      </c>
      <c r="K9918" s="1" t="str">
        <f t="shared" si="4"/>
        <v/>
      </c>
    </row>
    <row r="9919" hidden="1">
      <c r="F9919" s="1" t="str">
        <f t="shared" si="1"/>
        <v/>
      </c>
      <c r="G9919" s="1" t="str">
        <f t="shared" si="2"/>
        <v/>
      </c>
      <c r="J9919" s="1" t="str">
        <f t="shared" si="3"/>
        <v/>
      </c>
      <c r="K9919" s="1" t="str">
        <f t="shared" si="4"/>
        <v/>
      </c>
    </row>
    <row r="9920" hidden="1">
      <c r="F9920" s="1" t="str">
        <f t="shared" si="1"/>
        <v/>
      </c>
      <c r="G9920" s="1" t="str">
        <f t="shared" si="2"/>
        <v/>
      </c>
      <c r="J9920" s="1" t="str">
        <f t="shared" si="3"/>
        <v/>
      </c>
      <c r="K9920" s="1" t="str">
        <f t="shared" si="4"/>
        <v/>
      </c>
    </row>
    <row r="9921" hidden="1">
      <c r="F9921" s="1" t="str">
        <f t="shared" si="1"/>
        <v/>
      </c>
      <c r="G9921" s="1" t="str">
        <f t="shared" si="2"/>
        <v/>
      </c>
      <c r="J9921" s="1" t="str">
        <f t="shared" si="3"/>
        <v/>
      </c>
      <c r="K9921" s="1" t="str">
        <f t="shared" si="4"/>
        <v/>
      </c>
    </row>
    <row r="9922" hidden="1">
      <c r="F9922" s="1" t="str">
        <f t="shared" si="1"/>
        <v/>
      </c>
      <c r="G9922" s="1" t="str">
        <f t="shared" si="2"/>
        <v/>
      </c>
      <c r="J9922" s="1" t="str">
        <f t="shared" si="3"/>
        <v/>
      </c>
      <c r="K9922" s="1" t="str">
        <f t="shared" si="4"/>
        <v/>
      </c>
    </row>
    <row r="9923" hidden="1">
      <c r="F9923" s="1" t="str">
        <f t="shared" si="1"/>
        <v/>
      </c>
      <c r="G9923" s="1" t="str">
        <f t="shared" si="2"/>
        <v/>
      </c>
      <c r="J9923" s="1" t="str">
        <f t="shared" si="3"/>
        <v/>
      </c>
      <c r="K9923" s="1" t="str">
        <f t="shared" si="4"/>
        <v/>
      </c>
    </row>
    <row r="9924" hidden="1">
      <c r="F9924" s="1" t="str">
        <f t="shared" si="1"/>
        <v/>
      </c>
      <c r="G9924" s="1" t="str">
        <f t="shared" si="2"/>
        <v/>
      </c>
      <c r="J9924" s="1" t="str">
        <f t="shared" si="3"/>
        <v/>
      </c>
      <c r="K9924" s="1" t="str">
        <f t="shared" si="4"/>
        <v/>
      </c>
    </row>
    <row r="9925" hidden="1">
      <c r="F9925" s="1" t="str">
        <f t="shared" si="1"/>
        <v/>
      </c>
      <c r="G9925" s="1" t="str">
        <f t="shared" si="2"/>
        <v/>
      </c>
      <c r="J9925" s="1" t="str">
        <f t="shared" si="3"/>
        <v/>
      </c>
      <c r="K9925" s="1" t="str">
        <f t="shared" si="4"/>
        <v/>
      </c>
    </row>
    <row r="9926" hidden="1">
      <c r="F9926" s="1" t="str">
        <f t="shared" si="1"/>
        <v/>
      </c>
      <c r="G9926" s="1" t="str">
        <f t="shared" si="2"/>
        <v/>
      </c>
      <c r="J9926" s="1" t="str">
        <f t="shared" si="3"/>
        <v/>
      </c>
      <c r="K9926" s="1" t="str">
        <f t="shared" si="4"/>
        <v/>
      </c>
    </row>
    <row r="9927" hidden="1">
      <c r="F9927" s="1" t="str">
        <f t="shared" si="1"/>
        <v/>
      </c>
      <c r="G9927" s="1" t="str">
        <f t="shared" si="2"/>
        <v/>
      </c>
      <c r="J9927" s="1" t="str">
        <f t="shared" si="3"/>
        <v/>
      </c>
      <c r="K9927" s="1" t="str">
        <f t="shared" si="4"/>
        <v/>
      </c>
    </row>
    <row r="9928" hidden="1">
      <c r="F9928" s="1" t="str">
        <f t="shared" si="1"/>
        <v/>
      </c>
      <c r="G9928" s="1" t="str">
        <f t="shared" si="2"/>
        <v/>
      </c>
      <c r="J9928" s="1" t="str">
        <f t="shared" si="3"/>
        <v/>
      </c>
      <c r="K9928" s="1" t="str">
        <f t="shared" si="4"/>
        <v/>
      </c>
    </row>
    <row r="9929" hidden="1">
      <c r="F9929" s="1" t="str">
        <f t="shared" si="1"/>
        <v/>
      </c>
      <c r="G9929" s="1" t="str">
        <f t="shared" si="2"/>
        <v/>
      </c>
      <c r="J9929" s="1" t="str">
        <f t="shared" si="3"/>
        <v/>
      </c>
      <c r="K9929" s="1" t="str">
        <f t="shared" si="4"/>
        <v/>
      </c>
    </row>
    <row r="9930" hidden="1">
      <c r="F9930" s="1" t="str">
        <f t="shared" si="1"/>
        <v/>
      </c>
      <c r="G9930" s="1" t="str">
        <f t="shared" si="2"/>
        <v/>
      </c>
      <c r="J9930" s="1" t="str">
        <f t="shared" si="3"/>
        <v/>
      </c>
      <c r="K9930" s="1" t="str">
        <f t="shared" si="4"/>
        <v/>
      </c>
    </row>
    <row r="9931" hidden="1">
      <c r="F9931" s="1" t="str">
        <f t="shared" si="1"/>
        <v/>
      </c>
      <c r="G9931" s="1" t="str">
        <f t="shared" si="2"/>
        <v/>
      </c>
      <c r="J9931" s="1" t="str">
        <f t="shared" si="3"/>
        <v/>
      </c>
      <c r="K9931" s="1" t="str">
        <f t="shared" si="4"/>
        <v/>
      </c>
    </row>
    <row r="9932" hidden="1">
      <c r="F9932" s="1" t="str">
        <f t="shared" si="1"/>
        <v/>
      </c>
      <c r="G9932" s="1" t="str">
        <f t="shared" si="2"/>
        <v/>
      </c>
      <c r="J9932" s="1" t="str">
        <f t="shared" si="3"/>
        <v/>
      </c>
      <c r="K9932" s="1" t="str">
        <f t="shared" si="4"/>
        <v/>
      </c>
    </row>
    <row r="9933" hidden="1">
      <c r="F9933" s="1" t="str">
        <f t="shared" si="1"/>
        <v/>
      </c>
      <c r="G9933" s="1" t="str">
        <f t="shared" si="2"/>
        <v/>
      </c>
      <c r="J9933" s="1" t="str">
        <f t="shared" si="3"/>
        <v/>
      </c>
      <c r="K9933" s="1" t="str">
        <f t="shared" si="4"/>
        <v/>
      </c>
    </row>
    <row r="9934" hidden="1">
      <c r="F9934" s="1" t="str">
        <f t="shared" si="1"/>
        <v/>
      </c>
      <c r="G9934" s="1" t="str">
        <f t="shared" si="2"/>
        <v/>
      </c>
      <c r="J9934" s="1" t="str">
        <f t="shared" si="3"/>
        <v/>
      </c>
      <c r="K9934" s="1" t="str">
        <f t="shared" si="4"/>
        <v/>
      </c>
    </row>
    <row r="9935" hidden="1">
      <c r="F9935" s="1" t="str">
        <f t="shared" si="1"/>
        <v/>
      </c>
      <c r="G9935" s="1" t="str">
        <f t="shared" si="2"/>
        <v/>
      </c>
      <c r="J9935" s="1" t="str">
        <f t="shared" si="3"/>
        <v/>
      </c>
      <c r="K9935" s="1" t="str">
        <f t="shared" si="4"/>
        <v/>
      </c>
    </row>
    <row r="9936" hidden="1">
      <c r="F9936" s="1" t="str">
        <f t="shared" si="1"/>
        <v/>
      </c>
      <c r="G9936" s="1" t="str">
        <f t="shared" si="2"/>
        <v/>
      </c>
      <c r="J9936" s="1" t="str">
        <f t="shared" si="3"/>
        <v/>
      </c>
      <c r="K9936" s="1" t="str">
        <f t="shared" si="4"/>
        <v/>
      </c>
    </row>
    <row r="9937" hidden="1">
      <c r="F9937" s="1" t="str">
        <f t="shared" si="1"/>
        <v/>
      </c>
      <c r="G9937" s="1" t="str">
        <f t="shared" si="2"/>
        <v/>
      </c>
      <c r="J9937" s="1" t="str">
        <f t="shared" si="3"/>
        <v/>
      </c>
      <c r="K9937" s="1" t="str">
        <f t="shared" si="4"/>
        <v/>
      </c>
    </row>
    <row r="9938" hidden="1">
      <c r="F9938" s="1" t="str">
        <f t="shared" si="1"/>
        <v/>
      </c>
      <c r="G9938" s="1" t="str">
        <f t="shared" si="2"/>
        <v/>
      </c>
      <c r="J9938" s="1" t="str">
        <f t="shared" si="3"/>
        <v/>
      </c>
      <c r="K9938" s="1" t="str">
        <f t="shared" si="4"/>
        <v/>
      </c>
    </row>
    <row r="9939" hidden="1">
      <c r="F9939" s="1" t="str">
        <f t="shared" si="1"/>
        <v/>
      </c>
      <c r="G9939" s="1" t="str">
        <f t="shared" si="2"/>
        <v/>
      </c>
      <c r="J9939" s="1" t="str">
        <f t="shared" si="3"/>
        <v/>
      </c>
      <c r="K9939" s="1" t="str">
        <f t="shared" si="4"/>
        <v/>
      </c>
    </row>
    <row r="9940" hidden="1">
      <c r="F9940" s="1" t="str">
        <f t="shared" si="1"/>
        <v/>
      </c>
      <c r="G9940" s="1" t="str">
        <f t="shared" si="2"/>
        <v/>
      </c>
      <c r="J9940" s="1" t="str">
        <f t="shared" si="3"/>
        <v/>
      </c>
      <c r="K9940" s="1" t="str">
        <f t="shared" si="4"/>
        <v/>
      </c>
    </row>
    <row r="9941" hidden="1">
      <c r="F9941" s="1" t="str">
        <f t="shared" si="1"/>
        <v/>
      </c>
      <c r="G9941" s="1" t="str">
        <f t="shared" si="2"/>
        <v/>
      </c>
      <c r="J9941" s="1" t="str">
        <f t="shared" si="3"/>
        <v/>
      </c>
      <c r="K9941" s="1" t="str">
        <f t="shared" si="4"/>
        <v/>
      </c>
    </row>
    <row r="9942" hidden="1">
      <c r="F9942" s="1" t="str">
        <f t="shared" si="1"/>
        <v/>
      </c>
      <c r="G9942" s="1" t="str">
        <f t="shared" si="2"/>
        <v/>
      </c>
      <c r="J9942" s="1" t="str">
        <f t="shared" si="3"/>
        <v/>
      </c>
      <c r="K9942" s="1" t="str">
        <f t="shared" si="4"/>
        <v/>
      </c>
    </row>
    <row r="9943" hidden="1">
      <c r="F9943" s="1" t="str">
        <f t="shared" si="1"/>
        <v/>
      </c>
      <c r="G9943" s="1" t="str">
        <f t="shared" si="2"/>
        <v/>
      </c>
      <c r="J9943" s="1" t="str">
        <f t="shared" si="3"/>
        <v/>
      </c>
      <c r="K9943" s="1" t="str">
        <f t="shared" si="4"/>
        <v/>
      </c>
    </row>
    <row r="9944" hidden="1">
      <c r="F9944" s="1" t="str">
        <f t="shared" si="1"/>
        <v/>
      </c>
      <c r="G9944" s="1" t="str">
        <f t="shared" si="2"/>
        <v/>
      </c>
      <c r="J9944" s="1" t="str">
        <f t="shared" si="3"/>
        <v/>
      </c>
      <c r="K9944" s="1" t="str">
        <f t="shared" si="4"/>
        <v/>
      </c>
    </row>
    <row r="9945" hidden="1">
      <c r="F9945" s="1" t="str">
        <f t="shared" si="1"/>
        <v/>
      </c>
      <c r="G9945" s="1" t="str">
        <f t="shared" si="2"/>
        <v/>
      </c>
      <c r="J9945" s="1" t="str">
        <f t="shared" si="3"/>
        <v/>
      </c>
      <c r="K9945" s="1" t="str">
        <f t="shared" si="4"/>
        <v/>
      </c>
    </row>
    <row r="9946" hidden="1">
      <c r="F9946" s="1" t="str">
        <f t="shared" si="1"/>
        <v/>
      </c>
      <c r="G9946" s="1" t="str">
        <f t="shared" si="2"/>
        <v/>
      </c>
      <c r="J9946" s="1" t="str">
        <f t="shared" si="3"/>
        <v/>
      </c>
      <c r="K9946" s="1" t="str">
        <f t="shared" si="4"/>
        <v/>
      </c>
    </row>
    <row r="9947" hidden="1">
      <c r="F9947" s="1" t="str">
        <f t="shared" si="1"/>
        <v/>
      </c>
      <c r="G9947" s="1" t="str">
        <f t="shared" si="2"/>
        <v/>
      </c>
      <c r="J9947" s="1" t="str">
        <f t="shared" si="3"/>
        <v/>
      </c>
      <c r="K9947" s="1" t="str">
        <f t="shared" si="4"/>
        <v/>
      </c>
    </row>
    <row r="9948" hidden="1">
      <c r="F9948" s="1" t="str">
        <f t="shared" si="1"/>
        <v/>
      </c>
      <c r="G9948" s="1" t="str">
        <f t="shared" si="2"/>
        <v/>
      </c>
      <c r="J9948" s="1" t="str">
        <f t="shared" si="3"/>
        <v/>
      </c>
      <c r="K9948" s="1" t="str">
        <f t="shared" si="4"/>
        <v/>
      </c>
    </row>
    <row r="9949" hidden="1">
      <c r="F9949" s="1" t="str">
        <f t="shared" si="1"/>
        <v/>
      </c>
      <c r="G9949" s="1" t="str">
        <f t="shared" si="2"/>
        <v/>
      </c>
      <c r="J9949" s="1" t="str">
        <f t="shared" si="3"/>
        <v/>
      </c>
      <c r="K9949" s="1" t="str">
        <f t="shared" si="4"/>
        <v/>
      </c>
    </row>
    <row r="9950" hidden="1">
      <c r="F9950" s="1" t="str">
        <f t="shared" si="1"/>
        <v/>
      </c>
      <c r="G9950" s="1" t="str">
        <f t="shared" si="2"/>
        <v/>
      </c>
      <c r="J9950" s="1" t="str">
        <f t="shared" si="3"/>
        <v/>
      </c>
      <c r="K9950" s="1" t="str">
        <f t="shared" si="4"/>
        <v/>
      </c>
    </row>
    <row r="9951" hidden="1">
      <c r="F9951" s="1" t="str">
        <f t="shared" si="1"/>
        <v/>
      </c>
      <c r="G9951" s="1" t="str">
        <f t="shared" si="2"/>
        <v/>
      </c>
      <c r="J9951" s="1" t="str">
        <f t="shared" si="3"/>
        <v/>
      </c>
      <c r="K9951" s="1" t="str">
        <f t="shared" si="4"/>
        <v/>
      </c>
    </row>
    <row r="9952" hidden="1">
      <c r="F9952" s="1" t="str">
        <f t="shared" si="1"/>
        <v/>
      </c>
      <c r="G9952" s="1" t="str">
        <f t="shared" si="2"/>
        <v/>
      </c>
      <c r="J9952" s="1" t="str">
        <f t="shared" si="3"/>
        <v/>
      </c>
      <c r="K9952" s="1" t="str">
        <f t="shared" si="4"/>
        <v/>
      </c>
    </row>
    <row r="9953" hidden="1">
      <c r="F9953" s="1" t="str">
        <f t="shared" si="1"/>
        <v/>
      </c>
      <c r="G9953" s="1" t="str">
        <f t="shared" si="2"/>
        <v/>
      </c>
      <c r="J9953" s="1" t="str">
        <f t="shared" si="3"/>
        <v/>
      </c>
      <c r="K9953" s="1" t="str">
        <f t="shared" si="4"/>
        <v/>
      </c>
    </row>
    <row r="9954" hidden="1">
      <c r="F9954" s="1" t="str">
        <f t="shared" si="1"/>
        <v/>
      </c>
      <c r="G9954" s="1" t="str">
        <f t="shared" si="2"/>
        <v/>
      </c>
      <c r="J9954" s="1" t="str">
        <f t="shared" si="3"/>
        <v/>
      </c>
      <c r="K9954" s="1" t="str">
        <f t="shared" si="4"/>
        <v/>
      </c>
    </row>
    <row r="9955" hidden="1">
      <c r="F9955" s="1" t="str">
        <f t="shared" si="1"/>
        <v/>
      </c>
      <c r="G9955" s="1" t="str">
        <f t="shared" si="2"/>
        <v/>
      </c>
      <c r="J9955" s="1" t="str">
        <f t="shared" si="3"/>
        <v/>
      </c>
      <c r="K9955" s="1" t="str">
        <f t="shared" si="4"/>
        <v/>
      </c>
    </row>
    <row r="9956" hidden="1">
      <c r="F9956" s="1" t="str">
        <f t="shared" si="1"/>
        <v/>
      </c>
      <c r="G9956" s="1" t="str">
        <f t="shared" si="2"/>
        <v/>
      </c>
      <c r="J9956" s="1" t="str">
        <f t="shared" si="3"/>
        <v/>
      </c>
      <c r="K9956" s="1" t="str">
        <f t="shared" si="4"/>
        <v/>
      </c>
    </row>
    <row r="9957" hidden="1">
      <c r="F9957" s="1" t="str">
        <f t="shared" si="1"/>
        <v/>
      </c>
      <c r="G9957" s="1" t="str">
        <f t="shared" si="2"/>
        <v/>
      </c>
      <c r="J9957" s="1" t="str">
        <f t="shared" si="3"/>
        <v/>
      </c>
      <c r="K9957" s="1" t="str">
        <f t="shared" si="4"/>
        <v/>
      </c>
    </row>
    <row r="9958" hidden="1">
      <c r="F9958" s="1" t="str">
        <f t="shared" si="1"/>
        <v/>
      </c>
      <c r="G9958" s="1" t="str">
        <f t="shared" si="2"/>
        <v/>
      </c>
      <c r="J9958" s="1" t="str">
        <f t="shared" si="3"/>
        <v/>
      </c>
      <c r="K9958" s="1" t="str">
        <f t="shared" si="4"/>
        <v/>
      </c>
    </row>
    <row r="9959" hidden="1">
      <c r="F9959" s="1" t="str">
        <f t="shared" si="1"/>
        <v/>
      </c>
      <c r="G9959" s="1" t="str">
        <f t="shared" si="2"/>
        <v/>
      </c>
      <c r="J9959" s="1" t="str">
        <f t="shared" si="3"/>
        <v/>
      </c>
      <c r="K9959" s="1" t="str">
        <f t="shared" si="4"/>
        <v/>
      </c>
    </row>
    <row r="9960" hidden="1">
      <c r="F9960" s="1" t="str">
        <f t="shared" si="1"/>
        <v/>
      </c>
      <c r="G9960" s="1" t="str">
        <f t="shared" si="2"/>
        <v/>
      </c>
      <c r="J9960" s="1" t="str">
        <f t="shared" si="3"/>
        <v/>
      </c>
      <c r="K9960" s="1" t="str">
        <f t="shared" si="4"/>
        <v/>
      </c>
    </row>
    <row r="9961" hidden="1">
      <c r="F9961" s="1" t="str">
        <f t="shared" si="1"/>
        <v/>
      </c>
      <c r="G9961" s="1" t="str">
        <f t="shared" si="2"/>
        <v/>
      </c>
      <c r="J9961" s="1" t="str">
        <f t="shared" si="3"/>
        <v/>
      </c>
      <c r="K9961" s="1" t="str">
        <f t="shared" si="4"/>
        <v/>
      </c>
    </row>
    <row r="9962" hidden="1">
      <c r="F9962" s="1" t="str">
        <f t="shared" si="1"/>
        <v/>
      </c>
      <c r="G9962" s="1" t="str">
        <f t="shared" si="2"/>
        <v/>
      </c>
      <c r="J9962" s="1" t="str">
        <f t="shared" si="3"/>
        <v/>
      </c>
      <c r="K9962" s="1" t="str">
        <f t="shared" si="4"/>
        <v/>
      </c>
    </row>
    <row r="9963" hidden="1">
      <c r="F9963" s="1" t="str">
        <f t="shared" si="1"/>
        <v/>
      </c>
      <c r="G9963" s="1" t="str">
        <f t="shared" si="2"/>
        <v/>
      </c>
      <c r="J9963" s="1" t="str">
        <f t="shared" si="3"/>
        <v/>
      </c>
      <c r="K9963" s="1" t="str">
        <f t="shared" si="4"/>
        <v/>
      </c>
    </row>
    <row r="9964" hidden="1">
      <c r="F9964" s="1" t="str">
        <f t="shared" si="1"/>
        <v/>
      </c>
      <c r="G9964" s="1" t="str">
        <f t="shared" si="2"/>
        <v/>
      </c>
      <c r="J9964" s="1" t="str">
        <f t="shared" si="3"/>
        <v/>
      </c>
      <c r="K9964" s="1" t="str">
        <f t="shared" si="4"/>
        <v/>
      </c>
    </row>
    <row r="9965" hidden="1">
      <c r="F9965" s="1" t="str">
        <f t="shared" si="1"/>
        <v/>
      </c>
      <c r="G9965" s="1" t="str">
        <f t="shared" si="2"/>
        <v/>
      </c>
      <c r="J9965" s="1" t="str">
        <f t="shared" si="3"/>
        <v/>
      </c>
      <c r="K9965" s="1" t="str">
        <f t="shared" si="4"/>
        <v/>
      </c>
    </row>
    <row r="9966" hidden="1">
      <c r="F9966" s="1" t="str">
        <f t="shared" si="1"/>
        <v/>
      </c>
      <c r="G9966" s="1" t="str">
        <f t="shared" si="2"/>
        <v/>
      </c>
      <c r="J9966" s="1" t="str">
        <f t="shared" si="3"/>
        <v/>
      </c>
      <c r="K9966" s="1" t="str">
        <f t="shared" si="4"/>
        <v/>
      </c>
    </row>
    <row r="9967" hidden="1">
      <c r="F9967" s="1" t="str">
        <f t="shared" si="1"/>
        <v/>
      </c>
      <c r="G9967" s="1" t="str">
        <f t="shared" si="2"/>
        <v/>
      </c>
      <c r="J9967" s="1" t="str">
        <f t="shared" si="3"/>
        <v/>
      </c>
      <c r="K9967" s="1" t="str">
        <f t="shared" si="4"/>
        <v/>
      </c>
    </row>
    <row r="9968" hidden="1">
      <c r="F9968" s="1" t="str">
        <f t="shared" si="1"/>
        <v/>
      </c>
      <c r="G9968" s="1" t="str">
        <f t="shared" si="2"/>
        <v/>
      </c>
      <c r="J9968" s="1" t="str">
        <f t="shared" si="3"/>
        <v/>
      </c>
      <c r="K9968" s="1" t="str">
        <f t="shared" si="4"/>
        <v/>
      </c>
    </row>
    <row r="9969" hidden="1">
      <c r="F9969" s="1" t="str">
        <f t="shared" si="1"/>
        <v/>
      </c>
      <c r="G9969" s="1" t="str">
        <f t="shared" si="2"/>
        <v/>
      </c>
      <c r="J9969" s="1" t="str">
        <f t="shared" si="3"/>
        <v/>
      </c>
      <c r="K9969" s="1" t="str">
        <f t="shared" si="4"/>
        <v/>
      </c>
    </row>
    <row r="9970" hidden="1">
      <c r="F9970" s="1" t="str">
        <f t="shared" si="1"/>
        <v/>
      </c>
      <c r="G9970" s="1" t="str">
        <f t="shared" si="2"/>
        <v/>
      </c>
      <c r="J9970" s="1" t="str">
        <f t="shared" si="3"/>
        <v/>
      </c>
      <c r="K9970" s="1" t="str">
        <f t="shared" si="4"/>
        <v/>
      </c>
    </row>
    <row r="9971" hidden="1">
      <c r="F9971" s="1" t="str">
        <f t="shared" si="1"/>
        <v/>
      </c>
      <c r="G9971" s="1" t="str">
        <f t="shared" si="2"/>
        <v/>
      </c>
      <c r="J9971" s="1" t="str">
        <f t="shared" si="3"/>
        <v/>
      </c>
      <c r="K9971" s="1" t="str">
        <f t="shared" si="4"/>
        <v/>
      </c>
    </row>
    <row r="9972" hidden="1">
      <c r="F9972" s="1" t="str">
        <f t="shared" si="1"/>
        <v/>
      </c>
      <c r="G9972" s="1" t="str">
        <f t="shared" si="2"/>
        <v/>
      </c>
      <c r="J9972" s="1" t="str">
        <f t="shared" si="3"/>
        <v/>
      </c>
      <c r="K9972" s="1" t="str">
        <f t="shared" si="4"/>
        <v/>
      </c>
    </row>
    <row r="9973" hidden="1">
      <c r="F9973" s="1" t="str">
        <f t="shared" si="1"/>
        <v/>
      </c>
      <c r="G9973" s="1" t="str">
        <f t="shared" si="2"/>
        <v/>
      </c>
      <c r="J9973" s="1" t="str">
        <f t="shared" si="3"/>
        <v/>
      </c>
      <c r="K9973" s="1" t="str">
        <f t="shared" si="4"/>
        <v/>
      </c>
    </row>
    <row r="9974" hidden="1">
      <c r="F9974" s="1" t="str">
        <f t="shared" si="1"/>
        <v/>
      </c>
      <c r="G9974" s="1" t="str">
        <f t="shared" si="2"/>
        <v/>
      </c>
      <c r="J9974" s="1" t="str">
        <f t="shared" si="3"/>
        <v/>
      </c>
      <c r="K9974" s="1" t="str">
        <f t="shared" si="4"/>
        <v/>
      </c>
    </row>
    <row r="9975" hidden="1">
      <c r="F9975" s="1" t="str">
        <f t="shared" si="1"/>
        <v/>
      </c>
      <c r="G9975" s="1" t="str">
        <f t="shared" si="2"/>
        <v/>
      </c>
      <c r="J9975" s="1" t="str">
        <f t="shared" si="3"/>
        <v/>
      </c>
      <c r="K9975" s="1" t="str">
        <f t="shared" si="4"/>
        <v/>
      </c>
    </row>
    <row r="9976" hidden="1">
      <c r="F9976" s="1" t="str">
        <f t="shared" si="1"/>
        <v/>
      </c>
      <c r="G9976" s="1" t="str">
        <f t="shared" si="2"/>
        <v/>
      </c>
      <c r="J9976" s="1" t="str">
        <f t="shared" si="3"/>
        <v/>
      </c>
      <c r="K9976" s="1" t="str">
        <f t="shared" si="4"/>
        <v/>
      </c>
    </row>
    <row r="9977" hidden="1">
      <c r="F9977" s="1" t="str">
        <f t="shared" si="1"/>
        <v/>
      </c>
      <c r="G9977" s="1" t="str">
        <f t="shared" si="2"/>
        <v/>
      </c>
      <c r="J9977" s="1" t="str">
        <f t="shared" si="3"/>
        <v/>
      </c>
      <c r="K9977" s="1" t="str">
        <f t="shared" si="4"/>
        <v/>
      </c>
    </row>
    <row r="9978" hidden="1">
      <c r="F9978" s="1" t="str">
        <f t="shared" si="1"/>
        <v/>
      </c>
      <c r="G9978" s="1" t="str">
        <f t="shared" si="2"/>
        <v/>
      </c>
      <c r="J9978" s="1" t="str">
        <f t="shared" si="3"/>
        <v/>
      </c>
      <c r="K9978" s="1" t="str">
        <f t="shared" si="4"/>
        <v/>
      </c>
    </row>
    <row r="9979" hidden="1">
      <c r="F9979" s="1" t="str">
        <f t="shared" si="1"/>
        <v/>
      </c>
      <c r="G9979" s="1" t="str">
        <f t="shared" si="2"/>
        <v/>
      </c>
      <c r="J9979" s="1" t="str">
        <f t="shared" si="3"/>
        <v/>
      </c>
      <c r="K9979" s="1" t="str">
        <f t="shared" si="4"/>
        <v/>
      </c>
    </row>
    <row r="9980" hidden="1">
      <c r="F9980" s="1" t="str">
        <f t="shared" si="1"/>
        <v/>
      </c>
      <c r="G9980" s="1" t="str">
        <f t="shared" si="2"/>
        <v/>
      </c>
      <c r="J9980" s="1" t="str">
        <f t="shared" si="3"/>
        <v/>
      </c>
      <c r="K9980" s="1" t="str">
        <f t="shared" si="4"/>
        <v/>
      </c>
    </row>
    <row r="9981" hidden="1">
      <c r="F9981" s="1" t="str">
        <f t="shared" si="1"/>
        <v/>
      </c>
      <c r="G9981" s="1" t="str">
        <f t="shared" si="2"/>
        <v/>
      </c>
      <c r="J9981" s="1" t="str">
        <f t="shared" si="3"/>
        <v/>
      </c>
      <c r="K9981" s="1" t="str">
        <f t="shared" si="4"/>
        <v/>
      </c>
    </row>
    <row r="9982" hidden="1">
      <c r="F9982" s="1" t="str">
        <f t="shared" si="1"/>
        <v/>
      </c>
      <c r="G9982" s="1" t="str">
        <f t="shared" si="2"/>
        <v/>
      </c>
      <c r="J9982" s="1" t="str">
        <f t="shared" si="3"/>
        <v/>
      </c>
      <c r="K9982" s="1" t="str">
        <f t="shared" si="4"/>
        <v/>
      </c>
    </row>
    <row r="9983" hidden="1">
      <c r="F9983" s="1" t="str">
        <f t="shared" si="1"/>
        <v/>
      </c>
      <c r="G9983" s="1" t="str">
        <f t="shared" si="2"/>
        <v/>
      </c>
      <c r="J9983" s="1" t="str">
        <f t="shared" si="3"/>
        <v/>
      </c>
      <c r="K9983" s="1" t="str">
        <f t="shared" si="4"/>
        <v/>
      </c>
    </row>
    <row r="9984" hidden="1">
      <c r="F9984" s="1" t="str">
        <f t="shared" si="1"/>
        <v/>
      </c>
      <c r="G9984" s="1" t="str">
        <f t="shared" si="2"/>
        <v/>
      </c>
      <c r="J9984" s="1" t="str">
        <f t="shared" si="3"/>
        <v/>
      </c>
      <c r="K9984" s="1" t="str">
        <f t="shared" si="4"/>
        <v/>
      </c>
    </row>
    <row r="9985" hidden="1">
      <c r="F9985" s="1" t="str">
        <f t="shared" si="1"/>
        <v/>
      </c>
      <c r="G9985" s="1" t="str">
        <f t="shared" si="2"/>
        <v/>
      </c>
      <c r="J9985" s="1" t="str">
        <f t="shared" si="3"/>
        <v/>
      </c>
      <c r="K9985" s="1" t="str">
        <f t="shared" si="4"/>
        <v/>
      </c>
    </row>
    <row r="9986" hidden="1">
      <c r="F9986" s="1" t="str">
        <f t="shared" si="1"/>
        <v/>
      </c>
      <c r="G9986" s="1" t="str">
        <f t="shared" si="2"/>
        <v/>
      </c>
      <c r="J9986" s="1" t="str">
        <f t="shared" si="3"/>
        <v/>
      </c>
      <c r="K9986" s="1" t="str">
        <f t="shared" si="4"/>
        <v/>
      </c>
    </row>
    <row r="9987" hidden="1">
      <c r="F9987" s="1" t="str">
        <f t="shared" si="1"/>
        <v/>
      </c>
      <c r="G9987" s="1" t="str">
        <f t="shared" si="2"/>
        <v/>
      </c>
      <c r="J9987" s="1" t="str">
        <f t="shared" si="3"/>
        <v/>
      </c>
      <c r="K9987" s="1" t="str">
        <f t="shared" si="4"/>
        <v/>
      </c>
    </row>
    <row r="9988" hidden="1">
      <c r="F9988" s="1" t="str">
        <f t="shared" si="1"/>
        <v/>
      </c>
      <c r="G9988" s="1" t="str">
        <f t="shared" si="2"/>
        <v/>
      </c>
      <c r="J9988" s="1" t="str">
        <f t="shared" si="3"/>
        <v/>
      </c>
      <c r="K9988" s="1" t="str">
        <f t="shared" si="4"/>
        <v/>
      </c>
    </row>
    <row r="9989" hidden="1">
      <c r="F9989" s="1" t="str">
        <f t="shared" si="1"/>
        <v/>
      </c>
      <c r="G9989" s="1" t="str">
        <f t="shared" si="2"/>
        <v/>
      </c>
      <c r="J9989" s="1" t="str">
        <f t="shared" si="3"/>
        <v/>
      </c>
      <c r="K9989" s="1" t="str">
        <f t="shared" si="4"/>
        <v/>
      </c>
    </row>
    <row r="9990" hidden="1">
      <c r="F9990" s="1" t="str">
        <f t="shared" si="1"/>
        <v/>
      </c>
      <c r="G9990" s="1" t="str">
        <f t="shared" si="2"/>
        <v/>
      </c>
      <c r="J9990" s="1" t="str">
        <f t="shared" si="3"/>
        <v/>
      </c>
      <c r="K9990" s="1" t="str">
        <f t="shared" si="4"/>
        <v/>
      </c>
    </row>
    <row r="9991" hidden="1">
      <c r="F9991" s="1" t="str">
        <f t="shared" si="1"/>
        <v/>
      </c>
      <c r="G9991" s="1" t="str">
        <f t="shared" si="2"/>
        <v/>
      </c>
      <c r="J9991" s="1" t="str">
        <f t="shared" si="3"/>
        <v/>
      </c>
      <c r="K9991" s="1" t="str">
        <f t="shared" si="4"/>
        <v/>
      </c>
    </row>
    <row r="9992" hidden="1">
      <c r="F9992" s="1" t="str">
        <f t="shared" si="1"/>
        <v/>
      </c>
      <c r="G9992" s="1" t="str">
        <f t="shared" si="2"/>
        <v/>
      </c>
      <c r="J9992" s="1" t="str">
        <f t="shared" si="3"/>
        <v/>
      </c>
      <c r="K9992" s="1" t="str">
        <f t="shared" si="4"/>
        <v/>
      </c>
    </row>
    <row r="9993" hidden="1">
      <c r="F9993" s="1" t="str">
        <f t="shared" si="1"/>
        <v/>
      </c>
      <c r="G9993" s="1" t="str">
        <f t="shared" si="2"/>
        <v/>
      </c>
      <c r="J9993" s="1" t="str">
        <f t="shared" si="3"/>
        <v/>
      </c>
      <c r="K9993" s="1" t="str">
        <f t="shared" si="4"/>
        <v/>
      </c>
    </row>
    <row r="9994" hidden="1">
      <c r="F9994" s="1" t="str">
        <f t="shared" si="1"/>
        <v/>
      </c>
      <c r="G9994" s="1" t="str">
        <f t="shared" si="2"/>
        <v/>
      </c>
      <c r="J9994" s="1" t="str">
        <f t="shared" si="3"/>
        <v/>
      </c>
      <c r="K9994" s="1" t="str">
        <f t="shared" si="4"/>
        <v/>
      </c>
    </row>
    <row r="9995" hidden="1">
      <c r="F9995" s="1" t="str">
        <f t="shared" si="1"/>
        <v/>
      </c>
      <c r="G9995" s="1" t="str">
        <f t="shared" si="2"/>
        <v/>
      </c>
      <c r="J9995" s="1" t="str">
        <f t="shared" si="3"/>
        <v/>
      </c>
      <c r="K9995" s="1" t="str">
        <f t="shared" si="4"/>
        <v/>
      </c>
    </row>
    <row r="9996" hidden="1">
      <c r="F9996" s="1" t="str">
        <f t="shared" si="1"/>
        <v/>
      </c>
      <c r="G9996" s="1" t="str">
        <f t="shared" si="2"/>
        <v/>
      </c>
      <c r="J9996" s="1" t="str">
        <f t="shared" si="3"/>
        <v/>
      </c>
      <c r="K9996" s="1" t="str">
        <f t="shared" si="4"/>
        <v/>
      </c>
    </row>
    <row r="9997" hidden="1">
      <c r="F9997" s="1" t="str">
        <f t="shared" si="1"/>
        <v/>
      </c>
      <c r="G9997" s="1" t="str">
        <f t="shared" si="2"/>
        <v/>
      </c>
      <c r="J9997" s="1" t="str">
        <f t="shared" si="3"/>
        <v/>
      </c>
      <c r="K9997" s="1" t="str">
        <f t="shared" si="4"/>
        <v/>
      </c>
    </row>
    <row r="9998" hidden="1">
      <c r="F9998" s="1" t="str">
        <f t="shared" si="1"/>
        <v/>
      </c>
      <c r="G9998" s="1" t="str">
        <f t="shared" si="2"/>
        <v/>
      </c>
      <c r="J9998" s="1" t="str">
        <f t="shared" si="3"/>
        <v/>
      </c>
      <c r="K9998" s="1" t="str">
        <f t="shared" si="4"/>
        <v/>
      </c>
    </row>
    <row r="9999" hidden="1">
      <c r="F9999" s="1" t="str">
        <f t="shared" si="1"/>
        <v/>
      </c>
      <c r="G9999" s="1" t="str">
        <f t="shared" si="2"/>
        <v/>
      </c>
      <c r="J9999" s="1" t="str">
        <f t="shared" si="3"/>
        <v/>
      </c>
      <c r="K9999" s="1" t="str">
        <f t="shared" si="4"/>
        <v/>
      </c>
    </row>
    <row r="10000" hidden="1">
      <c r="F10000" s="1" t="str">
        <f t="shared" si="1"/>
        <v/>
      </c>
      <c r="G10000" s="1" t="str">
        <f t="shared" si="2"/>
        <v/>
      </c>
      <c r="J10000" s="1" t="str">
        <f t="shared" si="3"/>
        <v/>
      </c>
      <c r="K10000" s="1" t="str">
        <f t="shared" si="4"/>
        <v/>
      </c>
    </row>
    <row r="10001" hidden="1">
      <c r="F10001" s="1" t="str">
        <f t="shared" si="1"/>
        <v/>
      </c>
      <c r="G10001" s="1" t="str">
        <f t="shared" si="2"/>
        <v/>
      </c>
      <c r="J10001" s="1" t="str">
        <f t="shared" si="3"/>
        <v/>
      </c>
      <c r="K10001" s="1" t="str">
        <f t="shared" si="4"/>
        <v/>
      </c>
    </row>
    <row r="10002" hidden="1">
      <c r="F10002" s="1" t="str">
        <f t="shared" si="1"/>
        <v/>
      </c>
      <c r="G10002" s="1" t="str">
        <f t="shared" si="2"/>
        <v/>
      </c>
      <c r="J10002" s="1" t="str">
        <f t="shared" si="3"/>
        <v/>
      </c>
      <c r="K10002" s="1" t="str">
        <f t="shared" si="4"/>
        <v/>
      </c>
    </row>
    <row r="10003" hidden="1">
      <c r="F10003" s="1" t="str">
        <f t="shared" si="1"/>
        <v/>
      </c>
      <c r="G10003" s="1" t="str">
        <f t="shared" si="2"/>
        <v/>
      </c>
      <c r="J10003" s="1" t="str">
        <f t="shared" si="3"/>
        <v/>
      </c>
      <c r="K10003" s="1" t="str">
        <f t="shared" si="4"/>
        <v/>
      </c>
    </row>
    <row r="10004" hidden="1">
      <c r="F10004" s="1" t="str">
        <f t="shared" si="1"/>
        <v/>
      </c>
      <c r="G10004" s="1" t="str">
        <f t="shared" si="2"/>
        <v/>
      </c>
      <c r="J10004" s="1" t="str">
        <f t="shared" si="3"/>
        <v/>
      </c>
      <c r="K10004" s="1" t="str">
        <f t="shared" si="4"/>
        <v/>
      </c>
    </row>
    <row r="10005" hidden="1">
      <c r="F10005" s="1" t="str">
        <f t="shared" si="1"/>
        <v/>
      </c>
      <c r="G10005" s="1" t="str">
        <f t="shared" si="2"/>
        <v/>
      </c>
      <c r="J10005" s="1" t="str">
        <f t="shared" si="3"/>
        <v/>
      </c>
      <c r="K10005" s="1" t="str">
        <f t="shared" si="4"/>
        <v/>
      </c>
    </row>
    <row r="10006" hidden="1">
      <c r="F10006" s="1" t="str">
        <f t="shared" si="1"/>
        <v/>
      </c>
      <c r="G10006" s="1" t="str">
        <f t="shared" si="2"/>
        <v/>
      </c>
      <c r="J10006" s="1" t="str">
        <f t="shared" si="3"/>
        <v/>
      </c>
      <c r="K10006" s="1" t="str">
        <f t="shared" si="4"/>
        <v/>
      </c>
    </row>
    <row r="10007" hidden="1">
      <c r="F10007" s="1" t="str">
        <f t="shared" si="1"/>
        <v/>
      </c>
      <c r="G10007" s="1" t="str">
        <f t="shared" si="2"/>
        <v/>
      </c>
      <c r="J10007" s="1" t="str">
        <f t="shared" si="3"/>
        <v/>
      </c>
      <c r="K10007" s="1" t="str">
        <f t="shared" si="4"/>
        <v/>
      </c>
    </row>
    <row r="10008" hidden="1">
      <c r="F10008" s="1" t="str">
        <f t="shared" si="1"/>
        <v/>
      </c>
      <c r="G10008" s="1" t="str">
        <f t="shared" si="2"/>
        <v/>
      </c>
      <c r="J10008" s="1" t="str">
        <f t="shared" si="3"/>
        <v/>
      </c>
      <c r="K10008" s="1" t="str">
        <f t="shared" si="4"/>
        <v/>
      </c>
    </row>
    <row r="10009" hidden="1">
      <c r="F10009" s="1" t="str">
        <f t="shared" si="1"/>
        <v/>
      </c>
      <c r="G10009" s="1" t="str">
        <f t="shared" si="2"/>
        <v/>
      </c>
      <c r="J10009" s="1" t="str">
        <f t="shared" si="3"/>
        <v/>
      </c>
      <c r="K10009" s="1" t="str">
        <f t="shared" si="4"/>
        <v/>
      </c>
    </row>
    <row r="10010" hidden="1">
      <c r="F10010" s="1" t="str">
        <f t="shared" si="1"/>
        <v/>
      </c>
      <c r="G10010" s="1" t="str">
        <f t="shared" si="2"/>
        <v/>
      </c>
      <c r="J10010" s="1" t="str">
        <f t="shared" si="3"/>
        <v/>
      </c>
      <c r="K10010" s="1" t="str">
        <f t="shared" si="4"/>
        <v/>
      </c>
    </row>
    <row r="10011" hidden="1">
      <c r="F10011" s="1" t="str">
        <f t="shared" si="1"/>
        <v/>
      </c>
      <c r="G10011" s="1" t="str">
        <f t="shared" si="2"/>
        <v/>
      </c>
      <c r="J10011" s="1" t="str">
        <f t="shared" si="3"/>
        <v/>
      </c>
      <c r="K10011" s="1" t="str">
        <f t="shared" si="4"/>
        <v/>
      </c>
    </row>
    <row r="10012" hidden="1">
      <c r="F10012" s="1" t="str">
        <f t="shared" si="1"/>
        <v/>
      </c>
      <c r="G10012" s="1" t="str">
        <f t="shared" si="2"/>
        <v/>
      </c>
      <c r="J10012" s="1" t="str">
        <f t="shared" si="3"/>
        <v/>
      </c>
      <c r="K10012" s="1" t="str">
        <f t="shared" si="4"/>
        <v/>
      </c>
    </row>
    <row r="10013" hidden="1">
      <c r="F10013" s="1" t="str">
        <f t="shared" si="1"/>
        <v/>
      </c>
      <c r="G10013" s="1" t="str">
        <f t="shared" si="2"/>
        <v/>
      </c>
      <c r="J10013" s="1" t="str">
        <f t="shared" si="3"/>
        <v/>
      </c>
      <c r="K10013" s="1" t="str">
        <f t="shared" si="4"/>
        <v/>
      </c>
    </row>
    <row r="10014" hidden="1">
      <c r="F10014" s="1" t="str">
        <f t="shared" si="1"/>
        <v/>
      </c>
      <c r="G10014" s="1" t="str">
        <f t="shared" si="2"/>
        <v/>
      </c>
      <c r="J10014" s="1" t="str">
        <f t="shared" si="3"/>
        <v/>
      </c>
      <c r="K10014" s="1" t="str">
        <f t="shared" si="4"/>
        <v/>
      </c>
    </row>
    <row r="10015" hidden="1">
      <c r="F10015" s="1" t="str">
        <f t="shared" si="1"/>
        <v/>
      </c>
      <c r="G10015" s="1" t="str">
        <f t="shared" si="2"/>
        <v/>
      </c>
      <c r="J10015" s="1" t="str">
        <f t="shared" si="3"/>
        <v/>
      </c>
      <c r="K10015" s="1" t="str">
        <f t="shared" si="4"/>
        <v/>
      </c>
    </row>
    <row r="10016" hidden="1">
      <c r="F10016" s="1" t="str">
        <f t="shared" si="1"/>
        <v/>
      </c>
      <c r="G10016" s="1" t="str">
        <f t="shared" si="2"/>
        <v/>
      </c>
      <c r="J10016" s="1" t="str">
        <f t="shared" si="3"/>
        <v/>
      </c>
      <c r="K10016" s="1" t="str">
        <f t="shared" si="4"/>
        <v/>
      </c>
    </row>
    <row r="10017" hidden="1">
      <c r="F10017" s="1" t="str">
        <f t="shared" si="1"/>
        <v/>
      </c>
      <c r="G10017" s="1" t="str">
        <f t="shared" si="2"/>
        <v/>
      </c>
      <c r="J10017" s="1" t="str">
        <f t="shared" si="3"/>
        <v/>
      </c>
      <c r="K10017" s="1" t="str">
        <f t="shared" si="4"/>
        <v/>
      </c>
    </row>
    <row r="10018" hidden="1">
      <c r="F10018" s="1" t="str">
        <f t="shared" si="1"/>
        <v/>
      </c>
      <c r="G10018" s="1" t="str">
        <f t="shared" si="2"/>
        <v/>
      </c>
      <c r="J10018" s="1" t="str">
        <f t="shared" si="3"/>
        <v/>
      </c>
      <c r="K10018" s="1" t="str">
        <f t="shared" si="4"/>
        <v/>
      </c>
    </row>
    <row r="10019" hidden="1">
      <c r="F10019" s="1" t="str">
        <f t="shared" si="1"/>
        <v/>
      </c>
      <c r="G10019" s="1" t="str">
        <f t="shared" si="2"/>
        <v/>
      </c>
      <c r="J10019" s="1" t="str">
        <f t="shared" si="3"/>
        <v/>
      </c>
      <c r="K10019" s="1" t="str">
        <f t="shared" si="4"/>
        <v/>
      </c>
    </row>
    <row r="10020" hidden="1">
      <c r="F10020" s="1" t="str">
        <f t="shared" si="1"/>
        <v/>
      </c>
      <c r="G10020" s="1" t="str">
        <f t="shared" si="2"/>
        <v/>
      </c>
      <c r="J10020" s="1" t="str">
        <f t="shared" si="3"/>
        <v/>
      </c>
      <c r="K10020" s="1" t="str">
        <f t="shared" si="4"/>
        <v/>
      </c>
    </row>
    <row r="10021" hidden="1">
      <c r="F10021" s="1" t="str">
        <f t="shared" si="1"/>
        <v/>
      </c>
      <c r="G10021" s="1" t="str">
        <f t="shared" si="2"/>
        <v/>
      </c>
      <c r="J10021" s="1" t="str">
        <f t="shared" si="3"/>
        <v/>
      </c>
      <c r="K10021" s="1" t="str">
        <f t="shared" si="4"/>
        <v/>
      </c>
    </row>
    <row r="10022" hidden="1">
      <c r="F10022" s="1" t="str">
        <f t="shared" si="1"/>
        <v/>
      </c>
      <c r="G10022" s="1" t="str">
        <f t="shared" si="2"/>
        <v/>
      </c>
      <c r="J10022" s="1" t="str">
        <f t="shared" si="3"/>
        <v/>
      </c>
      <c r="K10022" s="1" t="str">
        <f t="shared" si="4"/>
        <v/>
      </c>
    </row>
    <row r="10023" hidden="1">
      <c r="F10023" s="1" t="str">
        <f t="shared" si="1"/>
        <v/>
      </c>
      <c r="G10023" s="1" t="str">
        <f t="shared" si="2"/>
        <v/>
      </c>
      <c r="J10023" s="1" t="str">
        <f t="shared" si="3"/>
        <v/>
      </c>
      <c r="K10023" s="1" t="str">
        <f t="shared" si="4"/>
        <v/>
      </c>
    </row>
    <row r="10024" hidden="1">
      <c r="F10024" s="1" t="str">
        <f t="shared" si="1"/>
        <v/>
      </c>
      <c r="G10024" s="1" t="str">
        <f t="shared" si="2"/>
        <v/>
      </c>
      <c r="J10024" s="1" t="str">
        <f t="shared" si="3"/>
        <v/>
      </c>
      <c r="K10024" s="1" t="str">
        <f t="shared" si="4"/>
        <v/>
      </c>
    </row>
    <row r="10025" hidden="1">
      <c r="F10025" s="1" t="str">
        <f t="shared" si="1"/>
        <v/>
      </c>
      <c r="G10025" s="1" t="str">
        <f t="shared" si="2"/>
        <v/>
      </c>
      <c r="J10025" s="1" t="str">
        <f t="shared" si="3"/>
        <v/>
      </c>
      <c r="K10025" s="1" t="str">
        <f t="shared" si="4"/>
        <v/>
      </c>
    </row>
    <row r="10026" hidden="1">
      <c r="F10026" s="1" t="str">
        <f t="shared" si="1"/>
        <v/>
      </c>
      <c r="G10026" s="1" t="str">
        <f t="shared" si="2"/>
        <v/>
      </c>
      <c r="J10026" s="1" t="str">
        <f t="shared" si="3"/>
        <v/>
      </c>
      <c r="K10026" s="1" t="str">
        <f t="shared" si="4"/>
        <v/>
      </c>
    </row>
    <row r="10027" hidden="1">
      <c r="F10027" s="1" t="str">
        <f t="shared" si="1"/>
        <v/>
      </c>
      <c r="G10027" s="1" t="str">
        <f t="shared" si="2"/>
        <v/>
      </c>
      <c r="J10027" s="1" t="str">
        <f t="shared" si="3"/>
        <v/>
      </c>
      <c r="K10027" s="1" t="str">
        <f t="shared" si="4"/>
        <v/>
      </c>
    </row>
    <row r="10028" hidden="1">
      <c r="F10028" s="1" t="str">
        <f t="shared" si="1"/>
        <v/>
      </c>
      <c r="G10028" s="1" t="str">
        <f t="shared" si="2"/>
        <v/>
      </c>
      <c r="J10028" s="1" t="str">
        <f t="shared" si="3"/>
        <v/>
      </c>
      <c r="K10028" s="1" t="str">
        <f t="shared" si="4"/>
        <v/>
      </c>
    </row>
    <row r="10029" hidden="1">
      <c r="F10029" s="1" t="str">
        <f t="shared" si="1"/>
        <v/>
      </c>
      <c r="G10029" s="1" t="str">
        <f t="shared" si="2"/>
        <v/>
      </c>
      <c r="J10029" s="1" t="str">
        <f t="shared" si="3"/>
        <v/>
      </c>
      <c r="K10029" s="1" t="str">
        <f t="shared" si="4"/>
        <v/>
      </c>
    </row>
    <row r="10030" hidden="1">
      <c r="F10030" s="1" t="str">
        <f t="shared" si="1"/>
        <v/>
      </c>
      <c r="G10030" s="1" t="str">
        <f t="shared" si="2"/>
        <v/>
      </c>
      <c r="J10030" s="1" t="str">
        <f t="shared" si="3"/>
        <v/>
      </c>
      <c r="K10030" s="1" t="str">
        <f t="shared" si="4"/>
        <v/>
      </c>
    </row>
    <row r="10031" hidden="1">
      <c r="F10031" s="1" t="str">
        <f t="shared" si="1"/>
        <v/>
      </c>
      <c r="G10031" s="1" t="str">
        <f t="shared" si="2"/>
        <v/>
      </c>
      <c r="J10031" s="1" t="str">
        <f t="shared" si="3"/>
        <v/>
      </c>
      <c r="K10031" s="1" t="str">
        <f t="shared" si="4"/>
        <v/>
      </c>
    </row>
    <row r="10032" hidden="1">
      <c r="F10032" s="1" t="str">
        <f t="shared" si="1"/>
        <v/>
      </c>
      <c r="G10032" s="1" t="str">
        <f t="shared" si="2"/>
        <v/>
      </c>
      <c r="J10032" s="1" t="str">
        <f t="shared" si="3"/>
        <v/>
      </c>
      <c r="K10032" s="1" t="str">
        <f t="shared" si="4"/>
        <v/>
      </c>
    </row>
    <row r="10033" hidden="1">
      <c r="F10033" s="1" t="str">
        <f t="shared" si="1"/>
        <v/>
      </c>
      <c r="G10033" s="1" t="str">
        <f t="shared" si="2"/>
        <v/>
      </c>
      <c r="J10033" s="1" t="str">
        <f t="shared" si="3"/>
        <v/>
      </c>
      <c r="K10033" s="1" t="str">
        <f t="shared" si="4"/>
        <v/>
      </c>
    </row>
    <row r="10034" hidden="1">
      <c r="F10034" s="1" t="str">
        <f t="shared" si="1"/>
        <v/>
      </c>
      <c r="G10034" s="1" t="str">
        <f t="shared" si="2"/>
        <v/>
      </c>
      <c r="J10034" s="1" t="str">
        <f t="shared" si="3"/>
        <v/>
      </c>
      <c r="K10034" s="1" t="str">
        <f t="shared" si="4"/>
        <v/>
      </c>
    </row>
    <row r="10035" hidden="1">
      <c r="F10035" s="1" t="str">
        <f t="shared" si="1"/>
        <v/>
      </c>
      <c r="G10035" s="1" t="str">
        <f t="shared" si="2"/>
        <v/>
      </c>
      <c r="J10035" s="1" t="str">
        <f t="shared" si="3"/>
        <v/>
      </c>
      <c r="K10035" s="1" t="str">
        <f t="shared" si="4"/>
        <v/>
      </c>
    </row>
    <row r="10036" hidden="1">
      <c r="F10036" s="1" t="str">
        <f t="shared" si="1"/>
        <v/>
      </c>
      <c r="G10036" s="1" t="str">
        <f t="shared" si="2"/>
        <v/>
      </c>
      <c r="J10036" s="1" t="str">
        <f t="shared" si="3"/>
        <v/>
      </c>
      <c r="K10036" s="1" t="str">
        <f t="shared" si="4"/>
        <v/>
      </c>
    </row>
    <row r="10037" hidden="1">
      <c r="F10037" s="1" t="str">
        <f t="shared" si="1"/>
        <v/>
      </c>
      <c r="G10037" s="1" t="str">
        <f t="shared" si="2"/>
        <v/>
      </c>
      <c r="J10037" s="1" t="str">
        <f t="shared" si="3"/>
        <v/>
      </c>
      <c r="K10037" s="1" t="str">
        <f t="shared" si="4"/>
        <v/>
      </c>
    </row>
    <row r="10038" hidden="1">
      <c r="F10038" s="1" t="str">
        <f t="shared" si="1"/>
        <v/>
      </c>
      <c r="G10038" s="1" t="str">
        <f t="shared" si="2"/>
        <v/>
      </c>
      <c r="J10038" s="1" t="str">
        <f t="shared" si="3"/>
        <v/>
      </c>
      <c r="K10038" s="1" t="str">
        <f t="shared" si="4"/>
        <v/>
      </c>
    </row>
    <row r="10039" hidden="1">
      <c r="F10039" s="1" t="str">
        <f t="shared" si="1"/>
        <v/>
      </c>
      <c r="G10039" s="1" t="str">
        <f t="shared" si="2"/>
        <v/>
      </c>
      <c r="J10039" s="1" t="str">
        <f t="shared" si="3"/>
        <v/>
      </c>
      <c r="K10039" s="1" t="str">
        <f t="shared" si="4"/>
        <v/>
      </c>
    </row>
    <row r="10040" hidden="1">
      <c r="F10040" s="1" t="str">
        <f t="shared" si="1"/>
        <v/>
      </c>
      <c r="G10040" s="1" t="str">
        <f t="shared" si="2"/>
        <v/>
      </c>
      <c r="J10040" s="1" t="str">
        <f t="shared" si="3"/>
        <v/>
      </c>
      <c r="K10040" s="1" t="str">
        <f t="shared" si="4"/>
        <v/>
      </c>
    </row>
    <row r="10041" hidden="1">
      <c r="F10041" s="1" t="str">
        <f t="shared" si="1"/>
        <v/>
      </c>
      <c r="G10041" s="1" t="str">
        <f t="shared" si="2"/>
        <v/>
      </c>
      <c r="J10041" s="1" t="str">
        <f t="shared" si="3"/>
        <v/>
      </c>
      <c r="K10041" s="1" t="str">
        <f t="shared" si="4"/>
        <v/>
      </c>
    </row>
    <row r="10042" hidden="1">
      <c r="F10042" s="1" t="str">
        <f t="shared" si="1"/>
        <v/>
      </c>
      <c r="G10042" s="1" t="str">
        <f t="shared" si="2"/>
        <v/>
      </c>
      <c r="J10042" s="1" t="str">
        <f t="shared" si="3"/>
        <v/>
      </c>
      <c r="K10042" s="1" t="str">
        <f t="shared" si="4"/>
        <v/>
      </c>
    </row>
    <row r="10043" hidden="1">
      <c r="F10043" s="1" t="str">
        <f t="shared" si="1"/>
        <v/>
      </c>
      <c r="G10043" s="1" t="str">
        <f t="shared" si="2"/>
        <v/>
      </c>
      <c r="J10043" s="1" t="str">
        <f t="shared" si="3"/>
        <v/>
      </c>
      <c r="K10043" s="1" t="str">
        <f t="shared" si="4"/>
        <v/>
      </c>
    </row>
    <row r="10044" hidden="1">
      <c r="F10044" s="1" t="str">
        <f t="shared" si="1"/>
        <v/>
      </c>
      <c r="G10044" s="1" t="str">
        <f t="shared" si="2"/>
        <v/>
      </c>
      <c r="J10044" s="1" t="str">
        <f t="shared" si="3"/>
        <v/>
      </c>
      <c r="K10044" s="1" t="str">
        <f t="shared" si="4"/>
        <v/>
      </c>
    </row>
    <row r="10045" hidden="1">
      <c r="F10045" s="1" t="str">
        <f t="shared" si="1"/>
        <v/>
      </c>
      <c r="G10045" s="1" t="str">
        <f t="shared" si="2"/>
        <v/>
      </c>
      <c r="J10045" s="1" t="str">
        <f t="shared" si="3"/>
        <v/>
      </c>
      <c r="K10045" s="1" t="str">
        <f t="shared" si="4"/>
        <v/>
      </c>
    </row>
    <row r="10046" hidden="1">
      <c r="F10046" s="1" t="str">
        <f t="shared" si="1"/>
        <v/>
      </c>
      <c r="G10046" s="1" t="str">
        <f t="shared" si="2"/>
        <v/>
      </c>
      <c r="J10046" s="1" t="str">
        <f t="shared" si="3"/>
        <v/>
      </c>
      <c r="K10046" s="1" t="str">
        <f t="shared" si="4"/>
        <v/>
      </c>
    </row>
    <row r="10047" hidden="1">
      <c r="F10047" s="1" t="str">
        <f t="shared" si="1"/>
        <v/>
      </c>
      <c r="G10047" s="1" t="str">
        <f t="shared" si="2"/>
        <v/>
      </c>
      <c r="J10047" s="1" t="str">
        <f t="shared" si="3"/>
        <v/>
      </c>
      <c r="K10047" s="1" t="str">
        <f t="shared" si="4"/>
        <v/>
      </c>
    </row>
    <row r="10048" hidden="1">
      <c r="F10048" s="1" t="str">
        <f t="shared" si="1"/>
        <v/>
      </c>
      <c r="G10048" s="1" t="str">
        <f t="shared" si="2"/>
        <v/>
      </c>
      <c r="J10048" s="1" t="str">
        <f t="shared" si="3"/>
        <v/>
      </c>
      <c r="K10048" s="1" t="str">
        <f t="shared" si="4"/>
        <v/>
      </c>
    </row>
    <row r="10049" hidden="1">
      <c r="F10049" s="1" t="str">
        <f t="shared" si="1"/>
        <v/>
      </c>
      <c r="G10049" s="1" t="str">
        <f t="shared" si="2"/>
        <v/>
      </c>
      <c r="J10049" s="1" t="str">
        <f t="shared" si="3"/>
        <v/>
      </c>
      <c r="K10049" s="1" t="str">
        <f t="shared" si="4"/>
        <v/>
      </c>
    </row>
    <row r="10050" hidden="1">
      <c r="F10050" s="1" t="str">
        <f t="shared" si="1"/>
        <v/>
      </c>
      <c r="G10050" s="1" t="str">
        <f t="shared" si="2"/>
        <v/>
      </c>
      <c r="J10050" s="1" t="str">
        <f t="shared" si="3"/>
        <v/>
      </c>
      <c r="K10050" s="1" t="str">
        <f t="shared" si="4"/>
        <v/>
      </c>
    </row>
    <row r="10051" hidden="1">
      <c r="F10051" s="1" t="str">
        <f t="shared" si="1"/>
        <v/>
      </c>
      <c r="G10051" s="1" t="str">
        <f t="shared" si="2"/>
        <v/>
      </c>
      <c r="J10051" s="1" t="str">
        <f t="shared" si="3"/>
        <v/>
      </c>
      <c r="K10051" s="1" t="str">
        <f t="shared" si="4"/>
        <v/>
      </c>
    </row>
    <row r="10052" hidden="1">
      <c r="F10052" s="1" t="str">
        <f t="shared" si="1"/>
        <v/>
      </c>
      <c r="G10052" s="1" t="str">
        <f t="shared" si="2"/>
        <v/>
      </c>
      <c r="J10052" s="1" t="str">
        <f t="shared" si="3"/>
        <v/>
      </c>
      <c r="K10052" s="1" t="str">
        <f t="shared" si="4"/>
        <v/>
      </c>
    </row>
    <row r="10053" hidden="1">
      <c r="F10053" s="1" t="str">
        <f t="shared" si="1"/>
        <v/>
      </c>
      <c r="G10053" s="1" t="str">
        <f t="shared" si="2"/>
        <v/>
      </c>
      <c r="J10053" s="1" t="str">
        <f t="shared" si="3"/>
        <v/>
      </c>
      <c r="K10053" s="1" t="str">
        <f t="shared" si="4"/>
        <v/>
      </c>
    </row>
    <row r="10054" hidden="1">
      <c r="F10054" s="1" t="str">
        <f t="shared" si="1"/>
        <v/>
      </c>
      <c r="G10054" s="1" t="str">
        <f t="shared" si="2"/>
        <v/>
      </c>
      <c r="J10054" s="1" t="str">
        <f t="shared" si="3"/>
        <v/>
      </c>
      <c r="K10054" s="1" t="str">
        <f t="shared" si="4"/>
        <v/>
      </c>
    </row>
    <row r="10055" hidden="1">
      <c r="F10055" s="1" t="str">
        <f t="shared" si="1"/>
        <v/>
      </c>
      <c r="G10055" s="1" t="str">
        <f t="shared" si="2"/>
        <v/>
      </c>
      <c r="J10055" s="1" t="str">
        <f t="shared" si="3"/>
        <v/>
      </c>
      <c r="K10055" s="1" t="str">
        <f t="shared" si="4"/>
        <v/>
      </c>
    </row>
    <row r="10056" hidden="1">
      <c r="F10056" s="1" t="str">
        <f t="shared" si="1"/>
        <v/>
      </c>
      <c r="G10056" s="1" t="str">
        <f t="shared" si="2"/>
        <v/>
      </c>
      <c r="J10056" s="1" t="str">
        <f t="shared" si="3"/>
        <v/>
      </c>
      <c r="K10056" s="1" t="str">
        <f t="shared" si="4"/>
        <v/>
      </c>
    </row>
    <row r="10057" hidden="1">
      <c r="F10057" s="1" t="str">
        <f t="shared" si="1"/>
        <v/>
      </c>
      <c r="G10057" s="1" t="str">
        <f t="shared" si="2"/>
        <v/>
      </c>
      <c r="J10057" s="1" t="str">
        <f t="shared" si="3"/>
        <v/>
      </c>
      <c r="K10057" s="1" t="str">
        <f t="shared" si="4"/>
        <v/>
      </c>
    </row>
    <row r="10058" hidden="1">
      <c r="F10058" s="1" t="str">
        <f t="shared" si="1"/>
        <v/>
      </c>
      <c r="G10058" s="1" t="str">
        <f t="shared" si="2"/>
        <v/>
      </c>
      <c r="J10058" s="1" t="str">
        <f t="shared" si="3"/>
        <v/>
      </c>
      <c r="K10058" s="1" t="str">
        <f t="shared" si="4"/>
        <v/>
      </c>
    </row>
    <row r="10059" hidden="1">
      <c r="F10059" s="1" t="str">
        <f t="shared" si="1"/>
        <v/>
      </c>
      <c r="G10059" s="1" t="str">
        <f t="shared" si="2"/>
        <v/>
      </c>
      <c r="J10059" s="1" t="str">
        <f t="shared" si="3"/>
        <v/>
      </c>
      <c r="K10059" s="1" t="str">
        <f t="shared" si="4"/>
        <v/>
      </c>
    </row>
    <row r="10060" hidden="1">
      <c r="F10060" s="1" t="str">
        <f t="shared" si="1"/>
        <v/>
      </c>
      <c r="G10060" s="1" t="str">
        <f t="shared" si="2"/>
        <v/>
      </c>
      <c r="J10060" s="1" t="str">
        <f t="shared" si="3"/>
        <v/>
      </c>
      <c r="K10060" s="1" t="str">
        <f t="shared" si="4"/>
        <v/>
      </c>
    </row>
    <row r="10061" hidden="1">
      <c r="F10061" s="1" t="str">
        <f t="shared" si="1"/>
        <v/>
      </c>
      <c r="G10061" s="1" t="str">
        <f t="shared" si="2"/>
        <v/>
      </c>
      <c r="J10061" s="1" t="str">
        <f t="shared" si="3"/>
        <v/>
      </c>
      <c r="K10061" s="1" t="str">
        <f t="shared" si="4"/>
        <v/>
      </c>
    </row>
    <row r="10062" hidden="1">
      <c r="F10062" s="1" t="str">
        <f t="shared" si="1"/>
        <v/>
      </c>
      <c r="G10062" s="1" t="str">
        <f t="shared" si="2"/>
        <v/>
      </c>
      <c r="J10062" s="1" t="str">
        <f t="shared" si="3"/>
        <v/>
      </c>
      <c r="K10062" s="1" t="str">
        <f t="shared" si="4"/>
        <v/>
      </c>
    </row>
    <row r="10063" hidden="1">
      <c r="F10063" s="1" t="str">
        <f t="shared" si="1"/>
        <v/>
      </c>
      <c r="G10063" s="1" t="str">
        <f t="shared" si="2"/>
        <v/>
      </c>
      <c r="J10063" s="1" t="str">
        <f t="shared" si="3"/>
        <v/>
      </c>
      <c r="K10063" s="1" t="str">
        <f t="shared" si="4"/>
        <v/>
      </c>
    </row>
    <row r="10064" hidden="1">
      <c r="F10064" s="1" t="str">
        <f t="shared" si="1"/>
        <v/>
      </c>
      <c r="G10064" s="1" t="str">
        <f t="shared" si="2"/>
        <v/>
      </c>
      <c r="J10064" s="1" t="str">
        <f t="shared" si="3"/>
        <v/>
      </c>
      <c r="K10064" s="1" t="str">
        <f t="shared" si="4"/>
        <v/>
      </c>
    </row>
    <row r="10065" hidden="1">
      <c r="F10065" s="1" t="str">
        <f t="shared" si="1"/>
        <v/>
      </c>
      <c r="G10065" s="1" t="str">
        <f t="shared" si="2"/>
        <v/>
      </c>
      <c r="J10065" s="1" t="str">
        <f t="shared" si="3"/>
        <v/>
      </c>
      <c r="K10065" s="1" t="str">
        <f t="shared" si="4"/>
        <v/>
      </c>
    </row>
    <row r="10066" hidden="1">
      <c r="F10066" s="1" t="str">
        <f t="shared" si="1"/>
        <v/>
      </c>
      <c r="G10066" s="1" t="str">
        <f t="shared" si="2"/>
        <v/>
      </c>
      <c r="J10066" s="1" t="str">
        <f t="shared" si="3"/>
        <v/>
      </c>
      <c r="K10066" s="1" t="str">
        <f t="shared" si="4"/>
        <v/>
      </c>
    </row>
    <row r="10067" hidden="1">
      <c r="F10067" s="1" t="str">
        <f t="shared" si="1"/>
        <v/>
      </c>
      <c r="G10067" s="1" t="str">
        <f t="shared" si="2"/>
        <v/>
      </c>
      <c r="J10067" s="1" t="str">
        <f t="shared" si="3"/>
        <v/>
      </c>
      <c r="K10067" s="1" t="str">
        <f t="shared" si="4"/>
        <v/>
      </c>
    </row>
    <row r="10068" hidden="1">
      <c r="F10068" s="1" t="str">
        <f t="shared" si="1"/>
        <v/>
      </c>
      <c r="G10068" s="1" t="str">
        <f t="shared" si="2"/>
        <v/>
      </c>
      <c r="J10068" s="1" t="str">
        <f t="shared" si="3"/>
        <v/>
      </c>
      <c r="K10068" s="1" t="str">
        <f t="shared" si="4"/>
        <v/>
      </c>
    </row>
    <row r="10069" hidden="1">
      <c r="F10069" s="1" t="str">
        <f t="shared" si="1"/>
        <v/>
      </c>
      <c r="G10069" s="1" t="str">
        <f t="shared" si="2"/>
        <v/>
      </c>
      <c r="J10069" s="1" t="str">
        <f t="shared" si="3"/>
        <v/>
      </c>
      <c r="K10069" s="1" t="str">
        <f t="shared" si="4"/>
        <v/>
      </c>
    </row>
    <row r="10070" hidden="1">
      <c r="F10070" s="1" t="str">
        <f t="shared" si="1"/>
        <v/>
      </c>
      <c r="G10070" s="1" t="str">
        <f t="shared" si="2"/>
        <v/>
      </c>
      <c r="J10070" s="1" t="str">
        <f t="shared" si="3"/>
        <v/>
      </c>
      <c r="K10070" s="1" t="str">
        <f t="shared" si="4"/>
        <v/>
      </c>
    </row>
    <row r="10071" hidden="1">
      <c r="F10071" s="1" t="str">
        <f t="shared" si="1"/>
        <v/>
      </c>
      <c r="G10071" s="1" t="str">
        <f t="shared" si="2"/>
        <v/>
      </c>
      <c r="J10071" s="1" t="str">
        <f t="shared" si="3"/>
        <v/>
      </c>
      <c r="K10071" s="1" t="str">
        <f t="shared" si="4"/>
        <v/>
      </c>
    </row>
    <row r="10072" hidden="1">
      <c r="F10072" s="1" t="str">
        <f t="shared" si="1"/>
        <v/>
      </c>
      <c r="G10072" s="1" t="str">
        <f t="shared" si="2"/>
        <v/>
      </c>
      <c r="J10072" s="1" t="str">
        <f t="shared" si="3"/>
        <v/>
      </c>
      <c r="K10072" s="1" t="str">
        <f t="shared" si="4"/>
        <v/>
      </c>
    </row>
    <row r="10073" hidden="1">
      <c r="F10073" s="1" t="str">
        <f t="shared" si="1"/>
        <v/>
      </c>
      <c r="G10073" s="1" t="str">
        <f t="shared" si="2"/>
        <v/>
      </c>
      <c r="J10073" s="1" t="str">
        <f t="shared" si="3"/>
        <v/>
      </c>
      <c r="K10073" s="1" t="str">
        <f t="shared" si="4"/>
        <v/>
      </c>
    </row>
    <row r="10074" hidden="1">
      <c r="F10074" s="1" t="str">
        <f t="shared" si="1"/>
        <v/>
      </c>
      <c r="G10074" s="1" t="str">
        <f t="shared" si="2"/>
        <v/>
      </c>
      <c r="J10074" s="1" t="str">
        <f t="shared" si="3"/>
        <v/>
      </c>
      <c r="K10074" s="1" t="str">
        <f t="shared" si="4"/>
        <v/>
      </c>
    </row>
    <row r="10075" hidden="1">
      <c r="F10075" s="1" t="str">
        <f t="shared" si="1"/>
        <v/>
      </c>
      <c r="G10075" s="1" t="str">
        <f t="shared" si="2"/>
        <v/>
      </c>
      <c r="J10075" s="1" t="str">
        <f t="shared" si="3"/>
        <v/>
      </c>
      <c r="K10075" s="1" t="str">
        <f t="shared" si="4"/>
        <v/>
      </c>
    </row>
    <row r="10076" hidden="1">
      <c r="F10076" s="1" t="str">
        <f t="shared" si="1"/>
        <v/>
      </c>
      <c r="G10076" s="1" t="str">
        <f t="shared" si="2"/>
        <v/>
      </c>
      <c r="J10076" s="1" t="str">
        <f t="shared" si="3"/>
        <v/>
      </c>
      <c r="K10076" s="1" t="str">
        <f t="shared" si="4"/>
        <v/>
      </c>
    </row>
    <row r="10077" hidden="1">
      <c r="F10077" s="1" t="str">
        <f t="shared" si="1"/>
        <v/>
      </c>
      <c r="G10077" s="1" t="str">
        <f t="shared" si="2"/>
        <v/>
      </c>
      <c r="J10077" s="1" t="str">
        <f t="shared" si="3"/>
        <v/>
      </c>
      <c r="K10077" s="1" t="str">
        <f t="shared" si="4"/>
        <v/>
      </c>
    </row>
    <row r="10078" hidden="1">
      <c r="F10078" s="1" t="str">
        <f t="shared" si="1"/>
        <v/>
      </c>
      <c r="G10078" s="1" t="str">
        <f t="shared" si="2"/>
        <v/>
      </c>
      <c r="J10078" s="1" t="str">
        <f t="shared" si="3"/>
        <v/>
      </c>
      <c r="K10078" s="1" t="str">
        <f t="shared" si="4"/>
        <v/>
      </c>
    </row>
    <row r="10079" hidden="1">
      <c r="F10079" s="1" t="str">
        <f t="shared" si="1"/>
        <v/>
      </c>
      <c r="G10079" s="1" t="str">
        <f t="shared" si="2"/>
        <v/>
      </c>
      <c r="J10079" s="1" t="str">
        <f t="shared" si="3"/>
        <v/>
      </c>
      <c r="K10079" s="1" t="str">
        <f t="shared" si="4"/>
        <v/>
      </c>
    </row>
    <row r="10080" hidden="1">
      <c r="F10080" s="1" t="str">
        <f t="shared" si="1"/>
        <v/>
      </c>
      <c r="G10080" s="1" t="str">
        <f t="shared" si="2"/>
        <v/>
      </c>
      <c r="J10080" s="1" t="str">
        <f t="shared" si="3"/>
        <v/>
      </c>
      <c r="K10080" s="1" t="str">
        <f t="shared" si="4"/>
        <v/>
      </c>
    </row>
    <row r="10081" hidden="1">
      <c r="F10081" s="1" t="str">
        <f t="shared" si="1"/>
        <v/>
      </c>
      <c r="G10081" s="1" t="str">
        <f t="shared" si="2"/>
        <v/>
      </c>
      <c r="J10081" s="1" t="str">
        <f t="shared" si="3"/>
        <v/>
      </c>
      <c r="K10081" s="1" t="str">
        <f t="shared" si="4"/>
        <v/>
      </c>
    </row>
    <row r="10082" hidden="1">
      <c r="F10082" s="1" t="str">
        <f t="shared" si="1"/>
        <v/>
      </c>
      <c r="G10082" s="1" t="str">
        <f t="shared" si="2"/>
        <v/>
      </c>
      <c r="J10082" s="1" t="str">
        <f t="shared" si="3"/>
        <v/>
      </c>
      <c r="K10082" s="1" t="str">
        <f t="shared" si="4"/>
        <v/>
      </c>
    </row>
    <row r="10083" hidden="1">
      <c r="F10083" s="1" t="str">
        <f t="shared" si="1"/>
        <v/>
      </c>
      <c r="G10083" s="1" t="str">
        <f t="shared" si="2"/>
        <v/>
      </c>
      <c r="J10083" s="1" t="str">
        <f t="shared" si="3"/>
        <v/>
      </c>
      <c r="K10083" s="1" t="str">
        <f t="shared" si="4"/>
        <v/>
      </c>
    </row>
    <row r="10084" hidden="1">
      <c r="F10084" s="1" t="str">
        <f t="shared" si="1"/>
        <v/>
      </c>
      <c r="G10084" s="1" t="str">
        <f t="shared" si="2"/>
        <v/>
      </c>
      <c r="J10084" s="1" t="str">
        <f t="shared" si="3"/>
        <v/>
      </c>
      <c r="K10084" s="1" t="str">
        <f t="shared" si="4"/>
        <v/>
      </c>
    </row>
    <row r="10085" hidden="1">
      <c r="F10085" s="1" t="str">
        <f t="shared" si="1"/>
        <v/>
      </c>
      <c r="G10085" s="1" t="str">
        <f t="shared" si="2"/>
        <v/>
      </c>
      <c r="J10085" s="1" t="str">
        <f t="shared" si="3"/>
        <v/>
      </c>
      <c r="K10085" s="1" t="str">
        <f t="shared" si="4"/>
        <v/>
      </c>
    </row>
    <row r="10086" hidden="1">
      <c r="F10086" s="1" t="str">
        <f t="shared" si="1"/>
        <v/>
      </c>
      <c r="G10086" s="1" t="str">
        <f t="shared" si="2"/>
        <v/>
      </c>
      <c r="J10086" s="1" t="str">
        <f t="shared" si="3"/>
        <v/>
      </c>
      <c r="K10086" s="1" t="str">
        <f t="shared" si="4"/>
        <v/>
      </c>
    </row>
    <row r="10087" hidden="1">
      <c r="F10087" s="1" t="str">
        <f t="shared" si="1"/>
        <v/>
      </c>
      <c r="G10087" s="1" t="str">
        <f t="shared" si="2"/>
        <v/>
      </c>
      <c r="J10087" s="1" t="str">
        <f t="shared" si="3"/>
        <v/>
      </c>
      <c r="K10087" s="1" t="str">
        <f t="shared" si="4"/>
        <v/>
      </c>
    </row>
    <row r="10088" hidden="1">
      <c r="F10088" s="1" t="str">
        <f t="shared" si="1"/>
        <v/>
      </c>
      <c r="G10088" s="1" t="str">
        <f t="shared" si="2"/>
        <v/>
      </c>
      <c r="J10088" s="1" t="str">
        <f t="shared" si="3"/>
        <v/>
      </c>
      <c r="K10088" s="1" t="str">
        <f t="shared" si="4"/>
        <v/>
      </c>
    </row>
    <row r="10089" hidden="1">
      <c r="F10089" s="1" t="str">
        <f t="shared" si="1"/>
        <v/>
      </c>
      <c r="G10089" s="1" t="str">
        <f t="shared" si="2"/>
        <v/>
      </c>
      <c r="J10089" s="1" t="str">
        <f t="shared" si="3"/>
        <v/>
      </c>
      <c r="K10089" s="1" t="str">
        <f t="shared" si="4"/>
        <v/>
      </c>
    </row>
    <row r="10090" hidden="1">
      <c r="F10090" s="1" t="str">
        <f t="shared" si="1"/>
        <v/>
      </c>
      <c r="G10090" s="1" t="str">
        <f t="shared" si="2"/>
        <v/>
      </c>
      <c r="J10090" s="1" t="str">
        <f t="shared" si="3"/>
        <v/>
      </c>
      <c r="K10090" s="1" t="str">
        <f t="shared" si="4"/>
        <v/>
      </c>
    </row>
    <row r="10091" hidden="1">
      <c r="F10091" s="1" t="str">
        <f t="shared" si="1"/>
        <v/>
      </c>
      <c r="G10091" s="1" t="str">
        <f t="shared" si="2"/>
        <v/>
      </c>
      <c r="J10091" s="1" t="str">
        <f t="shared" si="3"/>
        <v/>
      </c>
      <c r="K10091" s="1" t="str">
        <f t="shared" si="4"/>
        <v/>
      </c>
    </row>
    <row r="10092" hidden="1">
      <c r="F10092" s="1" t="str">
        <f t="shared" si="1"/>
        <v/>
      </c>
      <c r="G10092" s="1" t="str">
        <f t="shared" si="2"/>
        <v/>
      </c>
      <c r="J10092" s="1" t="str">
        <f t="shared" si="3"/>
        <v/>
      </c>
      <c r="K10092" s="1" t="str">
        <f t="shared" si="4"/>
        <v/>
      </c>
    </row>
    <row r="10093" hidden="1">
      <c r="F10093" s="1" t="str">
        <f t="shared" si="1"/>
        <v/>
      </c>
      <c r="G10093" s="1" t="str">
        <f t="shared" si="2"/>
        <v/>
      </c>
      <c r="J10093" s="1" t="str">
        <f t="shared" si="3"/>
        <v/>
      </c>
      <c r="K10093" s="1" t="str">
        <f t="shared" si="4"/>
        <v/>
      </c>
    </row>
    <row r="10094" hidden="1">
      <c r="F10094" s="1" t="str">
        <f t="shared" si="1"/>
        <v/>
      </c>
      <c r="G10094" s="1" t="str">
        <f t="shared" si="2"/>
        <v/>
      </c>
      <c r="J10094" s="1" t="str">
        <f t="shared" si="3"/>
        <v/>
      </c>
      <c r="K10094" s="1" t="str">
        <f t="shared" si="4"/>
        <v/>
      </c>
    </row>
    <row r="10095" hidden="1">
      <c r="F10095" s="1" t="str">
        <f t="shared" si="1"/>
        <v/>
      </c>
      <c r="G10095" s="1" t="str">
        <f t="shared" si="2"/>
        <v/>
      </c>
      <c r="J10095" s="1" t="str">
        <f t="shared" si="3"/>
        <v/>
      </c>
      <c r="K10095" s="1" t="str">
        <f t="shared" si="4"/>
        <v/>
      </c>
    </row>
    <row r="10096" hidden="1">
      <c r="F10096" s="1" t="str">
        <f t="shared" si="1"/>
        <v/>
      </c>
      <c r="G10096" s="1" t="str">
        <f t="shared" si="2"/>
        <v/>
      </c>
      <c r="J10096" s="1" t="str">
        <f t="shared" si="3"/>
        <v/>
      </c>
      <c r="K10096" s="1" t="str">
        <f t="shared" si="4"/>
        <v/>
      </c>
    </row>
    <row r="10097" hidden="1">
      <c r="F10097" s="1" t="str">
        <f t="shared" si="1"/>
        <v/>
      </c>
      <c r="G10097" s="1" t="str">
        <f t="shared" si="2"/>
        <v/>
      </c>
      <c r="J10097" s="1" t="str">
        <f t="shared" si="3"/>
        <v/>
      </c>
      <c r="K10097" s="1" t="str">
        <f t="shared" si="4"/>
        <v/>
      </c>
    </row>
    <row r="10098" hidden="1">
      <c r="F10098" s="1" t="str">
        <f t="shared" si="1"/>
        <v/>
      </c>
      <c r="G10098" s="1" t="str">
        <f t="shared" si="2"/>
        <v/>
      </c>
      <c r="J10098" s="1" t="str">
        <f t="shared" si="3"/>
        <v/>
      </c>
      <c r="K10098" s="1" t="str">
        <f t="shared" si="4"/>
        <v/>
      </c>
    </row>
    <row r="10099" hidden="1">
      <c r="F10099" s="1" t="str">
        <f t="shared" si="1"/>
        <v/>
      </c>
      <c r="G10099" s="1" t="str">
        <f t="shared" si="2"/>
        <v/>
      </c>
      <c r="J10099" s="1" t="str">
        <f t="shared" si="3"/>
        <v/>
      </c>
      <c r="K10099" s="1" t="str">
        <f t="shared" si="4"/>
        <v/>
      </c>
    </row>
    <row r="10100" hidden="1">
      <c r="F10100" s="1" t="str">
        <f t="shared" si="1"/>
        <v/>
      </c>
      <c r="G10100" s="1" t="str">
        <f t="shared" si="2"/>
        <v/>
      </c>
      <c r="J10100" s="1" t="str">
        <f t="shared" si="3"/>
        <v/>
      </c>
      <c r="K10100" s="1" t="str">
        <f t="shared" si="4"/>
        <v/>
      </c>
    </row>
    <row r="10101" hidden="1">
      <c r="F10101" s="1" t="str">
        <f t="shared" si="1"/>
        <v/>
      </c>
      <c r="G10101" s="1" t="str">
        <f t="shared" si="2"/>
        <v/>
      </c>
      <c r="J10101" s="1" t="str">
        <f t="shared" si="3"/>
        <v/>
      </c>
      <c r="K10101" s="1" t="str">
        <f t="shared" si="4"/>
        <v/>
      </c>
    </row>
    <row r="10102" hidden="1">
      <c r="F10102" s="1" t="str">
        <f t="shared" si="1"/>
        <v/>
      </c>
      <c r="G10102" s="1" t="str">
        <f t="shared" si="2"/>
        <v/>
      </c>
      <c r="J10102" s="1" t="str">
        <f t="shared" si="3"/>
        <v/>
      </c>
      <c r="K10102" s="1" t="str">
        <f t="shared" si="4"/>
        <v/>
      </c>
    </row>
    <row r="10103" hidden="1">
      <c r="F10103" s="1" t="str">
        <f t="shared" si="1"/>
        <v/>
      </c>
      <c r="G10103" s="1" t="str">
        <f t="shared" si="2"/>
        <v/>
      </c>
      <c r="J10103" s="1" t="str">
        <f t="shared" si="3"/>
        <v/>
      </c>
      <c r="K10103" s="1" t="str">
        <f t="shared" si="4"/>
        <v/>
      </c>
    </row>
    <row r="10104" hidden="1">
      <c r="F10104" s="1" t="str">
        <f t="shared" si="1"/>
        <v/>
      </c>
      <c r="G10104" s="1" t="str">
        <f t="shared" si="2"/>
        <v/>
      </c>
      <c r="J10104" s="1" t="str">
        <f t="shared" si="3"/>
        <v/>
      </c>
      <c r="K10104" s="1" t="str">
        <f t="shared" si="4"/>
        <v/>
      </c>
    </row>
    <row r="10105" hidden="1">
      <c r="F10105" s="1" t="str">
        <f t="shared" si="1"/>
        <v/>
      </c>
      <c r="G10105" s="1" t="str">
        <f t="shared" si="2"/>
        <v/>
      </c>
      <c r="J10105" s="1" t="str">
        <f t="shared" si="3"/>
        <v/>
      </c>
      <c r="K10105" s="1" t="str">
        <f t="shared" si="4"/>
        <v/>
      </c>
    </row>
    <row r="10106" hidden="1">
      <c r="F10106" s="1" t="str">
        <f t="shared" si="1"/>
        <v/>
      </c>
      <c r="G10106" s="1" t="str">
        <f t="shared" si="2"/>
        <v/>
      </c>
      <c r="J10106" s="1" t="str">
        <f t="shared" si="3"/>
        <v/>
      </c>
      <c r="K10106" s="1" t="str">
        <f t="shared" si="4"/>
        <v/>
      </c>
    </row>
    <row r="10107" hidden="1">
      <c r="F10107" s="1" t="str">
        <f t="shared" si="1"/>
        <v/>
      </c>
      <c r="G10107" s="1" t="str">
        <f t="shared" si="2"/>
        <v/>
      </c>
      <c r="J10107" s="1" t="str">
        <f t="shared" si="3"/>
        <v/>
      </c>
      <c r="K10107" s="1" t="str">
        <f t="shared" si="4"/>
        <v/>
      </c>
    </row>
    <row r="10108" hidden="1">
      <c r="F10108" s="1" t="str">
        <f t="shared" si="1"/>
        <v/>
      </c>
      <c r="G10108" s="1" t="str">
        <f t="shared" si="2"/>
        <v/>
      </c>
      <c r="J10108" s="1" t="str">
        <f t="shared" si="3"/>
        <v/>
      </c>
      <c r="K10108" s="1" t="str">
        <f t="shared" si="4"/>
        <v/>
      </c>
    </row>
    <row r="10109" hidden="1">
      <c r="F10109" s="1" t="str">
        <f t="shared" si="1"/>
        <v/>
      </c>
      <c r="G10109" s="1" t="str">
        <f t="shared" si="2"/>
        <v/>
      </c>
      <c r="J10109" s="1" t="str">
        <f t="shared" si="3"/>
        <v/>
      </c>
      <c r="K10109" s="1" t="str">
        <f t="shared" si="4"/>
        <v/>
      </c>
    </row>
    <row r="10110" hidden="1">
      <c r="F10110" s="1" t="str">
        <f t="shared" si="1"/>
        <v/>
      </c>
      <c r="G10110" s="1" t="str">
        <f t="shared" si="2"/>
        <v/>
      </c>
      <c r="J10110" s="1" t="str">
        <f t="shared" si="3"/>
        <v/>
      </c>
      <c r="K10110" s="1" t="str">
        <f t="shared" si="4"/>
        <v/>
      </c>
    </row>
    <row r="10111" hidden="1">
      <c r="F10111" s="1" t="str">
        <f t="shared" si="1"/>
        <v/>
      </c>
      <c r="G10111" s="1" t="str">
        <f t="shared" si="2"/>
        <v/>
      </c>
      <c r="J10111" s="1" t="str">
        <f t="shared" si="3"/>
        <v/>
      </c>
      <c r="K10111" s="1" t="str">
        <f t="shared" si="4"/>
        <v/>
      </c>
    </row>
    <row r="10112" hidden="1">
      <c r="F10112" s="1" t="str">
        <f t="shared" si="1"/>
        <v/>
      </c>
      <c r="G10112" s="1" t="str">
        <f t="shared" si="2"/>
        <v/>
      </c>
      <c r="J10112" s="1" t="str">
        <f t="shared" si="3"/>
        <v/>
      </c>
      <c r="K10112" s="1" t="str">
        <f t="shared" si="4"/>
        <v/>
      </c>
    </row>
    <row r="10113" hidden="1">
      <c r="F10113" s="1" t="str">
        <f t="shared" si="1"/>
        <v/>
      </c>
      <c r="G10113" s="1" t="str">
        <f t="shared" si="2"/>
        <v/>
      </c>
      <c r="J10113" s="1" t="str">
        <f t="shared" si="3"/>
        <v/>
      </c>
      <c r="K10113" s="1" t="str">
        <f t="shared" si="4"/>
        <v/>
      </c>
    </row>
    <row r="10114" hidden="1">
      <c r="F10114" s="1" t="str">
        <f t="shared" si="1"/>
        <v/>
      </c>
      <c r="G10114" s="1" t="str">
        <f t="shared" si="2"/>
        <v/>
      </c>
      <c r="J10114" s="1" t="str">
        <f t="shared" si="3"/>
        <v/>
      </c>
      <c r="K10114" s="1" t="str">
        <f t="shared" si="4"/>
        <v/>
      </c>
    </row>
    <row r="10115" hidden="1">
      <c r="F10115" s="1" t="str">
        <f t="shared" si="1"/>
        <v/>
      </c>
      <c r="G10115" s="1" t="str">
        <f t="shared" si="2"/>
        <v/>
      </c>
      <c r="J10115" s="1" t="str">
        <f t="shared" si="3"/>
        <v/>
      </c>
      <c r="K10115" s="1" t="str">
        <f t="shared" si="4"/>
        <v/>
      </c>
    </row>
    <row r="10116" hidden="1">
      <c r="F10116" s="1" t="str">
        <f t="shared" si="1"/>
        <v/>
      </c>
      <c r="G10116" s="1" t="str">
        <f t="shared" si="2"/>
        <v/>
      </c>
      <c r="J10116" s="1" t="str">
        <f t="shared" si="3"/>
        <v/>
      </c>
      <c r="K10116" s="1" t="str">
        <f t="shared" si="4"/>
        <v/>
      </c>
    </row>
    <row r="10117" hidden="1">
      <c r="F10117" s="1" t="str">
        <f t="shared" si="1"/>
        <v/>
      </c>
      <c r="G10117" s="1" t="str">
        <f t="shared" si="2"/>
        <v/>
      </c>
      <c r="J10117" s="1" t="str">
        <f t="shared" si="3"/>
        <v/>
      </c>
      <c r="K10117" s="1" t="str">
        <f t="shared" si="4"/>
        <v/>
      </c>
    </row>
    <row r="10118" hidden="1">
      <c r="F10118" s="1" t="str">
        <f t="shared" si="1"/>
        <v/>
      </c>
      <c r="G10118" s="1" t="str">
        <f t="shared" si="2"/>
        <v/>
      </c>
      <c r="J10118" s="1" t="str">
        <f t="shared" si="3"/>
        <v/>
      </c>
      <c r="K10118" s="1" t="str">
        <f t="shared" si="4"/>
        <v/>
      </c>
    </row>
    <row r="10119" hidden="1">
      <c r="F10119" s="1" t="str">
        <f t="shared" si="1"/>
        <v/>
      </c>
      <c r="G10119" s="1" t="str">
        <f t="shared" si="2"/>
        <v/>
      </c>
      <c r="J10119" s="1" t="str">
        <f t="shared" si="3"/>
        <v/>
      </c>
      <c r="K10119" s="1" t="str">
        <f t="shared" si="4"/>
        <v/>
      </c>
    </row>
    <row r="10120" hidden="1">
      <c r="F10120" s="1" t="str">
        <f t="shared" si="1"/>
        <v/>
      </c>
      <c r="G10120" s="1" t="str">
        <f t="shared" si="2"/>
        <v/>
      </c>
      <c r="J10120" s="1" t="str">
        <f t="shared" si="3"/>
        <v/>
      </c>
      <c r="K10120" s="1" t="str">
        <f t="shared" si="4"/>
        <v/>
      </c>
    </row>
    <row r="10121" hidden="1">
      <c r="F10121" s="1" t="str">
        <f t="shared" si="1"/>
        <v/>
      </c>
      <c r="G10121" s="1" t="str">
        <f t="shared" si="2"/>
        <v/>
      </c>
      <c r="J10121" s="1" t="str">
        <f t="shared" si="3"/>
        <v/>
      </c>
      <c r="K10121" s="1" t="str">
        <f t="shared" si="4"/>
        <v/>
      </c>
    </row>
    <row r="10122" hidden="1">
      <c r="F10122" s="1" t="str">
        <f t="shared" si="1"/>
        <v/>
      </c>
      <c r="G10122" s="1" t="str">
        <f t="shared" si="2"/>
        <v/>
      </c>
      <c r="J10122" s="1" t="str">
        <f t="shared" si="3"/>
        <v/>
      </c>
      <c r="K10122" s="1" t="str">
        <f t="shared" si="4"/>
        <v/>
      </c>
    </row>
    <row r="10123" hidden="1">
      <c r="F10123" s="1" t="str">
        <f t="shared" si="1"/>
        <v/>
      </c>
      <c r="G10123" s="1" t="str">
        <f t="shared" si="2"/>
        <v/>
      </c>
      <c r="J10123" s="1" t="str">
        <f t="shared" si="3"/>
        <v/>
      </c>
      <c r="K10123" s="1" t="str">
        <f t="shared" si="4"/>
        <v/>
      </c>
    </row>
    <row r="10124" hidden="1">
      <c r="F10124" s="1" t="str">
        <f t="shared" si="1"/>
        <v/>
      </c>
      <c r="G10124" s="1" t="str">
        <f t="shared" si="2"/>
        <v/>
      </c>
      <c r="J10124" s="1" t="str">
        <f t="shared" si="3"/>
        <v/>
      </c>
      <c r="K10124" s="1" t="str">
        <f t="shared" si="4"/>
        <v/>
      </c>
    </row>
    <row r="10125" hidden="1">
      <c r="F10125" s="1" t="str">
        <f t="shared" si="1"/>
        <v/>
      </c>
      <c r="G10125" s="1" t="str">
        <f t="shared" si="2"/>
        <v/>
      </c>
      <c r="J10125" s="1" t="str">
        <f t="shared" si="3"/>
        <v/>
      </c>
      <c r="K10125" s="1" t="str">
        <f t="shared" si="4"/>
        <v/>
      </c>
    </row>
    <row r="10126" hidden="1">
      <c r="F10126" s="1" t="str">
        <f t="shared" si="1"/>
        <v/>
      </c>
      <c r="G10126" s="1" t="str">
        <f t="shared" si="2"/>
        <v/>
      </c>
      <c r="J10126" s="1" t="str">
        <f t="shared" si="3"/>
        <v/>
      </c>
      <c r="K10126" s="1" t="str">
        <f t="shared" si="4"/>
        <v/>
      </c>
    </row>
    <row r="10127" hidden="1">
      <c r="F10127" s="1" t="str">
        <f t="shared" si="1"/>
        <v/>
      </c>
      <c r="G10127" s="1" t="str">
        <f t="shared" si="2"/>
        <v/>
      </c>
      <c r="J10127" s="1" t="str">
        <f t="shared" si="3"/>
        <v/>
      </c>
      <c r="K10127" s="1" t="str">
        <f t="shared" si="4"/>
        <v/>
      </c>
    </row>
    <row r="10128" hidden="1">
      <c r="F10128" s="1" t="str">
        <f t="shared" si="1"/>
        <v/>
      </c>
      <c r="G10128" s="1" t="str">
        <f t="shared" si="2"/>
        <v/>
      </c>
      <c r="J10128" s="1" t="str">
        <f t="shared" si="3"/>
        <v/>
      </c>
      <c r="K10128" s="1" t="str">
        <f t="shared" si="4"/>
        <v/>
      </c>
    </row>
    <row r="10129" hidden="1">
      <c r="F10129" s="1" t="str">
        <f t="shared" si="1"/>
        <v/>
      </c>
      <c r="G10129" s="1" t="str">
        <f t="shared" si="2"/>
        <v/>
      </c>
      <c r="J10129" s="1" t="str">
        <f t="shared" si="3"/>
        <v/>
      </c>
      <c r="K10129" s="1" t="str">
        <f t="shared" si="4"/>
        <v/>
      </c>
    </row>
    <row r="10130" hidden="1">
      <c r="F10130" s="1" t="str">
        <f t="shared" si="1"/>
        <v/>
      </c>
      <c r="G10130" s="1" t="str">
        <f t="shared" si="2"/>
        <v/>
      </c>
      <c r="J10130" s="1" t="str">
        <f t="shared" si="3"/>
        <v/>
      </c>
      <c r="K10130" s="1" t="str">
        <f t="shared" si="4"/>
        <v/>
      </c>
    </row>
    <row r="10131" hidden="1">
      <c r="F10131" s="1" t="str">
        <f t="shared" si="1"/>
        <v/>
      </c>
      <c r="G10131" s="1" t="str">
        <f t="shared" si="2"/>
        <v/>
      </c>
      <c r="J10131" s="1" t="str">
        <f t="shared" si="3"/>
        <v/>
      </c>
      <c r="K10131" s="1" t="str">
        <f t="shared" si="4"/>
        <v/>
      </c>
    </row>
    <row r="10132" hidden="1">
      <c r="F10132" s="1" t="str">
        <f t="shared" si="1"/>
        <v/>
      </c>
      <c r="G10132" s="1" t="str">
        <f t="shared" si="2"/>
        <v/>
      </c>
      <c r="J10132" s="1" t="str">
        <f t="shared" si="3"/>
        <v/>
      </c>
      <c r="K10132" s="1" t="str">
        <f t="shared" si="4"/>
        <v/>
      </c>
    </row>
    <row r="10133" hidden="1">
      <c r="F10133" s="1" t="str">
        <f t="shared" si="1"/>
        <v/>
      </c>
      <c r="G10133" s="1" t="str">
        <f t="shared" si="2"/>
        <v/>
      </c>
      <c r="J10133" s="1" t="str">
        <f t="shared" si="3"/>
        <v/>
      </c>
      <c r="K10133" s="1" t="str">
        <f t="shared" si="4"/>
        <v/>
      </c>
    </row>
    <row r="10134" hidden="1">
      <c r="F10134" s="1" t="str">
        <f t="shared" si="1"/>
        <v/>
      </c>
      <c r="G10134" s="1" t="str">
        <f t="shared" si="2"/>
        <v/>
      </c>
      <c r="J10134" s="1" t="str">
        <f t="shared" si="3"/>
        <v/>
      </c>
      <c r="K10134" s="1" t="str">
        <f t="shared" si="4"/>
        <v/>
      </c>
    </row>
    <row r="10135" hidden="1">
      <c r="F10135" s="1" t="str">
        <f t="shared" si="1"/>
        <v/>
      </c>
      <c r="G10135" s="1" t="str">
        <f t="shared" si="2"/>
        <v/>
      </c>
      <c r="J10135" s="1" t="str">
        <f t="shared" si="3"/>
        <v/>
      </c>
      <c r="K10135" s="1" t="str">
        <f t="shared" si="4"/>
        <v/>
      </c>
    </row>
    <row r="10136" hidden="1">
      <c r="F10136" s="1" t="str">
        <f t="shared" si="1"/>
        <v/>
      </c>
      <c r="G10136" s="1" t="str">
        <f t="shared" si="2"/>
        <v/>
      </c>
      <c r="J10136" s="1" t="str">
        <f t="shared" si="3"/>
        <v/>
      </c>
      <c r="K10136" s="1" t="str">
        <f t="shared" si="4"/>
        <v/>
      </c>
    </row>
    <row r="10137" hidden="1">
      <c r="F10137" s="1" t="str">
        <f t="shared" si="1"/>
        <v/>
      </c>
      <c r="G10137" s="1" t="str">
        <f t="shared" si="2"/>
        <v/>
      </c>
      <c r="J10137" s="1" t="str">
        <f t="shared" si="3"/>
        <v/>
      </c>
      <c r="K10137" s="1" t="str">
        <f t="shared" si="4"/>
        <v/>
      </c>
    </row>
    <row r="10138" hidden="1">
      <c r="F10138" s="1" t="str">
        <f t="shared" si="1"/>
        <v/>
      </c>
      <c r="G10138" s="1" t="str">
        <f t="shared" si="2"/>
        <v/>
      </c>
      <c r="J10138" s="1" t="str">
        <f t="shared" si="3"/>
        <v/>
      </c>
      <c r="K10138" s="1" t="str">
        <f t="shared" si="4"/>
        <v/>
      </c>
    </row>
    <row r="10139" hidden="1">
      <c r="F10139" s="1" t="str">
        <f t="shared" si="1"/>
        <v/>
      </c>
      <c r="G10139" s="1" t="str">
        <f t="shared" si="2"/>
        <v/>
      </c>
      <c r="J10139" s="1" t="str">
        <f t="shared" si="3"/>
        <v/>
      </c>
      <c r="K10139" s="1" t="str">
        <f t="shared" si="4"/>
        <v/>
      </c>
    </row>
    <row r="10140" hidden="1">
      <c r="F10140" s="1" t="str">
        <f t="shared" si="1"/>
        <v/>
      </c>
      <c r="G10140" s="1" t="str">
        <f t="shared" si="2"/>
        <v/>
      </c>
      <c r="J10140" s="1" t="str">
        <f t="shared" si="3"/>
        <v/>
      </c>
      <c r="K10140" s="1" t="str">
        <f t="shared" si="4"/>
        <v/>
      </c>
    </row>
    <row r="10141" hidden="1">
      <c r="F10141" s="1" t="str">
        <f t="shared" si="1"/>
        <v/>
      </c>
      <c r="G10141" s="1" t="str">
        <f t="shared" si="2"/>
        <v/>
      </c>
      <c r="J10141" s="1" t="str">
        <f t="shared" si="3"/>
        <v/>
      </c>
      <c r="K10141" s="1" t="str">
        <f t="shared" si="4"/>
        <v/>
      </c>
    </row>
    <row r="10142" hidden="1">
      <c r="F10142" s="1" t="str">
        <f t="shared" si="1"/>
        <v/>
      </c>
      <c r="G10142" s="1" t="str">
        <f t="shared" si="2"/>
        <v/>
      </c>
      <c r="J10142" s="1" t="str">
        <f t="shared" si="3"/>
        <v/>
      </c>
      <c r="K10142" s="1" t="str">
        <f t="shared" si="4"/>
        <v/>
      </c>
    </row>
    <row r="10143" hidden="1">
      <c r="F10143" s="1" t="str">
        <f t="shared" si="1"/>
        <v/>
      </c>
      <c r="G10143" s="1" t="str">
        <f t="shared" si="2"/>
        <v/>
      </c>
      <c r="J10143" s="1" t="str">
        <f t="shared" si="3"/>
        <v/>
      </c>
      <c r="K10143" s="1" t="str">
        <f t="shared" si="4"/>
        <v/>
      </c>
    </row>
    <row r="10144" hidden="1">
      <c r="F10144" s="1" t="str">
        <f t="shared" si="1"/>
        <v/>
      </c>
      <c r="G10144" s="1" t="str">
        <f t="shared" si="2"/>
        <v/>
      </c>
      <c r="J10144" s="1" t="str">
        <f t="shared" si="3"/>
        <v/>
      </c>
      <c r="K10144" s="1" t="str">
        <f t="shared" si="4"/>
        <v/>
      </c>
    </row>
    <row r="10145" hidden="1">
      <c r="F10145" s="1" t="str">
        <f t="shared" si="1"/>
        <v/>
      </c>
      <c r="G10145" s="1" t="str">
        <f t="shared" si="2"/>
        <v/>
      </c>
      <c r="J10145" s="1" t="str">
        <f t="shared" si="3"/>
        <v/>
      </c>
      <c r="K10145" s="1" t="str">
        <f t="shared" si="4"/>
        <v/>
      </c>
    </row>
    <row r="10146" hidden="1">
      <c r="F10146" s="1" t="str">
        <f t="shared" si="1"/>
        <v/>
      </c>
      <c r="G10146" s="1" t="str">
        <f t="shared" si="2"/>
        <v/>
      </c>
      <c r="J10146" s="1" t="str">
        <f t="shared" si="3"/>
        <v/>
      </c>
      <c r="K10146" s="1" t="str">
        <f t="shared" si="4"/>
        <v/>
      </c>
    </row>
    <row r="10147" hidden="1">
      <c r="F10147" s="1" t="str">
        <f t="shared" si="1"/>
        <v/>
      </c>
      <c r="G10147" s="1" t="str">
        <f t="shared" si="2"/>
        <v/>
      </c>
      <c r="J10147" s="1" t="str">
        <f t="shared" si="3"/>
        <v/>
      </c>
      <c r="K10147" s="1" t="str">
        <f t="shared" si="4"/>
        <v/>
      </c>
    </row>
    <row r="10148" hidden="1">
      <c r="F10148" s="1" t="str">
        <f t="shared" si="1"/>
        <v/>
      </c>
      <c r="G10148" s="1" t="str">
        <f t="shared" si="2"/>
        <v/>
      </c>
      <c r="J10148" s="1" t="str">
        <f t="shared" si="3"/>
        <v/>
      </c>
      <c r="K10148" s="1" t="str">
        <f t="shared" si="4"/>
        <v/>
      </c>
    </row>
    <row r="10149" hidden="1">
      <c r="F10149" s="1" t="str">
        <f t="shared" si="1"/>
        <v/>
      </c>
      <c r="G10149" s="1" t="str">
        <f t="shared" si="2"/>
        <v/>
      </c>
      <c r="J10149" s="1" t="str">
        <f t="shared" si="3"/>
        <v/>
      </c>
      <c r="K10149" s="1" t="str">
        <f t="shared" si="4"/>
        <v/>
      </c>
    </row>
    <row r="10150" hidden="1">
      <c r="F10150" s="1" t="str">
        <f t="shared" si="1"/>
        <v/>
      </c>
      <c r="G10150" s="1" t="str">
        <f t="shared" si="2"/>
        <v/>
      </c>
      <c r="J10150" s="1" t="str">
        <f t="shared" si="3"/>
        <v/>
      </c>
      <c r="K10150" s="1" t="str">
        <f t="shared" si="4"/>
        <v/>
      </c>
    </row>
    <row r="10151" hidden="1">
      <c r="F10151" s="1" t="str">
        <f t="shared" si="1"/>
        <v/>
      </c>
      <c r="G10151" s="1" t="str">
        <f t="shared" si="2"/>
        <v/>
      </c>
      <c r="J10151" s="1" t="str">
        <f t="shared" si="3"/>
        <v/>
      </c>
      <c r="K10151" s="1" t="str">
        <f t="shared" si="4"/>
        <v/>
      </c>
    </row>
    <row r="10152" hidden="1">
      <c r="F10152" s="1" t="str">
        <f t="shared" si="1"/>
        <v/>
      </c>
      <c r="G10152" s="1" t="str">
        <f t="shared" si="2"/>
        <v/>
      </c>
      <c r="J10152" s="1" t="str">
        <f t="shared" si="3"/>
        <v/>
      </c>
      <c r="K10152" s="1" t="str">
        <f t="shared" si="4"/>
        <v/>
      </c>
    </row>
    <row r="10153" hidden="1">
      <c r="F10153" s="1" t="str">
        <f t="shared" si="1"/>
        <v/>
      </c>
      <c r="G10153" s="1" t="str">
        <f t="shared" si="2"/>
        <v/>
      </c>
      <c r="J10153" s="1" t="str">
        <f t="shared" si="3"/>
        <v/>
      </c>
      <c r="K10153" s="1" t="str">
        <f t="shared" si="4"/>
        <v/>
      </c>
    </row>
    <row r="10154" hidden="1">
      <c r="F10154" s="1" t="str">
        <f t="shared" si="1"/>
        <v/>
      </c>
      <c r="G10154" s="1" t="str">
        <f t="shared" si="2"/>
        <v/>
      </c>
      <c r="J10154" s="1" t="str">
        <f t="shared" si="3"/>
        <v/>
      </c>
      <c r="K10154" s="1" t="str">
        <f t="shared" si="4"/>
        <v/>
      </c>
    </row>
    <row r="10155" hidden="1">
      <c r="F10155" s="1" t="str">
        <f t="shared" si="1"/>
        <v/>
      </c>
      <c r="G10155" s="1" t="str">
        <f t="shared" si="2"/>
        <v/>
      </c>
      <c r="J10155" s="1" t="str">
        <f t="shared" si="3"/>
        <v/>
      </c>
      <c r="K10155" s="1" t="str">
        <f t="shared" si="4"/>
        <v/>
      </c>
    </row>
    <row r="10156" hidden="1">
      <c r="F10156" s="1" t="str">
        <f t="shared" si="1"/>
        <v/>
      </c>
      <c r="G10156" s="1" t="str">
        <f t="shared" si="2"/>
        <v/>
      </c>
      <c r="J10156" s="1" t="str">
        <f t="shared" si="3"/>
        <v/>
      </c>
      <c r="K10156" s="1" t="str">
        <f t="shared" si="4"/>
        <v/>
      </c>
    </row>
    <row r="10157" hidden="1">
      <c r="F10157" s="1" t="str">
        <f t="shared" si="1"/>
        <v/>
      </c>
      <c r="G10157" s="1" t="str">
        <f t="shared" si="2"/>
        <v/>
      </c>
      <c r="J10157" s="1" t="str">
        <f t="shared" si="3"/>
        <v/>
      </c>
      <c r="K10157" s="1" t="str">
        <f t="shared" si="4"/>
        <v/>
      </c>
    </row>
    <row r="10158" hidden="1">
      <c r="F10158" s="1" t="str">
        <f t="shared" si="1"/>
        <v/>
      </c>
      <c r="G10158" s="1" t="str">
        <f t="shared" si="2"/>
        <v/>
      </c>
      <c r="J10158" s="1" t="str">
        <f t="shared" si="3"/>
        <v/>
      </c>
      <c r="K10158" s="1" t="str">
        <f t="shared" si="4"/>
        <v/>
      </c>
    </row>
    <row r="10159" hidden="1">
      <c r="F10159" s="1" t="str">
        <f t="shared" si="1"/>
        <v/>
      </c>
      <c r="G10159" s="1" t="str">
        <f t="shared" si="2"/>
        <v/>
      </c>
      <c r="J10159" s="1" t="str">
        <f t="shared" si="3"/>
        <v/>
      </c>
      <c r="K10159" s="1" t="str">
        <f t="shared" si="4"/>
        <v/>
      </c>
    </row>
    <row r="10160" hidden="1">
      <c r="F10160" s="1" t="str">
        <f t="shared" si="1"/>
        <v/>
      </c>
      <c r="G10160" s="1" t="str">
        <f t="shared" si="2"/>
        <v/>
      </c>
      <c r="J10160" s="1" t="str">
        <f t="shared" si="3"/>
        <v/>
      </c>
      <c r="K10160" s="1" t="str">
        <f t="shared" si="4"/>
        <v/>
      </c>
    </row>
    <row r="10161" hidden="1">
      <c r="F10161" s="1" t="str">
        <f t="shared" si="1"/>
        <v/>
      </c>
      <c r="G10161" s="1" t="str">
        <f t="shared" si="2"/>
        <v/>
      </c>
      <c r="J10161" s="1" t="str">
        <f t="shared" si="3"/>
        <v/>
      </c>
      <c r="K10161" s="1" t="str">
        <f t="shared" si="4"/>
        <v/>
      </c>
    </row>
    <row r="10162" hidden="1">
      <c r="F10162" s="1" t="str">
        <f t="shared" si="1"/>
        <v/>
      </c>
      <c r="G10162" s="1" t="str">
        <f t="shared" si="2"/>
        <v/>
      </c>
      <c r="J10162" s="1" t="str">
        <f t="shared" si="3"/>
        <v/>
      </c>
      <c r="K10162" s="1" t="str">
        <f t="shared" si="4"/>
        <v/>
      </c>
    </row>
    <row r="10163" hidden="1">
      <c r="F10163" s="1" t="str">
        <f t="shared" si="1"/>
        <v/>
      </c>
      <c r="G10163" s="1" t="str">
        <f t="shared" si="2"/>
        <v/>
      </c>
      <c r="J10163" s="1" t="str">
        <f t="shared" si="3"/>
        <v/>
      </c>
      <c r="K10163" s="1" t="str">
        <f t="shared" si="4"/>
        <v/>
      </c>
    </row>
    <row r="10164" hidden="1">
      <c r="F10164" s="1" t="str">
        <f t="shared" si="1"/>
        <v/>
      </c>
      <c r="G10164" s="1" t="str">
        <f t="shared" si="2"/>
        <v/>
      </c>
      <c r="J10164" s="1" t="str">
        <f t="shared" si="3"/>
        <v/>
      </c>
      <c r="K10164" s="1" t="str">
        <f t="shared" si="4"/>
        <v/>
      </c>
    </row>
    <row r="10165" hidden="1">
      <c r="F10165" s="1" t="str">
        <f t="shared" si="1"/>
        <v/>
      </c>
      <c r="G10165" s="1" t="str">
        <f t="shared" si="2"/>
        <v/>
      </c>
      <c r="J10165" s="1" t="str">
        <f t="shared" si="3"/>
        <v/>
      </c>
      <c r="K10165" s="1" t="str">
        <f t="shared" si="4"/>
        <v/>
      </c>
    </row>
    <row r="10166" hidden="1">
      <c r="F10166" s="1" t="str">
        <f t="shared" si="1"/>
        <v/>
      </c>
      <c r="G10166" s="1" t="str">
        <f t="shared" si="2"/>
        <v/>
      </c>
      <c r="J10166" s="1" t="str">
        <f t="shared" si="3"/>
        <v/>
      </c>
      <c r="K10166" s="1" t="str">
        <f t="shared" si="4"/>
        <v/>
      </c>
    </row>
    <row r="10167" hidden="1">
      <c r="F10167" s="1" t="str">
        <f t="shared" si="1"/>
        <v/>
      </c>
      <c r="G10167" s="1" t="str">
        <f t="shared" si="2"/>
        <v/>
      </c>
      <c r="J10167" s="1" t="str">
        <f t="shared" si="3"/>
        <v/>
      </c>
      <c r="K10167" s="1" t="str">
        <f t="shared" si="4"/>
        <v/>
      </c>
    </row>
    <row r="10168" hidden="1">
      <c r="F10168" s="1" t="str">
        <f t="shared" si="1"/>
        <v/>
      </c>
      <c r="G10168" s="1" t="str">
        <f t="shared" si="2"/>
        <v/>
      </c>
      <c r="J10168" s="1" t="str">
        <f t="shared" si="3"/>
        <v/>
      </c>
      <c r="K10168" s="1" t="str">
        <f t="shared" si="4"/>
        <v/>
      </c>
    </row>
    <row r="10169" hidden="1">
      <c r="F10169" s="1" t="str">
        <f t="shared" si="1"/>
        <v/>
      </c>
      <c r="G10169" s="1" t="str">
        <f t="shared" si="2"/>
        <v/>
      </c>
      <c r="J10169" s="1" t="str">
        <f t="shared" si="3"/>
        <v/>
      </c>
      <c r="K10169" s="1" t="str">
        <f t="shared" si="4"/>
        <v/>
      </c>
    </row>
    <row r="10170" hidden="1">
      <c r="F10170" s="1" t="str">
        <f t="shared" si="1"/>
        <v/>
      </c>
      <c r="G10170" s="1" t="str">
        <f t="shared" si="2"/>
        <v/>
      </c>
      <c r="J10170" s="1" t="str">
        <f t="shared" si="3"/>
        <v/>
      </c>
      <c r="K10170" s="1" t="str">
        <f t="shared" si="4"/>
        <v/>
      </c>
    </row>
    <row r="10171" hidden="1">
      <c r="F10171" s="1" t="str">
        <f t="shared" si="1"/>
        <v/>
      </c>
      <c r="G10171" s="1" t="str">
        <f t="shared" si="2"/>
        <v/>
      </c>
      <c r="J10171" s="1" t="str">
        <f t="shared" si="3"/>
        <v/>
      </c>
      <c r="K10171" s="1" t="str">
        <f t="shared" si="4"/>
        <v/>
      </c>
    </row>
    <row r="10172" hidden="1">
      <c r="F10172" s="1" t="str">
        <f t="shared" si="1"/>
        <v/>
      </c>
      <c r="G10172" s="1" t="str">
        <f t="shared" si="2"/>
        <v/>
      </c>
      <c r="J10172" s="1" t="str">
        <f t="shared" si="3"/>
        <v/>
      </c>
      <c r="K10172" s="1" t="str">
        <f t="shared" si="4"/>
        <v/>
      </c>
    </row>
    <row r="10173" hidden="1">
      <c r="F10173" s="1" t="str">
        <f t="shared" si="1"/>
        <v/>
      </c>
      <c r="G10173" s="1" t="str">
        <f t="shared" si="2"/>
        <v/>
      </c>
      <c r="J10173" s="1" t="str">
        <f t="shared" si="3"/>
        <v/>
      </c>
      <c r="K10173" s="1" t="str">
        <f t="shared" si="4"/>
        <v/>
      </c>
    </row>
    <row r="10174" hidden="1">
      <c r="F10174" s="1" t="str">
        <f t="shared" si="1"/>
        <v/>
      </c>
      <c r="G10174" s="1" t="str">
        <f t="shared" si="2"/>
        <v/>
      </c>
      <c r="J10174" s="1" t="str">
        <f t="shared" si="3"/>
        <v/>
      </c>
      <c r="K10174" s="1" t="str">
        <f t="shared" si="4"/>
        <v/>
      </c>
    </row>
    <row r="10175" hidden="1">
      <c r="F10175" s="1" t="str">
        <f t="shared" si="1"/>
        <v/>
      </c>
      <c r="G10175" s="1" t="str">
        <f t="shared" si="2"/>
        <v/>
      </c>
      <c r="J10175" s="1" t="str">
        <f t="shared" si="3"/>
        <v/>
      </c>
      <c r="K10175" s="1" t="str">
        <f t="shared" si="4"/>
        <v/>
      </c>
    </row>
    <row r="10176" hidden="1">
      <c r="F10176" s="1" t="str">
        <f t="shared" si="1"/>
        <v/>
      </c>
      <c r="G10176" s="1" t="str">
        <f t="shared" si="2"/>
        <v/>
      </c>
      <c r="J10176" s="1" t="str">
        <f t="shared" si="3"/>
        <v/>
      </c>
      <c r="K10176" s="1" t="str">
        <f t="shared" si="4"/>
        <v/>
      </c>
    </row>
    <row r="10177" hidden="1">
      <c r="F10177" s="1" t="str">
        <f t="shared" si="1"/>
        <v/>
      </c>
      <c r="G10177" s="1" t="str">
        <f t="shared" si="2"/>
        <v/>
      </c>
      <c r="J10177" s="1" t="str">
        <f t="shared" si="3"/>
        <v/>
      </c>
      <c r="K10177" s="1" t="str">
        <f t="shared" si="4"/>
        <v/>
      </c>
    </row>
    <row r="10178" hidden="1">
      <c r="F10178" s="1" t="str">
        <f t="shared" si="1"/>
        <v/>
      </c>
      <c r="G10178" s="1" t="str">
        <f t="shared" si="2"/>
        <v/>
      </c>
      <c r="J10178" s="1" t="str">
        <f t="shared" si="3"/>
        <v/>
      </c>
      <c r="K10178" s="1" t="str">
        <f t="shared" si="4"/>
        <v/>
      </c>
    </row>
    <row r="10179" hidden="1">
      <c r="F10179" s="1" t="str">
        <f t="shared" si="1"/>
        <v/>
      </c>
      <c r="G10179" s="1" t="str">
        <f t="shared" si="2"/>
        <v/>
      </c>
      <c r="J10179" s="1" t="str">
        <f t="shared" si="3"/>
        <v/>
      </c>
      <c r="K10179" s="1" t="str">
        <f t="shared" si="4"/>
        <v/>
      </c>
    </row>
    <row r="10180" hidden="1">
      <c r="F10180" s="1" t="str">
        <f t="shared" si="1"/>
        <v/>
      </c>
      <c r="G10180" s="1" t="str">
        <f t="shared" si="2"/>
        <v/>
      </c>
      <c r="J10180" s="1" t="str">
        <f t="shared" si="3"/>
        <v/>
      </c>
      <c r="K10180" s="1" t="str">
        <f t="shared" si="4"/>
        <v/>
      </c>
    </row>
    <row r="10181" hidden="1">
      <c r="F10181" s="1" t="str">
        <f t="shared" si="1"/>
        <v/>
      </c>
      <c r="G10181" s="1" t="str">
        <f t="shared" si="2"/>
        <v/>
      </c>
      <c r="J10181" s="1" t="str">
        <f t="shared" si="3"/>
        <v/>
      </c>
      <c r="K10181" s="1" t="str">
        <f t="shared" si="4"/>
        <v/>
      </c>
    </row>
    <row r="10182" hidden="1">
      <c r="F10182" s="1" t="str">
        <f t="shared" si="1"/>
        <v/>
      </c>
      <c r="G10182" s="1" t="str">
        <f t="shared" si="2"/>
        <v/>
      </c>
      <c r="J10182" s="1" t="str">
        <f t="shared" si="3"/>
        <v/>
      </c>
      <c r="K10182" s="1" t="str">
        <f t="shared" si="4"/>
        <v/>
      </c>
    </row>
    <row r="10183" hidden="1">
      <c r="F10183" s="1" t="str">
        <f t="shared" si="1"/>
        <v/>
      </c>
      <c r="G10183" s="1" t="str">
        <f t="shared" si="2"/>
        <v/>
      </c>
      <c r="J10183" s="1" t="str">
        <f t="shared" si="3"/>
        <v/>
      </c>
      <c r="K10183" s="1" t="str">
        <f t="shared" si="4"/>
        <v/>
      </c>
    </row>
    <row r="10184" hidden="1">
      <c r="F10184" s="1" t="str">
        <f t="shared" si="1"/>
        <v/>
      </c>
      <c r="G10184" s="1" t="str">
        <f t="shared" si="2"/>
        <v/>
      </c>
      <c r="J10184" s="1" t="str">
        <f t="shared" si="3"/>
        <v/>
      </c>
      <c r="K10184" s="1" t="str">
        <f t="shared" si="4"/>
        <v/>
      </c>
    </row>
    <row r="10185" hidden="1">
      <c r="F10185" s="1" t="str">
        <f t="shared" si="1"/>
        <v/>
      </c>
      <c r="G10185" s="1" t="str">
        <f t="shared" si="2"/>
        <v/>
      </c>
      <c r="J10185" s="1" t="str">
        <f t="shared" si="3"/>
        <v/>
      </c>
      <c r="K10185" s="1" t="str">
        <f t="shared" si="4"/>
        <v/>
      </c>
    </row>
    <row r="10186" hidden="1">
      <c r="F10186" s="1" t="str">
        <f t="shared" si="1"/>
        <v/>
      </c>
      <c r="G10186" s="1" t="str">
        <f t="shared" si="2"/>
        <v/>
      </c>
      <c r="J10186" s="1" t="str">
        <f t="shared" si="3"/>
        <v/>
      </c>
      <c r="K10186" s="1" t="str">
        <f t="shared" si="4"/>
        <v/>
      </c>
    </row>
    <row r="10187" hidden="1">
      <c r="F10187" s="1" t="str">
        <f t="shared" si="1"/>
        <v/>
      </c>
      <c r="G10187" s="1" t="str">
        <f t="shared" si="2"/>
        <v/>
      </c>
      <c r="J10187" s="1" t="str">
        <f t="shared" si="3"/>
        <v/>
      </c>
      <c r="K10187" s="1" t="str">
        <f t="shared" si="4"/>
        <v/>
      </c>
    </row>
    <row r="10188" hidden="1">
      <c r="F10188" s="1" t="str">
        <f t="shared" si="1"/>
        <v/>
      </c>
      <c r="G10188" s="1" t="str">
        <f t="shared" si="2"/>
        <v/>
      </c>
      <c r="J10188" s="1" t="str">
        <f t="shared" si="3"/>
        <v/>
      </c>
      <c r="K10188" s="1" t="str">
        <f t="shared" si="4"/>
        <v/>
      </c>
    </row>
    <row r="10189" hidden="1">
      <c r="F10189" s="1" t="str">
        <f t="shared" si="1"/>
        <v/>
      </c>
      <c r="G10189" s="1" t="str">
        <f t="shared" si="2"/>
        <v/>
      </c>
      <c r="J10189" s="1" t="str">
        <f t="shared" si="3"/>
        <v/>
      </c>
      <c r="K10189" s="1" t="str">
        <f t="shared" si="4"/>
        <v/>
      </c>
    </row>
    <row r="10190" hidden="1">
      <c r="F10190" s="1" t="str">
        <f t="shared" si="1"/>
        <v/>
      </c>
      <c r="G10190" s="1" t="str">
        <f t="shared" si="2"/>
        <v/>
      </c>
      <c r="J10190" s="1" t="str">
        <f t="shared" si="3"/>
        <v/>
      </c>
      <c r="K10190" s="1" t="str">
        <f t="shared" si="4"/>
        <v/>
      </c>
    </row>
    <row r="10191" hidden="1">
      <c r="F10191" s="1" t="str">
        <f t="shared" si="1"/>
        <v/>
      </c>
      <c r="G10191" s="1" t="str">
        <f t="shared" si="2"/>
        <v/>
      </c>
      <c r="J10191" s="1" t="str">
        <f t="shared" si="3"/>
        <v/>
      </c>
      <c r="K10191" s="1" t="str">
        <f t="shared" si="4"/>
        <v/>
      </c>
    </row>
    <row r="10192" hidden="1">
      <c r="F10192" s="1" t="str">
        <f t="shared" si="1"/>
        <v/>
      </c>
      <c r="G10192" s="1" t="str">
        <f t="shared" si="2"/>
        <v/>
      </c>
      <c r="J10192" s="1" t="str">
        <f t="shared" si="3"/>
        <v/>
      </c>
      <c r="K10192" s="1" t="str">
        <f t="shared" si="4"/>
        <v/>
      </c>
    </row>
    <row r="10193" hidden="1">
      <c r="F10193" s="1" t="str">
        <f t="shared" si="1"/>
        <v/>
      </c>
      <c r="G10193" s="1" t="str">
        <f t="shared" si="2"/>
        <v/>
      </c>
      <c r="J10193" s="1" t="str">
        <f t="shared" si="3"/>
        <v/>
      </c>
      <c r="K10193" s="1" t="str">
        <f t="shared" si="4"/>
        <v/>
      </c>
    </row>
    <row r="10194" hidden="1">
      <c r="F10194" s="1" t="str">
        <f t="shared" si="1"/>
        <v/>
      </c>
      <c r="G10194" s="1" t="str">
        <f t="shared" si="2"/>
        <v/>
      </c>
      <c r="J10194" s="1" t="str">
        <f t="shared" si="3"/>
        <v/>
      </c>
      <c r="K10194" s="1" t="str">
        <f t="shared" si="4"/>
        <v/>
      </c>
    </row>
    <row r="10195" hidden="1">
      <c r="F10195" s="1" t="str">
        <f t="shared" si="1"/>
        <v/>
      </c>
      <c r="G10195" s="1" t="str">
        <f t="shared" si="2"/>
        <v/>
      </c>
      <c r="J10195" s="1" t="str">
        <f t="shared" si="3"/>
        <v/>
      </c>
      <c r="K10195" s="1" t="str">
        <f t="shared" si="4"/>
        <v/>
      </c>
    </row>
    <row r="10196" hidden="1">
      <c r="F10196" s="1" t="str">
        <f t="shared" si="1"/>
        <v/>
      </c>
      <c r="G10196" s="1" t="str">
        <f t="shared" si="2"/>
        <v/>
      </c>
      <c r="J10196" s="1" t="str">
        <f t="shared" si="3"/>
        <v/>
      </c>
      <c r="K10196" s="1" t="str">
        <f t="shared" si="4"/>
        <v/>
      </c>
    </row>
    <row r="10197" hidden="1">
      <c r="F10197" s="1" t="str">
        <f t="shared" si="1"/>
        <v/>
      </c>
      <c r="G10197" s="1" t="str">
        <f t="shared" si="2"/>
        <v/>
      </c>
      <c r="J10197" s="1" t="str">
        <f t="shared" si="3"/>
        <v/>
      </c>
      <c r="K10197" s="1" t="str">
        <f t="shared" si="4"/>
        <v/>
      </c>
    </row>
    <row r="10198" hidden="1">
      <c r="F10198" s="1" t="str">
        <f t="shared" si="1"/>
        <v/>
      </c>
      <c r="G10198" s="1" t="str">
        <f t="shared" si="2"/>
        <v/>
      </c>
      <c r="J10198" s="1" t="str">
        <f t="shared" si="3"/>
        <v/>
      </c>
      <c r="K10198" s="1" t="str">
        <f t="shared" si="4"/>
        <v/>
      </c>
    </row>
    <row r="10199" hidden="1">
      <c r="F10199" s="1" t="str">
        <f t="shared" si="1"/>
        <v/>
      </c>
      <c r="G10199" s="1" t="str">
        <f t="shared" si="2"/>
        <v/>
      </c>
      <c r="J10199" s="1" t="str">
        <f t="shared" si="3"/>
        <v/>
      </c>
      <c r="K10199" s="1" t="str">
        <f t="shared" si="4"/>
        <v/>
      </c>
    </row>
    <row r="10200" hidden="1">
      <c r="F10200" s="1" t="str">
        <f t="shared" si="1"/>
        <v/>
      </c>
      <c r="G10200" s="1" t="str">
        <f t="shared" si="2"/>
        <v/>
      </c>
      <c r="J10200" s="1" t="str">
        <f t="shared" si="3"/>
        <v/>
      </c>
      <c r="K10200" s="1" t="str">
        <f t="shared" si="4"/>
        <v/>
      </c>
    </row>
    <row r="10201" hidden="1">
      <c r="F10201" s="1" t="str">
        <f t="shared" si="1"/>
        <v/>
      </c>
      <c r="G10201" s="1" t="str">
        <f t="shared" si="2"/>
        <v/>
      </c>
      <c r="J10201" s="1" t="str">
        <f t="shared" si="3"/>
        <v/>
      </c>
      <c r="K10201" s="1" t="str">
        <f t="shared" si="4"/>
        <v/>
      </c>
    </row>
    <row r="10202" hidden="1">
      <c r="F10202" s="1" t="str">
        <f t="shared" si="1"/>
        <v/>
      </c>
      <c r="G10202" s="1" t="str">
        <f t="shared" si="2"/>
        <v/>
      </c>
      <c r="J10202" s="1" t="str">
        <f t="shared" si="3"/>
        <v/>
      </c>
      <c r="K10202" s="1" t="str">
        <f t="shared" si="4"/>
        <v/>
      </c>
    </row>
    <row r="10203" hidden="1">
      <c r="F10203" s="1" t="str">
        <f t="shared" si="1"/>
        <v/>
      </c>
      <c r="G10203" s="1" t="str">
        <f t="shared" si="2"/>
        <v/>
      </c>
      <c r="J10203" s="1" t="str">
        <f t="shared" si="3"/>
        <v/>
      </c>
      <c r="K10203" s="1" t="str">
        <f t="shared" si="4"/>
        <v/>
      </c>
    </row>
    <row r="10204" hidden="1">
      <c r="F10204" s="1" t="str">
        <f t="shared" si="1"/>
        <v/>
      </c>
      <c r="G10204" s="1" t="str">
        <f t="shared" si="2"/>
        <v/>
      </c>
      <c r="J10204" s="1" t="str">
        <f t="shared" si="3"/>
        <v/>
      </c>
      <c r="K10204" s="1" t="str">
        <f t="shared" si="4"/>
        <v/>
      </c>
    </row>
    <row r="10205" hidden="1">
      <c r="F10205" s="1" t="str">
        <f t="shared" si="1"/>
        <v/>
      </c>
      <c r="G10205" s="1" t="str">
        <f t="shared" si="2"/>
        <v/>
      </c>
      <c r="J10205" s="1" t="str">
        <f t="shared" si="3"/>
        <v/>
      </c>
      <c r="K10205" s="1" t="str">
        <f t="shared" si="4"/>
        <v/>
      </c>
    </row>
    <row r="10206" hidden="1">
      <c r="F10206" s="1" t="str">
        <f t="shared" si="1"/>
        <v/>
      </c>
      <c r="G10206" s="1" t="str">
        <f t="shared" si="2"/>
        <v/>
      </c>
      <c r="J10206" s="1" t="str">
        <f t="shared" si="3"/>
        <v/>
      </c>
      <c r="K10206" s="1" t="str">
        <f t="shared" si="4"/>
        <v/>
      </c>
    </row>
    <row r="10207" hidden="1">
      <c r="F10207" s="1" t="str">
        <f t="shared" si="1"/>
        <v/>
      </c>
      <c r="G10207" s="1" t="str">
        <f t="shared" si="2"/>
        <v/>
      </c>
      <c r="J10207" s="1" t="str">
        <f t="shared" si="3"/>
        <v/>
      </c>
      <c r="K10207" s="1" t="str">
        <f t="shared" si="4"/>
        <v/>
      </c>
    </row>
    <row r="10208" hidden="1">
      <c r="F10208" s="1" t="str">
        <f t="shared" si="1"/>
        <v/>
      </c>
      <c r="G10208" s="1" t="str">
        <f t="shared" si="2"/>
        <v/>
      </c>
      <c r="J10208" s="1" t="str">
        <f t="shared" si="3"/>
        <v/>
      </c>
      <c r="K10208" s="1" t="str">
        <f t="shared" si="4"/>
        <v/>
      </c>
    </row>
    <row r="10209" hidden="1">
      <c r="F10209" s="1" t="str">
        <f t="shared" si="1"/>
        <v/>
      </c>
      <c r="G10209" s="1" t="str">
        <f t="shared" si="2"/>
        <v/>
      </c>
      <c r="J10209" s="1" t="str">
        <f t="shared" si="3"/>
        <v/>
      </c>
      <c r="K10209" s="1" t="str">
        <f t="shared" si="4"/>
        <v/>
      </c>
    </row>
    <row r="10210" hidden="1">
      <c r="F10210" s="1" t="str">
        <f t="shared" si="1"/>
        <v/>
      </c>
      <c r="G10210" s="1" t="str">
        <f t="shared" si="2"/>
        <v/>
      </c>
      <c r="J10210" s="1" t="str">
        <f t="shared" si="3"/>
        <v/>
      </c>
      <c r="K10210" s="1" t="str">
        <f t="shared" si="4"/>
        <v/>
      </c>
    </row>
    <row r="10211" hidden="1">
      <c r="F10211" s="1" t="str">
        <f t="shared" si="1"/>
        <v/>
      </c>
      <c r="G10211" s="1" t="str">
        <f t="shared" si="2"/>
        <v/>
      </c>
      <c r="J10211" s="1" t="str">
        <f t="shared" si="3"/>
        <v/>
      </c>
      <c r="K10211" s="1" t="str">
        <f t="shared" si="4"/>
        <v/>
      </c>
    </row>
    <row r="10212" hidden="1">
      <c r="F10212" s="1" t="str">
        <f t="shared" si="1"/>
        <v/>
      </c>
      <c r="G10212" s="1" t="str">
        <f t="shared" si="2"/>
        <v/>
      </c>
      <c r="J10212" s="1" t="str">
        <f t="shared" si="3"/>
        <v/>
      </c>
      <c r="K10212" s="1" t="str">
        <f t="shared" si="4"/>
        <v/>
      </c>
    </row>
    <row r="10213" hidden="1">
      <c r="F10213" s="1" t="str">
        <f t="shared" si="1"/>
        <v/>
      </c>
      <c r="G10213" s="1" t="str">
        <f t="shared" si="2"/>
        <v/>
      </c>
      <c r="J10213" s="1" t="str">
        <f t="shared" si="3"/>
        <v/>
      </c>
      <c r="K10213" s="1" t="str">
        <f t="shared" si="4"/>
        <v/>
      </c>
    </row>
    <row r="10214" hidden="1">
      <c r="F10214" s="1" t="str">
        <f t="shared" si="1"/>
        <v/>
      </c>
      <c r="G10214" s="1" t="str">
        <f t="shared" si="2"/>
        <v/>
      </c>
      <c r="J10214" s="1" t="str">
        <f t="shared" si="3"/>
        <v/>
      </c>
      <c r="K10214" s="1" t="str">
        <f t="shared" si="4"/>
        <v/>
      </c>
    </row>
    <row r="10215" hidden="1">
      <c r="F10215" s="1" t="str">
        <f t="shared" si="1"/>
        <v/>
      </c>
      <c r="G10215" s="1" t="str">
        <f t="shared" si="2"/>
        <v/>
      </c>
      <c r="J10215" s="1" t="str">
        <f t="shared" si="3"/>
        <v/>
      </c>
      <c r="K10215" s="1" t="str">
        <f t="shared" si="4"/>
        <v/>
      </c>
    </row>
    <row r="10216" hidden="1">
      <c r="F10216" s="1" t="str">
        <f t="shared" si="1"/>
        <v/>
      </c>
      <c r="G10216" s="1" t="str">
        <f t="shared" si="2"/>
        <v/>
      </c>
      <c r="J10216" s="1" t="str">
        <f t="shared" si="3"/>
        <v/>
      </c>
      <c r="K10216" s="1" t="str">
        <f t="shared" si="4"/>
        <v/>
      </c>
    </row>
    <row r="10217" hidden="1">
      <c r="F10217" s="1" t="str">
        <f t="shared" si="1"/>
        <v/>
      </c>
      <c r="G10217" s="1" t="str">
        <f t="shared" si="2"/>
        <v/>
      </c>
      <c r="J10217" s="1" t="str">
        <f t="shared" si="3"/>
        <v/>
      </c>
      <c r="K10217" s="1" t="str">
        <f t="shared" si="4"/>
        <v/>
      </c>
    </row>
    <row r="10218" hidden="1">
      <c r="F10218" s="1" t="str">
        <f t="shared" si="1"/>
        <v/>
      </c>
      <c r="G10218" s="1" t="str">
        <f t="shared" si="2"/>
        <v/>
      </c>
      <c r="J10218" s="1" t="str">
        <f t="shared" si="3"/>
        <v/>
      </c>
      <c r="K10218" s="1" t="str">
        <f t="shared" si="4"/>
        <v/>
      </c>
    </row>
    <row r="10219" hidden="1">
      <c r="F10219" s="1" t="str">
        <f t="shared" si="1"/>
        <v/>
      </c>
      <c r="G10219" s="1" t="str">
        <f t="shared" si="2"/>
        <v/>
      </c>
      <c r="J10219" s="1" t="str">
        <f t="shared" si="3"/>
        <v/>
      </c>
      <c r="K10219" s="1" t="str">
        <f t="shared" si="4"/>
        <v/>
      </c>
    </row>
    <row r="10220" hidden="1">
      <c r="F10220" s="1" t="str">
        <f t="shared" si="1"/>
        <v/>
      </c>
      <c r="G10220" s="1" t="str">
        <f t="shared" si="2"/>
        <v/>
      </c>
      <c r="J10220" s="1" t="str">
        <f t="shared" si="3"/>
        <v/>
      </c>
      <c r="K10220" s="1" t="str">
        <f t="shared" si="4"/>
        <v/>
      </c>
    </row>
    <row r="10221" hidden="1">
      <c r="F10221" s="1" t="str">
        <f t="shared" si="1"/>
        <v/>
      </c>
      <c r="G10221" s="1" t="str">
        <f t="shared" si="2"/>
        <v/>
      </c>
      <c r="J10221" s="1" t="str">
        <f t="shared" si="3"/>
        <v/>
      </c>
      <c r="K10221" s="1" t="str">
        <f t="shared" si="4"/>
        <v/>
      </c>
    </row>
    <row r="10222" hidden="1">
      <c r="F10222" s="1" t="str">
        <f t="shared" si="1"/>
        <v/>
      </c>
      <c r="G10222" s="1" t="str">
        <f t="shared" si="2"/>
        <v/>
      </c>
      <c r="J10222" s="1" t="str">
        <f t="shared" si="3"/>
        <v/>
      </c>
      <c r="K10222" s="1" t="str">
        <f t="shared" si="4"/>
        <v/>
      </c>
    </row>
    <row r="10223" hidden="1">
      <c r="F10223" s="1" t="str">
        <f t="shared" si="1"/>
        <v/>
      </c>
      <c r="G10223" s="1" t="str">
        <f t="shared" si="2"/>
        <v/>
      </c>
      <c r="J10223" s="1" t="str">
        <f t="shared" si="3"/>
        <v/>
      </c>
      <c r="K10223" s="1" t="str">
        <f t="shared" si="4"/>
        <v/>
      </c>
    </row>
    <row r="10224" hidden="1">
      <c r="F10224" s="1" t="str">
        <f t="shared" si="1"/>
        <v/>
      </c>
      <c r="G10224" s="1" t="str">
        <f t="shared" si="2"/>
        <v/>
      </c>
      <c r="J10224" s="1" t="str">
        <f t="shared" si="3"/>
        <v/>
      </c>
      <c r="K10224" s="1" t="str">
        <f t="shared" si="4"/>
        <v/>
      </c>
    </row>
    <row r="10225" hidden="1">
      <c r="F10225" s="1" t="str">
        <f t="shared" si="1"/>
        <v/>
      </c>
      <c r="G10225" s="1" t="str">
        <f t="shared" si="2"/>
        <v/>
      </c>
      <c r="J10225" s="1" t="str">
        <f t="shared" si="3"/>
        <v/>
      </c>
      <c r="K10225" s="1" t="str">
        <f t="shared" si="4"/>
        <v/>
      </c>
    </row>
    <row r="10226" hidden="1">
      <c r="F10226" s="1" t="str">
        <f t="shared" si="1"/>
        <v/>
      </c>
      <c r="G10226" s="1" t="str">
        <f t="shared" si="2"/>
        <v/>
      </c>
      <c r="J10226" s="1" t="str">
        <f t="shared" si="3"/>
        <v/>
      </c>
      <c r="K10226" s="1" t="str">
        <f t="shared" si="4"/>
        <v/>
      </c>
    </row>
    <row r="10227" hidden="1">
      <c r="F10227" s="1" t="str">
        <f t="shared" si="1"/>
        <v/>
      </c>
      <c r="G10227" s="1" t="str">
        <f t="shared" si="2"/>
        <v/>
      </c>
      <c r="J10227" s="1" t="str">
        <f t="shared" si="3"/>
        <v/>
      </c>
      <c r="K10227" s="1" t="str">
        <f t="shared" si="4"/>
        <v/>
      </c>
    </row>
    <row r="10228" hidden="1">
      <c r="F10228" s="1" t="str">
        <f t="shared" si="1"/>
        <v/>
      </c>
      <c r="G10228" s="1" t="str">
        <f t="shared" si="2"/>
        <v/>
      </c>
      <c r="J10228" s="1" t="str">
        <f t="shared" si="3"/>
        <v/>
      </c>
      <c r="K10228" s="1" t="str">
        <f t="shared" si="4"/>
        <v/>
      </c>
    </row>
    <row r="10229" hidden="1">
      <c r="F10229" s="1" t="str">
        <f t="shared" si="1"/>
        <v/>
      </c>
      <c r="G10229" s="1" t="str">
        <f t="shared" si="2"/>
        <v/>
      </c>
      <c r="J10229" s="1" t="str">
        <f t="shared" si="3"/>
        <v/>
      </c>
      <c r="K10229" s="1" t="str">
        <f t="shared" si="4"/>
        <v/>
      </c>
    </row>
    <row r="10230" hidden="1">
      <c r="F10230" s="1" t="str">
        <f t="shared" si="1"/>
        <v/>
      </c>
      <c r="G10230" s="1" t="str">
        <f t="shared" si="2"/>
        <v/>
      </c>
      <c r="J10230" s="1" t="str">
        <f t="shared" si="3"/>
        <v/>
      </c>
      <c r="K10230" s="1" t="str">
        <f t="shared" si="4"/>
        <v/>
      </c>
    </row>
    <row r="10231" hidden="1">
      <c r="F10231" s="1" t="str">
        <f t="shared" si="1"/>
        <v/>
      </c>
      <c r="G10231" s="1" t="str">
        <f t="shared" si="2"/>
        <v/>
      </c>
      <c r="J10231" s="1" t="str">
        <f t="shared" si="3"/>
        <v/>
      </c>
      <c r="K10231" s="1" t="str">
        <f t="shared" si="4"/>
        <v/>
      </c>
    </row>
    <row r="10232" hidden="1">
      <c r="F10232" s="1" t="str">
        <f t="shared" si="1"/>
        <v/>
      </c>
      <c r="G10232" s="1" t="str">
        <f t="shared" si="2"/>
        <v/>
      </c>
      <c r="J10232" s="1" t="str">
        <f t="shared" si="3"/>
        <v/>
      </c>
      <c r="K10232" s="1" t="str">
        <f t="shared" si="4"/>
        <v/>
      </c>
    </row>
    <row r="10233" hidden="1">
      <c r="F10233" s="1" t="str">
        <f t="shared" si="1"/>
        <v/>
      </c>
      <c r="G10233" s="1" t="str">
        <f t="shared" si="2"/>
        <v/>
      </c>
      <c r="J10233" s="1" t="str">
        <f t="shared" si="3"/>
        <v/>
      </c>
      <c r="K10233" s="1" t="str">
        <f t="shared" si="4"/>
        <v/>
      </c>
    </row>
    <row r="10234" hidden="1">
      <c r="F10234" s="1" t="str">
        <f t="shared" si="1"/>
        <v/>
      </c>
      <c r="G10234" s="1" t="str">
        <f t="shared" si="2"/>
        <v/>
      </c>
      <c r="J10234" s="1" t="str">
        <f t="shared" si="3"/>
        <v/>
      </c>
      <c r="K10234" s="1" t="str">
        <f t="shared" si="4"/>
        <v/>
      </c>
    </row>
    <row r="10235" hidden="1">
      <c r="F10235" s="1" t="str">
        <f t="shared" si="1"/>
        <v/>
      </c>
      <c r="G10235" s="1" t="str">
        <f t="shared" si="2"/>
        <v/>
      </c>
      <c r="J10235" s="1" t="str">
        <f t="shared" si="3"/>
        <v/>
      </c>
      <c r="K10235" s="1" t="str">
        <f t="shared" si="4"/>
        <v/>
      </c>
    </row>
    <row r="10236" hidden="1">
      <c r="F10236" s="1" t="str">
        <f t="shared" si="1"/>
        <v/>
      </c>
      <c r="G10236" s="1" t="str">
        <f t="shared" si="2"/>
        <v/>
      </c>
      <c r="J10236" s="1" t="str">
        <f t="shared" si="3"/>
        <v/>
      </c>
      <c r="K10236" s="1" t="str">
        <f t="shared" si="4"/>
        <v/>
      </c>
    </row>
    <row r="10237" hidden="1">
      <c r="F10237" s="1" t="str">
        <f t="shared" si="1"/>
        <v/>
      </c>
      <c r="G10237" s="1" t="str">
        <f t="shared" si="2"/>
        <v/>
      </c>
      <c r="J10237" s="1" t="str">
        <f t="shared" si="3"/>
        <v/>
      </c>
      <c r="K10237" s="1" t="str">
        <f t="shared" si="4"/>
        <v/>
      </c>
    </row>
    <row r="10238" hidden="1">
      <c r="F10238" s="1" t="str">
        <f t="shared" si="1"/>
        <v/>
      </c>
      <c r="G10238" s="1" t="str">
        <f t="shared" si="2"/>
        <v/>
      </c>
      <c r="J10238" s="1" t="str">
        <f t="shared" si="3"/>
        <v/>
      </c>
      <c r="K10238" s="1" t="str">
        <f t="shared" si="4"/>
        <v/>
      </c>
    </row>
    <row r="10239" hidden="1">
      <c r="F10239" s="1" t="str">
        <f t="shared" si="1"/>
        <v/>
      </c>
      <c r="G10239" s="1" t="str">
        <f t="shared" si="2"/>
        <v/>
      </c>
      <c r="J10239" s="1" t="str">
        <f t="shared" si="3"/>
        <v/>
      </c>
      <c r="K10239" s="1" t="str">
        <f t="shared" si="4"/>
        <v/>
      </c>
    </row>
    <row r="10240" hidden="1">
      <c r="F10240" s="1" t="str">
        <f t="shared" si="1"/>
        <v/>
      </c>
      <c r="G10240" s="1" t="str">
        <f t="shared" si="2"/>
        <v/>
      </c>
      <c r="J10240" s="1" t="str">
        <f t="shared" si="3"/>
        <v/>
      </c>
      <c r="K10240" s="1" t="str">
        <f t="shared" si="4"/>
        <v/>
      </c>
    </row>
    <row r="10241" hidden="1">
      <c r="F10241" s="1" t="str">
        <f t="shared" si="1"/>
        <v/>
      </c>
      <c r="G10241" s="1" t="str">
        <f t="shared" si="2"/>
        <v/>
      </c>
      <c r="J10241" s="1" t="str">
        <f t="shared" si="3"/>
        <v/>
      </c>
      <c r="K10241" s="1" t="str">
        <f t="shared" si="4"/>
        <v/>
      </c>
    </row>
    <row r="10242" hidden="1">
      <c r="F10242" s="1" t="str">
        <f t="shared" si="1"/>
        <v/>
      </c>
      <c r="G10242" s="1" t="str">
        <f t="shared" si="2"/>
        <v/>
      </c>
      <c r="J10242" s="1" t="str">
        <f t="shared" si="3"/>
        <v/>
      </c>
      <c r="K10242" s="1" t="str">
        <f t="shared" si="4"/>
        <v/>
      </c>
    </row>
    <row r="10243" hidden="1">
      <c r="F10243" s="1" t="str">
        <f t="shared" si="1"/>
        <v/>
      </c>
      <c r="G10243" s="1" t="str">
        <f t="shared" si="2"/>
        <v/>
      </c>
      <c r="J10243" s="1" t="str">
        <f t="shared" si="3"/>
        <v/>
      </c>
      <c r="K10243" s="1" t="str">
        <f t="shared" si="4"/>
        <v/>
      </c>
    </row>
    <row r="10244" hidden="1">
      <c r="F10244" s="1" t="str">
        <f t="shared" si="1"/>
        <v/>
      </c>
      <c r="G10244" s="1" t="str">
        <f t="shared" si="2"/>
        <v/>
      </c>
      <c r="J10244" s="1" t="str">
        <f t="shared" si="3"/>
        <v/>
      </c>
      <c r="K10244" s="1" t="str">
        <f t="shared" si="4"/>
        <v/>
      </c>
    </row>
    <row r="10245" hidden="1">
      <c r="F10245" s="1" t="str">
        <f t="shared" si="1"/>
        <v/>
      </c>
      <c r="G10245" s="1" t="str">
        <f t="shared" si="2"/>
        <v/>
      </c>
      <c r="J10245" s="1" t="str">
        <f t="shared" si="3"/>
        <v/>
      </c>
      <c r="K10245" s="1" t="str">
        <f t="shared" si="4"/>
        <v/>
      </c>
    </row>
    <row r="10246" hidden="1">
      <c r="F10246" s="1" t="str">
        <f t="shared" si="1"/>
        <v/>
      </c>
      <c r="G10246" s="1" t="str">
        <f t="shared" si="2"/>
        <v/>
      </c>
      <c r="J10246" s="1" t="str">
        <f t="shared" si="3"/>
        <v/>
      </c>
      <c r="K10246" s="1" t="str">
        <f t="shared" si="4"/>
        <v/>
      </c>
    </row>
    <row r="10247" hidden="1">
      <c r="F10247" s="1" t="str">
        <f t="shared" si="1"/>
        <v/>
      </c>
      <c r="G10247" s="1" t="str">
        <f t="shared" si="2"/>
        <v/>
      </c>
      <c r="J10247" s="1" t="str">
        <f t="shared" si="3"/>
        <v/>
      </c>
      <c r="K10247" s="1" t="str">
        <f t="shared" si="4"/>
        <v/>
      </c>
    </row>
    <row r="10248" hidden="1">
      <c r="F10248" s="1" t="str">
        <f t="shared" si="1"/>
        <v/>
      </c>
      <c r="G10248" s="1" t="str">
        <f t="shared" si="2"/>
        <v/>
      </c>
      <c r="J10248" s="1" t="str">
        <f t="shared" si="3"/>
        <v/>
      </c>
      <c r="K10248" s="1" t="str">
        <f t="shared" si="4"/>
        <v/>
      </c>
    </row>
    <row r="10249" hidden="1">
      <c r="F10249" s="1" t="str">
        <f t="shared" si="1"/>
        <v/>
      </c>
      <c r="G10249" s="1" t="str">
        <f t="shared" si="2"/>
        <v/>
      </c>
      <c r="J10249" s="1" t="str">
        <f t="shared" si="3"/>
        <v/>
      </c>
      <c r="K10249" s="1" t="str">
        <f t="shared" si="4"/>
        <v/>
      </c>
    </row>
    <row r="10250" hidden="1">
      <c r="F10250" s="1" t="str">
        <f t="shared" si="1"/>
        <v/>
      </c>
      <c r="G10250" s="1" t="str">
        <f t="shared" si="2"/>
        <v/>
      </c>
      <c r="J10250" s="1" t="str">
        <f t="shared" si="3"/>
        <v/>
      </c>
      <c r="K10250" s="1" t="str">
        <f t="shared" si="4"/>
        <v/>
      </c>
    </row>
    <row r="10251" hidden="1">
      <c r="F10251" s="1" t="str">
        <f t="shared" si="1"/>
        <v/>
      </c>
      <c r="G10251" s="1" t="str">
        <f t="shared" si="2"/>
        <v/>
      </c>
      <c r="J10251" s="1" t="str">
        <f t="shared" si="3"/>
        <v/>
      </c>
      <c r="K10251" s="1" t="str">
        <f t="shared" si="4"/>
        <v/>
      </c>
    </row>
    <row r="10252" hidden="1">
      <c r="F10252" s="1" t="str">
        <f t="shared" si="1"/>
        <v/>
      </c>
      <c r="G10252" s="1" t="str">
        <f t="shared" si="2"/>
        <v/>
      </c>
      <c r="J10252" s="1" t="str">
        <f t="shared" si="3"/>
        <v/>
      </c>
      <c r="K10252" s="1" t="str">
        <f t="shared" si="4"/>
        <v/>
      </c>
    </row>
    <row r="10253" hidden="1">
      <c r="F10253" s="1" t="str">
        <f t="shared" si="1"/>
        <v/>
      </c>
      <c r="G10253" s="1" t="str">
        <f t="shared" si="2"/>
        <v/>
      </c>
      <c r="J10253" s="1" t="str">
        <f t="shared" si="3"/>
        <v/>
      </c>
      <c r="K10253" s="1" t="str">
        <f t="shared" si="4"/>
        <v/>
      </c>
    </row>
    <row r="10254" hidden="1">
      <c r="F10254" s="1" t="str">
        <f t="shared" si="1"/>
        <v/>
      </c>
      <c r="G10254" s="1" t="str">
        <f t="shared" si="2"/>
        <v/>
      </c>
      <c r="J10254" s="1" t="str">
        <f t="shared" si="3"/>
        <v/>
      </c>
      <c r="K10254" s="1" t="str">
        <f t="shared" si="4"/>
        <v/>
      </c>
    </row>
    <row r="10255" hidden="1">
      <c r="F10255" s="1" t="str">
        <f t="shared" si="1"/>
        <v/>
      </c>
      <c r="G10255" s="1" t="str">
        <f t="shared" si="2"/>
        <v/>
      </c>
      <c r="J10255" s="1" t="str">
        <f t="shared" si="3"/>
        <v/>
      </c>
      <c r="K10255" s="1" t="str">
        <f t="shared" si="4"/>
        <v/>
      </c>
    </row>
    <row r="10256" hidden="1">
      <c r="F10256" s="1" t="str">
        <f t="shared" si="1"/>
        <v/>
      </c>
      <c r="G10256" s="1" t="str">
        <f t="shared" si="2"/>
        <v/>
      </c>
      <c r="J10256" s="1" t="str">
        <f t="shared" si="3"/>
        <v/>
      </c>
      <c r="K10256" s="1" t="str">
        <f t="shared" si="4"/>
        <v/>
      </c>
    </row>
    <row r="10257" hidden="1">
      <c r="F10257" s="1" t="str">
        <f t="shared" si="1"/>
        <v/>
      </c>
      <c r="G10257" s="1" t="str">
        <f t="shared" si="2"/>
        <v/>
      </c>
      <c r="J10257" s="1" t="str">
        <f t="shared" si="3"/>
        <v/>
      </c>
      <c r="K10257" s="1" t="str">
        <f t="shared" si="4"/>
        <v/>
      </c>
    </row>
    <row r="10258" hidden="1">
      <c r="F10258" s="1" t="str">
        <f t="shared" si="1"/>
        <v/>
      </c>
      <c r="G10258" s="1" t="str">
        <f t="shared" si="2"/>
        <v/>
      </c>
      <c r="J10258" s="1" t="str">
        <f t="shared" si="3"/>
        <v/>
      </c>
      <c r="K10258" s="1" t="str">
        <f t="shared" si="4"/>
        <v/>
      </c>
    </row>
    <row r="10259" hidden="1">
      <c r="F10259" s="1" t="str">
        <f t="shared" si="1"/>
        <v/>
      </c>
      <c r="G10259" s="1" t="str">
        <f t="shared" si="2"/>
        <v/>
      </c>
      <c r="J10259" s="1" t="str">
        <f t="shared" si="3"/>
        <v/>
      </c>
      <c r="K10259" s="1" t="str">
        <f t="shared" si="4"/>
        <v/>
      </c>
    </row>
    <row r="10260" hidden="1">
      <c r="F10260" s="1" t="str">
        <f t="shared" si="1"/>
        <v/>
      </c>
      <c r="G10260" s="1" t="str">
        <f t="shared" si="2"/>
        <v/>
      </c>
      <c r="J10260" s="1" t="str">
        <f t="shared" si="3"/>
        <v/>
      </c>
      <c r="K10260" s="1" t="str">
        <f t="shared" si="4"/>
        <v/>
      </c>
    </row>
    <row r="10261" hidden="1">
      <c r="F10261" s="1" t="str">
        <f t="shared" si="1"/>
        <v/>
      </c>
      <c r="G10261" s="1" t="str">
        <f t="shared" si="2"/>
        <v/>
      </c>
      <c r="J10261" s="1" t="str">
        <f t="shared" si="3"/>
        <v/>
      </c>
      <c r="K10261" s="1" t="str">
        <f t="shared" si="4"/>
        <v/>
      </c>
    </row>
    <row r="10262" hidden="1">
      <c r="F10262" s="1" t="str">
        <f t="shared" si="1"/>
        <v/>
      </c>
      <c r="G10262" s="1" t="str">
        <f t="shared" si="2"/>
        <v/>
      </c>
      <c r="J10262" s="1" t="str">
        <f t="shared" si="3"/>
        <v/>
      </c>
      <c r="K10262" s="1" t="str">
        <f t="shared" si="4"/>
        <v/>
      </c>
    </row>
    <row r="10263" hidden="1">
      <c r="F10263" s="1" t="str">
        <f t="shared" si="1"/>
        <v/>
      </c>
      <c r="G10263" s="1" t="str">
        <f t="shared" si="2"/>
        <v/>
      </c>
      <c r="J10263" s="1" t="str">
        <f t="shared" si="3"/>
        <v/>
      </c>
      <c r="K10263" s="1" t="str">
        <f t="shared" si="4"/>
        <v/>
      </c>
    </row>
    <row r="10264" hidden="1">
      <c r="F10264" s="1" t="str">
        <f t="shared" si="1"/>
        <v/>
      </c>
      <c r="G10264" s="1" t="str">
        <f t="shared" si="2"/>
        <v/>
      </c>
      <c r="J10264" s="1" t="str">
        <f t="shared" si="3"/>
        <v/>
      </c>
      <c r="K10264" s="1" t="str">
        <f t="shared" si="4"/>
        <v/>
      </c>
    </row>
    <row r="10265" hidden="1">
      <c r="F10265" s="1" t="str">
        <f t="shared" si="1"/>
        <v/>
      </c>
      <c r="G10265" s="1" t="str">
        <f t="shared" si="2"/>
        <v/>
      </c>
      <c r="J10265" s="1" t="str">
        <f t="shared" si="3"/>
        <v/>
      </c>
      <c r="K10265" s="1" t="str">
        <f t="shared" si="4"/>
        <v/>
      </c>
    </row>
    <row r="10266" hidden="1">
      <c r="F10266" s="1" t="str">
        <f t="shared" si="1"/>
        <v/>
      </c>
      <c r="G10266" s="1" t="str">
        <f t="shared" si="2"/>
        <v/>
      </c>
      <c r="J10266" s="1" t="str">
        <f t="shared" si="3"/>
        <v/>
      </c>
      <c r="K10266" s="1" t="str">
        <f t="shared" si="4"/>
        <v/>
      </c>
    </row>
    <row r="10267" hidden="1">
      <c r="F10267" s="1" t="str">
        <f t="shared" si="1"/>
        <v/>
      </c>
      <c r="G10267" s="1" t="str">
        <f t="shared" si="2"/>
        <v/>
      </c>
      <c r="J10267" s="1" t="str">
        <f t="shared" si="3"/>
        <v/>
      </c>
      <c r="K10267" s="1" t="str">
        <f t="shared" si="4"/>
        <v/>
      </c>
    </row>
    <row r="10268" hidden="1">
      <c r="F10268" s="1" t="str">
        <f t="shared" si="1"/>
        <v/>
      </c>
      <c r="G10268" s="1" t="str">
        <f t="shared" si="2"/>
        <v/>
      </c>
      <c r="J10268" s="1" t="str">
        <f t="shared" si="3"/>
        <v/>
      </c>
      <c r="K10268" s="1" t="str">
        <f t="shared" si="4"/>
        <v/>
      </c>
    </row>
    <row r="10269" hidden="1">
      <c r="F10269" s="1" t="str">
        <f t="shared" si="1"/>
        <v/>
      </c>
      <c r="G10269" s="1" t="str">
        <f t="shared" si="2"/>
        <v/>
      </c>
      <c r="J10269" s="1" t="str">
        <f t="shared" si="3"/>
        <v/>
      </c>
      <c r="K10269" s="1" t="str">
        <f t="shared" si="4"/>
        <v/>
      </c>
    </row>
    <row r="10270" hidden="1">
      <c r="F10270" s="1" t="str">
        <f t="shared" si="1"/>
        <v/>
      </c>
      <c r="G10270" s="1" t="str">
        <f t="shared" si="2"/>
        <v/>
      </c>
      <c r="J10270" s="1" t="str">
        <f t="shared" si="3"/>
        <v/>
      </c>
      <c r="K10270" s="1" t="str">
        <f t="shared" si="4"/>
        <v/>
      </c>
    </row>
    <row r="10271" hidden="1">
      <c r="F10271" s="1" t="str">
        <f t="shared" si="1"/>
        <v/>
      </c>
      <c r="G10271" s="1" t="str">
        <f t="shared" si="2"/>
        <v/>
      </c>
      <c r="J10271" s="1" t="str">
        <f t="shared" si="3"/>
        <v/>
      </c>
      <c r="K10271" s="1" t="str">
        <f t="shared" si="4"/>
        <v/>
      </c>
    </row>
    <row r="10272" hidden="1">
      <c r="F10272" s="1" t="str">
        <f t="shared" si="1"/>
        <v/>
      </c>
      <c r="G10272" s="1" t="str">
        <f t="shared" si="2"/>
        <v/>
      </c>
      <c r="J10272" s="1" t="str">
        <f t="shared" si="3"/>
        <v/>
      </c>
      <c r="K10272" s="1" t="str">
        <f t="shared" si="4"/>
        <v/>
      </c>
    </row>
    <row r="10273" hidden="1">
      <c r="F10273" s="1" t="str">
        <f t="shared" si="1"/>
        <v/>
      </c>
      <c r="G10273" s="1" t="str">
        <f t="shared" si="2"/>
        <v/>
      </c>
      <c r="J10273" s="1" t="str">
        <f t="shared" si="3"/>
        <v/>
      </c>
      <c r="K10273" s="1" t="str">
        <f t="shared" si="4"/>
        <v/>
      </c>
    </row>
    <row r="10274" hidden="1">
      <c r="F10274" s="1" t="str">
        <f t="shared" si="1"/>
        <v/>
      </c>
      <c r="G10274" s="1" t="str">
        <f t="shared" si="2"/>
        <v/>
      </c>
      <c r="J10274" s="1" t="str">
        <f t="shared" si="3"/>
        <v/>
      </c>
      <c r="K10274" s="1" t="str">
        <f t="shared" si="4"/>
        <v/>
      </c>
    </row>
    <row r="10275" hidden="1">
      <c r="F10275" s="1" t="str">
        <f t="shared" si="1"/>
        <v/>
      </c>
      <c r="G10275" s="1" t="str">
        <f t="shared" si="2"/>
        <v/>
      </c>
      <c r="J10275" s="1" t="str">
        <f t="shared" si="3"/>
        <v/>
      </c>
      <c r="K10275" s="1" t="str">
        <f t="shared" si="4"/>
        <v/>
      </c>
    </row>
    <row r="10276" hidden="1">
      <c r="F10276" s="1" t="str">
        <f t="shared" si="1"/>
        <v/>
      </c>
      <c r="G10276" s="1" t="str">
        <f t="shared" si="2"/>
        <v/>
      </c>
      <c r="J10276" s="1" t="str">
        <f t="shared" si="3"/>
        <v/>
      </c>
      <c r="K10276" s="1" t="str">
        <f t="shared" si="4"/>
        <v/>
      </c>
    </row>
    <row r="10277" hidden="1">
      <c r="F10277" s="1" t="str">
        <f t="shared" si="1"/>
        <v/>
      </c>
      <c r="G10277" s="1" t="str">
        <f t="shared" si="2"/>
        <v/>
      </c>
      <c r="J10277" s="1" t="str">
        <f t="shared" si="3"/>
        <v/>
      </c>
      <c r="K10277" s="1" t="str">
        <f t="shared" si="4"/>
        <v/>
      </c>
    </row>
    <row r="10278" hidden="1">
      <c r="F10278" s="1" t="str">
        <f t="shared" si="1"/>
        <v/>
      </c>
      <c r="G10278" s="1" t="str">
        <f t="shared" si="2"/>
        <v/>
      </c>
      <c r="J10278" s="1" t="str">
        <f t="shared" si="3"/>
        <v/>
      </c>
      <c r="K10278" s="1" t="str">
        <f t="shared" si="4"/>
        <v/>
      </c>
    </row>
    <row r="10279" hidden="1">
      <c r="F10279" s="1" t="str">
        <f t="shared" si="1"/>
        <v/>
      </c>
      <c r="G10279" s="1" t="str">
        <f t="shared" si="2"/>
        <v/>
      </c>
      <c r="J10279" s="1" t="str">
        <f t="shared" si="3"/>
        <v/>
      </c>
      <c r="K10279" s="1" t="str">
        <f t="shared" si="4"/>
        <v/>
      </c>
    </row>
    <row r="10280" hidden="1">
      <c r="F10280" s="1" t="str">
        <f t="shared" si="1"/>
        <v/>
      </c>
      <c r="G10280" s="1" t="str">
        <f t="shared" si="2"/>
        <v/>
      </c>
      <c r="J10280" s="1" t="str">
        <f t="shared" si="3"/>
        <v/>
      </c>
      <c r="K10280" s="1" t="str">
        <f t="shared" si="4"/>
        <v/>
      </c>
    </row>
    <row r="10281" hidden="1">
      <c r="F10281" s="1" t="str">
        <f t="shared" si="1"/>
        <v/>
      </c>
      <c r="G10281" s="1" t="str">
        <f t="shared" si="2"/>
        <v/>
      </c>
      <c r="J10281" s="1" t="str">
        <f t="shared" si="3"/>
        <v/>
      </c>
      <c r="K10281" s="1" t="str">
        <f t="shared" si="4"/>
        <v/>
      </c>
    </row>
    <row r="10282" hidden="1">
      <c r="F10282" s="1" t="str">
        <f t="shared" si="1"/>
        <v/>
      </c>
      <c r="G10282" s="1" t="str">
        <f t="shared" si="2"/>
        <v/>
      </c>
      <c r="J10282" s="1" t="str">
        <f t="shared" si="3"/>
        <v/>
      </c>
      <c r="K10282" s="1" t="str">
        <f t="shared" si="4"/>
        <v/>
      </c>
    </row>
    <row r="10283" hidden="1">
      <c r="F10283" s="1" t="str">
        <f t="shared" si="1"/>
        <v/>
      </c>
      <c r="G10283" s="1" t="str">
        <f t="shared" si="2"/>
        <v/>
      </c>
      <c r="J10283" s="1" t="str">
        <f t="shared" si="3"/>
        <v/>
      </c>
      <c r="K10283" s="1" t="str">
        <f t="shared" si="4"/>
        <v/>
      </c>
    </row>
    <row r="10284" hidden="1">
      <c r="F10284" s="1" t="str">
        <f t="shared" si="1"/>
        <v/>
      </c>
      <c r="G10284" s="1" t="str">
        <f t="shared" si="2"/>
        <v/>
      </c>
      <c r="J10284" s="1" t="str">
        <f t="shared" si="3"/>
        <v/>
      </c>
      <c r="K10284" s="1" t="str">
        <f t="shared" si="4"/>
        <v/>
      </c>
    </row>
    <row r="10285" hidden="1">
      <c r="F10285" s="1" t="str">
        <f t="shared" si="1"/>
        <v/>
      </c>
      <c r="G10285" s="1" t="str">
        <f t="shared" si="2"/>
        <v/>
      </c>
      <c r="J10285" s="1" t="str">
        <f t="shared" si="3"/>
        <v/>
      </c>
      <c r="K10285" s="1" t="str">
        <f t="shared" si="4"/>
        <v/>
      </c>
    </row>
    <row r="10286" hidden="1">
      <c r="F10286" s="1" t="str">
        <f t="shared" si="1"/>
        <v/>
      </c>
      <c r="G10286" s="1" t="str">
        <f t="shared" si="2"/>
        <v/>
      </c>
      <c r="J10286" s="1" t="str">
        <f t="shared" si="3"/>
        <v/>
      </c>
      <c r="K10286" s="1" t="str">
        <f t="shared" si="4"/>
        <v/>
      </c>
    </row>
    <row r="10287" hidden="1">
      <c r="F10287" s="1" t="str">
        <f t="shared" si="1"/>
        <v/>
      </c>
      <c r="G10287" s="1" t="str">
        <f t="shared" si="2"/>
        <v/>
      </c>
      <c r="J10287" s="1" t="str">
        <f t="shared" si="3"/>
        <v/>
      </c>
      <c r="K10287" s="1" t="str">
        <f t="shared" si="4"/>
        <v/>
      </c>
    </row>
    <row r="10288" hidden="1">
      <c r="F10288" s="1" t="str">
        <f t="shared" si="1"/>
        <v/>
      </c>
      <c r="G10288" s="1" t="str">
        <f t="shared" si="2"/>
        <v/>
      </c>
      <c r="J10288" s="1" t="str">
        <f t="shared" si="3"/>
        <v/>
      </c>
      <c r="K10288" s="1" t="str">
        <f t="shared" si="4"/>
        <v/>
      </c>
    </row>
    <row r="10289" hidden="1">
      <c r="F10289" s="1" t="str">
        <f t="shared" si="1"/>
        <v/>
      </c>
      <c r="G10289" s="1" t="str">
        <f t="shared" si="2"/>
        <v/>
      </c>
      <c r="J10289" s="1" t="str">
        <f t="shared" si="3"/>
        <v/>
      </c>
      <c r="K10289" s="1" t="str">
        <f t="shared" si="4"/>
        <v/>
      </c>
    </row>
    <row r="10290" hidden="1">
      <c r="F10290" s="1" t="str">
        <f t="shared" si="1"/>
        <v/>
      </c>
      <c r="G10290" s="1" t="str">
        <f t="shared" si="2"/>
        <v/>
      </c>
      <c r="J10290" s="1" t="str">
        <f t="shared" si="3"/>
        <v/>
      </c>
      <c r="K10290" s="1" t="str">
        <f t="shared" si="4"/>
        <v/>
      </c>
    </row>
    <row r="10291" hidden="1">
      <c r="F10291" s="1" t="str">
        <f t="shared" si="1"/>
        <v/>
      </c>
      <c r="G10291" s="1" t="str">
        <f t="shared" si="2"/>
        <v/>
      </c>
      <c r="J10291" s="1" t="str">
        <f t="shared" si="3"/>
        <v/>
      </c>
      <c r="K10291" s="1" t="str">
        <f t="shared" si="4"/>
        <v/>
      </c>
    </row>
    <row r="10292" hidden="1">
      <c r="F10292" s="1" t="str">
        <f t="shared" si="1"/>
        <v/>
      </c>
      <c r="G10292" s="1" t="str">
        <f t="shared" si="2"/>
        <v/>
      </c>
      <c r="J10292" s="1" t="str">
        <f t="shared" si="3"/>
        <v/>
      </c>
      <c r="K10292" s="1" t="str">
        <f t="shared" si="4"/>
        <v/>
      </c>
    </row>
    <row r="10293" hidden="1">
      <c r="F10293" s="1" t="str">
        <f t="shared" si="1"/>
        <v/>
      </c>
      <c r="G10293" s="1" t="str">
        <f t="shared" si="2"/>
        <v/>
      </c>
      <c r="J10293" s="1" t="str">
        <f t="shared" si="3"/>
        <v/>
      </c>
      <c r="K10293" s="1" t="str">
        <f t="shared" si="4"/>
        <v/>
      </c>
    </row>
    <row r="10294" hidden="1">
      <c r="F10294" s="1" t="str">
        <f t="shared" si="1"/>
        <v/>
      </c>
      <c r="G10294" s="1" t="str">
        <f t="shared" si="2"/>
        <v/>
      </c>
      <c r="J10294" s="1" t="str">
        <f t="shared" si="3"/>
        <v/>
      </c>
      <c r="K10294" s="1" t="str">
        <f t="shared" si="4"/>
        <v/>
      </c>
    </row>
    <row r="10295" hidden="1">
      <c r="F10295" s="1" t="str">
        <f t="shared" si="1"/>
        <v/>
      </c>
      <c r="G10295" s="1" t="str">
        <f t="shared" si="2"/>
        <v/>
      </c>
      <c r="J10295" s="1" t="str">
        <f t="shared" si="3"/>
        <v/>
      </c>
      <c r="K10295" s="1" t="str">
        <f t="shared" si="4"/>
        <v/>
      </c>
    </row>
    <row r="10296" hidden="1">
      <c r="F10296" s="1" t="str">
        <f t="shared" si="1"/>
        <v/>
      </c>
      <c r="G10296" s="1" t="str">
        <f t="shared" si="2"/>
        <v/>
      </c>
      <c r="J10296" s="1" t="str">
        <f t="shared" si="3"/>
        <v/>
      </c>
      <c r="K10296" s="1" t="str">
        <f t="shared" si="4"/>
        <v/>
      </c>
    </row>
    <row r="10297" hidden="1">
      <c r="F10297" s="1" t="str">
        <f t="shared" si="1"/>
        <v/>
      </c>
      <c r="G10297" s="1" t="str">
        <f t="shared" si="2"/>
        <v/>
      </c>
      <c r="J10297" s="1" t="str">
        <f t="shared" si="3"/>
        <v/>
      </c>
      <c r="K10297" s="1" t="str">
        <f t="shared" si="4"/>
        <v/>
      </c>
    </row>
    <row r="10298" hidden="1">
      <c r="F10298" s="1" t="str">
        <f t="shared" si="1"/>
        <v/>
      </c>
      <c r="G10298" s="1" t="str">
        <f t="shared" si="2"/>
        <v/>
      </c>
      <c r="J10298" s="1" t="str">
        <f t="shared" si="3"/>
        <v/>
      </c>
      <c r="K10298" s="1" t="str">
        <f t="shared" si="4"/>
        <v/>
      </c>
    </row>
    <row r="10299" hidden="1">
      <c r="F10299" s="1" t="str">
        <f t="shared" si="1"/>
        <v/>
      </c>
      <c r="G10299" s="1" t="str">
        <f t="shared" si="2"/>
        <v/>
      </c>
      <c r="J10299" s="1" t="str">
        <f t="shared" si="3"/>
        <v/>
      </c>
      <c r="K10299" s="1" t="str">
        <f t="shared" si="4"/>
        <v/>
      </c>
    </row>
    <row r="10300" hidden="1">
      <c r="F10300" s="1" t="str">
        <f t="shared" si="1"/>
        <v/>
      </c>
      <c r="G10300" s="1" t="str">
        <f t="shared" si="2"/>
        <v/>
      </c>
      <c r="J10300" s="1" t="str">
        <f t="shared" si="3"/>
        <v/>
      </c>
      <c r="K10300" s="1" t="str">
        <f t="shared" si="4"/>
        <v/>
      </c>
    </row>
    <row r="10301" hidden="1">
      <c r="F10301" s="1" t="str">
        <f t="shared" si="1"/>
        <v/>
      </c>
      <c r="G10301" s="1" t="str">
        <f t="shared" si="2"/>
        <v/>
      </c>
      <c r="J10301" s="1" t="str">
        <f t="shared" si="3"/>
        <v/>
      </c>
      <c r="K10301" s="1" t="str">
        <f t="shared" si="4"/>
        <v/>
      </c>
    </row>
    <row r="10302" hidden="1">
      <c r="F10302" s="1" t="str">
        <f t="shared" si="1"/>
        <v/>
      </c>
      <c r="G10302" s="1" t="str">
        <f t="shared" si="2"/>
        <v/>
      </c>
      <c r="J10302" s="1" t="str">
        <f t="shared" si="3"/>
        <v/>
      </c>
      <c r="K10302" s="1" t="str">
        <f t="shared" si="4"/>
        <v/>
      </c>
    </row>
    <row r="10303" hidden="1">
      <c r="F10303" s="1" t="str">
        <f t="shared" si="1"/>
        <v/>
      </c>
      <c r="G10303" s="1" t="str">
        <f t="shared" si="2"/>
        <v/>
      </c>
      <c r="J10303" s="1" t="str">
        <f t="shared" si="3"/>
        <v/>
      </c>
      <c r="K10303" s="1" t="str">
        <f t="shared" si="4"/>
        <v/>
      </c>
    </row>
    <row r="10304" hidden="1">
      <c r="F10304" s="1" t="str">
        <f t="shared" si="1"/>
        <v/>
      </c>
      <c r="G10304" s="1" t="str">
        <f t="shared" si="2"/>
        <v/>
      </c>
      <c r="J10304" s="1" t="str">
        <f t="shared" si="3"/>
        <v/>
      </c>
      <c r="K10304" s="1" t="str">
        <f t="shared" si="4"/>
        <v/>
      </c>
    </row>
    <row r="10305" hidden="1">
      <c r="F10305" s="1" t="str">
        <f t="shared" si="1"/>
        <v/>
      </c>
      <c r="G10305" s="1" t="str">
        <f t="shared" si="2"/>
        <v/>
      </c>
      <c r="J10305" s="1" t="str">
        <f t="shared" si="3"/>
        <v/>
      </c>
      <c r="K10305" s="1" t="str">
        <f t="shared" si="4"/>
        <v/>
      </c>
    </row>
    <row r="10306" hidden="1">
      <c r="F10306" s="1" t="str">
        <f t="shared" si="1"/>
        <v/>
      </c>
      <c r="G10306" s="1" t="str">
        <f t="shared" si="2"/>
        <v/>
      </c>
      <c r="J10306" s="1" t="str">
        <f t="shared" si="3"/>
        <v/>
      </c>
      <c r="K10306" s="1" t="str">
        <f t="shared" si="4"/>
        <v/>
      </c>
    </row>
    <row r="10307" hidden="1">
      <c r="F10307" s="1" t="str">
        <f t="shared" si="1"/>
        <v/>
      </c>
      <c r="G10307" s="1" t="str">
        <f t="shared" si="2"/>
        <v/>
      </c>
      <c r="J10307" s="1" t="str">
        <f t="shared" si="3"/>
        <v/>
      </c>
      <c r="K10307" s="1" t="str">
        <f t="shared" si="4"/>
        <v/>
      </c>
    </row>
    <row r="10308" hidden="1">
      <c r="F10308" s="1" t="str">
        <f t="shared" si="1"/>
        <v/>
      </c>
      <c r="G10308" s="1" t="str">
        <f t="shared" si="2"/>
        <v/>
      </c>
      <c r="J10308" s="1" t="str">
        <f t="shared" si="3"/>
        <v/>
      </c>
      <c r="K10308" s="1" t="str">
        <f t="shared" si="4"/>
        <v/>
      </c>
    </row>
    <row r="10309" hidden="1">
      <c r="F10309" s="1" t="str">
        <f t="shared" si="1"/>
        <v/>
      </c>
      <c r="G10309" s="1" t="str">
        <f t="shared" si="2"/>
        <v/>
      </c>
      <c r="J10309" s="1" t="str">
        <f t="shared" si="3"/>
        <v/>
      </c>
      <c r="K10309" s="1" t="str">
        <f t="shared" si="4"/>
        <v/>
      </c>
    </row>
    <row r="10310" hidden="1">
      <c r="F10310" s="1" t="str">
        <f t="shared" si="1"/>
        <v/>
      </c>
      <c r="G10310" s="1" t="str">
        <f t="shared" si="2"/>
        <v/>
      </c>
      <c r="J10310" s="1" t="str">
        <f t="shared" si="3"/>
        <v/>
      </c>
      <c r="K10310" s="1" t="str">
        <f t="shared" si="4"/>
        <v/>
      </c>
    </row>
    <row r="10311" hidden="1">
      <c r="F10311" s="1" t="str">
        <f t="shared" si="1"/>
        <v/>
      </c>
      <c r="G10311" s="1" t="str">
        <f t="shared" si="2"/>
        <v/>
      </c>
      <c r="J10311" s="1" t="str">
        <f t="shared" si="3"/>
        <v/>
      </c>
      <c r="K10311" s="1" t="str">
        <f t="shared" si="4"/>
        <v/>
      </c>
    </row>
    <row r="10312" hidden="1">
      <c r="F10312" s="1" t="str">
        <f t="shared" si="1"/>
        <v/>
      </c>
      <c r="G10312" s="1" t="str">
        <f t="shared" si="2"/>
        <v/>
      </c>
      <c r="J10312" s="1" t="str">
        <f t="shared" si="3"/>
        <v/>
      </c>
      <c r="K10312" s="1" t="str">
        <f t="shared" si="4"/>
        <v/>
      </c>
    </row>
    <row r="10313" hidden="1">
      <c r="F10313" s="1" t="str">
        <f t="shared" si="1"/>
        <v/>
      </c>
      <c r="G10313" s="1" t="str">
        <f t="shared" si="2"/>
        <v/>
      </c>
      <c r="J10313" s="1" t="str">
        <f t="shared" si="3"/>
        <v/>
      </c>
      <c r="K10313" s="1" t="str">
        <f t="shared" si="4"/>
        <v/>
      </c>
    </row>
    <row r="10314" hidden="1">
      <c r="F10314" s="1" t="str">
        <f t="shared" si="1"/>
        <v/>
      </c>
      <c r="G10314" s="1" t="str">
        <f t="shared" si="2"/>
        <v/>
      </c>
      <c r="J10314" s="1" t="str">
        <f t="shared" si="3"/>
        <v/>
      </c>
      <c r="K10314" s="1" t="str">
        <f t="shared" si="4"/>
        <v/>
      </c>
    </row>
    <row r="10315" hidden="1">
      <c r="F10315" s="1" t="str">
        <f t="shared" si="1"/>
        <v/>
      </c>
      <c r="G10315" s="1" t="str">
        <f t="shared" si="2"/>
        <v/>
      </c>
      <c r="J10315" s="1" t="str">
        <f t="shared" si="3"/>
        <v/>
      </c>
      <c r="K10315" s="1" t="str">
        <f t="shared" si="4"/>
        <v/>
      </c>
    </row>
    <row r="10316" hidden="1">
      <c r="F10316" s="1" t="str">
        <f t="shared" si="1"/>
        <v/>
      </c>
      <c r="G10316" s="1" t="str">
        <f t="shared" si="2"/>
        <v/>
      </c>
      <c r="J10316" s="1" t="str">
        <f t="shared" si="3"/>
        <v/>
      </c>
      <c r="K10316" s="1" t="str">
        <f t="shared" si="4"/>
        <v/>
      </c>
    </row>
    <row r="10317" hidden="1">
      <c r="F10317" s="1" t="str">
        <f t="shared" si="1"/>
        <v/>
      </c>
      <c r="G10317" s="1" t="str">
        <f t="shared" si="2"/>
        <v/>
      </c>
      <c r="J10317" s="1" t="str">
        <f t="shared" si="3"/>
        <v/>
      </c>
      <c r="K10317" s="1" t="str">
        <f t="shared" si="4"/>
        <v/>
      </c>
    </row>
    <row r="10318" hidden="1">
      <c r="F10318" s="1" t="str">
        <f t="shared" si="1"/>
        <v/>
      </c>
      <c r="G10318" s="1" t="str">
        <f t="shared" si="2"/>
        <v/>
      </c>
      <c r="J10318" s="1" t="str">
        <f t="shared" si="3"/>
        <v/>
      </c>
      <c r="K10318" s="1" t="str">
        <f t="shared" si="4"/>
        <v/>
      </c>
    </row>
    <row r="10319" hidden="1">
      <c r="F10319" s="1" t="str">
        <f t="shared" si="1"/>
        <v/>
      </c>
      <c r="G10319" s="1" t="str">
        <f t="shared" si="2"/>
        <v/>
      </c>
      <c r="J10319" s="1" t="str">
        <f t="shared" si="3"/>
        <v/>
      </c>
      <c r="K10319" s="1" t="str">
        <f t="shared" si="4"/>
        <v/>
      </c>
    </row>
    <row r="10320" hidden="1">
      <c r="F10320" s="1" t="str">
        <f t="shared" si="1"/>
        <v/>
      </c>
      <c r="G10320" s="1" t="str">
        <f t="shared" si="2"/>
        <v/>
      </c>
      <c r="J10320" s="1" t="str">
        <f t="shared" si="3"/>
        <v/>
      </c>
      <c r="K10320" s="1" t="str">
        <f t="shared" si="4"/>
        <v/>
      </c>
    </row>
    <row r="10321" hidden="1">
      <c r="F10321" s="1" t="str">
        <f t="shared" si="1"/>
        <v/>
      </c>
      <c r="G10321" s="1" t="str">
        <f t="shared" si="2"/>
        <v/>
      </c>
      <c r="J10321" s="1" t="str">
        <f t="shared" si="3"/>
        <v/>
      </c>
      <c r="K10321" s="1" t="str">
        <f t="shared" si="4"/>
        <v/>
      </c>
    </row>
    <row r="10322" hidden="1">
      <c r="F10322" s="1" t="str">
        <f t="shared" si="1"/>
        <v/>
      </c>
      <c r="G10322" s="1" t="str">
        <f t="shared" si="2"/>
        <v/>
      </c>
      <c r="J10322" s="1" t="str">
        <f t="shared" si="3"/>
        <v/>
      </c>
      <c r="K10322" s="1" t="str">
        <f t="shared" si="4"/>
        <v/>
      </c>
    </row>
    <row r="10323" hidden="1">
      <c r="F10323" s="1" t="str">
        <f t="shared" si="1"/>
        <v/>
      </c>
      <c r="G10323" s="1" t="str">
        <f t="shared" si="2"/>
        <v/>
      </c>
      <c r="J10323" s="1" t="str">
        <f t="shared" si="3"/>
        <v/>
      </c>
      <c r="K10323" s="1" t="str">
        <f t="shared" si="4"/>
        <v/>
      </c>
    </row>
    <row r="10324" hidden="1">
      <c r="F10324" s="1" t="str">
        <f t="shared" si="1"/>
        <v/>
      </c>
      <c r="G10324" s="1" t="str">
        <f t="shared" si="2"/>
        <v/>
      </c>
      <c r="J10324" s="1" t="str">
        <f t="shared" si="3"/>
        <v/>
      </c>
      <c r="K10324" s="1" t="str">
        <f t="shared" si="4"/>
        <v/>
      </c>
    </row>
    <row r="10325" hidden="1">
      <c r="F10325" s="1" t="str">
        <f t="shared" si="1"/>
        <v/>
      </c>
      <c r="G10325" s="1" t="str">
        <f t="shared" si="2"/>
        <v/>
      </c>
      <c r="J10325" s="1" t="str">
        <f t="shared" si="3"/>
        <v/>
      </c>
      <c r="K10325" s="1" t="str">
        <f t="shared" si="4"/>
        <v/>
      </c>
    </row>
    <row r="10326" hidden="1">
      <c r="F10326" s="1" t="str">
        <f t="shared" si="1"/>
        <v/>
      </c>
      <c r="G10326" s="1" t="str">
        <f t="shared" si="2"/>
        <v/>
      </c>
      <c r="J10326" s="1" t="str">
        <f t="shared" si="3"/>
        <v/>
      </c>
      <c r="K10326" s="1" t="str">
        <f t="shared" si="4"/>
        <v/>
      </c>
    </row>
    <row r="10327" hidden="1">
      <c r="F10327" s="1" t="str">
        <f t="shared" si="1"/>
        <v/>
      </c>
      <c r="G10327" s="1" t="str">
        <f t="shared" si="2"/>
        <v/>
      </c>
      <c r="J10327" s="1" t="str">
        <f t="shared" si="3"/>
        <v/>
      </c>
      <c r="K10327" s="1" t="str">
        <f t="shared" si="4"/>
        <v/>
      </c>
    </row>
    <row r="10328" hidden="1">
      <c r="F10328" s="1" t="str">
        <f t="shared" si="1"/>
        <v/>
      </c>
      <c r="G10328" s="1" t="str">
        <f t="shared" si="2"/>
        <v/>
      </c>
      <c r="J10328" s="1" t="str">
        <f t="shared" si="3"/>
        <v/>
      </c>
      <c r="K10328" s="1" t="str">
        <f t="shared" si="4"/>
        <v/>
      </c>
    </row>
    <row r="10329" hidden="1">
      <c r="F10329" s="1" t="str">
        <f t="shared" si="1"/>
        <v/>
      </c>
      <c r="G10329" s="1" t="str">
        <f t="shared" si="2"/>
        <v/>
      </c>
      <c r="J10329" s="1" t="str">
        <f t="shared" si="3"/>
        <v/>
      </c>
      <c r="K10329" s="1" t="str">
        <f t="shared" si="4"/>
        <v/>
      </c>
    </row>
    <row r="10330" hidden="1">
      <c r="F10330" s="1" t="str">
        <f t="shared" si="1"/>
        <v/>
      </c>
      <c r="G10330" s="1" t="str">
        <f t="shared" si="2"/>
        <v/>
      </c>
      <c r="J10330" s="1" t="str">
        <f t="shared" si="3"/>
        <v/>
      </c>
      <c r="K10330" s="1" t="str">
        <f t="shared" si="4"/>
        <v/>
      </c>
    </row>
    <row r="10331" hidden="1">
      <c r="F10331" s="1" t="str">
        <f t="shared" si="1"/>
        <v/>
      </c>
      <c r="G10331" s="1" t="str">
        <f t="shared" si="2"/>
        <v/>
      </c>
      <c r="J10331" s="1" t="str">
        <f t="shared" si="3"/>
        <v/>
      </c>
      <c r="K10331" s="1" t="str">
        <f t="shared" si="4"/>
        <v/>
      </c>
    </row>
    <row r="10332" hidden="1">
      <c r="F10332" s="1" t="str">
        <f t="shared" si="1"/>
        <v/>
      </c>
      <c r="G10332" s="1" t="str">
        <f t="shared" si="2"/>
        <v/>
      </c>
      <c r="J10332" s="1" t="str">
        <f t="shared" si="3"/>
        <v/>
      </c>
      <c r="K10332" s="1" t="str">
        <f t="shared" si="4"/>
        <v/>
      </c>
    </row>
    <row r="10333" hidden="1">
      <c r="F10333" s="1" t="str">
        <f t="shared" si="1"/>
        <v/>
      </c>
      <c r="G10333" s="1" t="str">
        <f t="shared" si="2"/>
        <v/>
      </c>
      <c r="J10333" s="1" t="str">
        <f t="shared" si="3"/>
        <v/>
      </c>
      <c r="K10333" s="1" t="str">
        <f t="shared" si="4"/>
        <v/>
      </c>
    </row>
    <row r="10334" hidden="1">
      <c r="F10334" s="1" t="str">
        <f t="shared" si="1"/>
        <v/>
      </c>
      <c r="G10334" s="1" t="str">
        <f t="shared" si="2"/>
        <v/>
      </c>
      <c r="J10334" s="1" t="str">
        <f t="shared" si="3"/>
        <v/>
      </c>
      <c r="K10334" s="1" t="str">
        <f t="shared" si="4"/>
        <v/>
      </c>
    </row>
    <row r="10335" hidden="1">
      <c r="F10335" s="1" t="str">
        <f t="shared" si="1"/>
        <v/>
      </c>
      <c r="G10335" s="1" t="str">
        <f t="shared" si="2"/>
        <v/>
      </c>
      <c r="J10335" s="1" t="str">
        <f t="shared" si="3"/>
        <v/>
      </c>
      <c r="K10335" s="1" t="str">
        <f t="shared" si="4"/>
        <v/>
      </c>
    </row>
    <row r="10336" hidden="1">
      <c r="F10336" s="1" t="str">
        <f t="shared" si="1"/>
        <v/>
      </c>
      <c r="G10336" s="1" t="str">
        <f t="shared" si="2"/>
        <v/>
      </c>
      <c r="J10336" s="1" t="str">
        <f t="shared" si="3"/>
        <v/>
      </c>
      <c r="K10336" s="1" t="str">
        <f t="shared" si="4"/>
        <v/>
      </c>
    </row>
    <row r="10337" hidden="1">
      <c r="F10337" s="1" t="str">
        <f t="shared" si="1"/>
        <v/>
      </c>
      <c r="G10337" s="1" t="str">
        <f t="shared" si="2"/>
        <v/>
      </c>
      <c r="J10337" s="1" t="str">
        <f t="shared" si="3"/>
        <v/>
      </c>
      <c r="K10337" s="1" t="str">
        <f t="shared" si="4"/>
        <v/>
      </c>
    </row>
    <row r="10338" hidden="1">
      <c r="F10338" s="1" t="str">
        <f t="shared" si="1"/>
        <v/>
      </c>
      <c r="G10338" s="1" t="str">
        <f t="shared" si="2"/>
        <v/>
      </c>
      <c r="J10338" s="1" t="str">
        <f t="shared" si="3"/>
        <v/>
      </c>
      <c r="K10338" s="1" t="str">
        <f t="shared" si="4"/>
        <v/>
      </c>
    </row>
    <row r="10339" hidden="1">
      <c r="F10339" s="1" t="str">
        <f t="shared" si="1"/>
        <v/>
      </c>
      <c r="G10339" s="1" t="str">
        <f t="shared" si="2"/>
        <v/>
      </c>
      <c r="J10339" s="1" t="str">
        <f t="shared" si="3"/>
        <v/>
      </c>
      <c r="K10339" s="1" t="str">
        <f t="shared" si="4"/>
        <v/>
      </c>
    </row>
    <row r="10340" hidden="1">
      <c r="F10340" s="1" t="str">
        <f t="shared" si="1"/>
        <v/>
      </c>
      <c r="G10340" s="1" t="str">
        <f t="shared" si="2"/>
        <v/>
      </c>
      <c r="J10340" s="1" t="str">
        <f t="shared" si="3"/>
        <v/>
      </c>
      <c r="K10340" s="1" t="str">
        <f t="shared" si="4"/>
        <v/>
      </c>
    </row>
    <row r="10341" hidden="1">
      <c r="F10341" s="1" t="str">
        <f t="shared" si="1"/>
        <v/>
      </c>
      <c r="G10341" s="1" t="str">
        <f t="shared" si="2"/>
        <v/>
      </c>
      <c r="J10341" s="1" t="str">
        <f t="shared" si="3"/>
        <v/>
      </c>
      <c r="K10341" s="1" t="str">
        <f t="shared" si="4"/>
        <v/>
      </c>
    </row>
    <row r="10342" hidden="1">
      <c r="F10342" s="1" t="str">
        <f t="shared" si="1"/>
        <v/>
      </c>
      <c r="G10342" s="1" t="str">
        <f t="shared" si="2"/>
        <v/>
      </c>
      <c r="J10342" s="1" t="str">
        <f t="shared" si="3"/>
        <v/>
      </c>
      <c r="K10342" s="1" t="str">
        <f t="shared" si="4"/>
        <v/>
      </c>
    </row>
    <row r="10343" hidden="1">
      <c r="F10343" s="1" t="str">
        <f t="shared" si="1"/>
        <v/>
      </c>
      <c r="G10343" s="1" t="str">
        <f t="shared" si="2"/>
        <v/>
      </c>
      <c r="J10343" s="1" t="str">
        <f t="shared" si="3"/>
        <v/>
      </c>
      <c r="K10343" s="1" t="str">
        <f t="shared" si="4"/>
        <v/>
      </c>
    </row>
    <row r="10344" hidden="1">
      <c r="F10344" s="1" t="str">
        <f t="shared" si="1"/>
        <v/>
      </c>
      <c r="G10344" s="1" t="str">
        <f t="shared" si="2"/>
        <v/>
      </c>
      <c r="J10344" s="1" t="str">
        <f t="shared" si="3"/>
        <v/>
      </c>
      <c r="K10344" s="1" t="str">
        <f t="shared" si="4"/>
        <v/>
      </c>
    </row>
    <row r="10345" hidden="1">
      <c r="F10345" s="1" t="str">
        <f t="shared" si="1"/>
        <v/>
      </c>
      <c r="G10345" s="1" t="str">
        <f t="shared" si="2"/>
        <v/>
      </c>
      <c r="J10345" s="1" t="str">
        <f t="shared" si="3"/>
        <v/>
      </c>
      <c r="K10345" s="1" t="str">
        <f t="shared" si="4"/>
        <v/>
      </c>
    </row>
    <row r="10346" hidden="1">
      <c r="F10346" s="1" t="str">
        <f t="shared" si="1"/>
        <v/>
      </c>
      <c r="G10346" s="1" t="str">
        <f t="shared" si="2"/>
        <v/>
      </c>
      <c r="J10346" s="1" t="str">
        <f t="shared" si="3"/>
        <v/>
      </c>
      <c r="K10346" s="1" t="str">
        <f t="shared" si="4"/>
        <v/>
      </c>
    </row>
    <row r="10347" hidden="1">
      <c r="F10347" s="1" t="str">
        <f t="shared" si="1"/>
        <v/>
      </c>
      <c r="G10347" s="1" t="str">
        <f t="shared" si="2"/>
        <v/>
      </c>
      <c r="J10347" s="1" t="str">
        <f t="shared" si="3"/>
        <v/>
      </c>
      <c r="K10347" s="1" t="str">
        <f t="shared" si="4"/>
        <v/>
      </c>
    </row>
    <row r="10348" hidden="1">
      <c r="F10348" s="1" t="str">
        <f t="shared" si="1"/>
        <v/>
      </c>
      <c r="G10348" s="1" t="str">
        <f t="shared" si="2"/>
        <v/>
      </c>
      <c r="J10348" s="1" t="str">
        <f t="shared" si="3"/>
        <v/>
      </c>
      <c r="K10348" s="1" t="str">
        <f t="shared" si="4"/>
        <v/>
      </c>
    </row>
    <row r="10349" hidden="1">
      <c r="F10349" s="1" t="str">
        <f t="shared" si="1"/>
        <v/>
      </c>
      <c r="G10349" s="1" t="str">
        <f t="shared" si="2"/>
        <v/>
      </c>
      <c r="J10349" s="1" t="str">
        <f t="shared" si="3"/>
        <v/>
      </c>
      <c r="K10349" s="1" t="str">
        <f t="shared" si="4"/>
        <v/>
      </c>
    </row>
    <row r="10350" hidden="1">
      <c r="F10350" s="1" t="str">
        <f t="shared" si="1"/>
        <v/>
      </c>
      <c r="G10350" s="1" t="str">
        <f t="shared" si="2"/>
        <v/>
      </c>
      <c r="J10350" s="1" t="str">
        <f t="shared" si="3"/>
        <v/>
      </c>
      <c r="K10350" s="1" t="str">
        <f t="shared" si="4"/>
        <v/>
      </c>
    </row>
    <row r="10351" hidden="1">
      <c r="F10351" s="1" t="str">
        <f t="shared" si="1"/>
        <v/>
      </c>
      <c r="G10351" s="1" t="str">
        <f t="shared" si="2"/>
        <v/>
      </c>
      <c r="J10351" s="1" t="str">
        <f t="shared" si="3"/>
        <v/>
      </c>
      <c r="K10351" s="1" t="str">
        <f t="shared" si="4"/>
        <v/>
      </c>
    </row>
    <row r="10352" hidden="1">
      <c r="F10352" s="1" t="str">
        <f t="shared" si="1"/>
        <v/>
      </c>
      <c r="G10352" s="1" t="str">
        <f t="shared" si="2"/>
        <v/>
      </c>
      <c r="J10352" s="1" t="str">
        <f t="shared" si="3"/>
        <v/>
      </c>
      <c r="K10352" s="1" t="str">
        <f t="shared" si="4"/>
        <v/>
      </c>
    </row>
    <row r="10353" hidden="1">
      <c r="F10353" s="1" t="str">
        <f t="shared" si="1"/>
        <v/>
      </c>
      <c r="G10353" s="1" t="str">
        <f t="shared" si="2"/>
        <v/>
      </c>
      <c r="J10353" s="1" t="str">
        <f t="shared" si="3"/>
        <v/>
      </c>
      <c r="K10353" s="1" t="str">
        <f t="shared" si="4"/>
        <v/>
      </c>
    </row>
    <row r="10354" hidden="1">
      <c r="F10354" s="1" t="str">
        <f t="shared" si="1"/>
        <v/>
      </c>
      <c r="G10354" s="1" t="str">
        <f t="shared" si="2"/>
        <v/>
      </c>
      <c r="J10354" s="1" t="str">
        <f t="shared" si="3"/>
        <v/>
      </c>
      <c r="K10354" s="1" t="str">
        <f t="shared" si="4"/>
        <v/>
      </c>
    </row>
    <row r="10355" hidden="1">
      <c r="F10355" s="1" t="str">
        <f t="shared" si="1"/>
        <v/>
      </c>
      <c r="G10355" s="1" t="str">
        <f t="shared" si="2"/>
        <v/>
      </c>
      <c r="J10355" s="1" t="str">
        <f t="shared" si="3"/>
        <v/>
      </c>
      <c r="K10355" s="1" t="str">
        <f t="shared" si="4"/>
        <v/>
      </c>
    </row>
    <row r="10356" hidden="1">
      <c r="F10356" s="1" t="str">
        <f t="shared" si="1"/>
        <v/>
      </c>
      <c r="G10356" s="1" t="str">
        <f t="shared" si="2"/>
        <v/>
      </c>
      <c r="J10356" s="1" t="str">
        <f t="shared" si="3"/>
        <v/>
      </c>
      <c r="K10356" s="1" t="str">
        <f t="shared" si="4"/>
        <v/>
      </c>
    </row>
    <row r="10357" hidden="1">
      <c r="F10357" s="1" t="str">
        <f t="shared" si="1"/>
        <v/>
      </c>
      <c r="G10357" s="1" t="str">
        <f t="shared" si="2"/>
        <v/>
      </c>
      <c r="J10357" s="1" t="str">
        <f t="shared" si="3"/>
        <v/>
      </c>
      <c r="K10357" s="1" t="str">
        <f t="shared" si="4"/>
        <v/>
      </c>
    </row>
    <row r="10358" hidden="1">
      <c r="F10358" s="1" t="str">
        <f t="shared" si="1"/>
        <v/>
      </c>
      <c r="G10358" s="1" t="str">
        <f t="shared" si="2"/>
        <v/>
      </c>
      <c r="J10358" s="1" t="str">
        <f t="shared" si="3"/>
        <v/>
      </c>
      <c r="K10358" s="1" t="str">
        <f t="shared" si="4"/>
        <v/>
      </c>
    </row>
    <row r="10359" hidden="1">
      <c r="F10359" s="1" t="str">
        <f t="shared" si="1"/>
        <v/>
      </c>
      <c r="G10359" s="1" t="str">
        <f t="shared" si="2"/>
        <v/>
      </c>
      <c r="J10359" s="1" t="str">
        <f t="shared" si="3"/>
        <v/>
      </c>
      <c r="K10359" s="1" t="str">
        <f t="shared" si="4"/>
        <v/>
      </c>
    </row>
    <row r="10360" hidden="1">
      <c r="F10360" s="1" t="str">
        <f t="shared" si="1"/>
        <v/>
      </c>
      <c r="G10360" s="1" t="str">
        <f t="shared" si="2"/>
        <v/>
      </c>
      <c r="J10360" s="1" t="str">
        <f t="shared" si="3"/>
        <v/>
      </c>
      <c r="K10360" s="1" t="str">
        <f t="shared" si="4"/>
        <v/>
      </c>
    </row>
    <row r="10361" hidden="1">
      <c r="F10361" s="1" t="str">
        <f t="shared" si="1"/>
        <v/>
      </c>
      <c r="G10361" s="1" t="str">
        <f t="shared" si="2"/>
        <v/>
      </c>
      <c r="J10361" s="1" t="str">
        <f t="shared" si="3"/>
        <v/>
      </c>
      <c r="K10361" s="1" t="str">
        <f t="shared" si="4"/>
        <v/>
      </c>
    </row>
    <row r="10362" hidden="1">
      <c r="F10362" s="1" t="str">
        <f t="shared" si="1"/>
        <v/>
      </c>
      <c r="G10362" s="1" t="str">
        <f t="shared" si="2"/>
        <v/>
      </c>
      <c r="J10362" s="1" t="str">
        <f t="shared" si="3"/>
        <v/>
      </c>
      <c r="K10362" s="1" t="str">
        <f t="shared" si="4"/>
        <v/>
      </c>
    </row>
    <row r="10363" hidden="1">
      <c r="F10363" s="1" t="str">
        <f t="shared" si="1"/>
        <v/>
      </c>
      <c r="G10363" s="1" t="str">
        <f t="shared" si="2"/>
        <v/>
      </c>
      <c r="J10363" s="1" t="str">
        <f t="shared" si="3"/>
        <v/>
      </c>
      <c r="K10363" s="1" t="str">
        <f t="shared" si="4"/>
        <v/>
      </c>
    </row>
    <row r="10364" hidden="1">
      <c r="F10364" s="1" t="str">
        <f t="shared" si="1"/>
        <v/>
      </c>
      <c r="G10364" s="1" t="str">
        <f t="shared" si="2"/>
        <v/>
      </c>
      <c r="J10364" s="1" t="str">
        <f t="shared" si="3"/>
        <v/>
      </c>
      <c r="K10364" s="1" t="str">
        <f t="shared" si="4"/>
        <v/>
      </c>
    </row>
    <row r="10365" hidden="1">
      <c r="F10365" s="1" t="str">
        <f t="shared" si="1"/>
        <v/>
      </c>
      <c r="G10365" s="1" t="str">
        <f t="shared" si="2"/>
        <v/>
      </c>
      <c r="J10365" s="1" t="str">
        <f t="shared" si="3"/>
        <v/>
      </c>
      <c r="K10365" s="1" t="str">
        <f t="shared" si="4"/>
        <v/>
      </c>
    </row>
    <row r="10366" hidden="1">
      <c r="F10366" s="1" t="str">
        <f t="shared" si="1"/>
        <v/>
      </c>
      <c r="G10366" s="1" t="str">
        <f t="shared" si="2"/>
        <v/>
      </c>
      <c r="J10366" s="1" t="str">
        <f t="shared" si="3"/>
        <v/>
      </c>
      <c r="K10366" s="1" t="str">
        <f t="shared" si="4"/>
        <v/>
      </c>
    </row>
    <row r="10367" hidden="1">
      <c r="F10367" s="1" t="str">
        <f t="shared" si="1"/>
        <v/>
      </c>
      <c r="G10367" s="1" t="str">
        <f t="shared" si="2"/>
        <v/>
      </c>
      <c r="J10367" s="1" t="str">
        <f t="shared" si="3"/>
        <v/>
      </c>
      <c r="K10367" s="1" t="str">
        <f t="shared" si="4"/>
        <v/>
      </c>
    </row>
    <row r="10368" hidden="1">
      <c r="F10368" s="1" t="str">
        <f t="shared" si="1"/>
        <v/>
      </c>
      <c r="G10368" s="1" t="str">
        <f t="shared" si="2"/>
        <v/>
      </c>
      <c r="J10368" s="1" t="str">
        <f t="shared" si="3"/>
        <v/>
      </c>
      <c r="K10368" s="1" t="str">
        <f t="shared" si="4"/>
        <v/>
      </c>
    </row>
    <row r="10369" hidden="1">
      <c r="F10369" s="1" t="str">
        <f t="shared" si="1"/>
        <v/>
      </c>
      <c r="G10369" s="1" t="str">
        <f t="shared" si="2"/>
        <v/>
      </c>
      <c r="J10369" s="1" t="str">
        <f t="shared" si="3"/>
        <v/>
      </c>
      <c r="K10369" s="1" t="str">
        <f t="shared" si="4"/>
        <v/>
      </c>
    </row>
    <row r="10370" hidden="1">
      <c r="F10370" s="1" t="str">
        <f t="shared" si="1"/>
        <v/>
      </c>
      <c r="G10370" s="1" t="str">
        <f t="shared" si="2"/>
        <v/>
      </c>
      <c r="J10370" s="1" t="str">
        <f t="shared" si="3"/>
        <v/>
      </c>
      <c r="K10370" s="1" t="str">
        <f t="shared" si="4"/>
        <v/>
      </c>
    </row>
    <row r="10371" hidden="1">
      <c r="F10371" s="1" t="str">
        <f t="shared" si="1"/>
        <v/>
      </c>
      <c r="G10371" s="1" t="str">
        <f t="shared" si="2"/>
        <v/>
      </c>
      <c r="J10371" s="1" t="str">
        <f t="shared" si="3"/>
        <v/>
      </c>
      <c r="K10371" s="1" t="str">
        <f t="shared" si="4"/>
        <v/>
      </c>
    </row>
    <row r="10372" hidden="1">
      <c r="F10372" s="1" t="str">
        <f t="shared" si="1"/>
        <v/>
      </c>
      <c r="G10372" s="1" t="str">
        <f t="shared" si="2"/>
        <v/>
      </c>
      <c r="J10372" s="1" t="str">
        <f t="shared" si="3"/>
        <v/>
      </c>
      <c r="K10372" s="1" t="str">
        <f t="shared" si="4"/>
        <v/>
      </c>
    </row>
    <row r="10373" hidden="1">
      <c r="F10373" s="1" t="str">
        <f t="shared" si="1"/>
        <v/>
      </c>
      <c r="G10373" s="1" t="str">
        <f t="shared" si="2"/>
        <v/>
      </c>
      <c r="J10373" s="1" t="str">
        <f t="shared" si="3"/>
        <v/>
      </c>
      <c r="K10373" s="1" t="str">
        <f t="shared" si="4"/>
        <v/>
      </c>
    </row>
    <row r="10374" hidden="1">
      <c r="F10374" s="1" t="str">
        <f t="shared" si="1"/>
        <v/>
      </c>
      <c r="G10374" s="1" t="str">
        <f t="shared" si="2"/>
        <v/>
      </c>
      <c r="J10374" s="1" t="str">
        <f t="shared" si="3"/>
        <v/>
      </c>
      <c r="K10374" s="1" t="str">
        <f t="shared" si="4"/>
        <v/>
      </c>
    </row>
    <row r="10375" hidden="1">
      <c r="F10375" s="1" t="str">
        <f t="shared" si="1"/>
        <v/>
      </c>
      <c r="G10375" s="1" t="str">
        <f t="shared" si="2"/>
        <v/>
      </c>
      <c r="J10375" s="1" t="str">
        <f t="shared" si="3"/>
        <v/>
      </c>
      <c r="K10375" s="1" t="str">
        <f t="shared" si="4"/>
        <v/>
      </c>
    </row>
    <row r="10376" hidden="1">
      <c r="F10376" s="1" t="str">
        <f t="shared" si="1"/>
        <v/>
      </c>
      <c r="G10376" s="1" t="str">
        <f t="shared" si="2"/>
        <v/>
      </c>
      <c r="J10376" s="1" t="str">
        <f t="shared" si="3"/>
        <v/>
      </c>
      <c r="K10376" s="1" t="str">
        <f t="shared" si="4"/>
        <v/>
      </c>
    </row>
    <row r="10377" hidden="1">
      <c r="F10377" s="1" t="str">
        <f t="shared" si="1"/>
        <v/>
      </c>
      <c r="G10377" s="1" t="str">
        <f t="shared" si="2"/>
        <v/>
      </c>
      <c r="J10377" s="1" t="str">
        <f t="shared" si="3"/>
        <v/>
      </c>
      <c r="K10377" s="1" t="str">
        <f t="shared" si="4"/>
        <v/>
      </c>
    </row>
    <row r="10378" hidden="1">
      <c r="F10378" s="1" t="str">
        <f t="shared" si="1"/>
        <v/>
      </c>
      <c r="G10378" s="1" t="str">
        <f t="shared" si="2"/>
        <v/>
      </c>
      <c r="J10378" s="1" t="str">
        <f t="shared" si="3"/>
        <v/>
      </c>
      <c r="K10378" s="1" t="str">
        <f t="shared" si="4"/>
        <v/>
      </c>
    </row>
    <row r="10379" hidden="1">
      <c r="F10379" s="1" t="str">
        <f t="shared" si="1"/>
        <v/>
      </c>
      <c r="G10379" s="1" t="str">
        <f t="shared" si="2"/>
        <v/>
      </c>
      <c r="J10379" s="1" t="str">
        <f t="shared" si="3"/>
        <v/>
      </c>
      <c r="K10379" s="1" t="str">
        <f t="shared" si="4"/>
        <v/>
      </c>
    </row>
    <row r="10380" hidden="1">
      <c r="F10380" s="1" t="str">
        <f t="shared" si="1"/>
        <v/>
      </c>
      <c r="G10380" s="1" t="str">
        <f t="shared" si="2"/>
        <v/>
      </c>
      <c r="J10380" s="1" t="str">
        <f t="shared" si="3"/>
        <v/>
      </c>
      <c r="K10380" s="1" t="str">
        <f t="shared" si="4"/>
        <v/>
      </c>
    </row>
    <row r="10381" hidden="1">
      <c r="F10381" s="1" t="str">
        <f t="shared" si="1"/>
        <v/>
      </c>
      <c r="G10381" s="1" t="str">
        <f t="shared" si="2"/>
        <v/>
      </c>
      <c r="J10381" s="1" t="str">
        <f t="shared" si="3"/>
        <v/>
      </c>
      <c r="K10381" s="1" t="str">
        <f t="shared" si="4"/>
        <v/>
      </c>
    </row>
    <row r="10382" hidden="1">
      <c r="F10382" s="1" t="str">
        <f t="shared" si="1"/>
        <v/>
      </c>
      <c r="G10382" s="1" t="str">
        <f t="shared" si="2"/>
        <v/>
      </c>
      <c r="J10382" s="1" t="str">
        <f t="shared" si="3"/>
        <v/>
      </c>
      <c r="K10382" s="1" t="str">
        <f t="shared" si="4"/>
        <v/>
      </c>
    </row>
    <row r="10383" hidden="1">
      <c r="F10383" s="1" t="str">
        <f t="shared" si="1"/>
        <v/>
      </c>
      <c r="G10383" s="1" t="str">
        <f t="shared" si="2"/>
        <v/>
      </c>
      <c r="J10383" s="1" t="str">
        <f t="shared" si="3"/>
        <v/>
      </c>
      <c r="K10383" s="1" t="str">
        <f t="shared" si="4"/>
        <v/>
      </c>
    </row>
    <row r="10384" hidden="1">
      <c r="F10384" s="1" t="str">
        <f t="shared" si="1"/>
        <v/>
      </c>
      <c r="G10384" s="1" t="str">
        <f t="shared" si="2"/>
        <v/>
      </c>
      <c r="J10384" s="1" t="str">
        <f t="shared" si="3"/>
        <v/>
      </c>
      <c r="K10384" s="1" t="str">
        <f t="shared" si="4"/>
        <v/>
      </c>
    </row>
    <row r="10385" hidden="1">
      <c r="F10385" s="1" t="str">
        <f t="shared" si="1"/>
        <v/>
      </c>
      <c r="G10385" s="1" t="str">
        <f t="shared" si="2"/>
        <v/>
      </c>
      <c r="J10385" s="1" t="str">
        <f t="shared" si="3"/>
        <v/>
      </c>
      <c r="K10385" s="1" t="str">
        <f t="shared" si="4"/>
        <v/>
      </c>
    </row>
    <row r="10386" hidden="1">
      <c r="F10386" s="1" t="str">
        <f t="shared" si="1"/>
        <v/>
      </c>
      <c r="G10386" s="1" t="str">
        <f t="shared" si="2"/>
        <v/>
      </c>
      <c r="J10386" s="1" t="str">
        <f t="shared" si="3"/>
        <v/>
      </c>
      <c r="K10386" s="1" t="str">
        <f t="shared" si="4"/>
        <v/>
      </c>
    </row>
    <row r="10387" hidden="1">
      <c r="F10387" s="1" t="str">
        <f t="shared" si="1"/>
        <v/>
      </c>
      <c r="G10387" s="1" t="str">
        <f t="shared" si="2"/>
        <v/>
      </c>
      <c r="J10387" s="1" t="str">
        <f t="shared" si="3"/>
        <v/>
      </c>
      <c r="K10387" s="1" t="str">
        <f t="shared" si="4"/>
        <v/>
      </c>
    </row>
    <row r="10388" hidden="1">
      <c r="F10388" s="1" t="str">
        <f t="shared" si="1"/>
        <v/>
      </c>
      <c r="G10388" s="1" t="str">
        <f t="shared" si="2"/>
        <v/>
      </c>
      <c r="J10388" s="1" t="str">
        <f t="shared" si="3"/>
        <v/>
      </c>
      <c r="K10388" s="1" t="str">
        <f t="shared" si="4"/>
        <v/>
      </c>
    </row>
    <row r="10389" hidden="1">
      <c r="F10389" s="1" t="str">
        <f t="shared" si="1"/>
        <v/>
      </c>
      <c r="G10389" s="1" t="str">
        <f t="shared" si="2"/>
        <v/>
      </c>
      <c r="J10389" s="1" t="str">
        <f t="shared" si="3"/>
        <v/>
      </c>
      <c r="K10389" s="1" t="str">
        <f t="shared" si="4"/>
        <v/>
      </c>
    </row>
    <row r="10390" hidden="1">
      <c r="F10390" s="1" t="str">
        <f t="shared" si="1"/>
        <v/>
      </c>
      <c r="G10390" s="1" t="str">
        <f t="shared" si="2"/>
        <v/>
      </c>
      <c r="J10390" s="1" t="str">
        <f t="shared" si="3"/>
        <v/>
      </c>
      <c r="K10390" s="1" t="str">
        <f t="shared" si="4"/>
        <v/>
      </c>
    </row>
    <row r="10391" hidden="1">
      <c r="F10391" s="1" t="str">
        <f t="shared" si="1"/>
        <v/>
      </c>
      <c r="G10391" s="1" t="str">
        <f t="shared" si="2"/>
        <v/>
      </c>
      <c r="J10391" s="1" t="str">
        <f t="shared" si="3"/>
        <v/>
      </c>
      <c r="K10391" s="1" t="str">
        <f t="shared" si="4"/>
        <v/>
      </c>
    </row>
    <row r="10392" hidden="1">
      <c r="F10392" s="1" t="str">
        <f t="shared" si="1"/>
        <v/>
      </c>
      <c r="G10392" s="1" t="str">
        <f t="shared" si="2"/>
        <v/>
      </c>
      <c r="J10392" s="1" t="str">
        <f t="shared" si="3"/>
        <v/>
      </c>
      <c r="K10392" s="1" t="str">
        <f t="shared" si="4"/>
        <v/>
      </c>
    </row>
    <row r="10393" hidden="1">
      <c r="F10393" s="1" t="str">
        <f t="shared" si="1"/>
        <v/>
      </c>
      <c r="G10393" s="1" t="str">
        <f t="shared" si="2"/>
        <v/>
      </c>
      <c r="J10393" s="1" t="str">
        <f t="shared" si="3"/>
        <v/>
      </c>
      <c r="K10393" s="1" t="str">
        <f t="shared" si="4"/>
        <v/>
      </c>
    </row>
    <row r="10394" hidden="1">
      <c r="F10394" s="1" t="str">
        <f t="shared" si="1"/>
        <v/>
      </c>
      <c r="G10394" s="1" t="str">
        <f t="shared" si="2"/>
        <v/>
      </c>
      <c r="J10394" s="1" t="str">
        <f t="shared" si="3"/>
        <v/>
      </c>
      <c r="K10394" s="1" t="str">
        <f t="shared" si="4"/>
        <v/>
      </c>
    </row>
    <row r="10395" hidden="1">
      <c r="F10395" s="1" t="str">
        <f t="shared" si="1"/>
        <v/>
      </c>
      <c r="G10395" s="1" t="str">
        <f t="shared" si="2"/>
        <v/>
      </c>
      <c r="J10395" s="1" t="str">
        <f t="shared" si="3"/>
        <v/>
      </c>
      <c r="K10395" s="1" t="str">
        <f t="shared" si="4"/>
        <v/>
      </c>
    </row>
    <row r="10396" hidden="1">
      <c r="F10396" s="1" t="str">
        <f t="shared" si="1"/>
        <v/>
      </c>
      <c r="G10396" s="1" t="str">
        <f t="shared" si="2"/>
        <v/>
      </c>
      <c r="J10396" s="1" t="str">
        <f t="shared" si="3"/>
        <v/>
      </c>
      <c r="K10396" s="1" t="str">
        <f t="shared" si="4"/>
        <v/>
      </c>
    </row>
    <row r="10397" hidden="1">
      <c r="F10397" s="1" t="str">
        <f t="shared" si="1"/>
        <v/>
      </c>
      <c r="G10397" s="1" t="str">
        <f t="shared" si="2"/>
        <v/>
      </c>
      <c r="J10397" s="1" t="str">
        <f t="shared" si="3"/>
        <v/>
      </c>
      <c r="K10397" s="1" t="str">
        <f t="shared" si="4"/>
        <v/>
      </c>
    </row>
    <row r="10398" hidden="1">
      <c r="F10398" s="1" t="str">
        <f t="shared" si="1"/>
        <v/>
      </c>
      <c r="G10398" s="1" t="str">
        <f t="shared" si="2"/>
        <v/>
      </c>
      <c r="J10398" s="1" t="str">
        <f t="shared" si="3"/>
        <v/>
      </c>
      <c r="K10398" s="1" t="str">
        <f t="shared" si="4"/>
        <v/>
      </c>
    </row>
    <row r="10399" hidden="1">
      <c r="F10399" s="1" t="str">
        <f t="shared" si="1"/>
        <v/>
      </c>
      <c r="G10399" s="1" t="str">
        <f t="shared" si="2"/>
        <v/>
      </c>
      <c r="J10399" s="1" t="str">
        <f t="shared" si="3"/>
        <v/>
      </c>
      <c r="K10399" s="1" t="str">
        <f t="shared" si="4"/>
        <v/>
      </c>
    </row>
    <row r="10400" hidden="1">
      <c r="F10400" s="1" t="str">
        <f t="shared" si="1"/>
        <v/>
      </c>
      <c r="G10400" s="1" t="str">
        <f t="shared" si="2"/>
        <v/>
      </c>
      <c r="J10400" s="1" t="str">
        <f t="shared" si="3"/>
        <v/>
      </c>
      <c r="K10400" s="1" t="str">
        <f t="shared" si="4"/>
        <v/>
      </c>
    </row>
    <row r="10401" hidden="1">
      <c r="F10401" s="1" t="str">
        <f t="shared" si="1"/>
        <v/>
      </c>
      <c r="G10401" s="1" t="str">
        <f t="shared" si="2"/>
        <v/>
      </c>
      <c r="J10401" s="1" t="str">
        <f t="shared" si="3"/>
        <v/>
      </c>
      <c r="K10401" s="1" t="str">
        <f t="shared" si="4"/>
        <v/>
      </c>
    </row>
    <row r="10402" hidden="1">
      <c r="F10402" s="1" t="str">
        <f t="shared" si="1"/>
        <v/>
      </c>
      <c r="G10402" s="1" t="str">
        <f t="shared" si="2"/>
        <v/>
      </c>
      <c r="J10402" s="1" t="str">
        <f t="shared" si="3"/>
        <v/>
      </c>
      <c r="K10402" s="1" t="str">
        <f t="shared" si="4"/>
        <v/>
      </c>
    </row>
    <row r="10403" hidden="1">
      <c r="F10403" s="1" t="str">
        <f t="shared" si="1"/>
        <v/>
      </c>
      <c r="G10403" s="1" t="str">
        <f t="shared" si="2"/>
        <v/>
      </c>
      <c r="J10403" s="1" t="str">
        <f t="shared" si="3"/>
        <v/>
      </c>
      <c r="K10403" s="1" t="str">
        <f t="shared" si="4"/>
        <v/>
      </c>
    </row>
    <row r="10404" hidden="1">
      <c r="F10404" s="1" t="str">
        <f t="shared" si="1"/>
        <v/>
      </c>
      <c r="G10404" s="1" t="str">
        <f t="shared" si="2"/>
        <v/>
      </c>
      <c r="J10404" s="1" t="str">
        <f t="shared" si="3"/>
        <v/>
      </c>
      <c r="K10404" s="1" t="str">
        <f t="shared" si="4"/>
        <v/>
      </c>
    </row>
    <row r="10405" hidden="1">
      <c r="F10405" s="1" t="str">
        <f t="shared" si="1"/>
        <v/>
      </c>
      <c r="G10405" s="1" t="str">
        <f t="shared" si="2"/>
        <v/>
      </c>
      <c r="J10405" s="1" t="str">
        <f t="shared" si="3"/>
        <v/>
      </c>
      <c r="K10405" s="1" t="str">
        <f t="shared" si="4"/>
        <v/>
      </c>
    </row>
    <row r="10406" hidden="1">
      <c r="F10406" s="1" t="str">
        <f t="shared" si="1"/>
        <v/>
      </c>
      <c r="G10406" s="1" t="str">
        <f t="shared" si="2"/>
        <v/>
      </c>
      <c r="J10406" s="1" t="str">
        <f t="shared" si="3"/>
        <v/>
      </c>
      <c r="K10406" s="1" t="str">
        <f t="shared" si="4"/>
        <v/>
      </c>
    </row>
    <row r="10407" hidden="1">
      <c r="F10407" s="1" t="str">
        <f t="shared" si="1"/>
        <v/>
      </c>
      <c r="G10407" s="1" t="str">
        <f t="shared" si="2"/>
        <v/>
      </c>
      <c r="J10407" s="1" t="str">
        <f t="shared" si="3"/>
        <v/>
      </c>
      <c r="K10407" s="1" t="str">
        <f t="shared" si="4"/>
        <v/>
      </c>
    </row>
    <row r="10408" hidden="1">
      <c r="F10408" s="1" t="str">
        <f t="shared" si="1"/>
        <v/>
      </c>
      <c r="G10408" s="1" t="str">
        <f t="shared" si="2"/>
        <v/>
      </c>
      <c r="J10408" s="1" t="str">
        <f t="shared" si="3"/>
        <v/>
      </c>
      <c r="K10408" s="1" t="str">
        <f t="shared" si="4"/>
        <v/>
      </c>
    </row>
    <row r="10409" hidden="1">
      <c r="F10409" s="1" t="str">
        <f t="shared" si="1"/>
        <v/>
      </c>
      <c r="G10409" s="1" t="str">
        <f t="shared" si="2"/>
        <v/>
      </c>
      <c r="J10409" s="1" t="str">
        <f t="shared" si="3"/>
        <v/>
      </c>
      <c r="K10409" s="1" t="str">
        <f t="shared" si="4"/>
        <v/>
      </c>
    </row>
    <row r="10410" hidden="1">
      <c r="F10410" s="1" t="str">
        <f t="shared" si="1"/>
        <v/>
      </c>
      <c r="G10410" s="1" t="str">
        <f t="shared" si="2"/>
        <v/>
      </c>
      <c r="J10410" s="1" t="str">
        <f t="shared" si="3"/>
        <v/>
      </c>
      <c r="K10410" s="1" t="str">
        <f t="shared" si="4"/>
        <v/>
      </c>
    </row>
    <row r="10411" hidden="1">
      <c r="F10411" s="1" t="str">
        <f t="shared" si="1"/>
        <v/>
      </c>
      <c r="G10411" s="1" t="str">
        <f t="shared" si="2"/>
        <v/>
      </c>
      <c r="J10411" s="1" t="str">
        <f t="shared" si="3"/>
        <v/>
      </c>
      <c r="K10411" s="1" t="str">
        <f t="shared" si="4"/>
        <v/>
      </c>
    </row>
    <row r="10412" hidden="1">
      <c r="F10412" s="1" t="str">
        <f t="shared" si="1"/>
        <v/>
      </c>
      <c r="G10412" s="1" t="str">
        <f t="shared" si="2"/>
        <v/>
      </c>
      <c r="J10412" s="1" t="str">
        <f t="shared" si="3"/>
        <v/>
      </c>
      <c r="K10412" s="1" t="str">
        <f t="shared" si="4"/>
        <v/>
      </c>
    </row>
    <row r="10413" hidden="1">
      <c r="F10413" s="1" t="str">
        <f t="shared" si="1"/>
        <v/>
      </c>
      <c r="G10413" s="1" t="str">
        <f t="shared" si="2"/>
        <v/>
      </c>
      <c r="J10413" s="1" t="str">
        <f t="shared" si="3"/>
        <v/>
      </c>
      <c r="K10413" s="1" t="str">
        <f t="shared" si="4"/>
        <v/>
      </c>
    </row>
    <row r="10414" hidden="1">
      <c r="F10414" s="1" t="str">
        <f t="shared" si="1"/>
        <v/>
      </c>
      <c r="G10414" s="1" t="str">
        <f t="shared" si="2"/>
        <v/>
      </c>
      <c r="J10414" s="1" t="str">
        <f t="shared" si="3"/>
        <v/>
      </c>
      <c r="K10414" s="1" t="str">
        <f t="shared" si="4"/>
        <v/>
      </c>
    </row>
    <row r="10415" hidden="1">
      <c r="F10415" s="1" t="str">
        <f t="shared" si="1"/>
        <v/>
      </c>
      <c r="G10415" s="1" t="str">
        <f t="shared" si="2"/>
        <v/>
      </c>
      <c r="J10415" s="1" t="str">
        <f t="shared" si="3"/>
        <v/>
      </c>
      <c r="K10415" s="1" t="str">
        <f t="shared" si="4"/>
        <v/>
      </c>
    </row>
    <row r="10416" hidden="1">
      <c r="F10416" s="1" t="str">
        <f t="shared" si="1"/>
        <v/>
      </c>
      <c r="G10416" s="1" t="str">
        <f t="shared" si="2"/>
        <v/>
      </c>
      <c r="J10416" s="1" t="str">
        <f t="shared" si="3"/>
        <v/>
      </c>
      <c r="K10416" s="1" t="str">
        <f t="shared" si="4"/>
        <v/>
      </c>
    </row>
    <row r="10417" hidden="1">
      <c r="F10417" s="1" t="str">
        <f t="shared" si="1"/>
        <v/>
      </c>
      <c r="G10417" s="1" t="str">
        <f t="shared" si="2"/>
        <v/>
      </c>
      <c r="J10417" s="1" t="str">
        <f t="shared" si="3"/>
        <v/>
      </c>
      <c r="K10417" s="1" t="str">
        <f t="shared" si="4"/>
        <v/>
      </c>
    </row>
    <row r="10418" hidden="1">
      <c r="F10418" s="1" t="str">
        <f t="shared" si="1"/>
        <v/>
      </c>
      <c r="G10418" s="1" t="str">
        <f t="shared" si="2"/>
        <v/>
      </c>
      <c r="J10418" s="1" t="str">
        <f t="shared" si="3"/>
        <v/>
      </c>
      <c r="K10418" s="1" t="str">
        <f t="shared" si="4"/>
        <v/>
      </c>
    </row>
    <row r="10419" hidden="1">
      <c r="F10419" s="1" t="str">
        <f t="shared" si="1"/>
        <v/>
      </c>
      <c r="G10419" s="1" t="str">
        <f t="shared" si="2"/>
        <v/>
      </c>
      <c r="J10419" s="1" t="str">
        <f t="shared" si="3"/>
        <v/>
      </c>
      <c r="K10419" s="1" t="str">
        <f t="shared" si="4"/>
        <v/>
      </c>
    </row>
    <row r="10420" hidden="1">
      <c r="F10420" s="1" t="str">
        <f t="shared" si="1"/>
        <v/>
      </c>
      <c r="G10420" s="1" t="str">
        <f t="shared" si="2"/>
        <v/>
      </c>
      <c r="J10420" s="1" t="str">
        <f t="shared" si="3"/>
        <v/>
      </c>
      <c r="K10420" s="1" t="str">
        <f t="shared" si="4"/>
        <v/>
      </c>
    </row>
    <row r="10421" hidden="1">
      <c r="F10421" s="1" t="str">
        <f t="shared" si="1"/>
        <v/>
      </c>
      <c r="G10421" s="1" t="str">
        <f t="shared" si="2"/>
        <v/>
      </c>
      <c r="J10421" s="1" t="str">
        <f t="shared" si="3"/>
        <v/>
      </c>
      <c r="K10421" s="1" t="str">
        <f t="shared" si="4"/>
        <v/>
      </c>
    </row>
    <row r="10422" hidden="1">
      <c r="F10422" s="1" t="str">
        <f t="shared" si="1"/>
        <v/>
      </c>
      <c r="G10422" s="1" t="str">
        <f t="shared" si="2"/>
        <v/>
      </c>
      <c r="J10422" s="1" t="str">
        <f t="shared" si="3"/>
        <v/>
      </c>
      <c r="K10422" s="1" t="str">
        <f t="shared" si="4"/>
        <v/>
      </c>
    </row>
    <row r="10423" hidden="1">
      <c r="F10423" s="1" t="str">
        <f t="shared" si="1"/>
        <v/>
      </c>
      <c r="G10423" s="1" t="str">
        <f t="shared" si="2"/>
        <v/>
      </c>
      <c r="J10423" s="1" t="str">
        <f t="shared" si="3"/>
        <v/>
      </c>
      <c r="K10423" s="1" t="str">
        <f t="shared" si="4"/>
        <v/>
      </c>
    </row>
    <row r="10424" hidden="1">
      <c r="F10424" s="1" t="str">
        <f t="shared" si="1"/>
        <v/>
      </c>
      <c r="G10424" s="1" t="str">
        <f t="shared" si="2"/>
        <v/>
      </c>
      <c r="J10424" s="1" t="str">
        <f t="shared" si="3"/>
        <v/>
      </c>
      <c r="K10424" s="1" t="str">
        <f t="shared" si="4"/>
        <v/>
      </c>
    </row>
    <row r="10425" hidden="1">
      <c r="F10425" s="1" t="str">
        <f t="shared" si="1"/>
        <v/>
      </c>
      <c r="G10425" s="1" t="str">
        <f t="shared" si="2"/>
        <v/>
      </c>
      <c r="J10425" s="1" t="str">
        <f t="shared" si="3"/>
        <v/>
      </c>
      <c r="K10425" s="1" t="str">
        <f t="shared" si="4"/>
        <v/>
      </c>
    </row>
    <row r="10426" hidden="1">
      <c r="F10426" s="1" t="str">
        <f t="shared" si="1"/>
        <v/>
      </c>
      <c r="G10426" s="1" t="str">
        <f t="shared" si="2"/>
        <v/>
      </c>
      <c r="J10426" s="1" t="str">
        <f t="shared" si="3"/>
        <v/>
      </c>
      <c r="K10426" s="1" t="str">
        <f t="shared" si="4"/>
        <v/>
      </c>
    </row>
    <row r="10427" hidden="1">
      <c r="F10427" s="1" t="str">
        <f t="shared" si="1"/>
        <v/>
      </c>
      <c r="G10427" s="1" t="str">
        <f t="shared" si="2"/>
        <v/>
      </c>
      <c r="J10427" s="1" t="str">
        <f t="shared" si="3"/>
        <v/>
      </c>
      <c r="K10427" s="1" t="str">
        <f t="shared" si="4"/>
        <v/>
      </c>
    </row>
    <row r="10428" hidden="1">
      <c r="F10428" s="1" t="str">
        <f t="shared" si="1"/>
        <v/>
      </c>
      <c r="G10428" s="1" t="str">
        <f t="shared" si="2"/>
        <v/>
      </c>
      <c r="J10428" s="1" t="str">
        <f t="shared" si="3"/>
        <v/>
      </c>
      <c r="K10428" s="1" t="str">
        <f t="shared" si="4"/>
        <v/>
      </c>
    </row>
    <row r="10429" hidden="1">
      <c r="F10429" s="1" t="str">
        <f t="shared" si="1"/>
        <v/>
      </c>
      <c r="G10429" s="1" t="str">
        <f t="shared" si="2"/>
        <v/>
      </c>
      <c r="J10429" s="1" t="str">
        <f t="shared" si="3"/>
        <v/>
      </c>
      <c r="K10429" s="1" t="str">
        <f t="shared" si="4"/>
        <v/>
      </c>
    </row>
    <row r="10430" hidden="1">
      <c r="F10430" s="1" t="str">
        <f t="shared" si="1"/>
        <v/>
      </c>
      <c r="G10430" s="1" t="str">
        <f t="shared" si="2"/>
        <v/>
      </c>
      <c r="J10430" s="1" t="str">
        <f t="shared" si="3"/>
        <v/>
      </c>
      <c r="K10430" s="1" t="str">
        <f t="shared" si="4"/>
        <v/>
      </c>
    </row>
    <row r="10431" hidden="1">
      <c r="F10431" s="1" t="str">
        <f t="shared" si="1"/>
        <v/>
      </c>
      <c r="G10431" s="1" t="str">
        <f t="shared" si="2"/>
        <v/>
      </c>
      <c r="J10431" s="1" t="str">
        <f t="shared" si="3"/>
        <v/>
      </c>
      <c r="K10431" s="1" t="str">
        <f t="shared" si="4"/>
        <v/>
      </c>
    </row>
    <row r="10432" hidden="1">
      <c r="F10432" s="1" t="str">
        <f t="shared" si="1"/>
        <v/>
      </c>
      <c r="G10432" s="1" t="str">
        <f t="shared" si="2"/>
        <v/>
      </c>
      <c r="J10432" s="1" t="str">
        <f t="shared" si="3"/>
        <v/>
      </c>
      <c r="K10432" s="1" t="str">
        <f t="shared" si="4"/>
        <v/>
      </c>
    </row>
    <row r="10433" hidden="1">
      <c r="F10433" s="1" t="str">
        <f t="shared" si="1"/>
        <v/>
      </c>
      <c r="G10433" s="1" t="str">
        <f t="shared" si="2"/>
        <v/>
      </c>
      <c r="J10433" s="1" t="str">
        <f t="shared" si="3"/>
        <v/>
      </c>
      <c r="K10433" s="1" t="str">
        <f t="shared" si="4"/>
        <v/>
      </c>
    </row>
    <row r="10434" hidden="1">
      <c r="F10434" s="1" t="str">
        <f t="shared" si="1"/>
        <v/>
      </c>
      <c r="G10434" s="1" t="str">
        <f t="shared" si="2"/>
        <v/>
      </c>
      <c r="J10434" s="1" t="str">
        <f t="shared" si="3"/>
        <v/>
      </c>
      <c r="K10434" s="1" t="str">
        <f t="shared" si="4"/>
        <v/>
      </c>
    </row>
    <row r="10435" hidden="1">
      <c r="F10435" s="1" t="str">
        <f t="shared" si="1"/>
        <v/>
      </c>
      <c r="G10435" s="1" t="str">
        <f t="shared" si="2"/>
        <v/>
      </c>
      <c r="J10435" s="1" t="str">
        <f t="shared" si="3"/>
        <v/>
      </c>
      <c r="K10435" s="1" t="str">
        <f t="shared" si="4"/>
        <v/>
      </c>
    </row>
    <row r="10436" hidden="1">
      <c r="F10436" s="1" t="str">
        <f t="shared" si="1"/>
        <v/>
      </c>
      <c r="G10436" s="1" t="str">
        <f t="shared" si="2"/>
        <v/>
      </c>
      <c r="J10436" s="1" t="str">
        <f t="shared" si="3"/>
        <v/>
      </c>
      <c r="K10436" s="1" t="str">
        <f t="shared" si="4"/>
        <v/>
      </c>
    </row>
    <row r="10437" hidden="1">
      <c r="F10437" s="1" t="str">
        <f t="shared" si="1"/>
        <v/>
      </c>
      <c r="G10437" s="1" t="str">
        <f t="shared" si="2"/>
        <v/>
      </c>
      <c r="J10437" s="1" t="str">
        <f t="shared" si="3"/>
        <v/>
      </c>
      <c r="K10437" s="1" t="str">
        <f t="shared" si="4"/>
        <v/>
      </c>
    </row>
    <row r="10438" hidden="1">
      <c r="F10438" s="1" t="str">
        <f t="shared" si="1"/>
        <v/>
      </c>
      <c r="G10438" s="1" t="str">
        <f t="shared" si="2"/>
        <v/>
      </c>
      <c r="J10438" s="1" t="str">
        <f t="shared" si="3"/>
        <v/>
      </c>
      <c r="K10438" s="1" t="str">
        <f t="shared" si="4"/>
        <v/>
      </c>
    </row>
    <row r="10439" hidden="1">
      <c r="F10439" s="1" t="str">
        <f t="shared" si="1"/>
        <v/>
      </c>
      <c r="G10439" s="1" t="str">
        <f t="shared" si="2"/>
        <v/>
      </c>
      <c r="J10439" s="1" t="str">
        <f t="shared" si="3"/>
        <v/>
      </c>
      <c r="K10439" s="1" t="str">
        <f t="shared" si="4"/>
        <v/>
      </c>
    </row>
    <row r="10440" hidden="1">
      <c r="F10440" s="1" t="str">
        <f t="shared" si="1"/>
        <v/>
      </c>
      <c r="G10440" s="1" t="str">
        <f t="shared" si="2"/>
        <v/>
      </c>
      <c r="J10440" s="1" t="str">
        <f t="shared" si="3"/>
        <v/>
      </c>
      <c r="K10440" s="1" t="str">
        <f t="shared" si="4"/>
        <v/>
      </c>
    </row>
    <row r="10441" hidden="1">
      <c r="F10441" s="1" t="str">
        <f t="shared" si="1"/>
        <v/>
      </c>
      <c r="G10441" s="1" t="str">
        <f t="shared" si="2"/>
        <v/>
      </c>
      <c r="J10441" s="1" t="str">
        <f t="shared" si="3"/>
        <v/>
      </c>
      <c r="K10441" s="1" t="str">
        <f t="shared" si="4"/>
        <v/>
      </c>
    </row>
    <row r="10442" hidden="1">
      <c r="F10442" s="1" t="str">
        <f t="shared" si="1"/>
        <v/>
      </c>
      <c r="G10442" s="1" t="str">
        <f t="shared" si="2"/>
        <v/>
      </c>
      <c r="J10442" s="1" t="str">
        <f t="shared" si="3"/>
        <v/>
      </c>
      <c r="K10442" s="1" t="str">
        <f t="shared" si="4"/>
        <v/>
      </c>
    </row>
    <row r="10443" hidden="1">
      <c r="F10443" s="1" t="str">
        <f t="shared" si="1"/>
        <v/>
      </c>
      <c r="G10443" s="1" t="str">
        <f t="shared" si="2"/>
        <v/>
      </c>
      <c r="J10443" s="1" t="str">
        <f t="shared" si="3"/>
        <v/>
      </c>
      <c r="K10443" s="1" t="str">
        <f t="shared" si="4"/>
        <v/>
      </c>
    </row>
    <row r="10444" hidden="1">
      <c r="F10444" s="1" t="str">
        <f t="shared" si="1"/>
        <v/>
      </c>
      <c r="G10444" s="1" t="str">
        <f t="shared" si="2"/>
        <v/>
      </c>
      <c r="J10444" s="1" t="str">
        <f t="shared" si="3"/>
        <v/>
      </c>
      <c r="K10444" s="1" t="str">
        <f t="shared" si="4"/>
        <v/>
      </c>
    </row>
    <row r="10445" hidden="1">
      <c r="F10445" s="1" t="str">
        <f t="shared" si="1"/>
        <v/>
      </c>
      <c r="G10445" s="1" t="str">
        <f t="shared" si="2"/>
        <v/>
      </c>
      <c r="J10445" s="1" t="str">
        <f t="shared" si="3"/>
        <v/>
      </c>
      <c r="K10445" s="1" t="str">
        <f t="shared" si="4"/>
        <v/>
      </c>
    </row>
    <row r="10446" hidden="1">
      <c r="F10446" s="1" t="str">
        <f t="shared" si="1"/>
        <v/>
      </c>
      <c r="G10446" s="1" t="str">
        <f t="shared" si="2"/>
        <v/>
      </c>
      <c r="J10446" s="1" t="str">
        <f t="shared" si="3"/>
        <v/>
      </c>
      <c r="K10446" s="1" t="str">
        <f t="shared" si="4"/>
        <v/>
      </c>
    </row>
    <row r="10447" hidden="1">
      <c r="F10447" s="1" t="str">
        <f t="shared" si="1"/>
        <v/>
      </c>
      <c r="G10447" s="1" t="str">
        <f t="shared" si="2"/>
        <v/>
      </c>
      <c r="J10447" s="1" t="str">
        <f t="shared" si="3"/>
        <v/>
      </c>
      <c r="K10447" s="1" t="str">
        <f t="shared" si="4"/>
        <v/>
      </c>
    </row>
    <row r="10448" hidden="1">
      <c r="F10448" s="1" t="str">
        <f t="shared" si="1"/>
        <v/>
      </c>
      <c r="G10448" s="1" t="str">
        <f t="shared" si="2"/>
        <v/>
      </c>
      <c r="J10448" s="1" t="str">
        <f t="shared" si="3"/>
        <v/>
      </c>
      <c r="K10448" s="1" t="str">
        <f t="shared" si="4"/>
        <v/>
      </c>
    </row>
    <row r="10449" hidden="1">
      <c r="F10449" s="1" t="str">
        <f t="shared" si="1"/>
        <v/>
      </c>
      <c r="G10449" s="1" t="str">
        <f t="shared" si="2"/>
        <v/>
      </c>
      <c r="J10449" s="1" t="str">
        <f t="shared" si="3"/>
        <v/>
      </c>
      <c r="K10449" s="1" t="str">
        <f t="shared" si="4"/>
        <v/>
      </c>
    </row>
    <row r="10450" hidden="1">
      <c r="F10450" s="1" t="str">
        <f t="shared" si="1"/>
        <v/>
      </c>
      <c r="G10450" s="1" t="str">
        <f t="shared" si="2"/>
        <v/>
      </c>
      <c r="J10450" s="1" t="str">
        <f t="shared" si="3"/>
        <v/>
      </c>
      <c r="K10450" s="1" t="str">
        <f t="shared" si="4"/>
        <v/>
      </c>
    </row>
    <row r="10451" hidden="1">
      <c r="F10451" s="1" t="str">
        <f t="shared" si="1"/>
        <v/>
      </c>
      <c r="G10451" s="1" t="str">
        <f t="shared" si="2"/>
        <v/>
      </c>
      <c r="J10451" s="1" t="str">
        <f t="shared" si="3"/>
        <v/>
      </c>
      <c r="K10451" s="1" t="str">
        <f t="shared" si="4"/>
        <v/>
      </c>
    </row>
    <row r="10452" hidden="1">
      <c r="F10452" s="1" t="str">
        <f t="shared" si="1"/>
        <v/>
      </c>
      <c r="G10452" s="1" t="str">
        <f t="shared" si="2"/>
        <v/>
      </c>
      <c r="J10452" s="1" t="str">
        <f t="shared" si="3"/>
        <v/>
      </c>
      <c r="K10452" s="1" t="str">
        <f t="shared" si="4"/>
        <v/>
      </c>
    </row>
    <row r="10453" hidden="1">
      <c r="F10453" s="1" t="str">
        <f t="shared" si="1"/>
        <v/>
      </c>
      <c r="G10453" s="1" t="str">
        <f t="shared" si="2"/>
        <v/>
      </c>
      <c r="J10453" s="1" t="str">
        <f t="shared" si="3"/>
        <v/>
      </c>
      <c r="K10453" s="1" t="str">
        <f t="shared" si="4"/>
        <v/>
      </c>
    </row>
    <row r="10454" hidden="1">
      <c r="F10454" s="1" t="str">
        <f t="shared" si="1"/>
        <v/>
      </c>
      <c r="G10454" s="1" t="str">
        <f t="shared" si="2"/>
        <v/>
      </c>
      <c r="J10454" s="1" t="str">
        <f t="shared" si="3"/>
        <v/>
      </c>
      <c r="K10454" s="1" t="str">
        <f t="shared" si="4"/>
        <v/>
      </c>
    </row>
    <row r="10455" hidden="1">
      <c r="F10455" s="1" t="str">
        <f t="shared" si="1"/>
        <v/>
      </c>
      <c r="G10455" s="1" t="str">
        <f t="shared" si="2"/>
        <v/>
      </c>
      <c r="J10455" s="1" t="str">
        <f t="shared" si="3"/>
        <v/>
      </c>
      <c r="K10455" s="1" t="str">
        <f t="shared" si="4"/>
        <v/>
      </c>
    </row>
    <row r="10456" hidden="1">
      <c r="F10456" s="1" t="str">
        <f t="shared" si="1"/>
        <v/>
      </c>
      <c r="G10456" s="1" t="str">
        <f t="shared" si="2"/>
        <v/>
      </c>
      <c r="J10456" s="1" t="str">
        <f t="shared" si="3"/>
        <v/>
      </c>
      <c r="K10456" s="1" t="str">
        <f t="shared" si="4"/>
        <v/>
      </c>
    </row>
    <row r="10457" hidden="1">
      <c r="F10457" s="1" t="str">
        <f t="shared" si="1"/>
        <v/>
      </c>
      <c r="G10457" s="1" t="str">
        <f t="shared" si="2"/>
        <v/>
      </c>
      <c r="J10457" s="1" t="str">
        <f t="shared" si="3"/>
        <v/>
      </c>
      <c r="K10457" s="1" t="str">
        <f t="shared" si="4"/>
        <v/>
      </c>
    </row>
    <row r="10458" hidden="1">
      <c r="F10458" s="1" t="str">
        <f t="shared" si="1"/>
        <v/>
      </c>
      <c r="G10458" s="1" t="str">
        <f t="shared" si="2"/>
        <v/>
      </c>
      <c r="J10458" s="1" t="str">
        <f t="shared" si="3"/>
        <v/>
      </c>
      <c r="K10458" s="1" t="str">
        <f t="shared" si="4"/>
        <v/>
      </c>
    </row>
    <row r="10459" hidden="1">
      <c r="F10459" s="1" t="str">
        <f t="shared" si="1"/>
        <v/>
      </c>
      <c r="G10459" s="1" t="str">
        <f t="shared" si="2"/>
        <v/>
      </c>
      <c r="J10459" s="1" t="str">
        <f t="shared" si="3"/>
        <v/>
      </c>
      <c r="K10459" s="1" t="str">
        <f t="shared" si="4"/>
        <v/>
      </c>
    </row>
    <row r="10460" hidden="1">
      <c r="F10460" s="1" t="str">
        <f t="shared" si="1"/>
        <v/>
      </c>
      <c r="G10460" s="1" t="str">
        <f t="shared" si="2"/>
        <v/>
      </c>
      <c r="J10460" s="1" t="str">
        <f t="shared" si="3"/>
        <v/>
      </c>
      <c r="K10460" s="1" t="str">
        <f t="shared" si="4"/>
        <v/>
      </c>
    </row>
    <row r="10461" hidden="1">
      <c r="F10461" s="1" t="str">
        <f t="shared" si="1"/>
        <v/>
      </c>
      <c r="G10461" s="1" t="str">
        <f t="shared" si="2"/>
        <v/>
      </c>
      <c r="J10461" s="1" t="str">
        <f t="shared" si="3"/>
        <v/>
      </c>
      <c r="K10461" s="1" t="str">
        <f t="shared" si="4"/>
        <v/>
      </c>
    </row>
    <row r="10462" hidden="1">
      <c r="F10462" s="1" t="str">
        <f t="shared" si="1"/>
        <v/>
      </c>
      <c r="G10462" s="1" t="str">
        <f t="shared" si="2"/>
        <v/>
      </c>
      <c r="J10462" s="1" t="str">
        <f t="shared" si="3"/>
        <v/>
      </c>
      <c r="K10462" s="1" t="str">
        <f t="shared" si="4"/>
        <v/>
      </c>
    </row>
    <row r="10463" hidden="1">
      <c r="F10463" s="1" t="str">
        <f t="shared" si="1"/>
        <v/>
      </c>
      <c r="G10463" s="1" t="str">
        <f t="shared" si="2"/>
        <v/>
      </c>
      <c r="J10463" s="1" t="str">
        <f t="shared" si="3"/>
        <v/>
      </c>
      <c r="K10463" s="1" t="str">
        <f t="shared" si="4"/>
        <v/>
      </c>
    </row>
    <row r="10464" hidden="1">
      <c r="F10464" s="1" t="str">
        <f t="shared" si="1"/>
        <v/>
      </c>
      <c r="G10464" s="1" t="str">
        <f t="shared" si="2"/>
        <v/>
      </c>
      <c r="J10464" s="1" t="str">
        <f t="shared" si="3"/>
        <v/>
      </c>
      <c r="K10464" s="1" t="str">
        <f t="shared" si="4"/>
        <v/>
      </c>
    </row>
    <row r="10465" hidden="1">
      <c r="F10465" s="1" t="str">
        <f t="shared" si="1"/>
        <v/>
      </c>
      <c r="G10465" s="1" t="str">
        <f t="shared" si="2"/>
        <v/>
      </c>
      <c r="J10465" s="1" t="str">
        <f t="shared" si="3"/>
        <v/>
      </c>
      <c r="K10465" s="1" t="str">
        <f t="shared" si="4"/>
        <v/>
      </c>
    </row>
    <row r="10466" hidden="1">
      <c r="F10466" s="1" t="str">
        <f t="shared" si="1"/>
        <v/>
      </c>
      <c r="G10466" s="1" t="str">
        <f t="shared" si="2"/>
        <v/>
      </c>
      <c r="J10466" s="1" t="str">
        <f t="shared" si="3"/>
        <v/>
      </c>
      <c r="K10466" s="1" t="str">
        <f t="shared" si="4"/>
        <v/>
      </c>
    </row>
    <row r="10467" hidden="1">
      <c r="F10467" s="1" t="str">
        <f t="shared" si="1"/>
        <v/>
      </c>
      <c r="G10467" s="1" t="str">
        <f t="shared" si="2"/>
        <v/>
      </c>
      <c r="J10467" s="1" t="str">
        <f t="shared" si="3"/>
        <v/>
      </c>
      <c r="K10467" s="1" t="str">
        <f t="shared" si="4"/>
        <v/>
      </c>
    </row>
    <row r="10468" hidden="1">
      <c r="F10468" s="1" t="str">
        <f t="shared" si="1"/>
        <v/>
      </c>
      <c r="G10468" s="1" t="str">
        <f t="shared" si="2"/>
        <v/>
      </c>
      <c r="J10468" s="1" t="str">
        <f t="shared" si="3"/>
        <v/>
      </c>
      <c r="K10468" s="1" t="str">
        <f t="shared" si="4"/>
        <v/>
      </c>
    </row>
    <row r="10469" hidden="1">
      <c r="F10469" s="1" t="str">
        <f t="shared" si="1"/>
        <v/>
      </c>
      <c r="G10469" s="1" t="str">
        <f t="shared" si="2"/>
        <v/>
      </c>
      <c r="J10469" s="1" t="str">
        <f t="shared" si="3"/>
        <v/>
      </c>
      <c r="K10469" s="1" t="str">
        <f t="shared" si="4"/>
        <v/>
      </c>
    </row>
    <row r="10470" hidden="1">
      <c r="F10470" s="1" t="str">
        <f t="shared" si="1"/>
        <v/>
      </c>
      <c r="G10470" s="1" t="str">
        <f t="shared" si="2"/>
        <v/>
      </c>
      <c r="J10470" s="1" t="str">
        <f t="shared" si="3"/>
        <v/>
      </c>
      <c r="K10470" s="1" t="str">
        <f t="shared" si="4"/>
        <v/>
      </c>
    </row>
    <row r="10471" hidden="1">
      <c r="F10471" s="1" t="str">
        <f t="shared" si="1"/>
        <v/>
      </c>
      <c r="G10471" s="1" t="str">
        <f t="shared" si="2"/>
        <v/>
      </c>
      <c r="J10471" s="1" t="str">
        <f t="shared" si="3"/>
        <v/>
      </c>
      <c r="K10471" s="1" t="str">
        <f t="shared" si="4"/>
        <v/>
      </c>
    </row>
    <row r="10472" hidden="1">
      <c r="F10472" s="1" t="str">
        <f t="shared" si="1"/>
        <v/>
      </c>
      <c r="G10472" s="1" t="str">
        <f t="shared" si="2"/>
        <v/>
      </c>
      <c r="J10472" s="1" t="str">
        <f t="shared" si="3"/>
        <v/>
      </c>
      <c r="K10472" s="1" t="str">
        <f t="shared" si="4"/>
        <v/>
      </c>
    </row>
    <row r="10473" hidden="1">
      <c r="F10473" s="1" t="str">
        <f t="shared" si="1"/>
        <v/>
      </c>
      <c r="G10473" s="1" t="str">
        <f t="shared" si="2"/>
        <v/>
      </c>
      <c r="J10473" s="1" t="str">
        <f t="shared" si="3"/>
        <v/>
      </c>
      <c r="K10473" s="1" t="str">
        <f t="shared" si="4"/>
        <v/>
      </c>
    </row>
    <row r="10474" hidden="1">
      <c r="F10474" s="1" t="str">
        <f t="shared" si="1"/>
        <v/>
      </c>
      <c r="G10474" s="1" t="str">
        <f t="shared" si="2"/>
        <v/>
      </c>
      <c r="J10474" s="1" t="str">
        <f t="shared" si="3"/>
        <v/>
      </c>
      <c r="K10474" s="1" t="str">
        <f t="shared" si="4"/>
        <v/>
      </c>
    </row>
    <row r="10475" hidden="1">
      <c r="F10475" s="1" t="str">
        <f t="shared" si="1"/>
        <v/>
      </c>
      <c r="G10475" s="1" t="str">
        <f t="shared" si="2"/>
        <v/>
      </c>
      <c r="J10475" s="1" t="str">
        <f t="shared" si="3"/>
        <v/>
      </c>
      <c r="K10475" s="1" t="str">
        <f t="shared" si="4"/>
        <v/>
      </c>
    </row>
    <row r="10476" hidden="1">
      <c r="F10476" s="1" t="str">
        <f t="shared" si="1"/>
        <v/>
      </c>
      <c r="G10476" s="1" t="str">
        <f t="shared" si="2"/>
        <v/>
      </c>
      <c r="J10476" s="1" t="str">
        <f t="shared" si="3"/>
        <v/>
      </c>
      <c r="K10476" s="1" t="str">
        <f t="shared" si="4"/>
        <v/>
      </c>
    </row>
    <row r="10477" hidden="1">
      <c r="F10477" s="1" t="str">
        <f t="shared" si="1"/>
        <v/>
      </c>
      <c r="G10477" s="1" t="str">
        <f t="shared" si="2"/>
        <v/>
      </c>
      <c r="J10477" s="1" t="str">
        <f t="shared" si="3"/>
        <v/>
      </c>
      <c r="K10477" s="1" t="str">
        <f t="shared" si="4"/>
        <v/>
      </c>
    </row>
    <row r="10478" hidden="1">
      <c r="F10478" s="1" t="str">
        <f t="shared" si="1"/>
        <v/>
      </c>
      <c r="G10478" s="1" t="str">
        <f t="shared" si="2"/>
        <v/>
      </c>
      <c r="J10478" s="1" t="str">
        <f t="shared" si="3"/>
        <v/>
      </c>
      <c r="K10478" s="1" t="str">
        <f t="shared" si="4"/>
        <v/>
      </c>
    </row>
    <row r="10479" hidden="1">
      <c r="F10479" s="1" t="str">
        <f t="shared" si="1"/>
        <v/>
      </c>
      <c r="G10479" s="1" t="str">
        <f t="shared" si="2"/>
        <v/>
      </c>
      <c r="J10479" s="1" t="str">
        <f t="shared" si="3"/>
        <v/>
      </c>
      <c r="K10479" s="1" t="str">
        <f t="shared" si="4"/>
        <v/>
      </c>
    </row>
    <row r="10480" hidden="1">
      <c r="F10480" s="1" t="str">
        <f t="shared" si="1"/>
        <v/>
      </c>
      <c r="G10480" s="1" t="str">
        <f t="shared" si="2"/>
        <v/>
      </c>
      <c r="J10480" s="1" t="str">
        <f t="shared" si="3"/>
        <v/>
      </c>
      <c r="K10480" s="1" t="str">
        <f t="shared" si="4"/>
        <v/>
      </c>
    </row>
    <row r="10481" hidden="1">
      <c r="F10481" s="1" t="str">
        <f t="shared" si="1"/>
        <v/>
      </c>
      <c r="G10481" s="1" t="str">
        <f t="shared" si="2"/>
        <v/>
      </c>
      <c r="J10481" s="1" t="str">
        <f t="shared" si="3"/>
        <v/>
      </c>
      <c r="K10481" s="1" t="str">
        <f t="shared" si="4"/>
        <v/>
      </c>
    </row>
    <row r="10482" hidden="1">
      <c r="F10482" s="1" t="str">
        <f t="shared" si="1"/>
        <v/>
      </c>
      <c r="G10482" s="1" t="str">
        <f t="shared" si="2"/>
        <v/>
      </c>
      <c r="J10482" s="1" t="str">
        <f t="shared" si="3"/>
        <v/>
      </c>
      <c r="K10482" s="1" t="str">
        <f t="shared" si="4"/>
        <v/>
      </c>
    </row>
    <row r="10483" hidden="1">
      <c r="F10483" s="1" t="str">
        <f t="shared" si="1"/>
        <v/>
      </c>
      <c r="G10483" s="1" t="str">
        <f t="shared" si="2"/>
        <v/>
      </c>
      <c r="J10483" s="1" t="str">
        <f t="shared" si="3"/>
        <v/>
      </c>
      <c r="K10483" s="1" t="str">
        <f t="shared" si="4"/>
        <v/>
      </c>
    </row>
    <row r="10484" hidden="1">
      <c r="F10484" s="1" t="str">
        <f t="shared" si="1"/>
        <v/>
      </c>
      <c r="G10484" s="1" t="str">
        <f t="shared" si="2"/>
        <v/>
      </c>
      <c r="J10484" s="1" t="str">
        <f t="shared" si="3"/>
        <v/>
      </c>
      <c r="K10484" s="1" t="str">
        <f t="shared" si="4"/>
        <v/>
      </c>
    </row>
    <row r="10485" hidden="1">
      <c r="F10485" s="1" t="str">
        <f t="shared" si="1"/>
        <v/>
      </c>
      <c r="G10485" s="1" t="str">
        <f t="shared" si="2"/>
        <v/>
      </c>
      <c r="J10485" s="1" t="str">
        <f t="shared" si="3"/>
        <v/>
      </c>
      <c r="K10485" s="1" t="str">
        <f t="shared" si="4"/>
        <v/>
      </c>
    </row>
    <row r="10486" hidden="1">
      <c r="F10486" s="1" t="str">
        <f t="shared" si="1"/>
        <v/>
      </c>
      <c r="G10486" s="1" t="str">
        <f t="shared" si="2"/>
        <v/>
      </c>
      <c r="J10486" s="1" t="str">
        <f t="shared" si="3"/>
        <v/>
      </c>
      <c r="K10486" s="1" t="str">
        <f t="shared" si="4"/>
        <v/>
      </c>
    </row>
    <row r="10487" hidden="1">
      <c r="F10487" s="1" t="str">
        <f t="shared" si="1"/>
        <v/>
      </c>
      <c r="G10487" s="1" t="str">
        <f t="shared" si="2"/>
        <v/>
      </c>
      <c r="J10487" s="1" t="str">
        <f t="shared" si="3"/>
        <v/>
      </c>
      <c r="K10487" s="1" t="str">
        <f t="shared" si="4"/>
        <v/>
      </c>
    </row>
    <row r="10488" hidden="1">
      <c r="F10488" s="1" t="str">
        <f t="shared" si="1"/>
        <v/>
      </c>
      <c r="G10488" s="1" t="str">
        <f t="shared" si="2"/>
        <v/>
      </c>
      <c r="J10488" s="1" t="str">
        <f t="shared" si="3"/>
        <v/>
      </c>
      <c r="K10488" s="1" t="str">
        <f t="shared" si="4"/>
        <v/>
      </c>
    </row>
    <row r="10489" hidden="1">
      <c r="F10489" s="1" t="str">
        <f t="shared" si="1"/>
        <v/>
      </c>
      <c r="G10489" s="1" t="str">
        <f t="shared" si="2"/>
        <v/>
      </c>
      <c r="J10489" s="1" t="str">
        <f t="shared" si="3"/>
        <v/>
      </c>
      <c r="K10489" s="1" t="str">
        <f t="shared" si="4"/>
        <v/>
      </c>
    </row>
    <row r="10490" hidden="1">
      <c r="F10490" s="1" t="str">
        <f t="shared" si="1"/>
        <v/>
      </c>
      <c r="G10490" s="1" t="str">
        <f t="shared" si="2"/>
        <v/>
      </c>
      <c r="J10490" s="1" t="str">
        <f t="shared" si="3"/>
        <v/>
      </c>
      <c r="K10490" s="1" t="str">
        <f t="shared" si="4"/>
        <v/>
      </c>
    </row>
    <row r="10491" hidden="1">
      <c r="F10491" s="1" t="str">
        <f t="shared" si="1"/>
        <v/>
      </c>
      <c r="G10491" s="1" t="str">
        <f t="shared" si="2"/>
        <v/>
      </c>
      <c r="J10491" s="1" t="str">
        <f t="shared" si="3"/>
        <v/>
      </c>
      <c r="K10491" s="1" t="str">
        <f t="shared" si="4"/>
        <v/>
      </c>
    </row>
    <row r="10492" hidden="1">
      <c r="F10492" s="1" t="str">
        <f t="shared" si="1"/>
        <v/>
      </c>
      <c r="G10492" s="1" t="str">
        <f t="shared" si="2"/>
        <v/>
      </c>
      <c r="J10492" s="1" t="str">
        <f t="shared" si="3"/>
        <v/>
      </c>
      <c r="K10492" s="1" t="str">
        <f t="shared" si="4"/>
        <v/>
      </c>
    </row>
    <row r="10493" hidden="1">
      <c r="F10493" s="1" t="str">
        <f t="shared" si="1"/>
        <v/>
      </c>
      <c r="G10493" s="1" t="str">
        <f t="shared" si="2"/>
        <v/>
      </c>
      <c r="J10493" s="1" t="str">
        <f t="shared" si="3"/>
        <v/>
      </c>
      <c r="K10493" s="1" t="str">
        <f t="shared" si="4"/>
        <v/>
      </c>
    </row>
    <row r="10494" hidden="1">
      <c r="F10494" s="1" t="str">
        <f t="shared" si="1"/>
        <v/>
      </c>
      <c r="G10494" s="1" t="str">
        <f t="shared" si="2"/>
        <v/>
      </c>
      <c r="J10494" s="1" t="str">
        <f t="shared" si="3"/>
        <v/>
      </c>
      <c r="K10494" s="1" t="str">
        <f t="shared" si="4"/>
        <v/>
      </c>
    </row>
    <row r="10495" hidden="1">
      <c r="F10495" s="1" t="str">
        <f t="shared" si="1"/>
        <v/>
      </c>
      <c r="G10495" s="1" t="str">
        <f t="shared" si="2"/>
        <v/>
      </c>
      <c r="J10495" s="1" t="str">
        <f t="shared" si="3"/>
        <v/>
      </c>
      <c r="K10495" s="1" t="str">
        <f t="shared" si="4"/>
        <v/>
      </c>
    </row>
    <row r="10496" hidden="1">
      <c r="F10496" s="1" t="str">
        <f t="shared" si="1"/>
        <v/>
      </c>
      <c r="G10496" s="1" t="str">
        <f t="shared" si="2"/>
        <v/>
      </c>
      <c r="J10496" s="1" t="str">
        <f t="shared" si="3"/>
        <v/>
      </c>
      <c r="K10496" s="1" t="str">
        <f t="shared" si="4"/>
        <v/>
      </c>
    </row>
    <row r="10497" hidden="1">
      <c r="F10497" s="1" t="str">
        <f t="shared" si="1"/>
        <v/>
      </c>
      <c r="G10497" s="1" t="str">
        <f t="shared" si="2"/>
        <v/>
      </c>
      <c r="J10497" s="1" t="str">
        <f t="shared" si="3"/>
        <v/>
      </c>
      <c r="K10497" s="1" t="str">
        <f t="shared" si="4"/>
        <v/>
      </c>
    </row>
    <row r="10498" hidden="1">
      <c r="F10498" s="1" t="str">
        <f t="shared" si="1"/>
        <v/>
      </c>
      <c r="G10498" s="1" t="str">
        <f t="shared" si="2"/>
        <v/>
      </c>
      <c r="J10498" s="1" t="str">
        <f t="shared" si="3"/>
        <v/>
      </c>
      <c r="K10498" s="1" t="str">
        <f t="shared" si="4"/>
        <v/>
      </c>
    </row>
    <row r="10499" hidden="1">
      <c r="F10499" s="1" t="str">
        <f t="shared" si="1"/>
        <v/>
      </c>
      <c r="G10499" s="1" t="str">
        <f t="shared" si="2"/>
        <v/>
      </c>
      <c r="J10499" s="1" t="str">
        <f t="shared" si="3"/>
        <v/>
      </c>
      <c r="K10499" s="1" t="str">
        <f t="shared" si="4"/>
        <v/>
      </c>
    </row>
    <row r="10500" hidden="1">
      <c r="F10500" s="1" t="str">
        <f t="shared" si="1"/>
        <v/>
      </c>
      <c r="G10500" s="1" t="str">
        <f t="shared" si="2"/>
        <v/>
      </c>
      <c r="J10500" s="1" t="str">
        <f t="shared" si="3"/>
        <v/>
      </c>
      <c r="K10500" s="1" t="str">
        <f t="shared" si="4"/>
        <v/>
      </c>
    </row>
    <row r="10501" hidden="1">
      <c r="F10501" s="1" t="str">
        <f t="shared" si="1"/>
        <v/>
      </c>
      <c r="G10501" s="1" t="str">
        <f t="shared" si="2"/>
        <v/>
      </c>
      <c r="J10501" s="1" t="str">
        <f t="shared" si="3"/>
        <v/>
      </c>
      <c r="K10501" s="1" t="str">
        <f t="shared" si="4"/>
        <v/>
      </c>
    </row>
    <row r="10502" hidden="1">
      <c r="F10502" s="1" t="str">
        <f t="shared" si="1"/>
        <v/>
      </c>
      <c r="G10502" s="1" t="str">
        <f t="shared" si="2"/>
        <v/>
      </c>
      <c r="J10502" s="1" t="str">
        <f t="shared" si="3"/>
        <v/>
      </c>
      <c r="K10502" s="1" t="str">
        <f t="shared" si="4"/>
        <v/>
      </c>
    </row>
    <row r="10503" hidden="1">
      <c r="F10503" s="1" t="str">
        <f t="shared" si="1"/>
        <v/>
      </c>
      <c r="G10503" s="1" t="str">
        <f t="shared" si="2"/>
        <v/>
      </c>
      <c r="J10503" s="1" t="str">
        <f t="shared" si="3"/>
        <v/>
      </c>
      <c r="K10503" s="1" t="str">
        <f t="shared" si="4"/>
        <v/>
      </c>
    </row>
    <row r="10504" hidden="1">
      <c r="F10504" s="1" t="str">
        <f t="shared" si="1"/>
        <v/>
      </c>
      <c r="G10504" s="1" t="str">
        <f t="shared" si="2"/>
        <v/>
      </c>
      <c r="J10504" s="1" t="str">
        <f t="shared" si="3"/>
        <v/>
      </c>
      <c r="K10504" s="1" t="str">
        <f t="shared" si="4"/>
        <v/>
      </c>
    </row>
    <row r="10505" hidden="1">
      <c r="F10505" s="1" t="str">
        <f t="shared" si="1"/>
        <v/>
      </c>
      <c r="G10505" s="1" t="str">
        <f t="shared" si="2"/>
        <v/>
      </c>
      <c r="J10505" s="1" t="str">
        <f t="shared" si="3"/>
        <v/>
      </c>
      <c r="K10505" s="1" t="str">
        <f t="shared" si="4"/>
        <v/>
      </c>
    </row>
    <row r="10506" hidden="1">
      <c r="F10506" s="1" t="str">
        <f t="shared" si="1"/>
        <v/>
      </c>
      <c r="G10506" s="1" t="str">
        <f t="shared" si="2"/>
        <v/>
      </c>
      <c r="J10506" s="1" t="str">
        <f t="shared" si="3"/>
        <v/>
      </c>
      <c r="K10506" s="1" t="str">
        <f t="shared" si="4"/>
        <v/>
      </c>
    </row>
    <row r="10507" hidden="1">
      <c r="F10507" s="1" t="str">
        <f t="shared" si="1"/>
        <v/>
      </c>
      <c r="G10507" s="1" t="str">
        <f t="shared" si="2"/>
        <v/>
      </c>
      <c r="J10507" s="1" t="str">
        <f t="shared" si="3"/>
        <v/>
      </c>
      <c r="K10507" s="1" t="str">
        <f t="shared" si="4"/>
        <v/>
      </c>
    </row>
    <row r="10508" hidden="1">
      <c r="F10508" s="1" t="str">
        <f t="shared" si="1"/>
        <v/>
      </c>
      <c r="G10508" s="1" t="str">
        <f t="shared" si="2"/>
        <v/>
      </c>
      <c r="J10508" s="1" t="str">
        <f t="shared" si="3"/>
        <v/>
      </c>
      <c r="K10508" s="1" t="str">
        <f t="shared" si="4"/>
        <v/>
      </c>
    </row>
    <row r="10509" hidden="1">
      <c r="F10509" s="1" t="str">
        <f t="shared" si="1"/>
        <v/>
      </c>
      <c r="G10509" s="1" t="str">
        <f t="shared" si="2"/>
        <v/>
      </c>
      <c r="J10509" s="1" t="str">
        <f t="shared" si="3"/>
        <v/>
      </c>
      <c r="K10509" s="1" t="str">
        <f t="shared" si="4"/>
        <v/>
      </c>
    </row>
    <row r="10510" hidden="1">
      <c r="F10510" s="1" t="str">
        <f t="shared" si="1"/>
        <v/>
      </c>
      <c r="G10510" s="1" t="str">
        <f t="shared" si="2"/>
        <v/>
      </c>
      <c r="J10510" s="1" t="str">
        <f t="shared" si="3"/>
        <v/>
      </c>
      <c r="K10510" s="1" t="str">
        <f t="shared" si="4"/>
        <v/>
      </c>
    </row>
    <row r="10511" hidden="1">
      <c r="F10511" s="1" t="str">
        <f t="shared" si="1"/>
        <v/>
      </c>
      <c r="G10511" s="1" t="str">
        <f t="shared" si="2"/>
        <v/>
      </c>
      <c r="J10511" s="1" t="str">
        <f t="shared" si="3"/>
        <v/>
      </c>
      <c r="K10511" s="1" t="str">
        <f t="shared" si="4"/>
        <v/>
      </c>
    </row>
    <row r="10512" hidden="1">
      <c r="F10512" s="1" t="str">
        <f t="shared" si="1"/>
        <v/>
      </c>
      <c r="G10512" s="1" t="str">
        <f t="shared" si="2"/>
        <v/>
      </c>
      <c r="J10512" s="1" t="str">
        <f t="shared" si="3"/>
        <v/>
      </c>
      <c r="K10512" s="1" t="str">
        <f t="shared" si="4"/>
        <v/>
      </c>
    </row>
    <row r="10513" hidden="1">
      <c r="F10513" s="1" t="str">
        <f t="shared" si="1"/>
        <v/>
      </c>
      <c r="G10513" s="1" t="str">
        <f t="shared" si="2"/>
        <v/>
      </c>
      <c r="J10513" s="1" t="str">
        <f t="shared" si="3"/>
        <v/>
      </c>
      <c r="K10513" s="1" t="str">
        <f t="shared" si="4"/>
        <v/>
      </c>
    </row>
    <row r="10514" hidden="1">
      <c r="F10514" s="1" t="str">
        <f t="shared" si="1"/>
        <v/>
      </c>
      <c r="G10514" s="1" t="str">
        <f t="shared" si="2"/>
        <v/>
      </c>
      <c r="J10514" s="1" t="str">
        <f t="shared" si="3"/>
        <v/>
      </c>
      <c r="K10514" s="1" t="str">
        <f t="shared" si="4"/>
        <v/>
      </c>
    </row>
    <row r="10515" hidden="1">
      <c r="F10515" s="1" t="str">
        <f t="shared" si="1"/>
        <v/>
      </c>
      <c r="G10515" s="1" t="str">
        <f t="shared" si="2"/>
        <v/>
      </c>
      <c r="J10515" s="1" t="str">
        <f t="shared" si="3"/>
        <v/>
      </c>
      <c r="K10515" s="1" t="str">
        <f t="shared" si="4"/>
        <v/>
      </c>
    </row>
    <row r="10516" hidden="1">
      <c r="F10516" s="1" t="str">
        <f t="shared" si="1"/>
        <v/>
      </c>
      <c r="G10516" s="1" t="str">
        <f t="shared" si="2"/>
        <v/>
      </c>
      <c r="J10516" s="1" t="str">
        <f t="shared" si="3"/>
        <v/>
      </c>
      <c r="K10516" s="1" t="str">
        <f t="shared" si="4"/>
        <v/>
      </c>
    </row>
    <row r="10517" hidden="1">
      <c r="F10517" s="1" t="str">
        <f t="shared" si="1"/>
        <v/>
      </c>
      <c r="G10517" s="1" t="str">
        <f t="shared" si="2"/>
        <v/>
      </c>
      <c r="J10517" s="1" t="str">
        <f t="shared" si="3"/>
        <v/>
      </c>
      <c r="K10517" s="1" t="str">
        <f t="shared" si="4"/>
        <v/>
      </c>
    </row>
    <row r="10518" hidden="1">
      <c r="F10518" s="1" t="str">
        <f t="shared" si="1"/>
        <v/>
      </c>
      <c r="G10518" s="1" t="str">
        <f t="shared" si="2"/>
        <v/>
      </c>
      <c r="J10518" s="1" t="str">
        <f t="shared" si="3"/>
        <v/>
      </c>
      <c r="K10518" s="1" t="str">
        <f t="shared" si="4"/>
        <v/>
      </c>
    </row>
    <row r="10519" hidden="1">
      <c r="F10519" s="1" t="str">
        <f t="shared" si="1"/>
        <v/>
      </c>
      <c r="G10519" s="1" t="str">
        <f t="shared" si="2"/>
        <v/>
      </c>
      <c r="J10519" s="1" t="str">
        <f t="shared" si="3"/>
        <v/>
      </c>
      <c r="K10519" s="1" t="str">
        <f t="shared" si="4"/>
        <v/>
      </c>
    </row>
    <row r="10520" hidden="1">
      <c r="F10520" s="1" t="str">
        <f t="shared" si="1"/>
        <v/>
      </c>
      <c r="G10520" s="1" t="str">
        <f t="shared" si="2"/>
        <v/>
      </c>
      <c r="J10520" s="1" t="str">
        <f t="shared" si="3"/>
        <v/>
      </c>
      <c r="K10520" s="1" t="str">
        <f t="shared" si="4"/>
        <v/>
      </c>
    </row>
    <row r="10521" hidden="1">
      <c r="F10521" s="1" t="str">
        <f t="shared" si="1"/>
        <v/>
      </c>
      <c r="G10521" s="1" t="str">
        <f t="shared" si="2"/>
        <v/>
      </c>
      <c r="J10521" s="1" t="str">
        <f t="shared" si="3"/>
        <v/>
      </c>
      <c r="K10521" s="1" t="str">
        <f t="shared" si="4"/>
        <v/>
      </c>
    </row>
    <row r="10522" hidden="1">
      <c r="F10522" s="1" t="str">
        <f t="shared" si="1"/>
        <v/>
      </c>
      <c r="G10522" s="1" t="str">
        <f t="shared" si="2"/>
        <v/>
      </c>
      <c r="J10522" s="1" t="str">
        <f t="shared" si="3"/>
        <v/>
      </c>
      <c r="K10522" s="1" t="str">
        <f t="shared" si="4"/>
        <v/>
      </c>
    </row>
    <row r="10523" hidden="1">
      <c r="F10523" s="1" t="str">
        <f t="shared" si="1"/>
        <v/>
      </c>
      <c r="G10523" s="1" t="str">
        <f t="shared" si="2"/>
        <v/>
      </c>
      <c r="J10523" s="1" t="str">
        <f t="shared" si="3"/>
        <v/>
      </c>
      <c r="K10523" s="1" t="str">
        <f t="shared" si="4"/>
        <v/>
      </c>
    </row>
    <row r="10524" hidden="1">
      <c r="F10524" s="1" t="str">
        <f t="shared" si="1"/>
        <v/>
      </c>
      <c r="G10524" s="1" t="str">
        <f t="shared" si="2"/>
        <v/>
      </c>
      <c r="J10524" s="1" t="str">
        <f t="shared" si="3"/>
        <v/>
      </c>
      <c r="K10524" s="1" t="str">
        <f t="shared" si="4"/>
        <v/>
      </c>
    </row>
    <row r="10525" hidden="1">
      <c r="F10525" s="1" t="str">
        <f t="shared" si="1"/>
        <v/>
      </c>
      <c r="G10525" s="1" t="str">
        <f t="shared" si="2"/>
        <v/>
      </c>
      <c r="J10525" s="1" t="str">
        <f t="shared" si="3"/>
        <v/>
      </c>
      <c r="K10525" s="1" t="str">
        <f t="shared" si="4"/>
        <v/>
      </c>
    </row>
    <row r="10526" hidden="1">
      <c r="F10526" s="1" t="str">
        <f t="shared" si="1"/>
        <v/>
      </c>
      <c r="G10526" s="1" t="str">
        <f t="shared" si="2"/>
        <v/>
      </c>
      <c r="J10526" s="1" t="str">
        <f t="shared" si="3"/>
        <v/>
      </c>
      <c r="K10526" s="1" t="str">
        <f t="shared" si="4"/>
        <v/>
      </c>
    </row>
    <row r="10527" hidden="1">
      <c r="F10527" s="1" t="str">
        <f t="shared" si="1"/>
        <v/>
      </c>
      <c r="G10527" s="1" t="str">
        <f t="shared" si="2"/>
        <v/>
      </c>
      <c r="J10527" s="1" t="str">
        <f t="shared" si="3"/>
        <v/>
      </c>
      <c r="K10527" s="1" t="str">
        <f t="shared" si="4"/>
        <v/>
      </c>
    </row>
    <row r="10528" hidden="1">
      <c r="F10528" s="1" t="str">
        <f t="shared" si="1"/>
        <v/>
      </c>
      <c r="G10528" s="1" t="str">
        <f t="shared" si="2"/>
        <v/>
      </c>
      <c r="J10528" s="1" t="str">
        <f t="shared" si="3"/>
        <v/>
      </c>
      <c r="K10528" s="1" t="str">
        <f t="shared" si="4"/>
        <v/>
      </c>
    </row>
    <row r="10529" hidden="1">
      <c r="F10529" s="1" t="str">
        <f t="shared" si="1"/>
        <v/>
      </c>
      <c r="G10529" s="1" t="str">
        <f t="shared" si="2"/>
        <v/>
      </c>
      <c r="J10529" s="1" t="str">
        <f t="shared" si="3"/>
        <v/>
      </c>
      <c r="K10529" s="1" t="str">
        <f t="shared" si="4"/>
        <v/>
      </c>
    </row>
    <row r="10530" hidden="1">
      <c r="F10530" s="1" t="str">
        <f t="shared" si="1"/>
        <v/>
      </c>
      <c r="G10530" s="1" t="str">
        <f t="shared" si="2"/>
        <v/>
      </c>
      <c r="J10530" s="1" t="str">
        <f t="shared" si="3"/>
        <v/>
      </c>
      <c r="K10530" s="1" t="str">
        <f t="shared" si="4"/>
        <v/>
      </c>
    </row>
    <row r="10531" hidden="1">
      <c r="F10531" s="1" t="str">
        <f t="shared" si="1"/>
        <v/>
      </c>
      <c r="G10531" s="1" t="str">
        <f t="shared" si="2"/>
        <v/>
      </c>
      <c r="J10531" s="1" t="str">
        <f t="shared" si="3"/>
        <v/>
      </c>
      <c r="K10531" s="1" t="str">
        <f t="shared" si="4"/>
        <v/>
      </c>
    </row>
    <row r="10532" hidden="1">
      <c r="F10532" s="1" t="str">
        <f t="shared" si="1"/>
        <v/>
      </c>
      <c r="G10532" s="1" t="str">
        <f t="shared" si="2"/>
        <v/>
      </c>
      <c r="J10532" s="1" t="str">
        <f t="shared" si="3"/>
        <v/>
      </c>
      <c r="K10532" s="1" t="str">
        <f t="shared" si="4"/>
        <v/>
      </c>
    </row>
    <row r="10533" hidden="1">
      <c r="F10533" s="1" t="str">
        <f t="shared" si="1"/>
        <v/>
      </c>
      <c r="G10533" s="1" t="str">
        <f t="shared" si="2"/>
        <v/>
      </c>
      <c r="J10533" s="1" t="str">
        <f t="shared" si="3"/>
        <v/>
      </c>
      <c r="K10533" s="1" t="str">
        <f t="shared" si="4"/>
        <v/>
      </c>
    </row>
    <row r="10534" hidden="1">
      <c r="F10534" s="1" t="str">
        <f t="shared" si="1"/>
        <v/>
      </c>
      <c r="G10534" s="1" t="str">
        <f t="shared" si="2"/>
        <v/>
      </c>
      <c r="J10534" s="1" t="str">
        <f t="shared" si="3"/>
        <v/>
      </c>
      <c r="K10534" s="1" t="str">
        <f t="shared" si="4"/>
        <v/>
      </c>
    </row>
    <row r="10535" hidden="1">
      <c r="F10535" s="1" t="str">
        <f t="shared" si="1"/>
        <v/>
      </c>
      <c r="G10535" s="1" t="str">
        <f t="shared" si="2"/>
        <v/>
      </c>
      <c r="J10535" s="1" t="str">
        <f t="shared" si="3"/>
        <v/>
      </c>
      <c r="K10535" s="1" t="str">
        <f t="shared" si="4"/>
        <v/>
      </c>
    </row>
    <row r="10536" hidden="1">
      <c r="F10536" s="1" t="str">
        <f t="shared" si="1"/>
        <v/>
      </c>
      <c r="G10536" s="1" t="str">
        <f t="shared" si="2"/>
        <v/>
      </c>
      <c r="J10536" s="1" t="str">
        <f t="shared" si="3"/>
        <v/>
      </c>
      <c r="K10536" s="1" t="str">
        <f t="shared" si="4"/>
        <v/>
      </c>
    </row>
    <row r="10537" hidden="1">
      <c r="F10537" s="1" t="str">
        <f t="shared" si="1"/>
        <v/>
      </c>
      <c r="G10537" s="1" t="str">
        <f t="shared" si="2"/>
        <v/>
      </c>
      <c r="J10537" s="1" t="str">
        <f t="shared" si="3"/>
        <v/>
      </c>
      <c r="K10537" s="1" t="str">
        <f t="shared" si="4"/>
        <v/>
      </c>
    </row>
    <row r="10538" hidden="1">
      <c r="F10538" s="1" t="str">
        <f t="shared" si="1"/>
        <v/>
      </c>
      <c r="G10538" s="1" t="str">
        <f t="shared" si="2"/>
        <v/>
      </c>
      <c r="J10538" s="1" t="str">
        <f t="shared" si="3"/>
        <v/>
      </c>
      <c r="K10538" s="1" t="str">
        <f t="shared" si="4"/>
        <v/>
      </c>
    </row>
    <row r="10539" hidden="1">
      <c r="F10539" s="1" t="str">
        <f t="shared" si="1"/>
        <v/>
      </c>
      <c r="G10539" s="1" t="str">
        <f t="shared" si="2"/>
        <v/>
      </c>
      <c r="J10539" s="1" t="str">
        <f t="shared" si="3"/>
        <v/>
      </c>
      <c r="K10539" s="1" t="str">
        <f t="shared" si="4"/>
        <v/>
      </c>
    </row>
    <row r="10540" hidden="1">
      <c r="F10540" s="1" t="str">
        <f t="shared" si="1"/>
        <v/>
      </c>
      <c r="G10540" s="1" t="str">
        <f t="shared" si="2"/>
        <v/>
      </c>
      <c r="J10540" s="1" t="str">
        <f t="shared" si="3"/>
        <v/>
      </c>
      <c r="K10540" s="1" t="str">
        <f t="shared" si="4"/>
        <v/>
      </c>
    </row>
    <row r="10541" hidden="1">
      <c r="F10541" s="1" t="str">
        <f t="shared" si="1"/>
        <v/>
      </c>
      <c r="G10541" s="1" t="str">
        <f t="shared" si="2"/>
        <v/>
      </c>
      <c r="J10541" s="1" t="str">
        <f t="shared" si="3"/>
        <v/>
      </c>
      <c r="K10541" s="1" t="str">
        <f t="shared" si="4"/>
        <v/>
      </c>
    </row>
    <row r="10542" hidden="1">
      <c r="F10542" s="1" t="str">
        <f t="shared" si="1"/>
        <v/>
      </c>
      <c r="G10542" s="1" t="str">
        <f t="shared" si="2"/>
        <v/>
      </c>
      <c r="J10542" s="1" t="str">
        <f t="shared" si="3"/>
        <v/>
      </c>
      <c r="K10542" s="1" t="str">
        <f t="shared" si="4"/>
        <v/>
      </c>
    </row>
    <row r="10543" hidden="1">
      <c r="F10543" s="1" t="str">
        <f t="shared" si="1"/>
        <v/>
      </c>
      <c r="G10543" s="1" t="str">
        <f t="shared" si="2"/>
        <v/>
      </c>
      <c r="J10543" s="1" t="str">
        <f t="shared" si="3"/>
        <v/>
      </c>
      <c r="K10543" s="1" t="str">
        <f t="shared" si="4"/>
        <v/>
      </c>
    </row>
    <row r="10544" hidden="1">
      <c r="F10544" s="1" t="str">
        <f t="shared" si="1"/>
        <v/>
      </c>
      <c r="G10544" s="1" t="str">
        <f t="shared" si="2"/>
        <v/>
      </c>
      <c r="J10544" s="1" t="str">
        <f t="shared" si="3"/>
        <v/>
      </c>
      <c r="K10544" s="1" t="str">
        <f t="shared" si="4"/>
        <v/>
      </c>
    </row>
    <row r="10545" hidden="1">
      <c r="F10545" s="1" t="str">
        <f t="shared" si="1"/>
        <v/>
      </c>
      <c r="G10545" s="1" t="str">
        <f t="shared" si="2"/>
        <v/>
      </c>
      <c r="J10545" s="1" t="str">
        <f t="shared" si="3"/>
        <v/>
      </c>
      <c r="K10545" s="1" t="str">
        <f t="shared" si="4"/>
        <v/>
      </c>
    </row>
    <row r="10546" hidden="1">
      <c r="F10546" s="1" t="str">
        <f t="shared" si="1"/>
        <v/>
      </c>
      <c r="G10546" s="1" t="str">
        <f t="shared" si="2"/>
        <v/>
      </c>
      <c r="J10546" s="1" t="str">
        <f t="shared" si="3"/>
        <v/>
      </c>
      <c r="K10546" s="1" t="str">
        <f t="shared" si="4"/>
        <v/>
      </c>
    </row>
    <row r="10547" hidden="1">
      <c r="F10547" s="1" t="str">
        <f t="shared" si="1"/>
        <v/>
      </c>
      <c r="G10547" s="1" t="str">
        <f t="shared" si="2"/>
        <v/>
      </c>
      <c r="J10547" s="1" t="str">
        <f t="shared" si="3"/>
        <v/>
      </c>
      <c r="K10547" s="1" t="str">
        <f t="shared" si="4"/>
        <v/>
      </c>
    </row>
    <row r="10548" hidden="1">
      <c r="F10548" s="1" t="str">
        <f t="shared" si="1"/>
        <v/>
      </c>
      <c r="G10548" s="1" t="str">
        <f t="shared" si="2"/>
        <v/>
      </c>
      <c r="J10548" s="1" t="str">
        <f t="shared" si="3"/>
        <v/>
      </c>
      <c r="K10548" s="1" t="str">
        <f t="shared" si="4"/>
        <v/>
      </c>
    </row>
    <row r="10549" hidden="1">
      <c r="F10549" s="1" t="str">
        <f t="shared" si="1"/>
        <v/>
      </c>
      <c r="G10549" s="1" t="str">
        <f t="shared" si="2"/>
        <v/>
      </c>
      <c r="J10549" s="1" t="str">
        <f t="shared" si="3"/>
        <v/>
      </c>
      <c r="K10549" s="1" t="str">
        <f t="shared" si="4"/>
        <v/>
      </c>
    </row>
    <row r="10550" hidden="1">
      <c r="F10550" s="1" t="str">
        <f t="shared" si="1"/>
        <v/>
      </c>
      <c r="G10550" s="1" t="str">
        <f t="shared" si="2"/>
        <v/>
      </c>
      <c r="J10550" s="1" t="str">
        <f t="shared" si="3"/>
        <v/>
      </c>
      <c r="K10550" s="1" t="str">
        <f t="shared" si="4"/>
        <v/>
      </c>
    </row>
    <row r="10551" hidden="1">
      <c r="F10551" s="1" t="str">
        <f t="shared" si="1"/>
        <v/>
      </c>
      <c r="G10551" s="1" t="str">
        <f t="shared" si="2"/>
        <v/>
      </c>
      <c r="J10551" s="1" t="str">
        <f t="shared" si="3"/>
        <v/>
      </c>
      <c r="K10551" s="1" t="str">
        <f t="shared" si="4"/>
        <v/>
      </c>
    </row>
    <row r="10552" hidden="1">
      <c r="F10552" s="1" t="str">
        <f t="shared" si="1"/>
        <v/>
      </c>
      <c r="G10552" s="1" t="str">
        <f t="shared" si="2"/>
        <v/>
      </c>
      <c r="J10552" s="1" t="str">
        <f t="shared" si="3"/>
        <v/>
      </c>
      <c r="K10552" s="1" t="str">
        <f t="shared" si="4"/>
        <v/>
      </c>
    </row>
    <row r="10553" hidden="1">
      <c r="F10553" s="1" t="str">
        <f t="shared" si="1"/>
        <v/>
      </c>
      <c r="G10553" s="1" t="str">
        <f t="shared" si="2"/>
        <v/>
      </c>
      <c r="J10553" s="1" t="str">
        <f t="shared" si="3"/>
        <v/>
      </c>
      <c r="K10553" s="1" t="str">
        <f t="shared" si="4"/>
        <v/>
      </c>
    </row>
    <row r="10554" hidden="1">
      <c r="F10554" s="1" t="str">
        <f t="shared" si="1"/>
        <v/>
      </c>
      <c r="G10554" s="1" t="str">
        <f t="shared" si="2"/>
        <v/>
      </c>
      <c r="J10554" s="1" t="str">
        <f t="shared" si="3"/>
        <v/>
      </c>
      <c r="K10554" s="1" t="str">
        <f t="shared" si="4"/>
        <v/>
      </c>
    </row>
    <row r="10555" hidden="1">
      <c r="F10555" s="1" t="str">
        <f t="shared" si="1"/>
        <v/>
      </c>
      <c r="G10555" s="1" t="str">
        <f t="shared" si="2"/>
        <v/>
      </c>
      <c r="J10555" s="1" t="str">
        <f t="shared" si="3"/>
        <v/>
      </c>
      <c r="K10555" s="1" t="str">
        <f t="shared" si="4"/>
        <v/>
      </c>
    </row>
    <row r="10556" hidden="1">
      <c r="F10556" s="1" t="str">
        <f t="shared" si="1"/>
        <v/>
      </c>
      <c r="G10556" s="1" t="str">
        <f t="shared" si="2"/>
        <v/>
      </c>
      <c r="J10556" s="1" t="str">
        <f t="shared" si="3"/>
        <v/>
      </c>
      <c r="K10556" s="1" t="str">
        <f t="shared" si="4"/>
        <v/>
      </c>
    </row>
    <row r="10557" hidden="1">
      <c r="F10557" s="1" t="str">
        <f t="shared" si="1"/>
        <v/>
      </c>
      <c r="G10557" s="1" t="str">
        <f t="shared" si="2"/>
        <v/>
      </c>
      <c r="J10557" s="1" t="str">
        <f t="shared" si="3"/>
        <v/>
      </c>
      <c r="K10557" s="1" t="str">
        <f t="shared" si="4"/>
        <v/>
      </c>
    </row>
    <row r="10558" hidden="1">
      <c r="F10558" s="1" t="str">
        <f t="shared" si="1"/>
        <v/>
      </c>
      <c r="G10558" s="1" t="str">
        <f t="shared" si="2"/>
        <v/>
      </c>
      <c r="J10558" s="1" t="str">
        <f t="shared" si="3"/>
        <v/>
      </c>
      <c r="K10558" s="1" t="str">
        <f t="shared" si="4"/>
        <v/>
      </c>
    </row>
    <row r="10559" hidden="1">
      <c r="F10559" s="1" t="str">
        <f t="shared" si="1"/>
        <v/>
      </c>
      <c r="G10559" s="1" t="str">
        <f t="shared" si="2"/>
        <v/>
      </c>
      <c r="J10559" s="1" t="str">
        <f t="shared" si="3"/>
        <v/>
      </c>
      <c r="K10559" s="1" t="str">
        <f t="shared" si="4"/>
        <v/>
      </c>
    </row>
    <row r="10560" hidden="1">
      <c r="F10560" s="1" t="str">
        <f t="shared" si="1"/>
        <v/>
      </c>
      <c r="G10560" s="1" t="str">
        <f t="shared" si="2"/>
        <v/>
      </c>
      <c r="J10560" s="1" t="str">
        <f t="shared" si="3"/>
        <v/>
      </c>
      <c r="K10560" s="1" t="str">
        <f t="shared" si="4"/>
        <v/>
      </c>
    </row>
    <row r="10561" hidden="1">
      <c r="F10561" s="1" t="str">
        <f t="shared" si="1"/>
        <v/>
      </c>
      <c r="G10561" s="1" t="str">
        <f t="shared" si="2"/>
        <v/>
      </c>
      <c r="J10561" s="1" t="str">
        <f t="shared" si="3"/>
        <v/>
      </c>
      <c r="K10561" s="1" t="str">
        <f t="shared" si="4"/>
        <v/>
      </c>
    </row>
    <row r="10562" hidden="1">
      <c r="F10562" s="1" t="str">
        <f t="shared" si="1"/>
        <v/>
      </c>
      <c r="G10562" s="1" t="str">
        <f t="shared" si="2"/>
        <v/>
      </c>
      <c r="J10562" s="1" t="str">
        <f t="shared" si="3"/>
        <v/>
      </c>
      <c r="K10562" s="1" t="str">
        <f t="shared" si="4"/>
        <v/>
      </c>
    </row>
    <row r="10563" hidden="1">
      <c r="F10563" s="1" t="str">
        <f t="shared" si="1"/>
        <v/>
      </c>
      <c r="G10563" s="1" t="str">
        <f t="shared" si="2"/>
        <v/>
      </c>
      <c r="J10563" s="1" t="str">
        <f t="shared" si="3"/>
        <v/>
      </c>
      <c r="K10563" s="1" t="str">
        <f t="shared" si="4"/>
        <v/>
      </c>
    </row>
    <row r="10564" hidden="1">
      <c r="F10564" s="1" t="str">
        <f t="shared" si="1"/>
        <v/>
      </c>
      <c r="G10564" s="1" t="str">
        <f t="shared" si="2"/>
        <v/>
      </c>
      <c r="J10564" s="1" t="str">
        <f t="shared" si="3"/>
        <v/>
      </c>
      <c r="K10564" s="1" t="str">
        <f t="shared" si="4"/>
        <v/>
      </c>
    </row>
    <row r="10565" hidden="1">
      <c r="F10565" s="1" t="str">
        <f t="shared" si="1"/>
        <v/>
      </c>
      <c r="G10565" s="1" t="str">
        <f t="shared" si="2"/>
        <v/>
      </c>
      <c r="J10565" s="1" t="str">
        <f t="shared" si="3"/>
        <v/>
      </c>
      <c r="K10565" s="1" t="str">
        <f t="shared" si="4"/>
        <v/>
      </c>
    </row>
    <row r="10566" hidden="1">
      <c r="F10566" s="1" t="str">
        <f t="shared" si="1"/>
        <v/>
      </c>
      <c r="G10566" s="1" t="str">
        <f t="shared" si="2"/>
        <v/>
      </c>
      <c r="J10566" s="1" t="str">
        <f t="shared" si="3"/>
        <v/>
      </c>
      <c r="K10566" s="1" t="str">
        <f t="shared" si="4"/>
        <v/>
      </c>
    </row>
    <row r="10567" hidden="1">
      <c r="F10567" s="1" t="str">
        <f t="shared" si="1"/>
        <v/>
      </c>
      <c r="G10567" s="1" t="str">
        <f t="shared" si="2"/>
        <v/>
      </c>
      <c r="J10567" s="1" t="str">
        <f t="shared" si="3"/>
        <v/>
      </c>
      <c r="K10567" s="1" t="str">
        <f t="shared" si="4"/>
        <v/>
      </c>
    </row>
    <row r="10568" hidden="1">
      <c r="F10568" s="1" t="str">
        <f t="shared" si="1"/>
        <v/>
      </c>
      <c r="G10568" s="1" t="str">
        <f t="shared" si="2"/>
        <v/>
      </c>
      <c r="J10568" s="1" t="str">
        <f t="shared" si="3"/>
        <v/>
      </c>
      <c r="K10568" s="1" t="str">
        <f t="shared" si="4"/>
        <v/>
      </c>
    </row>
    <row r="10569" hidden="1">
      <c r="F10569" s="1" t="str">
        <f t="shared" si="1"/>
        <v/>
      </c>
      <c r="G10569" s="1" t="str">
        <f t="shared" si="2"/>
        <v/>
      </c>
      <c r="J10569" s="1" t="str">
        <f t="shared" si="3"/>
        <v/>
      </c>
      <c r="K10569" s="1" t="str">
        <f t="shared" si="4"/>
        <v/>
      </c>
    </row>
    <row r="10570" hidden="1">
      <c r="F10570" s="1" t="str">
        <f t="shared" si="1"/>
        <v/>
      </c>
      <c r="G10570" s="1" t="str">
        <f t="shared" si="2"/>
        <v/>
      </c>
      <c r="J10570" s="1" t="str">
        <f t="shared" si="3"/>
        <v/>
      </c>
      <c r="K10570" s="1" t="str">
        <f t="shared" si="4"/>
        <v/>
      </c>
    </row>
    <row r="10571" hidden="1">
      <c r="F10571" s="1" t="str">
        <f t="shared" si="1"/>
        <v/>
      </c>
      <c r="G10571" s="1" t="str">
        <f t="shared" si="2"/>
        <v/>
      </c>
      <c r="J10571" s="1" t="str">
        <f t="shared" si="3"/>
        <v/>
      </c>
      <c r="K10571" s="1" t="str">
        <f t="shared" si="4"/>
        <v/>
      </c>
    </row>
    <row r="10572" hidden="1">
      <c r="F10572" s="1" t="str">
        <f t="shared" si="1"/>
        <v/>
      </c>
      <c r="G10572" s="1" t="str">
        <f t="shared" si="2"/>
        <v/>
      </c>
      <c r="J10572" s="1" t="str">
        <f t="shared" si="3"/>
        <v/>
      </c>
      <c r="K10572" s="1" t="str">
        <f t="shared" si="4"/>
        <v/>
      </c>
    </row>
    <row r="10573" hidden="1">
      <c r="F10573" s="1" t="str">
        <f t="shared" si="1"/>
        <v/>
      </c>
      <c r="G10573" s="1" t="str">
        <f t="shared" si="2"/>
        <v/>
      </c>
      <c r="J10573" s="1" t="str">
        <f t="shared" si="3"/>
        <v/>
      </c>
      <c r="K10573" s="1" t="str">
        <f t="shared" si="4"/>
        <v/>
      </c>
    </row>
    <row r="10574" hidden="1">
      <c r="F10574" s="1" t="str">
        <f t="shared" si="1"/>
        <v/>
      </c>
      <c r="G10574" s="1" t="str">
        <f t="shared" si="2"/>
        <v/>
      </c>
      <c r="J10574" s="1" t="str">
        <f t="shared" si="3"/>
        <v/>
      </c>
      <c r="K10574" s="1" t="str">
        <f t="shared" si="4"/>
        <v/>
      </c>
    </row>
    <row r="10575" hidden="1">
      <c r="F10575" s="1" t="str">
        <f t="shared" si="1"/>
        <v/>
      </c>
      <c r="G10575" s="1" t="str">
        <f t="shared" si="2"/>
        <v/>
      </c>
      <c r="J10575" s="1" t="str">
        <f t="shared" si="3"/>
        <v/>
      </c>
      <c r="K10575" s="1" t="str">
        <f t="shared" si="4"/>
        <v/>
      </c>
    </row>
    <row r="10576" hidden="1">
      <c r="F10576" s="1" t="str">
        <f t="shared" si="1"/>
        <v/>
      </c>
      <c r="G10576" s="1" t="str">
        <f t="shared" si="2"/>
        <v/>
      </c>
      <c r="J10576" s="1" t="str">
        <f t="shared" si="3"/>
        <v/>
      </c>
      <c r="K10576" s="1" t="str">
        <f t="shared" si="4"/>
        <v/>
      </c>
    </row>
    <row r="10577" hidden="1">
      <c r="F10577" s="1" t="str">
        <f t="shared" si="1"/>
        <v/>
      </c>
      <c r="G10577" s="1" t="str">
        <f t="shared" si="2"/>
        <v/>
      </c>
      <c r="J10577" s="1" t="str">
        <f t="shared" si="3"/>
        <v/>
      </c>
      <c r="K10577" s="1" t="str">
        <f t="shared" si="4"/>
        <v/>
      </c>
    </row>
    <row r="10578" hidden="1">
      <c r="F10578" s="1" t="str">
        <f t="shared" si="1"/>
        <v/>
      </c>
      <c r="G10578" s="1" t="str">
        <f t="shared" si="2"/>
        <v/>
      </c>
      <c r="J10578" s="1" t="str">
        <f t="shared" si="3"/>
        <v/>
      </c>
      <c r="K10578" s="1" t="str">
        <f t="shared" si="4"/>
        <v/>
      </c>
    </row>
    <row r="10579" hidden="1">
      <c r="F10579" s="1" t="str">
        <f t="shared" si="1"/>
        <v/>
      </c>
      <c r="G10579" s="1" t="str">
        <f t="shared" si="2"/>
        <v/>
      </c>
      <c r="J10579" s="1" t="str">
        <f t="shared" si="3"/>
        <v/>
      </c>
      <c r="K10579" s="1" t="str">
        <f t="shared" si="4"/>
        <v/>
      </c>
    </row>
    <row r="10580" hidden="1">
      <c r="F10580" s="1" t="str">
        <f t="shared" si="1"/>
        <v/>
      </c>
      <c r="G10580" s="1" t="str">
        <f t="shared" si="2"/>
        <v/>
      </c>
      <c r="J10580" s="1" t="str">
        <f t="shared" si="3"/>
        <v/>
      </c>
      <c r="K10580" s="1" t="str">
        <f t="shared" si="4"/>
        <v/>
      </c>
    </row>
    <row r="10581" hidden="1">
      <c r="F10581" s="1" t="str">
        <f t="shared" si="1"/>
        <v/>
      </c>
      <c r="G10581" s="1" t="str">
        <f t="shared" si="2"/>
        <v/>
      </c>
      <c r="J10581" s="1" t="str">
        <f t="shared" si="3"/>
        <v/>
      </c>
      <c r="K10581" s="1" t="str">
        <f t="shared" si="4"/>
        <v/>
      </c>
    </row>
    <row r="10582" hidden="1">
      <c r="F10582" s="1" t="str">
        <f t="shared" si="1"/>
        <v/>
      </c>
      <c r="G10582" s="1" t="str">
        <f t="shared" si="2"/>
        <v/>
      </c>
      <c r="J10582" s="1" t="str">
        <f t="shared" si="3"/>
        <v/>
      </c>
      <c r="K10582" s="1" t="str">
        <f t="shared" si="4"/>
        <v/>
      </c>
    </row>
    <row r="10583" hidden="1">
      <c r="F10583" s="1" t="str">
        <f t="shared" si="1"/>
        <v/>
      </c>
      <c r="G10583" s="1" t="str">
        <f t="shared" si="2"/>
        <v/>
      </c>
      <c r="J10583" s="1" t="str">
        <f t="shared" si="3"/>
        <v/>
      </c>
      <c r="K10583" s="1" t="str">
        <f t="shared" si="4"/>
        <v/>
      </c>
    </row>
    <row r="10584" hidden="1">
      <c r="F10584" s="1" t="str">
        <f t="shared" si="1"/>
        <v/>
      </c>
      <c r="G10584" s="1" t="str">
        <f t="shared" si="2"/>
        <v/>
      </c>
      <c r="J10584" s="1" t="str">
        <f t="shared" si="3"/>
        <v/>
      </c>
      <c r="K10584" s="1" t="str">
        <f t="shared" si="4"/>
        <v/>
      </c>
    </row>
    <row r="10585" hidden="1">
      <c r="F10585" s="1" t="str">
        <f t="shared" si="1"/>
        <v/>
      </c>
      <c r="G10585" s="1" t="str">
        <f t="shared" si="2"/>
        <v/>
      </c>
      <c r="J10585" s="1" t="str">
        <f t="shared" si="3"/>
        <v/>
      </c>
      <c r="K10585" s="1" t="str">
        <f t="shared" si="4"/>
        <v/>
      </c>
    </row>
    <row r="10586" hidden="1">
      <c r="F10586" s="1" t="str">
        <f t="shared" si="1"/>
        <v/>
      </c>
      <c r="G10586" s="1" t="str">
        <f t="shared" si="2"/>
        <v/>
      </c>
      <c r="J10586" s="1" t="str">
        <f t="shared" si="3"/>
        <v/>
      </c>
      <c r="K10586" s="1" t="str">
        <f t="shared" si="4"/>
        <v/>
      </c>
    </row>
    <row r="10587" hidden="1">
      <c r="F10587" s="1" t="str">
        <f t="shared" si="1"/>
        <v/>
      </c>
      <c r="G10587" s="1" t="str">
        <f t="shared" si="2"/>
        <v/>
      </c>
      <c r="J10587" s="1" t="str">
        <f t="shared" si="3"/>
        <v/>
      </c>
      <c r="K10587" s="1" t="str">
        <f t="shared" si="4"/>
        <v/>
      </c>
    </row>
    <row r="10588" hidden="1">
      <c r="F10588" s="1" t="str">
        <f t="shared" si="1"/>
        <v/>
      </c>
      <c r="G10588" s="1" t="str">
        <f t="shared" si="2"/>
        <v/>
      </c>
      <c r="J10588" s="1" t="str">
        <f t="shared" si="3"/>
        <v/>
      </c>
      <c r="K10588" s="1" t="str">
        <f t="shared" si="4"/>
        <v/>
      </c>
    </row>
    <row r="10589" hidden="1">
      <c r="F10589" s="1" t="str">
        <f t="shared" si="1"/>
        <v/>
      </c>
      <c r="G10589" s="1" t="str">
        <f t="shared" si="2"/>
        <v/>
      </c>
      <c r="J10589" s="1" t="str">
        <f t="shared" si="3"/>
        <v/>
      </c>
      <c r="K10589" s="1" t="str">
        <f t="shared" si="4"/>
        <v/>
      </c>
    </row>
    <row r="10590" hidden="1">
      <c r="F10590" s="1" t="str">
        <f t="shared" si="1"/>
        <v/>
      </c>
      <c r="G10590" s="1" t="str">
        <f t="shared" si="2"/>
        <v/>
      </c>
      <c r="J10590" s="1" t="str">
        <f t="shared" si="3"/>
        <v/>
      </c>
      <c r="K10590" s="1" t="str">
        <f t="shared" si="4"/>
        <v/>
      </c>
    </row>
    <row r="10591" hidden="1">
      <c r="F10591" s="1" t="str">
        <f t="shared" si="1"/>
        <v/>
      </c>
      <c r="G10591" s="1" t="str">
        <f t="shared" si="2"/>
        <v/>
      </c>
      <c r="J10591" s="1" t="str">
        <f t="shared" si="3"/>
        <v/>
      </c>
      <c r="K10591" s="1" t="str">
        <f t="shared" si="4"/>
        <v/>
      </c>
    </row>
    <row r="10592" hidden="1">
      <c r="F10592" s="1" t="str">
        <f t="shared" si="1"/>
        <v/>
      </c>
      <c r="G10592" s="1" t="str">
        <f t="shared" si="2"/>
        <v/>
      </c>
      <c r="J10592" s="1" t="str">
        <f t="shared" si="3"/>
        <v/>
      </c>
      <c r="K10592" s="1" t="str">
        <f t="shared" si="4"/>
        <v/>
      </c>
    </row>
    <row r="10593" hidden="1">
      <c r="F10593" s="1" t="str">
        <f t="shared" si="1"/>
        <v/>
      </c>
      <c r="G10593" s="1" t="str">
        <f t="shared" si="2"/>
        <v/>
      </c>
      <c r="J10593" s="1" t="str">
        <f t="shared" si="3"/>
        <v/>
      </c>
      <c r="K10593" s="1" t="str">
        <f t="shared" si="4"/>
        <v/>
      </c>
    </row>
    <row r="10594" hidden="1">
      <c r="F10594" s="1" t="str">
        <f t="shared" si="1"/>
        <v/>
      </c>
      <c r="G10594" s="1" t="str">
        <f t="shared" si="2"/>
        <v/>
      </c>
      <c r="J10594" s="1" t="str">
        <f t="shared" si="3"/>
        <v/>
      </c>
      <c r="K10594" s="1" t="str">
        <f t="shared" si="4"/>
        <v/>
      </c>
    </row>
    <row r="10595" hidden="1">
      <c r="F10595" s="1" t="str">
        <f t="shared" si="1"/>
        <v/>
      </c>
      <c r="G10595" s="1" t="str">
        <f t="shared" si="2"/>
        <v/>
      </c>
      <c r="J10595" s="1" t="str">
        <f t="shared" si="3"/>
        <v/>
      </c>
      <c r="K10595" s="1" t="str">
        <f t="shared" si="4"/>
        <v/>
      </c>
    </row>
    <row r="10596" hidden="1">
      <c r="F10596" s="1" t="str">
        <f t="shared" si="1"/>
        <v/>
      </c>
      <c r="G10596" s="1" t="str">
        <f t="shared" si="2"/>
        <v/>
      </c>
      <c r="J10596" s="1" t="str">
        <f t="shared" si="3"/>
        <v/>
      </c>
      <c r="K10596" s="1" t="str">
        <f t="shared" si="4"/>
        <v/>
      </c>
    </row>
    <row r="10597" hidden="1">
      <c r="F10597" s="1" t="str">
        <f t="shared" si="1"/>
        <v/>
      </c>
      <c r="G10597" s="1" t="str">
        <f t="shared" si="2"/>
        <v/>
      </c>
      <c r="J10597" s="1" t="str">
        <f t="shared" si="3"/>
        <v/>
      </c>
      <c r="K10597" s="1" t="str">
        <f t="shared" si="4"/>
        <v/>
      </c>
    </row>
    <row r="10598" hidden="1">
      <c r="F10598" s="1" t="str">
        <f t="shared" si="1"/>
        <v/>
      </c>
      <c r="G10598" s="1" t="str">
        <f t="shared" si="2"/>
        <v/>
      </c>
      <c r="J10598" s="1" t="str">
        <f t="shared" si="3"/>
        <v/>
      </c>
      <c r="K10598" s="1" t="str">
        <f t="shared" si="4"/>
        <v/>
      </c>
    </row>
    <row r="10599" hidden="1">
      <c r="F10599" s="1" t="str">
        <f t="shared" si="1"/>
        <v/>
      </c>
      <c r="G10599" s="1" t="str">
        <f t="shared" si="2"/>
        <v/>
      </c>
      <c r="J10599" s="1" t="str">
        <f t="shared" si="3"/>
        <v/>
      </c>
      <c r="K10599" s="1" t="str">
        <f t="shared" si="4"/>
        <v/>
      </c>
    </row>
    <row r="10600" hidden="1">
      <c r="F10600" s="1" t="str">
        <f t="shared" si="1"/>
        <v/>
      </c>
      <c r="G10600" s="1" t="str">
        <f t="shared" si="2"/>
        <v/>
      </c>
      <c r="J10600" s="1" t="str">
        <f t="shared" si="3"/>
        <v/>
      </c>
      <c r="K10600" s="1" t="str">
        <f t="shared" si="4"/>
        <v/>
      </c>
    </row>
    <row r="10601" hidden="1">
      <c r="F10601" s="1" t="str">
        <f t="shared" si="1"/>
        <v/>
      </c>
      <c r="G10601" s="1" t="str">
        <f t="shared" si="2"/>
        <v/>
      </c>
      <c r="J10601" s="1" t="str">
        <f t="shared" si="3"/>
        <v/>
      </c>
      <c r="K10601" s="1" t="str">
        <f t="shared" si="4"/>
        <v/>
      </c>
    </row>
    <row r="10602" hidden="1">
      <c r="F10602" s="1" t="str">
        <f t="shared" si="1"/>
        <v/>
      </c>
      <c r="G10602" s="1" t="str">
        <f t="shared" si="2"/>
        <v/>
      </c>
      <c r="J10602" s="1" t="str">
        <f t="shared" si="3"/>
        <v/>
      </c>
      <c r="K10602" s="1" t="str">
        <f t="shared" si="4"/>
        <v/>
      </c>
    </row>
    <row r="10603" hidden="1">
      <c r="F10603" s="1" t="str">
        <f t="shared" si="1"/>
        <v/>
      </c>
      <c r="G10603" s="1" t="str">
        <f t="shared" si="2"/>
        <v/>
      </c>
      <c r="J10603" s="1" t="str">
        <f t="shared" si="3"/>
        <v/>
      </c>
      <c r="K10603" s="1" t="str">
        <f t="shared" si="4"/>
        <v/>
      </c>
    </row>
    <row r="10604" hidden="1">
      <c r="F10604" s="1" t="str">
        <f t="shared" si="1"/>
        <v/>
      </c>
      <c r="G10604" s="1" t="str">
        <f t="shared" si="2"/>
        <v/>
      </c>
      <c r="J10604" s="1" t="str">
        <f t="shared" si="3"/>
        <v/>
      </c>
      <c r="K10604" s="1" t="str">
        <f t="shared" si="4"/>
        <v/>
      </c>
    </row>
    <row r="10605" hidden="1">
      <c r="F10605" s="1" t="str">
        <f t="shared" si="1"/>
        <v/>
      </c>
      <c r="G10605" s="1" t="str">
        <f t="shared" si="2"/>
        <v/>
      </c>
      <c r="J10605" s="1" t="str">
        <f t="shared" si="3"/>
        <v/>
      </c>
      <c r="K10605" s="1" t="str">
        <f t="shared" si="4"/>
        <v/>
      </c>
    </row>
    <row r="10606" hidden="1">
      <c r="F10606" s="1" t="str">
        <f t="shared" si="1"/>
        <v/>
      </c>
      <c r="G10606" s="1" t="str">
        <f t="shared" si="2"/>
        <v/>
      </c>
      <c r="J10606" s="1" t="str">
        <f t="shared" si="3"/>
        <v/>
      </c>
      <c r="K10606" s="1" t="str">
        <f t="shared" si="4"/>
        <v/>
      </c>
    </row>
    <row r="10607" hidden="1">
      <c r="F10607" s="1" t="str">
        <f t="shared" si="1"/>
        <v/>
      </c>
      <c r="G10607" s="1" t="str">
        <f t="shared" si="2"/>
        <v/>
      </c>
      <c r="J10607" s="1" t="str">
        <f t="shared" si="3"/>
        <v/>
      </c>
      <c r="K10607" s="1" t="str">
        <f t="shared" si="4"/>
        <v/>
      </c>
    </row>
    <row r="10608" hidden="1">
      <c r="F10608" s="1" t="str">
        <f t="shared" si="1"/>
        <v/>
      </c>
      <c r="G10608" s="1" t="str">
        <f t="shared" si="2"/>
        <v/>
      </c>
      <c r="J10608" s="1" t="str">
        <f t="shared" si="3"/>
        <v/>
      </c>
      <c r="K10608" s="1" t="str">
        <f t="shared" si="4"/>
        <v/>
      </c>
    </row>
    <row r="10609" hidden="1">
      <c r="F10609" s="1" t="str">
        <f t="shared" si="1"/>
        <v/>
      </c>
      <c r="G10609" s="1" t="str">
        <f t="shared" si="2"/>
        <v/>
      </c>
      <c r="J10609" s="1" t="str">
        <f t="shared" si="3"/>
        <v/>
      </c>
      <c r="K10609" s="1" t="str">
        <f t="shared" si="4"/>
        <v/>
      </c>
    </row>
    <row r="10610" hidden="1">
      <c r="F10610" s="1" t="str">
        <f t="shared" si="1"/>
        <v/>
      </c>
      <c r="G10610" s="1" t="str">
        <f t="shared" si="2"/>
        <v/>
      </c>
      <c r="J10610" s="1" t="str">
        <f t="shared" si="3"/>
        <v/>
      </c>
      <c r="K10610" s="1" t="str">
        <f t="shared" si="4"/>
        <v/>
      </c>
    </row>
    <row r="10611" hidden="1">
      <c r="F10611" s="1" t="str">
        <f t="shared" si="1"/>
        <v/>
      </c>
      <c r="G10611" s="1" t="str">
        <f t="shared" si="2"/>
        <v/>
      </c>
      <c r="J10611" s="1" t="str">
        <f t="shared" si="3"/>
        <v/>
      </c>
      <c r="K10611" s="1" t="str">
        <f t="shared" si="4"/>
        <v/>
      </c>
    </row>
    <row r="10612" hidden="1">
      <c r="F10612" s="1" t="str">
        <f t="shared" si="1"/>
        <v/>
      </c>
      <c r="G10612" s="1" t="str">
        <f t="shared" si="2"/>
        <v/>
      </c>
      <c r="J10612" s="1" t="str">
        <f t="shared" si="3"/>
        <v/>
      </c>
      <c r="K10612" s="1" t="str">
        <f t="shared" si="4"/>
        <v/>
      </c>
    </row>
    <row r="10613" hidden="1">
      <c r="F10613" s="1" t="str">
        <f t="shared" si="1"/>
        <v/>
      </c>
      <c r="G10613" s="1" t="str">
        <f t="shared" si="2"/>
        <v/>
      </c>
      <c r="J10613" s="1" t="str">
        <f t="shared" si="3"/>
        <v/>
      </c>
      <c r="K10613" s="1" t="str">
        <f t="shared" si="4"/>
        <v/>
      </c>
    </row>
    <row r="10614" hidden="1">
      <c r="F10614" s="1" t="str">
        <f t="shared" si="1"/>
        <v/>
      </c>
      <c r="G10614" s="1" t="str">
        <f t="shared" si="2"/>
        <v/>
      </c>
      <c r="J10614" s="1" t="str">
        <f t="shared" si="3"/>
        <v/>
      </c>
      <c r="K10614" s="1" t="str">
        <f t="shared" si="4"/>
        <v/>
      </c>
    </row>
    <row r="10615" hidden="1">
      <c r="F10615" s="1" t="str">
        <f t="shared" si="1"/>
        <v/>
      </c>
      <c r="G10615" s="1" t="str">
        <f t="shared" si="2"/>
        <v/>
      </c>
      <c r="J10615" s="1" t="str">
        <f t="shared" si="3"/>
        <v/>
      </c>
      <c r="K10615" s="1" t="str">
        <f t="shared" si="4"/>
        <v/>
      </c>
    </row>
    <row r="10616" hidden="1">
      <c r="F10616" s="1" t="str">
        <f t="shared" si="1"/>
        <v/>
      </c>
      <c r="G10616" s="1" t="str">
        <f t="shared" si="2"/>
        <v/>
      </c>
      <c r="J10616" s="1" t="str">
        <f t="shared" si="3"/>
        <v/>
      </c>
      <c r="K10616" s="1" t="str">
        <f t="shared" si="4"/>
        <v/>
      </c>
    </row>
    <row r="10617" hidden="1">
      <c r="F10617" s="1" t="str">
        <f t="shared" si="1"/>
        <v/>
      </c>
      <c r="G10617" s="1" t="str">
        <f t="shared" si="2"/>
        <v/>
      </c>
      <c r="J10617" s="1" t="str">
        <f t="shared" si="3"/>
        <v/>
      </c>
      <c r="K10617" s="1" t="str">
        <f t="shared" si="4"/>
        <v/>
      </c>
    </row>
    <row r="10618" hidden="1">
      <c r="F10618" s="1" t="str">
        <f t="shared" si="1"/>
        <v/>
      </c>
      <c r="G10618" s="1" t="str">
        <f t="shared" si="2"/>
        <v/>
      </c>
      <c r="J10618" s="1" t="str">
        <f t="shared" si="3"/>
        <v/>
      </c>
      <c r="K10618" s="1" t="str">
        <f t="shared" si="4"/>
        <v/>
      </c>
    </row>
    <row r="10619" hidden="1">
      <c r="F10619" s="1" t="str">
        <f t="shared" si="1"/>
        <v/>
      </c>
      <c r="G10619" s="1" t="str">
        <f t="shared" si="2"/>
        <v/>
      </c>
      <c r="J10619" s="1" t="str">
        <f t="shared" si="3"/>
        <v/>
      </c>
      <c r="K10619" s="1" t="str">
        <f t="shared" si="4"/>
        <v/>
      </c>
    </row>
    <row r="10620" hidden="1">
      <c r="F10620" s="1" t="str">
        <f t="shared" si="1"/>
        <v/>
      </c>
      <c r="G10620" s="1" t="str">
        <f t="shared" si="2"/>
        <v/>
      </c>
      <c r="J10620" s="1" t="str">
        <f t="shared" si="3"/>
        <v/>
      </c>
      <c r="K10620" s="1" t="str">
        <f t="shared" si="4"/>
        <v/>
      </c>
    </row>
    <row r="10621" hidden="1">
      <c r="F10621" s="1" t="str">
        <f t="shared" si="1"/>
        <v/>
      </c>
      <c r="G10621" s="1" t="str">
        <f t="shared" si="2"/>
        <v/>
      </c>
      <c r="J10621" s="1" t="str">
        <f t="shared" si="3"/>
        <v/>
      </c>
      <c r="K10621" s="1" t="str">
        <f t="shared" si="4"/>
        <v/>
      </c>
    </row>
    <row r="10622" hidden="1">
      <c r="F10622" s="1" t="str">
        <f t="shared" si="1"/>
        <v/>
      </c>
      <c r="G10622" s="1" t="str">
        <f t="shared" si="2"/>
        <v/>
      </c>
      <c r="J10622" s="1" t="str">
        <f t="shared" si="3"/>
        <v/>
      </c>
      <c r="K10622" s="1" t="str">
        <f t="shared" si="4"/>
        <v/>
      </c>
    </row>
    <row r="10623" hidden="1">
      <c r="F10623" s="1" t="str">
        <f t="shared" si="1"/>
        <v/>
      </c>
      <c r="G10623" s="1" t="str">
        <f t="shared" si="2"/>
        <v/>
      </c>
      <c r="J10623" s="1" t="str">
        <f t="shared" si="3"/>
        <v/>
      </c>
      <c r="K10623" s="1" t="str">
        <f t="shared" si="4"/>
        <v/>
      </c>
    </row>
    <row r="10624" hidden="1">
      <c r="F10624" s="1" t="str">
        <f t="shared" si="1"/>
        <v/>
      </c>
      <c r="G10624" s="1" t="str">
        <f t="shared" si="2"/>
        <v/>
      </c>
      <c r="J10624" s="1" t="str">
        <f t="shared" si="3"/>
        <v/>
      </c>
      <c r="K10624" s="1" t="str">
        <f t="shared" si="4"/>
        <v/>
      </c>
    </row>
    <row r="10625" hidden="1">
      <c r="F10625" s="1" t="str">
        <f t="shared" si="1"/>
        <v/>
      </c>
      <c r="G10625" s="1" t="str">
        <f t="shared" si="2"/>
        <v/>
      </c>
      <c r="J10625" s="1" t="str">
        <f t="shared" si="3"/>
        <v/>
      </c>
      <c r="K10625" s="1" t="str">
        <f t="shared" si="4"/>
        <v/>
      </c>
    </row>
    <row r="10626" hidden="1">
      <c r="F10626" s="1" t="str">
        <f t="shared" si="1"/>
        <v/>
      </c>
      <c r="G10626" s="1" t="str">
        <f t="shared" si="2"/>
        <v/>
      </c>
      <c r="J10626" s="1" t="str">
        <f t="shared" si="3"/>
        <v/>
      </c>
      <c r="K10626" s="1" t="str">
        <f t="shared" si="4"/>
        <v/>
      </c>
    </row>
    <row r="10627" hidden="1">
      <c r="F10627" s="1" t="str">
        <f t="shared" si="1"/>
        <v/>
      </c>
      <c r="G10627" s="1" t="str">
        <f t="shared" si="2"/>
        <v/>
      </c>
      <c r="J10627" s="1" t="str">
        <f t="shared" si="3"/>
        <v/>
      </c>
      <c r="K10627" s="1" t="str">
        <f t="shared" si="4"/>
        <v/>
      </c>
    </row>
    <row r="10628" hidden="1">
      <c r="F10628" s="1" t="str">
        <f t="shared" si="1"/>
        <v/>
      </c>
      <c r="G10628" s="1" t="str">
        <f t="shared" si="2"/>
        <v/>
      </c>
      <c r="J10628" s="1" t="str">
        <f t="shared" si="3"/>
        <v/>
      </c>
      <c r="K10628" s="1" t="str">
        <f t="shared" si="4"/>
        <v/>
      </c>
    </row>
    <row r="10629" hidden="1">
      <c r="F10629" s="1" t="str">
        <f t="shared" si="1"/>
        <v/>
      </c>
      <c r="G10629" s="1" t="str">
        <f t="shared" si="2"/>
        <v/>
      </c>
      <c r="J10629" s="1" t="str">
        <f t="shared" si="3"/>
        <v/>
      </c>
      <c r="K10629" s="1" t="str">
        <f t="shared" si="4"/>
        <v/>
      </c>
    </row>
    <row r="10630" hidden="1">
      <c r="F10630" s="1" t="str">
        <f t="shared" si="1"/>
        <v/>
      </c>
      <c r="G10630" s="1" t="str">
        <f t="shared" si="2"/>
        <v/>
      </c>
      <c r="J10630" s="1" t="str">
        <f t="shared" si="3"/>
        <v/>
      </c>
      <c r="K10630" s="1" t="str">
        <f t="shared" si="4"/>
        <v/>
      </c>
    </row>
    <row r="10631" hidden="1">
      <c r="F10631" s="1" t="str">
        <f t="shared" si="1"/>
        <v/>
      </c>
      <c r="G10631" s="1" t="str">
        <f t="shared" si="2"/>
        <v/>
      </c>
      <c r="J10631" s="1" t="str">
        <f t="shared" si="3"/>
        <v/>
      </c>
      <c r="K10631" s="1" t="str">
        <f t="shared" si="4"/>
        <v/>
      </c>
    </row>
    <row r="10632" hidden="1">
      <c r="F10632" s="1" t="str">
        <f t="shared" si="1"/>
        <v/>
      </c>
      <c r="G10632" s="1" t="str">
        <f t="shared" si="2"/>
        <v/>
      </c>
      <c r="J10632" s="1" t="str">
        <f t="shared" si="3"/>
        <v/>
      </c>
      <c r="K10632" s="1" t="str">
        <f t="shared" si="4"/>
        <v/>
      </c>
    </row>
    <row r="10633" hidden="1">
      <c r="F10633" s="1" t="str">
        <f t="shared" si="1"/>
        <v/>
      </c>
      <c r="G10633" s="1" t="str">
        <f t="shared" si="2"/>
        <v/>
      </c>
      <c r="J10633" s="1" t="str">
        <f t="shared" si="3"/>
        <v/>
      </c>
      <c r="K10633" s="1" t="str">
        <f t="shared" si="4"/>
        <v/>
      </c>
    </row>
    <row r="10634" hidden="1">
      <c r="F10634" s="1" t="str">
        <f t="shared" si="1"/>
        <v/>
      </c>
      <c r="G10634" s="1" t="str">
        <f t="shared" si="2"/>
        <v/>
      </c>
      <c r="J10634" s="1" t="str">
        <f t="shared" si="3"/>
        <v/>
      </c>
      <c r="K10634" s="1" t="str">
        <f t="shared" si="4"/>
        <v/>
      </c>
    </row>
    <row r="10635" hidden="1">
      <c r="F10635" s="1" t="str">
        <f t="shared" si="1"/>
        <v/>
      </c>
      <c r="G10635" s="1" t="str">
        <f t="shared" si="2"/>
        <v/>
      </c>
      <c r="J10635" s="1" t="str">
        <f t="shared" si="3"/>
        <v/>
      </c>
      <c r="K10635" s="1" t="str">
        <f t="shared" si="4"/>
        <v/>
      </c>
    </row>
    <row r="10636" hidden="1">
      <c r="F10636" s="1" t="str">
        <f t="shared" si="1"/>
        <v/>
      </c>
      <c r="G10636" s="1" t="str">
        <f t="shared" si="2"/>
        <v/>
      </c>
      <c r="J10636" s="1" t="str">
        <f t="shared" si="3"/>
        <v/>
      </c>
      <c r="K10636" s="1" t="str">
        <f t="shared" si="4"/>
        <v/>
      </c>
    </row>
    <row r="10637" hidden="1">
      <c r="F10637" s="1" t="str">
        <f t="shared" si="1"/>
        <v/>
      </c>
      <c r="G10637" s="1" t="str">
        <f t="shared" si="2"/>
        <v/>
      </c>
      <c r="J10637" s="1" t="str">
        <f t="shared" si="3"/>
        <v/>
      </c>
      <c r="K10637" s="1" t="str">
        <f t="shared" si="4"/>
        <v/>
      </c>
    </row>
    <row r="10638" hidden="1">
      <c r="F10638" s="1" t="str">
        <f t="shared" si="1"/>
        <v/>
      </c>
      <c r="G10638" s="1" t="str">
        <f t="shared" si="2"/>
        <v/>
      </c>
      <c r="J10638" s="1" t="str">
        <f t="shared" si="3"/>
        <v/>
      </c>
      <c r="K10638" s="1" t="str">
        <f t="shared" si="4"/>
        <v/>
      </c>
    </row>
    <row r="10639" hidden="1">
      <c r="F10639" s="1" t="str">
        <f t="shared" si="1"/>
        <v/>
      </c>
      <c r="G10639" s="1" t="str">
        <f t="shared" si="2"/>
        <v/>
      </c>
      <c r="J10639" s="1" t="str">
        <f t="shared" si="3"/>
        <v/>
      </c>
      <c r="K10639" s="1" t="str">
        <f t="shared" si="4"/>
        <v/>
      </c>
    </row>
    <row r="10640" hidden="1">
      <c r="F10640" s="1" t="str">
        <f t="shared" si="1"/>
        <v/>
      </c>
      <c r="G10640" s="1" t="str">
        <f t="shared" si="2"/>
        <v/>
      </c>
      <c r="J10640" s="1" t="str">
        <f t="shared" si="3"/>
        <v/>
      </c>
      <c r="K10640" s="1" t="str">
        <f t="shared" si="4"/>
        <v/>
      </c>
    </row>
    <row r="10641" hidden="1">
      <c r="F10641" s="1" t="str">
        <f t="shared" si="1"/>
        <v/>
      </c>
      <c r="G10641" s="1" t="str">
        <f t="shared" si="2"/>
        <v/>
      </c>
      <c r="J10641" s="1" t="str">
        <f t="shared" si="3"/>
        <v/>
      </c>
      <c r="K10641" s="1" t="str">
        <f t="shared" si="4"/>
        <v/>
      </c>
    </row>
    <row r="10642" hidden="1">
      <c r="F10642" s="1" t="str">
        <f t="shared" si="1"/>
        <v/>
      </c>
      <c r="G10642" s="1" t="str">
        <f t="shared" si="2"/>
        <v/>
      </c>
      <c r="J10642" s="1" t="str">
        <f t="shared" si="3"/>
        <v/>
      </c>
      <c r="K10642" s="1" t="str">
        <f t="shared" si="4"/>
        <v/>
      </c>
    </row>
    <row r="10643" hidden="1">
      <c r="F10643" s="1" t="str">
        <f t="shared" si="1"/>
        <v/>
      </c>
      <c r="G10643" s="1" t="str">
        <f t="shared" si="2"/>
        <v/>
      </c>
      <c r="J10643" s="1" t="str">
        <f t="shared" si="3"/>
        <v/>
      </c>
      <c r="K10643" s="1" t="str">
        <f t="shared" si="4"/>
        <v/>
      </c>
    </row>
    <row r="10644" hidden="1">
      <c r="F10644" s="1" t="str">
        <f t="shared" si="1"/>
        <v/>
      </c>
      <c r="G10644" s="1" t="str">
        <f t="shared" si="2"/>
        <v/>
      </c>
      <c r="J10644" s="1" t="str">
        <f t="shared" si="3"/>
        <v/>
      </c>
      <c r="K10644" s="1" t="str">
        <f t="shared" si="4"/>
        <v/>
      </c>
    </row>
    <row r="10645" hidden="1">
      <c r="F10645" s="1" t="str">
        <f t="shared" si="1"/>
        <v/>
      </c>
      <c r="G10645" s="1" t="str">
        <f t="shared" si="2"/>
        <v/>
      </c>
      <c r="J10645" s="1" t="str">
        <f t="shared" si="3"/>
        <v/>
      </c>
      <c r="K10645" s="1" t="str">
        <f t="shared" si="4"/>
        <v/>
      </c>
    </row>
    <row r="10646" hidden="1">
      <c r="F10646" s="1" t="str">
        <f t="shared" si="1"/>
        <v/>
      </c>
      <c r="G10646" s="1" t="str">
        <f t="shared" si="2"/>
        <v/>
      </c>
      <c r="J10646" s="1" t="str">
        <f t="shared" si="3"/>
        <v/>
      </c>
      <c r="K10646" s="1" t="str">
        <f t="shared" si="4"/>
        <v/>
      </c>
    </row>
    <row r="10647" hidden="1">
      <c r="F10647" s="1" t="str">
        <f t="shared" si="1"/>
        <v/>
      </c>
      <c r="G10647" s="1" t="str">
        <f t="shared" si="2"/>
        <v/>
      </c>
      <c r="J10647" s="1" t="str">
        <f t="shared" si="3"/>
        <v/>
      </c>
      <c r="K10647" s="1" t="str">
        <f t="shared" si="4"/>
        <v/>
      </c>
    </row>
    <row r="10648" hidden="1">
      <c r="F10648" s="1" t="str">
        <f t="shared" si="1"/>
        <v/>
      </c>
      <c r="G10648" s="1" t="str">
        <f t="shared" si="2"/>
        <v/>
      </c>
      <c r="J10648" s="1" t="str">
        <f t="shared" si="3"/>
        <v/>
      </c>
      <c r="K10648" s="1" t="str">
        <f t="shared" si="4"/>
        <v/>
      </c>
    </row>
    <row r="10649" hidden="1">
      <c r="F10649" s="1" t="str">
        <f t="shared" si="1"/>
        <v/>
      </c>
      <c r="G10649" s="1" t="str">
        <f t="shared" si="2"/>
        <v/>
      </c>
      <c r="J10649" s="1" t="str">
        <f t="shared" si="3"/>
        <v/>
      </c>
      <c r="K10649" s="1" t="str">
        <f t="shared" si="4"/>
        <v/>
      </c>
    </row>
    <row r="10650" hidden="1">
      <c r="F10650" s="1" t="str">
        <f t="shared" si="1"/>
        <v/>
      </c>
      <c r="G10650" s="1" t="str">
        <f t="shared" si="2"/>
        <v/>
      </c>
      <c r="J10650" s="1" t="str">
        <f t="shared" si="3"/>
        <v/>
      </c>
      <c r="K10650" s="1" t="str">
        <f t="shared" si="4"/>
        <v/>
      </c>
    </row>
    <row r="10651" hidden="1">
      <c r="F10651" s="1" t="str">
        <f t="shared" si="1"/>
        <v/>
      </c>
      <c r="G10651" s="1" t="str">
        <f t="shared" si="2"/>
        <v/>
      </c>
      <c r="J10651" s="1" t="str">
        <f t="shared" si="3"/>
        <v/>
      </c>
      <c r="K10651" s="1" t="str">
        <f t="shared" si="4"/>
        <v/>
      </c>
    </row>
    <row r="10652" hidden="1">
      <c r="F10652" s="1" t="str">
        <f t="shared" si="1"/>
        <v/>
      </c>
      <c r="G10652" s="1" t="str">
        <f t="shared" si="2"/>
        <v/>
      </c>
      <c r="J10652" s="1" t="str">
        <f t="shared" si="3"/>
        <v/>
      </c>
      <c r="K10652" s="1" t="str">
        <f t="shared" si="4"/>
        <v/>
      </c>
    </row>
    <row r="10653" hidden="1">
      <c r="F10653" s="1" t="str">
        <f t="shared" si="1"/>
        <v/>
      </c>
      <c r="G10653" s="1" t="str">
        <f t="shared" si="2"/>
        <v/>
      </c>
      <c r="J10653" s="1" t="str">
        <f t="shared" si="3"/>
        <v/>
      </c>
      <c r="K10653" s="1" t="str">
        <f t="shared" si="4"/>
        <v/>
      </c>
    </row>
    <row r="10654" hidden="1">
      <c r="F10654" s="1" t="str">
        <f t="shared" si="1"/>
        <v/>
      </c>
      <c r="G10654" s="1" t="str">
        <f t="shared" si="2"/>
        <v/>
      </c>
      <c r="J10654" s="1" t="str">
        <f t="shared" si="3"/>
        <v/>
      </c>
      <c r="K10654" s="1" t="str">
        <f t="shared" si="4"/>
        <v/>
      </c>
    </row>
    <row r="10655" hidden="1">
      <c r="F10655" s="1" t="str">
        <f t="shared" si="1"/>
        <v/>
      </c>
      <c r="G10655" s="1" t="str">
        <f t="shared" si="2"/>
        <v/>
      </c>
      <c r="J10655" s="1" t="str">
        <f t="shared" si="3"/>
        <v/>
      </c>
      <c r="K10655" s="1" t="str">
        <f t="shared" si="4"/>
        <v/>
      </c>
    </row>
    <row r="10656" hidden="1">
      <c r="F10656" s="1" t="str">
        <f t="shared" si="1"/>
        <v/>
      </c>
      <c r="G10656" s="1" t="str">
        <f t="shared" si="2"/>
        <v/>
      </c>
      <c r="J10656" s="1" t="str">
        <f t="shared" si="3"/>
        <v/>
      </c>
      <c r="K10656" s="1" t="str">
        <f t="shared" si="4"/>
        <v/>
      </c>
    </row>
    <row r="10657" hidden="1">
      <c r="F10657" s="1" t="str">
        <f t="shared" si="1"/>
        <v/>
      </c>
      <c r="G10657" s="1" t="str">
        <f t="shared" si="2"/>
        <v/>
      </c>
      <c r="J10657" s="1" t="str">
        <f t="shared" si="3"/>
        <v/>
      </c>
      <c r="K10657" s="1" t="str">
        <f t="shared" si="4"/>
        <v/>
      </c>
    </row>
    <row r="10658" hidden="1">
      <c r="F10658" s="1" t="str">
        <f t="shared" si="1"/>
        <v/>
      </c>
      <c r="G10658" s="1" t="str">
        <f t="shared" si="2"/>
        <v/>
      </c>
      <c r="J10658" s="1" t="str">
        <f t="shared" si="3"/>
        <v/>
      </c>
      <c r="K10658" s="1" t="str">
        <f t="shared" si="4"/>
        <v/>
      </c>
    </row>
    <row r="10659" hidden="1">
      <c r="F10659" s="1" t="str">
        <f t="shared" si="1"/>
        <v/>
      </c>
      <c r="G10659" s="1" t="str">
        <f t="shared" si="2"/>
        <v/>
      </c>
      <c r="J10659" s="1" t="str">
        <f t="shared" si="3"/>
        <v/>
      </c>
      <c r="K10659" s="1" t="str">
        <f t="shared" si="4"/>
        <v/>
      </c>
    </row>
    <row r="10660" hidden="1">
      <c r="F10660" s="1" t="str">
        <f t="shared" si="1"/>
        <v/>
      </c>
      <c r="G10660" s="1" t="str">
        <f t="shared" si="2"/>
        <v/>
      </c>
      <c r="J10660" s="1" t="str">
        <f t="shared" si="3"/>
        <v/>
      </c>
      <c r="K10660" s="1" t="str">
        <f t="shared" si="4"/>
        <v/>
      </c>
    </row>
    <row r="10661" hidden="1">
      <c r="F10661" s="1" t="str">
        <f t="shared" si="1"/>
        <v/>
      </c>
      <c r="G10661" s="1" t="str">
        <f t="shared" si="2"/>
        <v/>
      </c>
      <c r="J10661" s="1" t="str">
        <f t="shared" si="3"/>
        <v/>
      </c>
      <c r="K10661" s="1" t="str">
        <f t="shared" si="4"/>
        <v/>
      </c>
    </row>
    <row r="10662" hidden="1">
      <c r="F10662" s="1" t="str">
        <f t="shared" si="1"/>
        <v/>
      </c>
      <c r="G10662" s="1" t="str">
        <f t="shared" si="2"/>
        <v/>
      </c>
      <c r="J10662" s="1" t="str">
        <f t="shared" si="3"/>
        <v/>
      </c>
      <c r="K10662" s="1" t="str">
        <f t="shared" si="4"/>
        <v/>
      </c>
    </row>
    <row r="10663" hidden="1">
      <c r="F10663" s="1" t="str">
        <f t="shared" si="1"/>
        <v/>
      </c>
      <c r="G10663" s="1" t="str">
        <f t="shared" si="2"/>
        <v/>
      </c>
      <c r="J10663" s="1" t="str">
        <f t="shared" si="3"/>
        <v/>
      </c>
      <c r="K10663" s="1" t="str">
        <f t="shared" si="4"/>
        <v/>
      </c>
    </row>
    <row r="10664" hidden="1">
      <c r="F10664" s="1" t="str">
        <f t="shared" si="1"/>
        <v/>
      </c>
      <c r="G10664" s="1" t="str">
        <f t="shared" si="2"/>
        <v/>
      </c>
      <c r="J10664" s="1" t="str">
        <f t="shared" si="3"/>
        <v/>
      </c>
      <c r="K10664" s="1" t="str">
        <f t="shared" si="4"/>
        <v/>
      </c>
    </row>
    <row r="10665" hidden="1">
      <c r="F10665" s="1" t="str">
        <f t="shared" si="1"/>
        <v/>
      </c>
      <c r="G10665" s="1" t="str">
        <f t="shared" si="2"/>
        <v/>
      </c>
      <c r="J10665" s="1" t="str">
        <f t="shared" si="3"/>
        <v/>
      </c>
      <c r="K10665" s="1" t="str">
        <f t="shared" si="4"/>
        <v/>
      </c>
    </row>
    <row r="10666" hidden="1">
      <c r="F10666" s="1" t="str">
        <f t="shared" si="1"/>
        <v/>
      </c>
      <c r="G10666" s="1" t="str">
        <f t="shared" si="2"/>
        <v/>
      </c>
      <c r="J10666" s="1" t="str">
        <f t="shared" si="3"/>
        <v/>
      </c>
      <c r="K10666" s="1" t="str">
        <f t="shared" si="4"/>
        <v/>
      </c>
    </row>
    <row r="10667" hidden="1">
      <c r="F10667" s="1" t="str">
        <f t="shared" si="1"/>
        <v/>
      </c>
      <c r="G10667" s="1" t="str">
        <f t="shared" si="2"/>
        <v/>
      </c>
      <c r="J10667" s="1" t="str">
        <f t="shared" si="3"/>
        <v/>
      </c>
      <c r="K10667" s="1" t="str">
        <f t="shared" si="4"/>
        <v/>
      </c>
    </row>
    <row r="10668" hidden="1">
      <c r="F10668" s="1" t="str">
        <f t="shared" si="1"/>
        <v/>
      </c>
      <c r="G10668" s="1" t="str">
        <f t="shared" si="2"/>
        <v/>
      </c>
      <c r="J10668" s="1" t="str">
        <f t="shared" si="3"/>
        <v/>
      </c>
      <c r="K10668" s="1" t="str">
        <f t="shared" si="4"/>
        <v/>
      </c>
    </row>
    <row r="10669" hidden="1">
      <c r="F10669" s="1" t="str">
        <f t="shared" si="1"/>
        <v/>
      </c>
      <c r="G10669" s="1" t="str">
        <f t="shared" si="2"/>
        <v/>
      </c>
      <c r="J10669" s="1" t="str">
        <f t="shared" si="3"/>
        <v/>
      </c>
      <c r="K10669" s="1" t="str">
        <f t="shared" si="4"/>
        <v/>
      </c>
    </row>
    <row r="10670" hidden="1">
      <c r="F10670" s="1" t="str">
        <f t="shared" si="1"/>
        <v/>
      </c>
      <c r="G10670" s="1" t="str">
        <f t="shared" si="2"/>
        <v/>
      </c>
      <c r="J10670" s="1" t="str">
        <f t="shared" si="3"/>
        <v/>
      </c>
      <c r="K10670" s="1" t="str">
        <f t="shared" si="4"/>
        <v/>
      </c>
    </row>
    <row r="10671" hidden="1">
      <c r="F10671" s="1" t="str">
        <f t="shared" si="1"/>
        <v/>
      </c>
      <c r="G10671" s="1" t="str">
        <f t="shared" si="2"/>
        <v/>
      </c>
      <c r="J10671" s="1" t="str">
        <f t="shared" si="3"/>
        <v/>
      </c>
      <c r="K10671" s="1" t="str">
        <f t="shared" si="4"/>
        <v/>
      </c>
    </row>
    <row r="10672" hidden="1">
      <c r="F10672" s="1" t="str">
        <f t="shared" si="1"/>
        <v/>
      </c>
      <c r="G10672" s="1" t="str">
        <f t="shared" si="2"/>
        <v/>
      </c>
      <c r="J10672" s="1" t="str">
        <f t="shared" si="3"/>
        <v/>
      </c>
      <c r="K10672" s="1" t="str">
        <f t="shared" si="4"/>
        <v/>
      </c>
    </row>
    <row r="10673" hidden="1">
      <c r="F10673" s="1" t="str">
        <f t="shared" si="1"/>
        <v/>
      </c>
      <c r="G10673" s="1" t="str">
        <f t="shared" si="2"/>
        <v/>
      </c>
      <c r="J10673" s="1" t="str">
        <f t="shared" si="3"/>
        <v/>
      </c>
      <c r="K10673" s="1" t="str">
        <f t="shared" si="4"/>
        <v/>
      </c>
    </row>
    <row r="10674" hidden="1">
      <c r="F10674" s="1" t="str">
        <f t="shared" si="1"/>
        <v/>
      </c>
      <c r="G10674" s="1" t="str">
        <f t="shared" si="2"/>
        <v/>
      </c>
      <c r="J10674" s="1" t="str">
        <f t="shared" si="3"/>
        <v/>
      </c>
      <c r="K10674" s="1" t="str">
        <f t="shared" si="4"/>
        <v/>
      </c>
    </row>
    <row r="10675" hidden="1">
      <c r="F10675" s="1" t="str">
        <f t="shared" si="1"/>
        <v/>
      </c>
      <c r="G10675" s="1" t="str">
        <f t="shared" si="2"/>
        <v/>
      </c>
      <c r="J10675" s="1" t="str">
        <f t="shared" si="3"/>
        <v/>
      </c>
      <c r="K10675" s="1" t="str">
        <f t="shared" si="4"/>
        <v/>
      </c>
    </row>
    <row r="10676" hidden="1">
      <c r="F10676" s="1" t="str">
        <f t="shared" si="1"/>
        <v/>
      </c>
      <c r="G10676" s="1" t="str">
        <f t="shared" si="2"/>
        <v/>
      </c>
      <c r="J10676" s="1" t="str">
        <f t="shared" si="3"/>
        <v/>
      </c>
      <c r="K10676" s="1" t="str">
        <f t="shared" si="4"/>
        <v/>
      </c>
    </row>
    <row r="10677" hidden="1">
      <c r="F10677" s="1" t="str">
        <f t="shared" si="1"/>
        <v/>
      </c>
      <c r="G10677" s="1" t="str">
        <f t="shared" si="2"/>
        <v/>
      </c>
      <c r="J10677" s="1" t="str">
        <f t="shared" si="3"/>
        <v/>
      </c>
      <c r="K10677" s="1" t="str">
        <f t="shared" si="4"/>
        <v/>
      </c>
    </row>
    <row r="10678" hidden="1">
      <c r="F10678" s="1" t="str">
        <f t="shared" si="1"/>
        <v/>
      </c>
      <c r="G10678" s="1" t="str">
        <f t="shared" si="2"/>
        <v/>
      </c>
      <c r="J10678" s="1" t="str">
        <f t="shared" si="3"/>
        <v/>
      </c>
      <c r="K10678" s="1" t="str">
        <f t="shared" si="4"/>
        <v/>
      </c>
    </row>
    <row r="10679" hidden="1">
      <c r="F10679" s="1" t="str">
        <f t="shared" si="1"/>
        <v/>
      </c>
      <c r="G10679" s="1" t="str">
        <f t="shared" si="2"/>
        <v/>
      </c>
      <c r="J10679" s="1" t="str">
        <f t="shared" si="3"/>
        <v/>
      </c>
      <c r="K10679" s="1" t="str">
        <f t="shared" si="4"/>
        <v/>
      </c>
    </row>
    <row r="10680" hidden="1">
      <c r="F10680" s="1" t="str">
        <f t="shared" si="1"/>
        <v/>
      </c>
      <c r="G10680" s="1" t="str">
        <f t="shared" si="2"/>
        <v/>
      </c>
      <c r="J10680" s="1" t="str">
        <f t="shared" si="3"/>
        <v/>
      </c>
      <c r="K10680" s="1" t="str">
        <f t="shared" si="4"/>
        <v/>
      </c>
    </row>
    <row r="10681" hidden="1">
      <c r="F10681" s="1" t="str">
        <f t="shared" si="1"/>
        <v/>
      </c>
      <c r="G10681" s="1" t="str">
        <f t="shared" si="2"/>
        <v/>
      </c>
      <c r="J10681" s="1" t="str">
        <f t="shared" si="3"/>
        <v/>
      </c>
      <c r="K10681" s="1" t="str">
        <f t="shared" si="4"/>
        <v/>
      </c>
    </row>
    <row r="10682" hidden="1">
      <c r="F10682" s="1" t="str">
        <f t="shared" si="1"/>
        <v/>
      </c>
      <c r="G10682" s="1" t="str">
        <f t="shared" si="2"/>
        <v/>
      </c>
      <c r="J10682" s="1" t="str">
        <f t="shared" si="3"/>
        <v/>
      </c>
      <c r="K10682" s="1" t="str">
        <f t="shared" si="4"/>
        <v/>
      </c>
    </row>
    <row r="10683" hidden="1">
      <c r="F10683" s="1" t="str">
        <f t="shared" si="1"/>
        <v/>
      </c>
      <c r="G10683" s="1" t="str">
        <f t="shared" si="2"/>
        <v/>
      </c>
      <c r="J10683" s="1" t="str">
        <f t="shared" si="3"/>
        <v/>
      </c>
      <c r="K10683" s="1" t="str">
        <f t="shared" si="4"/>
        <v/>
      </c>
    </row>
    <row r="10684" hidden="1">
      <c r="F10684" s="1" t="str">
        <f t="shared" si="1"/>
        <v/>
      </c>
      <c r="G10684" s="1" t="str">
        <f t="shared" si="2"/>
        <v/>
      </c>
      <c r="J10684" s="1" t="str">
        <f t="shared" si="3"/>
        <v/>
      </c>
      <c r="K10684" s="1" t="str">
        <f t="shared" si="4"/>
        <v/>
      </c>
    </row>
    <row r="10685" hidden="1">
      <c r="F10685" s="1" t="str">
        <f t="shared" si="1"/>
        <v/>
      </c>
      <c r="G10685" s="1" t="str">
        <f t="shared" si="2"/>
        <v/>
      </c>
      <c r="J10685" s="1" t="str">
        <f t="shared" si="3"/>
        <v/>
      </c>
      <c r="K10685" s="1" t="str">
        <f t="shared" si="4"/>
        <v/>
      </c>
    </row>
    <row r="10686" hidden="1">
      <c r="F10686" s="1" t="str">
        <f t="shared" si="1"/>
        <v/>
      </c>
      <c r="G10686" s="1" t="str">
        <f t="shared" si="2"/>
        <v/>
      </c>
      <c r="J10686" s="1" t="str">
        <f t="shared" si="3"/>
        <v/>
      </c>
      <c r="K10686" s="1" t="str">
        <f t="shared" si="4"/>
        <v/>
      </c>
    </row>
    <row r="10687" hidden="1">
      <c r="F10687" s="1" t="str">
        <f t="shared" si="1"/>
        <v/>
      </c>
      <c r="G10687" s="1" t="str">
        <f t="shared" si="2"/>
        <v/>
      </c>
      <c r="J10687" s="1" t="str">
        <f t="shared" si="3"/>
        <v/>
      </c>
      <c r="K10687" s="1" t="str">
        <f t="shared" si="4"/>
        <v/>
      </c>
    </row>
    <row r="10688" hidden="1">
      <c r="F10688" s="1" t="str">
        <f t="shared" si="1"/>
        <v/>
      </c>
      <c r="G10688" s="1" t="str">
        <f t="shared" si="2"/>
        <v/>
      </c>
      <c r="J10688" s="1" t="str">
        <f t="shared" si="3"/>
        <v/>
      </c>
      <c r="K10688" s="1" t="str">
        <f t="shared" si="4"/>
        <v/>
      </c>
    </row>
    <row r="10689" hidden="1">
      <c r="F10689" s="1" t="str">
        <f t="shared" si="1"/>
        <v/>
      </c>
      <c r="G10689" s="1" t="str">
        <f t="shared" si="2"/>
        <v/>
      </c>
      <c r="J10689" s="1" t="str">
        <f t="shared" si="3"/>
        <v/>
      </c>
      <c r="K10689" s="1" t="str">
        <f t="shared" si="4"/>
        <v/>
      </c>
    </row>
    <row r="10690" hidden="1">
      <c r="F10690" s="1" t="str">
        <f t="shared" si="1"/>
        <v/>
      </c>
      <c r="G10690" s="1" t="str">
        <f t="shared" si="2"/>
        <v/>
      </c>
      <c r="J10690" s="1" t="str">
        <f t="shared" si="3"/>
        <v/>
      </c>
      <c r="K10690" s="1" t="str">
        <f t="shared" si="4"/>
        <v/>
      </c>
    </row>
    <row r="10691" hidden="1">
      <c r="F10691" s="1" t="str">
        <f t="shared" si="1"/>
        <v/>
      </c>
      <c r="G10691" s="1" t="str">
        <f t="shared" si="2"/>
        <v/>
      </c>
      <c r="J10691" s="1" t="str">
        <f t="shared" si="3"/>
        <v/>
      </c>
      <c r="K10691" s="1" t="str">
        <f t="shared" si="4"/>
        <v/>
      </c>
    </row>
    <row r="10692" hidden="1">
      <c r="F10692" s="1" t="str">
        <f t="shared" si="1"/>
        <v/>
      </c>
      <c r="G10692" s="1" t="str">
        <f t="shared" si="2"/>
        <v/>
      </c>
      <c r="J10692" s="1" t="str">
        <f t="shared" si="3"/>
        <v/>
      </c>
      <c r="K10692" s="1" t="str">
        <f t="shared" si="4"/>
        <v/>
      </c>
    </row>
    <row r="10693" hidden="1">
      <c r="F10693" s="1" t="str">
        <f t="shared" si="1"/>
        <v/>
      </c>
      <c r="G10693" s="1" t="str">
        <f t="shared" si="2"/>
        <v/>
      </c>
      <c r="J10693" s="1" t="str">
        <f t="shared" si="3"/>
        <v/>
      </c>
      <c r="K10693" s="1" t="str">
        <f t="shared" si="4"/>
        <v/>
      </c>
    </row>
    <row r="10694" hidden="1">
      <c r="F10694" s="1" t="str">
        <f t="shared" si="1"/>
        <v/>
      </c>
      <c r="G10694" s="1" t="str">
        <f t="shared" si="2"/>
        <v/>
      </c>
      <c r="J10694" s="1" t="str">
        <f t="shared" si="3"/>
        <v/>
      </c>
      <c r="K10694" s="1" t="str">
        <f t="shared" si="4"/>
        <v/>
      </c>
    </row>
    <row r="10695" hidden="1">
      <c r="F10695" s="1" t="str">
        <f t="shared" si="1"/>
        <v/>
      </c>
      <c r="G10695" s="1" t="str">
        <f t="shared" si="2"/>
        <v/>
      </c>
      <c r="J10695" s="1" t="str">
        <f t="shared" si="3"/>
        <v/>
      </c>
      <c r="K10695" s="1" t="str">
        <f t="shared" si="4"/>
        <v/>
      </c>
    </row>
    <row r="10696" hidden="1">
      <c r="F10696" s="1" t="str">
        <f t="shared" si="1"/>
        <v/>
      </c>
      <c r="G10696" s="1" t="str">
        <f t="shared" si="2"/>
        <v/>
      </c>
      <c r="J10696" s="1" t="str">
        <f t="shared" si="3"/>
        <v/>
      </c>
      <c r="K10696" s="1" t="str">
        <f t="shared" si="4"/>
        <v/>
      </c>
    </row>
    <row r="10697" hidden="1">
      <c r="F10697" s="1" t="str">
        <f t="shared" si="1"/>
        <v/>
      </c>
      <c r="G10697" s="1" t="str">
        <f t="shared" si="2"/>
        <v/>
      </c>
      <c r="J10697" s="1" t="str">
        <f t="shared" si="3"/>
        <v/>
      </c>
      <c r="K10697" s="1" t="str">
        <f t="shared" si="4"/>
        <v/>
      </c>
    </row>
    <row r="10698" hidden="1">
      <c r="F10698" s="1" t="str">
        <f t="shared" si="1"/>
        <v/>
      </c>
      <c r="G10698" s="1" t="str">
        <f t="shared" si="2"/>
        <v/>
      </c>
      <c r="J10698" s="1" t="str">
        <f t="shared" si="3"/>
        <v/>
      </c>
      <c r="K10698" s="1" t="str">
        <f t="shared" si="4"/>
        <v/>
      </c>
    </row>
    <row r="10699" hidden="1">
      <c r="F10699" s="1" t="str">
        <f t="shared" si="1"/>
        <v/>
      </c>
      <c r="G10699" s="1" t="str">
        <f t="shared" si="2"/>
        <v/>
      </c>
      <c r="J10699" s="1" t="str">
        <f t="shared" si="3"/>
        <v/>
      </c>
      <c r="K10699" s="1" t="str">
        <f t="shared" si="4"/>
        <v/>
      </c>
    </row>
    <row r="10700" hidden="1">
      <c r="F10700" s="1" t="str">
        <f t="shared" si="1"/>
        <v/>
      </c>
      <c r="G10700" s="1" t="str">
        <f t="shared" si="2"/>
        <v/>
      </c>
      <c r="J10700" s="1" t="str">
        <f t="shared" si="3"/>
        <v/>
      </c>
      <c r="K10700" s="1" t="str">
        <f t="shared" si="4"/>
        <v/>
      </c>
    </row>
    <row r="10701" hidden="1">
      <c r="F10701" s="1" t="str">
        <f t="shared" si="1"/>
        <v/>
      </c>
      <c r="G10701" s="1" t="str">
        <f t="shared" si="2"/>
        <v/>
      </c>
      <c r="J10701" s="1" t="str">
        <f t="shared" si="3"/>
        <v/>
      </c>
      <c r="K10701" s="1" t="str">
        <f t="shared" si="4"/>
        <v/>
      </c>
    </row>
    <row r="10702" hidden="1">
      <c r="F10702" s="1" t="str">
        <f t="shared" si="1"/>
        <v/>
      </c>
      <c r="G10702" s="1" t="str">
        <f t="shared" si="2"/>
        <v/>
      </c>
      <c r="J10702" s="1" t="str">
        <f t="shared" si="3"/>
        <v/>
      </c>
      <c r="K10702" s="1" t="str">
        <f t="shared" si="4"/>
        <v/>
      </c>
    </row>
    <row r="10703" hidden="1">
      <c r="F10703" s="1" t="str">
        <f t="shared" si="1"/>
        <v/>
      </c>
      <c r="G10703" s="1" t="str">
        <f t="shared" si="2"/>
        <v/>
      </c>
      <c r="J10703" s="1" t="str">
        <f t="shared" si="3"/>
        <v/>
      </c>
      <c r="K10703" s="1" t="str">
        <f t="shared" si="4"/>
        <v/>
      </c>
    </row>
    <row r="10704" hidden="1">
      <c r="F10704" s="1" t="str">
        <f t="shared" si="1"/>
        <v/>
      </c>
      <c r="G10704" s="1" t="str">
        <f t="shared" si="2"/>
        <v/>
      </c>
      <c r="J10704" s="1" t="str">
        <f t="shared" si="3"/>
        <v/>
      </c>
      <c r="K10704" s="1" t="str">
        <f t="shared" si="4"/>
        <v/>
      </c>
    </row>
    <row r="10705" hidden="1">
      <c r="F10705" s="1" t="str">
        <f t="shared" si="1"/>
        <v/>
      </c>
      <c r="G10705" s="1" t="str">
        <f t="shared" si="2"/>
        <v/>
      </c>
      <c r="J10705" s="1" t="str">
        <f t="shared" si="3"/>
        <v/>
      </c>
      <c r="K10705" s="1" t="str">
        <f t="shared" si="4"/>
        <v/>
      </c>
    </row>
    <row r="10706" hidden="1">
      <c r="F10706" s="1" t="str">
        <f t="shared" si="1"/>
        <v/>
      </c>
      <c r="G10706" s="1" t="str">
        <f t="shared" si="2"/>
        <v/>
      </c>
      <c r="J10706" s="1" t="str">
        <f t="shared" si="3"/>
        <v/>
      </c>
      <c r="K10706" s="1" t="str">
        <f t="shared" si="4"/>
        <v/>
      </c>
    </row>
    <row r="10707" hidden="1">
      <c r="F10707" s="1" t="str">
        <f t="shared" si="1"/>
        <v/>
      </c>
      <c r="G10707" s="1" t="str">
        <f t="shared" si="2"/>
        <v/>
      </c>
      <c r="J10707" s="1" t="str">
        <f t="shared" si="3"/>
        <v/>
      </c>
      <c r="K10707" s="1" t="str">
        <f t="shared" si="4"/>
        <v/>
      </c>
    </row>
    <row r="10708" hidden="1">
      <c r="F10708" s="1" t="str">
        <f t="shared" si="1"/>
        <v/>
      </c>
      <c r="G10708" s="1" t="str">
        <f t="shared" si="2"/>
        <v/>
      </c>
      <c r="J10708" s="1" t="str">
        <f t="shared" si="3"/>
        <v/>
      </c>
      <c r="K10708" s="1" t="str">
        <f t="shared" si="4"/>
        <v/>
      </c>
    </row>
    <row r="10709" hidden="1">
      <c r="F10709" s="1" t="str">
        <f t="shared" si="1"/>
        <v/>
      </c>
      <c r="G10709" s="1" t="str">
        <f t="shared" si="2"/>
        <v/>
      </c>
      <c r="J10709" s="1" t="str">
        <f t="shared" si="3"/>
        <v/>
      </c>
      <c r="K10709" s="1" t="str">
        <f t="shared" si="4"/>
        <v/>
      </c>
    </row>
    <row r="10710" hidden="1">
      <c r="F10710" s="1" t="str">
        <f t="shared" si="1"/>
        <v/>
      </c>
      <c r="G10710" s="1" t="str">
        <f t="shared" si="2"/>
        <v/>
      </c>
      <c r="J10710" s="1" t="str">
        <f t="shared" si="3"/>
        <v/>
      </c>
      <c r="K10710" s="1" t="str">
        <f t="shared" si="4"/>
        <v/>
      </c>
    </row>
    <row r="10711" hidden="1">
      <c r="F10711" s="1" t="str">
        <f t="shared" si="1"/>
        <v/>
      </c>
      <c r="G10711" s="1" t="str">
        <f t="shared" si="2"/>
        <v/>
      </c>
      <c r="J10711" s="1" t="str">
        <f t="shared" si="3"/>
        <v/>
      </c>
      <c r="K10711" s="1" t="str">
        <f t="shared" si="4"/>
        <v/>
      </c>
    </row>
    <row r="10712" hidden="1">
      <c r="F10712" s="1" t="str">
        <f t="shared" si="1"/>
        <v/>
      </c>
      <c r="G10712" s="1" t="str">
        <f t="shared" si="2"/>
        <v/>
      </c>
      <c r="J10712" s="1" t="str">
        <f t="shared" si="3"/>
        <v/>
      </c>
      <c r="K10712" s="1" t="str">
        <f t="shared" si="4"/>
        <v/>
      </c>
    </row>
    <row r="10713" hidden="1">
      <c r="F10713" s="1" t="str">
        <f t="shared" si="1"/>
        <v/>
      </c>
      <c r="G10713" s="1" t="str">
        <f t="shared" si="2"/>
        <v/>
      </c>
      <c r="J10713" s="1" t="str">
        <f t="shared" si="3"/>
        <v/>
      </c>
      <c r="K10713" s="1" t="str">
        <f t="shared" si="4"/>
        <v/>
      </c>
    </row>
    <row r="10714" hidden="1">
      <c r="F10714" s="1" t="str">
        <f t="shared" si="1"/>
        <v/>
      </c>
      <c r="G10714" s="1" t="str">
        <f t="shared" si="2"/>
        <v/>
      </c>
      <c r="J10714" s="1" t="str">
        <f t="shared" si="3"/>
        <v/>
      </c>
      <c r="K10714" s="1" t="str">
        <f t="shared" si="4"/>
        <v/>
      </c>
    </row>
    <row r="10715" hidden="1">
      <c r="F10715" s="1" t="str">
        <f t="shared" si="1"/>
        <v/>
      </c>
      <c r="G10715" s="1" t="str">
        <f t="shared" si="2"/>
        <v/>
      </c>
      <c r="J10715" s="1" t="str">
        <f t="shared" si="3"/>
        <v/>
      </c>
      <c r="K10715" s="1" t="str">
        <f t="shared" si="4"/>
        <v/>
      </c>
    </row>
    <row r="10716" hidden="1">
      <c r="F10716" s="1" t="str">
        <f t="shared" si="1"/>
        <v/>
      </c>
      <c r="G10716" s="1" t="str">
        <f t="shared" si="2"/>
        <v/>
      </c>
      <c r="J10716" s="1" t="str">
        <f t="shared" si="3"/>
        <v/>
      </c>
      <c r="K10716" s="1" t="str">
        <f t="shared" si="4"/>
        <v/>
      </c>
    </row>
    <row r="10717" hidden="1">
      <c r="F10717" s="1" t="str">
        <f t="shared" si="1"/>
        <v/>
      </c>
      <c r="G10717" s="1" t="str">
        <f t="shared" si="2"/>
        <v/>
      </c>
      <c r="J10717" s="1" t="str">
        <f t="shared" si="3"/>
        <v/>
      </c>
      <c r="K10717" s="1" t="str">
        <f t="shared" si="4"/>
        <v/>
      </c>
    </row>
    <row r="10718" hidden="1">
      <c r="F10718" s="1" t="str">
        <f t="shared" si="1"/>
        <v/>
      </c>
      <c r="G10718" s="1" t="str">
        <f t="shared" si="2"/>
        <v/>
      </c>
      <c r="J10718" s="1" t="str">
        <f t="shared" si="3"/>
        <v/>
      </c>
      <c r="K10718" s="1" t="str">
        <f t="shared" si="4"/>
        <v/>
      </c>
    </row>
    <row r="10719" hidden="1">
      <c r="F10719" s="1" t="str">
        <f t="shared" si="1"/>
        <v/>
      </c>
      <c r="G10719" s="1" t="str">
        <f t="shared" si="2"/>
        <v/>
      </c>
      <c r="J10719" s="1" t="str">
        <f t="shared" si="3"/>
        <v/>
      </c>
      <c r="K10719" s="1" t="str">
        <f t="shared" si="4"/>
        <v/>
      </c>
    </row>
    <row r="10720" hidden="1">
      <c r="F10720" s="1" t="str">
        <f t="shared" si="1"/>
        <v/>
      </c>
      <c r="G10720" s="1" t="str">
        <f t="shared" si="2"/>
        <v/>
      </c>
      <c r="J10720" s="1" t="str">
        <f t="shared" si="3"/>
        <v/>
      </c>
      <c r="K10720" s="1" t="str">
        <f t="shared" si="4"/>
        <v/>
      </c>
    </row>
    <row r="10721" hidden="1">
      <c r="F10721" s="1" t="str">
        <f t="shared" si="1"/>
        <v/>
      </c>
      <c r="G10721" s="1" t="str">
        <f t="shared" si="2"/>
        <v/>
      </c>
      <c r="J10721" s="1" t="str">
        <f t="shared" si="3"/>
        <v/>
      </c>
      <c r="K10721" s="1" t="str">
        <f t="shared" si="4"/>
        <v/>
      </c>
    </row>
    <row r="10722" hidden="1">
      <c r="F10722" s="1" t="str">
        <f t="shared" si="1"/>
        <v/>
      </c>
      <c r="G10722" s="1" t="str">
        <f t="shared" si="2"/>
        <v/>
      </c>
      <c r="J10722" s="1" t="str">
        <f t="shared" si="3"/>
        <v/>
      </c>
      <c r="K10722" s="1" t="str">
        <f t="shared" si="4"/>
        <v/>
      </c>
    </row>
    <row r="10723" hidden="1">
      <c r="F10723" s="1" t="str">
        <f t="shared" si="1"/>
        <v/>
      </c>
      <c r="G10723" s="1" t="str">
        <f t="shared" si="2"/>
        <v/>
      </c>
      <c r="J10723" s="1" t="str">
        <f t="shared" si="3"/>
        <v/>
      </c>
      <c r="K10723" s="1" t="str">
        <f t="shared" si="4"/>
        <v/>
      </c>
    </row>
    <row r="10724" hidden="1">
      <c r="F10724" s="1" t="str">
        <f t="shared" si="1"/>
        <v/>
      </c>
      <c r="G10724" s="1" t="str">
        <f t="shared" si="2"/>
        <v/>
      </c>
      <c r="J10724" s="1" t="str">
        <f t="shared" si="3"/>
        <v/>
      </c>
      <c r="K10724" s="1" t="str">
        <f t="shared" si="4"/>
        <v/>
      </c>
    </row>
    <row r="10725" hidden="1">
      <c r="F10725" s="1" t="str">
        <f t="shared" si="1"/>
        <v/>
      </c>
      <c r="G10725" s="1" t="str">
        <f t="shared" si="2"/>
        <v/>
      </c>
      <c r="J10725" s="1" t="str">
        <f t="shared" si="3"/>
        <v/>
      </c>
      <c r="K10725" s="1" t="str">
        <f t="shared" si="4"/>
        <v/>
      </c>
    </row>
    <row r="10726" hidden="1">
      <c r="F10726" s="1" t="str">
        <f t="shared" si="1"/>
        <v/>
      </c>
      <c r="G10726" s="1" t="str">
        <f t="shared" si="2"/>
        <v/>
      </c>
      <c r="J10726" s="1" t="str">
        <f t="shared" si="3"/>
        <v/>
      </c>
      <c r="K10726" s="1" t="str">
        <f t="shared" si="4"/>
        <v/>
      </c>
    </row>
    <row r="10727" hidden="1">
      <c r="F10727" s="1" t="str">
        <f t="shared" si="1"/>
        <v/>
      </c>
      <c r="G10727" s="1" t="str">
        <f t="shared" si="2"/>
        <v/>
      </c>
      <c r="J10727" s="1" t="str">
        <f t="shared" si="3"/>
        <v/>
      </c>
      <c r="K10727" s="1" t="str">
        <f t="shared" si="4"/>
        <v/>
      </c>
    </row>
    <row r="10728" hidden="1">
      <c r="F10728" s="1" t="str">
        <f t="shared" si="1"/>
        <v/>
      </c>
      <c r="G10728" s="1" t="str">
        <f t="shared" si="2"/>
        <v/>
      </c>
      <c r="J10728" s="1" t="str">
        <f t="shared" si="3"/>
        <v/>
      </c>
      <c r="K10728" s="1" t="str">
        <f t="shared" si="4"/>
        <v/>
      </c>
    </row>
    <row r="10729" hidden="1">
      <c r="F10729" s="1" t="str">
        <f t="shared" si="1"/>
        <v/>
      </c>
      <c r="G10729" s="1" t="str">
        <f t="shared" si="2"/>
        <v/>
      </c>
      <c r="J10729" s="1" t="str">
        <f t="shared" si="3"/>
        <v/>
      </c>
      <c r="K10729" s="1" t="str">
        <f t="shared" si="4"/>
        <v/>
      </c>
    </row>
    <row r="10730" hidden="1">
      <c r="F10730" s="1" t="str">
        <f t="shared" si="1"/>
        <v/>
      </c>
      <c r="G10730" s="1" t="str">
        <f t="shared" si="2"/>
        <v/>
      </c>
      <c r="J10730" s="1" t="str">
        <f t="shared" si="3"/>
        <v/>
      </c>
      <c r="K10730" s="1" t="str">
        <f t="shared" si="4"/>
        <v/>
      </c>
    </row>
    <row r="10731" hidden="1">
      <c r="F10731" s="1" t="str">
        <f t="shared" si="1"/>
        <v/>
      </c>
      <c r="G10731" s="1" t="str">
        <f t="shared" si="2"/>
        <v/>
      </c>
      <c r="J10731" s="1" t="str">
        <f t="shared" si="3"/>
        <v/>
      </c>
      <c r="K10731" s="1" t="str">
        <f t="shared" si="4"/>
        <v/>
      </c>
    </row>
    <row r="10732" hidden="1">
      <c r="F10732" s="1" t="str">
        <f t="shared" si="1"/>
        <v/>
      </c>
      <c r="G10732" s="1" t="str">
        <f t="shared" si="2"/>
        <v/>
      </c>
      <c r="J10732" s="1" t="str">
        <f t="shared" si="3"/>
        <v/>
      </c>
      <c r="K10732" s="1" t="str">
        <f t="shared" si="4"/>
        <v/>
      </c>
    </row>
    <row r="10733" hidden="1">
      <c r="F10733" s="1" t="str">
        <f t="shared" si="1"/>
        <v/>
      </c>
      <c r="G10733" s="1" t="str">
        <f t="shared" si="2"/>
        <v/>
      </c>
      <c r="J10733" s="1" t="str">
        <f t="shared" si="3"/>
        <v/>
      </c>
      <c r="K10733" s="1" t="str">
        <f t="shared" si="4"/>
        <v/>
      </c>
    </row>
    <row r="10734" hidden="1">
      <c r="F10734" s="1" t="str">
        <f t="shared" si="1"/>
        <v/>
      </c>
      <c r="G10734" s="1" t="str">
        <f t="shared" si="2"/>
        <v/>
      </c>
      <c r="J10734" s="1" t="str">
        <f t="shared" si="3"/>
        <v/>
      </c>
      <c r="K10734" s="1" t="str">
        <f t="shared" si="4"/>
        <v/>
      </c>
    </row>
    <row r="10735" hidden="1">
      <c r="F10735" s="1" t="str">
        <f t="shared" si="1"/>
        <v/>
      </c>
      <c r="G10735" s="1" t="str">
        <f t="shared" si="2"/>
        <v/>
      </c>
      <c r="J10735" s="1" t="str">
        <f t="shared" si="3"/>
        <v/>
      </c>
      <c r="K10735" s="1" t="str">
        <f t="shared" si="4"/>
        <v/>
      </c>
    </row>
    <row r="10736" hidden="1">
      <c r="F10736" s="1" t="str">
        <f t="shared" si="1"/>
        <v/>
      </c>
      <c r="G10736" s="1" t="str">
        <f t="shared" si="2"/>
        <v/>
      </c>
      <c r="J10736" s="1" t="str">
        <f t="shared" si="3"/>
        <v/>
      </c>
      <c r="K10736" s="1" t="str">
        <f t="shared" si="4"/>
        <v/>
      </c>
    </row>
    <row r="10737" hidden="1">
      <c r="F10737" s="1" t="str">
        <f t="shared" si="1"/>
        <v/>
      </c>
      <c r="G10737" s="1" t="str">
        <f t="shared" si="2"/>
        <v/>
      </c>
      <c r="J10737" s="1" t="str">
        <f t="shared" si="3"/>
        <v/>
      </c>
      <c r="K10737" s="1" t="str">
        <f t="shared" si="4"/>
        <v/>
      </c>
    </row>
    <row r="10738" hidden="1">
      <c r="F10738" s="1" t="str">
        <f t="shared" si="1"/>
        <v/>
      </c>
      <c r="G10738" s="1" t="str">
        <f t="shared" si="2"/>
        <v/>
      </c>
      <c r="J10738" s="1" t="str">
        <f t="shared" si="3"/>
        <v/>
      </c>
      <c r="K10738" s="1" t="str">
        <f t="shared" si="4"/>
        <v/>
      </c>
    </row>
    <row r="10739" hidden="1">
      <c r="F10739" s="1" t="str">
        <f t="shared" si="1"/>
        <v/>
      </c>
      <c r="G10739" s="1" t="str">
        <f t="shared" si="2"/>
        <v/>
      </c>
      <c r="J10739" s="1" t="str">
        <f t="shared" si="3"/>
        <v/>
      </c>
      <c r="K10739" s="1" t="str">
        <f t="shared" si="4"/>
        <v/>
      </c>
    </row>
    <row r="10740" hidden="1">
      <c r="F10740" s="1" t="str">
        <f t="shared" si="1"/>
        <v/>
      </c>
      <c r="G10740" s="1" t="str">
        <f t="shared" si="2"/>
        <v/>
      </c>
      <c r="J10740" s="1" t="str">
        <f t="shared" si="3"/>
        <v/>
      </c>
      <c r="K10740" s="1" t="str">
        <f t="shared" si="4"/>
        <v/>
      </c>
    </row>
    <row r="10741" hidden="1">
      <c r="F10741" s="1" t="str">
        <f t="shared" si="1"/>
        <v/>
      </c>
      <c r="G10741" s="1" t="str">
        <f t="shared" si="2"/>
        <v/>
      </c>
      <c r="J10741" s="1" t="str">
        <f t="shared" si="3"/>
        <v/>
      </c>
      <c r="K10741" s="1" t="str">
        <f t="shared" si="4"/>
        <v/>
      </c>
    </row>
    <row r="10742" hidden="1">
      <c r="F10742" s="1" t="str">
        <f t="shared" si="1"/>
        <v/>
      </c>
      <c r="G10742" s="1" t="str">
        <f t="shared" si="2"/>
        <v/>
      </c>
      <c r="J10742" s="1" t="str">
        <f t="shared" si="3"/>
        <v/>
      </c>
      <c r="K10742" s="1" t="str">
        <f t="shared" si="4"/>
        <v/>
      </c>
    </row>
    <row r="10743" hidden="1">
      <c r="F10743" s="1" t="str">
        <f t="shared" si="1"/>
        <v/>
      </c>
      <c r="G10743" s="1" t="str">
        <f t="shared" si="2"/>
        <v/>
      </c>
      <c r="J10743" s="1" t="str">
        <f t="shared" si="3"/>
        <v/>
      </c>
      <c r="K10743" s="1" t="str">
        <f t="shared" si="4"/>
        <v/>
      </c>
    </row>
    <row r="10744" hidden="1">
      <c r="F10744" s="1" t="str">
        <f t="shared" si="1"/>
        <v/>
      </c>
      <c r="G10744" s="1" t="str">
        <f t="shared" si="2"/>
        <v/>
      </c>
      <c r="J10744" s="1" t="str">
        <f t="shared" si="3"/>
        <v/>
      </c>
      <c r="K10744" s="1" t="str">
        <f t="shared" si="4"/>
        <v/>
      </c>
    </row>
    <row r="10745" hidden="1">
      <c r="F10745" s="1" t="str">
        <f t="shared" si="1"/>
        <v/>
      </c>
      <c r="G10745" s="1" t="str">
        <f t="shared" si="2"/>
        <v/>
      </c>
      <c r="J10745" s="1" t="str">
        <f t="shared" si="3"/>
        <v/>
      </c>
      <c r="K10745" s="1" t="str">
        <f t="shared" si="4"/>
        <v/>
      </c>
    </row>
    <row r="10746" hidden="1">
      <c r="F10746" s="1" t="str">
        <f t="shared" si="1"/>
        <v/>
      </c>
      <c r="G10746" s="1" t="str">
        <f t="shared" si="2"/>
        <v/>
      </c>
      <c r="J10746" s="1" t="str">
        <f t="shared" si="3"/>
        <v/>
      </c>
      <c r="K10746" s="1" t="str">
        <f t="shared" si="4"/>
        <v/>
      </c>
    </row>
    <row r="10747" hidden="1">
      <c r="F10747" s="1" t="str">
        <f t="shared" si="1"/>
        <v/>
      </c>
      <c r="G10747" s="1" t="str">
        <f t="shared" si="2"/>
        <v/>
      </c>
      <c r="J10747" s="1" t="str">
        <f t="shared" si="3"/>
        <v/>
      </c>
      <c r="K10747" s="1" t="str">
        <f t="shared" si="4"/>
        <v/>
      </c>
    </row>
    <row r="10748" hidden="1">
      <c r="F10748" s="1" t="str">
        <f t="shared" si="1"/>
        <v/>
      </c>
      <c r="G10748" s="1" t="str">
        <f t="shared" si="2"/>
        <v/>
      </c>
      <c r="J10748" s="1" t="str">
        <f t="shared" si="3"/>
        <v/>
      </c>
      <c r="K10748" s="1" t="str">
        <f t="shared" si="4"/>
        <v/>
      </c>
    </row>
    <row r="10749" hidden="1">
      <c r="F10749" s="1" t="str">
        <f t="shared" si="1"/>
        <v/>
      </c>
      <c r="G10749" s="1" t="str">
        <f t="shared" si="2"/>
        <v/>
      </c>
      <c r="J10749" s="1" t="str">
        <f t="shared" si="3"/>
        <v/>
      </c>
      <c r="K10749" s="1" t="str">
        <f t="shared" si="4"/>
        <v/>
      </c>
    </row>
    <row r="10750" hidden="1">
      <c r="F10750" s="1" t="str">
        <f t="shared" si="1"/>
        <v/>
      </c>
      <c r="G10750" s="1" t="str">
        <f t="shared" si="2"/>
        <v/>
      </c>
      <c r="J10750" s="1" t="str">
        <f t="shared" si="3"/>
        <v/>
      </c>
      <c r="K10750" s="1" t="str">
        <f t="shared" si="4"/>
        <v/>
      </c>
    </row>
    <row r="10751" hidden="1">
      <c r="F10751" s="1" t="str">
        <f t="shared" si="1"/>
        <v/>
      </c>
      <c r="G10751" s="1" t="str">
        <f t="shared" si="2"/>
        <v/>
      </c>
      <c r="J10751" s="1" t="str">
        <f t="shared" si="3"/>
        <v/>
      </c>
      <c r="K10751" s="1" t="str">
        <f t="shared" si="4"/>
        <v/>
      </c>
    </row>
    <row r="10752" hidden="1">
      <c r="F10752" s="1" t="str">
        <f t="shared" si="1"/>
        <v/>
      </c>
      <c r="G10752" s="1" t="str">
        <f t="shared" si="2"/>
        <v/>
      </c>
      <c r="J10752" s="1" t="str">
        <f t="shared" si="3"/>
        <v/>
      </c>
      <c r="K10752" s="1" t="str">
        <f t="shared" si="4"/>
        <v/>
      </c>
    </row>
    <row r="10753" hidden="1">
      <c r="F10753" s="1" t="str">
        <f t="shared" si="1"/>
        <v/>
      </c>
      <c r="G10753" s="1" t="str">
        <f t="shared" si="2"/>
        <v/>
      </c>
      <c r="J10753" s="1" t="str">
        <f t="shared" si="3"/>
        <v/>
      </c>
      <c r="K10753" s="1" t="str">
        <f t="shared" si="4"/>
        <v/>
      </c>
    </row>
    <row r="10754" hidden="1">
      <c r="F10754" s="1" t="str">
        <f t="shared" si="1"/>
        <v/>
      </c>
      <c r="G10754" s="1" t="str">
        <f t="shared" si="2"/>
        <v/>
      </c>
      <c r="J10754" s="1" t="str">
        <f t="shared" si="3"/>
        <v/>
      </c>
      <c r="K10754" s="1" t="str">
        <f t="shared" si="4"/>
        <v/>
      </c>
    </row>
    <row r="10755" hidden="1">
      <c r="F10755" s="1" t="str">
        <f t="shared" si="1"/>
        <v/>
      </c>
      <c r="G10755" s="1" t="str">
        <f t="shared" si="2"/>
        <v/>
      </c>
      <c r="J10755" s="1" t="str">
        <f t="shared" si="3"/>
        <v/>
      </c>
      <c r="K10755" s="1" t="str">
        <f t="shared" si="4"/>
        <v/>
      </c>
    </row>
    <row r="10756" hidden="1">
      <c r="F10756" s="1" t="str">
        <f t="shared" si="1"/>
        <v/>
      </c>
      <c r="G10756" s="1" t="str">
        <f t="shared" si="2"/>
        <v/>
      </c>
      <c r="J10756" s="1" t="str">
        <f t="shared" si="3"/>
        <v/>
      </c>
      <c r="K10756" s="1" t="str">
        <f t="shared" si="4"/>
        <v/>
      </c>
    </row>
    <row r="10757" hidden="1">
      <c r="F10757" s="1" t="str">
        <f t="shared" si="1"/>
        <v/>
      </c>
      <c r="G10757" s="1" t="str">
        <f t="shared" si="2"/>
        <v/>
      </c>
      <c r="J10757" s="1" t="str">
        <f t="shared" si="3"/>
        <v/>
      </c>
      <c r="K10757" s="1" t="str">
        <f t="shared" si="4"/>
        <v/>
      </c>
    </row>
    <row r="10758" hidden="1">
      <c r="F10758" s="1" t="str">
        <f t="shared" si="1"/>
        <v/>
      </c>
      <c r="G10758" s="1" t="str">
        <f t="shared" si="2"/>
        <v/>
      </c>
      <c r="J10758" s="1" t="str">
        <f t="shared" si="3"/>
        <v/>
      </c>
      <c r="K10758" s="1" t="str">
        <f t="shared" si="4"/>
        <v/>
      </c>
    </row>
    <row r="10759" hidden="1">
      <c r="F10759" s="1" t="str">
        <f t="shared" si="1"/>
        <v/>
      </c>
      <c r="G10759" s="1" t="str">
        <f t="shared" si="2"/>
        <v/>
      </c>
      <c r="J10759" s="1" t="str">
        <f t="shared" si="3"/>
        <v/>
      </c>
      <c r="K10759" s="1" t="str">
        <f t="shared" si="4"/>
        <v/>
      </c>
    </row>
    <row r="10760" hidden="1">
      <c r="F10760" s="1" t="str">
        <f t="shared" si="1"/>
        <v/>
      </c>
      <c r="G10760" s="1" t="str">
        <f t="shared" si="2"/>
        <v/>
      </c>
      <c r="J10760" s="1" t="str">
        <f t="shared" si="3"/>
        <v/>
      </c>
      <c r="K10760" s="1" t="str">
        <f t="shared" si="4"/>
        <v/>
      </c>
    </row>
    <row r="10761" hidden="1">
      <c r="F10761" s="1" t="str">
        <f t="shared" si="1"/>
        <v/>
      </c>
      <c r="G10761" s="1" t="str">
        <f t="shared" si="2"/>
        <v/>
      </c>
      <c r="J10761" s="1" t="str">
        <f t="shared" si="3"/>
        <v/>
      </c>
      <c r="K10761" s="1" t="str">
        <f t="shared" si="4"/>
        <v/>
      </c>
    </row>
    <row r="10762" hidden="1">
      <c r="F10762" s="1" t="str">
        <f t="shared" si="1"/>
        <v/>
      </c>
      <c r="G10762" s="1" t="str">
        <f t="shared" si="2"/>
        <v/>
      </c>
      <c r="J10762" s="1" t="str">
        <f t="shared" si="3"/>
        <v/>
      </c>
      <c r="K10762" s="1" t="str">
        <f t="shared" si="4"/>
        <v/>
      </c>
    </row>
    <row r="10763" hidden="1">
      <c r="F10763" s="1" t="str">
        <f t="shared" si="1"/>
        <v/>
      </c>
      <c r="G10763" s="1" t="str">
        <f t="shared" si="2"/>
        <v/>
      </c>
      <c r="J10763" s="1" t="str">
        <f t="shared" si="3"/>
        <v/>
      </c>
      <c r="K10763" s="1" t="str">
        <f t="shared" si="4"/>
        <v/>
      </c>
    </row>
    <row r="10764" hidden="1">
      <c r="F10764" s="1" t="str">
        <f t="shared" si="1"/>
        <v/>
      </c>
      <c r="G10764" s="1" t="str">
        <f t="shared" si="2"/>
        <v/>
      </c>
      <c r="J10764" s="1" t="str">
        <f t="shared" si="3"/>
        <v/>
      </c>
      <c r="K10764" s="1" t="str">
        <f t="shared" si="4"/>
        <v/>
      </c>
    </row>
    <row r="10765" hidden="1">
      <c r="F10765" s="1" t="str">
        <f t="shared" si="1"/>
        <v/>
      </c>
      <c r="G10765" s="1" t="str">
        <f t="shared" si="2"/>
        <v/>
      </c>
      <c r="J10765" s="1" t="str">
        <f t="shared" si="3"/>
        <v/>
      </c>
      <c r="K10765" s="1" t="str">
        <f t="shared" si="4"/>
        <v/>
      </c>
    </row>
    <row r="10766" hidden="1">
      <c r="F10766" s="1" t="str">
        <f t="shared" si="1"/>
        <v/>
      </c>
      <c r="G10766" s="1" t="str">
        <f t="shared" si="2"/>
        <v/>
      </c>
      <c r="J10766" s="1" t="str">
        <f t="shared" si="3"/>
        <v/>
      </c>
      <c r="K10766" s="1" t="str">
        <f t="shared" si="4"/>
        <v/>
      </c>
    </row>
    <row r="10767" hidden="1">
      <c r="F10767" s="1" t="str">
        <f t="shared" si="1"/>
        <v/>
      </c>
      <c r="G10767" s="1" t="str">
        <f t="shared" si="2"/>
        <v/>
      </c>
      <c r="J10767" s="1" t="str">
        <f t="shared" si="3"/>
        <v/>
      </c>
      <c r="K10767" s="1" t="str">
        <f t="shared" si="4"/>
        <v/>
      </c>
    </row>
    <row r="10768" hidden="1">
      <c r="F10768" s="1" t="str">
        <f t="shared" si="1"/>
        <v/>
      </c>
      <c r="G10768" s="1" t="str">
        <f t="shared" si="2"/>
        <v/>
      </c>
      <c r="J10768" s="1" t="str">
        <f t="shared" si="3"/>
        <v/>
      </c>
      <c r="K10768" s="1" t="str">
        <f t="shared" si="4"/>
        <v/>
      </c>
    </row>
    <row r="10769" hidden="1">
      <c r="F10769" s="1" t="str">
        <f t="shared" si="1"/>
        <v/>
      </c>
      <c r="G10769" s="1" t="str">
        <f t="shared" si="2"/>
        <v/>
      </c>
      <c r="J10769" s="1" t="str">
        <f t="shared" si="3"/>
        <v/>
      </c>
      <c r="K10769" s="1" t="str">
        <f t="shared" si="4"/>
        <v/>
      </c>
    </row>
    <row r="10770" hidden="1">
      <c r="F10770" s="1" t="str">
        <f t="shared" si="1"/>
        <v/>
      </c>
      <c r="G10770" s="1" t="str">
        <f t="shared" si="2"/>
        <v/>
      </c>
      <c r="J10770" s="1" t="str">
        <f t="shared" si="3"/>
        <v/>
      </c>
      <c r="K10770" s="1" t="str">
        <f t="shared" si="4"/>
        <v/>
      </c>
    </row>
    <row r="10771" hidden="1">
      <c r="F10771" s="1" t="str">
        <f t="shared" si="1"/>
        <v/>
      </c>
      <c r="G10771" s="1" t="str">
        <f t="shared" si="2"/>
        <v/>
      </c>
      <c r="J10771" s="1" t="str">
        <f t="shared" si="3"/>
        <v/>
      </c>
      <c r="K10771" s="1" t="str">
        <f t="shared" si="4"/>
        <v/>
      </c>
    </row>
    <row r="10772" hidden="1">
      <c r="F10772" s="1" t="str">
        <f t="shared" si="1"/>
        <v/>
      </c>
      <c r="G10772" s="1" t="str">
        <f t="shared" si="2"/>
        <v/>
      </c>
      <c r="J10772" s="1" t="str">
        <f t="shared" si="3"/>
        <v/>
      </c>
      <c r="K10772" s="1" t="str">
        <f t="shared" si="4"/>
        <v/>
      </c>
    </row>
    <row r="10773" hidden="1">
      <c r="F10773" s="1" t="str">
        <f t="shared" si="1"/>
        <v/>
      </c>
      <c r="G10773" s="1" t="str">
        <f t="shared" si="2"/>
        <v/>
      </c>
      <c r="J10773" s="1" t="str">
        <f t="shared" si="3"/>
        <v/>
      </c>
      <c r="K10773" s="1" t="str">
        <f t="shared" si="4"/>
        <v/>
      </c>
    </row>
    <row r="10774" hidden="1">
      <c r="F10774" s="1" t="str">
        <f t="shared" si="1"/>
        <v/>
      </c>
      <c r="G10774" s="1" t="str">
        <f t="shared" si="2"/>
        <v/>
      </c>
      <c r="J10774" s="1" t="str">
        <f t="shared" si="3"/>
        <v/>
      </c>
      <c r="K10774" s="1" t="str">
        <f t="shared" si="4"/>
        <v/>
      </c>
    </row>
    <row r="10775" hidden="1">
      <c r="F10775" s="1" t="str">
        <f t="shared" si="1"/>
        <v/>
      </c>
      <c r="G10775" s="1" t="str">
        <f t="shared" si="2"/>
        <v/>
      </c>
      <c r="J10775" s="1" t="str">
        <f t="shared" si="3"/>
        <v/>
      </c>
      <c r="K10775" s="1" t="str">
        <f t="shared" si="4"/>
        <v/>
      </c>
    </row>
    <row r="10776" hidden="1">
      <c r="F10776" s="1" t="str">
        <f t="shared" si="1"/>
        <v/>
      </c>
      <c r="G10776" s="1" t="str">
        <f t="shared" si="2"/>
        <v/>
      </c>
      <c r="J10776" s="1" t="str">
        <f t="shared" si="3"/>
        <v/>
      </c>
      <c r="K10776" s="1" t="str">
        <f t="shared" si="4"/>
        <v/>
      </c>
    </row>
    <row r="10777" hidden="1">
      <c r="F10777" s="1" t="str">
        <f t="shared" si="1"/>
        <v/>
      </c>
      <c r="G10777" s="1" t="str">
        <f t="shared" si="2"/>
        <v/>
      </c>
      <c r="J10777" s="1" t="str">
        <f t="shared" si="3"/>
        <v/>
      </c>
      <c r="K10777" s="1" t="str">
        <f t="shared" si="4"/>
        <v/>
      </c>
    </row>
    <row r="10778" hidden="1">
      <c r="F10778" s="1" t="str">
        <f t="shared" si="1"/>
        <v/>
      </c>
      <c r="G10778" s="1" t="str">
        <f t="shared" si="2"/>
        <v/>
      </c>
      <c r="J10778" s="1" t="str">
        <f t="shared" si="3"/>
        <v/>
      </c>
      <c r="K10778" s="1" t="str">
        <f t="shared" si="4"/>
        <v/>
      </c>
    </row>
    <row r="10779" hidden="1">
      <c r="F10779" s="1" t="str">
        <f t="shared" si="1"/>
        <v/>
      </c>
      <c r="G10779" s="1" t="str">
        <f t="shared" si="2"/>
        <v/>
      </c>
      <c r="J10779" s="1" t="str">
        <f t="shared" si="3"/>
        <v/>
      </c>
      <c r="K10779" s="1" t="str">
        <f t="shared" si="4"/>
        <v/>
      </c>
    </row>
    <row r="10780" hidden="1">
      <c r="F10780" s="1" t="str">
        <f t="shared" si="1"/>
        <v/>
      </c>
      <c r="G10780" s="1" t="str">
        <f t="shared" si="2"/>
        <v/>
      </c>
      <c r="J10780" s="1" t="str">
        <f t="shared" si="3"/>
        <v/>
      </c>
      <c r="K10780" s="1" t="str">
        <f t="shared" si="4"/>
        <v/>
      </c>
    </row>
    <row r="10781" hidden="1">
      <c r="F10781" s="1" t="str">
        <f t="shared" si="1"/>
        <v/>
      </c>
      <c r="G10781" s="1" t="str">
        <f t="shared" si="2"/>
        <v/>
      </c>
      <c r="J10781" s="1" t="str">
        <f t="shared" si="3"/>
        <v/>
      </c>
      <c r="K10781" s="1" t="str">
        <f t="shared" si="4"/>
        <v/>
      </c>
    </row>
    <row r="10782" hidden="1">
      <c r="F10782" s="1" t="str">
        <f t="shared" si="1"/>
        <v/>
      </c>
      <c r="G10782" s="1" t="str">
        <f t="shared" si="2"/>
        <v/>
      </c>
      <c r="J10782" s="1" t="str">
        <f t="shared" si="3"/>
        <v/>
      </c>
      <c r="K10782" s="1" t="str">
        <f t="shared" si="4"/>
        <v/>
      </c>
    </row>
    <row r="10783" hidden="1">
      <c r="F10783" s="1" t="str">
        <f t="shared" si="1"/>
        <v/>
      </c>
      <c r="G10783" s="1" t="str">
        <f t="shared" si="2"/>
        <v/>
      </c>
      <c r="J10783" s="1" t="str">
        <f t="shared" si="3"/>
        <v/>
      </c>
      <c r="K10783" s="1" t="str">
        <f t="shared" si="4"/>
        <v/>
      </c>
    </row>
    <row r="10784" hidden="1">
      <c r="F10784" s="1" t="str">
        <f t="shared" si="1"/>
        <v/>
      </c>
      <c r="G10784" s="1" t="str">
        <f t="shared" si="2"/>
        <v/>
      </c>
      <c r="J10784" s="1" t="str">
        <f t="shared" si="3"/>
        <v/>
      </c>
      <c r="K10784" s="1" t="str">
        <f t="shared" si="4"/>
        <v/>
      </c>
    </row>
    <row r="10785" hidden="1">
      <c r="F10785" s="1" t="str">
        <f t="shared" si="1"/>
        <v/>
      </c>
      <c r="G10785" s="1" t="str">
        <f t="shared" si="2"/>
        <v/>
      </c>
      <c r="J10785" s="1" t="str">
        <f t="shared" si="3"/>
        <v/>
      </c>
      <c r="K10785" s="1" t="str">
        <f t="shared" si="4"/>
        <v/>
      </c>
    </row>
    <row r="10786" hidden="1">
      <c r="F10786" s="1" t="str">
        <f t="shared" si="1"/>
        <v/>
      </c>
      <c r="G10786" s="1" t="str">
        <f t="shared" si="2"/>
        <v/>
      </c>
      <c r="J10786" s="1" t="str">
        <f t="shared" si="3"/>
        <v/>
      </c>
      <c r="K10786" s="1" t="str">
        <f t="shared" si="4"/>
        <v/>
      </c>
    </row>
    <row r="10787" hidden="1">
      <c r="F10787" s="1" t="str">
        <f t="shared" si="1"/>
        <v/>
      </c>
      <c r="G10787" s="1" t="str">
        <f t="shared" si="2"/>
        <v/>
      </c>
      <c r="J10787" s="1" t="str">
        <f t="shared" si="3"/>
        <v/>
      </c>
      <c r="K10787" s="1" t="str">
        <f t="shared" si="4"/>
        <v/>
      </c>
    </row>
    <row r="10788" hidden="1">
      <c r="F10788" s="1" t="str">
        <f t="shared" si="1"/>
        <v/>
      </c>
      <c r="G10788" s="1" t="str">
        <f t="shared" si="2"/>
        <v/>
      </c>
      <c r="J10788" s="1" t="str">
        <f t="shared" si="3"/>
        <v/>
      </c>
      <c r="K10788" s="1" t="str">
        <f t="shared" si="4"/>
        <v/>
      </c>
    </row>
    <row r="10789" hidden="1">
      <c r="F10789" s="1" t="str">
        <f t="shared" si="1"/>
        <v/>
      </c>
      <c r="G10789" s="1" t="str">
        <f t="shared" si="2"/>
        <v/>
      </c>
      <c r="J10789" s="1" t="str">
        <f t="shared" si="3"/>
        <v/>
      </c>
      <c r="K10789" s="1" t="str">
        <f t="shared" si="4"/>
        <v/>
      </c>
    </row>
    <row r="10790" hidden="1">
      <c r="F10790" s="1" t="str">
        <f t="shared" si="1"/>
        <v/>
      </c>
      <c r="G10790" s="1" t="str">
        <f t="shared" si="2"/>
        <v/>
      </c>
      <c r="J10790" s="1" t="str">
        <f t="shared" si="3"/>
        <v/>
      </c>
      <c r="K10790" s="1" t="str">
        <f t="shared" si="4"/>
        <v/>
      </c>
    </row>
    <row r="10791" hidden="1">
      <c r="F10791" s="1" t="str">
        <f t="shared" si="1"/>
        <v/>
      </c>
      <c r="G10791" s="1" t="str">
        <f t="shared" si="2"/>
        <v/>
      </c>
      <c r="J10791" s="1" t="str">
        <f t="shared" si="3"/>
        <v/>
      </c>
      <c r="K10791" s="1" t="str">
        <f t="shared" si="4"/>
        <v/>
      </c>
    </row>
    <row r="10792" hidden="1">
      <c r="F10792" s="1" t="str">
        <f t="shared" si="1"/>
        <v/>
      </c>
      <c r="G10792" s="1" t="str">
        <f t="shared" si="2"/>
        <v/>
      </c>
      <c r="J10792" s="1" t="str">
        <f t="shared" si="3"/>
        <v/>
      </c>
      <c r="K10792" s="1" t="str">
        <f t="shared" si="4"/>
        <v/>
      </c>
    </row>
    <row r="10793" hidden="1">
      <c r="F10793" s="1" t="str">
        <f t="shared" si="1"/>
        <v/>
      </c>
      <c r="G10793" s="1" t="str">
        <f t="shared" si="2"/>
        <v/>
      </c>
      <c r="J10793" s="1" t="str">
        <f t="shared" si="3"/>
        <v/>
      </c>
      <c r="K10793" s="1" t="str">
        <f t="shared" si="4"/>
        <v/>
      </c>
    </row>
    <row r="10794" hidden="1">
      <c r="F10794" s="1" t="str">
        <f t="shared" si="1"/>
        <v/>
      </c>
      <c r="G10794" s="1" t="str">
        <f t="shared" si="2"/>
        <v/>
      </c>
      <c r="J10794" s="1" t="str">
        <f t="shared" si="3"/>
        <v/>
      </c>
      <c r="K10794" s="1" t="str">
        <f t="shared" si="4"/>
        <v/>
      </c>
    </row>
    <row r="10795" hidden="1">
      <c r="F10795" s="1" t="str">
        <f t="shared" si="1"/>
        <v/>
      </c>
      <c r="G10795" s="1" t="str">
        <f t="shared" si="2"/>
        <v/>
      </c>
      <c r="J10795" s="1" t="str">
        <f t="shared" si="3"/>
        <v/>
      </c>
      <c r="K10795" s="1" t="str">
        <f t="shared" si="4"/>
        <v/>
      </c>
    </row>
    <row r="10796" hidden="1">
      <c r="F10796" s="1" t="str">
        <f t="shared" si="1"/>
        <v/>
      </c>
      <c r="G10796" s="1" t="str">
        <f t="shared" si="2"/>
        <v/>
      </c>
      <c r="J10796" s="1" t="str">
        <f t="shared" si="3"/>
        <v/>
      </c>
      <c r="K10796" s="1" t="str">
        <f t="shared" si="4"/>
        <v/>
      </c>
    </row>
    <row r="10797" hidden="1">
      <c r="F10797" s="1" t="str">
        <f t="shared" si="1"/>
        <v/>
      </c>
      <c r="G10797" s="1" t="str">
        <f t="shared" si="2"/>
        <v/>
      </c>
      <c r="J10797" s="1" t="str">
        <f t="shared" si="3"/>
        <v/>
      </c>
      <c r="K10797" s="1" t="str">
        <f t="shared" si="4"/>
        <v/>
      </c>
    </row>
    <row r="10798" hidden="1">
      <c r="F10798" s="1" t="str">
        <f t="shared" si="1"/>
        <v/>
      </c>
      <c r="G10798" s="1" t="str">
        <f t="shared" si="2"/>
        <v/>
      </c>
      <c r="J10798" s="1" t="str">
        <f t="shared" si="3"/>
        <v/>
      </c>
      <c r="K10798" s="1" t="str">
        <f t="shared" si="4"/>
        <v/>
      </c>
    </row>
    <row r="10799" hidden="1">
      <c r="F10799" s="1" t="str">
        <f t="shared" si="1"/>
        <v/>
      </c>
      <c r="G10799" s="1" t="str">
        <f t="shared" si="2"/>
        <v/>
      </c>
      <c r="J10799" s="1" t="str">
        <f t="shared" si="3"/>
        <v/>
      </c>
      <c r="K10799" s="1" t="str">
        <f t="shared" si="4"/>
        <v/>
      </c>
    </row>
    <row r="10800" hidden="1">
      <c r="F10800" s="1" t="str">
        <f t="shared" si="1"/>
        <v/>
      </c>
      <c r="G10800" s="1" t="str">
        <f t="shared" si="2"/>
        <v/>
      </c>
      <c r="J10800" s="1" t="str">
        <f t="shared" si="3"/>
        <v/>
      </c>
      <c r="K10800" s="1" t="str">
        <f t="shared" si="4"/>
        <v/>
      </c>
    </row>
    <row r="10801" hidden="1">
      <c r="F10801" s="1" t="str">
        <f t="shared" si="1"/>
        <v/>
      </c>
      <c r="G10801" s="1" t="str">
        <f t="shared" si="2"/>
        <v/>
      </c>
      <c r="J10801" s="1" t="str">
        <f t="shared" si="3"/>
        <v/>
      </c>
      <c r="K10801" s="1" t="str">
        <f t="shared" si="4"/>
        <v/>
      </c>
    </row>
    <row r="10802" hidden="1">
      <c r="F10802" s="1" t="str">
        <f t="shared" si="1"/>
        <v/>
      </c>
      <c r="G10802" s="1" t="str">
        <f t="shared" si="2"/>
        <v/>
      </c>
      <c r="J10802" s="1" t="str">
        <f t="shared" si="3"/>
        <v/>
      </c>
      <c r="K10802" s="1" t="str">
        <f t="shared" si="4"/>
        <v/>
      </c>
    </row>
    <row r="10803" hidden="1">
      <c r="F10803" s="1" t="str">
        <f t="shared" si="1"/>
        <v/>
      </c>
      <c r="G10803" s="1" t="str">
        <f t="shared" si="2"/>
        <v/>
      </c>
      <c r="J10803" s="1" t="str">
        <f t="shared" si="3"/>
        <v/>
      </c>
      <c r="K10803" s="1" t="str">
        <f t="shared" si="4"/>
        <v/>
      </c>
    </row>
    <row r="10804" hidden="1">
      <c r="F10804" s="1" t="str">
        <f t="shared" si="1"/>
        <v/>
      </c>
      <c r="G10804" s="1" t="str">
        <f t="shared" si="2"/>
        <v/>
      </c>
      <c r="J10804" s="1" t="str">
        <f t="shared" si="3"/>
        <v/>
      </c>
      <c r="K10804" s="1" t="str">
        <f t="shared" si="4"/>
        <v/>
      </c>
    </row>
    <row r="10805" hidden="1">
      <c r="F10805" s="1" t="str">
        <f t="shared" si="1"/>
        <v/>
      </c>
      <c r="G10805" s="1" t="str">
        <f t="shared" si="2"/>
        <v/>
      </c>
      <c r="J10805" s="1" t="str">
        <f t="shared" si="3"/>
        <v/>
      </c>
      <c r="K10805" s="1" t="str">
        <f t="shared" si="4"/>
        <v/>
      </c>
    </row>
    <row r="10806" hidden="1">
      <c r="F10806" s="1" t="str">
        <f t="shared" si="1"/>
        <v/>
      </c>
      <c r="G10806" s="1" t="str">
        <f t="shared" si="2"/>
        <v/>
      </c>
      <c r="J10806" s="1" t="str">
        <f t="shared" si="3"/>
        <v/>
      </c>
      <c r="K10806" s="1" t="str">
        <f t="shared" si="4"/>
        <v/>
      </c>
    </row>
    <row r="10807" hidden="1">
      <c r="F10807" s="1" t="str">
        <f t="shared" si="1"/>
        <v/>
      </c>
      <c r="G10807" s="1" t="str">
        <f t="shared" si="2"/>
        <v/>
      </c>
      <c r="J10807" s="1" t="str">
        <f t="shared" si="3"/>
        <v/>
      </c>
      <c r="K10807" s="1" t="str">
        <f t="shared" si="4"/>
        <v/>
      </c>
    </row>
    <row r="10808" hidden="1">
      <c r="F10808" s="1" t="str">
        <f t="shared" si="1"/>
        <v/>
      </c>
      <c r="G10808" s="1" t="str">
        <f t="shared" si="2"/>
        <v/>
      </c>
      <c r="J10808" s="1" t="str">
        <f t="shared" si="3"/>
        <v/>
      </c>
      <c r="K10808" s="1" t="str">
        <f t="shared" si="4"/>
        <v/>
      </c>
    </row>
    <row r="10809" hidden="1">
      <c r="F10809" s="1" t="str">
        <f t="shared" si="1"/>
        <v/>
      </c>
      <c r="G10809" s="1" t="str">
        <f t="shared" si="2"/>
        <v/>
      </c>
      <c r="J10809" s="1" t="str">
        <f t="shared" si="3"/>
        <v/>
      </c>
      <c r="K10809" s="1" t="str">
        <f t="shared" si="4"/>
        <v/>
      </c>
    </row>
    <row r="10810" hidden="1">
      <c r="F10810" s="1" t="str">
        <f t="shared" si="1"/>
        <v/>
      </c>
      <c r="G10810" s="1" t="str">
        <f t="shared" si="2"/>
        <v/>
      </c>
      <c r="J10810" s="1" t="str">
        <f t="shared" si="3"/>
        <v/>
      </c>
      <c r="K10810" s="1" t="str">
        <f t="shared" si="4"/>
        <v/>
      </c>
    </row>
    <row r="10811" hidden="1">
      <c r="F10811" s="1" t="str">
        <f t="shared" si="1"/>
        <v/>
      </c>
      <c r="G10811" s="1" t="str">
        <f t="shared" si="2"/>
        <v/>
      </c>
      <c r="J10811" s="1" t="str">
        <f t="shared" si="3"/>
        <v/>
      </c>
      <c r="K10811" s="1" t="str">
        <f t="shared" si="4"/>
        <v/>
      </c>
    </row>
    <row r="10812" hidden="1">
      <c r="F10812" s="1" t="str">
        <f t="shared" si="1"/>
        <v/>
      </c>
      <c r="G10812" s="1" t="str">
        <f t="shared" si="2"/>
        <v/>
      </c>
      <c r="J10812" s="1" t="str">
        <f t="shared" si="3"/>
        <v/>
      </c>
      <c r="K10812" s="1" t="str">
        <f t="shared" si="4"/>
        <v/>
      </c>
    </row>
    <row r="10813" hidden="1">
      <c r="F10813" s="1" t="str">
        <f t="shared" si="1"/>
        <v/>
      </c>
      <c r="G10813" s="1" t="str">
        <f t="shared" si="2"/>
        <v/>
      </c>
      <c r="J10813" s="1" t="str">
        <f t="shared" si="3"/>
        <v/>
      </c>
      <c r="K10813" s="1" t="str">
        <f t="shared" si="4"/>
        <v/>
      </c>
    </row>
    <row r="10814" hidden="1">
      <c r="F10814" s="1" t="str">
        <f t="shared" si="1"/>
        <v/>
      </c>
      <c r="G10814" s="1" t="str">
        <f t="shared" si="2"/>
        <v/>
      </c>
      <c r="J10814" s="1" t="str">
        <f t="shared" si="3"/>
        <v/>
      </c>
      <c r="K10814" s="1" t="str">
        <f t="shared" si="4"/>
        <v/>
      </c>
    </row>
    <row r="10815" hidden="1">
      <c r="F10815" s="1" t="str">
        <f t="shared" si="1"/>
        <v/>
      </c>
      <c r="G10815" s="1" t="str">
        <f t="shared" si="2"/>
        <v/>
      </c>
      <c r="J10815" s="1" t="str">
        <f t="shared" si="3"/>
        <v/>
      </c>
      <c r="K10815" s="1" t="str">
        <f t="shared" si="4"/>
        <v/>
      </c>
    </row>
    <row r="10816" hidden="1">
      <c r="F10816" s="1" t="str">
        <f t="shared" si="1"/>
        <v/>
      </c>
      <c r="G10816" s="1" t="str">
        <f t="shared" si="2"/>
        <v/>
      </c>
      <c r="J10816" s="1" t="str">
        <f t="shared" si="3"/>
        <v/>
      </c>
      <c r="K10816" s="1" t="str">
        <f t="shared" si="4"/>
        <v/>
      </c>
    </row>
    <row r="10817" hidden="1">
      <c r="F10817" s="1" t="str">
        <f t="shared" si="1"/>
        <v/>
      </c>
      <c r="G10817" s="1" t="str">
        <f t="shared" si="2"/>
        <v/>
      </c>
      <c r="J10817" s="1" t="str">
        <f t="shared" si="3"/>
        <v/>
      </c>
      <c r="K10817" s="1" t="str">
        <f t="shared" si="4"/>
        <v/>
      </c>
    </row>
    <row r="10818" hidden="1">
      <c r="F10818" s="1" t="str">
        <f t="shared" si="1"/>
        <v/>
      </c>
      <c r="G10818" s="1" t="str">
        <f t="shared" si="2"/>
        <v/>
      </c>
      <c r="J10818" s="1" t="str">
        <f t="shared" si="3"/>
        <v/>
      </c>
      <c r="K10818" s="1" t="str">
        <f t="shared" si="4"/>
        <v/>
      </c>
    </row>
    <row r="10819" hidden="1">
      <c r="F10819" s="1" t="str">
        <f t="shared" si="1"/>
        <v/>
      </c>
      <c r="G10819" s="1" t="str">
        <f t="shared" si="2"/>
        <v/>
      </c>
      <c r="J10819" s="1" t="str">
        <f t="shared" si="3"/>
        <v/>
      </c>
      <c r="K10819" s="1" t="str">
        <f t="shared" si="4"/>
        <v/>
      </c>
    </row>
    <row r="10820" hidden="1">
      <c r="F10820" s="1" t="str">
        <f t="shared" si="1"/>
        <v/>
      </c>
      <c r="G10820" s="1" t="str">
        <f t="shared" si="2"/>
        <v/>
      </c>
      <c r="J10820" s="1" t="str">
        <f t="shared" si="3"/>
        <v/>
      </c>
      <c r="K10820" s="1" t="str">
        <f t="shared" si="4"/>
        <v/>
      </c>
    </row>
    <row r="10821" hidden="1">
      <c r="F10821" s="1" t="str">
        <f t="shared" si="1"/>
        <v/>
      </c>
      <c r="G10821" s="1" t="str">
        <f t="shared" si="2"/>
        <v/>
      </c>
      <c r="J10821" s="1" t="str">
        <f t="shared" si="3"/>
        <v/>
      </c>
      <c r="K10821" s="1" t="str">
        <f t="shared" si="4"/>
        <v/>
      </c>
    </row>
    <row r="10822" hidden="1">
      <c r="F10822" s="1" t="str">
        <f t="shared" si="1"/>
        <v/>
      </c>
      <c r="G10822" s="1" t="str">
        <f t="shared" si="2"/>
        <v/>
      </c>
      <c r="J10822" s="1" t="str">
        <f t="shared" si="3"/>
        <v/>
      </c>
      <c r="K10822" s="1" t="str">
        <f t="shared" si="4"/>
        <v/>
      </c>
    </row>
    <row r="10823" hidden="1">
      <c r="F10823" s="1" t="str">
        <f t="shared" si="1"/>
        <v/>
      </c>
      <c r="G10823" s="1" t="str">
        <f t="shared" si="2"/>
        <v/>
      </c>
      <c r="J10823" s="1" t="str">
        <f t="shared" si="3"/>
        <v/>
      </c>
      <c r="K10823" s="1" t="str">
        <f t="shared" si="4"/>
        <v/>
      </c>
    </row>
    <row r="10824" hidden="1">
      <c r="F10824" s="1" t="str">
        <f t="shared" si="1"/>
        <v/>
      </c>
      <c r="G10824" s="1" t="str">
        <f t="shared" si="2"/>
        <v/>
      </c>
      <c r="J10824" s="1" t="str">
        <f t="shared" si="3"/>
        <v/>
      </c>
      <c r="K10824" s="1" t="str">
        <f t="shared" si="4"/>
        <v/>
      </c>
    </row>
    <row r="10825" hidden="1">
      <c r="F10825" s="1" t="str">
        <f t="shared" si="1"/>
        <v/>
      </c>
      <c r="G10825" s="1" t="str">
        <f t="shared" si="2"/>
        <v/>
      </c>
      <c r="J10825" s="1" t="str">
        <f t="shared" si="3"/>
        <v/>
      </c>
      <c r="K10825" s="1" t="str">
        <f t="shared" si="4"/>
        <v/>
      </c>
    </row>
    <row r="10826" hidden="1">
      <c r="F10826" s="1" t="str">
        <f t="shared" si="1"/>
        <v/>
      </c>
      <c r="G10826" s="1" t="str">
        <f t="shared" si="2"/>
        <v/>
      </c>
      <c r="J10826" s="1" t="str">
        <f t="shared" si="3"/>
        <v/>
      </c>
      <c r="K10826" s="1" t="str">
        <f t="shared" si="4"/>
        <v/>
      </c>
    </row>
    <row r="10827" hidden="1">
      <c r="F10827" s="1" t="str">
        <f t="shared" si="1"/>
        <v/>
      </c>
      <c r="G10827" s="1" t="str">
        <f t="shared" si="2"/>
        <v/>
      </c>
      <c r="J10827" s="1" t="str">
        <f t="shared" si="3"/>
        <v/>
      </c>
      <c r="K10827" s="1" t="str">
        <f t="shared" si="4"/>
        <v/>
      </c>
    </row>
    <row r="10828" hidden="1">
      <c r="F10828" s="1" t="str">
        <f t="shared" si="1"/>
        <v/>
      </c>
      <c r="G10828" s="1" t="str">
        <f t="shared" si="2"/>
        <v/>
      </c>
      <c r="J10828" s="1" t="str">
        <f t="shared" si="3"/>
        <v/>
      </c>
      <c r="K10828" s="1" t="str">
        <f t="shared" si="4"/>
        <v/>
      </c>
    </row>
    <row r="10829" hidden="1">
      <c r="F10829" s="1" t="str">
        <f t="shared" si="1"/>
        <v/>
      </c>
      <c r="G10829" s="1" t="str">
        <f t="shared" si="2"/>
        <v/>
      </c>
      <c r="J10829" s="1" t="str">
        <f t="shared" si="3"/>
        <v/>
      </c>
      <c r="K10829" s="1" t="str">
        <f t="shared" si="4"/>
        <v/>
      </c>
    </row>
    <row r="10830" hidden="1">
      <c r="F10830" s="1" t="str">
        <f t="shared" si="1"/>
        <v/>
      </c>
      <c r="G10830" s="1" t="str">
        <f t="shared" si="2"/>
        <v/>
      </c>
      <c r="J10830" s="1" t="str">
        <f t="shared" si="3"/>
        <v/>
      </c>
      <c r="K10830" s="1" t="str">
        <f t="shared" si="4"/>
        <v/>
      </c>
    </row>
    <row r="10831" hidden="1">
      <c r="F10831" s="1" t="str">
        <f t="shared" si="1"/>
        <v/>
      </c>
      <c r="G10831" s="1" t="str">
        <f t="shared" si="2"/>
        <v/>
      </c>
      <c r="J10831" s="1" t="str">
        <f t="shared" si="3"/>
        <v/>
      </c>
      <c r="K10831" s="1" t="str">
        <f t="shared" si="4"/>
        <v/>
      </c>
    </row>
    <row r="10832" hidden="1">
      <c r="F10832" s="1" t="str">
        <f t="shared" si="1"/>
        <v/>
      </c>
      <c r="G10832" s="1" t="str">
        <f t="shared" si="2"/>
        <v/>
      </c>
      <c r="J10832" s="1" t="str">
        <f t="shared" si="3"/>
        <v/>
      </c>
      <c r="K10832" s="1" t="str">
        <f t="shared" si="4"/>
        <v/>
      </c>
    </row>
    <row r="10833" hidden="1">
      <c r="F10833" s="1" t="str">
        <f t="shared" si="1"/>
        <v/>
      </c>
      <c r="G10833" s="1" t="str">
        <f t="shared" si="2"/>
        <v/>
      </c>
      <c r="J10833" s="1" t="str">
        <f t="shared" si="3"/>
        <v/>
      </c>
      <c r="K10833" s="1" t="str">
        <f t="shared" si="4"/>
        <v/>
      </c>
    </row>
    <row r="10834" hidden="1">
      <c r="F10834" s="1" t="str">
        <f t="shared" si="1"/>
        <v/>
      </c>
      <c r="G10834" s="1" t="str">
        <f t="shared" si="2"/>
        <v/>
      </c>
      <c r="J10834" s="1" t="str">
        <f t="shared" si="3"/>
        <v/>
      </c>
      <c r="K10834" s="1" t="str">
        <f t="shared" si="4"/>
        <v/>
      </c>
    </row>
    <row r="10835" hidden="1">
      <c r="F10835" s="1" t="str">
        <f t="shared" si="1"/>
        <v/>
      </c>
      <c r="G10835" s="1" t="str">
        <f t="shared" si="2"/>
        <v/>
      </c>
      <c r="J10835" s="1" t="str">
        <f t="shared" si="3"/>
        <v/>
      </c>
      <c r="K10835" s="1" t="str">
        <f t="shared" si="4"/>
        <v/>
      </c>
    </row>
    <row r="10836" hidden="1">
      <c r="F10836" s="1" t="str">
        <f t="shared" si="1"/>
        <v/>
      </c>
      <c r="G10836" s="1" t="str">
        <f t="shared" si="2"/>
        <v/>
      </c>
      <c r="J10836" s="1" t="str">
        <f t="shared" si="3"/>
        <v/>
      </c>
      <c r="K10836" s="1" t="str">
        <f t="shared" si="4"/>
        <v/>
      </c>
    </row>
    <row r="10837" hidden="1">
      <c r="F10837" s="1" t="str">
        <f t="shared" si="1"/>
        <v/>
      </c>
      <c r="G10837" s="1" t="str">
        <f t="shared" si="2"/>
        <v/>
      </c>
      <c r="J10837" s="1" t="str">
        <f t="shared" si="3"/>
        <v/>
      </c>
      <c r="K10837" s="1" t="str">
        <f t="shared" si="4"/>
        <v/>
      </c>
    </row>
    <row r="10838" hidden="1">
      <c r="F10838" s="1" t="str">
        <f t="shared" si="1"/>
        <v/>
      </c>
      <c r="G10838" s="1" t="str">
        <f t="shared" si="2"/>
        <v/>
      </c>
      <c r="J10838" s="1" t="str">
        <f t="shared" si="3"/>
        <v/>
      </c>
      <c r="K10838" s="1" t="str">
        <f t="shared" si="4"/>
        <v/>
      </c>
    </row>
    <row r="10839" hidden="1">
      <c r="F10839" s="1" t="str">
        <f t="shared" si="1"/>
        <v/>
      </c>
      <c r="G10839" s="1" t="str">
        <f t="shared" si="2"/>
        <v/>
      </c>
      <c r="J10839" s="1" t="str">
        <f t="shared" si="3"/>
        <v/>
      </c>
      <c r="K10839" s="1" t="str">
        <f t="shared" si="4"/>
        <v/>
      </c>
    </row>
    <row r="10840" hidden="1">
      <c r="F10840" s="1" t="str">
        <f t="shared" si="1"/>
        <v/>
      </c>
      <c r="G10840" s="1" t="str">
        <f t="shared" si="2"/>
        <v/>
      </c>
      <c r="J10840" s="1" t="str">
        <f t="shared" si="3"/>
        <v/>
      </c>
      <c r="K10840" s="1" t="str">
        <f t="shared" si="4"/>
        <v/>
      </c>
    </row>
    <row r="10841" hidden="1">
      <c r="F10841" s="1" t="str">
        <f t="shared" si="1"/>
        <v/>
      </c>
      <c r="G10841" s="1" t="str">
        <f t="shared" si="2"/>
        <v/>
      </c>
      <c r="J10841" s="1" t="str">
        <f t="shared" si="3"/>
        <v/>
      </c>
      <c r="K10841" s="1" t="str">
        <f t="shared" si="4"/>
        <v/>
      </c>
    </row>
    <row r="10842" hidden="1">
      <c r="F10842" s="1" t="str">
        <f t="shared" si="1"/>
        <v/>
      </c>
      <c r="G10842" s="1" t="str">
        <f t="shared" si="2"/>
        <v/>
      </c>
      <c r="J10842" s="1" t="str">
        <f t="shared" si="3"/>
        <v/>
      </c>
      <c r="K10842" s="1" t="str">
        <f t="shared" si="4"/>
        <v/>
      </c>
    </row>
    <row r="10843" hidden="1">
      <c r="F10843" s="1" t="str">
        <f t="shared" si="1"/>
        <v/>
      </c>
      <c r="G10843" s="1" t="str">
        <f t="shared" si="2"/>
        <v/>
      </c>
      <c r="J10843" s="1" t="str">
        <f t="shared" si="3"/>
        <v/>
      </c>
      <c r="K10843" s="1" t="str">
        <f t="shared" si="4"/>
        <v/>
      </c>
    </row>
    <row r="10844" hidden="1">
      <c r="F10844" s="1" t="str">
        <f t="shared" si="1"/>
        <v/>
      </c>
      <c r="G10844" s="1" t="str">
        <f t="shared" si="2"/>
        <v/>
      </c>
      <c r="J10844" s="1" t="str">
        <f t="shared" si="3"/>
        <v/>
      </c>
      <c r="K10844" s="1" t="str">
        <f t="shared" si="4"/>
        <v/>
      </c>
    </row>
    <row r="10845" hidden="1">
      <c r="F10845" s="1" t="str">
        <f t="shared" si="1"/>
        <v/>
      </c>
      <c r="G10845" s="1" t="str">
        <f t="shared" si="2"/>
        <v/>
      </c>
      <c r="J10845" s="1" t="str">
        <f t="shared" si="3"/>
        <v/>
      </c>
      <c r="K10845" s="1" t="str">
        <f t="shared" si="4"/>
        <v/>
      </c>
    </row>
    <row r="10846" hidden="1">
      <c r="F10846" s="1" t="str">
        <f t="shared" si="1"/>
        <v/>
      </c>
      <c r="G10846" s="1" t="str">
        <f t="shared" si="2"/>
        <v/>
      </c>
      <c r="J10846" s="1" t="str">
        <f t="shared" si="3"/>
        <v/>
      </c>
      <c r="K10846" s="1" t="str">
        <f t="shared" si="4"/>
        <v/>
      </c>
    </row>
    <row r="10847" hidden="1">
      <c r="F10847" s="1" t="str">
        <f t="shared" si="1"/>
        <v/>
      </c>
      <c r="G10847" s="1" t="str">
        <f t="shared" si="2"/>
        <v/>
      </c>
      <c r="J10847" s="1" t="str">
        <f t="shared" si="3"/>
        <v/>
      </c>
      <c r="K10847" s="1" t="str">
        <f t="shared" si="4"/>
        <v/>
      </c>
    </row>
    <row r="10848" hidden="1">
      <c r="F10848" s="1" t="str">
        <f t="shared" si="1"/>
        <v/>
      </c>
      <c r="G10848" s="1" t="str">
        <f t="shared" si="2"/>
        <v/>
      </c>
      <c r="J10848" s="1" t="str">
        <f t="shared" si="3"/>
        <v/>
      </c>
      <c r="K10848" s="1" t="str">
        <f t="shared" si="4"/>
        <v/>
      </c>
    </row>
    <row r="10849" hidden="1">
      <c r="F10849" s="1" t="str">
        <f t="shared" si="1"/>
        <v/>
      </c>
      <c r="G10849" s="1" t="str">
        <f t="shared" si="2"/>
        <v/>
      </c>
      <c r="J10849" s="1" t="str">
        <f t="shared" si="3"/>
        <v/>
      </c>
      <c r="K10849" s="1" t="str">
        <f t="shared" si="4"/>
        <v/>
      </c>
    </row>
    <row r="10850" hidden="1">
      <c r="F10850" s="1" t="str">
        <f t="shared" si="1"/>
        <v/>
      </c>
      <c r="G10850" s="1" t="str">
        <f t="shared" si="2"/>
        <v/>
      </c>
      <c r="J10850" s="1" t="str">
        <f t="shared" si="3"/>
        <v/>
      </c>
      <c r="K10850" s="1" t="str">
        <f t="shared" si="4"/>
        <v/>
      </c>
    </row>
    <row r="10851" hidden="1">
      <c r="F10851" s="1" t="str">
        <f t="shared" si="1"/>
        <v/>
      </c>
      <c r="G10851" s="1" t="str">
        <f t="shared" si="2"/>
        <v/>
      </c>
      <c r="J10851" s="1" t="str">
        <f t="shared" si="3"/>
        <v/>
      </c>
      <c r="K10851" s="1" t="str">
        <f t="shared" si="4"/>
        <v/>
      </c>
    </row>
    <row r="10852" hidden="1">
      <c r="F10852" s="1" t="str">
        <f t="shared" si="1"/>
        <v/>
      </c>
      <c r="G10852" s="1" t="str">
        <f t="shared" si="2"/>
        <v/>
      </c>
      <c r="J10852" s="1" t="str">
        <f t="shared" si="3"/>
        <v/>
      </c>
      <c r="K10852" s="1" t="str">
        <f t="shared" si="4"/>
        <v/>
      </c>
    </row>
    <row r="10853" hidden="1">
      <c r="F10853" s="1" t="str">
        <f t="shared" si="1"/>
        <v/>
      </c>
      <c r="G10853" s="1" t="str">
        <f t="shared" si="2"/>
        <v/>
      </c>
      <c r="J10853" s="1" t="str">
        <f t="shared" si="3"/>
        <v/>
      </c>
      <c r="K10853" s="1" t="str">
        <f t="shared" si="4"/>
        <v/>
      </c>
    </row>
    <row r="10854" hidden="1">
      <c r="F10854" s="1" t="str">
        <f t="shared" si="1"/>
        <v/>
      </c>
      <c r="G10854" s="1" t="str">
        <f t="shared" si="2"/>
        <v/>
      </c>
      <c r="J10854" s="1" t="str">
        <f t="shared" si="3"/>
        <v/>
      </c>
      <c r="K10854" s="1" t="str">
        <f t="shared" si="4"/>
        <v/>
      </c>
    </row>
    <row r="10855" hidden="1">
      <c r="F10855" s="1" t="str">
        <f t="shared" si="1"/>
        <v/>
      </c>
      <c r="G10855" s="1" t="str">
        <f t="shared" si="2"/>
        <v/>
      </c>
      <c r="J10855" s="1" t="str">
        <f t="shared" si="3"/>
        <v/>
      </c>
      <c r="K10855" s="1" t="str">
        <f t="shared" si="4"/>
        <v/>
      </c>
    </row>
    <row r="10856" hidden="1">
      <c r="F10856" s="1" t="str">
        <f t="shared" si="1"/>
        <v/>
      </c>
      <c r="G10856" s="1" t="str">
        <f t="shared" si="2"/>
        <v/>
      </c>
      <c r="J10856" s="1" t="str">
        <f t="shared" si="3"/>
        <v/>
      </c>
      <c r="K10856" s="1" t="str">
        <f t="shared" si="4"/>
        <v/>
      </c>
    </row>
    <row r="10857" hidden="1">
      <c r="F10857" s="1" t="str">
        <f t="shared" si="1"/>
        <v/>
      </c>
      <c r="G10857" s="1" t="str">
        <f t="shared" si="2"/>
        <v/>
      </c>
      <c r="J10857" s="1" t="str">
        <f t="shared" si="3"/>
        <v/>
      </c>
      <c r="K10857" s="1" t="str">
        <f t="shared" si="4"/>
        <v/>
      </c>
    </row>
    <row r="10858" hidden="1">
      <c r="F10858" s="1" t="str">
        <f t="shared" si="1"/>
        <v/>
      </c>
      <c r="G10858" s="1" t="str">
        <f t="shared" si="2"/>
        <v/>
      </c>
      <c r="J10858" s="1" t="str">
        <f t="shared" si="3"/>
        <v/>
      </c>
      <c r="K10858" s="1" t="str">
        <f t="shared" si="4"/>
        <v/>
      </c>
    </row>
    <row r="10859" hidden="1">
      <c r="F10859" s="1" t="str">
        <f t="shared" si="1"/>
        <v/>
      </c>
      <c r="G10859" s="1" t="str">
        <f t="shared" si="2"/>
        <v/>
      </c>
      <c r="J10859" s="1" t="str">
        <f t="shared" si="3"/>
        <v/>
      </c>
      <c r="K10859" s="1" t="str">
        <f t="shared" si="4"/>
        <v/>
      </c>
    </row>
    <row r="10860" hidden="1">
      <c r="F10860" s="1" t="str">
        <f t="shared" si="1"/>
        <v/>
      </c>
      <c r="G10860" s="1" t="str">
        <f t="shared" si="2"/>
        <v/>
      </c>
      <c r="J10860" s="1" t="str">
        <f t="shared" si="3"/>
        <v/>
      </c>
      <c r="K10860" s="1" t="str">
        <f t="shared" si="4"/>
        <v/>
      </c>
    </row>
    <row r="10861" hidden="1">
      <c r="F10861" s="1" t="str">
        <f t="shared" si="1"/>
        <v/>
      </c>
      <c r="G10861" s="1" t="str">
        <f t="shared" si="2"/>
        <v/>
      </c>
      <c r="J10861" s="1" t="str">
        <f t="shared" si="3"/>
        <v/>
      </c>
      <c r="K10861" s="1" t="str">
        <f t="shared" si="4"/>
        <v/>
      </c>
    </row>
    <row r="10862" hidden="1">
      <c r="F10862" s="1" t="str">
        <f t="shared" si="1"/>
        <v/>
      </c>
      <c r="G10862" s="1" t="str">
        <f t="shared" si="2"/>
        <v/>
      </c>
      <c r="J10862" s="1" t="str">
        <f t="shared" si="3"/>
        <v/>
      </c>
      <c r="K10862" s="1" t="str">
        <f t="shared" si="4"/>
        <v/>
      </c>
    </row>
    <row r="10863" hidden="1">
      <c r="F10863" s="1" t="str">
        <f t="shared" si="1"/>
        <v/>
      </c>
      <c r="G10863" s="1" t="str">
        <f t="shared" si="2"/>
        <v/>
      </c>
      <c r="J10863" s="1" t="str">
        <f t="shared" si="3"/>
        <v/>
      </c>
      <c r="K10863" s="1" t="str">
        <f t="shared" si="4"/>
        <v/>
      </c>
    </row>
    <row r="10864" hidden="1">
      <c r="F10864" s="1" t="str">
        <f t="shared" si="1"/>
        <v/>
      </c>
      <c r="G10864" s="1" t="str">
        <f t="shared" si="2"/>
        <v/>
      </c>
      <c r="J10864" s="1" t="str">
        <f t="shared" si="3"/>
        <v/>
      </c>
      <c r="K10864" s="1" t="str">
        <f t="shared" si="4"/>
        <v/>
      </c>
    </row>
    <row r="10865" hidden="1">
      <c r="F10865" s="1" t="str">
        <f t="shared" si="1"/>
        <v/>
      </c>
      <c r="G10865" s="1" t="str">
        <f t="shared" si="2"/>
        <v/>
      </c>
      <c r="J10865" s="1" t="str">
        <f t="shared" si="3"/>
        <v/>
      </c>
      <c r="K10865" s="1" t="str">
        <f t="shared" si="4"/>
        <v/>
      </c>
    </row>
    <row r="10866" hidden="1">
      <c r="F10866" s="1" t="str">
        <f t="shared" si="1"/>
        <v/>
      </c>
      <c r="G10866" s="1" t="str">
        <f t="shared" si="2"/>
        <v/>
      </c>
      <c r="J10866" s="1" t="str">
        <f t="shared" si="3"/>
        <v/>
      </c>
      <c r="K10866" s="1" t="str">
        <f t="shared" si="4"/>
        <v/>
      </c>
    </row>
    <row r="10867" hidden="1">
      <c r="F10867" s="1" t="str">
        <f t="shared" si="1"/>
        <v/>
      </c>
      <c r="G10867" s="1" t="str">
        <f t="shared" si="2"/>
        <v/>
      </c>
      <c r="J10867" s="1" t="str">
        <f t="shared" si="3"/>
        <v/>
      </c>
      <c r="K10867" s="1" t="str">
        <f t="shared" si="4"/>
        <v/>
      </c>
    </row>
    <row r="10868" hidden="1">
      <c r="F10868" s="1" t="str">
        <f t="shared" si="1"/>
        <v/>
      </c>
      <c r="G10868" s="1" t="str">
        <f t="shared" si="2"/>
        <v/>
      </c>
      <c r="J10868" s="1" t="str">
        <f t="shared" si="3"/>
        <v/>
      </c>
      <c r="K10868" s="1" t="str">
        <f t="shared" si="4"/>
        <v/>
      </c>
    </row>
    <row r="10869" hidden="1">
      <c r="F10869" s="1" t="str">
        <f t="shared" si="1"/>
        <v/>
      </c>
      <c r="G10869" s="1" t="str">
        <f t="shared" si="2"/>
        <v/>
      </c>
      <c r="J10869" s="1" t="str">
        <f t="shared" si="3"/>
        <v/>
      </c>
      <c r="K10869" s="1" t="str">
        <f t="shared" si="4"/>
        <v/>
      </c>
    </row>
    <row r="10870" hidden="1">
      <c r="F10870" s="1" t="str">
        <f t="shared" si="1"/>
        <v/>
      </c>
      <c r="G10870" s="1" t="str">
        <f t="shared" si="2"/>
        <v/>
      </c>
      <c r="J10870" s="1" t="str">
        <f t="shared" si="3"/>
        <v/>
      </c>
      <c r="K10870" s="1" t="str">
        <f t="shared" si="4"/>
        <v/>
      </c>
    </row>
    <row r="10871" hidden="1">
      <c r="F10871" s="1" t="str">
        <f t="shared" si="1"/>
        <v/>
      </c>
      <c r="G10871" s="1" t="str">
        <f t="shared" si="2"/>
        <v/>
      </c>
      <c r="J10871" s="1" t="str">
        <f t="shared" si="3"/>
        <v/>
      </c>
      <c r="K10871" s="1" t="str">
        <f t="shared" si="4"/>
        <v/>
      </c>
    </row>
    <row r="10872" hidden="1">
      <c r="F10872" s="1" t="str">
        <f t="shared" si="1"/>
        <v/>
      </c>
      <c r="G10872" s="1" t="str">
        <f t="shared" si="2"/>
        <v/>
      </c>
      <c r="J10872" s="1" t="str">
        <f t="shared" si="3"/>
        <v/>
      </c>
      <c r="K10872" s="1" t="str">
        <f t="shared" si="4"/>
        <v/>
      </c>
    </row>
    <row r="10873" hidden="1">
      <c r="F10873" s="1" t="str">
        <f t="shared" si="1"/>
        <v/>
      </c>
      <c r="G10873" s="1" t="str">
        <f t="shared" si="2"/>
        <v/>
      </c>
      <c r="J10873" s="1" t="str">
        <f t="shared" si="3"/>
        <v/>
      </c>
      <c r="K10873" s="1" t="str">
        <f t="shared" si="4"/>
        <v/>
      </c>
    </row>
    <row r="10874" hidden="1">
      <c r="F10874" s="1" t="str">
        <f t="shared" si="1"/>
        <v/>
      </c>
      <c r="G10874" s="1" t="str">
        <f t="shared" si="2"/>
        <v/>
      </c>
      <c r="J10874" s="1" t="str">
        <f t="shared" si="3"/>
        <v/>
      </c>
      <c r="K10874" s="1" t="str">
        <f t="shared" si="4"/>
        <v/>
      </c>
    </row>
    <row r="10875" hidden="1">
      <c r="F10875" s="1" t="str">
        <f t="shared" si="1"/>
        <v/>
      </c>
      <c r="G10875" s="1" t="str">
        <f t="shared" si="2"/>
        <v/>
      </c>
      <c r="J10875" s="1" t="str">
        <f t="shared" si="3"/>
        <v/>
      </c>
      <c r="K10875" s="1" t="str">
        <f t="shared" si="4"/>
        <v/>
      </c>
    </row>
    <row r="10876" hidden="1">
      <c r="F10876" s="1" t="str">
        <f t="shared" si="1"/>
        <v/>
      </c>
      <c r="G10876" s="1" t="str">
        <f t="shared" si="2"/>
        <v/>
      </c>
      <c r="J10876" s="1" t="str">
        <f t="shared" si="3"/>
        <v/>
      </c>
      <c r="K10876" s="1" t="str">
        <f t="shared" si="4"/>
        <v/>
      </c>
    </row>
    <row r="10877" hidden="1">
      <c r="F10877" s="1" t="str">
        <f t="shared" si="1"/>
        <v/>
      </c>
      <c r="G10877" s="1" t="str">
        <f t="shared" si="2"/>
        <v/>
      </c>
      <c r="J10877" s="1" t="str">
        <f t="shared" si="3"/>
        <v/>
      </c>
      <c r="K10877" s="1" t="str">
        <f t="shared" si="4"/>
        <v/>
      </c>
    </row>
    <row r="10878" hidden="1">
      <c r="F10878" s="1" t="str">
        <f t="shared" si="1"/>
        <v/>
      </c>
      <c r="G10878" s="1" t="str">
        <f t="shared" si="2"/>
        <v/>
      </c>
      <c r="J10878" s="1" t="str">
        <f t="shared" si="3"/>
        <v/>
      </c>
      <c r="K10878" s="1" t="str">
        <f t="shared" si="4"/>
        <v/>
      </c>
    </row>
    <row r="10879" hidden="1">
      <c r="F10879" s="1" t="str">
        <f t="shared" si="1"/>
        <v/>
      </c>
      <c r="G10879" s="1" t="str">
        <f t="shared" si="2"/>
        <v/>
      </c>
      <c r="J10879" s="1" t="str">
        <f t="shared" si="3"/>
        <v/>
      </c>
      <c r="K10879" s="1" t="str">
        <f t="shared" si="4"/>
        <v/>
      </c>
    </row>
    <row r="10880" hidden="1">
      <c r="F10880" s="1" t="str">
        <f t="shared" si="1"/>
        <v/>
      </c>
      <c r="G10880" s="1" t="str">
        <f t="shared" si="2"/>
        <v/>
      </c>
      <c r="J10880" s="1" t="str">
        <f t="shared" si="3"/>
        <v/>
      </c>
      <c r="K10880" s="1" t="str">
        <f t="shared" si="4"/>
        <v/>
      </c>
    </row>
    <row r="10881" hidden="1">
      <c r="F10881" s="1" t="str">
        <f t="shared" si="1"/>
        <v/>
      </c>
      <c r="G10881" s="1" t="str">
        <f t="shared" si="2"/>
        <v/>
      </c>
      <c r="J10881" s="1" t="str">
        <f t="shared" si="3"/>
        <v/>
      </c>
      <c r="K10881" s="1" t="str">
        <f t="shared" si="4"/>
        <v/>
      </c>
    </row>
    <row r="10882" hidden="1">
      <c r="F10882" s="1" t="str">
        <f t="shared" si="1"/>
        <v/>
      </c>
      <c r="G10882" s="1" t="str">
        <f t="shared" si="2"/>
        <v/>
      </c>
      <c r="J10882" s="1" t="str">
        <f t="shared" si="3"/>
        <v/>
      </c>
      <c r="K10882" s="1" t="str">
        <f t="shared" si="4"/>
        <v/>
      </c>
    </row>
    <row r="10883" hidden="1">
      <c r="F10883" s="1" t="str">
        <f t="shared" si="1"/>
        <v/>
      </c>
      <c r="G10883" s="1" t="str">
        <f t="shared" si="2"/>
        <v/>
      </c>
      <c r="J10883" s="1" t="str">
        <f t="shared" si="3"/>
        <v/>
      </c>
      <c r="K10883" s="1" t="str">
        <f t="shared" si="4"/>
        <v/>
      </c>
    </row>
    <row r="10884" hidden="1">
      <c r="F10884" s="1" t="str">
        <f t="shared" si="1"/>
        <v/>
      </c>
      <c r="G10884" s="1" t="str">
        <f t="shared" si="2"/>
        <v/>
      </c>
      <c r="J10884" s="1" t="str">
        <f t="shared" si="3"/>
        <v/>
      </c>
      <c r="K10884" s="1" t="str">
        <f t="shared" si="4"/>
        <v/>
      </c>
    </row>
    <row r="10885" hidden="1">
      <c r="F10885" s="1" t="str">
        <f t="shared" si="1"/>
        <v/>
      </c>
      <c r="G10885" s="1" t="str">
        <f t="shared" si="2"/>
        <v/>
      </c>
      <c r="J10885" s="1" t="str">
        <f t="shared" si="3"/>
        <v/>
      </c>
      <c r="K10885" s="1" t="str">
        <f t="shared" si="4"/>
        <v/>
      </c>
    </row>
    <row r="10886" hidden="1">
      <c r="F10886" s="1" t="str">
        <f t="shared" si="1"/>
        <v/>
      </c>
      <c r="G10886" s="1" t="str">
        <f t="shared" si="2"/>
        <v/>
      </c>
      <c r="J10886" s="1" t="str">
        <f t="shared" si="3"/>
        <v/>
      </c>
      <c r="K10886" s="1" t="str">
        <f t="shared" si="4"/>
        <v/>
      </c>
    </row>
    <row r="10887" hidden="1">
      <c r="F10887" s="1" t="str">
        <f t="shared" si="1"/>
        <v/>
      </c>
      <c r="G10887" s="1" t="str">
        <f t="shared" si="2"/>
        <v/>
      </c>
      <c r="J10887" s="1" t="str">
        <f t="shared" si="3"/>
        <v/>
      </c>
      <c r="K10887" s="1" t="str">
        <f t="shared" si="4"/>
        <v/>
      </c>
    </row>
    <row r="10888" hidden="1">
      <c r="F10888" s="1" t="str">
        <f t="shared" si="1"/>
        <v/>
      </c>
      <c r="G10888" s="1" t="str">
        <f t="shared" si="2"/>
        <v/>
      </c>
      <c r="J10888" s="1" t="str">
        <f t="shared" si="3"/>
        <v/>
      </c>
      <c r="K10888" s="1" t="str">
        <f t="shared" si="4"/>
        <v/>
      </c>
    </row>
    <row r="10889" hidden="1">
      <c r="F10889" s="1" t="str">
        <f t="shared" si="1"/>
        <v/>
      </c>
      <c r="G10889" s="1" t="str">
        <f t="shared" si="2"/>
        <v/>
      </c>
      <c r="J10889" s="1" t="str">
        <f t="shared" si="3"/>
        <v/>
      </c>
      <c r="K10889" s="1" t="str">
        <f t="shared" si="4"/>
        <v/>
      </c>
    </row>
    <row r="10890" hidden="1">
      <c r="F10890" s="1" t="str">
        <f t="shared" si="1"/>
        <v/>
      </c>
      <c r="G10890" s="1" t="str">
        <f t="shared" si="2"/>
        <v/>
      </c>
      <c r="J10890" s="1" t="str">
        <f t="shared" si="3"/>
        <v/>
      </c>
      <c r="K10890" s="1" t="str">
        <f t="shared" si="4"/>
        <v/>
      </c>
    </row>
    <row r="10891" hidden="1">
      <c r="F10891" s="1" t="str">
        <f t="shared" si="1"/>
        <v/>
      </c>
      <c r="G10891" s="1" t="str">
        <f t="shared" si="2"/>
        <v/>
      </c>
      <c r="J10891" s="1" t="str">
        <f t="shared" si="3"/>
        <v/>
      </c>
      <c r="K10891" s="1" t="str">
        <f t="shared" si="4"/>
        <v/>
      </c>
    </row>
    <row r="10892" hidden="1">
      <c r="F10892" s="1" t="str">
        <f t="shared" si="1"/>
        <v/>
      </c>
      <c r="G10892" s="1" t="str">
        <f t="shared" si="2"/>
        <v/>
      </c>
      <c r="J10892" s="1" t="str">
        <f t="shared" si="3"/>
        <v/>
      </c>
      <c r="K10892" s="1" t="str">
        <f t="shared" si="4"/>
        <v/>
      </c>
    </row>
    <row r="10893" hidden="1">
      <c r="F10893" s="1" t="str">
        <f t="shared" si="1"/>
        <v/>
      </c>
      <c r="G10893" s="1" t="str">
        <f t="shared" si="2"/>
        <v/>
      </c>
      <c r="J10893" s="1" t="str">
        <f t="shared" si="3"/>
        <v/>
      </c>
      <c r="K10893" s="1" t="str">
        <f t="shared" si="4"/>
        <v/>
      </c>
    </row>
    <row r="10894" hidden="1">
      <c r="F10894" s="1" t="str">
        <f t="shared" si="1"/>
        <v/>
      </c>
      <c r="G10894" s="1" t="str">
        <f t="shared" si="2"/>
        <v/>
      </c>
      <c r="J10894" s="1" t="str">
        <f t="shared" si="3"/>
        <v/>
      </c>
      <c r="K10894" s="1" t="str">
        <f t="shared" si="4"/>
        <v/>
      </c>
    </row>
    <row r="10895" hidden="1">
      <c r="F10895" s="1" t="str">
        <f t="shared" si="1"/>
        <v/>
      </c>
      <c r="G10895" s="1" t="str">
        <f t="shared" si="2"/>
        <v/>
      </c>
      <c r="J10895" s="1" t="str">
        <f t="shared" si="3"/>
        <v/>
      </c>
      <c r="K10895" s="1" t="str">
        <f t="shared" si="4"/>
        <v/>
      </c>
    </row>
    <row r="10896" hidden="1">
      <c r="F10896" s="1" t="str">
        <f t="shared" si="1"/>
        <v/>
      </c>
      <c r="G10896" s="1" t="str">
        <f t="shared" si="2"/>
        <v/>
      </c>
      <c r="J10896" s="1" t="str">
        <f t="shared" si="3"/>
        <v/>
      </c>
      <c r="K10896" s="1" t="str">
        <f t="shared" si="4"/>
        <v/>
      </c>
    </row>
    <row r="10897" hidden="1">
      <c r="F10897" s="1" t="str">
        <f t="shared" si="1"/>
        <v/>
      </c>
      <c r="G10897" s="1" t="str">
        <f t="shared" si="2"/>
        <v/>
      </c>
      <c r="J10897" s="1" t="str">
        <f t="shared" si="3"/>
        <v/>
      </c>
      <c r="K10897" s="1" t="str">
        <f t="shared" si="4"/>
        <v/>
      </c>
    </row>
    <row r="10898" hidden="1">
      <c r="F10898" s="1" t="str">
        <f t="shared" si="1"/>
        <v/>
      </c>
      <c r="G10898" s="1" t="str">
        <f t="shared" si="2"/>
        <v/>
      </c>
      <c r="J10898" s="1" t="str">
        <f t="shared" si="3"/>
        <v/>
      </c>
      <c r="K10898" s="1" t="str">
        <f t="shared" si="4"/>
        <v/>
      </c>
    </row>
    <row r="10899" hidden="1">
      <c r="F10899" s="1" t="str">
        <f t="shared" si="1"/>
        <v/>
      </c>
      <c r="G10899" s="1" t="str">
        <f t="shared" si="2"/>
        <v/>
      </c>
      <c r="J10899" s="1" t="str">
        <f t="shared" si="3"/>
        <v/>
      </c>
      <c r="K10899" s="1" t="str">
        <f t="shared" si="4"/>
        <v/>
      </c>
    </row>
    <row r="10900" hidden="1">
      <c r="F10900" s="1" t="str">
        <f t="shared" si="1"/>
        <v/>
      </c>
      <c r="G10900" s="1" t="str">
        <f t="shared" si="2"/>
        <v/>
      </c>
      <c r="J10900" s="1" t="str">
        <f t="shared" si="3"/>
        <v/>
      </c>
      <c r="K10900" s="1" t="str">
        <f t="shared" si="4"/>
        <v/>
      </c>
    </row>
    <row r="10901" hidden="1">
      <c r="F10901" s="1" t="str">
        <f t="shared" si="1"/>
        <v/>
      </c>
      <c r="G10901" s="1" t="str">
        <f t="shared" si="2"/>
        <v/>
      </c>
      <c r="J10901" s="1" t="str">
        <f t="shared" si="3"/>
        <v/>
      </c>
      <c r="K10901" s="1" t="str">
        <f t="shared" si="4"/>
        <v/>
      </c>
    </row>
    <row r="10902" hidden="1">
      <c r="F10902" s="1" t="str">
        <f t="shared" si="1"/>
        <v/>
      </c>
      <c r="G10902" s="1" t="str">
        <f t="shared" si="2"/>
        <v/>
      </c>
      <c r="J10902" s="1" t="str">
        <f t="shared" si="3"/>
        <v/>
      </c>
      <c r="K10902" s="1" t="str">
        <f t="shared" si="4"/>
        <v/>
      </c>
    </row>
    <row r="10903" hidden="1">
      <c r="F10903" s="1" t="str">
        <f t="shared" si="1"/>
        <v/>
      </c>
      <c r="G10903" s="1" t="str">
        <f t="shared" si="2"/>
        <v/>
      </c>
      <c r="J10903" s="1" t="str">
        <f t="shared" si="3"/>
        <v/>
      </c>
      <c r="K10903" s="1" t="str">
        <f t="shared" si="4"/>
        <v/>
      </c>
    </row>
    <row r="10904" hidden="1">
      <c r="F10904" s="1" t="str">
        <f t="shared" si="1"/>
        <v/>
      </c>
      <c r="G10904" s="1" t="str">
        <f t="shared" si="2"/>
        <v/>
      </c>
      <c r="J10904" s="1" t="str">
        <f t="shared" si="3"/>
        <v/>
      </c>
      <c r="K10904" s="1" t="str">
        <f t="shared" si="4"/>
        <v/>
      </c>
    </row>
    <row r="10905" hidden="1">
      <c r="F10905" s="1" t="str">
        <f t="shared" si="1"/>
        <v/>
      </c>
      <c r="G10905" s="1" t="str">
        <f t="shared" si="2"/>
        <v/>
      </c>
      <c r="J10905" s="1" t="str">
        <f t="shared" si="3"/>
        <v/>
      </c>
      <c r="K10905" s="1" t="str">
        <f t="shared" si="4"/>
        <v/>
      </c>
    </row>
    <row r="10906" hidden="1">
      <c r="F10906" s="1" t="str">
        <f t="shared" si="1"/>
        <v/>
      </c>
      <c r="G10906" s="1" t="str">
        <f t="shared" si="2"/>
        <v/>
      </c>
      <c r="J10906" s="1" t="str">
        <f t="shared" si="3"/>
        <v/>
      </c>
      <c r="K10906" s="1" t="str">
        <f t="shared" si="4"/>
        <v/>
      </c>
    </row>
    <row r="10907" hidden="1">
      <c r="F10907" s="1" t="str">
        <f t="shared" si="1"/>
        <v/>
      </c>
      <c r="G10907" s="1" t="str">
        <f t="shared" si="2"/>
        <v/>
      </c>
      <c r="J10907" s="1" t="str">
        <f t="shared" si="3"/>
        <v/>
      </c>
      <c r="K10907" s="1" t="str">
        <f t="shared" si="4"/>
        <v/>
      </c>
    </row>
    <row r="10908" hidden="1">
      <c r="F10908" s="1" t="str">
        <f t="shared" si="1"/>
        <v/>
      </c>
      <c r="G10908" s="1" t="str">
        <f t="shared" si="2"/>
        <v/>
      </c>
      <c r="J10908" s="1" t="str">
        <f t="shared" si="3"/>
        <v/>
      </c>
      <c r="K10908" s="1" t="str">
        <f t="shared" si="4"/>
        <v/>
      </c>
    </row>
    <row r="10909" hidden="1">
      <c r="F10909" s="1" t="str">
        <f t="shared" si="1"/>
        <v/>
      </c>
      <c r="G10909" s="1" t="str">
        <f t="shared" si="2"/>
        <v/>
      </c>
      <c r="J10909" s="1" t="str">
        <f t="shared" si="3"/>
        <v/>
      </c>
      <c r="K10909" s="1" t="str">
        <f t="shared" si="4"/>
        <v/>
      </c>
    </row>
    <row r="10910" hidden="1">
      <c r="F10910" s="1" t="str">
        <f t="shared" si="1"/>
        <v/>
      </c>
      <c r="G10910" s="1" t="str">
        <f t="shared" si="2"/>
        <v/>
      </c>
      <c r="J10910" s="1" t="str">
        <f t="shared" si="3"/>
        <v/>
      </c>
      <c r="K10910" s="1" t="str">
        <f t="shared" si="4"/>
        <v/>
      </c>
    </row>
    <row r="10911" hidden="1">
      <c r="F10911" s="1" t="str">
        <f t="shared" si="1"/>
        <v/>
      </c>
      <c r="G10911" s="1" t="str">
        <f t="shared" si="2"/>
        <v/>
      </c>
      <c r="J10911" s="1" t="str">
        <f t="shared" si="3"/>
        <v/>
      </c>
      <c r="K10911" s="1" t="str">
        <f t="shared" si="4"/>
        <v/>
      </c>
    </row>
    <row r="10912" hidden="1">
      <c r="F10912" s="1" t="str">
        <f t="shared" si="1"/>
        <v/>
      </c>
      <c r="G10912" s="1" t="str">
        <f t="shared" si="2"/>
        <v/>
      </c>
      <c r="J10912" s="1" t="str">
        <f t="shared" si="3"/>
        <v/>
      </c>
      <c r="K10912" s="1" t="str">
        <f t="shared" si="4"/>
        <v/>
      </c>
    </row>
    <row r="10913" hidden="1">
      <c r="F10913" s="1" t="str">
        <f t="shared" si="1"/>
        <v/>
      </c>
      <c r="G10913" s="1" t="str">
        <f t="shared" si="2"/>
        <v/>
      </c>
      <c r="J10913" s="1" t="str">
        <f t="shared" si="3"/>
        <v/>
      </c>
      <c r="K10913" s="1" t="str">
        <f t="shared" si="4"/>
        <v/>
      </c>
    </row>
    <row r="10914" hidden="1">
      <c r="F10914" s="1" t="str">
        <f t="shared" si="1"/>
        <v/>
      </c>
      <c r="G10914" s="1" t="str">
        <f t="shared" si="2"/>
        <v/>
      </c>
      <c r="J10914" s="1" t="str">
        <f t="shared" si="3"/>
        <v/>
      </c>
      <c r="K10914" s="1" t="str">
        <f t="shared" si="4"/>
        <v/>
      </c>
    </row>
    <row r="10915" hidden="1">
      <c r="F10915" s="1" t="str">
        <f t="shared" si="1"/>
        <v/>
      </c>
      <c r="G10915" s="1" t="str">
        <f t="shared" si="2"/>
        <v/>
      </c>
      <c r="J10915" s="1" t="str">
        <f t="shared" si="3"/>
        <v/>
      </c>
      <c r="K10915" s="1" t="str">
        <f t="shared" si="4"/>
        <v/>
      </c>
    </row>
    <row r="10916" hidden="1">
      <c r="F10916" s="1" t="str">
        <f t="shared" si="1"/>
        <v/>
      </c>
      <c r="G10916" s="1" t="str">
        <f t="shared" si="2"/>
        <v/>
      </c>
      <c r="J10916" s="1" t="str">
        <f t="shared" si="3"/>
        <v/>
      </c>
      <c r="K10916" s="1" t="str">
        <f t="shared" si="4"/>
        <v/>
      </c>
    </row>
    <row r="10917" hidden="1">
      <c r="F10917" s="1" t="str">
        <f t="shared" si="1"/>
        <v/>
      </c>
      <c r="G10917" s="1" t="str">
        <f t="shared" si="2"/>
        <v/>
      </c>
      <c r="J10917" s="1" t="str">
        <f t="shared" si="3"/>
        <v/>
      </c>
      <c r="K10917" s="1" t="str">
        <f t="shared" si="4"/>
        <v/>
      </c>
    </row>
    <row r="10918" hidden="1">
      <c r="F10918" s="1" t="str">
        <f t="shared" si="1"/>
        <v/>
      </c>
      <c r="G10918" s="1" t="str">
        <f t="shared" si="2"/>
        <v/>
      </c>
      <c r="J10918" s="1" t="str">
        <f t="shared" si="3"/>
        <v/>
      </c>
      <c r="K10918" s="1" t="str">
        <f t="shared" si="4"/>
        <v/>
      </c>
    </row>
    <row r="10919" hidden="1">
      <c r="F10919" s="1" t="str">
        <f t="shared" si="1"/>
        <v/>
      </c>
      <c r="G10919" s="1" t="str">
        <f t="shared" si="2"/>
        <v/>
      </c>
      <c r="J10919" s="1" t="str">
        <f t="shared" si="3"/>
        <v/>
      </c>
      <c r="K10919" s="1" t="str">
        <f t="shared" si="4"/>
        <v/>
      </c>
    </row>
    <row r="10920" hidden="1">
      <c r="F10920" s="1" t="str">
        <f t="shared" si="1"/>
        <v/>
      </c>
      <c r="G10920" s="1" t="str">
        <f t="shared" si="2"/>
        <v/>
      </c>
      <c r="J10920" s="1" t="str">
        <f t="shared" si="3"/>
        <v/>
      </c>
      <c r="K10920" s="1" t="str">
        <f t="shared" si="4"/>
        <v/>
      </c>
    </row>
    <row r="10921" hidden="1">
      <c r="F10921" s="1" t="str">
        <f t="shared" si="1"/>
        <v/>
      </c>
      <c r="G10921" s="1" t="str">
        <f t="shared" si="2"/>
        <v/>
      </c>
      <c r="J10921" s="1" t="str">
        <f t="shared" si="3"/>
        <v/>
      </c>
      <c r="K10921" s="1" t="str">
        <f t="shared" si="4"/>
        <v/>
      </c>
    </row>
    <row r="10922" hidden="1">
      <c r="F10922" s="1" t="str">
        <f t="shared" si="1"/>
        <v/>
      </c>
      <c r="G10922" s="1" t="str">
        <f t="shared" si="2"/>
        <v/>
      </c>
      <c r="J10922" s="1" t="str">
        <f t="shared" si="3"/>
        <v/>
      </c>
      <c r="K10922" s="1" t="str">
        <f t="shared" si="4"/>
        <v/>
      </c>
    </row>
    <row r="10923" hidden="1">
      <c r="F10923" s="1" t="str">
        <f t="shared" si="1"/>
        <v/>
      </c>
      <c r="G10923" s="1" t="str">
        <f t="shared" si="2"/>
        <v/>
      </c>
      <c r="J10923" s="1" t="str">
        <f t="shared" si="3"/>
        <v/>
      </c>
      <c r="K10923" s="1" t="str">
        <f t="shared" si="4"/>
        <v/>
      </c>
    </row>
    <row r="10924" hidden="1">
      <c r="F10924" s="1" t="str">
        <f t="shared" si="1"/>
        <v/>
      </c>
      <c r="G10924" s="1" t="str">
        <f t="shared" si="2"/>
        <v/>
      </c>
      <c r="J10924" s="1" t="str">
        <f t="shared" si="3"/>
        <v/>
      </c>
      <c r="K10924" s="1" t="str">
        <f t="shared" si="4"/>
        <v/>
      </c>
    </row>
    <row r="10925" hidden="1">
      <c r="F10925" s="1" t="str">
        <f t="shared" si="1"/>
        <v/>
      </c>
      <c r="G10925" s="1" t="str">
        <f t="shared" si="2"/>
        <v/>
      </c>
      <c r="J10925" s="1" t="str">
        <f t="shared" si="3"/>
        <v/>
      </c>
      <c r="K10925" s="1" t="str">
        <f t="shared" si="4"/>
        <v/>
      </c>
    </row>
    <row r="10926" hidden="1">
      <c r="F10926" s="1" t="str">
        <f t="shared" si="1"/>
        <v/>
      </c>
      <c r="G10926" s="1" t="str">
        <f t="shared" si="2"/>
        <v/>
      </c>
      <c r="J10926" s="1" t="str">
        <f t="shared" si="3"/>
        <v/>
      </c>
      <c r="K10926" s="1" t="str">
        <f t="shared" si="4"/>
        <v/>
      </c>
    </row>
    <row r="10927" hidden="1">
      <c r="F10927" s="1" t="str">
        <f t="shared" si="1"/>
        <v/>
      </c>
      <c r="G10927" s="1" t="str">
        <f t="shared" si="2"/>
        <v/>
      </c>
      <c r="J10927" s="1" t="str">
        <f t="shared" si="3"/>
        <v/>
      </c>
      <c r="K10927" s="1" t="str">
        <f t="shared" si="4"/>
        <v/>
      </c>
    </row>
    <row r="10928" hidden="1">
      <c r="F10928" s="1" t="str">
        <f t="shared" si="1"/>
        <v/>
      </c>
      <c r="G10928" s="1" t="str">
        <f t="shared" si="2"/>
        <v/>
      </c>
      <c r="J10928" s="1" t="str">
        <f t="shared" si="3"/>
        <v/>
      </c>
      <c r="K10928" s="1" t="str">
        <f t="shared" si="4"/>
        <v/>
      </c>
    </row>
    <row r="10929" hidden="1">
      <c r="F10929" s="1" t="str">
        <f t="shared" si="1"/>
        <v/>
      </c>
      <c r="G10929" s="1" t="str">
        <f t="shared" si="2"/>
        <v/>
      </c>
      <c r="J10929" s="1" t="str">
        <f t="shared" si="3"/>
        <v/>
      </c>
      <c r="K10929" s="1" t="str">
        <f t="shared" si="4"/>
        <v/>
      </c>
    </row>
    <row r="10930" hidden="1">
      <c r="F10930" s="1" t="str">
        <f t="shared" si="1"/>
        <v/>
      </c>
      <c r="G10930" s="1" t="str">
        <f t="shared" si="2"/>
        <v/>
      </c>
      <c r="J10930" s="1" t="str">
        <f t="shared" si="3"/>
        <v/>
      </c>
      <c r="K10930" s="1" t="str">
        <f t="shared" si="4"/>
        <v/>
      </c>
    </row>
    <row r="10931" hidden="1">
      <c r="F10931" s="1" t="str">
        <f t="shared" si="1"/>
        <v/>
      </c>
      <c r="G10931" s="1" t="str">
        <f t="shared" si="2"/>
        <v/>
      </c>
      <c r="J10931" s="1" t="str">
        <f t="shared" si="3"/>
        <v/>
      </c>
      <c r="K10931" s="1" t="str">
        <f t="shared" si="4"/>
        <v/>
      </c>
    </row>
    <row r="10932" hidden="1">
      <c r="F10932" s="1" t="str">
        <f t="shared" si="1"/>
        <v/>
      </c>
      <c r="G10932" s="1" t="str">
        <f t="shared" si="2"/>
        <v/>
      </c>
      <c r="J10932" s="1" t="str">
        <f t="shared" si="3"/>
        <v/>
      </c>
      <c r="K10932" s="1" t="str">
        <f t="shared" si="4"/>
        <v/>
      </c>
    </row>
    <row r="10933" hidden="1">
      <c r="F10933" s="1" t="str">
        <f t="shared" si="1"/>
        <v/>
      </c>
      <c r="G10933" s="1" t="str">
        <f t="shared" si="2"/>
        <v/>
      </c>
      <c r="J10933" s="1" t="str">
        <f t="shared" si="3"/>
        <v/>
      </c>
      <c r="K10933" s="1" t="str">
        <f t="shared" si="4"/>
        <v/>
      </c>
    </row>
    <row r="10934" hidden="1">
      <c r="F10934" s="1" t="str">
        <f t="shared" si="1"/>
        <v/>
      </c>
      <c r="G10934" s="1" t="str">
        <f t="shared" si="2"/>
        <v/>
      </c>
      <c r="J10934" s="1" t="str">
        <f t="shared" si="3"/>
        <v/>
      </c>
      <c r="K10934" s="1" t="str">
        <f t="shared" si="4"/>
        <v/>
      </c>
    </row>
    <row r="10935" hidden="1">
      <c r="F10935" s="1" t="str">
        <f t="shared" si="1"/>
        <v/>
      </c>
      <c r="G10935" s="1" t="str">
        <f t="shared" si="2"/>
        <v/>
      </c>
      <c r="J10935" s="1" t="str">
        <f t="shared" si="3"/>
        <v/>
      </c>
      <c r="K10935" s="1" t="str">
        <f t="shared" si="4"/>
        <v/>
      </c>
    </row>
    <row r="10936" hidden="1">
      <c r="F10936" s="1" t="str">
        <f t="shared" si="1"/>
        <v/>
      </c>
      <c r="G10936" s="1" t="str">
        <f t="shared" si="2"/>
        <v/>
      </c>
      <c r="J10936" s="1" t="str">
        <f t="shared" si="3"/>
        <v/>
      </c>
      <c r="K10936" s="1" t="str">
        <f t="shared" si="4"/>
        <v/>
      </c>
    </row>
    <row r="10937" hidden="1">
      <c r="F10937" s="1" t="str">
        <f t="shared" si="1"/>
        <v/>
      </c>
      <c r="G10937" s="1" t="str">
        <f t="shared" si="2"/>
        <v/>
      </c>
      <c r="J10937" s="1" t="str">
        <f t="shared" si="3"/>
        <v/>
      </c>
      <c r="K10937" s="1" t="str">
        <f t="shared" si="4"/>
        <v/>
      </c>
    </row>
    <row r="10938" hidden="1">
      <c r="F10938" s="1" t="str">
        <f t="shared" si="1"/>
        <v/>
      </c>
      <c r="G10938" s="1" t="str">
        <f t="shared" si="2"/>
        <v/>
      </c>
      <c r="J10938" s="1" t="str">
        <f t="shared" si="3"/>
        <v/>
      </c>
      <c r="K10938" s="1" t="str">
        <f t="shared" si="4"/>
        <v/>
      </c>
    </row>
    <row r="10939" hidden="1">
      <c r="F10939" s="1" t="str">
        <f t="shared" si="1"/>
        <v/>
      </c>
      <c r="G10939" s="1" t="str">
        <f t="shared" si="2"/>
        <v/>
      </c>
      <c r="J10939" s="1" t="str">
        <f t="shared" si="3"/>
        <v/>
      </c>
      <c r="K10939" s="1" t="str">
        <f t="shared" si="4"/>
        <v/>
      </c>
    </row>
    <row r="10940" hidden="1">
      <c r="F10940" s="1" t="str">
        <f t="shared" si="1"/>
        <v/>
      </c>
      <c r="G10940" s="1" t="str">
        <f t="shared" si="2"/>
        <v/>
      </c>
      <c r="J10940" s="1" t="str">
        <f t="shared" si="3"/>
        <v/>
      </c>
      <c r="K10940" s="1" t="str">
        <f t="shared" si="4"/>
        <v/>
      </c>
    </row>
    <row r="10941" hidden="1">
      <c r="F10941" s="1" t="str">
        <f t="shared" si="1"/>
        <v/>
      </c>
      <c r="G10941" s="1" t="str">
        <f t="shared" si="2"/>
        <v/>
      </c>
      <c r="J10941" s="1" t="str">
        <f t="shared" si="3"/>
        <v/>
      </c>
      <c r="K10941" s="1" t="str">
        <f t="shared" si="4"/>
        <v/>
      </c>
    </row>
    <row r="10942" hidden="1">
      <c r="F10942" s="1" t="str">
        <f t="shared" si="1"/>
        <v/>
      </c>
      <c r="G10942" s="1" t="str">
        <f t="shared" si="2"/>
        <v/>
      </c>
      <c r="J10942" s="1" t="str">
        <f t="shared" si="3"/>
        <v/>
      </c>
      <c r="K10942" s="1" t="str">
        <f t="shared" si="4"/>
        <v/>
      </c>
    </row>
    <row r="10943" hidden="1">
      <c r="F10943" s="1" t="str">
        <f t="shared" si="1"/>
        <v/>
      </c>
      <c r="G10943" s="1" t="str">
        <f t="shared" si="2"/>
        <v/>
      </c>
      <c r="J10943" s="1" t="str">
        <f t="shared" si="3"/>
        <v/>
      </c>
      <c r="K10943" s="1" t="str">
        <f t="shared" si="4"/>
        <v/>
      </c>
    </row>
    <row r="10944" hidden="1">
      <c r="F10944" s="1" t="str">
        <f t="shared" si="1"/>
        <v/>
      </c>
      <c r="G10944" s="1" t="str">
        <f t="shared" si="2"/>
        <v/>
      </c>
      <c r="J10944" s="1" t="str">
        <f t="shared" si="3"/>
        <v/>
      </c>
      <c r="K10944" s="1" t="str">
        <f t="shared" si="4"/>
        <v/>
      </c>
    </row>
    <row r="10945" hidden="1">
      <c r="F10945" s="1" t="str">
        <f t="shared" si="1"/>
        <v/>
      </c>
      <c r="G10945" s="1" t="str">
        <f t="shared" si="2"/>
        <v/>
      </c>
      <c r="J10945" s="1" t="str">
        <f t="shared" si="3"/>
        <v/>
      </c>
      <c r="K10945" s="1" t="str">
        <f t="shared" si="4"/>
        <v/>
      </c>
    </row>
    <row r="10946" hidden="1">
      <c r="F10946" s="1" t="str">
        <f t="shared" si="1"/>
        <v/>
      </c>
      <c r="G10946" s="1" t="str">
        <f t="shared" si="2"/>
        <v/>
      </c>
      <c r="J10946" s="1" t="str">
        <f t="shared" si="3"/>
        <v/>
      </c>
      <c r="K10946" s="1" t="str">
        <f t="shared" si="4"/>
        <v/>
      </c>
    </row>
    <row r="10947" hidden="1">
      <c r="F10947" s="1" t="str">
        <f t="shared" si="1"/>
        <v/>
      </c>
      <c r="G10947" s="1" t="str">
        <f t="shared" si="2"/>
        <v/>
      </c>
      <c r="J10947" s="1" t="str">
        <f t="shared" si="3"/>
        <v/>
      </c>
      <c r="K10947" s="1" t="str">
        <f t="shared" si="4"/>
        <v/>
      </c>
    </row>
    <row r="10948" hidden="1">
      <c r="F10948" s="1" t="str">
        <f t="shared" si="1"/>
        <v/>
      </c>
      <c r="G10948" s="1" t="str">
        <f t="shared" si="2"/>
        <v/>
      </c>
      <c r="J10948" s="1" t="str">
        <f t="shared" si="3"/>
        <v/>
      </c>
      <c r="K10948" s="1" t="str">
        <f t="shared" si="4"/>
        <v/>
      </c>
    </row>
    <row r="10949" hidden="1">
      <c r="F10949" s="1" t="str">
        <f t="shared" si="1"/>
        <v/>
      </c>
      <c r="G10949" s="1" t="str">
        <f t="shared" si="2"/>
        <v/>
      </c>
      <c r="J10949" s="1" t="str">
        <f t="shared" si="3"/>
        <v/>
      </c>
      <c r="K10949" s="1" t="str">
        <f t="shared" si="4"/>
        <v/>
      </c>
    </row>
    <row r="10950" hidden="1">
      <c r="F10950" s="1" t="str">
        <f t="shared" si="1"/>
        <v/>
      </c>
      <c r="G10950" s="1" t="str">
        <f t="shared" si="2"/>
        <v/>
      </c>
      <c r="J10950" s="1" t="str">
        <f t="shared" si="3"/>
        <v/>
      </c>
      <c r="K10950" s="1" t="str">
        <f t="shared" si="4"/>
        <v/>
      </c>
    </row>
    <row r="10951" hidden="1">
      <c r="F10951" s="1" t="str">
        <f t="shared" si="1"/>
        <v/>
      </c>
      <c r="G10951" s="1" t="str">
        <f t="shared" si="2"/>
        <v/>
      </c>
      <c r="J10951" s="1" t="str">
        <f t="shared" si="3"/>
        <v/>
      </c>
      <c r="K10951" s="1" t="str">
        <f t="shared" si="4"/>
        <v/>
      </c>
    </row>
    <row r="10952" hidden="1">
      <c r="F10952" s="1" t="str">
        <f t="shared" si="1"/>
        <v/>
      </c>
      <c r="G10952" s="1" t="str">
        <f t="shared" si="2"/>
        <v/>
      </c>
      <c r="J10952" s="1" t="str">
        <f t="shared" si="3"/>
        <v/>
      </c>
      <c r="K10952" s="1" t="str">
        <f t="shared" si="4"/>
        <v/>
      </c>
    </row>
    <row r="10953" hidden="1">
      <c r="F10953" s="1" t="str">
        <f t="shared" si="1"/>
        <v/>
      </c>
      <c r="G10953" s="1" t="str">
        <f t="shared" si="2"/>
        <v/>
      </c>
      <c r="J10953" s="1" t="str">
        <f t="shared" si="3"/>
        <v/>
      </c>
      <c r="K10953" s="1" t="str">
        <f t="shared" si="4"/>
        <v/>
      </c>
    </row>
    <row r="10954" hidden="1">
      <c r="F10954" s="1" t="str">
        <f t="shared" si="1"/>
        <v/>
      </c>
      <c r="G10954" s="1" t="str">
        <f t="shared" si="2"/>
        <v/>
      </c>
      <c r="J10954" s="1" t="str">
        <f t="shared" si="3"/>
        <v/>
      </c>
      <c r="K10954" s="1" t="str">
        <f t="shared" si="4"/>
        <v/>
      </c>
    </row>
    <row r="10955" hidden="1">
      <c r="F10955" s="1" t="str">
        <f t="shared" si="1"/>
        <v/>
      </c>
      <c r="G10955" s="1" t="str">
        <f t="shared" si="2"/>
        <v/>
      </c>
      <c r="J10955" s="1" t="str">
        <f t="shared" si="3"/>
        <v/>
      </c>
      <c r="K10955" s="1" t="str">
        <f t="shared" si="4"/>
        <v/>
      </c>
    </row>
    <row r="10956" hidden="1">
      <c r="F10956" s="1" t="str">
        <f t="shared" si="1"/>
        <v/>
      </c>
      <c r="G10956" s="1" t="str">
        <f t="shared" si="2"/>
        <v/>
      </c>
      <c r="J10956" s="1" t="str">
        <f t="shared" si="3"/>
        <v/>
      </c>
      <c r="K10956" s="1" t="str">
        <f t="shared" si="4"/>
        <v/>
      </c>
    </row>
    <row r="10957" hidden="1">
      <c r="F10957" s="1" t="str">
        <f t="shared" si="1"/>
        <v/>
      </c>
      <c r="G10957" s="1" t="str">
        <f t="shared" si="2"/>
        <v/>
      </c>
      <c r="J10957" s="1" t="str">
        <f t="shared" si="3"/>
        <v/>
      </c>
      <c r="K10957" s="1" t="str">
        <f t="shared" si="4"/>
        <v/>
      </c>
    </row>
    <row r="10958" hidden="1">
      <c r="F10958" s="1" t="str">
        <f t="shared" si="1"/>
        <v/>
      </c>
      <c r="G10958" s="1" t="str">
        <f t="shared" si="2"/>
        <v/>
      </c>
      <c r="J10958" s="1" t="str">
        <f t="shared" si="3"/>
        <v/>
      </c>
      <c r="K10958" s="1" t="str">
        <f t="shared" si="4"/>
        <v/>
      </c>
    </row>
    <row r="10959" hidden="1">
      <c r="F10959" s="1" t="str">
        <f t="shared" si="1"/>
        <v/>
      </c>
      <c r="G10959" s="1" t="str">
        <f t="shared" si="2"/>
        <v/>
      </c>
      <c r="J10959" s="1" t="str">
        <f t="shared" si="3"/>
        <v/>
      </c>
      <c r="K10959" s="1" t="str">
        <f t="shared" si="4"/>
        <v/>
      </c>
    </row>
    <row r="10960" hidden="1">
      <c r="F10960" s="1" t="str">
        <f t="shared" si="1"/>
        <v/>
      </c>
      <c r="G10960" s="1" t="str">
        <f t="shared" si="2"/>
        <v/>
      </c>
      <c r="J10960" s="1" t="str">
        <f t="shared" si="3"/>
        <v/>
      </c>
      <c r="K10960" s="1" t="str">
        <f t="shared" si="4"/>
        <v/>
      </c>
    </row>
    <row r="10961" hidden="1">
      <c r="F10961" s="1" t="str">
        <f t="shared" si="1"/>
        <v/>
      </c>
      <c r="G10961" s="1" t="str">
        <f t="shared" si="2"/>
        <v/>
      </c>
      <c r="J10961" s="1" t="str">
        <f t="shared" si="3"/>
        <v/>
      </c>
      <c r="K10961" s="1" t="str">
        <f t="shared" si="4"/>
        <v/>
      </c>
    </row>
    <row r="10962" hidden="1">
      <c r="F10962" s="1" t="str">
        <f t="shared" si="1"/>
        <v/>
      </c>
      <c r="G10962" s="1" t="str">
        <f t="shared" si="2"/>
        <v/>
      </c>
      <c r="J10962" s="1" t="str">
        <f t="shared" si="3"/>
        <v/>
      </c>
      <c r="K10962" s="1" t="str">
        <f t="shared" si="4"/>
        <v/>
      </c>
    </row>
    <row r="10963" hidden="1">
      <c r="F10963" s="1" t="str">
        <f t="shared" si="1"/>
        <v/>
      </c>
      <c r="G10963" s="1" t="str">
        <f t="shared" si="2"/>
        <v/>
      </c>
      <c r="J10963" s="1" t="str">
        <f t="shared" si="3"/>
        <v/>
      </c>
      <c r="K10963" s="1" t="str">
        <f t="shared" si="4"/>
        <v/>
      </c>
    </row>
    <row r="10964" hidden="1">
      <c r="F10964" s="1" t="str">
        <f t="shared" si="1"/>
        <v/>
      </c>
      <c r="G10964" s="1" t="str">
        <f t="shared" si="2"/>
        <v/>
      </c>
      <c r="J10964" s="1" t="str">
        <f t="shared" si="3"/>
        <v/>
      </c>
      <c r="K10964" s="1" t="str">
        <f t="shared" si="4"/>
        <v/>
      </c>
    </row>
    <row r="10965" hidden="1">
      <c r="F10965" s="1" t="str">
        <f t="shared" si="1"/>
        <v/>
      </c>
      <c r="G10965" s="1" t="str">
        <f t="shared" si="2"/>
        <v/>
      </c>
      <c r="J10965" s="1" t="str">
        <f t="shared" si="3"/>
        <v/>
      </c>
      <c r="K10965" s="1" t="str">
        <f t="shared" si="4"/>
        <v/>
      </c>
    </row>
    <row r="10966" hidden="1">
      <c r="F10966" s="1" t="str">
        <f t="shared" si="1"/>
        <v/>
      </c>
      <c r="G10966" s="1" t="str">
        <f t="shared" si="2"/>
        <v/>
      </c>
      <c r="J10966" s="1" t="str">
        <f t="shared" si="3"/>
        <v/>
      </c>
      <c r="K10966" s="1" t="str">
        <f t="shared" si="4"/>
        <v/>
      </c>
    </row>
    <row r="10967" hidden="1">
      <c r="F10967" s="1" t="str">
        <f t="shared" si="1"/>
        <v/>
      </c>
      <c r="G10967" s="1" t="str">
        <f t="shared" si="2"/>
        <v/>
      </c>
      <c r="J10967" s="1" t="str">
        <f t="shared" si="3"/>
        <v/>
      </c>
      <c r="K10967" s="1" t="str">
        <f t="shared" si="4"/>
        <v/>
      </c>
    </row>
    <row r="10968" hidden="1">
      <c r="F10968" s="1" t="str">
        <f t="shared" si="1"/>
        <v/>
      </c>
      <c r="G10968" s="1" t="str">
        <f t="shared" si="2"/>
        <v/>
      </c>
      <c r="J10968" s="1" t="str">
        <f t="shared" si="3"/>
        <v/>
      </c>
      <c r="K10968" s="1" t="str">
        <f t="shared" si="4"/>
        <v/>
      </c>
    </row>
    <row r="10969" hidden="1">
      <c r="F10969" s="1" t="str">
        <f t="shared" si="1"/>
        <v/>
      </c>
      <c r="G10969" s="1" t="str">
        <f t="shared" si="2"/>
        <v/>
      </c>
      <c r="J10969" s="1" t="str">
        <f t="shared" si="3"/>
        <v/>
      </c>
      <c r="K10969" s="1" t="str">
        <f t="shared" si="4"/>
        <v/>
      </c>
    </row>
    <row r="10970" hidden="1">
      <c r="F10970" s="1" t="str">
        <f t="shared" si="1"/>
        <v/>
      </c>
      <c r="G10970" s="1" t="str">
        <f t="shared" si="2"/>
        <v/>
      </c>
      <c r="J10970" s="1" t="str">
        <f t="shared" si="3"/>
        <v/>
      </c>
      <c r="K10970" s="1" t="str">
        <f t="shared" si="4"/>
        <v/>
      </c>
    </row>
    <row r="10971" hidden="1">
      <c r="F10971" s="1" t="str">
        <f t="shared" si="1"/>
        <v/>
      </c>
      <c r="G10971" s="1" t="str">
        <f t="shared" si="2"/>
        <v/>
      </c>
      <c r="J10971" s="1" t="str">
        <f t="shared" si="3"/>
        <v/>
      </c>
      <c r="K10971" s="1" t="str">
        <f t="shared" si="4"/>
        <v/>
      </c>
    </row>
    <row r="10972" hidden="1">
      <c r="F10972" s="1" t="str">
        <f t="shared" si="1"/>
        <v/>
      </c>
      <c r="G10972" s="1" t="str">
        <f t="shared" si="2"/>
        <v/>
      </c>
      <c r="J10972" s="1" t="str">
        <f t="shared" si="3"/>
        <v/>
      </c>
      <c r="K10972" s="1" t="str">
        <f t="shared" si="4"/>
        <v/>
      </c>
    </row>
    <row r="10973" hidden="1">
      <c r="F10973" s="1" t="str">
        <f t="shared" si="1"/>
        <v/>
      </c>
      <c r="G10973" s="1" t="str">
        <f t="shared" si="2"/>
        <v/>
      </c>
      <c r="J10973" s="1" t="str">
        <f t="shared" si="3"/>
        <v/>
      </c>
      <c r="K10973" s="1" t="str">
        <f t="shared" si="4"/>
        <v/>
      </c>
    </row>
    <row r="10974" hidden="1">
      <c r="F10974" s="1" t="str">
        <f t="shared" si="1"/>
        <v/>
      </c>
      <c r="G10974" s="1" t="str">
        <f t="shared" si="2"/>
        <v/>
      </c>
      <c r="J10974" s="1" t="str">
        <f t="shared" si="3"/>
        <v/>
      </c>
      <c r="K10974" s="1" t="str">
        <f t="shared" si="4"/>
        <v/>
      </c>
    </row>
    <row r="10975" hidden="1">
      <c r="F10975" s="1" t="str">
        <f t="shared" si="1"/>
        <v/>
      </c>
      <c r="G10975" s="1" t="str">
        <f t="shared" si="2"/>
        <v/>
      </c>
      <c r="J10975" s="1" t="str">
        <f t="shared" si="3"/>
        <v/>
      </c>
      <c r="K10975" s="1" t="str">
        <f t="shared" si="4"/>
        <v/>
      </c>
    </row>
    <row r="10976" hidden="1">
      <c r="F10976" s="1" t="str">
        <f t="shared" si="1"/>
        <v/>
      </c>
      <c r="G10976" s="1" t="str">
        <f t="shared" si="2"/>
        <v/>
      </c>
      <c r="J10976" s="1" t="str">
        <f t="shared" si="3"/>
        <v/>
      </c>
      <c r="K10976" s="1" t="str">
        <f t="shared" si="4"/>
        <v/>
      </c>
    </row>
    <row r="10977" hidden="1">
      <c r="F10977" s="1" t="str">
        <f t="shared" si="1"/>
        <v/>
      </c>
      <c r="G10977" s="1" t="str">
        <f t="shared" si="2"/>
        <v/>
      </c>
      <c r="J10977" s="1" t="str">
        <f t="shared" si="3"/>
        <v/>
      </c>
      <c r="K10977" s="1" t="str">
        <f t="shared" si="4"/>
        <v/>
      </c>
    </row>
    <row r="10978" hidden="1">
      <c r="F10978" s="1" t="str">
        <f t="shared" si="1"/>
        <v/>
      </c>
      <c r="G10978" s="1" t="str">
        <f t="shared" si="2"/>
        <v/>
      </c>
      <c r="J10978" s="1" t="str">
        <f t="shared" si="3"/>
        <v/>
      </c>
      <c r="K10978" s="1" t="str">
        <f t="shared" si="4"/>
        <v/>
      </c>
    </row>
    <row r="10979" hidden="1">
      <c r="F10979" s="1" t="str">
        <f t="shared" si="1"/>
        <v/>
      </c>
      <c r="G10979" s="1" t="str">
        <f t="shared" si="2"/>
        <v/>
      </c>
      <c r="J10979" s="1" t="str">
        <f t="shared" si="3"/>
        <v/>
      </c>
      <c r="K10979" s="1" t="str">
        <f t="shared" si="4"/>
        <v/>
      </c>
    </row>
    <row r="10980" hidden="1">
      <c r="F10980" s="1" t="str">
        <f t="shared" si="1"/>
        <v/>
      </c>
      <c r="G10980" s="1" t="str">
        <f t="shared" si="2"/>
        <v/>
      </c>
      <c r="J10980" s="1" t="str">
        <f t="shared" si="3"/>
        <v/>
      </c>
      <c r="K10980" s="1" t="str">
        <f t="shared" si="4"/>
        <v/>
      </c>
    </row>
    <row r="10981" hidden="1">
      <c r="F10981" s="1" t="str">
        <f t="shared" si="1"/>
        <v/>
      </c>
      <c r="G10981" s="1" t="str">
        <f t="shared" si="2"/>
        <v/>
      </c>
      <c r="J10981" s="1" t="str">
        <f t="shared" si="3"/>
        <v/>
      </c>
      <c r="K10981" s="1" t="str">
        <f t="shared" si="4"/>
        <v/>
      </c>
    </row>
    <row r="10982" hidden="1">
      <c r="F10982" s="1" t="str">
        <f t="shared" si="1"/>
        <v/>
      </c>
      <c r="G10982" s="1" t="str">
        <f t="shared" si="2"/>
        <v/>
      </c>
      <c r="J10982" s="1" t="str">
        <f t="shared" si="3"/>
        <v/>
      </c>
      <c r="K10982" s="1" t="str">
        <f t="shared" si="4"/>
        <v/>
      </c>
    </row>
    <row r="10983" hidden="1">
      <c r="F10983" s="1" t="str">
        <f t="shared" si="1"/>
        <v/>
      </c>
      <c r="G10983" s="1" t="str">
        <f t="shared" si="2"/>
        <v/>
      </c>
      <c r="J10983" s="1" t="str">
        <f t="shared" si="3"/>
        <v/>
      </c>
      <c r="K10983" s="1" t="str">
        <f t="shared" si="4"/>
        <v/>
      </c>
    </row>
    <row r="10984" hidden="1">
      <c r="F10984" s="1" t="str">
        <f t="shared" si="1"/>
        <v/>
      </c>
      <c r="G10984" s="1" t="str">
        <f t="shared" si="2"/>
        <v/>
      </c>
      <c r="J10984" s="1" t="str">
        <f t="shared" si="3"/>
        <v/>
      </c>
      <c r="K10984" s="1" t="str">
        <f t="shared" si="4"/>
        <v/>
      </c>
    </row>
    <row r="10985" hidden="1">
      <c r="F10985" s="1" t="str">
        <f t="shared" si="1"/>
        <v/>
      </c>
      <c r="G10985" s="1" t="str">
        <f t="shared" si="2"/>
        <v/>
      </c>
      <c r="J10985" s="1" t="str">
        <f t="shared" si="3"/>
        <v/>
      </c>
      <c r="K10985" s="1" t="str">
        <f t="shared" si="4"/>
        <v/>
      </c>
    </row>
    <row r="10986" hidden="1">
      <c r="F10986" s="1" t="str">
        <f t="shared" si="1"/>
        <v/>
      </c>
      <c r="G10986" s="1" t="str">
        <f t="shared" si="2"/>
        <v/>
      </c>
      <c r="J10986" s="1" t="str">
        <f t="shared" si="3"/>
        <v/>
      </c>
      <c r="K10986" s="1" t="str">
        <f t="shared" si="4"/>
        <v/>
      </c>
    </row>
    <row r="10987" hidden="1">
      <c r="F10987" s="1" t="str">
        <f t="shared" si="1"/>
        <v/>
      </c>
      <c r="G10987" s="1" t="str">
        <f t="shared" si="2"/>
        <v/>
      </c>
      <c r="J10987" s="1" t="str">
        <f t="shared" si="3"/>
        <v/>
      </c>
      <c r="K10987" s="1" t="str">
        <f t="shared" si="4"/>
        <v/>
      </c>
    </row>
    <row r="10988" hidden="1">
      <c r="F10988" s="1" t="str">
        <f t="shared" si="1"/>
        <v/>
      </c>
      <c r="G10988" s="1" t="str">
        <f t="shared" si="2"/>
        <v/>
      </c>
      <c r="J10988" s="1" t="str">
        <f t="shared" si="3"/>
        <v/>
      </c>
      <c r="K10988" s="1" t="str">
        <f t="shared" si="4"/>
        <v/>
      </c>
    </row>
    <row r="10989" hidden="1">
      <c r="F10989" s="1" t="str">
        <f t="shared" si="1"/>
        <v/>
      </c>
      <c r="G10989" s="1" t="str">
        <f t="shared" si="2"/>
        <v/>
      </c>
      <c r="J10989" s="1" t="str">
        <f t="shared" si="3"/>
        <v/>
      </c>
      <c r="K10989" s="1" t="str">
        <f t="shared" si="4"/>
        <v/>
      </c>
    </row>
    <row r="10990" hidden="1">
      <c r="F10990" s="1" t="str">
        <f t="shared" si="1"/>
        <v/>
      </c>
      <c r="G10990" s="1" t="str">
        <f t="shared" si="2"/>
        <v/>
      </c>
      <c r="J10990" s="1" t="str">
        <f t="shared" si="3"/>
        <v/>
      </c>
      <c r="K10990" s="1" t="str">
        <f t="shared" si="4"/>
        <v/>
      </c>
    </row>
    <row r="10991" hidden="1">
      <c r="F10991" s="1" t="str">
        <f t="shared" si="1"/>
        <v/>
      </c>
      <c r="G10991" s="1" t="str">
        <f t="shared" si="2"/>
        <v/>
      </c>
      <c r="J10991" s="1" t="str">
        <f t="shared" si="3"/>
        <v/>
      </c>
      <c r="K10991" s="1" t="str">
        <f t="shared" si="4"/>
        <v/>
      </c>
    </row>
    <row r="10992" hidden="1">
      <c r="F10992" s="1" t="str">
        <f t="shared" si="1"/>
        <v/>
      </c>
      <c r="G10992" s="1" t="str">
        <f t="shared" si="2"/>
        <v/>
      </c>
      <c r="J10992" s="1" t="str">
        <f t="shared" si="3"/>
        <v/>
      </c>
      <c r="K10992" s="1" t="str">
        <f t="shared" si="4"/>
        <v/>
      </c>
    </row>
    <row r="10993" hidden="1">
      <c r="F10993" s="1" t="str">
        <f t="shared" si="1"/>
        <v/>
      </c>
      <c r="G10993" s="1" t="str">
        <f t="shared" si="2"/>
        <v/>
      </c>
      <c r="J10993" s="1" t="str">
        <f t="shared" si="3"/>
        <v/>
      </c>
      <c r="K10993" s="1" t="str">
        <f t="shared" si="4"/>
        <v/>
      </c>
    </row>
    <row r="10994" hidden="1">
      <c r="F10994" s="1" t="str">
        <f t="shared" si="1"/>
        <v/>
      </c>
      <c r="G10994" s="1" t="str">
        <f t="shared" si="2"/>
        <v/>
      </c>
      <c r="J10994" s="1" t="str">
        <f t="shared" si="3"/>
        <v/>
      </c>
      <c r="K10994" s="1" t="str">
        <f t="shared" si="4"/>
        <v/>
      </c>
    </row>
    <row r="10995" hidden="1">
      <c r="F10995" s="1" t="str">
        <f t="shared" si="1"/>
        <v/>
      </c>
      <c r="G10995" s="1" t="str">
        <f t="shared" si="2"/>
        <v/>
      </c>
      <c r="J10995" s="1" t="str">
        <f t="shared" si="3"/>
        <v/>
      </c>
      <c r="K10995" s="1" t="str">
        <f t="shared" si="4"/>
        <v/>
      </c>
    </row>
    <row r="10996" hidden="1">
      <c r="F10996" s="1" t="str">
        <f t="shared" si="1"/>
        <v/>
      </c>
      <c r="G10996" s="1" t="str">
        <f t="shared" si="2"/>
        <v/>
      </c>
      <c r="J10996" s="1" t="str">
        <f t="shared" si="3"/>
        <v/>
      </c>
      <c r="K10996" s="1" t="str">
        <f t="shared" si="4"/>
        <v/>
      </c>
    </row>
    <row r="10997" hidden="1">
      <c r="F10997" s="1" t="str">
        <f t="shared" si="1"/>
        <v/>
      </c>
      <c r="G10997" s="1" t="str">
        <f t="shared" si="2"/>
        <v/>
      </c>
      <c r="J10997" s="1" t="str">
        <f t="shared" si="3"/>
        <v/>
      </c>
      <c r="K10997" s="1" t="str">
        <f t="shared" si="4"/>
        <v/>
      </c>
    </row>
    <row r="10998" hidden="1">
      <c r="F10998" s="1" t="str">
        <f t="shared" si="1"/>
        <v/>
      </c>
      <c r="G10998" s="1" t="str">
        <f t="shared" si="2"/>
        <v/>
      </c>
      <c r="J10998" s="1" t="str">
        <f t="shared" si="3"/>
        <v/>
      </c>
      <c r="K10998" s="1" t="str">
        <f t="shared" si="4"/>
        <v/>
      </c>
    </row>
    <row r="10999" hidden="1">
      <c r="F10999" s="1" t="str">
        <f t="shared" si="1"/>
        <v/>
      </c>
      <c r="G10999" s="1" t="str">
        <f t="shared" si="2"/>
        <v/>
      </c>
      <c r="J10999" s="1" t="str">
        <f t="shared" si="3"/>
        <v/>
      </c>
      <c r="K10999" s="1" t="str">
        <f t="shared" si="4"/>
        <v/>
      </c>
    </row>
    <row r="11000" hidden="1">
      <c r="F11000" s="1" t="str">
        <f t="shared" si="1"/>
        <v/>
      </c>
      <c r="G11000" s="1" t="str">
        <f t="shared" si="2"/>
        <v/>
      </c>
      <c r="J11000" s="1" t="str">
        <f t="shared" si="3"/>
        <v/>
      </c>
      <c r="K11000" s="1" t="str">
        <f t="shared" si="4"/>
        <v/>
      </c>
    </row>
    <row r="11001" hidden="1">
      <c r="F11001" s="1" t="str">
        <f t="shared" si="1"/>
        <v/>
      </c>
      <c r="G11001" s="1" t="str">
        <f t="shared" si="2"/>
        <v/>
      </c>
      <c r="J11001" s="1" t="str">
        <f t="shared" si="3"/>
        <v/>
      </c>
      <c r="K11001" s="1" t="str">
        <f t="shared" si="4"/>
        <v/>
      </c>
    </row>
    <row r="11002" hidden="1">
      <c r="F11002" s="1" t="str">
        <f t="shared" si="1"/>
        <v/>
      </c>
      <c r="G11002" s="1" t="str">
        <f t="shared" si="2"/>
        <v/>
      </c>
      <c r="J11002" s="1" t="str">
        <f t="shared" si="3"/>
        <v/>
      </c>
      <c r="K11002" s="1" t="str">
        <f t="shared" si="4"/>
        <v/>
      </c>
    </row>
    <row r="11003" hidden="1">
      <c r="F11003" s="1" t="str">
        <f t="shared" si="1"/>
        <v/>
      </c>
      <c r="G11003" s="1" t="str">
        <f t="shared" si="2"/>
        <v/>
      </c>
      <c r="J11003" s="1" t="str">
        <f t="shared" si="3"/>
        <v/>
      </c>
      <c r="K11003" s="1" t="str">
        <f t="shared" si="4"/>
        <v/>
      </c>
    </row>
    <row r="11004" hidden="1">
      <c r="F11004" s="1" t="str">
        <f t="shared" si="1"/>
        <v/>
      </c>
      <c r="G11004" s="1" t="str">
        <f t="shared" si="2"/>
        <v/>
      </c>
      <c r="J11004" s="1" t="str">
        <f t="shared" si="3"/>
        <v/>
      </c>
      <c r="K11004" s="1" t="str">
        <f t="shared" si="4"/>
        <v/>
      </c>
    </row>
    <row r="11005" hidden="1">
      <c r="F11005" s="1" t="str">
        <f t="shared" si="1"/>
        <v/>
      </c>
      <c r="G11005" s="1" t="str">
        <f t="shared" si="2"/>
        <v/>
      </c>
      <c r="J11005" s="1" t="str">
        <f t="shared" si="3"/>
        <v/>
      </c>
      <c r="K11005" s="1" t="str">
        <f t="shared" si="4"/>
        <v/>
      </c>
    </row>
    <row r="11006" hidden="1">
      <c r="F11006" s="1" t="str">
        <f t="shared" si="1"/>
        <v/>
      </c>
      <c r="G11006" s="1" t="str">
        <f t="shared" si="2"/>
        <v/>
      </c>
      <c r="J11006" s="1" t="str">
        <f t="shared" si="3"/>
        <v/>
      </c>
      <c r="K11006" s="1" t="str">
        <f t="shared" si="4"/>
        <v/>
      </c>
    </row>
    <row r="11007" hidden="1">
      <c r="F11007" s="1" t="str">
        <f t="shared" si="1"/>
        <v/>
      </c>
      <c r="G11007" s="1" t="str">
        <f t="shared" si="2"/>
        <v/>
      </c>
      <c r="J11007" s="1" t="str">
        <f t="shared" si="3"/>
        <v/>
      </c>
      <c r="K11007" s="1" t="str">
        <f t="shared" si="4"/>
        <v/>
      </c>
    </row>
    <row r="11008" hidden="1">
      <c r="F11008" s="1" t="str">
        <f t="shared" si="1"/>
        <v/>
      </c>
      <c r="G11008" s="1" t="str">
        <f t="shared" si="2"/>
        <v/>
      </c>
      <c r="J11008" s="1" t="str">
        <f t="shared" si="3"/>
        <v/>
      </c>
      <c r="K11008" s="1" t="str">
        <f t="shared" si="4"/>
        <v/>
      </c>
    </row>
    <row r="11009" hidden="1">
      <c r="F11009" s="1" t="str">
        <f t="shared" si="1"/>
        <v/>
      </c>
      <c r="G11009" s="1" t="str">
        <f t="shared" si="2"/>
        <v/>
      </c>
      <c r="J11009" s="1" t="str">
        <f t="shared" si="3"/>
        <v/>
      </c>
      <c r="K11009" s="1" t="str">
        <f t="shared" si="4"/>
        <v/>
      </c>
    </row>
    <row r="11010" hidden="1">
      <c r="F11010" s="1" t="str">
        <f t="shared" si="1"/>
        <v/>
      </c>
      <c r="G11010" s="1" t="str">
        <f t="shared" si="2"/>
        <v/>
      </c>
      <c r="J11010" s="1" t="str">
        <f t="shared" si="3"/>
        <v/>
      </c>
      <c r="K11010" s="1" t="str">
        <f t="shared" si="4"/>
        <v/>
      </c>
    </row>
    <row r="11011" hidden="1">
      <c r="F11011" s="1" t="str">
        <f t="shared" si="1"/>
        <v/>
      </c>
      <c r="G11011" s="1" t="str">
        <f t="shared" si="2"/>
        <v/>
      </c>
      <c r="J11011" s="1" t="str">
        <f t="shared" si="3"/>
        <v/>
      </c>
      <c r="K11011" s="1" t="str">
        <f t="shared" si="4"/>
        <v/>
      </c>
    </row>
    <row r="11012" hidden="1">
      <c r="F11012" s="1" t="str">
        <f t="shared" si="1"/>
        <v/>
      </c>
      <c r="G11012" s="1" t="str">
        <f t="shared" si="2"/>
        <v/>
      </c>
      <c r="J11012" s="1" t="str">
        <f t="shared" si="3"/>
        <v/>
      </c>
      <c r="K11012" s="1" t="str">
        <f t="shared" si="4"/>
        <v/>
      </c>
    </row>
    <row r="11013" hidden="1">
      <c r="F11013" s="1" t="str">
        <f t="shared" si="1"/>
        <v/>
      </c>
      <c r="G11013" s="1" t="str">
        <f t="shared" si="2"/>
        <v/>
      </c>
      <c r="J11013" s="1" t="str">
        <f t="shared" si="3"/>
        <v/>
      </c>
      <c r="K11013" s="1" t="str">
        <f t="shared" si="4"/>
        <v/>
      </c>
    </row>
    <row r="11014" hidden="1">
      <c r="F11014" s="1" t="str">
        <f t="shared" si="1"/>
        <v/>
      </c>
      <c r="G11014" s="1" t="str">
        <f t="shared" si="2"/>
        <v/>
      </c>
      <c r="J11014" s="1" t="str">
        <f t="shared" si="3"/>
        <v/>
      </c>
      <c r="K11014" s="1" t="str">
        <f t="shared" si="4"/>
        <v/>
      </c>
    </row>
    <row r="11015" hidden="1">
      <c r="F11015" s="1" t="str">
        <f t="shared" si="1"/>
        <v/>
      </c>
      <c r="G11015" s="1" t="str">
        <f t="shared" si="2"/>
        <v/>
      </c>
      <c r="J11015" s="1" t="str">
        <f t="shared" si="3"/>
        <v/>
      </c>
      <c r="K11015" s="1" t="str">
        <f t="shared" si="4"/>
        <v/>
      </c>
    </row>
    <row r="11016" hidden="1">
      <c r="F11016" s="1" t="str">
        <f t="shared" si="1"/>
        <v/>
      </c>
      <c r="G11016" s="1" t="str">
        <f t="shared" si="2"/>
        <v/>
      </c>
      <c r="J11016" s="1" t="str">
        <f t="shared" si="3"/>
        <v/>
      </c>
      <c r="K11016" s="1" t="str">
        <f t="shared" si="4"/>
        <v/>
      </c>
    </row>
    <row r="11017" hidden="1">
      <c r="F11017" s="1" t="str">
        <f t="shared" si="1"/>
        <v/>
      </c>
      <c r="G11017" s="1" t="str">
        <f t="shared" si="2"/>
        <v/>
      </c>
      <c r="J11017" s="1" t="str">
        <f t="shared" si="3"/>
        <v/>
      </c>
      <c r="K11017" s="1" t="str">
        <f t="shared" si="4"/>
        <v/>
      </c>
    </row>
    <row r="11018" hidden="1">
      <c r="F11018" s="1" t="str">
        <f t="shared" si="1"/>
        <v/>
      </c>
      <c r="G11018" s="1" t="str">
        <f t="shared" si="2"/>
        <v/>
      </c>
      <c r="J11018" s="1" t="str">
        <f t="shared" si="3"/>
        <v/>
      </c>
      <c r="K11018" s="1" t="str">
        <f t="shared" si="4"/>
        <v/>
      </c>
    </row>
    <row r="11019" hidden="1">
      <c r="F11019" s="1" t="str">
        <f t="shared" si="1"/>
        <v/>
      </c>
      <c r="G11019" s="1" t="str">
        <f t="shared" si="2"/>
        <v/>
      </c>
      <c r="J11019" s="1" t="str">
        <f t="shared" si="3"/>
        <v/>
      </c>
      <c r="K11019" s="1" t="str">
        <f t="shared" si="4"/>
        <v/>
      </c>
    </row>
    <row r="11020" hidden="1">
      <c r="F11020" s="1" t="str">
        <f t="shared" si="1"/>
        <v/>
      </c>
      <c r="G11020" s="1" t="str">
        <f t="shared" si="2"/>
        <v/>
      </c>
      <c r="J11020" s="1" t="str">
        <f t="shared" si="3"/>
        <v/>
      </c>
      <c r="K11020" s="1" t="str">
        <f t="shared" si="4"/>
        <v/>
      </c>
    </row>
    <row r="11021" hidden="1">
      <c r="F11021" s="1" t="str">
        <f t="shared" si="1"/>
        <v/>
      </c>
      <c r="G11021" s="1" t="str">
        <f t="shared" si="2"/>
        <v/>
      </c>
      <c r="J11021" s="1" t="str">
        <f t="shared" si="3"/>
        <v/>
      </c>
      <c r="K11021" s="1" t="str">
        <f t="shared" si="4"/>
        <v/>
      </c>
    </row>
    <row r="11022" hidden="1">
      <c r="F11022" s="1" t="str">
        <f t="shared" si="1"/>
        <v/>
      </c>
      <c r="G11022" s="1" t="str">
        <f t="shared" si="2"/>
        <v/>
      </c>
      <c r="J11022" s="1" t="str">
        <f t="shared" si="3"/>
        <v/>
      </c>
      <c r="K11022" s="1" t="str">
        <f t="shared" si="4"/>
        <v/>
      </c>
    </row>
    <row r="11023" hidden="1">
      <c r="F11023" s="1" t="str">
        <f t="shared" si="1"/>
        <v/>
      </c>
      <c r="G11023" s="1" t="str">
        <f t="shared" si="2"/>
        <v/>
      </c>
      <c r="J11023" s="1" t="str">
        <f t="shared" si="3"/>
        <v/>
      </c>
      <c r="K11023" s="1" t="str">
        <f t="shared" si="4"/>
        <v/>
      </c>
    </row>
    <row r="11024" hidden="1">
      <c r="F11024" s="1" t="str">
        <f t="shared" si="1"/>
        <v/>
      </c>
      <c r="G11024" s="1" t="str">
        <f t="shared" si="2"/>
        <v/>
      </c>
      <c r="J11024" s="1" t="str">
        <f t="shared" si="3"/>
        <v/>
      </c>
      <c r="K11024" s="1" t="str">
        <f t="shared" si="4"/>
        <v/>
      </c>
    </row>
    <row r="11025" hidden="1">
      <c r="F11025" s="1" t="str">
        <f t="shared" si="1"/>
        <v/>
      </c>
      <c r="G11025" s="1" t="str">
        <f t="shared" si="2"/>
        <v/>
      </c>
      <c r="J11025" s="1" t="str">
        <f t="shared" si="3"/>
        <v/>
      </c>
      <c r="K11025" s="1" t="str">
        <f t="shared" si="4"/>
        <v/>
      </c>
    </row>
    <row r="11026" hidden="1">
      <c r="F11026" s="1" t="str">
        <f t="shared" si="1"/>
        <v/>
      </c>
      <c r="G11026" s="1" t="str">
        <f t="shared" si="2"/>
        <v/>
      </c>
      <c r="J11026" s="1" t="str">
        <f t="shared" si="3"/>
        <v/>
      </c>
      <c r="K11026" s="1" t="str">
        <f t="shared" si="4"/>
        <v/>
      </c>
    </row>
    <row r="11027" hidden="1">
      <c r="F11027" s="1" t="str">
        <f t="shared" si="1"/>
        <v/>
      </c>
      <c r="G11027" s="1" t="str">
        <f t="shared" si="2"/>
        <v/>
      </c>
      <c r="J11027" s="1" t="str">
        <f t="shared" si="3"/>
        <v/>
      </c>
      <c r="K11027" s="1" t="str">
        <f t="shared" si="4"/>
        <v/>
      </c>
    </row>
    <row r="11028" hidden="1">
      <c r="F11028" s="1" t="str">
        <f t="shared" si="1"/>
        <v/>
      </c>
      <c r="G11028" s="1" t="str">
        <f t="shared" si="2"/>
        <v/>
      </c>
      <c r="J11028" s="1" t="str">
        <f t="shared" si="3"/>
        <v/>
      </c>
      <c r="K11028" s="1" t="str">
        <f t="shared" si="4"/>
        <v/>
      </c>
    </row>
    <row r="11029" hidden="1">
      <c r="F11029" s="1" t="str">
        <f t="shared" si="1"/>
        <v/>
      </c>
      <c r="G11029" s="1" t="str">
        <f t="shared" si="2"/>
        <v/>
      </c>
      <c r="J11029" s="1" t="str">
        <f t="shared" si="3"/>
        <v/>
      </c>
      <c r="K11029" s="1" t="str">
        <f t="shared" si="4"/>
        <v/>
      </c>
    </row>
    <row r="11030" hidden="1">
      <c r="F11030" s="1" t="str">
        <f t="shared" si="1"/>
        <v/>
      </c>
      <c r="G11030" s="1" t="str">
        <f t="shared" si="2"/>
        <v/>
      </c>
      <c r="J11030" s="1" t="str">
        <f t="shared" si="3"/>
        <v/>
      </c>
      <c r="K11030" s="1" t="str">
        <f t="shared" si="4"/>
        <v/>
      </c>
    </row>
    <row r="11031" hidden="1">
      <c r="F11031" s="1" t="str">
        <f t="shared" si="1"/>
        <v/>
      </c>
      <c r="G11031" s="1" t="str">
        <f t="shared" si="2"/>
        <v/>
      </c>
      <c r="J11031" s="1" t="str">
        <f t="shared" si="3"/>
        <v/>
      </c>
      <c r="K11031" s="1" t="str">
        <f t="shared" si="4"/>
        <v/>
      </c>
    </row>
    <row r="11032" hidden="1">
      <c r="F11032" s="1" t="str">
        <f t="shared" si="1"/>
        <v/>
      </c>
      <c r="G11032" s="1" t="str">
        <f t="shared" si="2"/>
        <v/>
      </c>
      <c r="J11032" s="1" t="str">
        <f t="shared" si="3"/>
        <v/>
      </c>
      <c r="K11032" s="1" t="str">
        <f t="shared" si="4"/>
        <v/>
      </c>
    </row>
    <row r="11033" hidden="1">
      <c r="F11033" s="1" t="str">
        <f t="shared" si="1"/>
        <v/>
      </c>
      <c r="G11033" s="1" t="str">
        <f t="shared" si="2"/>
        <v/>
      </c>
      <c r="J11033" s="1" t="str">
        <f t="shared" si="3"/>
        <v/>
      </c>
      <c r="K11033" s="1" t="str">
        <f t="shared" si="4"/>
        <v/>
      </c>
    </row>
    <row r="11034" hidden="1">
      <c r="F11034" s="1" t="str">
        <f t="shared" si="1"/>
        <v/>
      </c>
      <c r="G11034" s="1" t="str">
        <f t="shared" si="2"/>
        <v/>
      </c>
      <c r="J11034" s="1" t="str">
        <f t="shared" si="3"/>
        <v/>
      </c>
      <c r="K11034" s="1" t="str">
        <f t="shared" si="4"/>
        <v/>
      </c>
    </row>
    <row r="11035" hidden="1">
      <c r="F11035" s="1" t="str">
        <f t="shared" si="1"/>
        <v/>
      </c>
      <c r="G11035" s="1" t="str">
        <f t="shared" si="2"/>
        <v/>
      </c>
      <c r="J11035" s="1" t="str">
        <f t="shared" si="3"/>
        <v/>
      </c>
      <c r="K11035" s="1" t="str">
        <f t="shared" si="4"/>
        <v/>
      </c>
    </row>
    <row r="11036" hidden="1">
      <c r="F11036" s="1" t="str">
        <f t="shared" si="1"/>
        <v/>
      </c>
      <c r="G11036" s="1" t="str">
        <f t="shared" si="2"/>
        <v/>
      </c>
      <c r="J11036" s="1" t="str">
        <f t="shared" si="3"/>
        <v/>
      </c>
      <c r="K11036" s="1" t="str">
        <f t="shared" si="4"/>
        <v/>
      </c>
    </row>
    <row r="11037" hidden="1">
      <c r="F11037" s="1" t="str">
        <f t="shared" si="1"/>
        <v/>
      </c>
      <c r="G11037" s="1" t="str">
        <f t="shared" si="2"/>
        <v/>
      </c>
      <c r="J11037" s="1" t="str">
        <f t="shared" si="3"/>
        <v/>
      </c>
      <c r="K11037" s="1" t="str">
        <f t="shared" si="4"/>
        <v/>
      </c>
    </row>
    <row r="11038" hidden="1">
      <c r="F11038" s="1" t="str">
        <f t="shared" si="1"/>
        <v/>
      </c>
      <c r="G11038" s="1" t="str">
        <f t="shared" si="2"/>
        <v/>
      </c>
      <c r="J11038" s="1" t="str">
        <f t="shared" si="3"/>
        <v/>
      </c>
      <c r="K11038" s="1" t="str">
        <f t="shared" si="4"/>
        <v/>
      </c>
    </row>
    <row r="11039" hidden="1">
      <c r="F11039" s="1" t="str">
        <f t="shared" si="1"/>
        <v/>
      </c>
      <c r="G11039" s="1" t="str">
        <f t="shared" si="2"/>
        <v/>
      </c>
      <c r="J11039" s="1" t="str">
        <f t="shared" si="3"/>
        <v/>
      </c>
      <c r="K11039" s="1" t="str">
        <f t="shared" si="4"/>
        <v/>
      </c>
    </row>
    <row r="11040" hidden="1">
      <c r="F11040" s="1" t="str">
        <f t="shared" si="1"/>
        <v/>
      </c>
      <c r="G11040" s="1" t="str">
        <f t="shared" si="2"/>
        <v/>
      </c>
      <c r="J11040" s="1" t="str">
        <f t="shared" si="3"/>
        <v/>
      </c>
      <c r="K11040" s="1" t="str">
        <f t="shared" si="4"/>
        <v/>
      </c>
    </row>
    <row r="11041" hidden="1">
      <c r="F11041" s="1" t="str">
        <f t="shared" si="1"/>
        <v/>
      </c>
      <c r="G11041" s="1" t="str">
        <f t="shared" si="2"/>
        <v/>
      </c>
      <c r="J11041" s="1" t="str">
        <f t="shared" si="3"/>
        <v/>
      </c>
      <c r="K11041" s="1" t="str">
        <f t="shared" si="4"/>
        <v/>
      </c>
    </row>
    <row r="11042" hidden="1">
      <c r="F11042" s="1" t="str">
        <f t="shared" si="1"/>
        <v/>
      </c>
      <c r="G11042" s="1" t="str">
        <f t="shared" si="2"/>
        <v/>
      </c>
      <c r="J11042" s="1" t="str">
        <f t="shared" si="3"/>
        <v/>
      </c>
      <c r="K11042" s="1" t="str">
        <f t="shared" si="4"/>
        <v/>
      </c>
    </row>
    <row r="11043" hidden="1">
      <c r="F11043" s="1" t="str">
        <f t="shared" si="1"/>
        <v/>
      </c>
      <c r="G11043" s="1" t="str">
        <f t="shared" si="2"/>
        <v/>
      </c>
      <c r="J11043" s="1" t="str">
        <f t="shared" si="3"/>
        <v/>
      </c>
      <c r="K11043" s="1" t="str">
        <f t="shared" si="4"/>
        <v/>
      </c>
    </row>
    <row r="11044" hidden="1">
      <c r="F11044" s="1" t="str">
        <f t="shared" si="1"/>
        <v/>
      </c>
      <c r="G11044" s="1" t="str">
        <f t="shared" si="2"/>
        <v/>
      </c>
      <c r="J11044" s="1" t="str">
        <f t="shared" si="3"/>
        <v/>
      </c>
      <c r="K11044" s="1" t="str">
        <f t="shared" si="4"/>
        <v/>
      </c>
    </row>
    <row r="11045" hidden="1">
      <c r="F11045" s="1" t="str">
        <f t="shared" si="1"/>
        <v/>
      </c>
      <c r="G11045" s="1" t="str">
        <f t="shared" si="2"/>
        <v/>
      </c>
      <c r="J11045" s="1" t="str">
        <f t="shared" si="3"/>
        <v/>
      </c>
      <c r="K11045" s="1" t="str">
        <f t="shared" si="4"/>
        <v/>
      </c>
    </row>
    <row r="11046" hidden="1">
      <c r="F11046" s="1" t="str">
        <f t="shared" si="1"/>
        <v/>
      </c>
      <c r="G11046" s="1" t="str">
        <f t="shared" si="2"/>
        <v/>
      </c>
      <c r="J11046" s="1" t="str">
        <f t="shared" si="3"/>
        <v/>
      </c>
      <c r="K11046" s="1" t="str">
        <f t="shared" si="4"/>
        <v/>
      </c>
    </row>
    <row r="11047" hidden="1">
      <c r="F11047" s="1" t="str">
        <f t="shared" si="1"/>
        <v/>
      </c>
      <c r="G11047" s="1" t="str">
        <f t="shared" si="2"/>
        <v/>
      </c>
      <c r="J11047" s="1" t="str">
        <f t="shared" si="3"/>
        <v/>
      </c>
      <c r="K11047" s="1" t="str">
        <f t="shared" si="4"/>
        <v/>
      </c>
    </row>
    <row r="11048" hidden="1">
      <c r="F11048" s="1" t="str">
        <f t="shared" si="1"/>
        <v/>
      </c>
      <c r="G11048" s="1" t="str">
        <f t="shared" si="2"/>
        <v/>
      </c>
      <c r="J11048" s="1" t="str">
        <f t="shared" si="3"/>
        <v/>
      </c>
      <c r="K11048" s="1" t="str">
        <f t="shared" si="4"/>
        <v/>
      </c>
    </row>
    <row r="11049" hidden="1">
      <c r="F11049" s="1" t="str">
        <f t="shared" si="1"/>
        <v/>
      </c>
      <c r="G11049" s="1" t="str">
        <f t="shared" si="2"/>
        <v/>
      </c>
      <c r="J11049" s="1" t="str">
        <f t="shared" si="3"/>
        <v/>
      </c>
      <c r="K11049" s="1" t="str">
        <f t="shared" si="4"/>
        <v/>
      </c>
    </row>
    <row r="11050" hidden="1">
      <c r="F11050" s="1" t="str">
        <f t="shared" si="1"/>
        <v/>
      </c>
      <c r="G11050" s="1" t="str">
        <f t="shared" si="2"/>
        <v/>
      </c>
      <c r="J11050" s="1" t="str">
        <f t="shared" si="3"/>
        <v/>
      </c>
      <c r="K11050" s="1" t="str">
        <f t="shared" si="4"/>
        <v/>
      </c>
    </row>
    <row r="11051" hidden="1">
      <c r="F11051" s="1" t="str">
        <f t="shared" si="1"/>
        <v/>
      </c>
      <c r="G11051" s="1" t="str">
        <f t="shared" si="2"/>
        <v/>
      </c>
      <c r="J11051" s="1" t="str">
        <f t="shared" si="3"/>
        <v/>
      </c>
      <c r="K11051" s="1" t="str">
        <f t="shared" si="4"/>
        <v/>
      </c>
    </row>
    <row r="11052" hidden="1">
      <c r="F11052" s="1" t="str">
        <f t="shared" si="1"/>
        <v/>
      </c>
      <c r="G11052" s="1" t="str">
        <f t="shared" si="2"/>
        <v/>
      </c>
      <c r="J11052" s="1" t="str">
        <f t="shared" si="3"/>
        <v/>
      </c>
      <c r="K11052" s="1" t="str">
        <f t="shared" si="4"/>
        <v/>
      </c>
    </row>
    <row r="11053" hidden="1">
      <c r="F11053" s="1" t="str">
        <f t="shared" si="1"/>
        <v/>
      </c>
      <c r="G11053" s="1" t="str">
        <f t="shared" si="2"/>
        <v/>
      </c>
      <c r="J11053" s="1" t="str">
        <f t="shared" si="3"/>
        <v/>
      </c>
      <c r="K11053" s="1" t="str">
        <f t="shared" si="4"/>
        <v/>
      </c>
    </row>
    <row r="11054" hidden="1">
      <c r="F11054" s="1" t="str">
        <f t="shared" si="1"/>
        <v/>
      </c>
      <c r="G11054" s="1" t="str">
        <f t="shared" si="2"/>
        <v/>
      </c>
      <c r="J11054" s="1" t="str">
        <f t="shared" si="3"/>
        <v/>
      </c>
      <c r="K11054" s="1" t="str">
        <f t="shared" si="4"/>
        <v/>
      </c>
    </row>
    <row r="11055" hidden="1">
      <c r="F11055" s="1" t="str">
        <f t="shared" si="1"/>
        <v/>
      </c>
      <c r="G11055" s="1" t="str">
        <f t="shared" si="2"/>
        <v/>
      </c>
      <c r="J11055" s="1" t="str">
        <f t="shared" si="3"/>
        <v/>
      </c>
      <c r="K11055" s="1" t="str">
        <f t="shared" si="4"/>
        <v/>
      </c>
    </row>
    <row r="11056" hidden="1">
      <c r="F11056" s="1" t="str">
        <f t="shared" si="1"/>
        <v/>
      </c>
      <c r="G11056" s="1" t="str">
        <f t="shared" si="2"/>
        <v/>
      </c>
      <c r="J11056" s="1" t="str">
        <f t="shared" si="3"/>
        <v/>
      </c>
      <c r="K11056" s="1" t="str">
        <f t="shared" si="4"/>
        <v/>
      </c>
    </row>
    <row r="11057" hidden="1">
      <c r="F11057" s="1" t="str">
        <f t="shared" si="1"/>
        <v/>
      </c>
      <c r="G11057" s="1" t="str">
        <f t="shared" si="2"/>
        <v/>
      </c>
      <c r="J11057" s="1" t="str">
        <f t="shared" si="3"/>
        <v/>
      </c>
      <c r="K11057" s="1" t="str">
        <f t="shared" si="4"/>
        <v/>
      </c>
    </row>
    <row r="11058" hidden="1">
      <c r="F11058" s="1" t="str">
        <f t="shared" si="1"/>
        <v/>
      </c>
      <c r="G11058" s="1" t="str">
        <f t="shared" si="2"/>
        <v/>
      </c>
      <c r="J11058" s="1" t="str">
        <f t="shared" si="3"/>
        <v/>
      </c>
      <c r="K11058" s="1" t="str">
        <f t="shared" si="4"/>
        <v/>
      </c>
    </row>
    <row r="11059" hidden="1">
      <c r="F11059" s="1" t="str">
        <f t="shared" si="1"/>
        <v/>
      </c>
      <c r="G11059" s="1" t="str">
        <f t="shared" si="2"/>
        <v/>
      </c>
      <c r="J11059" s="1" t="str">
        <f t="shared" si="3"/>
        <v/>
      </c>
      <c r="K11059" s="1" t="str">
        <f t="shared" si="4"/>
        <v/>
      </c>
    </row>
    <row r="11060" hidden="1">
      <c r="F11060" s="1" t="str">
        <f t="shared" si="1"/>
        <v/>
      </c>
      <c r="G11060" s="1" t="str">
        <f t="shared" si="2"/>
        <v/>
      </c>
      <c r="J11060" s="1" t="str">
        <f t="shared" si="3"/>
        <v/>
      </c>
      <c r="K11060" s="1" t="str">
        <f t="shared" si="4"/>
        <v/>
      </c>
    </row>
    <row r="11061" hidden="1">
      <c r="F11061" s="1" t="str">
        <f t="shared" si="1"/>
        <v/>
      </c>
      <c r="G11061" s="1" t="str">
        <f t="shared" si="2"/>
        <v/>
      </c>
      <c r="J11061" s="1" t="str">
        <f t="shared" si="3"/>
        <v/>
      </c>
      <c r="K11061" s="1" t="str">
        <f t="shared" si="4"/>
        <v/>
      </c>
    </row>
    <row r="11062" hidden="1">
      <c r="F11062" s="1" t="str">
        <f t="shared" si="1"/>
        <v/>
      </c>
      <c r="G11062" s="1" t="str">
        <f t="shared" si="2"/>
        <v/>
      </c>
      <c r="J11062" s="1" t="str">
        <f t="shared" si="3"/>
        <v/>
      </c>
      <c r="K11062" s="1" t="str">
        <f t="shared" si="4"/>
        <v/>
      </c>
    </row>
    <row r="11063" hidden="1">
      <c r="F11063" s="1" t="str">
        <f t="shared" si="1"/>
        <v/>
      </c>
      <c r="G11063" s="1" t="str">
        <f t="shared" si="2"/>
        <v/>
      </c>
      <c r="J11063" s="1" t="str">
        <f t="shared" si="3"/>
        <v/>
      </c>
      <c r="K11063" s="1" t="str">
        <f t="shared" si="4"/>
        <v/>
      </c>
    </row>
    <row r="11064" hidden="1">
      <c r="F11064" s="1" t="str">
        <f t="shared" si="1"/>
        <v/>
      </c>
      <c r="G11064" s="1" t="str">
        <f t="shared" si="2"/>
        <v/>
      </c>
      <c r="J11064" s="1" t="str">
        <f t="shared" si="3"/>
        <v/>
      </c>
      <c r="K11064" s="1" t="str">
        <f t="shared" si="4"/>
        <v/>
      </c>
    </row>
    <row r="11065" hidden="1">
      <c r="F11065" s="1" t="str">
        <f t="shared" si="1"/>
        <v/>
      </c>
      <c r="G11065" s="1" t="str">
        <f t="shared" si="2"/>
        <v/>
      </c>
      <c r="J11065" s="1" t="str">
        <f t="shared" si="3"/>
        <v/>
      </c>
      <c r="K11065" s="1" t="str">
        <f t="shared" si="4"/>
        <v/>
      </c>
    </row>
    <row r="11066" hidden="1">
      <c r="F11066" s="1" t="str">
        <f t="shared" si="1"/>
        <v/>
      </c>
      <c r="G11066" s="1" t="str">
        <f t="shared" si="2"/>
        <v/>
      </c>
      <c r="J11066" s="1" t="str">
        <f t="shared" si="3"/>
        <v/>
      </c>
      <c r="K11066" s="1" t="str">
        <f t="shared" si="4"/>
        <v/>
      </c>
    </row>
    <row r="11067" hidden="1">
      <c r="F11067" s="1" t="str">
        <f t="shared" si="1"/>
        <v/>
      </c>
      <c r="G11067" s="1" t="str">
        <f t="shared" si="2"/>
        <v/>
      </c>
      <c r="J11067" s="1" t="str">
        <f t="shared" si="3"/>
        <v/>
      </c>
      <c r="K11067" s="1" t="str">
        <f t="shared" si="4"/>
        <v/>
      </c>
    </row>
    <row r="11068" hidden="1">
      <c r="F11068" s="1" t="str">
        <f t="shared" si="1"/>
        <v/>
      </c>
      <c r="G11068" s="1" t="str">
        <f t="shared" si="2"/>
        <v/>
      </c>
      <c r="J11068" s="1" t="str">
        <f t="shared" si="3"/>
        <v/>
      </c>
      <c r="K11068" s="1" t="str">
        <f t="shared" si="4"/>
        <v/>
      </c>
    </row>
    <row r="11069" hidden="1">
      <c r="F11069" s="1" t="str">
        <f t="shared" si="1"/>
        <v/>
      </c>
      <c r="G11069" s="1" t="str">
        <f t="shared" si="2"/>
        <v/>
      </c>
      <c r="J11069" s="1" t="str">
        <f t="shared" si="3"/>
        <v/>
      </c>
      <c r="K11069" s="1" t="str">
        <f t="shared" si="4"/>
        <v/>
      </c>
    </row>
    <row r="11070" hidden="1">
      <c r="F11070" s="1" t="str">
        <f t="shared" si="1"/>
        <v/>
      </c>
      <c r="G11070" s="1" t="str">
        <f t="shared" si="2"/>
        <v/>
      </c>
      <c r="J11070" s="1" t="str">
        <f t="shared" si="3"/>
        <v/>
      </c>
      <c r="K11070" s="1" t="str">
        <f t="shared" si="4"/>
        <v/>
      </c>
    </row>
    <row r="11071" hidden="1">
      <c r="F11071" s="1" t="str">
        <f t="shared" si="1"/>
        <v/>
      </c>
      <c r="G11071" s="1" t="str">
        <f t="shared" si="2"/>
        <v/>
      </c>
      <c r="J11071" s="1" t="str">
        <f t="shared" si="3"/>
        <v/>
      </c>
      <c r="K11071" s="1" t="str">
        <f t="shared" si="4"/>
        <v/>
      </c>
    </row>
    <row r="11072" hidden="1">
      <c r="F11072" s="1" t="str">
        <f t="shared" si="1"/>
        <v/>
      </c>
      <c r="G11072" s="1" t="str">
        <f t="shared" si="2"/>
        <v/>
      </c>
      <c r="J11072" s="1" t="str">
        <f t="shared" si="3"/>
        <v/>
      </c>
      <c r="K11072" s="1" t="str">
        <f t="shared" si="4"/>
        <v/>
      </c>
    </row>
    <row r="11073" hidden="1">
      <c r="F11073" s="1" t="str">
        <f t="shared" si="1"/>
        <v/>
      </c>
      <c r="G11073" s="1" t="str">
        <f t="shared" si="2"/>
        <v/>
      </c>
      <c r="J11073" s="1" t="str">
        <f t="shared" si="3"/>
        <v/>
      </c>
      <c r="K11073" s="1" t="str">
        <f t="shared" si="4"/>
        <v/>
      </c>
    </row>
    <row r="11074" hidden="1">
      <c r="F11074" s="1" t="str">
        <f t="shared" si="1"/>
        <v/>
      </c>
      <c r="G11074" s="1" t="str">
        <f t="shared" si="2"/>
        <v/>
      </c>
      <c r="J11074" s="1" t="str">
        <f t="shared" si="3"/>
        <v/>
      </c>
      <c r="K11074" s="1" t="str">
        <f t="shared" si="4"/>
        <v/>
      </c>
    </row>
    <row r="11075" hidden="1">
      <c r="F11075" s="1" t="str">
        <f t="shared" si="1"/>
        <v/>
      </c>
      <c r="G11075" s="1" t="str">
        <f t="shared" si="2"/>
        <v/>
      </c>
      <c r="J11075" s="1" t="str">
        <f t="shared" si="3"/>
        <v/>
      </c>
      <c r="K11075" s="1" t="str">
        <f t="shared" si="4"/>
        <v/>
      </c>
    </row>
    <row r="11076" hidden="1">
      <c r="F11076" s="1" t="str">
        <f t="shared" si="1"/>
        <v/>
      </c>
      <c r="G11076" s="1" t="str">
        <f t="shared" si="2"/>
        <v/>
      </c>
      <c r="J11076" s="1" t="str">
        <f t="shared" si="3"/>
        <v/>
      </c>
      <c r="K11076" s="1" t="str">
        <f t="shared" si="4"/>
        <v/>
      </c>
    </row>
    <row r="11077" hidden="1">
      <c r="F11077" s="1" t="str">
        <f t="shared" si="1"/>
        <v/>
      </c>
      <c r="G11077" s="1" t="str">
        <f t="shared" si="2"/>
        <v/>
      </c>
      <c r="J11077" s="1" t="str">
        <f t="shared" si="3"/>
        <v/>
      </c>
      <c r="K11077" s="1" t="str">
        <f t="shared" si="4"/>
        <v/>
      </c>
    </row>
    <row r="11078" hidden="1">
      <c r="F11078" s="1" t="str">
        <f t="shared" si="1"/>
        <v/>
      </c>
      <c r="G11078" s="1" t="str">
        <f t="shared" si="2"/>
        <v/>
      </c>
      <c r="J11078" s="1" t="str">
        <f t="shared" si="3"/>
        <v/>
      </c>
      <c r="K11078" s="1" t="str">
        <f t="shared" si="4"/>
        <v/>
      </c>
    </row>
    <row r="11079" hidden="1">
      <c r="F11079" s="1" t="str">
        <f t="shared" si="1"/>
        <v/>
      </c>
      <c r="G11079" s="1" t="str">
        <f t="shared" si="2"/>
        <v/>
      </c>
      <c r="J11079" s="1" t="str">
        <f t="shared" si="3"/>
        <v/>
      </c>
      <c r="K11079" s="1" t="str">
        <f t="shared" si="4"/>
        <v/>
      </c>
    </row>
    <row r="11080" hidden="1">
      <c r="F11080" s="1" t="str">
        <f t="shared" si="1"/>
        <v/>
      </c>
      <c r="G11080" s="1" t="str">
        <f t="shared" si="2"/>
        <v/>
      </c>
      <c r="J11080" s="1" t="str">
        <f t="shared" si="3"/>
        <v/>
      </c>
      <c r="K11080" s="1" t="str">
        <f t="shared" si="4"/>
        <v/>
      </c>
    </row>
    <row r="11081" hidden="1">
      <c r="F11081" s="1" t="str">
        <f t="shared" si="1"/>
        <v/>
      </c>
      <c r="G11081" s="1" t="str">
        <f t="shared" si="2"/>
        <v/>
      </c>
      <c r="J11081" s="1" t="str">
        <f t="shared" si="3"/>
        <v/>
      </c>
      <c r="K11081" s="1" t="str">
        <f t="shared" si="4"/>
        <v/>
      </c>
    </row>
    <row r="11082" hidden="1">
      <c r="F11082" s="1" t="str">
        <f t="shared" si="1"/>
        <v/>
      </c>
      <c r="G11082" s="1" t="str">
        <f t="shared" si="2"/>
        <v/>
      </c>
      <c r="J11082" s="1" t="str">
        <f t="shared" si="3"/>
        <v/>
      </c>
      <c r="K11082" s="1" t="str">
        <f t="shared" si="4"/>
        <v/>
      </c>
    </row>
    <row r="11083" hidden="1">
      <c r="F11083" s="1" t="str">
        <f t="shared" si="1"/>
        <v/>
      </c>
      <c r="G11083" s="1" t="str">
        <f t="shared" si="2"/>
        <v/>
      </c>
      <c r="J11083" s="1" t="str">
        <f t="shared" si="3"/>
        <v/>
      </c>
      <c r="K11083" s="1" t="str">
        <f t="shared" si="4"/>
        <v/>
      </c>
    </row>
    <row r="11084" hidden="1">
      <c r="F11084" s="1" t="str">
        <f t="shared" si="1"/>
        <v/>
      </c>
      <c r="G11084" s="1" t="str">
        <f t="shared" si="2"/>
        <v/>
      </c>
      <c r="J11084" s="1" t="str">
        <f t="shared" si="3"/>
        <v/>
      </c>
      <c r="K11084" s="1" t="str">
        <f t="shared" si="4"/>
        <v/>
      </c>
    </row>
    <row r="11085" hidden="1">
      <c r="F11085" s="1" t="str">
        <f t="shared" si="1"/>
        <v/>
      </c>
      <c r="G11085" s="1" t="str">
        <f t="shared" si="2"/>
        <v/>
      </c>
      <c r="J11085" s="1" t="str">
        <f t="shared" si="3"/>
        <v/>
      </c>
      <c r="K11085" s="1" t="str">
        <f t="shared" si="4"/>
        <v/>
      </c>
    </row>
    <row r="11086" hidden="1">
      <c r="F11086" s="1" t="str">
        <f t="shared" si="1"/>
        <v/>
      </c>
      <c r="G11086" s="1" t="str">
        <f t="shared" si="2"/>
        <v/>
      </c>
      <c r="J11086" s="1" t="str">
        <f t="shared" si="3"/>
        <v/>
      </c>
      <c r="K11086" s="1" t="str">
        <f t="shared" si="4"/>
        <v/>
      </c>
    </row>
    <row r="11087" hidden="1">
      <c r="F11087" s="1" t="str">
        <f t="shared" si="1"/>
        <v/>
      </c>
      <c r="G11087" s="1" t="str">
        <f t="shared" si="2"/>
        <v/>
      </c>
      <c r="J11087" s="1" t="str">
        <f t="shared" si="3"/>
        <v/>
      </c>
      <c r="K11087" s="1" t="str">
        <f t="shared" si="4"/>
        <v/>
      </c>
    </row>
    <row r="11088" hidden="1">
      <c r="F11088" s="1" t="str">
        <f t="shared" si="1"/>
        <v/>
      </c>
      <c r="G11088" s="1" t="str">
        <f t="shared" si="2"/>
        <v/>
      </c>
      <c r="J11088" s="1" t="str">
        <f t="shared" si="3"/>
        <v/>
      </c>
      <c r="K11088" s="1" t="str">
        <f t="shared" si="4"/>
        <v/>
      </c>
    </row>
    <row r="11089" hidden="1">
      <c r="F11089" s="1" t="str">
        <f t="shared" si="1"/>
        <v/>
      </c>
      <c r="G11089" s="1" t="str">
        <f t="shared" si="2"/>
        <v/>
      </c>
      <c r="J11089" s="1" t="str">
        <f t="shared" si="3"/>
        <v/>
      </c>
      <c r="K11089" s="1" t="str">
        <f t="shared" si="4"/>
        <v/>
      </c>
    </row>
    <row r="11090" hidden="1">
      <c r="F11090" s="1" t="str">
        <f t="shared" si="1"/>
        <v/>
      </c>
      <c r="G11090" s="1" t="str">
        <f t="shared" si="2"/>
        <v/>
      </c>
      <c r="J11090" s="1" t="str">
        <f t="shared" si="3"/>
        <v/>
      </c>
      <c r="K11090" s="1" t="str">
        <f t="shared" si="4"/>
        <v/>
      </c>
    </row>
    <row r="11091" hidden="1">
      <c r="F11091" s="1" t="str">
        <f t="shared" si="1"/>
        <v/>
      </c>
      <c r="G11091" s="1" t="str">
        <f t="shared" si="2"/>
        <v/>
      </c>
      <c r="J11091" s="1" t="str">
        <f t="shared" si="3"/>
        <v/>
      </c>
      <c r="K11091" s="1" t="str">
        <f t="shared" si="4"/>
        <v/>
      </c>
    </row>
    <row r="11092" hidden="1">
      <c r="F11092" s="1" t="str">
        <f t="shared" si="1"/>
        <v/>
      </c>
      <c r="G11092" s="1" t="str">
        <f t="shared" si="2"/>
        <v/>
      </c>
      <c r="J11092" s="1" t="str">
        <f t="shared" si="3"/>
        <v/>
      </c>
      <c r="K11092" s="1" t="str">
        <f t="shared" si="4"/>
        <v/>
      </c>
    </row>
    <row r="11093" hidden="1">
      <c r="F11093" s="1" t="str">
        <f t="shared" si="1"/>
        <v/>
      </c>
      <c r="G11093" s="1" t="str">
        <f t="shared" si="2"/>
        <v/>
      </c>
      <c r="J11093" s="1" t="str">
        <f t="shared" si="3"/>
        <v/>
      </c>
      <c r="K11093" s="1" t="str">
        <f t="shared" si="4"/>
        <v/>
      </c>
    </row>
    <row r="11094" hidden="1">
      <c r="F11094" s="1" t="str">
        <f t="shared" si="1"/>
        <v/>
      </c>
      <c r="G11094" s="1" t="str">
        <f t="shared" si="2"/>
        <v/>
      </c>
      <c r="J11094" s="1" t="str">
        <f t="shared" si="3"/>
        <v/>
      </c>
      <c r="K11094" s="1" t="str">
        <f t="shared" si="4"/>
        <v/>
      </c>
    </row>
    <row r="11095" hidden="1">
      <c r="F11095" s="1" t="str">
        <f t="shared" si="1"/>
        <v/>
      </c>
      <c r="G11095" s="1" t="str">
        <f t="shared" si="2"/>
        <v/>
      </c>
      <c r="J11095" s="1" t="str">
        <f t="shared" si="3"/>
        <v/>
      </c>
      <c r="K11095" s="1" t="str">
        <f t="shared" si="4"/>
        <v/>
      </c>
    </row>
    <row r="11096" hidden="1">
      <c r="F11096" s="1" t="str">
        <f t="shared" si="1"/>
        <v/>
      </c>
      <c r="G11096" s="1" t="str">
        <f t="shared" si="2"/>
        <v/>
      </c>
      <c r="J11096" s="1" t="str">
        <f t="shared" si="3"/>
        <v/>
      </c>
      <c r="K11096" s="1" t="str">
        <f t="shared" si="4"/>
        <v/>
      </c>
    </row>
    <row r="11097" hidden="1">
      <c r="F11097" s="1" t="str">
        <f t="shared" si="1"/>
        <v/>
      </c>
      <c r="G11097" s="1" t="str">
        <f t="shared" si="2"/>
        <v/>
      </c>
      <c r="J11097" s="1" t="str">
        <f t="shared" si="3"/>
        <v/>
      </c>
      <c r="K11097" s="1" t="str">
        <f t="shared" si="4"/>
        <v/>
      </c>
    </row>
    <row r="11098" hidden="1">
      <c r="F11098" s="1" t="str">
        <f t="shared" si="1"/>
        <v/>
      </c>
      <c r="G11098" s="1" t="str">
        <f t="shared" si="2"/>
        <v/>
      </c>
      <c r="J11098" s="1" t="str">
        <f t="shared" si="3"/>
        <v/>
      </c>
      <c r="K11098" s="1" t="str">
        <f t="shared" si="4"/>
        <v/>
      </c>
    </row>
    <row r="11099" hidden="1">
      <c r="F11099" s="1" t="str">
        <f t="shared" si="1"/>
        <v/>
      </c>
      <c r="G11099" s="1" t="str">
        <f t="shared" si="2"/>
        <v/>
      </c>
      <c r="J11099" s="1" t="str">
        <f t="shared" si="3"/>
        <v/>
      </c>
      <c r="K11099" s="1" t="str">
        <f t="shared" si="4"/>
        <v/>
      </c>
    </row>
    <row r="11100" hidden="1">
      <c r="F11100" s="1" t="str">
        <f t="shared" si="1"/>
        <v/>
      </c>
      <c r="G11100" s="1" t="str">
        <f t="shared" si="2"/>
        <v/>
      </c>
      <c r="J11100" s="1" t="str">
        <f t="shared" si="3"/>
        <v/>
      </c>
      <c r="K11100" s="1" t="str">
        <f t="shared" si="4"/>
        <v/>
      </c>
    </row>
    <row r="11101" hidden="1">
      <c r="F11101" s="1" t="str">
        <f t="shared" si="1"/>
        <v/>
      </c>
      <c r="G11101" s="1" t="str">
        <f t="shared" si="2"/>
        <v/>
      </c>
      <c r="J11101" s="1" t="str">
        <f t="shared" si="3"/>
        <v/>
      </c>
      <c r="K11101" s="1" t="str">
        <f t="shared" si="4"/>
        <v/>
      </c>
    </row>
    <row r="11102" hidden="1">
      <c r="F11102" s="1" t="str">
        <f t="shared" si="1"/>
        <v/>
      </c>
      <c r="G11102" s="1" t="str">
        <f t="shared" si="2"/>
        <v/>
      </c>
      <c r="J11102" s="1" t="str">
        <f t="shared" si="3"/>
        <v/>
      </c>
      <c r="K11102" s="1" t="str">
        <f t="shared" si="4"/>
        <v/>
      </c>
    </row>
    <row r="11103" hidden="1">
      <c r="F11103" s="1" t="str">
        <f t="shared" si="1"/>
        <v/>
      </c>
      <c r="G11103" s="1" t="str">
        <f t="shared" si="2"/>
        <v/>
      </c>
      <c r="J11103" s="1" t="str">
        <f t="shared" si="3"/>
        <v/>
      </c>
      <c r="K11103" s="1" t="str">
        <f t="shared" si="4"/>
        <v/>
      </c>
    </row>
    <row r="11104" hidden="1">
      <c r="F11104" s="1" t="str">
        <f t="shared" si="1"/>
        <v/>
      </c>
      <c r="G11104" s="1" t="str">
        <f t="shared" si="2"/>
        <v/>
      </c>
      <c r="J11104" s="1" t="str">
        <f t="shared" si="3"/>
        <v/>
      </c>
      <c r="K11104" s="1" t="str">
        <f t="shared" si="4"/>
        <v/>
      </c>
    </row>
    <row r="11105" hidden="1">
      <c r="F11105" s="1" t="str">
        <f t="shared" si="1"/>
        <v/>
      </c>
      <c r="G11105" s="1" t="str">
        <f t="shared" si="2"/>
        <v/>
      </c>
      <c r="J11105" s="1" t="str">
        <f t="shared" si="3"/>
        <v/>
      </c>
      <c r="K11105" s="1" t="str">
        <f t="shared" si="4"/>
        <v/>
      </c>
    </row>
    <row r="11106" hidden="1">
      <c r="F11106" s="1" t="str">
        <f t="shared" si="1"/>
        <v/>
      </c>
      <c r="G11106" s="1" t="str">
        <f t="shared" si="2"/>
        <v/>
      </c>
      <c r="J11106" s="1" t="str">
        <f t="shared" si="3"/>
        <v/>
      </c>
      <c r="K11106" s="1" t="str">
        <f t="shared" si="4"/>
        <v/>
      </c>
    </row>
    <row r="11107" hidden="1">
      <c r="F11107" s="1" t="str">
        <f t="shared" si="1"/>
        <v/>
      </c>
      <c r="G11107" s="1" t="str">
        <f t="shared" si="2"/>
        <v/>
      </c>
      <c r="J11107" s="1" t="str">
        <f t="shared" si="3"/>
        <v/>
      </c>
      <c r="K11107" s="1" t="str">
        <f t="shared" si="4"/>
        <v/>
      </c>
    </row>
    <row r="11108" hidden="1">
      <c r="F11108" s="1" t="str">
        <f t="shared" si="1"/>
        <v/>
      </c>
      <c r="G11108" s="1" t="str">
        <f t="shared" si="2"/>
        <v/>
      </c>
      <c r="J11108" s="1" t="str">
        <f t="shared" si="3"/>
        <v/>
      </c>
      <c r="K11108" s="1" t="str">
        <f t="shared" si="4"/>
        <v/>
      </c>
    </row>
    <row r="11109" hidden="1">
      <c r="F11109" s="1" t="str">
        <f t="shared" si="1"/>
        <v/>
      </c>
      <c r="G11109" s="1" t="str">
        <f t="shared" si="2"/>
        <v/>
      </c>
      <c r="J11109" s="1" t="str">
        <f t="shared" si="3"/>
        <v/>
      </c>
      <c r="K11109" s="1" t="str">
        <f t="shared" si="4"/>
        <v/>
      </c>
    </row>
    <row r="11110" hidden="1">
      <c r="F11110" s="1" t="str">
        <f t="shared" si="1"/>
        <v/>
      </c>
      <c r="G11110" s="1" t="str">
        <f t="shared" si="2"/>
        <v/>
      </c>
      <c r="J11110" s="1" t="str">
        <f t="shared" si="3"/>
        <v/>
      </c>
      <c r="K11110" s="1" t="str">
        <f t="shared" si="4"/>
        <v/>
      </c>
    </row>
    <row r="11111" hidden="1">
      <c r="F11111" s="1" t="str">
        <f t="shared" si="1"/>
        <v/>
      </c>
      <c r="G11111" s="1" t="str">
        <f t="shared" si="2"/>
        <v/>
      </c>
      <c r="J11111" s="1" t="str">
        <f t="shared" si="3"/>
        <v/>
      </c>
      <c r="K11111" s="1" t="str">
        <f t="shared" si="4"/>
        <v/>
      </c>
    </row>
    <row r="11112" hidden="1">
      <c r="F11112" s="1" t="str">
        <f t="shared" si="1"/>
        <v/>
      </c>
      <c r="G11112" s="1" t="str">
        <f t="shared" si="2"/>
        <v/>
      </c>
      <c r="J11112" s="1" t="str">
        <f t="shared" si="3"/>
        <v/>
      </c>
      <c r="K11112" s="1" t="str">
        <f t="shared" si="4"/>
        <v/>
      </c>
    </row>
    <row r="11113" hidden="1">
      <c r="F11113" s="1" t="str">
        <f t="shared" si="1"/>
        <v/>
      </c>
      <c r="G11113" s="1" t="str">
        <f t="shared" si="2"/>
        <v/>
      </c>
      <c r="J11113" s="1" t="str">
        <f t="shared" si="3"/>
        <v/>
      </c>
      <c r="K11113" s="1" t="str">
        <f t="shared" si="4"/>
        <v/>
      </c>
    </row>
    <row r="11114" hidden="1">
      <c r="F11114" s="1" t="str">
        <f t="shared" si="1"/>
        <v/>
      </c>
      <c r="G11114" s="1" t="str">
        <f t="shared" si="2"/>
        <v/>
      </c>
      <c r="J11114" s="1" t="str">
        <f t="shared" si="3"/>
        <v/>
      </c>
      <c r="K11114" s="1" t="str">
        <f t="shared" si="4"/>
        <v/>
      </c>
    </row>
    <row r="11115" hidden="1">
      <c r="F11115" s="1" t="str">
        <f t="shared" si="1"/>
        <v/>
      </c>
      <c r="G11115" s="1" t="str">
        <f t="shared" si="2"/>
        <v/>
      </c>
      <c r="J11115" s="1" t="str">
        <f t="shared" si="3"/>
        <v/>
      </c>
      <c r="K11115" s="1" t="str">
        <f t="shared" si="4"/>
        <v/>
      </c>
    </row>
    <row r="11116" hidden="1">
      <c r="F11116" s="1" t="str">
        <f t="shared" si="1"/>
        <v/>
      </c>
      <c r="G11116" s="1" t="str">
        <f t="shared" si="2"/>
        <v/>
      </c>
      <c r="J11116" s="1" t="str">
        <f t="shared" si="3"/>
        <v/>
      </c>
      <c r="K11116" s="1" t="str">
        <f t="shared" si="4"/>
        <v/>
      </c>
    </row>
    <row r="11117" hidden="1">
      <c r="F11117" s="1" t="str">
        <f t="shared" si="1"/>
        <v/>
      </c>
      <c r="G11117" s="1" t="str">
        <f t="shared" si="2"/>
        <v/>
      </c>
      <c r="J11117" s="1" t="str">
        <f t="shared" si="3"/>
        <v/>
      </c>
      <c r="K11117" s="1" t="str">
        <f t="shared" si="4"/>
        <v/>
      </c>
    </row>
    <row r="11118" hidden="1">
      <c r="F11118" s="1" t="str">
        <f t="shared" si="1"/>
        <v/>
      </c>
      <c r="G11118" s="1" t="str">
        <f t="shared" si="2"/>
        <v/>
      </c>
      <c r="J11118" s="1" t="str">
        <f t="shared" si="3"/>
        <v/>
      </c>
      <c r="K11118" s="1" t="str">
        <f t="shared" si="4"/>
        <v/>
      </c>
    </row>
    <row r="11119" hidden="1">
      <c r="F11119" s="1" t="str">
        <f t="shared" si="1"/>
        <v/>
      </c>
      <c r="G11119" s="1" t="str">
        <f t="shared" si="2"/>
        <v/>
      </c>
      <c r="J11119" s="1" t="str">
        <f t="shared" si="3"/>
        <v/>
      </c>
      <c r="K11119" s="1" t="str">
        <f t="shared" si="4"/>
        <v/>
      </c>
    </row>
    <row r="11120" hidden="1">
      <c r="F11120" s="1" t="str">
        <f t="shared" si="1"/>
        <v/>
      </c>
      <c r="G11120" s="1" t="str">
        <f t="shared" si="2"/>
        <v/>
      </c>
      <c r="J11120" s="1" t="str">
        <f t="shared" si="3"/>
        <v/>
      </c>
      <c r="K11120" s="1" t="str">
        <f t="shared" si="4"/>
        <v/>
      </c>
    </row>
    <row r="11121" hidden="1">
      <c r="F11121" s="1" t="str">
        <f t="shared" si="1"/>
        <v/>
      </c>
      <c r="G11121" s="1" t="str">
        <f t="shared" si="2"/>
        <v/>
      </c>
      <c r="J11121" s="1" t="str">
        <f t="shared" si="3"/>
        <v/>
      </c>
      <c r="K11121" s="1" t="str">
        <f t="shared" si="4"/>
        <v/>
      </c>
    </row>
    <row r="11122" hidden="1">
      <c r="F11122" s="1" t="str">
        <f t="shared" si="1"/>
        <v/>
      </c>
      <c r="G11122" s="1" t="str">
        <f t="shared" si="2"/>
        <v/>
      </c>
      <c r="J11122" s="1" t="str">
        <f t="shared" si="3"/>
        <v/>
      </c>
      <c r="K11122" s="1" t="str">
        <f t="shared" si="4"/>
        <v/>
      </c>
    </row>
    <row r="11123" hidden="1">
      <c r="F11123" s="1" t="str">
        <f t="shared" si="1"/>
        <v/>
      </c>
      <c r="G11123" s="1" t="str">
        <f t="shared" si="2"/>
        <v/>
      </c>
      <c r="J11123" s="1" t="str">
        <f t="shared" si="3"/>
        <v/>
      </c>
      <c r="K11123" s="1" t="str">
        <f t="shared" si="4"/>
        <v/>
      </c>
    </row>
    <row r="11124" hidden="1">
      <c r="F11124" s="1" t="str">
        <f t="shared" si="1"/>
        <v/>
      </c>
      <c r="G11124" s="1" t="str">
        <f t="shared" si="2"/>
        <v/>
      </c>
      <c r="J11124" s="1" t="str">
        <f t="shared" si="3"/>
        <v/>
      </c>
      <c r="K11124" s="1" t="str">
        <f t="shared" si="4"/>
        <v/>
      </c>
    </row>
    <row r="11125" hidden="1">
      <c r="F11125" s="1" t="str">
        <f t="shared" si="1"/>
        <v/>
      </c>
      <c r="G11125" s="1" t="str">
        <f t="shared" si="2"/>
        <v/>
      </c>
      <c r="J11125" s="1" t="str">
        <f t="shared" si="3"/>
        <v/>
      </c>
      <c r="K11125" s="1" t="str">
        <f t="shared" si="4"/>
        <v/>
      </c>
    </row>
    <row r="11126" hidden="1">
      <c r="F11126" s="1" t="str">
        <f t="shared" si="1"/>
        <v/>
      </c>
      <c r="G11126" s="1" t="str">
        <f t="shared" si="2"/>
        <v/>
      </c>
      <c r="J11126" s="1" t="str">
        <f t="shared" si="3"/>
        <v/>
      </c>
      <c r="K11126" s="1" t="str">
        <f t="shared" si="4"/>
        <v/>
      </c>
    </row>
    <row r="11127" hidden="1">
      <c r="F11127" s="1" t="str">
        <f t="shared" si="1"/>
        <v/>
      </c>
      <c r="G11127" s="1" t="str">
        <f t="shared" si="2"/>
        <v/>
      </c>
      <c r="J11127" s="1" t="str">
        <f t="shared" si="3"/>
        <v/>
      </c>
      <c r="K11127" s="1" t="str">
        <f t="shared" si="4"/>
        <v/>
      </c>
    </row>
    <row r="11128" hidden="1">
      <c r="F11128" s="1" t="str">
        <f t="shared" si="1"/>
        <v/>
      </c>
      <c r="G11128" s="1" t="str">
        <f t="shared" si="2"/>
        <v/>
      </c>
      <c r="J11128" s="1" t="str">
        <f t="shared" si="3"/>
        <v/>
      </c>
      <c r="K11128" s="1" t="str">
        <f t="shared" si="4"/>
        <v/>
      </c>
    </row>
    <row r="11129" hidden="1">
      <c r="F11129" s="1" t="str">
        <f t="shared" si="1"/>
        <v/>
      </c>
      <c r="G11129" s="1" t="str">
        <f t="shared" si="2"/>
        <v/>
      </c>
      <c r="J11129" s="1" t="str">
        <f t="shared" si="3"/>
        <v/>
      </c>
      <c r="K11129" s="1" t="str">
        <f t="shared" si="4"/>
        <v/>
      </c>
    </row>
    <row r="11130" hidden="1">
      <c r="F11130" s="1" t="str">
        <f t="shared" si="1"/>
        <v/>
      </c>
      <c r="G11130" s="1" t="str">
        <f t="shared" si="2"/>
        <v/>
      </c>
      <c r="J11130" s="1" t="str">
        <f t="shared" si="3"/>
        <v/>
      </c>
      <c r="K11130" s="1" t="str">
        <f t="shared" si="4"/>
        <v/>
      </c>
    </row>
    <row r="11131" hidden="1">
      <c r="F11131" s="1" t="str">
        <f t="shared" si="1"/>
        <v/>
      </c>
      <c r="G11131" s="1" t="str">
        <f t="shared" si="2"/>
        <v/>
      </c>
      <c r="J11131" s="1" t="str">
        <f t="shared" si="3"/>
        <v/>
      </c>
      <c r="K11131" s="1" t="str">
        <f t="shared" si="4"/>
        <v/>
      </c>
    </row>
    <row r="11132" hidden="1">
      <c r="F11132" s="1" t="str">
        <f t="shared" si="1"/>
        <v/>
      </c>
      <c r="G11132" s="1" t="str">
        <f t="shared" si="2"/>
        <v/>
      </c>
      <c r="J11132" s="1" t="str">
        <f t="shared" si="3"/>
        <v/>
      </c>
      <c r="K11132" s="1" t="str">
        <f t="shared" si="4"/>
        <v/>
      </c>
    </row>
    <row r="11133" hidden="1">
      <c r="F11133" s="1" t="str">
        <f t="shared" si="1"/>
        <v/>
      </c>
      <c r="G11133" s="1" t="str">
        <f t="shared" si="2"/>
        <v/>
      </c>
      <c r="J11133" s="1" t="str">
        <f t="shared" si="3"/>
        <v/>
      </c>
      <c r="K11133" s="1" t="str">
        <f t="shared" si="4"/>
        <v/>
      </c>
    </row>
    <row r="11134" hidden="1">
      <c r="F11134" s="1" t="str">
        <f t="shared" si="1"/>
        <v/>
      </c>
      <c r="G11134" s="1" t="str">
        <f t="shared" si="2"/>
        <v/>
      </c>
      <c r="J11134" s="1" t="str">
        <f t="shared" si="3"/>
        <v/>
      </c>
      <c r="K11134" s="1" t="str">
        <f t="shared" si="4"/>
        <v/>
      </c>
    </row>
    <row r="11135" hidden="1">
      <c r="F11135" s="1" t="str">
        <f t="shared" si="1"/>
        <v/>
      </c>
      <c r="G11135" s="1" t="str">
        <f t="shared" si="2"/>
        <v/>
      </c>
      <c r="J11135" s="1" t="str">
        <f t="shared" si="3"/>
        <v/>
      </c>
      <c r="K11135" s="1" t="str">
        <f t="shared" si="4"/>
        <v/>
      </c>
    </row>
    <row r="11136" hidden="1">
      <c r="F11136" s="1" t="str">
        <f t="shared" si="1"/>
        <v/>
      </c>
      <c r="G11136" s="1" t="str">
        <f t="shared" si="2"/>
        <v/>
      </c>
      <c r="J11136" s="1" t="str">
        <f t="shared" si="3"/>
        <v/>
      </c>
      <c r="K11136" s="1" t="str">
        <f t="shared" si="4"/>
        <v/>
      </c>
    </row>
    <row r="11137" hidden="1">
      <c r="F11137" s="1" t="str">
        <f t="shared" si="1"/>
        <v/>
      </c>
      <c r="G11137" s="1" t="str">
        <f t="shared" si="2"/>
        <v/>
      </c>
      <c r="J11137" s="1" t="str">
        <f t="shared" si="3"/>
        <v/>
      </c>
      <c r="K11137" s="1" t="str">
        <f t="shared" si="4"/>
        <v/>
      </c>
    </row>
    <row r="11138" hidden="1">
      <c r="F11138" s="1" t="str">
        <f t="shared" si="1"/>
        <v/>
      </c>
      <c r="G11138" s="1" t="str">
        <f t="shared" si="2"/>
        <v/>
      </c>
      <c r="J11138" s="1" t="str">
        <f t="shared" si="3"/>
        <v/>
      </c>
      <c r="K11138" s="1" t="str">
        <f t="shared" si="4"/>
        <v/>
      </c>
    </row>
    <row r="11139" hidden="1">
      <c r="F11139" s="1" t="str">
        <f t="shared" si="1"/>
        <v/>
      </c>
      <c r="G11139" s="1" t="str">
        <f t="shared" si="2"/>
        <v/>
      </c>
      <c r="J11139" s="1" t="str">
        <f t="shared" si="3"/>
        <v/>
      </c>
      <c r="K11139" s="1" t="str">
        <f t="shared" si="4"/>
        <v/>
      </c>
    </row>
    <row r="11140" hidden="1">
      <c r="F11140" s="1" t="str">
        <f t="shared" si="1"/>
        <v/>
      </c>
      <c r="G11140" s="1" t="str">
        <f t="shared" si="2"/>
        <v/>
      </c>
      <c r="J11140" s="1" t="str">
        <f t="shared" si="3"/>
        <v/>
      </c>
      <c r="K11140" s="1" t="str">
        <f t="shared" si="4"/>
        <v/>
      </c>
    </row>
    <row r="11141" hidden="1">
      <c r="F11141" s="1" t="str">
        <f t="shared" si="1"/>
        <v/>
      </c>
      <c r="G11141" s="1" t="str">
        <f t="shared" si="2"/>
        <v/>
      </c>
      <c r="J11141" s="1" t="str">
        <f t="shared" si="3"/>
        <v/>
      </c>
      <c r="K11141" s="1" t="str">
        <f t="shared" si="4"/>
        <v/>
      </c>
    </row>
    <row r="11142" hidden="1">
      <c r="F11142" s="1" t="str">
        <f t="shared" si="1"/>
        <v/>
      </c>
      <c r="G11142" s="1" t="str">
        <f t="shared" si="2"/>
        <v/>
      </c>
      <c r="J11142" s="1" t="str">
        <f t="shared" si="3"/>
        <v/>
      </c>
      <c r="K11142" s="1" t="str">
        <f t="shared" si="4"/>
        <v/>
      </c>
    </row>
    <row r="11143" hidden="1">
      <c r="F11143" s="1" t="str">
        <f t="shared" si="1"/>
        <v/>
      </c>
      <c r="G11143" s="1" t="str">
        <f t="shared" si="2"/>
        <v/>
      </c>
      <c r="J11143" s="1" t="str">
        <f t="shared" si="3"/>
        <v/>
      </c>
      <c r="K11143" s="1" t="str">
        <f t="shared" si="4"/>
        <v/>
      </c>
    </row>
    <row r="11144" hidden="1">
      <c r="F11144" s="1" t="str">
        <f t="shared" si="1"/>
        <v/>
      </c>
      <c r="G11144" s="1" t="str">
        <f t="shared" si="2"/>
        <v/>
      </c>
      <c r="J11144" s="1" t="str">
        <f t="shared" si="3"/>
        <v/>
      </c>
      <c r="K11144" s="1" t="str">
        <f t="shared" si="4"/>
        <v/>
      </c>
    </row>
    <row r="11145" hidden="1">
      <c r="F11145" s="1" t="str">
        <f t="shared" si="1"/>
        <v/>
      </c>
      <c r="G11145" s="1" t="str">
        <f t="shared" si="2"/>
        <v/>
      </c>
      <c r="J11145" s="1" t="str">
        <f t="shared" si="3"/>
        <v/>
      </c>
      <c r="K11145" s="1" t="str">
        <f t="shared" si="4"/>
        <v/>
      </c>
    </row>
    <row r="11146" hidden="1">
      <c r="F11146" s="1" t="str">
        <f t="shared" si="1"/>
        <v/>
      </c>
      <c r="G11146" s="1" t="str">
        <f t="shared" si="2"/>
        <v/>
      </c>
      <c r="J11146" s="1" t="str">
        <f t="shared" si="3"/>
        <v/>
      </c>
      <c r="K11146" s="1" t="str">
        <f t="shared" si="4"/>
        <v/>
      </c>
    </row>
    <row r="11147" hidden="1">
      <c r="F11147" s="1" t="str">
        <f t="shared" si="1"/>
        <v/>
      </c>
      <c r="G11147" s="1" t="str">
        <f t="shared" si="2"/>
        <v/>
      </c>
      <c r="J11147" s="1" t="str">
        <f t="shared" si="3"/>
        <v/>
      </c>
      <c r="K11147" s="1" t="str">
        <f t="shared" si="4"/>
        <v/>
      </c>
    </row>
    <row r="11148" hidden="1">
      <c r="F11148" s="1" t="str">
        <f t="shared" si="1"/>
        <v/>
      </c>
      <c r="G11148" s="1" t="str">
        <f t="shared" si="2"/>
        <v/>
      </c>
      <c r="J11148" s="1" t="str">
        <f t="shared" si="3"/>
        <v/>
      </c>
      <c r="K11148" s="1" t="str">
        <f t="shared" si="4"/>
        <v/>
      </c>
    </row>
    <row r="11149" hidden="1">
      <c r="F11149" s="1" t="str">
        <f t="shared" si="1"/>
        <v/>
      </c>
      <c r="G11149" s="1" t="str">
        <f t="shared" si="2"/>
        <v/>
      </c>
      <c r="J11149" s="1" t="str">
        <f t="shared" si="3"/>
        <v/>
      </c>
      <c r="K11149" s="1" t="str">
        <f t="shared" si="4"/>
        <v/>
      </c>
    </row>
    <row r="11150" hidden="1">
      <c r="F11150" s="1" t="str">
        <f t="shared" si="1"/>
        <v/>
      </c>
      <c r="G11150" s="1" t="str">
        <f t="shared" si="2"/>
        <v/>
      </c>
      <c r="J11150" s="1" t="str">
        <f t="shared" si="3"/>
        <v/>
      </c>
      <c r="K11150" s="1" t="str">
        <f t="shared" si="4"/>
        <v/>
      </c>
    </row>
    <row r="11151" hidden="1">
      <c r="F11151" s="1" t="str">
        <f t="shared" si="1"/>
        <v/>
      </c>
      <c r="G11151" s="1" t="str">
        <f t="shared" si="2"/>
        <v/>
      </c>
      <c r="J11151" s="1" t="str">
        <f t="shared" si="3"/>
        <v/>
      </c>
      <c r="K11151" s="1" t="str">
        <f t="shared" si="4"/>
        <v/>
      </c>
    </row>
    <row r="11152" hidden="1">
      <c r="F11152" s="1" t="str">
        <f t="shared" si="1"/>
        <v/>
      </c>
      <c r="G11152" s="1" t="str">
        <f t="shared" si="2"/>
        <v/>
      </c>
      <c r="J11152" s="1" t="str">
        <f t="shared" si="3"/>
        <v/>
      </c>
      <c r="K11152" s="1" t="str">
        <f t="shared" si="4"/>
        <v/>
      </c>
    </row>
    <row r="11153" hidden="1">
      <c r="F11153" s="1" t="str">
        <f t="shared" si="1"/>
        <v/>
      </c>
      <c r="G11153" s="1" t="str">
        <f t="shared" si="2"/>
        <v/>
      </c>
      <c r="J11153" s="1" t="str">
        <f t="shared" si="3"/>
        <v/>
      </c>
      <c r="K11153" s="1" t="str">
        <f t="shared" si="4"/>
        <v/>
      </c>
    </row>
    <row r="11154" hidden="1">
      <c r="F11154" s="1" t="str">
        <f t="shared" si="1"/>
        <v/>
      </c>
      <c r="G11154" s="1" t="str">
        <f t="shared" si="2"/>
        <v/>
      </c>
      <c r="J11154" s="1" t="str">
        <f t="shared" si="3"/>
        <v/>
      </c>
      <c r="K11154" s="1" t="str">
        <f t="shared" si="4"/>
        <v/>
      </c>
    </row>
    <row r="11155" hidden="1">
      <c r="F11155" s="1" t="str">
        <f t="shared" si="1"/>
        <v/>
      </c>
      <c r="G11155" s="1" t="str">
        <f t="shared" si="2"/>
        <v/>
      </c>
      <c r="J11155" s="1" t="str">
        <f t="shared" si="3"/>
        <v/>
      </c>
      <c r="K11155" s="1" t="str">
        <f t="shared" si="4"/>
        <v/>
      </c>
    </row>
    <row r="11156" hidden="1">
      <c r="F11156" s="1" t="str">
        <f t="shared" si="1"/>
        <v/>
      </c>
      <c r="G11156" s="1" t="str">
        <f t="shared" si="2"/>
        <v/>
      </c>
      <c r="J11156" s="1" t="str">
        <f t="shared" si="3"/>
        <v/>
      </c>
      <c r="K11156" s="1" t="str">
        <f t="shared" si="4"/>
        <v/>
      </c>
    </row>
    <row r="11157" hidden="1">
      <c r="F11157" s="1" t="str">
        <f t="shared" si="1"/>
        <v/>
      </c>
      <c r="G11157" s="1" t="str">
        <f t="shared" si="2"/>
        <v/>
      </c>
      <c r="J11157" s="1" t="str">
        <f t="shared" si="3"/>
        <v/>
      </c>
      <c r="K11157" s="1" t="str">
        <f t="shared" si="4"/>
        <v/>
      </c>
    </row>
    <row r="11158" hidden="1">
      <c r="F11158" s="1" t="str">
        <f t="shared" si="1"/>
        <v/>
      </c>
      <c r="G11158" s="1" t="str">
        <f t="shared" si="2"/>
        <v/>
      </c>
      <c r="J11158" s="1" t="str">
        <f t="shared" si="3"/>
        <v/>
      </c>
      <c r="K11158" s="1" t="str">
        <f t="shared" si="4"/>
        <v/>
      </c>
    </row>
    <row r="11159" hidden="1">
      <c r="F11159" s="1" t="str">
        <f t="shared" si="1"/>
        <v/>
      </c>
      <c r="G11159" s="1" t="str">
        <f t="shared" si="2"/>
        <v/>
      </c>
      <c r="J11159" s="1" t="str">
        <f t="shared" si="3"/>
        <v/>
      </c>
      <c r="K11159" s="1" t="str">
        <f t="shared" si="4"/>
        <v/>
      </c>
    </row>
    <row r="11160" hidden="1">
      <c r="F11160" s="1" t="str">
        <f t="shared" si="1"/>
        <v/>
      </c>
      <c r="G11160" s="1" t="str">
        <f t="shared" si="2"/>
        <v/>
      </c>
      <c r="J11160" s="1" t="str">
        <f t="shared" si="3"/>
        <v/>
      </c>
      <c r="K11160" s="1" t="str">
        <f t="shared" si="4"/>
        <v/>
      </c>
    </row>
    <row r="11161" hidden="1">
      <c r="F11161" s="1" t="str">
        <f t="shared" si="1"/>
        <v/>
      </c>
      <c r="G11161" s="1" t="str">
        <f t="shared" si="2"/>
        <v/>
      </c>
      <c r="J11161" s="1" t="str">
        <f t="shared" si="3"/>
        <v/>
      </c>
      <c r="K11161" s="1" t="str">
        <f t="shared" si="4"/>
        <v/>
      </c>
    </row>
    <row r="11162" hidden="1">
      <c r="F11162" s="1" t="str">
        <f t="shared" si="1"/>
        <v/>
      </c>
      <c r="G11162" s="1" t="str">
        <f t="shared" si="2"/>
        <v/>
      </c>
      <c r="J11162" s="1" t="str">
        <f t="shared" si="3"/>
        <v/>
      </c>
      <c r="K11162" s="1" t="str">
        <f t="shared" si="4"/>
        <v/>
      </c>
    </row>
    <row r="11163" hidden="1">
      <c r="F11163" s="1" t="str">
        <f t="shared" si="1"/>
        <v/>
      </c>
      <c r="G11163" s="1" t="str">
        <f t="shared" si="2"/>
        <v/>
      </c>
      <c r="J11163" s="1" t="str">
        <f t="shared" si="3"/>
        <v/>
      </c>
      <c r="K11163" s="1" t="str">
        <f t="shared" si="4"/>
        <v/>
      </c>
    </row>
    <row r="11164" hidden="1">
      <c r="F11164" s="1" t="str">
        <f t="shared" si="1"/>
        <v/>
      </c>
      <c r="G11164" s="1" t="str">
        <f t="shared" si="2"/>
        <v/>
      </c>
      <c r="J11164" s="1" t="str">
        <f t="shared" si="3"/>
        <v/>
      </c>
      <c r="K11164" s="1" t="str">
        <f t="shared" si="4"/>
        <v/>
      </c>
    </row>
    <row r="11165" hidden="1">
      <c r="F11165" s="1" t="str">
        <f t="shared" si="1"/>
        <v/>
      </c>
      <c r="G11165" s="1" t="str">
        <f t="shared" si="2"/>
        <v/>
      </c>
      <c r="J11165" s="1" t="str">
        <f t="shared" si="3"/>
        <v/>
      </c>
      <c r="K11165" s="1" t="str">
        <f t="shared" si="4"/>
        <v/>
      </c>
    </row>
    <row r="11166" hidden="1">
      <c r="F11166" s="1" t="str">
        <f t="shared" si="1"/>
        <v/>
      </c>
      <c r="G11166" s="1" t="str">
        <f t="shared" si="2"/>
        <v/>
      </c>
      <c r="J11166" s="1" t="str">
        <f t="shared" si="3"/>
        <v/>
      </c>
      <c r="K11166" s="1" t="str">
        <f t="shared" si="4"/>
        <v/>
      </c>
    </row>
    <row r="11167" hidden="1">
      <c r="F11167" s="1" t="str">
        <f t="shared" si="1"/>
        <v/>
      </c>
      <c r="G11167" s="1" t="str">
        <f t="shared" si="2"/>
        <v/>
      </c>
      <c r="J11167" s="1" t="str">
        <f t="shared" si="3"/>
        <v/>
      </c>
      <c r="K11167" s="1" t="str">
        <f t="shared" si="4"/>
        <v/>
      </c>
    </row>
    <row r="11168" hidden="1">
      <c r="F11168" s="1" t="str">
        <f t="shared" si="1"/>
        <v/>
      </c>
      <c r="G11168" s="1" t="str">
        <f t="shared" si="2"/>
        <v/>
      </c>
      <c r="J11168" s="1" t="str">
        <f t="shared" si="3"/>
        <v/>
      </c>
      <c r="K11168" s="1" t="str">
        <f t="shared" si="4"/>
        <v/>
      </c>
    </row>
    <row r="11169" hidden="1">
      <c r="F11169" s="1" t="str">
        <f t="shared" si="1"/>
        <v/>
      </c>
      <c r="G11169" s="1" t="str">
        <f t="shared" si="2"/>
        <v/>
      </c>
      <c r="J11169" s="1" t="str">
        <f t="shared" si="3"/>
        <v/>
      </c>
      <c r="K11169" s="1" t="str">
        <f t="shared" si="4"/>
        <v/>
      </c>
    </row>
    <row r="11170" hidden="1">
      <c r="F11170" s="1" t="str">
        <f t="shared" si="1"/>
        <v/>
      </c>
      <c r="G11170" s="1" t="str">
        <f t="shared" si="2"/>
        <v/>
      </c>
      <c r="J11170" s="1" t="str">
        <f t="shared" si="3"/>
        <v/>
      </c>
      <c r="K11170" s="1" t="str">
        <f t="shared" si="4"/>
        <v/>
      </c>
    </row>
    <row r="11171" hidden="1">
      <c r="F11171" s="1" t="str">
        <f t="shared" si="1"/>
        <v/>
      </c>
      <c r="G11171" s="1" t="str">
        <f t="shared" si="2"/>
        <v/>
      </c>
      <c r="J11171" s="1" t="str">
        <f t="shared" si="3"/>
        <v/>
      </c>
      <c r="K11171" s="1" t="str">
        <f t="shared" si="4"/>
        <v/>
      </c>
    </row>
    <row r="11172" hidden="1">
      <c r="F11172" s="1" t="str">
        <f t="shared" si="1"/>
        <v/>
      </c>
      <c r="G11172" s="1" t="str">
        <f t="shared" si="2"/>
        <v/>
      </c>
      <c r="J11172" s="1" t="str">
        <f t="shared" si="3"/>
        <v/>
      </c>
      <c r="K11172" s="1" t="str">
        <f t="shared" si="4"/>
        <v/>
      </c>
    </row>
    <row r="11173" hidden="1">
      <c r="F11173" s="1" t="str">
        <f t="shared" si="1"/>
        <v/>
      </c>
      <c r="G11173" s="1" t="str">
        <f t="shared" si="2"/>
        <v/>
      </c>
      <c r="J11173" s="1" t="str">
        <f t="shared" si="3"/>
        <v/>
      </c>
      <c r="K11173" s="1" t="str">
        <f t="shared" si="4"/>
        <v/>
      </c>
    </row>
    <row r="11174" hidden="1">
      <c r="F11174" s="1" t="str">
        <f t="shared" si="1"/>
        <v/>
      </c>
      <c r="G11174" s="1" t="str">
        <f t="shared" si="2"/>
        <v/>
      </c>
      <c r="J11174" s="1" t="str">
        <f t="shared" si="3"/>
        <v/>
      </c>
      <c r="K11174" s="1" t="str">
        <f t="shared" si="4"/>
        <v/>
      </c>
    </row>
    <row r="11175" hidden="1">
      <c r="F11175" s="1" t="str">
        <f t="shared" si="1"/>
        <v/>
      </c>
      <c r="G11175" s="1" t="str">
        <f t="shared" si="2"/>
        <v/>
      </c>
      <c r="J11175" s="1" t="str">
        <f t="shared" si="3"/>
        <v/>
      </c>
      <c r="K11175" s="1" t="str">
        <f t="shared" si="4"/>
        <v/>
      </c>
    </row>
    <row r="11176" hidden="1">
      <c r="F11176" s="1" t="str">
        <f t="shared" si="1"/>
        <v/>
      </c>
      <c r="G11176" s="1" t="str">
        <f t="shared" si="2"/>
        <v/>
      </c>
      <c r="J11176" s="1" t="str">
        <f t="shared" si="3"/>
        <v/>
      </c>
      <c r="K11176" s="1" t="str">
        <f t="shared" si="4"/>
        <v/>
      </c>
    </row>
    <row r="11177" hidden="1">
      <c r="F11177" s="1" t="str">
        <f t="shared" si="1"/>
        <v/>
      </c>
      <c r="G11177" s="1" t="str">
        <f t="shared" si="2"/>
        <v/>
      </c>
      <c r="J11177" s="1" t="str">
        <f t="shared" si="3"/>
        <v/>
      </c>
      <c r="K11177" s="1" t="str">
        <f t="shared" si="4"/>
        <v/>
      </c>
    </row>
    <row r="11178" hidden="1">
      <c r="F11178" s="1" t="str">
        <f t="shared" si="1"/>
        <v/>
      </c>
      <c r="G11178" s="1" t="str">
        <f t="shared" si="2"/>
        <v/>
      </c>
      <c r="J11178" s="1" t="str">
        <f t="shared" si="3"/>
        <v/>
      </c>
      <c r="K11178" s="1" t="str">
        <f t="shared" si="4"/>
        <v/>
      </c>
    </row>
    <row r="11179" hidden="1">
      <c r="F11179" s="1" t="str">
        <f t="shared" si="1"/>
        <v/>
      </c>
      <c r="G11179" s="1" t="str">
        <f t="shared" si="2"/>
        <v/>
      </c>
      <c r="J11179" s="1" t="str">
        <f t="shared" si="3"/>
        <v/>
      </c>
      <c r="K11179" s="1" t="str">
        <f t="shared" si="4"/>
        <v/>
      </c>
    </row>
    <row r="11180" hidden="1">
      <c r="F11180" s="1" t="str">
        <f t="shared" si="1"/>
        <v/>
      </c>
      <c r="G11180" s="1" t="str">
        <f t="shared" si="2"/>
        <v/>
      </c>
      <c r="J11180" s="1" t="str">
        <f t="shared" si="3"/>
        <v/>
      </c>
      <c r="K11180" s="1" t="str">
        <f t="shared" si="4"/>
        <v/>
      </c>
    </row>
    <row r="11181" hidden="1">
      <c r="F11181" s="1" t="str">
        <f t="shared" si="1"/>
        <v/>
      </c>
      <c r="G11181" s="1" t="str">
        <f t="shared" si="2"/>
        <v/>
      </c>
      <c r="J11181" s="1" t="str">
        <f t="shared" si="3"/>
        <v/>
      </c>
      <c r="K11181" s="1" t="str">
        <f t="shared" si="4"/>
        <v/>
      </c>
    </row>
    <row r="11182" hidden="1">
      <c r="F11182" s="1" t="str">
        <f t="shared" si="1"/>
        <v/>
      </c>
      <c r="G11182" s="1" t="str">
        <f t="shared" si="2"/>
        <v/>
      </c>
      <c r="J11182" s="1" t="str">
        <f t="shared" si="3"/>
        <v/>
      </c>
      <c r="K11182" s="1" t="str">
        <f t="shared" si="4"/>
        <v/>
      </c>
    </row>
    <row r="11183" hidden="1">
      <c r="F11183" s="1" t="str">
        <f t="shared" si="1"/>
        <v/>
      </c>
      <c r="G11183" s="1" t="str">
        <f t="shared" si="2"/>
        <v/>
      </c>
      <c r="J11183" s="1" t="str">
        <f t="shared" si="3"/>
        <v/>
      </c>
      <c r="K11183" s="1" t="str">
        <f t="shared" si="4"/>
        <v/>
      </c>
    </row>
    <row r="11184" hidden="1">
      <c r="F11184" s="1" t="str">
        <f t="shared" si="1"/>
        <v/>
      </c>
      <c r="G11184" s="1" t="str">
        <f t="shared" si="2"/>
        <v/>
      </c>
      <c r="J11184" s="1" t="str">
        <f t="shared" si="3"/>
        <v/>
      </c>
      <c r="K11184" s="1" t="str">
        <f t="shared" si="4"/>
        <v/>
      </c>
    </row>
    <row r="11185" hidden="1">
      <c r="F11185" s="1" t="str">
        <f t="shared" si="1"/>
        <v/>
      </c>
      <c r="G11185" s="1" t="str">
        <f t="shared" si="2"/>
        <v/>
      </c>
      <c r="J11185" s="1" t="str">
        <f t="shared" si="3"/>
        <v/>
      </c>
      <c r="K11185" s="1" t="str">
        <f t="shared" si="4"/>
        <v/>
      </c>
    </row>
    <row r="11186" hidden="1">
      <c r="F11186" s="1" t="str">
        <f t="shared" si="1"/>
        <v/>
      </c>
      <c r="G11186" s="1" t="str">
        <f t="shared" si="2"/>
        <v/>
      </c>
      <c r="J11186" s="1" t="str">
        <f t="shared" si="3"/>
        <v/>
      </c>
      <c r="K11186" s="1" t="str">
        <f t="shared" si="4"/>
        <v/>
      </c>
    </row>
    <row r="11187" hidden="1">
      <c r="F11187" s="1" t="str">
        <f t="shared" si="1"/>
        <v/>
      </c>
      <c r="G11187" s="1" t="str">
        <f t="shared" si="2"/>
        <v/>
      </c>
      <c r="J11187" s="1" t="str">
        <f t="shared" si="3"/>
        <v/>
      </c>
      <c r="K11187" s="1" t="str">
        <f t="shared" si="4"/>
        <v/>
      </c>
    </row>
    <row r="11188" hidden="1">
      <c r="F11188" s="1" t="str">
        <f t="shared" si="1"/>
        <v/>
      </c>
      <c r="G11188" s="1" t="str">
        <f t="shared" si="2"/>
        <v/>
      </c>
      <c r="J11188" s="1" t="str">
        <f t="shared" si="3"/>
        <v/>
      </c>
      <c r="K11188" s="1" t="str">
        <f t="shared" si="4"/>
        <v/>
      </c>
    </row>
    <row r="11189" hidden="1">
      <c r="F11189" s="1" t="str">
        <f t="shared" si="1"/>
        <v/>
      </c>
      <c r="G11189" s="1" t="str">
        <f t="shared" si="2"/>
        <v/>
      </c>
      <c r="J11189" s="1" t="str">
        <f t="shared" si="3"/>
        <v/>
      </c>
      <c r="K11189" s="1" t="str">
        <f t="shared" si="4"/>
        <v/>
      </c>
    </row>
    <row r="11190" hidden="1">
      <c r="F11190" s="1" t="str">
        <f t="shared" si="1"/>
        <v/>
      </c>
      <c r="G11190" s="1" t="str">
        <f t="shared" si="2"/>
        <v/>
      </c>
      <c r="J11190" s="1" t="str">
        <f t="shared" si="3"/>
        <v/>
      </c>
      <c r="K11190" s="1" t="str">
        <f t="shared" si="4"/>
        <v/>
      </c>
    </row>
    <row r="11191" hidden="1">
      <c r="F11191" s="1" t="str">
        <f t="shared" si="1"/>
        <v/>
      </c>
      <c r="G11191" s="1" t="str">
        <f t="shared" si="2"/>
        <v/>
      </c>
      <c r="J11191" s="1" t="str">
        <f t="shared" si="3"/>
        <v/>
      </c>
      <c r="K11191" s="1" t="str">
        <f t="shared" si="4"/>
        <v/>
      </c>
    </row>
    <row r="11192" hidden="1">
      <c r="F11192" s="1" t="str">
        <f t="shared" si="1"/>
        <v/>
      </c>
      <c r="G11192" s="1" t="str">
        <f t="shared" si="2"/>
        <v/>
      </c>
      <c r="J11192" s="1" t="str">
        <f t="shared" si="3"/>
        <v/>
      </c>
      <c r="K11192" s="1" t="str">
        <f t="shared" si="4"/>
        <v/>
      </c>
    </row>
    <row r="11193" hidden="1">
      <c r="F11193" s="1" t="str">
        <f t="shared" si="1"/>
        <v/>
      </c>
      <c r="G11193" s="1" t="str">
        <f t="shared" si="2"/>
        <v/>
      </c>
      <c r="J11193" s="1" t="str">
        <f t="shared" si="3"/>
        <v/>
      </c>
      <c r="K11193" s="1" t="str">
        <f t="shared" si="4"/>
        <v/>
      </c>
    </row>
    <row r="11194" hidden="1">
      <c r="F11194" s="1" t="str">
        <f t="shared" si="1"/>
        <v/>
      </c>
      <c r="G11194" s="1" t="str">
        <f t="shared" si="2"/>
        <v/>
      </c>
      <c r="J11194" s="1" t="str">
        <f t="shared" si="3"/>
        <v/>
      </c>
      <c r="K11194" s="1" t="str">
        <f t="shared" si="4"/>
        <v/>
      </c>
    </row>
    <row r="11195" hidden="1">
      <c r="F11195" s="1" t="str">
        <f t="shared" si="1"/>
        <v/>
      </c>
      <c r="G11195" s="1" t="str">
        <f t="shared" si="2"/>
        <v/>
      </c>
      <c r="J11195" s="1" t="str">
        <f t="shared" si="3"/>
        <v/>
      </c>
      <c r="K11195" s="1" t="str">
        <f t="shared" si="4"/>
        <v/>
      </c>
    </row>
    <row r="11196" hidden="1">
      <c r="F11196" s="1" t="str">
        <f t="shared" si="1"/>
        <v/>
      </c>
      <c r="G11196" s="1" t="str">
        <f t="shared" si="2"/>
        <v/>
      </c>
      <c r="J11196" s="1" t="str">
        <f t="shared" si="3"/>
        <v/>
      </c>
      <c r="K11196" s="1" t="str">
        <f t="shared" si="4"/>
        <v/>
      </c>
    </row>
    <row r="11197" hidden="1">
      <c r="F11197" s="1" t="str">
        <f t="shared" si="1"/>
        <v/>
      </c>
      <c r="G11197" s="1" t="str">
        <f t="shared" si="2"/>
        <v/>
      </c>
      <c r="J11197" s="1" t="str">
        <f t="shared" si="3"/>
        <v/>
      </c>
      <c r="K11197" s="1" t="str">
        <f t="shared" si="4"/>
        <v/>
      </c>
    </row>
    <row r="11198" hidden="1">
      <c r="F11198" s="1" t="str">
        <f t="shared" si="1"/>
        <v/>
      </c>
      <c r="G11198" s="1" t="str">
        <f t="shared" si="2"/>
        <v/>
      </c>
      <c r="J11198" s="1" t="str">
        <f t="shared" si="3"/>
        <v/>
      </c>
      <c r="K11198" s="1" t="str">
        <f t="shared" si="4"/>
        <v/>
      </c>
    </row>
    <row r="11199" hidden="1">
      <c r="F11199" s="1" t="str">
        <f t="shared" si="1"/>
        <v/>
      </c>
      <c r="G11199" s="1" t="str">
        <f t="shared" si="2"/>
        <v/>
      </c>
      <c r="J11199" s="1" t="str">
        <f t="shared" si="3"/>
        <v/>
      </c>
      <c r="K11199" s="1" t="str">
        <f t="shared" si="4"/>
        <v/>
      </c>
    </row>
    <row r="11200" hidden="1">
      <c r="F11200" s="1" t="str">
        <f t="shared" si="1"/>
        <v/>
      </c>
      <c r="G11200" s="1" t="str">
        <f t="shared" si="2"/>
        <v/>
      </c>
      <c r="J11200" s="1" t="str">
        <f t="shared" si="3"/>
        <v/>
      </c>
      <c r="K11200" s="1" t="str">
        <f t="shared" si="4"/>
        <v/>
      </c>
    </row>
    <row r="11201" hidden="1">
      <c r="F11201" s="1" t="str">
        <f t="shared" si="1"/>
        <v/>
      </c>
      <c r="G11201" s="1" t="str">
        <f t="shared" si="2"/>
        <v/>
      </c>
      <c r="J11201" s="1" t="str">
        <f t="shared" si="3"/>
        <v/>
      </c>
      <c r="K11201" s="1" t="str">
        <f t="shared" si="4"/>
        <v/>
      </c>
    </row>
    <row r="11202" hidden="1">
      <c r="F11202" s="1" t="str">
        <f t="shared" si="1"/>
        <v/>
      </c>
      <c r="G11202" s="1" t="str">
        <f t="shared" si="2"/>
        <v/>
      </c>
      <c r="J11202" s="1" t="str">
        <f t="shared" si="3"/>
        <v/>
      </c>
      <c r="K11202" s="1" t="str">
        <f t="shared" si="4"/>
        <v/>
      </c>
    </row>
    <row r="11203" hidden="1">
      <c r="F11203" s="1" t="str">
        <f t="shared" si="1"/>
        <v/>
      </c>
      <c r="G11203" s="1" t="str">
        <f t="shared" si="2"/>
        <v/>
      </c>
      <c r="J11203" s="1" t="str">
        <f t="shared" si="3"/>
        <v/>
      </c>
      <c r="K11203" s="1" t="str">
        <f t="shared" si="4"/>
        <v/>
      </c>
    </row>
    <row r="11204" hidden="1">
      <c r="F11204" s="1" t="str">
        <f t="shared" si="1"/>
        <v/>
      </c>
      <c r="G11204" s="1" t="str">
        <f t="shared" si="2"/>
        <v/>
      </c>
      <c r="J11204" s="1" t="str">
        <f t="shared" si="3"/>
        <v/>
      </c>
      <c r="K11204" s="1" t="str">
        <f t="shared" si="4"/>
        <v/>
      </c>
    </row>
    <row r="11205" hidden="1">
      <c r="F11205" s="1" t="str">
        <f t="shared" si="1"/>
        <v/>
      </c>
      <c r="G11205" s="1" t="str">
        <f t="shared" si="2"/>
        <v/>
      </c>
      <c r="J11205" s="1" t="str">
        <f t="shared" si="3"/>
        <v/>
      </c>
      <c r="K11205" s="1" t="str">
        <f t="shared" si="4"/>
        <v/>
      </c>
    </row>
    <row r="11206" hidden="1">
      <c r="F11206" s="1" t="str">
        <f t="shared" si="1"/>
        <v/>
      </c>
      <c r="G11206" s="1" t="str">
        <f t="shared" si="2"/>
        <v/>
      </c>
      <c r="J11206" s="1" t="str">
        <f t="shared" si="3"/>
        <v/>
      </c>
      <c r="K11206" s="1" t="str">
        <f t="shared" si="4"/>
        <v/>
      </c>
    </row>
    <row r="11207" hidden="1">
      <c r="F11207" s="1" t="str">
        <f t="shared" si="1"/>
        <v/>
      </c>
      <c r="G11207" s="1" t="str">
        <f t="shared" si="2"/>
        <v/>
      </c>
      <c r="J11207" s="1" t="str">
        <f t="shared" si="3"/>
        <v/>
      </c>
      <c r="K11207" s="1" t="str">
        <f t="shared" si="4"/>
        <v/>
      </c>
    </row>
    <row r="11208" hidden="1">
      <c r="F11208" s="1" t="str">
        <f t="shared" si="1"/>
        <v/>
      </c>
      <c r="G11208" s="1" t="str">
        <f t="shared" si="2"/>
        <v/>
      </c>
      <c r="J11208" s="1" t="str">
        <f t="shared" si="3"/>
        <v/>
      </c>
      <c r="K11208" s="1" t="str">
        <f t="shared" si="4"/>
        <v/>
      </c>
    </row>
    <row r="11209" hidden="1">
      <c r="F11209" s="1" t="str">
        <f t="shared" si="1"/>
        <v/>
      </c>
      <c r="G11209" s="1" t="str">
        <f t="shared" si="2"/>
        <v/>
      </c>
      <c r="J11209" s="1" t="str">
        <f t="shared" si="3"/>
        <v/>
      </c>
      <c r="K11209" s="1" t="str">
        <f t="shared" si="4"/>
        <v/>
      </c>
    </row>
    <row r="11210" hidden="1">
      <c r="F11210" s="1" t="str">
        <f t="shared" si="1"/>
        <v/>
      </c>
      <c r="G11210" s="1" t="str">
        <f t="shared" si="2"/>
        <v/>
      </c>
      <c r="J11210" s="1" t="str">
        <f t="shared" si="3"/>
        <v/>
      </c>
      <c r="K11210" s="1" t="str">
        <f t="shared" si="4"/>
        <v/>
      </c>
    </row>
    <row r="11211" hidden="1">
      <c r="F11211" s="1" t="str">
        <f t="shared" si="1"/>
        <v/>
      </c>
      <c r="G11211" s="1" t="str">
        <f t="shared" si="2"/>
        <v/>
      </c>
      <c r="J11211" s="1" t="str">
        <f t="shared" si="3"/>
        <v/>
      </c>
      <c r="K11211" s="1" t="str">
        <f t="shared" si="4"/>
        <v/>
      </c>
    </row>
    <row r="11212" hidden="1">
      <c r="F11212" s="1" t="str">
        <f t="shared" si="1"/>
        <v/>
      </c>
      <c r="G11212" s="1" t="str">
        <f t="shared" si="2"/>
        <v/>
      </c>
      <c r="J11212" s="1" t="str">
        <f t="shared" si="3"/>
        <v/>
      </c>
      <c r="K11212" s="1" t="str">
        <f t="shared" si="4"/>
        <v/>
      </c>
    </row>
    <row r="11213" hidden="1">
      <c r="F11213" s="1" t="str">
        <f t="shared" si="1"/>
        <v/>
      </c>
      <c r="G11213" s="1" t="str">
        <f t="shared" si="2"/>
        <v/>
      </c>
      <c r="J11213" s="1" t="str">
        <f t="shared" si="3"/>
        <v/>
      </c>
      <c r="K11213" s="1" t="str">
        <f t="shared" si="4"/>
        <v/>
      </c>
    </row>
    <row r="11214" hidden="1">
      <c r="F11214" s="1" t="str">
        <f t="shared" si="1"/>
        <v/>
      </c>
      <c r="G11214" s="1" t="str">
        <f t="shared" si="2"/>
        <v/>
      </c>
      <c r="J11214" s="1" t="str">
        <f t="shared" si="3"/>
        <v/>
      </c>
      <c r="K11214" s="1" t="str">
        <f t="shared" si="4"/>
        <v/>
      </c>
    </row>
    <row r="11215" hidden="1">
      <c r="F11215" s="1" t="str">
        <f t="shared" si="1"/>
        <v/>
      </c>
      <c r="G11215" s="1" t="str">
        <f t="shared" si="2"/>
        <v/>
      </c>
      <c r="J11215" s="1" t="str">
        <f t="shared" si="3"/>
        <v/>
      </c>
      <c r="K11215" s="1" t="str">
        <f t="shared" si="4"/>
        <v/>
      </c>
    </row>
    <row r="11216" hidden="1">
      <c r="F11216" s="1" t="str">
        <f t="shared" si="1"/>
        <v/>
      </c>
      <c r="G11216" s="1" t="str">
        <f t="shared" si="2"/>
        <v/>
      </c>
      <c r="J11216" s="1" t="str">
        <f t="shared" si="3"/>
        <v/>
      </c>
      <c r="K11216" s="1" t="str">
        <f t="shared" si="4"/>
        <v/>
      </c>
    </row>
    <row r="11217" hidden="1">
      <c r="F11217" s="1" t="str">
        <f t="shared" si="1"/>
        <v/>
      </c>
      <c r="G11217" s="1" t="str">
        <f t="shared" si="2"/>
        <v/>
      </c>
      <c r="J11217" s="1" t="str">
        <f t="shared" si="3"/>
        <v/>
      </c>
      <c r="K11217" s="1" t="str">
        <f t="shared" si="4"/>
        <v/>
      </c>
    </row>
    <row r="11218" hidden="1">
      <c r="F11218" s="1" t="str">
        <f t="shared" si="1"/>
        <v/>
      </c>
      <c r="G11218" s="1" t="str">
        <f t="shared" si="2"/>
        <v/>
      </c>
      <c r="J11218" s="1" t="str">
        <f t="shared" si="3"/>
        <v/>
      </c>
      <c r="K11218" s="1" t="str">
        <f t="shared" si="4"/>
        <v/>
      </c>
    </row>
    <row r="11219" hidden="1">
      <c r="F11219" s="1" t="str">
        <f t="shared" si="1"/>
        <v/>
      </c>
      <c r="G11219" s="1" t="str">
        <f t="shared" si="2"/>
        <v/>
      </c>
      <c r="J11219" s="1" t="str">
        <f t="shared" si="3"/>
        <v/>
      </c>
      <c r="K11219" s="1" t="str">
        <f t="shared" si="4"/>
        <v/>
      </c>
    </row>
    <row r="11220" hidden="1">
      <c r="F11220" s="1" t="str">
        <f t="shared" si="1"/>
        <v/>
      </c>
      <c r="G11220" s="1" t="str">
        <f t="shared" si="2"/>
        <v/>
      </c>
      <c r="J11220" s="1" t="str">
        <f t="shared" si="3"/>
        <v/>
      </c>
      <c r="K11220" s="1" t="str">
        <f t="shared" si="4"/>
        <v/>
      </c>
    </row>
    <row r="11221" hidden="1">
      <c r="F11221" s="1" t="str">
        <f t="shared" si="1"/>
        <v/>
      </c>
      <c r="G11221" s="1" t="str">
        <f t="shared" si="2"/>
        <v/>
      </c>
      <c r="J11221" s="1" t="str">
        <f t="shared" si="3"/>
        <v/>
      </c>
      <c r="K11221" s="1" t="str">
        <f t="shared" si="4"/>
        <v/>
      </c>
    </row>
    <row r="11222" hidden="1">
      <c r="F11222" s="1" t="str">
        <f t="shared" si="1"/>
        <v/>
      </c>
      <c r="G11222" s="1" t="str">
        <f t="shared" si="2"/>
        <v/>
      </c>
      <c r="J11222" s="1" t="str">
        <f t="shared" si="3"/>
        <v/>
      </c>
      <c r="K11222" s="1" t="str">
        <f t="shared" si="4"/>
        <v/>
      </c>
    </row>
    <row r="11223" hidden="1">
      <c r="F11223" s="1" t="str">
        <f t="shared" si="1"/>
        <v/>
      </c>
      <c r="G11223" s="1" t="str">
        <f t="shared" si="2"/>
        <v/>
      </c>
      <c r="J11223" s="1" t="str">
        <f t="shared" si="3"/>
        <v/>
      </c>
      <c r="K11223" s="1" t="str">
        <f t="shared" si="4"/>
        <v/>
      </c>
    </row>
    <row r="11224" hidden="1">
      <c r="F11224" s="1" t="str">
        <f t="shared" si="1"/>
        <v/>
      </c>
      <c r="G11224" s="1" t="str">
        <f t="shared" si="2"/>
        <v/>
      </c>
      <c r="J11224" s="1" t="str">
        <f t="shared" si="3"/>
        <v/>
      </c>
      <c r="K11224" s="1" t="str">
        <f t="shared" si="4"/>
        <v/>
      </c>
    </row>
    <row r="11225" hidden="1">
      <c r="F11225" s="1" t="str">
        <f t="shared" si="1"/>
        <v/>
      </c>
      <c r="G11225" s="1" t="str">
        <f t="shared" si="2"/>
        <v/>
      </c>
      <c r="J11225" s="1" t="str">
        <f t="shared" si="3"/>
        <v/>
      </c>
      <c r="K11225" s="1" t="str">
        <f t="shared" si="4"/>
        <v/>
      </c>
    </row>
    <row r="11226" hidden="1">
      <c r="F11226" s="1" t="str">
        <f t="shared" si="1"/>
        <v/>
      </c>
      <c r="G11226" s="1" t="str">
        <f t="shared" si="2"/>
        <v/>
      </c>
      <c r="J11226" s="1" t="str">
        <f t="shared" si="3"/>
        <v/>
      </c>
      <c r="K11226" s="1" t="str">
        <f t="shared" si="4"/>
        <v/>
      </c>
    </row>
    <row r="11227" hidden="1">
      <c r="F11227" s="1" t="str">
        <f t="shared" si="1"/>
        <v/>
      </c>
      <c r="G11227" s="1" t="str">
        <f t="shared" si="2"/>
        <v/>
      </c>
      <c r="J11227" s="1" t="str">
        <f t="shared" si="3"/>
        <v/>
      </c>
      <c r="K11227" s="1" t="str">
        <f t="shared" si="4"/>
        <v/>
      </c>
    </row>
    <row r="11228" hidden="1">
      <c r="F11228" s="1" t="str">
        <f t="shared" si="1"/>
        <v/>
      </c>
      <c r="G11228" s="1" t="str">
        <f t="shared" si="2"/>
        <v/>
      </c>
      <c r="J11228" s="1" t="str">
        <f t="shared" si="3"/>
        <v/>
      </c>
      <c r="K11228" s="1" t="str">
        <f t="shared" si="4"/>
        <v/>
      </c>
    </row>
    <row r="11229" hidden="1">
      <c r="F11229" s="1" t="str">
        <f t="shared" si="1"/>
        <v/>
      </c>
      <c r="G11229" s="1" t="str">
        <f t="shared" si="2"/>
        <v/>
      </c>
      <c r="J11229" s="1" t="str">
        <f t="shared" si="3"/>
        <v/>
      </c>
      <c r="K11229" s="1" t="str">
        <f t="shared" si="4"/>
        <v/>
      </c>
    </row>
    <row r="11230" hidden="1">
      <c r="F11230" s="1" t="str">
        <f t="shared" si="1"/>
        <v/>
      </c>
      <c r="G11230" s="1" t="str">
        <f t="shared" si="2"/>
        <v/>
      </c>
      <c r="J11230" s="1" t="str">
        <f t="shared" si="3"/>
        <v/>
      </c>
      <c r="K11230" s="1" t="str">
        <f t="shared" si="4"/>
        <v/>
      </c>
    </row>
    <row r="11231" hidden="1">
      <c r="F11231" s="1" t="str">
        <f t="shared" si="1"/>
        <v/>
      </c>
      <c r="G11231" s="1" t="str">
        <f t="shared" si="2"/>
        <v/>
      </c>
      <c r="J11231" s="1" t="str">
        <f t="shared" si="3"/>
        <v/>
      </c>
      <c r="K11231" s="1" t="str">
        <f t="shared" si="4"/>
        <v/>
      </c>
    </row>
    <row r="11232" hidden="1">
      <c r="F11232" s="1" t="str">
        <f t="shared" si="1"/>
        <v/>
      </c>
      <c r="G11232" s="1" t="str">
        <f t="shared" si="2"/>
        <v/>
      </c>
      <c r="J11232" s="1" t="str">
        <f t="shared" si="3"/>
        <v/>
      </c>
      <c r="K11232" s="1" t="str">
        <f t="shared" si="4"/>
        <v/>
      </c>
    </row>
    <row r="11233" hidden="1">
      <c r="F11233" s="1" t="str">
        <f t="shared" si="1"/>
        <v/>
      </c>
      <c r="G11233" s="1" t="str">
        <f t="shared" si="2"/>
        <v/>
      </c>
      <c r="J11233" s="1" t="str">
        <f t="shared" si="3"/>
        <v/>
      </c>
      <c r="K11233" s="1" t="str">
        <f t="shared" si="4"/>
        <v/>
      </c>
    </row>
    <row r="11234" hidden="1">
      <c r="F11234" s="1" t="str">
        <f t="shared" si="1"/>
        <v/>
      </c>
      <c r="G11234" s="1" t="str">
        <f t="shared" si="2"/>
        <v/>
      </c>
      <c r="J11234" s="1" t="str">
        <f t="shared" si="3"/>
        <v/>
      </c>
      <c r="K11234" s="1" t="str">
        <f t="shared" si="4"/>
        <v/>
      </c>
    </row>
    <row r="11235" hidden="1">
      <c r="F11235" s="1" t="str">
        <f t="shared" si="1"/>
        <v/>
      </c>
      <c r="G11235" s="1" t="str">
        <f t="shared" si="2"/>
        <v/>
      </c>
      <c r="J11235" s="1" t="str">
        <f t="shared" si="3"/>
        <v/>
      </c>
      <c r="K11235" s="1" t="str">
        <f t="shared" si="4"/>
        <v/>
      </c>
    </row>
    <row r="11236" hidden="1">
      <c r="F11236" s="1" t="str">
        <f t="shared" si="1"/>
        <v/>
      </c>
      <c r="G11236" s="1" t="str">
        <f t="shared" si="2"/>
        <v/>
      </c>
      <c r="J11236" s="1" t="str">
        <f t="shared" si="3"/>
        <v/>
      </c>
      <c r="K11236" s="1" t="str">
        <f t="shared" si="4"/>
        <v/>
      </c>
    </row>
    <row r="11237" hidden="1">
      <c r="F11237" s="1" t="str">
        <f t="shared" si="1"/>
        <v/>
      </c>
      <c r="G11237" s="1" t="str">
        <f t="shared" si="2"/>
        <v/>
      </c>
      <c r="J11237" s="1" t="str">
        <f t="shared" si="3"/>
        <v/>
      </c>
      <c r="K11237" s="1" t="str">
        <f t="shared" si="4"/>
        <v/>
      </c>
    </row>
    <row r="11238" hidden="1">
      <c r="F11238" s="1" t="str">
        <f t="shared" si="1"/>
        <v/>
      </c>
      <c r="G11238" s="1" t="str">
        <f t="shared" si="2"/>
        <v/>
      </c>
      <c r="J11238" s="1" t="str">
        <f t="shared" si="3"/>
        <v/>
      </c>
      <c r="K11238" s="1" t="str">
        <f t="shared" si="4"/>
        <v/>
      </c>
    </row>
    <row r="11239" hidden="1">
      <c r="F11239" s="1" t="str">
        <f t="shared" si="1"/>
        <v/>
      </c>
      <c r="G11239" s="1" t="str">
        <f t="shared" si="2"/>
        <v/>
      </c>
      <c r="J11239" s="1" t="str">
        <f t="shared" si="3"/>
        <v/>
      </c>
      <c r="K11239" s="1" t="str">
        <f t="shared" si="4"/>
        <v/>
      </c>
    </row>
    <row r="11240" hidden="1">
      <c r="F11240" s="1" t="str">
        <f t="shared" si="1"/>
        <v/>
      </c>
      <c r="G11240" s="1" t="str">
        <f t="shared" si="2"/>
        <v/>
      </c>
      <c r="J11240" s="1" t="str">
        <f t="shared" si="3"/>
        <v/>
      </c>
      <c r="K11240" s="1" t="str">
        <f t="shared" si="4"/>
        <v/>
      </c>
    </row>
    <row r="11241" hidden="1">
      <c r="F11241" s="1" t="str">
        <f t="shared" si="1"/>
        <v/>
      </c>
      <c r="G11241" s="1" t="str">
        <f t="shared" si="2"/>
        <v/>
      </c>
      <c r="J11241" s="1" t="str">
        <f t="shared" si="3"/>
        <v/>
      </c>
      <c r="K11241" s="1" t="str">
        <f t="shared" si="4"/>
        <v/>
      </c>
    </row>
    <row r="11242" hidden="1">
      <c r="F11242" s="1" t="str">
        <f t="shared" si="1"/>
        <v/>
      </c>
      <c r="G11242" s="1" t="str">
        <f t="shared" si="2"/>
        <v/>
      </c>
      <c r="J11242" s="1" t="str">
        <f t="shared" si="3"/>
        <v/>
      </c>
      <c r="K11242" s="1" t="str">
        <f t="shared" si="4"/>
        <v/>
      </c>
    </row>
    <row r="11243" hidden="1">
      <c r="F11243" s="1" t="str">
        <f t="shared" si="1"/>
        <v/>
      </c>
      <c r="G11243" s="1" t="str">
        <f t="shared" si="2"/>
        <v/>
      </c>
      <c r="J11243" s="1" t="str">
        <f t="shared" si="3"/>
        <v/>
      </c>
      <c r="K11243" s="1" t="str">
        <f t="shared" si="4"/>
        <v/>
      </c>
    </row>
    <row r="11244" hidden="1">
      <c r="F11244" s="1" t="str">
        <f t="shared" si="1"/>
        <v/>
      </c>
      <c r="G11244" s="1" t="str">
        <f t="shared" si="2"/>
        <v/>
      </c>
      <c r="J11244" s="1" t="str">
        <f t="shared" si="3"/>
        <v/>
      </c>
      <c r="K11244" s="1" t="str">
        <f t="shared" si="4"/>
        <v/>
      </c>
    </row>
    <row r="11245" hidden="1">
      <c r="F11245" s="1" t="str">
        <f t="shared" si="1"/>
        <v/>
      </c>
      <c r="G11245" s="1" t="str">
        <f t="shared" si="2"/>
        <v/>
      </c>
      <c r="J11245" s="1" t="str">
        <f t="shared" si="3"/>
        <v/>
      </c>
      <c r="K11245" s="1" t="str">
        <f t="shared" si="4"/>
        <v/>
      </c>
    </row>
    <row r="11246" hidden="1">
      <c r="F11246" s="1" t="str">
        <f t="shared" si="1"/>
        <v/>
      </c>
      <c r="G11246" s="1" t="str">
        <f t="shared" si="2"/>
        <v/>
      </c>
      <c r="J11246" s="1" t="str">
        <f t="shared" si="3"/>
        <v/>
      </c>
      <c r="K11246" s="1" t="str">
        <f t="shared" si="4"/>
        <v/>
      </c>
    </row>
    <row r="11247" hidden="1">
      <c r="F11247" s="1" t="str">
        <f t="shared" si="1"/>
        <v/>
      </c>
      <c r="G11247" s="1" t="str">
        <f t="shared" si="2"/>
        <v/>
      </c>
      <c r="J11247" s="1" t="str">
        <f t="shared" si="3"/>
        <v/>
      </c>
      <c r="K11247" s="1" t="str">
        <f t="shared" si="4"/>
        <v/>
      </c>
    </row>
    <row r="11248" hidden="1">
      <c r="F11248" s="1" t="str">
        <f t="shared" si="1"/>
        <v/>
      </c>
      <c r="G11248" s="1" t="str">
        <f t="shared" si="2"/>
        <v/>
      </c>
      <c r="J11248" s="1" t="str">
        <f t="shared" si="3"/>
        <v/>
      </c>
      <c r="K11248" s="1" t="str">
        <f t="shared" si="4"/>
        <v/>
      </c>
    </row>
    <row r="11249" hidden="1">
      <c r="F11249" s="1" t="str">
        <f t="shared" si="1"/>
        <v/>
      </c>
      <c r="G11249" s="1" t="str">
        <f t="shared" si="2"/>
        <v/>
      </c>
      <c r="J11249" s="1" t="str">
        <f t="shared" si="3"/>
        <v/>
      </c>
      <c r="K11249" s="1" t="str">
        <f t="shared" si="4"/>
        <v/>
      </c>
    </row>
    <row r="11250" hidden="1">
      <c r="F11250" s="1" t="str">
        <f t="shared" si="1"/>
        <v/>
      </c>
      <c r="G11250" s="1" t="str">
        <f t="shared" si="2"/>
        <v/>
      </c>
      <c r="J11250" s="1" t="str">
        <f t="shared" si="3"/>
        <v/>
      </c>
      <c r="K11250" s="1" t="str">
        <f t="shared" si="4"/>
        <v/>
      </c>
    </row>
    <row r="11251" hidden="1">
      <c r="F11251" s="1" t="str">
        <f t="shared" si="1"/>
        <v/>
      </c>
      <c r="G11251" s="1" t="str">
        <f t="shared" si="2"/>
        <v/>
      </c>
      <c r="J11251" s="1" t="str">
        <f t="shared" si="3"/>
        <v/>
      </c>
      <c r="K11251" s="1" t="str">
        <f t="shared" si="4"/>
        <v/>
      </c>
    </row>
    <row r="11252" hidden="1">
      <c r="F11252" s="1" t="str">
        <f t="shared" si="1"/>
        <v/>
      </c>
      <c r="G11252" s="1" t="str">
        <f t="shared" si="2"/>
        <v/>
      </c>
      <c r="J11252" s="1" t="str">
        <f t="shared" si="3"/>
        <v/>
      </c>
      <c r="K11252" s="1" t="str">
        <f t="shared" si="4"/>
        <v/>
      </c>
    </row>
    <row r="11253" hidden="1">
      <c r="F11253" s="1" t="str">
        <f t="shared" si="1"/>
        <v/>
      </c>
      <c r="G11253" s="1" t="str">
        <f t="shared" si="2"/>
        <v/>
      </c>
      <c r="J11253" s="1" t="str">
        <f t="shared" si="3"/>
        <v/>
      </c>
      <c r="K11253" s="1" t="str">
        <f t="shared" si="4"/>
        <v/>
      </c>
    </row>
    <row r="11254" hidden="1">
      <c r="F11254" s="1" t="str">
        <f t="shared" si="1"/>
        <v/>
      </c>
      <c r="G11254" s="1" t="str">
        <f t="shared" si="2"/>
        <v/>
      </c>
      <c r="J11254" s="1" t="str">
        <f t="shared" si="3"/>
        <v/>
      </c>
      <c r="K11254" s="1" t="str">
        <f t="shared" si="4"/>
        <v/>
      </c>
    </row>
    <row r="11255" hidden="1">
      <c r="F11255" s="1" t="str">
        <f t="shared" si="1"/>
        <v/>
      </c>
      <c r="G11255" s="1" t="str">
        <f t="shared" si="2"/>
        <v/>
      </c>
      <c r="J11255" s="1" t="str">
        <f t="shared" si="3"/>
        <v/>
      </c>
      <c r="K11255" s="1" t="str">
        <f t="shared" si="4"/>
        <v/>
      </c>
    </row>
    <row r="11256" hidden="1">
      <c r="F11256" s="1" t="str">
        <f t="shared" si="1"/>
        <v/>
      </c>
      <c r="G11256" s="1" t="str">
        <f t="shared" si="2"/>
        <v/>
      </c>
      <c r="J11256" s="1" t="str">
        <f t="shared" si="3"/>
        <v/>
      </c>
      <c r="K11256" s="1" t="str">
        <f t="shared" si="4"/>
        <v/>
      </c>
    </row>
    <row r="11257" hidden="1">
      <c r="F11257" s="1" t="str">
        <f t="shared" si="1"/>
        <v/>
      </c>
      <c r="G11257" s="1" t="str">
        <f t="shared" si="2"/>
        <v/>
      </c>
      <c r="J11257" s="1" t="str">
        <f t="shared" si="3"/>
        <v/>
      </c>
      <c r="K11257" s="1" t="str">
        <f t="shared" si="4"/>
        <v/>
      </c>
    </row>
    <row r="11258" hidden="1">
      <c r="F11258" s="1" t="str">
        <f t="shared" si="1"/>
        <v/>
      </c>
      <c r="G11258" s="1" t="str">
        <f t="shared" si="2"/>
        <v/>
      </c>
      <c r="J11258" s="1" t="str">
        <f t="shared" si="3"/>
        <v/>
      </c>
      <c r="K11258" s="1" t="str">
        <f t="shared" si="4"/>
        <v/>
      </c>
    </row>
    <row r="11259" hidden="1">
      <c r="F11259" s="1" t="str">
        <f t="shared" si="1"/>
        <v/>
      </c>
      <c r="G11259" s="1" t="str">
        <f t="shared" si="2"/>
        <v/>
      </c>
      <c r="J11259" s="1" t="str">
        <f t="shared" si="3"/>
        <v/>
      </c>
      <c r="K11259" s="1" t="str">
        <f t="shared" si="4"/>
        <v/>
      </c>
    </row>
    <row r="11260" hidden="1">
      <c r="F11260" s="1" t="str">
        <f t="shared" si="1"/>
        <v/>
      </c>
      <c r="G11260" s="1" t="str">
        <f t="shared" si="2"/>
        <v/>
      </c>
      <c r="J11260" s="1" t="str">
        <f t="shared" si="3"/>
        <v/>
      </c>
      <c r="K11260" s="1" t="str">
        <f t="shared" si="4"/>
        <v/>
      </c>
    </row>
    <row r="11261" hidden="1">
      <c r="F11261" s="1" t="str">
        <f t="shared" si="1"/>
        <v/>
      </c>
      <c r="G11261" s="1" t="str">
        <f t="shared" si="2"/>
        <v/>
      </c>
      <c r="J11261" s="1" t="str">
        <f t="shared" si="3"/>
        <v/>
      </c>
      <c r="K11261" s="1" t="str">
        <f t="shared" si="4"/>
        <v/>
      </c>
    </row>
    <row r="11262" hidden="1">
      <c r="F11262" s="1" t="str">
        <f t="shared" si="1"/>
        <v/>
      </c>
      <c r="G11262" s="1" t="str">
        <f t="shared" si="2"/>
        <v/>
      </c>
      <c r="J11262" s="1" t="str">
        <f t="shared" si="3"/>
        <v/>
      </c>
      <c r="K11262" s="1" t="str">
        <f t="shared" si="4"/>
        <v/>
      </c>
    </row>
    <row r="11263" hidden="1">
      <c r="F11263" s="1" t="str">
        <f t="shared" si="1"/>
        <v/>
      </c>
      <c r="G11263" s="1" t="str">
        <f t="shared" si="2"/>
        <v/>
      </c>
      <c r="J11263" s="1" t="str">
        <f t="shared" si="3"/>
        <v/>
      </c>
      <c r="K11263" s="1" t="str">
        <f t="shared" si="4"/>
        <v/>
      </c>
    </row>
    <row r="11264" hidden="1">
      <c r="F11264" s="1" t="str">
        <f t="shared" si="1"/>
        <v/>
      </c>
      <c r="G11264" s="1" t="str">
        <f t="shared" si="2"/>
        <v/>
      </c>
      <c r="J11264" s="1" t="str">
        <f t="shared" si="3"/>
        <v/>
      </c>
      <c r="K11264" s="1" t="str">
        <f t="shared" si="4"/>
        <v/>
      </c>
    </row>
    <row r="11265" hidden="1">
      <c r="F11265" s="1" t="str">
        <f t="shared" si="1"/>
        <v/>
      </c>
      <c r="G11265" s="1" t="str">
        <f t="shared" si="2"/>
        <v/>
      </c>
      <c r="J11265" s="1" t="str">
        <f t="shared" si="3"/>
        <v/>
      </c>
      <c r="K11265" s="1" t="str">
        <f t="shared" si="4"/>
        <v/>
      </c>
    </row>
    <row r="11266" hidden="1">
      <c r="F11266" s="1" t="str">
        <f t="shared" si="1"/>
        <v/>
      </c>
      <c r="G11266" s="1" t="str">
        <f t="shared" si="2"/>
        <v/>
      </c>
      <c r="J11266" s="1" t="str">
        <f t="shared" si="3"/>
        <v/>
      </c>
      <c r="K11266" s="1" t="str">
        <f t="shared" si="4"/>
        <v/>
      </c>
    </row>
    <row r="11267" hidden="1">
      <c r="F11267" s="1" t="str">
        <f t="shared" si="1"/>
        <v/>
      </c>
      <c r="G11267" s="1" t="str">
        <f t="shared" si="2"/>
        <v/>
      </c>
      <c r="J11267" s="1" t="str">
        <f t="shared" si="3"/>
        <v/>
      </c>
      <c r="K11267" s="1" t="str">
        <f t="shared" si="4"/>
        <v/>
      </c>
    </row>
    <row r="11268" hidden="1">
      <c r="F11268" s="1" t="str">
        <f t="shared" si="1"/>
        <v/>
      </c>
      <c r="G11268" s="1" t="str">
        <f t="shared" si="2"/>
        <v/>
      </c>
      <c r="J11268" s="1" t="str">
        <f t="shared" si="3"/>
        <v/>
      </c>
      <c r="K11268" s="1" t="str">
        <f t="shared" si="4"/>
        <v/>
      </c>
    </row>
    <row r="11269" hidden="1">
      <c r="F11269" s="1" t="str">
        <f t="shared" si="1"/>
        <v/>
      </c>
      <c r="G11269" s="1" t="str">
        <f t="shared" si="2"/>
        <v/>
      </c>
      <c r="J11269" s="1" t="str">
        <f t="shared" si="3"/>
        <v/>
      </c>
      <c r="K11269" s="1" t="str">
        <f t="shared" si="4"/>
        <v/>
      </c>
    </row>
    <row r="11270" hidden="1">
      <c r="F11270" s="1" t="str">
        <f t="shared" si="1"/>
        <v/>
      </c>
      <c r="G11270" s="1" t="str">
        <f t="shared" si="2"/>
        <v/>
      </c>
      <c r="J11270" s="1" t="str">
        <f t="shared" si="3"/>
        <v/>
      </c>
      <c r="K11270" s="1" t="str">
        <f t="shared" si="4"/>
        <v/>
      </c>
    </row>
    <row r="11271" hidden="1">
      <c r="F11271" s="1" t="str">
        <f t="shared" si="1"/>
        <v/>
      </c>
      <c r="G11271" s="1" t="str">
        <f t="shared" si="2"/>
        <v/>
      </c>
      <c r="J11271" s="1" t="str">
        <f t="shared" si="3"/>
        <v/>
      </c>
      <c r="K11271" s="1" t="str">
        <f t="shared" si="4"/>
        <v/>
      </c>
    </row>
    <row r="11272" hidden="1">
      <c r="F11272" s="1" t="str">
        <f t="shared" si="1"/>
        <v/>
      </c>
      <c r="G11272" s="1" t="str">
        <f t="shared" si="2"/>
        <v/>
      </c>
      <c r="J11272" s="1" t="str">
        <f t="shared" si="3"/>
        <v/>
      </c>
      <c r="K11272" s="1" t="str">
        <f t="shared" si="4"/>
        <v/>
      </c>
    </row>
    <row r="11273" hidden="1">
      <c r="F11273" s="1" t="str">
        <f t="shared" si="1"/>
        <v/>
      </c>
      <c r="G11273" s="1" t="str">
        <f t="shared" si="2"/>
        <v/>
      </c>
      <c r="J11273" s="1" t="str">
        <f t="shared" si="3"/>
        <v/>
      </c>
      <c r="K11273" s="1" t="str">
        <f t="shared" si="4"/>
        <v/>
      </c>
    </row>
    <row r="11274" hidden="1">
      <c r="F11274" s="1" t="str">
        <f t="shared" si="1"/>
        <v/>
      </c>
      <c r="G11274" s="1" t="str">
        <f t="shared" si="2"/>
        <v/>
      </c>
      <c r="J11274" s="1" t="str">
        <f t="shared" si="3"/>
        <v/>
      </c>
      <c r="K11274" s="1" t="str">
        <f t="shared" si="4"/>
        <v/>
      </c>
    </row>
    <row r="11275" hidden="1">
      <c r="F11275" s="1" t="str">
        <f t="shared" si="1"/>
        <v/>
      </c>
      <c r="G11275" s="1" t="str">
        <f t="shared" si="2"/>
        <v/>
      </c>
      <c r="J11275" s="1" t="str">
        <f t="shared" si="3"/>
        <v/>
      </c>
      <c r="K11275" s="1" t="str">
        <f t="shared" si="4"/>
        <v/>
      </c>
    </row>
    <row r="11276" hidden="1">
      <c r="F11276" s="1" t="str">
        <f t="shared" si="1"/>
        <v/>
      </c>
      <c r="G11276" s="1" t="str">
        <f t="shared" si="2"/>
        <v/>
      </c>
      <c r="J11276" s="1" t="str">
        <f t="shared" si="3"/>
        <v/>
      </c>
      <c r="K11276" s="1" t="str">
        <f t="shared" si="4"/>
        <v/>
      </c>
    </row>
    <row r="11277" hidden="1">
      <c r="F11277" s="1" t="str">
        <f t="shared" si="1"/>
        <v/>
      </c>
      <c r="G11277" s="1" t="str">
        <f t="shared" si="2"/>
        <v/>
      </c>
      <c r="J11277" s="1" t="str">
        <f t="shared" si="3"/>
        <v/>
      </c>
      <c r="K11277" s="1" t="str">
        <f t="shared" si="4"/>
        <v/>
      </c>
    </row>
    <row r="11278" hidden="1">
      <c r="F11278" s="1" t="str">
        <f t="shared" si="1"/>
        <v/>
      </c>
      <c r="G11278" s="1" t="str">
        <f t="shared" si="2"/>
        <v/>
      </c>
      <c r="J11278" s="1" t="str">
        <f t="shared" si="3"/>
        <v/>
      </c>
      <c r="K11278" s="1" t="str">
        <f t="shared" si="4"/>
        <v/>
      </c>
    </row>
    <row r="11279" hidden="1">
      <c r="F11279" s="1" t="str">
        <f t="shared" si="1"/>
        <v/>
      </c>
      <c r="G11279" s="1" t="str">
        <f t="shared" si="2"/>
        <v/>
      </c>
      <c r="J11279" s="1" t="str">
        <f t="shared" si="3"/>
        <v/>
      </c>
      <c r="K11279" s="1" t="str">
        <f t="shared" si="4"/>
        <v/>
      </c>
    </row>
    <row r="11280" hidden="1">
      <c r="F11280" s="1" t="str">
        <f t="shared" si="1"/>
        <v/>
      </c>
      <c r="G11280" s="1" t="str">
        <f t="shared" si="2"/>
        <v/>
      </c>
      <c r="J11280" s="1" t="str">
        <f t="shared" si="3"/>
        <v/>
      </c>
      <c r="K11280" s="1" t="str">
        <f t="shared" si="4"/>
        <v/>
      </c>
    </row>
    <row r="11281" hidden="1">
      <c r="F11281" s="1" t="str">
        <f t="shared" si="1"/>
        <v/>
      </c>
      <c r="G11281" s="1" t="str">
        <f t="shared" si="2"/>
        <v/>
      </c>
      <c r="J11281" s="1" t="str">
        <f t="shared" si="3"/>
        <v/>
      </c>
      <c r="K11281" s="1" t="str">
        <f t="shared" si="4"/>
        <v/>
      </c>
    </row>
    <row r="11282" hidden="1">
      <c r="F11282" s="1" t="str">
        <f t="shared" si="1"/>
        <v/>
      </c>
      <c r="G11282" s="1" t="str">
        <f t="shared" si="2"/>
        <v/>
      </c>
      <c r="J11282" s="1" t="str">
        <f t="shared" si="3"/>
        <v/>
      </c>
      <c r="K11282" s="1" t="str">
        <f t="shared" si="4"/>
        <v/>
      </c>
    </row>
    <row r="11283" hidden="1">
      <c r="F11283" s="1" t="str">
        <f t="shared" si="1"/>
        <v/>
      </c>
      <c r="G11283" s="1" t="str">
        <f t="shared" si="2"/>
        <v/>
      </c>
      <c r="J11283" s="1" t="str">
        <f t="shared" si="3"/>
        <v/>
      </c>
      <c r="K11283" s="1" t="str">
        <f t="shared" si="4"/>
        <v/>
      </c>
    </row>
    <row r="11284" hidden="1">
      <c r="F11284" s="1" t="str">
        <f t="shared" si="1"/>
        <v/>
      </c>
      <c r="G11284" s="1" t="str">
        <f t="shared" si="2"/>
        <v/>
      </c>
      <c r="J11284" s="1" t="str">
        <f t="shared" si="3"/>
        <v/>
      </c>
      <c r="K11284" s="1" t="str">
        <f t="shared" si="4"/>
        <v/>
      </c>
    </row>
    <row r="11285" hidden="1">
      <c r="F11285" s="1" t="str">
        <f t="shared" si="1"/>
        <v/>
      </c>
      <c r="G11285" s="1" t="str">
        <f t="shared" si="2"/>
        <v/>
      </c>
      <c r="J11285" s="1" t="str">
        <f t="shared" si="3"/>
        <v/>
      </c>
      <c r="K11285" s="1" t="str">
        <f t="shared" si="4"/>
        <v/>
      </c>
    </row>
    <row r="11286" hidden="1">
      <c r="F11286" s="1" t="str">
        <f t="shared" si="1"/>
        <v/>
      </c>
      <c r="G11286" s="1" t="str">
        <f t="shared" si="2"/>
        <v/>
      </c>
      <c r="J11286" s="1" t="str">
        <f t="shared" si="3"/>
        <v/>
      </c>
      <c r="K11286" s="1" t="str">
        <f t="shared" si="4"/>
        <v/>
      </c>
    </row>
    <row r="11287" hidden="1">
      <c r="F11287" s="1" t="str">
        <f t="shared" si="1"/>
        <v/>
      </c>
      <c r="G11287" s="1" t="str">
        <f t="shared" si="2"/>
        <v/>
      </c>
      <c r="J11287" s="1" t="str">
        <f t="shared" si="3"/>
        <v/>
      </c>
      <c r="K11287" s="1" t="str">
        <f t="shared" si="4"/>
        <v/>
      </c>
    </row>
    <row r="11288" hidden="1">
      <c r="F11288" s="1" t="str">
        <f t="shared" si="1"/>
        <v/>
      </c>
      <c r="G11288" s="1" t="str">
        <f t="shared" si="2"/>
        <v/>
      </c>
      <c r="J11288" s="1" t="str">
        <f t="shared" si="3"/>
        <v/>
      </c>
      <c r="K11288" s="1" t="str">
        <f t="shared" si="4"/>
        <v/>
      </c>
    </row>
    <row r="11289" hidden="1">
      <c r="F11289" s="1" t="str">
        <f t="shared" si="1"/>
        <v/>
      </c>
      <c r="G11289" s="1" t="str">
        <f t="shared" si="2"/>
        <v/>
      </c>
      <c r="J11289" s="1" t="str">
        <f t="shared" si="3"/>
        <v/>
      </c>
      <c r="K11289" s="1" t="str">
        <f t="shared" si="4"/>
        <v/>
      </c>
    </row>
    <row r="11290" hidden="1">
      <c r="F11290" s="1" t="str">
        <f t="shared" si="1"/>
        <v/>
      </c>
      <c r="G11290" s="1" t="str">
        <f t="shared" si="2"/>
        <v/>
      </c>
      <c r="J11290" s="1" t="str">
        <f t="shared" si="3"/>
        <v/>
      </c>
      <c r="K11290" s="1" t="str">
        <f t="shared" si="4"/>
        <v/>
      </c>
    </row>
    <row r="11291" hidden="1">
      <c r="F11291" s="1" t="str">
        <f t="shared" si="1"/>
        <v/>
      </c>
      <c r="G11291" s="1" t="str">
        <f t="shared" si="2"/>
        <v/>
      </c>
      <c r="J11291" s="1" t="str">
        <f t="shared" si="3"/>
        <v/>
      </c>
      <c r="K11291" s="1" t="str">
        <f t="shared" si="4"/>
        <v/>
      </c>
    </row>
    <row r="11292" hidden="1">
      <c r="F11292" s="1" t="str">
        <f t="shared" si="1"/>
        <v/>
      </c>
      <c r="G11292" s="1" t="str">
        <f t="shared" si="2"/>
        <v/>
      </c>
      <c r="J11292" s="1" t="str">
        <f t="shared" si="3"/>
        <v/>
      </c>
      <c r="K11292" s="1" t="str">
        <f t="shared" si="4"/>
        <v/>
      </c>
    </row>
    <row r="11293" hidden="1">
      <c r="F11293" s="1" t="str">
        <f t="shared" si="1"/>
        <v/>
      </c>
      <c r="G11293" s="1" t="str">
        <f t="shared" si="2"/>
        <v/>
      </c>
      <c r="J11293" s="1" t="str">
        <f t="shared" si="3"/>
        <v/>
      </c>
      <c r="K11293" s="1" t="str">
        <f t="shared" si="4"/>
        <v/>
      </c>
    </row>
    <row r="11294" hidden="1">
      <c r="F11294" s="1" t="str">
        <f t="shared" si="1"/>
        <v/>
      </c>
      <c r="G11294" s="1" t="str">
        <f t="shared" si="2"/>
        <v/>
      </c>
      <c r="J11294" s="1" t="str">
        <f t="shared" si="3"/>
        <v/>
      </c>
      <c r="K11294" s="1" t="str">
        <f t="shared" si="4"/>
        <v/>
      </c>
    </row>
    <row r="11295" hidden="1">
      <c r="F11295" s="1" t="str">
        <f t="shared" si="1"/>
        <v/>
      </c>
      <c r="G11295" s="1" t="str">
        <f t="shared" si="2"/>
        <v/>
      </c>
      <c r="J11295" s="1" t="str">
        <f t="shared" si="3"/>
        <v/>
      </c>
      <c r="K11295" s="1" t="str">
        <f t="shared" si="4"/>
        <v/>
      </c>
    </row>
    <row r="11296" hidden="1">
      <c r="F11296" s="1" t="str">
        <f t="shared" si="1"/>
        <v/>
      </c>
      <c r="G11296" s="1" t="str">
        <f t="shared" si="2"/>
        <v/>
      </c>
      <c r="J11296" s="1" t="str">
        <f t="shared" si="3"/>
        <v/>
      </c>
      <c r="K11296" s="1" t="str">
        <f t="shared" si="4"/>
        <v/>
      </c>
    </row>
    <row r="11297" hidden="1">
      <c r="F11297" s="1" t="str">
        <f t="shared" si="1"/>
        <v/>
      </c>
      <c r="G11297" s="1" t="str">
        <f t="shared" si="2"/>
        <v/>
      </c>
      <c r="J11297" s="1" t="str">
        <f t="shared" si="3"/>
        <v/>
      </c>
      <c r="K11297" s="1" t="str">
        <f t="shared" si="4"/>
        <v/>
      </c>
    </row>
    <row r="11298" hidden="1">
      <c r="F11298" s="1" t="str">
        <f t="shared" si="1"/>
        <v/>
      </c>
      <c r="G11298" s="1" t="str">
        <f t="shared" si="2"/>
        <v/>
      </c>
      <c r="J11298" s="1" t="str">
        <f t="shared" si="3"/>
        <v/>
      </c>
      <c r="K11298" s="1" t="str">
        <f t="shared" si="4"/>
        <v/>
      </c>
    </row>
    <row r="11299" hidden="1">
      <c r="F11299" s="1" t="str">
        <f t="shared" si="1"/>
        <v/>
      </c>
      <c r="G11299" s="1" t="str">
        <f t="shared" si="2"/>
        <v/>
      </c>
      <c r="J11299" s="1" t="str">
        <f t="shared" si="3"/>
        <v/>
      </c>
      <c r="K11299" s="1" t="str">
        <f t="shared" si="4"/>
        <v/>
      </c>
    </row>
    <row r="11300" hidden="1">
      <c r="F11300" s="1" t="str">
        <f t="shared" si="1"/>
        <v/>
      </c>
      <c r="G11300" s="1" t="str">
        <f t="shared" si="2"/>
        <v/>
      </c>
      <c r="J11300" s="1" t="str">
        <f t="shared" si="3"/>
        <v/>
      </c>
      <c r="K11300" s="1" t="str">
        <f t="shared" si="4"/>
        <v/>
      </c>
    </row>
    <row r="11301" hidden="1">
      <c r="F11301" s="1" t="str">
        <f t="shared" si="1"/>
        <v/>
      </c>
      <c r="G11301" s="1" t="str">
        <f t="shared" si="2"/>
        <v/>
      </c>
      <c r="J11301" s="1" t="str">
        <f t="shared" si="3"/>
        <v/>
      </c>
      <c r="K11301" s="1" t="str">
        <f t="shared" si="4"/>
        <v/>
      </c>
    </row>
    <row r="11302" hidden="1">
      <c r="F11302" s="1" t="str">
        <f t="shared" si="1"/>
        <v/>
      </c>
      <c r="G11302" s="1" t="str">
        <f t="shared" si="2"/>
        <v/>
      </c>
      <c r="J11302" s="1" t="str">
        <f t="shared" si="3"/>
        <v/>
      </c>
      <c r="K11302" s="1" t="str">
        <f t="shared" si="4"/>
        <v/>
      </c>
    </row>
    <row r="11303" hidden="1">
      <c r="F11303" s="1" t="str">
        <f t="shared" si="1"/>
        <v/>
      </c>
      <c r="G11303" s="1" t="str">
        <f t="shared" si="2"/>
        <v/>
      </c>
      <c r="J11303" s="1" t="str">
        <f t="shared" si="3"/>
        <v/>
      </c>
      <c r="K11303" s="1" t="str">
        <f t="shared" si="4"/>
        <v/>
      </c>
    </row>
    <row r="11304" hidden="1">
      <c r="F11304" s="1" t="str">
        <f t="shared" si="1"/>
        <v/>
      </c>
      <c r="G11304" s="1" t="str">
        <f t="shared" si="2"/>
        <v/>
      </c>
      <c r="J11304" s="1" t="str">
        <f t="shared" si="3"/>
        <v/>
      </c>
      <c r="K11304" s="1" t="str">
        <f t="shared" si="4"/>
        <v/>
      </c>
    </row>
    <row r="11305" hidden="1">
      <c r="F11305" s="1" t="str">
        <f t="shared" si="1"/>
        <v/>
      </c>
      <c r="G11305" s="1" t="str">
        <f t="shared" si="2"/>
        <v/>
      </c>
      <c r="J11305" s="1" t="str">
        <f t="shared" si="3"/>
        <v/>
      </c>
      <c r="K11305" s="1" t="str">
        <f t="shared" si="4"/>
        <v/>
      </c>
    </row>
    <row r="11306" hidden="1">
      <c r="F11306" s="1" t="str">
        <f t="shared" si="1"/>
        <v/>
      </c>
      <c r="G11306" s="1" t="str">
        <f t="shared" si="2"/>
        <v/>
      </c>
      <c r="J11306" s="1" t="str">
        <f t="shared" si="3"/>
        <v/>
      </c>
      <c r="K11306" s="1" t="str">
        <f t="shared" si="4"/>
        <v/>
      </c>
    </row>
    <row r="11307" hidden="1">
      <c r="F11307" s="1" t="str">
        <f t="shared" si="1"/>
        <v/>
      </c>
      <c r="G11307" s="1" t="str">
        <f t="shared" si="2"/>
        <v/>
      </c>
      <c r="J11307" s="1" t="str">
        <f t="shared" si="3"/>
        <v/>
      </c>
      <c r="K11307" s="1" t="str">
        <f t="shared" si="4"/>
        <v/>
      </c>
    </row>
    <row r="11308" hidden="1">
      <c r="F11308" s="1" t="str">
        <f t="shared" si="1"/>
        <v/>
      </c>
      <c r="G11308" s="1" t="str">
        <f t="shared" si="2"/>
        <v/>
      </c>
      <c r="J11308" s="1" t="str">
        <f t="shared" si="3"/>
        <v/>
      </c>
      <c r="K11308" s="1" t="str">
        <f t="shared" si="4"/>
        <v/>
      </c>
    </row>
    <row r="11309" hidden="1">
      <c r="F11309" s="1" t="str">
        <f t="shared" si="1"/>
        <v/>
      </c>
      <c r="G11309" s="1" t="str">
        <f t="shared" si="2"/>
        <v/>
      </c>
      <c r="J11309" s="1" t="str">
        <f t="shared" si="3"/>
        <v/>
      </c>
      <c r="K11309" s="1" t="str">
        <f t="shared" si="4"/>
        <v/>
      </c>
    </row>
    <row r="11310" hidden="1">
      <c r="F11310" s="1" t="str">
        <f t="shared" si="1"/>
        <v/>
      </c>
      <c r="G11310" s="1" t="str">
        <f t="shared" si="2"/>
        <v/>
      </c>
      <c r="J11310" s="1" t="str">
        <f t="shared" si="3"/>
        <v/>
      </c>
      <c r="K11310" s="1" t="str">
        <f t="shared" si="4"/>
        <v/>
      </c>
    </row>
    <row r="11311" hidden="1">
      <c r="F11311" s="1" t="str">
        <f t="shared" si="1"/>
        <v/>
      </c>
      <c r="G11311" s="1" t="str">
        <f t="shared" si="2"/>
        <v/>
      </c>
      <c r="J11311" s="1" t="str">
        <f t="shared" si="3"/>
        <v/>
      </c>
      <c r="K11311" s="1" t="str">
        <f t="shared" si="4"/>
        <v/>
      </c>
    </row>
    <row r="11312" hidden="1">
      <c r="F11312" s="1" t="str">
        <f t="shared" si="1"/>
        <v/>
      </c>
      <c r="G11312" s="1" t="str">
        <f t="shared" si="2"/>
        <v/>
      </c>
      <c r="J11312" s="1" t="str">
        <f t="shared" si="3"/>
        <v/>
      </c>
      <c r="K11312" s="1" t="str">
        <f t="shared" si="4"/>
        <v/>
      </c>
    </row>
    <row r="11313" hidden="1">
      <c r="F11313" s="1" t="str">
        <f t="shared" si="1"/>
        <v/>
      </c>
      <c r="G11313" s="1" t="str">
        <f t="shared" si="2"/>
        <v/>
      </c>
      <c r="J11313" s="1" t="str">
        <f t="shared" si="3"/>
        <v/>
      </c>
      <c r="K11313" s="1" t="str">
        <f t="shared" si="4"/>
        <v/>
      </c>
    </row>
    <row r="11314" hidden="1">
      <c r="F11314" s="1" t="str">
        <f t="shared" si="1"/>
        <v/>
      </c>
      <c r="G11314" s="1" t="str">
        <f t="shared" si="2"/>
        <v/>
      </c>
      <c r="J11314" s="1" t="str">
        <f t="shared" si="3"/>
        <v/>
      </c>
      <c r="K11314" s="1" t="str">
        <f t="shared" si="4"/>
        <v/>
      </c>
    </row>
    <row r="11315" hidden="1">
      <c r="F11315" s="1" t="str">
        <f t="shared" si="1"/>
        <v/>
      </c>
      <c r="G11315" s="1" t="str">
        <f t="shared" si="2"/>
        <v/>
      </c>
      <c r="J11315" s="1" t="str">
        <f t="shared" si="3"/>
        <v/>
      </c>
      <c r="K11315" s="1" t="str">
        <f t="shared" si="4"/>
        <v/>
      </c>
    </row>
    <row r="11316" hidden="1">
      <c r="F11316" s="1" t="str">
        <f t="shared" si="1"/>
        <v/>
      </c>
      <c r="G11316" s="1" t="str">
        <f t="shared" si="2"/>
        <v/>
      </c>
      <c r="J11316" s="1" t="str">
        <f t="shared" si="3"/>
        <v/>
      </c>
      <c r="K11316" s="1" t="str">
        <f t="shared" si="4"/>
        <v/>
      </c>
    </row>
    <row r="11317" hidden="1">
      <c r="F11317" s="1" t="str">
        <f t="shared" si="1"/>
        <v/>
      </c>
      <c r="G11317" s="1" t="str">
        <f t="shared" si="2"/>
        <v/>
      </c>
      <c r="J11317" s="1" t="str">
        <f t="shared" si="3"/>
        <v/>
      </c>
      <c r="K11317" s="1" t="str">
        <f t="shared" si="4"/>
        <v/>
      </c>
    </row>
    <row r="11318" hidden="1">
      <c r="F11318" s="1" t="str">
        <f t="shared" si="1"/>
        <v/>
      </c>
      <c r="G11318" s="1" t="str">
        <f t="shared" si="2"/>
        <v/>
      </c>
      <c r="J11318" s="1" t="str">
        <f t="shared" si="3"/>
        <v/>
      </c>
      <c r="K11318" s="1" t="str">
        <f t="shared" si="4"/>
        <v/>
      </c>
    </row>
    <row r="11319" hidden="1">
      <c r="F11319" s="1" t="str">
        <f t="shared" si="1"/>
        <v/>
      </c>
      <c r="G11319" s="1" t="str">
        <f t="shared" si="2"/>
        <v/>
      </c>
      <c r="J11319" s="1" t="str">
        <f t="shared" si="3"/>
        <v/>
      </c>
      <c r="K11319" s="1" t="str">
        <f t="shared" si="4"/>
        <v/>
      </c>
    </row>
    <row r="11320" hidden="1">
      <c r="F11320" s="1" t="str">
        <f t="shared" si="1"/>
        <v/>
      </c>
      <c r="G11320" s="1" t="str">
        <f t="shared" si="2"/>
        <v/>
      </c>
      <c r="J11320" s="1" t="str">
        <f t="shared" si="3"/>
        <v/>
      </c>
      <c r="K11320" s="1" t="str">
        <f t="shared" si="4"/>
        <v/>
      </c>
    </row>
    <row r="11321" hidden="1">
      <c r="F11321" s="1" t="str">
        <f t="shared" si="1"/>
        <v/>
      </c>
      <c r="G11321" s="1" t="str">
        <f t="shared" si="2"/>
        <v/>
      </c>
      <c r="J11321" s="1" t="str">
        <f t="shared" si="3"/>
        <v/>
      </c>
      <c r="K11321" s="1" t="str">
        <f t="shared" si="4"/>
        <v/>
      </c>
    </row>
    <row r="11322" hidden="1">
      <c r="F11322" s="1" t="str">
        <f t="shared" si="1"/>
        <v/>
      </c>
      <c r="G11322" s="1" t="str">
        <f t="shared" si="2"/>
        <v/>
      </c>
      <c r="J11322" s="1" t="str">
        <f t="shared" si="3"/>
        <v/>
      </c>
      <c r="K11322" s="1" t="str">
        <f t="shared" si="4"/>
        <v/>
      </c>
    </row>
    <row r="11323" hidden="1">
      <c r="F11323" s="1" t="str">
        <f t="shared" si="1"/>
        <v/>
      </c>
      <c r="G11323" s="1" t="str">
        <f t="shared" si="2"/>
        <v/>
      </c>
      <c r="J11323" s="1" t="str">
        <f t="shared" si="3"/>
        <v/>
      </c>
      <c r="K11323" s="1" t="str">
        <f t="shared" si="4"/>
        <v/>
      </c>
    </row>
    <row r="11324" hidden="1">
      <c r="F11324" s="1" t="str">
        <f t="shared" si="1"/>
        <v/>
      </c>
      <c r="G11324" s="1" t="str">
        <f t="shared" si="2"/>
        <v/>
      </c>
      <c r="J11324" s="1" t="str">
        <f t="shared" si="3"/>
        <v/>
      </c>
      <c r="K11324" s="1" t="str">
        <f t="shared" si="4"/>
        <v/>
      </c>
    </row>
    <row r="11325" hidden="1">
      <c r="F11325" s="1" t="str">
        <f t="shared" si="1"/>
        <v/>
      </c>
      <c r="G11325" s="1" t="str">
        <f t="shared" si="2"/>
        <v/>
      </c>
      <c r="J11325" s="1" t="str">
        <f t="shared" si="3"/>
        <v/>
      </c>
      <c r="K11325" s="1" t="str">
        <f t="shared" si="4"/>
        <v/>
      </c>
    </row>
    <row r="11326" hidden="1">
      <c r="F11326" s="1" t="str">
        <f t="shared" si="1"/>
        <v/>
      </c>
      <c r="G11326" s="1" t="str">
        <f t="shared" si="2"/>
        <v/>
      </c>
      <c r="J11326" s="1" t="str">
        <f t="shared" si="3"/>
        <v/>
      </c>
      <c r="K11326" s="1" t="str">
        <f t="shared" si="4"/>
        <v/>
      </c>
    </row>
    <row r="11327" hidden="1">
      <c r="F11327" s="1" t="str">
        <f t="shared" si="1"/>
        <v/>
      </c>
      <c r="G11327" s="1" t="str">
        <f t="shared" si="2"/>
        <v/>
      </c>
      <c r="J11327" s="1" t="str">
        <f t="shared" si="3"/>
        <v/>
      </c>
      <c r="K11327" s="1" t="str">
        <f t="shared" si="4"/>
        <v/>
      </c>
    </row>
    <row r="11328" hidden="1">
      <c r="F11328" s="1" t="str">
        <f t="shared" si="1"/>
        <v/>
      </c>
      <c r="G11328" s="1" t="str">
        <f t="shared" si="2"/>
        <v/>
      </c>
      <c r="J11328" s="1" t="str">
        <f t="shared" si="3"/>
        <v/>
      </c>
      <c r="K11328" s="1" t="str">
        <f t="shared" si="4"/>
        <v/>
      </c>
    </row>
    <row r="11329" hidden="1">
      <c r="F11329" s="1" t="str">
        <f t="shared" si="1"/>
        <v/>
      </c>
      <c r="G11329" s="1" t="str">
        <f t="shared" si="2"/>
        <v/>
      </c>
      <c r="J11329" s="1" t="str">
        <f t="shared" si="3"/>
        <v/>
      </c>
      <c r="K11329" s="1" t="str">
        <f t="shared" si="4"/>
        <v/>
      </c>
    </row>
    <row r="11330" hidden="1">
      <c r="F11330" s="1" t="str">
        <f t="shared" si="1"/>
        <v/>
      </c>
      <c r="G11330" s="1" t="str">
        <f t="shared" si="2"/>
        <v/>
      </c>
      <c r="J11330" s="1" t="str">
        <f t="shared" si="3"/>
        <v/>
      </c>
      <c r="K11330" s="1" t="str">
        <f t="shared" si="4"/>
        <v/>
      </c>
    </row>
    <row r="11331" hidden="1">
      <c r="F11331" s="1" t="str">
        <f t="shared" si="1"/>
        <v/>
      </c>
      <c r="G11331" s="1" t="str">
        <f t="shared" si="2"/>
        <v/>
      </c>
      <c r="J11331" s="1" t="str">
        <f t="shared" si="3"/>
        <v/>
      </c>
      <c r="K11331" s="1" t="str">
        <f t="shared" si="4"/>
        <v/>
      </c>
    </row>
    <row r="11332" hidden="1">
      <c r="F11332" s="1" t="str">
        <f t="shared" si="1"/>
        <v/>
      </c>
      <c r="G11332" s="1" t="str">
        <f t="shared" si="2"/>
        <v/>
      </c>
      <c r="J11332" s="1" t="str">
        <f t="shared" si="3"/>
        <v/>
      </c>
      <c r="K11332" s="1" t="str">
        <f t="shared" si="4"/>
        <v/>
      </c>
    </row>
    <row r="11333" hidden="1">
      <c r="F11333" s="1" t="str">
        <f t="shared" si="1"/>
        <v/>
      </c>
      <c r="G11333" s="1" t="str">
        <f t="shared" si="2"/>
        <v/>
      </c>
      <c r="J11333" s="1" t="str">
        <f t="shared" si="3"/>
        <v/>
      </c>
      <c r="K11333" s="1" t="str">
        <f t="shared" si="4"/>
        <v/>
      </c>
    </row>
    <row r="11334" hidden="1">
      <c r="F11334" s="1" t="str">
        <f t="shared" si="1"/>
        <v/>
      </c>
      <c r="G11334" s="1" t="str">
        <f t="shared" si="2"/>
        <v/>
      </c>
      <c r="J11334" s="1" t="str">
        <f t="shared" si="3"/>
        <v/>
      </c>
      <c r="K11334" s="1" t="str">
        <f t="shared" si="4"/>
        <v/>
      </c>
    </row>
    <row r="11335" hidden="1">
      <c r="F11335" s="1" t="str">
        <f t="shared" si="1"/>
        <v/>
      </c>
      <c r="G11335" s="1" t="str">
        <f t="shared" si="2"/>
        <v/>
      </c>
      <c r="J11335" s="1" t="str">
        <f t="shared" si="3"/>
        <v/>
      </c>
      <c r="K11335" s="1" t="str">
        <f t="shared" si="4"/>
        <v/>
      </c>
    </row>
    <row r="11336" hidden="1">
      <c r="F11336" s="1" t="str">
        <f t="shared" si="1"/>
        <v/>
      </c>
      <c r="G11336" s="1" t="str">
        <f t="shared" si="2"/>
        <v/>
      </c>
      <c r="J11336" s="1" t="str">
        <f t="shared" si="3"/>
        <v/>
      </c>
      <c r="K11336" s="1" t="str">
        <f t="shared" si="4"/>
        <v/>
      </c>
    </row>
    <row r="11337" hidden="1">
      <c r="F11337" s="1" t="str">
        <f t="shared" si="1"/>
        <v/>
      </c>
      <c r="G11337" s="1" t="str">
        <f t="shared" si="2"/>
        <v/>
      </c>
      <c r="J11337" s="1" t="str">
        <f t="shared" si="3"/>
        <v/>
      </c>
      <c r="K11337" s="1" t="str">
        <f t="shared" si="4"/>
        <v/>
      </c>
    </row>
    <row r="11338" hidden="1">
      <c r="F11338" s="1" t="str">
        <f t="shared" si="1"/>
        <v/>
      </c>
      <c r="G11338" s="1" t="str">
        <f t="shared" si="2"/>
        <v/>
      </c>
      <c r="J11338" s="1" t="str">
        <f t="shared" si="3"/>
        <v/>
      </c>
      <c r="K11338" s="1" t="str">
        <f t="shared" si="4"/>
        <v/>
      </c>
    </row>
    <row r="11339" hidden="1">
      <c r="F11339" s="1" t="str">
        <f t="shared" si="1"/>
        <v/>
      </c>
      <c r="G11339" s="1" t="str">
        <f t="shared" si="2"/>
        <v/>
      </c>
      <c r="J11339" s="1" t="str">
        <f t="shared" si="3"/>
        <v/>
      </c>
      <c r="K11339" s="1" t="str">
        <f t="shared" si="4"/>
        <v/>
      </c>
    </row>
    <row r="11340" hidden="1">
      <c r="F11340" s="1" t="str">
        <f t="shared" si="1"/>
        <v/>
      </c>
      <c r="G11340" s="1" t="str">
        <f t="shared" si="2"/>
        <v/>
      </c>
      <c r="J11340" s="1" t="str">
        <f t="shared" si="3"/>
        <v/>
      </c>
      <c r="K11340" s="1" t="str">
        <f t="shared" si="4"/>
        <v/>
      </c>
    </row>
    <row r="11341" hidden="1">
      <c r="F11341" s="1" t="str">
        <f t="shared" si="1"/>
        <v/>
      </c>
      <c r="G11341" s="1" t="str">
        <f t="shared" si="2"/>
        <v/>
      </c>
      <c r="J11341" s="1" t="str">
        <f t="shared" si="3"/>
        <v/>
      </c>
      <c r="K11341" s="1" t="str">
        <f t="shared" si="4"/>
        <v/>
      </c>
    </row>
    <row r="11342" hidden="1">
      <c r="F11342" s="1" t="str">
        <f t="shared" si="1"/>
        <v/>
      </c>
      <c r="G11342" s="1" t="str">
        <f t="shared" si="2"/>
        <v/>
      </c>
      <c r="J11342" s="1" t="str">
        <f t="shared" si="3"/>
        <v/>
      </c>
      <c r="K11342" s="1" t="str">
        <f t="shared" si="4"/>
        <v/>
      </c>
    </row>
    <row r="11343" hidden="1">
      <c r="F11343" s="1" t="str">
        <f t="shared" si="1"/>
        <v/>
      </c>
      <c r="G11343" s="1" t="str">
        <f t="shared" si="2"/>
        <v/>
      </c>
      <c r="J11343" s="1" t="str">
        <f t="shared" si="3"/>
        <v/>
      </c>
      <c r="K11343" s="1" t="str">
        <f t="shared" si="4"/>
        <v/>
      </c>
    </row>
    <row r="11344" hidden="1">
      <c r="F11344" s="1" t="str">
        <f t="shared" si="1"/>
        <v/>
      </c>
      <c r="G11344" s="1" t="str">
        <f t="shared" si="2"/>
        <v/>
      </c>
      <c r="J11344" s="1" t="str">
        <f t="shared" si="3"/>
        <v/>
      </c>
      <c r="K11344" s="1" t="str">
        <f t="shared" si="4"/>
        <v/>
      </c>
    </row>
    <row r="11345" hidden="1">
      <c r="F11345" s="1" t="str">
        <f t="shared" si="1"/>
        <v/>
      </c>
      <c r="G11345" s="1" t="str">
        <f t="shared" si="2"/>
        <v/>
      </c>
      <c r="J11345" s="1" t="str">
        <f t="shared" si="3"/>
        <v/>
      </c>
      <c r="K11345" s="1" t="str">
        <f t="shared" si="4"/>
        <v/>
      </c>
    </row>
    <row r="11346" hidden="1">
      <c r="F11346" s="1" t="str">
        <f t="shared" si="1"/>
        <v/>
      </c>
      <c r="G11346" s="1" t="str">
        <f t="shared" si="2"/>
        <v/>
      </c>
      <c r="J11346" s="1" t="str">
        <f t="shared" si="3"/>
        <v/>
      </c>
      <c r="K11346" s="1" t="str">
        <f t="shared" si="4"/>
        <v/>
      </c>
    </row>
    <row r="11347" hidden="1">
      <c r="F11347" s="1" t="str">
        <f t="shared" si="1"/>
        <v/>
      </c>
      <c r="G11347" s="1" t="str">
        <f t="shared" si="2"/>
        <v/>
      </c>
      <c r="J11347" s="1" t="str">
        <f t="shared" si="3"/>
        <v/>
      </c>
      <c r="K11347" s="1" t="str">
        <f t="shared" si="4"/>
        <v/>
      </c>
    </row>
    <row r="11348" hidden="1">
      <c r="F11348" s="1" t="str">
        <f t="shared" si="1"/>
        <v/>
      </c>
      <c r="G11348" s="1" t="str">
        <f t="shared" si="2"/>
        <v/>
      </c>
      <c r="J11348" s="1" t="str">
        <f t="shared" si="3"/>
        <v/>
      </c>
      <c r="K11348" s="1" t="str">
        <f t="shared" si="4"/>
        <v/>
      </c>
    </row>
    <row r="11349" hidden="1">
      <c r="F11349" s="1" t="str">
        <f t="shared" si="1"/>
        <v/>
      </c>
      <c r="G11349" s="1" t="str">
        <f t="shared" si="2"/>
        <v/>
      </c>
      <c r="J11349" s="1" t="str">
        <f t="shared" si="3"/>
        <v/>
      </c>
      <c r="K11349" s="1" t="str">
        <f t="shared" si="4"/>
        <v/>
      </c>
    </row>
    <row r="11350" hidden="1">
      <c r="F11350" s="1" t="str">
        <f t="shared" si="1"/>
        <v/>
      </c>
      <c r="G11350" s="1" t="str">
        <f t="shared" si="2"/>
        <v/>
      </c>
      <c r="J11350" s="1" t="str">
        <f t="shared" si="3"/>
        <v/>
      </c>
      <c r="K11350" s="1" t="str">
        <f t="shared" si="4"/>
        <v/>
      </c>
    </row>
    <row r="11351" hidden="1">
      <c r="F11351" s="1" t="str">
        <f t="shared" si="1"/>
        <v/>
      </c>
      <c r="G11351" s="1" t="str">
        <f t="shared" si="2"/>
        <v/>
      </c>
      <c r="J11351" s="1" t="str">
        <f t="shared" si="3"/>
        <v/>
      </c>
      <c r="K11351" s="1" t="str">
        <f t="shared" si="4"/>
        <v/>
      </c>
    </row>
    <row r="11352" hidden="1">
      <c r="F11352" s="1" t="str">
        <f t="shared" si="1"/>
        <v/>
      </c>
      <c r="G11352" s="1" t="str">
        <f t="shared" si="2"/>
        <v/>
      </c>
      <c r="J11352" s="1" t="str">
        <f t="shared" si="3"/>
        <v/>
      </c>
      <c r="K11352" s="1" t="str">
        <f t="shared" si="4"/>
        <v/>
      </c>
    </row>
    <row r="11353" hidden="1">
      <c r="F11353" s="1" t="str">
        <f t="shared" si="1"/>
        <v/>
      </c>
      <c r="G11353" s="1" t="str">
        <f t="shared" si="2"/>
        <v/>
      </c>
      <c r="J11353" s="1" t="str">
        <f t="shared" si="3"/>
        <v/>
      </c>
      <c r="K11353" s="1" t="str">
        <f t="shared" si="4"/>
        <v/>
      </c>
    </row>
    <row r="11354" hidden="1">
      <c r="F11354" s="1" t="str">
        <f t="shared" si="1"/>
        <v/>
      </c>
      <c r="G11354" s="1" t="str">
        <f t="shared" si="2"/>
        <v/>
      </c>
      <c r="J11354" s="1" t="str">
        <f t="shared" si="3"/>
        <v/>
      </c>
      <c r="K11354" s="1" t="str">
        <f t="shared" si="4"/>
        <v/>
      </c>
    </row>
    <row r="11355" hidden="1">
      <c r="F11355" s="1" t="str">
        <f t="shared" si="1"/>
        <v/>
      </c>
      <c r="G11355" s="1" t="str">
        <f t="shared" si="2"/>
        <v/>
      </c>
      <c r="J11355" s="1" t="str">
        <f t="shared" si="3"/>
        <v/>
      </c>
      <c r="K11355" s="1" t="str">
        <f t="shared" si="4"/>
        <v/>
      </c>
    </row>
    <row r="11356" hidden="1">
      <c r="F11356" s="1" t="str">
        <f t="shared" si="1"/>
        <v/>
      </c>
      <c r="G11356" s="1" t="str">
        <f t="shared" si="2"/>
        <v/>
      </c>
      <c r="J11356" s="1" t="str">
        <f t="shared" si="3"/>
        <v/>
      </c>
      <c r="K11356" s="1" t="str">
        <f t="shared" si="4"/>
        <v/>
      </c>
    </row>
    <row r="11357" hidden="1">
      <c r="F11357" s="1" t="str">
        <f t="shared" si="1"/>
        <v/>
      </c>
      <c r="G11357" s="1" t="str">
        <f t="shared" si="2"/>
        <v/>
      </c>
      <c r="J11357" s="1" t="str">
        <f t="shared" si="3"/>
        <v/>
      </c>
      <c r="K11357" s="1" t="str">
        <f t="shared" si="4"/>
        <v/>
      </c>
    </row>
    <row r="11358" hidden="1">
      <c r="F11358" s="1" t="str">
        <f t="shared" si="1"/>
        <v/>
      </c>
      <c r="G11358" s="1" t="str">
        <f t="shared" si="2"/>
        <v/>
      </c>
      <c r="J11358" s="1" t="str">
        <f t="shared" si="3"/>
        <v/>
      </c>
      <c r="K11358" s="1" t="str">
        <f t="shared" si="4"/>
        <v/>
      </c>
    </row>
    <row r="11359" hidden="1">
      <c r="F11359" s="1" t="str">
        <f t="shared" si="1"/>
        <v/>
      </c>
      <c r="G11359" s="1" t="str">
        <f t="shared" si="2"/>
        <v/>
      </c>
      <c r="J11359" s="1" t="str">
        <f t="shared" si="3"/>
        <v/>
      </c>
      <c r="K11359" s="1" t="str">
        <f t="shared" si="4"/>
        <v/>
      </c>
    </row>
    <row r="11360" hidden="1">
      <c r="F11360" s="1" t="str">
        <f t="shared" si="1"/>
        <v/>
      </c>
      <c r="G11360" s="1" t="str">
        <f t="shared" si="2"/>
        <v/>
      </c>
      <c r="J11360" s="1" t="str">
        <f t="shared" si="3"/>
        <v/>
      </c>
      <c r="K11360" s="1" t="str">
        <f t="shared" si="4"/>
        <v/>
      </c>
    </row>
    <row r="11361" hidden="1">
      <c r="F11361" s="1" t="str">
        <f t="shared" si="1"/>
        <v/>
      </c>
      <c r="G11361" s="1" t="str">
        <f t="shared" si="2"/>
        <v/>
      </c>
      <c r="J11361" s="1" t="str">
        <f t="shared" si="3"/>
        <v/>
      </c>
      <c r="K11361" s="1" t="str">
        <f t="shared" si="4"/>
        <v/>
      </c>
    </row>
    <row r="11362" hidden="1">
      <c r="F11362" s="1" t="str">
        <f t="shared" si="1"/>
        <v/>
      </c>
      <c r="G11362" s="1" t="str">
        <f t="shared" si="2"/>
        <v/>
      </c>
      <c r="J11362" s="1" t="str">
        <f t="shared" si="3"/>
        <v/>
      </c>
      <c r="K11362" s="1" t="str">
        <f t="shared" si="4"/>
        <v/>
      </c>
    </row>
    <row r="11363" hidden="1">
      <c r="F11363" s="1" t="str">
        <f t="shared" si="1"/>
        <v/>
      </c>
      <c r="G11363" s="1" t="str">
        <f t="shared" si="2"/>
        <v/>
      </c>
      <c r="J11363" s="1" t="str">
        <f t="shared" si="3"/>
        <v/>
      </c>
      <c r="K11363" s="1" t="str">
        <f t="shared" si="4"/>
        <v/>
      </c>
    </row>
    <row r="11364" hidden="1">
      <c r="F11364" s="1" t="str">
        <f t="shared" si="1"/>
        <v/>
      </c>
      <c r="G11364" s="1" t="str">
        <f t="shared" si="2"/>
        <v/>
      </c>
      <c r="J11364" s="1" t="str">
        <f t="shared" si="3"/>
        <v/>
      </c>
      <c r="K11364" s="1" t="str">
        <f t="shared" si="4"/>
        <v/>
      </c>
    </row>
    <row r="11365" hidden="1">
      <c r="F11365" s="1" t="str">
        <f t="shared" si="1"/>
        <v/>
      </c>
      <c r="G11365" s="1" t="str">
        <f t="shared" si="2"/>
        <v/>
      </c>
      <c r="J11365" s="1" t="str">
        <f t="shared" si="3"/>
        <v/>
      </c>
      <c r="K11365" s="1" t="str">
        <f t="shared" si="4"/>
        <v/>
      </c>
    </row>
    <row r="11366" hidden="1">
      <c r="F11366" s="1" t="str">
        <f t="shared" si="1"/>
        <v/>
      </c>
      <c r="G11366" s="1" t="str">
        <f t="shared" si="2"/>
        <v/>
      </c>
      <c r="J11366" s="1" t="str">
        <f t="shared" si="3"/>
        <v/>
      </c>
      <c r="K11366" s="1" t="str">
        <f t="shared" si="4"/>
        <v/>
      </c>
    </row>
    <row r="11367" hidden="1">
      <c r="F11367" s="1" t="str">
        <f t="shared" si="1"/>
        <v/>
      </c>
      <c r="G11367" s="1" t="str">
        <f t="shared" si="2"/>
        <v/>
      </c>
      <c r="J11367" s="1" t="str">
        <f t="shared" si="3"/>
        <v/>
      </c>
      <c r="K11367" s="1" t="str">
        <f t="shared" si="4"/>
        <v/>
      </c>
    </row>
    <row r="11368" hidden="1">
      <c r="F11368" s="1" t="str">
        <f t="shared" si="1"/>
        <v/>
      </c>
      <c r="G11368" s="1" t="str">
        <f t="shared" si="2"/>
        <v/>
      </c>
      <c r="J11368" s="1" t="str">
        <f t="shared" si="3"/>
        <v/>
      </c>
      <c r="K11368" s="1" t="str">
        <f t="shared" si="4"/>
        <v/>
      </c>
    </row>
    <row r="11369" hidden="1">
      <c r="F11369" s="1" t="str">
        <f t="shared" si="1"/>
        <v/>
      </c>
      <c r="G11369" s="1" t="str">
        <f t="shared" si="2"/>
        <v/>
      </c>
      <c r="J11369" s="1" t="str">
        <f t="shared" si="3"/>
        <v/>
      </c>
      <c r="K11369" s="1" t="str">
        <f t="shared" si="4"/>
        <v/>
      </c>
    </row>
    <row r="11370" hidden="1">
      <c r="F11370" s="1" t="str">
        <f t="shared" si="1"/>
        <v/>
      </c>
      <c r="G11370" s="1" t="str">
        <f t="shared" si="2"/>
        <v/>
      </c>
      <c r="J11370" s="1" t="str">
        <f t="shared" si="3"/>
        <v/>
      </c>
      <c r="K11370" s="1" t="str">
        <f t="shared" si="4"/>
        <v/>
      </c>
    </row>
    <row r="11371" hidden="1">
      <c r="F11371" s="1" t="str">
        <f t="shared" si="1"/>
        <v/>
      </c>
      <c r="G11371" s="1" t="str">
        <f t="shared" si="2"/>
        <v/>
      </c>
      <c r="J11371" s="1" t="str">
        <f t="shared" si="3"/>
        <v/>
      </c>
      <c r="K11371" s="1" t="str">
        <f t="shared" si="4"/>
        <v/>
      </c>
    </row>
    <row r="11372" hidden="1">
      <c r="F11372" s="1" t="str">
        <f t="shared" si="1"/>
        <v/>
      </c>
      <c r="G11372" s="1" t="str">
        <f t="shared" si="2"/>
        <v/>
      </c>
      <c r="J11372" s="1" t="str">
        <f t="shared" si="3"/>
        <v/>
      </c>
      <c r="K11372" s="1" t="str">
        <f t="shared" si="4"/>
        <v/>
      </c>
    </row>
    <row r="11373" hidden="1">
      <c r="F11373" s="1" t="str">
        <f t="shared" si="1"/>
        <v/>
      </c>
      <c r="G11373" s="1" t="str">
        <f t="shared" si="2"/>
        <v/>
      </c>
      <c r="J11373" s="1" t="str">
        <f t="shared" si="3"/>
        <v/>
      </c>
      <c r="K11373" s="1" t="str">
        <f t="shared" si="4"/>
        <v/>
      </c>
    </row>
    <row r="11374" hidden="1">
      <c r="F11374" s="1" t="str">
        <f t="shared" si="1"/>
        <v/>
      </c>
      <c r="G11374" s="1" t="str">
        <f t="shared" si="2"/>
        <v/>
      </c>
      <c r="J11374" s="1" t="str">
        <f t="shared" si="3"/>
        <v/>
      </c>
      <c r="K11374" s="1" t="str">
        <f t="shared" si="4"/>
        <v/>
      </c>
    </row>
    <row r="11375" hidden="1">
      <c r="F11375" s="1" t="str">
        <f t="shared" si="1"/>
        <v/>
      </c>
      <c r="G11375" s="1" t="str">
        <f t="shared" si="2"/>
        <v/>
      </c>
      <c r="J11375" s="1" t="str">
        <f t="shared" si="3"/>
        <v/>
      </c>
      <c r="K11375" s="1" t="str">
        <f t="shared" si="4"/>
        <v/>
      </c>
    </row>
    <row r="11376" hidden="1">
      <c r="F11376" s="1" t="str">
        <f t="shared" si="1"/>
        <v/>
      </c>
      <c r="G11376" s="1" t="str">
        <f t="shared" si="2"/>
        <v/>
      </c>
      <c r="J11376" s="1" t="str">
        <f t="shared" si="3"/>
        <v/>
      </c>
      <c r="K11376" s="1" t="str">
        <f t="shared" si="4"/>
        <v/>
      </c>
    </row>
    <row r="11377" hidden="1">
      <c r="F11377" s="1" t="str">
        <f t="shared" si="1"/>
        <v/>
      </c>
      <c r="G11377" s="1" t="str">
        <f t="shared" si="2"/>
        <v/>
      </c>
      <c r="J11377" s="1" t="str">
        <f t="shared" si="3"/>
        <v/>
      </c>
      <c r="K11377" s="1" t="str">
        <f t="shared" si="4"/>
        <v/>
      </c>
    </row>
    <row r="11378" hidden="1">
      <c r="F11378" s="1" t="str">
        <f t="shared" si="1"/>
        <v/>
      </c>
      <c r="G11378" s="1" t="str">
        <f t="shared" si="2"/>
        <v/>
      </c>
      <c r="J11378" s="1" t="str">
        <f t="shared" si="3"/>
        <v/>
      </c>
      <c r="K11378" s="1" t="str">
        <f t="shared" si="4"/>
        <v/>
      </c>
    </row>
    <row r="11379" hidden="1">
      <c r="F11379" s="1" t="str">
        <f t="shared" si="1"/>
        <v/>
      </c>
      <c r="G11379" s="1" t="str">
        <f t="shared" si="2"/>
        <v/>
      </c>
      <c r="J11379" s="1" t="str">
        <f t="shared" si="3"/>
        <v/>
      </c>
      <c r="K11379" s="1" t="str">
        <f t="shared" si="4"/>
        <v/>
      </c>
    </row>
    <row r="11380" hidden="1">
      <c r="F11380" s="1" t="str">
        <f t="shared" si="1"/>
        <v/>
      </c>
      <c r="G11380" s="1" t="str">
        <f t="shared" si="2"/>
        <v/>
      </c>
      <c r="J11380" s="1" t="str">
        <f t="shared" si="3"/>
        <v/>
      </c>
      <c r="K11380" s="1" t="str">
        <f t="shared" si="4"/>
        <v/>
      </c>
    </row>
    <row r="11381" hidden="1">
      <c r="F11381" s="1" t="str">
        <f t="shared" si="1"/>
        <v/>
      </c>
      <c r="G11381" s="1" t="str">
        <f t="shared" si="2"/>
        <v/>
      </c>
      <c r="J11381" s="1" t="str">
        <f t="shared" si="3"/>
        <v/>
      </c>
      <c r="K11381" s="1" t="str">
        <f t="shared" si="4"/>
        <v/>
      </c>
    </row>
    <row r="11382" hidden="1">
      <c r="F11382" s="1" t="str">
        <f t="shared" si="1"/>
        <v/>
      </c>
      <c r="G11382" s="1" t="str">
        <f t="shared" si="2"/>
        <v/>
      </c>
      <c r="J11382" s="1" t="str">
        <f t="shared" si="3"/>
        <v/>
      </c>
      <c r="K11382" s="1" t="str">
        <f t="shared" si="4"/>
        <v/>
      </c>
    </row>
    <row r="11383" hidden="1">
      <c r="F11383" s="1" t="str">
        <f t="shared" si="1"/>
        <v/>
      </c>
      <c r="G11383" s="1" t="str">
        <f t="shared" si="2"/>
        <v/>
      </c>
      <c r="J11383" s="1" t="str">
        <f t="shared" si="3"/>
        <v/>
      </c>
      <c r="K11383" s="1" t="str">
        <f t="shared" si="4"/>
        <v/>
      </c>
    </row>
    <row r="11384" hidden="1">
      <c r="F11384" s="1" t="str">
        <f t="shared" si="1"/>
        <v/>
      </c>
      <c r="G11384" s="1" t="str">
        <f t="shared" si="2"/>
        <v/>
      </c>
      <c r="J11384" s="1" t="str">
        <f t="shared" si="3"/>
        <v/>
      </c>
      <c r="K11384" s="1" t="str">
        <f t="shared" si="4"/>
        <v/>
      </c>
    </row>
    <row r="11385" hidden="1">
      <c r="F11385" s="1" t="str">
        <f t="shared" si="1"/>
        <v/>
      </c>
      <c r="G11385" s="1" t="str">
        <f t="shared" si="2"/>
        <v/>
      </c>
      <c r="J11385" s="1" t="str">
        <f t="shared" si="3"/>
        <v/>
      </c>
      <c r="K11385" s="1" t="str">
        <f t="shared" si="4"/>
        <v/>
      </c>
    </row>
    <row r="11386" hidden="1">
      <c r="F11386" s="1" t="str">
        <f t="shared" si="1"/>
        <v/>
      </c>
      <c r="G11386" s="1" t="str">
        <f t="shared" si="2"/>
        <v/>
      </c>
      <c r="J11386" s="1" t="str">
        <f t="shared" si="3"/>
        <v/>
      </c>
      <c r="K11386" s="1" t="str">
        <f t="shared" si="4"/>
        <v/>
      </c>
    </row>
    <row r="11387" hidden="1">
      <c r="F11387" s="1" t="str">
        <f t="shared" si="1"/>
        <v/>
      </c>
      <c r="G11387" s="1" t="str">
        <f t="shared" si="2"/>
        <v/>
      </c>
      <c r="J11387" s="1" t="str">
        <f t="shared" si="3"/>
        <v/>
      </c>
      <c r="K11387" s="1" t="str">
        <f t="shared" si="4"/>
        <v/>
      </c>
    </row>
    <row r="11388" hidden="1">
      <c r="F11388" s="1" t="str">
        <f t="shared" si="1"/>
        <v/>
      </c>
      <c r="G11388" s="1" t="str">
        <f t="shared" si="2"/>
        <v/>
      </c>
      <c r="J11388" s="1" t="str">
        <f t="shared" si="3"/>
        <v/>
      </c>
      <c r="K11388" s="1" t="str">
        <f t="shared" si="4"/>
        <v/>
      </c>
    </row>
    <row r="11389" hidden="1">
      <c r="F11389" s="1" t="str">
        <f t="shared" si="1"/>
        <v/>
      </c>
      <c r="G11389" s="1" t="str">
        <f t="shared" si="2"/>
        <v/>
      </c>
      <c r="J11389" s="1" t="str">
        <f t="shared" si="3"/>
        <v/>
      </c>
      <c r="K11389" s="1" t="str">
        <f t="shared" si="4"/>
        <v/>
      </c>
    </row>
    <row r="11390" hidden="1">
      <c r="F11390" s="1" t="str">
        <f t="shared" si="1"/>
        <v/>
      </c>
      <c r="G11390" s="1" t="str">
        <f t="shared" si="2"/>
        <v/>
      </c>
      <c r="J11390" s="1" t="str">
        <f t="shared" si="3"/>
        <v/>
      </c>
      <c r="K11390" s="1" t="str">
        <f t="shared" si="4"/>
        <v/>
      </c>
    </row>
    <row r="11391" hidden="1">
      <c r="F11391" s="1" t="str">
        <f t="shared" si="1"/>
        <v/>
      </c>
      <c r="G11391" s="1" t="str">
        <f t="shared" si="2"/>
        <v/>
      </c>
      <c r="J11391" s="1" t="str">
        <f t="shared" si="3"/>
        <v/>
      </c>
      <c r="K11391" s="1" t="str">
        <f t="shared" si="4"/>
        <v/>
      </c>
    </row>
    <row r="11392" hidden="1">
      <c r="F11392" s="1" t="str">
        <f t="shared" si="1"/>
        <v/>
      </c>
      <c r="G11392" s="1" t="str">
        <f t="shared" si="2"/>
        <v/>
      </c>
      <c r="J11392" s="1" t="str">
        <f t="shared" si="3"/>
        <v/>
      </c>
      <c r="K11392" s="1" t="str">
        <f t="shared" si="4"/>
        <v/>
      </c>
    </row>
    <row r="11393" hidden="1">
      <c r="F11393" s="1" t="str">
        <f t="shared" si="1"/>
        <v/>
      </c>
      <c r="G11393" s="1" t="str">
        <f t="shared" si="2"/>
        <v/>
      </c>
      <c r="J11393" s="1" t="str">
        <f t="shared" si="3"/>
        <v/>
      </c>
      <c r="K11393" s="1" t="str">
        <f t="shared" si="4"/>
        <v/>
      </c>
    </row>
    <row r="11394" hidden="1">
      <c r="F11394" s="1" t="str">
        <f t="shared" si="1"/>
        <v/>
      </c>
      <c r="G11394" s="1" t="str">
        <f t="shared" si="2"/>
        <v/>
      </c>
      <c r="J11394" s="1" t="str">
        <f t="shared" si="3"/>
        <v/>
      </c>
      <c r="K11394" s="1" t="str">
        <f t="shared" si="4"/>
        <v/>
      </c>
    </row>
    <row r="11395" hidden="1">
      <c r="F11395" s="1" t="str">
        <f t="shared" si="1"/>
        <v/>
      </c>
      <c r="G11395" s="1" t="str">
        <f t="shared" si="2"/>
        <v/>
      </c>
      <c r="J11395" s="1" t="str">
        <f t="shared" si="3"/>
        <v/>
      </c>
      <c r="K11395" s="1" t="str">
        <f t="shared" si="4"/>
        <v/>
      </c>
    </row>
    <row r="11396" hidden="1">
      <c r="F11396" s="1" t="str">
        <f t="shared" si="1"/>
        <v/>
      </c>
      <c r="G11396" s="1" t="str">
        <f t="shared" si="2"/>
        <v/>
      </c>
      <c r="J11396" s="1" t="str">
        <f t="shared" si="3"/>
        <v/>
      </c>
      <c r="K11396" s="1" t="str">
        <f t="shared" si="4"/>
        <v/>
      </c>
    </row>
    <row r="11397" hidden="1">
      <c r="F11397" s="1" t="str">
        <f t="shared" si="1"/>
        <v/>
      </c>
      <c r="G11397" s="1" t="str">
        <f t="shared" si="2"/>
        <v/>
      </c>
      <c r="J11397" s="1" t="str">
        <f t="shared" si="3"/>
        <v/>
      </c>
      <c r="K11397" s="1" t="str">
        <f t="shared" si="4"/>
        <v/>
      </c>
    </row>
    <row r="11398" hidden="1">
      <c r="F11398" s="1" t="str">
        <f t="shared" si="1"/>
        <v/>
      </c>
      <c r="G11398" s="1" t="str">
        <f t="shared" si="2"/>
        <v/>
      </c>
      <c r="J11398" s="1" t="str">
        <f t="shared" si="3"/>
        <v/>
      </c>
      <c r="K11398" s="1" t="str">
        <f t="shared" si="4"/>
        <v/>
      </c>
    </row>
    <row r="11399" hidden="1">
      <c r="F11399" s="1" t="str">
        <f t="shared" si="1"/>
        <v/>
      </c>
      <c r="G11399" s="1" t="str">
        <f t="shared" si="2"/>
        <v/>
      </c>
      <c r="J11399" s="1" t="str">
        <f t="shared" si="3"/>
        <v/>
      </c>
      <c r="K11399" s="1" t="str">
        <f t="shared" si="4"/>
        <v/>
      </c>
    </row>
    <row r="11400" hidden="1">
      <c r="F11400" s="1" t="str">
        <f t="shared" si="1"/>
        <v/>
      </c>
      <c r="G11400" s="1" t="str">
        <f t="shared" si="2"/>
        <v/>
      </c>
      <c r="J11400" s="1" t="str">
        <f t="shared" si="3"/>
        <v/>
      </c>
      <c r="K11400" s="1" t="str">
        <f t="shared" si="4"/>
        <v/>
      </c>
    </row>
    <row r="11401" hidden="1">
      <c r="F11401" s="1" t="str">
        <f t="shared" si="1"/>
        <v/>
      </c>
      <c r="G11401" s="1" t="str">
        <f t="shared" si="2"/>
        <v/>
      </c>
      <c r="J11401" s="1" t="str">
        <f t="shared" si="3"/>
        <v/>
      </c>
      <c r="K11401" s="1" t="str">
        <f t="shared" si="4"/>
        <v/>
      </c>
    </row>
    <row r="11402" hidden="1">
      <c r="F11402" s="1" t="str">
        <f t="shared" si="1"/>
        <v/>
      </c>
      <c r="G11402" s="1" t="str">
        <f t="shared" si="2"/>
        <v/>
      </c>
      <c r="J11402" s="1" t="str">
        <f t="shared" si="3"/>
        <v/>
      </c>
      <c r="K11402" s="1" t="str">
        <f t="shared" si="4"/>
        <v/>
      </c>
    </row>
    <row r="11403" hidden="1">
      <c r="F11403" s="1" t="str">
        <f t="shared" si="1"/>
        <v/>
      </c>
      <c r="G11403" s="1" t="str">
        <f t="shared" si="2"/>
        <v/>
      </c>
      <c r="J11403" s="1" t="str">
        <f t="shared" si="3"/>
        <v/>
      </c>
      <c r="K11403" s="1" t="str">
        <f t="shared" si="4"/>
        <v/>
      </c>
    </row>
    <row r="11404" hidden="1">
      <c r="F11404" s="1" t="str">
        <f t="shared" si="1"/>
        <v/>
      </c>
      <c r="G11404" s="1" t="str">
        <f t="shared" si="2"/>
        <v/>
      </c>
      <c r="J11404" s="1" t="str">
        <f t="shared" si="3"/>
        <v/>
      </c>
      <c r="K11404" s="1" t="str">
        <f t="shared" si="4"/>
        <v/>
      </c>
    </row>
    <row r="11405" hidden="1">
      <c r="F11405" s="1" t="str">
        <f t="shared" si="1"/>
        <v/>
      </c>
      <c r="G11405" s="1" t="str">
        <f t="shared" si="2"/>
        <v/>
      </c>
      <c r="J11405" s="1" t="str">
        <f t="shared" si="3"/>
        <v/>
      </c>
      <c r="K11405" s="1" t="str">
        <f t="shared" si="4"/>
        <v/>
      </c>
    </row>
    <row r="11406" hidden="1">
      <c r="F11406" s="1" t="str">
        <f t="shared" si="1"/>
        <v/>
      </c>
      <c r="G11406" s="1" t="str">
        <f t="shared" si="2"/>
        <v/>
      </c>
      <c r="J11406" s="1" t="str">
        <f t="shared" si="3"/>
        <v/>
      </c>
      <c r="K11406" s="1" t="str">
        <f t="shared" si="4"/>
        <v/>
      </c>
    </row>
    <row r="11407" hidden="1">
      <c r="F11407" s="1" t="str">
        <f t="shared" si="1"/>
        <v/>
      </c>
      <c r="G11407" s="1" t="str">
        <f t="shared" si="2"/>
        <v/>
      </c>
      <c r="J11407" s="1" t="str">
        <f t="shared" si="3"/>
        <v/>
      </c>
      <c r="K11407" s="1" t="str">
        <f t="shared" si="4"/>
        <v/>
      </c>
    </row>
    <row r="11408" hidden="1">
      <c r="F11408" s="1" t="str">
        <f t="shared" si="1"/>
        <v/>
      </c>
      <c r="G11408" s="1" t="str">
        <f t="shared" si="2"/>
        <v/>
      </c>
      <c r="J11408" s="1" t="str">
        <f t="shared" si="3"/>
        <v/>
      </c>
      <c r="K11408" s="1" t="str">
        <f t="shared" si="4"/>
        <v/>
      </c>
    </row>
    <row r="11409" hidden="1">
      <c r="F11409" s="1" t="str">
        <f t="shared" si="1"/>
        <v/>
      </c>
      <c r="G11409" s="1" t="str">
        <f t="shared" si="2"/>
        <v/>
      </c>
      <c r="J11409" s="1" t="str">
        <f t="shared" si="3"/>
        <v/>
      </c>
      <c r="K11409" s="1" t="str">
        <f t="shared" si="4"/>
        <v/>
      </c>
    </row>
    <row r="11410" hidden="1">
      <c r="F11410" s="1" t="str">
        <f t="shared" si="1"/>
        <v/>
      </c>
      <c r="G11410" s="1" t="str">
        <f t="shared" si="2"/>
        <v/>
      </c>
      <c r="J11410" s="1" t="str">
        <f t="shared" si="3"/>
        <v/>
      </c>
      <c r="K11410" s="1" t="str">
        <f t="shared" si="4"/>
        <v/>
      </c>
    </row>
    <row r="11411" hidden="1">
      <c r="F11411" s="1" t="str">
        <f t="shared" si="1"/>
        <v/>
      </c>
      <c r="G11411" s="1" t="str">
        <f t="shared" si="2"/>
        <v/>
      </c>
      <c r="J11411" s="1" t="str">
        <f t="shared" si="3"/>
        <v/>
      </c>
      <c r="K11411" s="1" t="str">
        <f t="shared" si="4"/>
        <v/>
      </c>
    </row>
    <row r="11412" hidden="1">
      <c r="F11412" s="1" t="str">
        <f t="shared" si="1"/>
        <v/>
      </c>
      <c r="G11412" s="1" t="str">
        <f t="shared" si="2"/>
        <v/>
      </c>
      <c r="J11412" s="1" t="str">
        <f t="shared" si="3"/>
        <v/>
      </c>
      <c r="K11412" s="1" t="str">
        <f t="shared" si="4"/>
        <v/>
      </c>
    </row>
    <row r="11413" hidden="1">
      <c r="F11413" s="1" t="str">
        <f t="shared" si="1"/>
        <v/>
      </c>
      <c r="G11413" s="1" t="str">
        <f t="shared" si="2"/>
        <v/>
      </c>
      <c r="J11413" s="1" t="str">
        <f t="shared" si="3"/>
        <v/>
      </c>
      <c r="K11413" s="1" t="str">
        <f t="shared" si="4"/>
        <v/>
      </c>
    </row>
    <row r="11414" hidden="1">
      <c r="F11414" s="1" t="str">
        <f t="shared" si="1"/>
        <v/>
      </c>
      <c r="G11414" s="1" t="str">
        <f t="shared" si="2"/>
        <v/>
      </c>
      <c r="J11414" s="1" t="str">
        <f t="shared" si="3"/>
        <v/>
      </c>
      <c r="K11414" s="1" t="str">
        <f t="shared" si="4"/>
        <v/>
      </c>
    </row>
    <row r="11415" hidden="1">
      <c r="F11415" s="1" t="str">
        <f t="shared" si="1"/>
        <v/>
      </c>
      <c r="G11415" s="1" t="str">
        <f t="shared" si="2"/>
        <v/>
      </c>
      <c r="J11415" s="1" t="str">
        <f t="shared" si="3"/>
        <v/>
      </c>
      <c r="K11415" s="1" t="str">
        <f t="shared" si="4"/>
        <v/>
      </c>
    </row>
    <row r="11416" hidden="1">
      <c r="F11416" s="1" t="str">
        <f t="shared" si="1"/>
        <v/>
      </c>
      <c r="G11416" s="1" t="str">
        <f t="shared" si="2"/>
        <v/>
      </c>
      <c r="J11416" s="1" t="str">
        <f t="shared" si="3"/>
        <v/>
      </c>
      <c r="K11416" s="1" t="str">
        <f t="shared" si="4"/>
        <v/>
      </c>
    </row>
    <row r="11417" hidden="1">
      <c r="F11417" s="1" t="str">
        <f t="shared" si="1"/>
        <v/>
      </c>
      <c r="G11417" s="1" t="str">
        <f t="shared" si="2"/>
        <v/>
      </c>
      <c r="J11417" s="1" t="str">
        <f t="shared" si="3"/>
        <v/>
      </c>
      <c r="K11417" s="1" t="str">
        <f t="shared" si="4"/>
        <v/>
      </c>
    </row>
    <row r="11418" hidden="1">
      <c r="F11418" s="1" t="str">
        <f t="shared" si="1"/>
        <v/>
      </c>
      <c r="G11418" s="1" t="str">
        <f t="shared" si="2"/>
        <v/>
      </c>
      <c r="J11418" s="1" t="str">
        <f t="shared" si="3"/>
        <v/>
      </c>
      <c r="K11418" s="1" t="str">
        <f t="shared" si="4"/>
        <v/>
      </c>
    </row>
    <row r="11419" hidden="1">
      <c r="F11419" s="1" t="str">
        <f t="shared" si="1"/>
        <v/>
      </c>
      <c r="G11419" s="1" t="str">
        <f t="shared" si="2"/>
        <v/>
      </c>
      <c r="J11419" s="1" t="str">
        <f t="shared" si="3"/>
        <v/>
      </c>
      <c r="K11419" s="1" t="str">
        <f t="shared" si="4"/>
        <v/>
      </c>
    </row>
    <row r="11420" hidden="1">
      <c r="F11420" s="1" t="str">
        <f t="shared" si="1"/>
        <v/>
      </c>
      <c r="G11420" s="1" t="str">
        <f t="shared" si="2"/>
        <v/>
      </c>
      <c r="J11420" s="1" t="str">
        <f t="shared" si="3"/>
        <v/>
      </c>
      <c r="K11420" s="1" t="str">
        <f t="shared" si="4"/>
        <v/>
      </c>
    </row>
    <row r="11421" hidden="1">
      <c r="F11421" s="1" t="str">
        <f t="shared" si="1"/>
        <v/>
      </c>
      <c r="G11421" s="1" t="str">
        <f t="shared" si="2"/>
        <v/>
      </c>
      <c r="J11421" s="1" t="str">
        <f t="shared" si="3"/>
        <v/>
      </c>
      <c r="K11421" s="1" t="str">
        <f t="shared" si="4"/>
        <v/>
      </c>
    </row>
    <row r="11422" hidden="1">
      <c r="F11422" s="1" t="str">
        <f t="shared" si="1"/>
        <v/>
      </c>
      <c r="G11422" s="1" t="str">
        <f t="shared" si="2"/>
        <v/>
      </c>
      <c r="J11422" s="1" t="str">
        <f t="shared" si="3"/>
        <v/>
      </c>
      <c r="K11422" s="1" t="str">
        <f t="shared" si="4"/>
        <v/>
      </c>
    </row>
    <row r="11423" hidden="1">
      <c r="F11423" s="1" t="str">
        <f t="shared" si="1"/>
        <v/>
      </c>
      <c r="G11423" s="1" t="str">
        <f t="shared" si="2"/>
        <v/>
      </c>
      <c r="J11423" s="1" t="str">
        <f t="shared" si="3"/>
        <v/>
      </c>
      <c r="K11423" s="1" t="str">
        <f t="shared" si="4"/>
        <v/>
      </c>
    </row>
    <row r="11424" hidden="1">
      <c r="F11424" s="1" t="str">
        <f t="shared" si="1"/>
        <v/>
      </c>
      <c r="G11424" s="1" t="str">
        <f t="shared" si="2"/>
        <v/>
      </c>
      <c r="J11424" s="1" t="str">
        <f t="shared" si="3"/>
        <v/>
      </c>
      <c r="K11424" s="1" t="str">
        <f t="shared" si="4"/>
        <v/>
      </c>
    </row>
    <row r="11425" hidden="1">
      <c r="F11425" s="1" t="str">
        <f t="shared" si="1"/>
        <v/>
      </c>
      <c r="G11425" s="1" t="str">
        <f t="shared" si="2"/>
        <v/>
      </c>
      <c r="J11425" s="1" t="str">
        <f t="shared" si="3"/>
        <v/>
      </c>
      <c r="K11425" s="1" t="str">
        <f t="shared" si="4"/>
        <v/>
      </c>
    </row>
    <row r="11426" hidden="1">
      <c r="F11426" s="1" t="str">
        <f t="shared" si="1"/>
        <v/>
      </c>
      <c r="G11426" s="1" t="str">
        <f t="shared" si="2"/>
        <v/>
      </c>
      <c r="J11426" s="1" t="str">
        <f t="shared" si="3"/>
        <v/>
      </c>
      <c r="K11426" s="1" t="str">
        <f t="shared" si="4"/>
        <v/>
      </c>
    </row>
    <row r="11427" hidden="1">
      <c r="F11427" s="1" t="str">
        <f t="shared" si="1"/>
        <v/>
      </c>
      <c r="G11427" s="1" t="str">
        <f t="shared" si="2"/>
        <v/>
      </c>
      <c r="J11427" s="1" t="str">
        <f t="shared" si="3"/>
        <v/>
      </c>
      <c r="K11427" s="1" t="str">
        <f t="shared" si="4"/>
        <v/>
      </c>
    </row>
    <row r="11428" hidden="1">
      <c r="F11428" s="1" t="str">
        <f t="shared" si="1"/>
        <v/>
      </c>
      <c r="G11428" s="1" t="str">
        <f t="shared" si="2"/>
        <v/>
      </c>
      <c r="J11428" s="1" t="str">
        <f t="shared" si="3"/>
        <v/>
      </c>
      <c r="K11428" s="1" t="str">
        <f t="shared" si="4"/>
        <v/>
      </c>
    </row>
    <row r="11429" hidden="1">
      <c r="F11429" s="1" t="str">
        <f t="shared" si="1"/>
        <v/>
      </c>
      <c r="G11429" s="1" t="str">
        <f t="shared" si="2"/>
        <v/>
      </c>
      <c r="J11429" s="1" t="str">
        <f t="shared" si="3"/>
        <v/>
      </c>
      <c r="K11429" s="1" t="str">
        <f t="shared" si="4"/>
        <v/>
      </c>
    </row>
    <row r="11430" hidden="1">
      <c r="F11430" s="1" t="str">
        <f t="shared" si="1"/>
        <v/>
      </c>
      <c r="G11430" s="1" t="str">
        <f t="shared" si="2"/>
        <v/>
      </c>
      <c r="J11430" s="1" t="str">
        <f t="shared" si="3"/>
        <v/>
      </c>
      <c r="K11430" s="1" t="str">
        <f t="shared" si="4"/>
        <v/>
      </c>
    </row>
    <row r="11431" hidden="1">
      <c r="F11431" s="1" t="str">
        <f t="shared" si="1"/>
        <v/>
      </c>
      <c r="G11431" s="1" t="str">
        <f t="shared" si="2"/>
        <v/>
      </c>
      <c r="J11431" s="1" t="str">
        <f t="shared" si="3"/>
        <v/>
      </c>
      <c r="K11431" s="1" t="str">
        <f t="shared" si="4"/>
        <v/>
      </c>
    </row>
    <row r="11432" hidden="1">
      <c r="F11432" s="1" t="str">
        <f t="shared" si="1"/>
        <v/>
      </c>
      <c r="G11432" s="1" t="str">
        <f t="shared" si="2"/>
        <v/>
      </c>
      <c r="J11432" s="1" t="str">
        <f t="shared" si="3"/>
        <v/>
      </c>
      <c r="K11432" s="1" t="str">
        <f t="shared" si="4"/>
        <v/>
      </c>
    </row>
    <row r="11433" hidden="1">
      <c r="F11433" s="1" t="str">
        <f t="shared" si="1"/>
        <v/>
      </c>
      <c r="G11433" s="1" t="str">
        <f t="shared" si="2"/>
        <v/>
      </c>
      <c r="J11433" s="1" t="str">
        <f t="shared" si="3"/>
        <v/>
      </c>
      <c r="K11433" s="1" t="str">
        <f t="shared" si="4"/>
        <v/>
      </c>
    </row>
    <row r="11434" hidden="1">
      <c r="F11434" s="1" t="str">
        <f t="shared" si="1"/>
        <v/>
      </c>
      <c r="G11434" s="1" t="str">
        <f t="shared" si="2"/>
        <v/>
      </c>
      <c r="J11434" s="1" t="str">
        <f t="shared" si="3"/>
        <v/>
      </c>
      <c r="K11434" s="1" t="str">
        <f t="shared" si="4"/>
        <v/>
      </c>
    </row>
    <row r="11435" hidden="1">
      <c r="F11435" s="1" t="str">
        <f t="shared" si="1"/>
        <v/>
      </c>
      <c r="G11435" s="1" t="str">
        <f t="shared" si="2"/>
        <v/>
      </c>
      <c r="J11435" s="1" t="str">
        <f t="shared" si="3"/>
        <v/>
      </c>
      <c r="K11435" s="1" t="str">
        <f t="shared" si="4"/>
        <v/>
      </c>
    </row>
    <row r="11436" hidden="1">
      <c r="F11436" s="1" t="str">
        <f t="shared" si="1"/>
        <v/>
      </c>
      <c r="G11436" s="1" t="str">
        <f t="shared" si="2"/>
        <v/>
      </c>
      <c r="J11436" s="1" t="str">
        <f t="shared" si="3"/>
        <v/>
      </c>
      <c r="K11436" s="1" t="str">
        <f t="shared" si="4"/>
        <v/>
      </c>
    </row>
    <row r="11437" hidden="1">
      <c r="F11437" s="1" t="str">
        <f t="shared" si="1"/>
        <v/>
      </c>
      <c r="G11437" s="1" t="str">
        <f t="shared" si="2"/>
        <v/>
      </c>
      <c r="J11437" s="1" t="str">
        <f t="shared" si="3"/>
        <v/>
      </c>
      <c r="K11437" s="1" t="str">
        <f t="shared" si="4"/>
        <v/>
      </c>
    </row>
    <row r="11438" hidden="1">
      <c r="F11438" s="1" t="str">
        <f t="shared" si="1"/>
        <v/>
      </c>
      <c r="G11438" s="1" t="str">
        <f t="shared" si="2"/>
        <v/>
      </c>
      <c r="J11438" s="1" t="str">
        <f t="shared" si="3"/>
        <v/>
      </c>
      <c r="K11438" s="1" t="str">
        <f t="shared" si="4"/>
        <v/>
      </c>
    </row>
    <row r="11439" hidden="1">
      <c r="F11439" s="1" t="str">
        <f t="shared" si="1"/>
        <v/>
      </c>
      <c r="G11439" s="1" t="str">
        <f t="shared" si="2"/>
        <v/>
      </c>
      <c r="J11439" s="1" t="str">
        <f t="shared" si="3"/>
        <v/>
      </c>
      <c r="K11439" s="1" t="str">
        <f t="shared" si="4"/>
        <v/>
      </c>
    </row>
    <row r="11440" hidden="1">
      <c r="F11440" s="1" t="str">
        <f t="shared" si="1"/>
        <v/>
      </c>
      <c r="G11440" s="1" t="str">
        <f t="shared" si="2"/>
        <v/>
      </c>
      <c r="J11440" s="1" t="str">
        <f t="shared" si="3"/>
        <v/>
      </c>
      <c r="K11440" s="1" t="str">
        <f t="shared" si="4"/>
        <v/>
      </c>
    </row>
    <row r="11441" hidden="1">
      <c r="F11441" s="1" t="str">
        <f t="shared" si="1"/>
        <v/>
      </c>
      <c r="G11441" s="1" t="str">
        <f t="shared" si="2"/>
        <v/>
      </c>
      <c r="J11441" s="1" t="str">
        <f t="shared" si="3"/>
        <v/>
      </c>
      <c r="K11441" s="1" t="str">
        <f t="shared" si="4"/>
        <v/>
      </c>
    </row>
    <row r="11442" hidden="1">
      <c r="F11442" s="1" t="str">
        <f t="shared" si="1"/>
        <v/>
      </c>
      <c r="G11442" s="1" t="str">
        <f t="shared" si="2"/>
        <v/>
      </c>
      <c r="J11442" s="1" t="str">
        <f t="shared" si="3"/>
        <v/>
      </c>
      <c r="K11442" s="1" t="str">
        <f t="shared" si="4"/>
        <v/>
      </c>
    </row>
    <row r="11443" hidden="1">
      <c r="F11443" s="1" t="str">
        <f t="shared" si="1"/>
        <v/>
      </c>
      <c r="G11443" s="1" t="str">
        <f t="shared" si="2"/>
        <v/>
      </c>
      <c r="J11443" s="1" t="str">
        <f t="shared" si="3"/>
        <v/>
      </c>
      <c r="K11443" s="1" t="str">
        <f t="shared" si="4"/>
        <v/>
      </c>
    </row>
    <row r="11444" hidden="1">
      <c r="F11444" s="1" t="str">
        <f t="shared" si="1"/>
        <v/>
      </c>
      <c r="G11444" s="1" t="str">
        <f t="shared" si="2"/>
        <v/>
      </c>
      <c r="J11444" s="1" t="str">
        <f t="shared" si="3"/>
        <v/>
      </c>
      <c r="K11444" s="1" t="str">
        <f t="shared" si="4"/>
        <v/>
      </c>
    </row>
    <row r="11445" hidden="1">
      <c r="F11445" s="1" t="str">
        <f t="shared" si="1"/>
        <v/>
      </c>
      <c r="G11445" s="1" t="str">
        <f t="shared" si="2"/>
        <v/>
      </c>
      <c r="J11445" s="1" t="str">
        <f t="shared" si="3"/>
        <v/>
      </c>
      <c r="K11445" s="1" t="str">
        <f t="shared" si="4"/>
        <v/>
      </c>
    </row>
    <row r="11446" hidden="1">
      <c r="F11446" s="1" t="str">
        <f t="shared" si="1"/>
        <v/>
      </c>
      <c r="G11446" s="1" t="str">
        <f t="shared" si="2"/>
        <v/>
      </c>
      <c r="J11446" s="1" t="str">
        <f t="shared" si="3"/>
        <v/>
      </c>
      <c r="K11446" s="1" t="str">
        <f t="shared" si="4"/>
        <v/>
      </c>
    </row>
    <row r="11447" hidden="1">
      <c r="F11447" s="1" t="str">
        <f t="shared" si="1"/>
        <v/>
      </c>
      <c r="G11447" s="1" t="str">
        <f t="shared" si="2"/>
        <v/>
      </c>
      <c r="J11447" s="1" t="str">
        <f t="shared" si="3"/>
        <v/>
      </c>
      <c r="K11447" s="1" t="str">
        <f t="shared" si="4"/>
        <v/>
      </c>
    </row>
    <row r="11448" hidden="1">
      <c r="F11448" s="1" t="str">
        <f t="shared" si="1"/>
        <v/>
      </c>
      <c r="G11448" s="1" t="str">
        <f t="shared" si="2"/>
        <v/>
      </c>
      <c r="J11448" s="1" t="str">
        <f t="shared" si="3"/>
        <v/>
      </c>
      <c r="K11448" s="1" t="str">
        <f t="shared" si="4"/>
        <v/>
      </c>
    </row>
    <row r="11449" hidden="1">
      <c r="F11449" s="1" t="str">
        <f t="shared" si="1"/>
        <v/>
      </c>
      <c r="G11449" s="1" t="str">
        <f t="shared" si="2"/>
        <v/>
      </c>
      <c r="J11449" s="1" t="str">
        <f t="shared" si="3"/>
        <v/>
      </c>
      <c r="K11449" s="1" t="str">
        <f t="shared" si="4"/>
        <v/>
      </c>
    </row>
    <row r="11450" hidden="1">
      <c r="F11450" s="1" t="str">
        <f t="shared" si="1"/>
        <v/>
      </c>
      <c r="G11450" s="1" t="str">
        <f t="shared" si="2"/>
        <v/>
      </c>
      <c r="J11450" s="1" t="str">
        <f t="shared" si="3"/>
        <v/>
      </c>
      <c r="K11450" s="1" t="str">
        <f t="shared" si="4"/>
        <v/>
      </c>
    </row>
    <row r="11451" hidden="1">
      <c r="F11451" s="1" t="str">
        <f t="shared" si="1"/>
        <v/>
      </c>
      <c r="G11451" s="1" t="str">
        <f t="shared" si="2"/>
        <v/>
      </c>
      <c r="J11451" s="1" t="str">
        <f t="shared" si="3"/>
        <v/>
      </c>
      <c r="K11451" s="1" t="str">
        <f t="shared" si="4"/>
        <v/>
      </c>
    </row>
    <row r="11452" hidden="1">
      <c r="F11452" s="1" t="str">
        <f t="shared" si="1"/>
        <v/>
      </c>
      <c r="G11452" s="1" t="str">
        <f t="shared" si="2"/>
        <v/>
      </c>
      <c r="J11452" s="1" t="str">
        <f t="shared" si="3"/>
        <v/>
      </c>
      <c r="K11452" s="1" t="str">
        <f t="shared" si="4"/>
        <v/>
      </c>
    </row>
    <row r="11453" hidden="1">
      <c r="F11453" s="1" t="str">
        <f t="shared" si="1"/>
        <v/>
      </c>
      <c r="G11453" s="1" t="str">
        <f t="shared" si="2"/>
        <v/>
      </c>
      <c r="J11453" s="1" t="str">
        <f t="shared" si="3"/>
        <v/>
      </c>
      <c r="K11453" s="1" t="str">
        <f t="shared" si="4"/>
        <v/>
      </c>
    </row>
    <row r="11454" hidden="1">
      <c r="F11454" s="1" t="str">
        <f t="shared" si="1"/>
        <v/>
      </c>
      <c r="G11454" s="1" t="str">
        <f t="shared" si="2"/>
        <v/>
      </c>
      <c r="J11454" s="1" t="str">
        <f t="shared" si="3"/>
        <v/>
      </c>
      <c r="K11454" s="1" t="str">
        <f t="shared" si="4"/>
        <v/>
      </c>
    </row>
    <row r="11455" hidden="1">
      <c r="F11455" s="1" t="str">
        <f t="shared" si="1"/>
        <v/>
      </c>
      <c r="G11455" s="1" t="str">
        <f t="shared" si="2"/>
        <v/>
      </c>
      <c r="J11455" s="1" t="str">
        <f t="shared" si="3"/>
        <v/>
      </c>
      <c r="K11455" s="1" t="str">
        <f t="shared" si="4"/>
        <v/>
      </c>
    </row>
    <row r="11456" hidden="1">
      <c r="F11456" s="1" t="str">
        <f t="shared" si="1"/>
        <v/>
      </c>
      <c r="G11456" s="1" t="str">
        <f t="shared" si="2"/>
        <v/>
      </c>
      <c r="J11456" s="1" t="str">
        <f t="shared" si="3"/>
        <v/>
      </c>
      <c r="K11456" s="1" t="str">
        <f t="shared" si="4"/>
        <v/>
      </c>
    </row>
    <row r="11457" hidden="1">
      <c r="F11457" s="1" t="str">
        <f t="shared" si="1"/>
        <v/>
      </c>
      <c r="G11457" s="1" t="str">
        <f t="shared" si="2"/>
        <v/>
      </c>
      <c r="J11457" s="1" t="str">
        <f t="shared" si="3"/>
        <v/>
      </c>
      <c r="K11457" s="1" t="str">
        <f t="shared" si="4"/>
        <v/>
      </c>
    </row>
    <row r="11458" hidden="1">
      <c r="F11458" s="1" t="str">
        <f t="shared" si="1"/>
        <v/>
      </c>
      <c r="G11458" s="1" t="str">
        <f t="shared" si="2"/>
        <v/>
      </c>
      <c r="J11458" s="1" t="str">
        <f t="shared" si="3"/>
        <v/>
      </c>
      <c r="K11458" s="1" t="str">
        <f t="shared" si="4"/>
        <v/>
      </c>
    </row>
    <row r="11459" hidden="1">
      <c r="F11459" s="1" t="str">
        <f t="shared" si="1"/>
        <v/>
      </c>
      <c r="G11459" s="1" t="str">
        <f t="shared" si="2"/>
        <v/>
      </c>
      <c r="J11459" s="1" t="str">
        <f t="shared" si="3"/>
        <v/>
      </c>
      <c r="K11459" s="1" t="str">
        <f t="shared" si="4"/>
        <v/>
      </c>
    </row>
    <row r="11460" hidden="1">
      <c r="F11460" s="1" t="str">
        <f t="shared" si="1"/>
        <v/>
      </c>
      <c r="G11460" s="1" t="str">
        <f t="shared" si="2"/>
        <v/>
      </c>
      <c r="J11460" s="1" t="str">
        <f t="shared" si="3"/>
        <v/>
      </c>
      <c r="K11460" s="1" t="str">
        <f t="shared" si="4"/>
        <v/>
      </c>
    </row>
    <row r="11461" hidden="1">
      <c r="F11461" s="1" t="str">
        <f t="shared" si="1"/>
        <v/>
      </c>
      <c r="G11461" s="1" t="str">
        <f t="shared" si="2"/>
        <v/>
      </c>
      <c r="J11461" s="1" t="str">
        <f t="shared" si="3"/>
        <v/>
      </c>
      <c r="K11461" s="1" t="str">
        <f t="shared" si="4"/>
        <v/>
      </c>
    </row>
    <row r="11462" hidden="1">
      <c r="F11462" s="1" t="str">
        <f t="shared" si="1"/>
        <v/>
      </c>
      <c r="G11462" s="1" t="str">
        <f t="shared" si="2"/>
        <v/>
      </c>
      <c r="J11462" s="1" t="str">
        <f t="shared" si="3"/>
        <v/>
      </c>
      <c r="K11462" s="1" t="str">
        <f t="shared" si="4"/>
        <v/>
      </c>
    </row>
    <row r="11463" hidden="1">
      <c r="F11463" s="1" t="str">
        <f t="shared" si="1"/>
        <v/>
      </c>
      <c r="G11463" s="1" t="str">
        <f t="shared" si="2"/>
        <v/>
      </c>
      <c r="J11463" s="1" t="str">
        <f t="shared" si="3"/>
        <v/>
      </c>
      <c r="K11463" s="1" t="str">
        <f t="shared" si="4"/>
        <v/>
      </c>
    </row>
    <row r="11464" hidden="1">
      <c r="F11464" s="1" t="str">
        <f t="shared" si="1"/>
        <v/>
      </c>
      <c r="G11464" s="1" t="str">
        <f t="shared" si="2"/>
        <v/>
      </c>
      <c r="J11464" s="1" t="str">
        <f t="shared" si="3"/>
        <v/>
      </c>
      <c r="K11464" s="1" t="str">
        <f t="shared" si="4"/>
        <v/>
      </c>
    </row>
    <row r="11465" hidden="1">
      <c r="F11465" s="1" t="str">
        <f t="shared" si="1"/>
        <v/>
      </c>
      <c r="G11465" s="1" t="str">
        <f t="shared" si="2"/>
        <v/>
      </c>
      <c r="J11465" s="1" t="str">
        <f t="shared" si="3"/>
        <v/>
      </c>
      <c r="K11465" s="1" t="str">
        <f t="shared" si="4"/>
        <v/>
      </c>
    </row>
    <row r="11466" hidden="1">
      <c r="F11466" s="1" t="str">
        <f t="shared" si="1"/>
        <v/>
      </c>
      <c r="G11466" s="1" t="str">
        <f t="shared" si="2"/>
        <v/>
      </c>
      <c r="J11466" s="1" t="str">
        <f t="shared" si="3"/>
        <v/>
      </c>
      <c r="K11466" s="1" t="str">
        <f t="shared" si="4"/>
        <v/>
      </c>
    </row>
    <row r="11467" hidden="1">
      <c r="F11467" s="1" t="str">
        <f t="shared" si="1"/>
        <v/>
      </c>
      <c r="G11467" s="1" t="str">
        <f t="shared" si="2"/>
        <v/>
      </c>
      <c r="J11467" s="1" t="str">
        <f t="shared" si="3"/>
        <v/>
      </c>
      <c r="K11467" s="1" t="str">
        <f t="shared" si="4"/>
        <v/>
      </c>
    </row>
    <row r="11468" hidden="1">
      <c r="F11468" s="1" t="str">
        <f t="shared" si="1"/>
        <v/>
      </c>
      <c r="G11468" s="1" t="str">
        <f t="shared" si="2"/>
        <v/>
      </c>
      <c r="J11468" s="1" t="str">
        <f t="shared" si="3"/>
        <v/>
      </c>
      <c r="K11468" s="1" t="str">
        <f t="shared" si="4"/>
        <v/>
      </c>
    </row>
    <row r="11469" hidden="1">
      <c r="F11469" s="1" t="str">
        <f t="shared" si="1"/>
        <v/>
      </c>
      <c r="G11469" s="1" t="str">
        <f t="shared" si="2"/>
        <v/>
      </c>
      <c r="J11469" s="1" t="str">
        <f t="shared" si="3"/>
        <v/>
      </c>
      <c r="K11469" s="1" t="str">
        <f t="shared" si="4"/>
        <v/>
      </c>
    </row>
    <row r="11470" hidden="1">
      <c r="F11470" s="1" t="str">
        <f t="shared" si="1"/>
        <v/>
      </c>
      <c r="G11470" s="1" t="str">
        <f t="shared" si="2"/>
        <v/>
      </c>
      <c r="J11470" s="1" t="str">
        <f t="shared" si="3"/>
        <v/>
      </c>
      <c r="K11470" s="1" t="str">
        <f t="shared" si="4"/>
        <v/>
      </c>
    </row>
    <row r="11471" hidden="1">
      <c r="F11471" s="1" t="str">
        <f t="shared" si="1"/>
        <v/>
      </c>
      <c r="G11471" s="1" t="str">
        <f t="shared" si="2"/>
        <v/>
      </c>
      <c r="J11471" s="1" t="str">
        <f t="shared" si="3"/>
        <v/>
      </c>
      <c r="K11471" s="1" t="str">
        <f t="shared" si="4"/>
        <v/>
      </c>
    </row>
    <row r="11472" hidden="1">
      <c r="F11472" s="1" t="str">
        <f t="shared" si="1"/>
        <v/>
      </c>
      <c r="G11472" s="1" t="str">
        <f t="shared" si="2"/>
        <v/>
      </c>
      <c r="J11472" s="1" t="str">
        <f t="shared" si="3"/>
        <v/>
      </c>
      <c r="K11472" s="1" t="str">
        <f t="shared" si="4"/>
        <v/>
      </c>
    </row>
    <row r="11473" hidden="1">
      <c r="F11473" s="1" t="str">
        <f t="shared" si="1"/>
        <v/>
      </c>
      <c r="G11473" s="1" t="str">
        <f t="shared" si="2"/>
        <v/>
      </c>
      <c r="J11473" s="1" t="str">
        <f t="shared" si="3"/>
        <v/>
      </c>
      <c r="K11473" s="1" t="str">
        <f t="shared" si="4"/>
        <v/>
      </c>
    </row>
    <row r="11474" hidden="1">
      <c r="F11474" s="1" t="str">
        <f t="shared" si="1"/>
        <v/>
      </c>
      <c r="G11474" s="1" t="str">
        <f t="shared" si="2"/>
        <v/>
      </c>
      <c r="J11474" s="1" t="str">
        <f t="shared" si="3"/>
        <v/>
      </c>
      <c r="K11474" s="1" t="str">
        <f t="shared" si="4"/>
        <v/>
      </c>
    </row>
    <row r="11475" hidden="1">
      <c r="F11475" s="1" t="str">
        <f t="shared" si="1"/>
        <v/>
      </c>
      <c r="G11475" s="1" t="str">
        <f t="shared" si="2"/>
        <v/>
      </c>
      <c r="J11475" s="1" t="str">
        <f t="shared" si="3"/>
        <v/>
      </c>
      <c r="K11475" s="1" t="str">
        <f t="shared" si="4"/>
        <v/>
      </c>
    </row>
    <row r="11476" hidden="1">
      <c r="F11476" s="1" t="str">
        <f t="shared" si="1"/>
        <v/>
      </c>
      <c r="G11476" s="1" t="str">
        <f t="shared" si="2"/>
        <v/>
      </c>
      <c r="J11476" s="1" t="str">
        <f t="shared" si="3"/>
        <v/>
      </c>
      <c r="K11476" s="1" t="str">
        <f t="shared" si="4"/>
        <v/>
      </c>
    </row>
    <row r="11477" hidden="1">
      <c r="F11477" s="1" t="str">
        <f t="shared" si="1"/>
        <v/>
      </c>
      <c r="G11477" s="1" t="str">
        <f t="shared" si="2"/>
        <v/>
      </c>
      <c r="J11477" s="1" t="str">
        <f t="shared" si="3"/>
        <v/>
      </c>
      <c r="K11477" s="1" t="str">
        <f t="shared" si="4"/>
        <v/>
      </c>
    </row>
    <row r="11478" hidden="1">
      <c r="F11478" s="1" t="str">
        <f t="shared" si="1"/>
        <v/>
      </c>
      <c r="G11478" s="1" t="str">
        <f t="shared" si="2"/>
        <v/>
      </c>
      <c r="J11478" s="1" t="str">
        <f t="shared" si="3"/>
        <v/>
      </c>
      <c r="K11478" s="1" t="str">
        <f t="shared" si="4"/>
        <v/>
      </c>
    </row>
    <row r="11479" hidden="1">
      <c r="F11479" s="1" t="str">
        <f t="shared" si="1"/>
        <v/>
      </c>
      <c r="G11479" s="1" t="str">
        <f t="shared" si="2"/>
        <v/>
      </c>
      <c r="J11479" s="1" t="str">
        <f t="shared" si="3"/>
        <v/>
      </c>
      <c r="K11479" s="1" t="str">
        <f t="shared" si="4"/>
        <v/>
      </c>
    </row>
    <row r="11480" hidden="1">
      <c r="F11480" s="1" t="str">
        <f t="shared" si="1"/>
        <v/>
      </c>
      <c r="G11480" s="1" t="str">
        <f t="shared" si="2"/>
        <v/>
      </c>
      <c r="J11480" s="1" t="str">
        <f t="shared" si="3"/>
        <v/>
      </c>
      <c r="K11480" s="1" t="str">
        <f t="shared" si="4"/>
        <v/>
      </c>
    </row>
    <row r="11481" hidden="1">
      <c r="F11481" s="1" t="str">
        <f t="shared" si="1"/>
        <v/>
      </c>
      <c r="G11481" s="1" t="str">
        <f t="shared" si="2"/>
        <v/>
      </c>
      <c r="J11481" s="1" t="str">
        <f t="shared" si="3"/>
        <v/>
      </c>
      <c r="K11481" s="1" t="str">
        <f t="shared" si="4"/>
        <v/>
      </c>
    </row>
    <row r="11482" hidden="1">
      <c r="F11482" s="1" t="str">
        <f t="shared" si="1"/>
        <v/>
      </c>
      <c r="G11482" s="1" t="str">
        <f t="shared" si="2"/>
        <v/>
      </c>
      <c r="J11482" s="1" t="str">
        <f t="shared" si="3"/>
        <v/>
      </c>
      <c r="K11482" s="1" t="str">
        <f t="shared" si="4"/>
        <v/>
      </c>
    </row>
    <row r="11483" hidden="1">
      <c r="F11483" s="1" t="str">
        <f t="shared" si="1"/>
        <v/>
      </c>
      <c r="G11483" s="1" t="str">
        <f t="shared" si="2"/>
        <v/>
      </c>
      <c r="J11483" s="1" t="str">
        <f t="shared" si="3"/>
        <v/>
      </c>
      <c r="K11483" s="1" t="str">
        <f t="shared" si="4"/>
        <v/>
      </c>
    </row>
    <row r="11484" hidden="1">
      <c r="F11484" s="1" t="str">
        <f t="shared" si="1"/>
        <v/>
      </c>
      <c r="G11484" s="1" t="str">
        <f t="shared" si="2"/>
        <v/>
      </c>
      <c r="J11484" s="1" t="str">
        <f t="shared" si="3"/>
        <v/>
      </c>
      <c r="K11484" s="1" t="str">
        <f t="shared" si="4"/>
        <v/>
      </c>
    </row>
    <row r="11485" hidden="1">
      <c r="F11485" s="1" t="str">
        <f t="shared" si="1"/>
        <v/>
      </c>
      <c r="G11485" s="1" t="str">
        <f t="shared" si="2"/>
        <v/>
      </c>
      <c r="J11485" s="1" t="str">
        <f t="shared" si="3"/>
        <v/>
      </c>
      <c r="K11485" s="1" t="str">
        <f t="shared" si="4"/>
        <v/>
      </c>
    </row>
    <row r="11486" hidden="1">
      <c r="F11486" s="1" t="str">
        <f t="shared" si="1"/>
        <v/>
      </c>
      <c r="G11486" s="1" t="str">
        <f t="shared" si="2"/>
        <v/>
      </c>
      <c r="J11486" s="1" t="str">
        <f t="shared" si="3"/>
        <v/>
      </c>
      <c r="K11486" s="1" t="str">
        <f t="shared" si="4"/>
        <v/>
      </c>
    </row>
    <row r="11487" hidden="1">
      <c r="F11487" s="1" t="str">
        <f t="shared" si="1"/>
        <v/>
      </c>
      <c r="G11487" s="1" t="str">
        <f t="shared" si="2"/>
        <v/>
      </c>
      <c r="J11487" s="1" t="str">
        <f t="shared" si="3"/>
        <v/>
      </c>
      <c r="K11487" s="1" t="str">
        <f t="shared" si="4"/>
        <v/>
      </c>
    </row>
    <row r="11488" hidden="1">
      <c r="F11488" s="1" t="str">
        <f t="shared" si="1"/>
        <v/>
      </c>
      <c r="G11488" s="1" t="str">
        <f t="shared" si="2"/>
        <v/>
      </c>
      <c r="J11488" s="1" t="str">
        <f t="shared" si="3"/>
        <v/>
      </c>
      <c r="K11488" s="1" t="str">
        <f t="shared" si="4"/>
        <v/>
      </c>
    </row>
    <row r="11489" hidden="1">
      <c r="F11489" s="1" t="str">
        <f t="shared" si="1"/>
        <v/>
      </c>
      <c r="G11489" s="1" t="str">
        <f t="shared" si="2"/>
        <v/>
      </c>
      <c r="J11489" s="1" t="str">
        <f t="shared" si="3"/>
        <v/>
      </c>
      <c r="K11489" s="1" t="str">
        <f t="shared" si="4"/>
        <v/>
      </c>
    </row>
    <row r="11490" hidden="1">
      <c r="F11490" s="1" t="str">
        <f t="shared" si="1"/>
        <v/>
      </c>
      <c r="G11490" s="1" t="str">
        <f t="shared" si="2"/>
        <v/>
      </c>
      <c r="J11490" s="1" t="str">
        <f t="shared" si="3"/>
        <v/>
      </c>
      <c r="K11490" s="1" t="str">
        <f t="shared" si="4"/>
        <v/>
      </c>
    </row>
    <row r="11491" hidden="1">
      <c r="F11491" s="1" t="str">
        <f t="shared" si="1"/>
        <v/>
      </c>
      <c r="G11491" s="1" t="str">
        <f t="shared" si="2"/>
        <v/>
      </c>
      <c r="J11491" s="1" t="str">
        <f t="shared" si="3"/>
        <v/>
      </c>
      <c r="K11491" s="1" t="str">
        <f t="shared" si="4"/>
        <v/>
      </c>
    </row>
    <row r="11492" hidden="1">
      <c r="F11492" s="1" t="str">
        <f t="shared" si="1"/>
        <v/>
      </c>
      <c r="G11492" s="1" t="str">
        <f t="shared" si="2"/>
        <v/>
      </c>
      <c r="J11492" s="1" t="str">
        <f t="shared" si="3"/>
        <v/>
      </c>
      <c r="K11492" s="1" t="str">
        <f t="shared" si="4"/>
        <v/>
      </c>
    </row>
    <row r="11493" hidden="1">
      <c r="F11493" s="1" t="str">
        <f t="shared" si="1"/>
        <v/>
      </c>
      <c r="G11493" s="1" t="str">
        <f t="shared" si="2"/>
        <v/>
      </c>
      <c r="J11493" s="1" t="str">
        <f t="shared" si="3"/>
        <v/>
      </c>
      <c r="K11493" s="1" t="str">
        <f t="shared" si="4"/>
        <v/>
      </c>
    </row>
    <row r="11494" hidden="1">
      <c r="F11494" s="1" t="str">
        <f t="shared" si="1"/>
        <v/>
      </c>
      <c r="G11494" s="1" t="str">
        <f t="shared" si="2"/>
        <v/>
      </c>
      <c r="J11494" s="1" t="str">
        <f t="shared" si="3"/>
        <v/>
      </c>
      <c r="K11494" s="1" t="str">
        <f t="shared" si="4"/>
        <v/>
      </c>
    </row>
    <row r="11495" hidden="1">
      <c r="F11495" s="1" t="str">
        <f t="shared" si="1"/>
        <v/>
      </c>
      <c r="G11495" s="1" t="str">
        <f t="shared" si="2"/>
        <v/>
      </c>
      <c r="J11495" s="1" t="str">
        <f t="shared" si="3"/>
        <v/>
      </c>
      <c r="K11495" s="1" t="str">
        <f t="shared" si="4"/>
        <v/>
      </c>
    </row>
    <row r="11496" hidden="1">
      <c r="F11496" s="1" t="str">
        <f t="shared" si="1"/>
        <v/>
      </c>
      <c r="G11496" s="1" t="str">
        <f t="shared" si="2"/>
        <v/>
      </c>
      <c r="J11496" s="1" t="str">
        <f t="shared" si="3"/>
        <v/>
      </c>
      <c r="K11496" s="1" t="str">
        <f t="shared" si="4"/>
        <v/>
      </c>
    </row>
    <row r="11497" hidden="1">
      <c r="F11497" s="1" t="str">
        <f t="shared" si="1"/>
        <v/>
      </c>
      <c r="G11497" s="1" t="str">
        <f t="shared" si="2"/>
        <v/>
      </c>
      <c r="J11497" s="1" t="str">
        <f t="shared" si="3"/>
        <v/>
      </c>
      <c r="K11497" s="1" t="str">
        <f t="shared" si="4"/>
        <v/>
      </c>
    </row>
    <row r="11498" hidden="1">
      <c r="F11498" s="1" t="str">
        <f t="shared" si="1"/>
        <v/>
      </c>
      <c r="G11498" s="1" t="str">
        <f t="shared" si="2"/>
        <v/>
      </c>
      <c r="J11498" s="1" t="str">
        <f t="shared" si="3"/>
        <v/>
      </c>
      <c r="K11498" s="1" t="str">
        <f t="shared" si="4"/>
        <v/>
      </c>
    </row>
    <row r="11499" hidden="1">
      <c r="F11499" s="1" t="str">
        <f t="shared" si="1"/>
        <v/>
      </c>
      <c r="G11499" s="1" t="str">
        <f t="shared" si="2"/>
        <v/>
      </c>
      <c r="J11499" s="1" t="str">
        <f t="shared" si="3"/>
        <v/>
      </c>
      <c r="K11499" s="1" t="str">
        <f t="shared" si="4"/>
        <v/>
      </c>
    </row>
    <row r="11500" hidden="1">
      <c r="F11500" s="1" t="str">
        <f t="shared" si="1"/>
        <v/>
      </c>
      <c r="G11500" s="1" t="str">
        <f t="shared" si="2"/>
        <v/>
      </c>
      <c r="J11500" s="1" t="str">
        <f t="shared" si="3"/>
        <v/>
      </c>
      <c r="K11500" s="1" t="str">
        <f t="shared" si="4"/>
        <v/>
      </c>
    </row>
    <row r="11501" hidden="1">
      <c r="F11501" s="1" t="str">
        <f t="shared" si="1"/>
        <v/>
      </c>
      <c r="G11501" s="1" t="str">
        <f t="shared" si="2"/>
        <v/>
      </c>
      <c r="J11501" s="1" t="str">
        <f t="shared" si="3"/>
        <v/>
      </c>
      <c r="K11501" s="1" t="str">
        <f t="shared" si="4"/>
        <v/>
      </c>
    </row>
    <row r="11502" hidden="1">
      <c r="F11502" s="1" t="str">
        <f t="shared" si="1"/>
        <v/>
      </c>
      <c r="G11502" s="1" t="str">
        <f t="shared" si="2"/>
        <v/>
      </c>
      <c r="J11502" s="1" t="str">
        <f t="shared" si="3"/>
        <v/>
      </c>
      <c r="K11502" s="1" t="str">
        <f t="shared" si="4"/>
        <v/>
      </c>
    </row>
    <row r="11503" hidden="1">
      <c r="F11503" s="1" t="str">
        <f t="shared" si="1"/>
        <v/>
      </c>
      <c r="G11503" s="1" t="str">
        <f t="shared" si="2"/>
        <v/>
      </c>
      <c r="J11503" s="1" t="str">
        <f t="shared" si="3"/>
        <v/>
      </c>
      <c r="K11503" s="1" t="str">
        <f t="shared" si="4"/>
        <v/>
      </c>
    </row>
    <row r="11504" hidden="1">
      <c r="F11504" s="1" t="str">
        <f t="shared" si="1"/>
        <v/>
      </c>
      <c r="G11504" s="1" t="str">
        <f t="shared" si="2"/>
        <v/>
      </c>
      <c r="J11504" s="1" t="str">
        <f t="shared" si="3"/>
        <v/>
      </c>
      <c r="K11504" s="1" t="str">
        <f t="shared" si="4"/>
        <v/>
      </c>
    </row>
    <row r="11505" hidden="1">
      <c r="F11505" s="1" t="str">
        <f t="shared" si="1"/>
        <v/>
      </c>
      <c r="G11505" s="1" t="str">
        <f t="shared" si="2"/>
        <v/>
      </c>
      <c r="J11505" s="1" t="str">
        <f t="shared" si="3"/>
        <v/>
      </c>
      <c r="K11505" s="1" t="str">
        <f t="shared" si="4"/>
        <v/>
      </c>
    </row>
    <row r="11506" hidden="1">
      <c r="F11506" s="1" t="str">
        <f t="shared" si="1"/>
        <v/>
      </c>
      <c r="G11506" s="1" t="str">
        <f t="shared" si="2"/>
        <v/>
      </c>
      <c r="J11506" s="1" t="str">
        <f t="shared" si="3"/>
        <v/>
      </c>
      <c r="K11506" s="1" t="str">
        <f t="shared" si="4"/>
        <v/>
      </c>
    </row>
    <row r="11507" hidden="1">
      <c r="F11507" s="1" t="str">
        <f t="shared" si="1"/>
        <v/>
      </c>
      <c r="G11507" s="1" t="str">
        <f t="shared" si="2"/>
        <v/>
      </c>
      <c r="J11507" s="1" t="str">
        <f t="shared" si="3"/>
        <v/>
      </c>
      <c r="K11507" s="1" t="str">
        <f t="shared" si="4"/>
        <v/>
      </c>
    </row>
    <row r="11508" hidden="1">
      <c r="F11508" s="1" t="str">
        <f t="shared" si="1"/>
        <v/>
      </c>
      <c r="G11508" s="1" t="str">
        <f t="shared" si="2"/>
        <v/>
      </c>
      <c r="J11508" s="1" t="str">
        <f t="shared" si="3"/>
        <v/>
      </c>
      <c r="K11508" s="1" t="str">
        <f t="shared" si="4"/>
        <v/>
      </c>
    </row>
    <row r="11509" hidden="1">
      <c r="F11509" s="1" t="str">
        <f t="shared" si="1"/>
        <v/>
      </c>
      <c r="G11509" s="1" t="str">
        <f t="shared" si="2"/>
        <v/>
      </c>
      <c r="J11509" s="1" t="str">
        <f t="shared" si="3"/>
        <v/>
      </c>
      <c r="K11509" s="1" t="str">
        <f t="shared" si="4"/>
        <v/>
      </c>
    </row>
    <row r="11510" hidden="1">
      <c r="F11510" s="1" t="str">
        <f t="shared" si="1"/>
        <v/>
      </c>
      <c r="G11510" s="1" t="str">
        <f t="shared" si="2"/>
        <v/>
      </c>
      <c r="J11510" s="1" t="str">
        <f t="shared" si="3"/>
        <v/>
      </c>
      <c r="K11510" s="1" t="str">
        <f t="shared" si="4"/>
        <v/>
      </c>
    </row>
    <row r="11511" hidden="1">
      <c r="F11511" s="1" t="str">
        <f t="shared" si="1"/>
        <v/>
      </c>
      <c r="G11511" s="1" t="str">
        <f t="shared" si="2"/>
        <v/>
      </c>
      <c r="J11511" s="1" t="str">
        <f t="shared" si="3"/>
        <v/>
      </c>
      <c r="K11511" s="1" t="str">
        <f t="shared" si="4"/>
        <v/>
      </c>
    </row>
    <row r="11512" hidden="1">
      <c r="F11512" s="1" t="str">
        <f t="shared" si="1"/>
        <v/>
      </c>
      <c r="G11512" s="1" t="str">
        <f t="shared" si="2"/>
        <v/>
      </c>
      <c r="J11512" s="1" t="str">
        <f t="shared" si="3"/>
        <v/>
      </c>
      <c r="K11512" s="1" t="str">
        <f t="shared" si="4"/>
        <v/>
      </c>
    </row>
    <row r="11513" hidden="1">
      <c r="F11513" s="1" t="str">
        <f t="shared" si="1"/>
        <v/>
      </c>
      <c r="G11513" s="1" t="str">
        <f t="shared" si="2"/>
        <v/>
      </c>
      <c r="J11513" s="1" t="str">
        <f t="shared" si="3"/>
        <v/>
      </c>
      <c r="K11513" s="1" t="str">
        <f t="shared" si="4"/>
        <v/>
      </c>
    </row>
    <row r="11514" hidden="1">
      <c r="F11514" s="1" t="str">
        <f t="shared" si="1"/>
        <v/>
      </c>
      <c r="G11514" s="1" t="str">
        <f t="shared" si="2"/>
        <v/>
      </c>
      <c r="J11514" s="1" t="str">
        <f t="shared" si="3"/>
        <v/>
      </c>
      <c r="K11514" s="1" t="str">
        <f t="shared" si="4"/>
        <v/>
      </c>
    </row>
    <row r="11515" hidden="1">
      <c r="F11515" s="1" t="str">
        <f t="shared" si="1"/>
        <v/>
      </c>
      <c r="G11515" s="1" t="str">
        <f t="shared" si="2"/>
        <v/>
      </c>
      <c r="J11515" s="1" t="str">
        <f t="shared" si="3"/>
        <v/>
      </c>
      <c r="K11515" s="1" t="str">
        <f t="shared" si="4"/>
        <v/>
      </c>
    </row>
    <row r="11516" hidden="1">
      <c r="F11516" s="1" t="str">
        <f t="shared" si="1"/>
        <v/>
      </c>
      <c r="G11516" s="1" t="str">
        <f t="shared" si="2"/>
        <v/>
      </c>
      <c r="J11516" s="1" t="str">
        <f t="shared" si="3"/>
        <v/>
      </c>
      <c r="K11516" s="1" t="str">
        <f t="shared" si="4"/>
        <v/>
      </c>
    </row>
    <row r="11517" hidden="1">
      <c r="F11517" s="1" t="str">
        <f t="shared" si="1"/>
        <v/>
      </c>
      <c r="G11517" s="1" t="str">
        <f t="shared" si="2"/>
        <v/>
      </c>
      <c r="J11517" s="1" t="str">
        <f t="shared" si="3"/>
        <v/>
      </c>
      <c r="K11517" s="1" t="str">
        <f t="shared" si="4"/>
        <v/>
      </c>
    </row>
    <row r="11518" hidden="1">
      <c r="F11518" s="1" t="str">
        <f t="shared" si="1"/>
        <v/>
      </c>
      <c r="G11518" s="1" t="str">
        <f t="shared" si="2"/>
        <v/>
      </c>
      <c r="J11518" s="1" t="str">
        <f t="shared" si="3"/>
        <v/>
      </c>
      <c r="K11518" s="1" t="str">
        <f t="shared" si="4"/>
        <v/>
      </c>
    </row>
    <row r="11519" hidden="1">
      <c r="F11519" s="1" t="str">
        <f t="shared" si="1"/>
        <v/>
      </c>
      <c r="G11519" s="1" t="str">
        <f t="shared" si="2"/>
        <v/>
      </c>
      <c r="J11519" s="1" t="str">
        <f t="shared" si="3"/>
        <v/>
      </c>
      <c r="K11519" s="1" t="str">
        <f t="shared" si="4"/>
        <v/>
      </c>
    </row>
    <row r="11520" hidden="1">
      <c r="F11520" s="1" t="str">
        <f t="shared" si="1"/>
        <v/>
      </c>
      <c r="G11520" s="1" t="str">
        <f t="shared" si="2"/>
        <v/>
      </c>
      <c r="J11520" s="1" t="str">
        <f t="shared" si="3"/>
        <v/>
      </c>
      <c r="K11520" s="1" t="str">
        <f t="shared" si="4"/>
        <v/>
      </c>
    </row>
    <row r="11521" hidden="1">
      <c r="F11521" s="1" t="str">
        <f t="shared" si="1"/>
        <v/>
      </c>
      <c r="G11521" s="1" t="str">
        <f t="shared" si="2"/>
        <v/>
      </c>
      <c r="J11521" s="1" t="str">
        <f t="shared" si="3"/>
        <v/>
      </c>
      <c r="K11521" s="1" t="str">
        <f t="shared" si="4"/>
        <v/>
      </c>
    </row>
    <row r="11522" hidden="1">
      <c r="F11522" s="1" t="str">
        <f t="shared" si="1"/>
        <v/>
      </c>
      <c r="G11522" s="1" t="str">
        <f t="shared" si="2"/>
        <v/>
      </c>
      <c r="J11522" s="1" t="str">
        <f t="shared" si="3"/>
        <v/>
      </c>
      <c r="K11522" s="1" t="str">
        <f t="shared" si="4"/>
        <v/>
      </c>
    </row>
    <row r="11523" hidden="1">
      <c r="F11523" s="1" t="str">
        <f t="shared" si="1"/>
        <v/>
      </c>
      <c r="G11523" s="1" t="str">
        <f t="shared" si="2"/>
        <v/>
      </c>
      <c r="J11523" s="1" t="str">
        <f t="shared" si="3"/>
        <v/>
      </c>
      <c r="K11523" s="1" t="str">
        <f t="shared" si="4"/>
        <v/>
      </c>
    </row>
    <row r="11524" hidden="1">
      <c r="F11524" s="1" t="str">
        <f t="shared" si="1"/>
        <v/>
      </c>
      <c r="G11524" s="1" t="str">
        <f t="shared" si="2"/>
        <v/>
      </c>
      <c r="J11524" s="1" t="str">
        <f t="shared" si="3"/>
        <v/>
      </c>
      <c r="K11524" s="1" t="str">
        <f t="shared" si="4"/>
        <v/>
      </c>
    </row>
    <row r="11525" hidden="1">
      <c r="F11525" s="1" t="str">
        <f t="shared" si="1"/>
        <v/>
      </c>
      <c r="G11525" s="1" t="str">
        <f t="shared" si="2"/>
        <v/>
      </c>
      <c r="J11525" s="1" t="str">
        <f t="shared" si="3"/>
        <v/>
      </c>
      <c r="K11525" s="1" t="str">
        <f t="shared" si="4"/>
        <v/>
      </c>
    </row>
    <row r="11526" hidden="1">
      <c r="F11526" s="1" t="str">
        <f t="shared" si="1"/>
        <v/>
      </c>
      <c r="G11526" s="1" t="str">
        <f t="shared" si="2"/>
        <v/>
      </c>
      <c r="J11526" s="1" t="str">
        <f t="shared" si="3"/>
        <v/>
      </c>
      <c r="K11526" s="1" t="str">
        <f t="shared" si="4"/>
        <v/>
      </c>
    </row>
    <row r="11527" hidden="1">
      <c r="F11527" s="1" t="str">
        <f t="shared" si="1"/>
        <v/>
      </c>
      <c r="G11527" s="1" t="str">
        <f t="shared" si="2"/>
        <v/>
      </c>
      <c r="J11527" s="1" t="str">
        <f t="shared" si="3"/>
        <v/>
      </c>
      <c r="K11527" s="1" t="str">
        <f t="shared" si="4"/>
        <v/>
      </c>
    </row>
    <row r="11528" hidden="1">
      <c r="F11528" s="1" t="str">
        <f t="shared" si="1"/>
        <v/>
      </c>
      <c r="G11528" s="1" t="str">
        <f t="shared" si="2"/>
        <v/>
      </c>
      <c r="J11528" s="1" t="str">
        <f t="shared" si="3"/>
        <v/>
      </c>
      <c r="K11528" s="1" t="str">
        <f t="shared" si="4"/>
        <v/>
      </c>
    </row>
    <row r="11529" hidden="1">
      <c r="F11529" s="1" t="str">
        <f t="shared" si="1"/>
        <v/>
      </c>
      <c r="G11529" s="1" t="str">
        <f t="shared" si="2"/>
        <v/>
      </c>
      <c r="J11529" s="1" t="str">
        <f t="shared" si="3"/>
        <v/>
      </c>
      <c r="K11529" s="1" t="str">
        <f t="shared" si="4"/>
        <v/>
      </c>
    </row>
    <row r="11530" hidden="1">
      <c r="F11530" s="1" t="str">
        <f t="shared" si="1"/>
        <v/>
      </c>
      <c r="G11530" s="1" t="str">
        <f t="shared" si="2"/>
        <v/>
      </c>
      <c r="J11530" s="1" t="str">
        <f t="shared" si="3"/>
        <v/>
      </c>
      <c r="K11530" s="1" t="str">
        <f t="shared" si="4"/>
        <v/>
      </c>
    </row>
    <row r="11531" hidden="1">
      <c r="F11531" s="1" t="str">
        <f t="shared" si="1"/>
        <v/>
      </c>
      <c r="G11531" s="1" t="str">
        <f t="shared" si="2"/>
        <v/>
      </c>
      <c r="J11531" s="1" t="str">
        <f t="shared" si="3"/>
        <v/>
      </c>
      <c r="K11531" s="1" t="str">
        <f t="shared" si="4"/>
        <v/>
      </c>
    </row>
    <row r="11532" hidden="1">
      <c r="F11532" s="1" t="str">
        <f t="shared" si="1"/>
        <v/>
      </c>
      <c r="G11532" s="1" t="str">
        <f t="shared" si="2"/>
        <v/>
      </c>
      <c r="J11532" s="1" t="str">
        <f t="shared" si="3"/>
        <v/>
      </c>
      <c r="K11532" s="1" t="str">
        <f t="shared" si="4"/>
        <v/>
      </c>
    </row>
    <row r="11533" hidden="1">
      <c r="F11533" s="1" t="str">
        <f t="shared" si="1"/>
        <v/>
      </c>
      <c r="G11533" s="1" t="str">
        <f t="shared" si="2"/>
        <v/>
      </c>
      <c r="J11533" s="1" t="str">
        <f t="shared" si="3"/>
        <v/>
      </c>
      <c r="K11533" s="1" t="str">
        <f t="shared" si="4"/>
        <v/>
      </c>
    </row>
    <row r="11534" hidden="1">
      <c r="F11534" s="1" t="str">
        <f t="shared" si="1"/>
        <v/>
      </c>
      <c r="G11534" s="1" t="str">
        <f t="shared" si="2"/>
        <v/>
      </c>
      <c r="J11534" s="1" t="str">
        <f t="shared" si="3"/>
        <v/>
      </c>
      <c r="K11534" s="1" t="str">
        <f t="shared" si="4"/>
        <v/>
      </c>
    </row>
    <row r="11535" hidden="1">
      <c r="F11535" s="1" t="str">
        <f t="shared" si="1"/>
        <v/>
      </c>
      <c r="G11535" s="1" t="str">
        <f t="shared" si="2"/>
        <v/>
      </c>
      <c r="J11535" s="1" t="str">
        <f t="shared" si="3"/>
        <v/>
      </c>
      <c r="K11535" s="1" t="str">
        <f t="shared" si="4"/>
        <v/>
      </c>
    </row>
    <row r="11536" hidden="1">
      <c r="F11536" s="1" t="str">
        <f t="shared" si="1"/>
        <v/>
      </c>
      <c r="G11536" s="1" t="str">
        <f t="shared" si="2"/>
        <v/>
      </c>
      <c r="J11536" s="1" t="str">
        <f t="shared" si="3"/>
        <v/>
      </c>
      <c r="K11536" s="1" t="str">
        <f t="shared" si="4"/>
        <v/>
      </c>
    </row>
    <row r="11537" hidden="1">
      <c r="F11537" s="1" t="str">
        <f t="shared" si="1"/>
        <v/>
      </c>
      <c r="G11537" s="1" t="str">
        <f t="shared" si="2"/>
        <v/>
      </c>
      <c r="J11537" s="1" t="str">
        <f t="shared" si="3"/>
        <v/>
      </c>
      <c r="K11537" s="1" t="str">
        <f t="shared" si="4"/>
        <v/>
      </c>
    </row>
    <row r="11538" hidden="1">
      <c r="F11538" s="1" t="str">
        <f t="shared" si="1"/>
        <v/>
      </c>
      <c r="G11538" s="1" t="str">
        <f t="shared" si="2"/>
        <v/>
      </c>
      <c r="J11538" s="1" t="str">
        <f t="shared" si="3"/>
        <v/>
      </c>
      <c r="K11538" s="1" t="str">
        <f t="shared" si="4"/>
        <v/>
      </c>
    </row>
    <row r="11539" hidden="1">
      <c r="F11539" s="1" t="str">
        <f t="shared" si="1"/>
        <v/>
      </c>
      <c r="G11539" s="1" t="str">
        <f t="shared" si="2"/>
        <v/>
      </c>
      <c r="J11539" s="1" t="str">
        <f t="shared" si="3"/>
        <v/>
      </c>
      <c r="K11539" s="1" t="str">
        <f t="shared" si="4"/>
        <v/>
      </c>
    </row>
    <row r="11540" hidden="1">
      <c r="F11540" s="1" t="str">
        <f t="shared" si="1"/>
        <v/>
      </c>
      <c r="G11540" s="1" t="str">
        <f t="shared" si="2"/>
        <v/>
      </c>
      <c r="J11540" s="1" t="str">
        <f t="shared" si="3"/>
        <v/>
      </c>
      <c r="K11540" s="1" t="str">
        <f t="shared" si="4"/>
        <v/>
      </c>
    </row>
    <row r="11541" hidden="1">
      <c r="F11541" s="1" t="str">
        <f t="shared" si="1"/>
        <v/>
      </c>
      <c r="G11541" s="1" t="str">
        <f t="shared" si="2"/>
        <v/>
      </c>
      <c r="J11541" s="1" t="str">
        <f t="shared" si="3"/>
        <v/>
      </c>
      <c r="K11541" s="1" t="str">
        <f t="shared" si="4"/>
        <v/>
      </c>
    </row>
    <row r="11542" hidden="1">
      <c r="F11542" s="1" t="str">
        <f t="shared" si="1"/>
        <v/>
      </c>
      <c r="G11542" s="1" t="str">
        <f t="shared" si="2"/>
        <v/>
      </c>
      <c r="J11542" s="1" t="str">
        <f t="shared" si="3"/>
        <v/>
      </c>
      <c r="K11542" s="1" t="str">
        <f t="shared" si="4"/>
        <v/>
      </c>
    </row>
    <row r="11543" hidden="1">
      <c r="F11543" s="1" t="str">
        <f t="shared" si="1"/>
        <v/>
      </c>
      <c r="G11543" s="1" t="str">
        <f t="shared" si="2"/>
        <v/>
      </c>
      <c r="J11543" s="1" t="str">
        <f t="shared" si="3"/>
        <v/>
      </c>
      <c r="K11543" s="1" t="str">
        <f t="shared" si="4"/>
        <v/>
      </c>
    </row>
    <row r="11544" hidden="1">
      <c r="F11544" s="1" t="str">
        <f t="shared" si="1"/>
        <v/>
      </c>
      <c r="G11544" s="1" t="str">
        <f t="shared" si="2"/>
        <v/>
      </c>
      <c r="J11544" s="1" t="str">
        <f t="shared" si="3"/>
        <v/>
      </c>
      <c r="K11544" s="1" t="str">
        <f t="shared" si="4"/>
        <v/>
      </c>
    </row>
    <row r="11545" hidden="1">
      <c r="F11545" s="1" t="str">
        <f t="shared" si="1"/>
        <v/>
      </c>
      <c r="G11545" s="1" t="str">
        <f t="shared" si="2"/>
        <v/>
      </c>
      <c r="J11545" s="1" t="str">
        <f t="shared" si="3"/>
        <v/>
      </c>
      <c r="K11545" s="1" t="str">
        <f t="shared" si="4"/>
        <v/>
      </c>
    </row>
    <row r="11546" hidden="1">
      <c r="F11546" s="1" t="str">
        <f t="shared" si="1"/>
        <v/>
      </c>
      <c r="G11546" s="1" t="str">
        <f t="shared" si="2"/>
        <v/>
      </c>
      <c r="J11546" s="1" t="str">
        <f t="shared" si="3"/>
        <v/>
      </c>
      <c r="K11546" s="1" t="str">
        <f t="shared" si="4"/>
        <v/>
      </c>
    </row>
    <row r="11547" hidden="1">
      <c r="F11547" s="1" t="str">
        <f t="shared" si="1"/>
        <v/>
      </c>
      <c r="G11547" s="1" t="str">
        <f t="shared" si="2"/>
        <v/>
      </c>
      <c r="J11547" s="1" t="str">
        <f t="shared" si="3"/>
        <v/>
      </c>
      <c r="K11547" s="1" t="str">
        <f t="shared" si="4"/>
        <v/>
      </c>
    </row>
    <row r="11548" hidden="1">
      <c r="F11548" s="1" t="str">
        <f t="shared" si="1"/>
        <v/>
      </c>
      <c r="G11548" s="1" t="str">
        <f t="shared" si="2"/>
        <v/>
      </c>
      <c r="J11548" s="1" t="str">
        <f t="shared" si="3"/>
        <v/>
      </c>
      <c r="K11548" s="1" t="str">
        <f t="shared" si="4"/>
        <v/>
      </c>
    </row>
    <row r="11549" hidden="1">
      <c r="F11549" s="1" t="str">
        <f t="shared" si="1"/>
        <v/>
      </c>
      <c r="G11549" s="1" t="str">
        <f t="shared" si="2"/>
        <v/>
      </c>
      <c r="J11549" s="1" t="str">
        <f t="shared" si="3"/>
        <v/>
      </c>
      <c r="K11549" s="1" t="str">
        <f t="shared" si="4"/>
        <v/>
      </c>
    </row>
    <row r="11550" hidden="1">
      <c r="F11550" s="1" t="str">
        <f t="shared" si="1"/>
        <v/>
      </c>
      <c r="G11550" s="1" t="str">
        <f t="shared" si="2"/>
        <v/>
      </c>
      <c r="J11550" s="1" t="str">
        <f t="shared" si="3"/>
        <v/>
      </c>
      <c r="K11550" s="1" t="str">
        <f t="shared" si="4"/>
        <v/>
      </c>
    </row>
    <row r="11551" hidden="1">
      <c r="F11551" s="1" t="str">
        <f t="shared" si="1"/>
        <v/>
      </c>
      <c r="G11551" s="1" t="str">
        <f t="shared" si="2"/>
        <v/>
      </c>
      <c r="J11551" s="1" t="str">
        <f t="shared" si="3"/>
        <v/>
      </c>
      <c r="K11551" s="1" t="str">
        <f t="shared" si="4"/>
        <v/>
      </c>
    </row>
    <row r="11552" hidden="1">
      <c r="F11552" s="1" t="str">
        <f t="shared" si="1"/>
        <v/>
      </c>
      <c r="G11552" s="1" t="str">
        <f t="shared" si="2"/>
        <v/>
      </c>
      <c r="J11552" s="1" t="str">
        <f t="shared" si="3"/>
        <v/>
      </c>
      <c r="K11552" s="1" t="str">
        <f t="shared" si="4"/>
        <v/>
      </c>
    </row>
    <row r="11553" hidden="1">
      <c r="F11553" s="1" t="str">
        <f t="shared" si="1"/>
        <v/>
      </c>
      <c r="G11553" s="1" t="str">
        <f t="shared" si="2"/>
        <v/>
      </c>
      <c r="J11553" s="1" t="str">
        <f t="shared" si="3"/>
        <v/>
      </c>
      <c r="K11553" s="1" t="str">
        <f t="shared" si="4"/>
        <v/>
      </c>
    </row>
    <row r="11554" hidden="1">
      <c r="F11554" s="1" t="str">
        <f t="shared" si="1"/>
        <v/>
      </c>
      <c r="G11554" s="1" t="str">
        <f t="shared" si="2"/>
        <v/>
      </c>
      <c r="J11554" s="1" t="str">
        <f t="shared" si="3"/>
        <v/>
      </c>
      <c r="K11554" s="1" t="str">
        <f t="shared" si="4"/>
        <v/>
      </c>
    </row>
    <row r="11555" hidden="1">
      <c r="F11555" s="1" t="str">
        <f t="shared" si="1"/>
        <v/>
      </c>
      <c r="G11555" s="1" t="str">
        <f t="shared" si="2"/>
        <v/>
      </c>
      <c r="J11555" s="1" t="str">
        <f t="shared" si="3"/>
        <v/>
      </c>
      <c r="K11555" s="1" t="str">
        <f t="shared" si="4"/>
        <v/>
      </c>
    </row>
    <row r="11556" hidden="1">
      <c r="F11556" s="1" t="str">
        <f t="shared" si="1"/>
        <v/>
      </c>
      <c r="G11556" s="1" t="str">
        <f t="shared" si="2"/>
        <v/>
      </c>
      <c r="J11556" s="1" t="str">
        <f t="shared" si="3"/>
        <v/>
      </c>
      <c r="K11556" s="1" t="str">
        <f t="shared" si="4"/>
        <v/>
      </c>
    </row>
    <row r="11557" hidden="1">
      <c r="F11557" s="1" t="str">
        <f t="shared" si="1"/>
        <v/>
      </c>
      <c r="G11557" s="1" t="str">
        <f t="shared" si="2"/>
        <v/>
      </c>
      <c r="J11557" s="1" t="str">
        <f t="shared" si="3"/>
        <v/>
      </c>
      <c r="K11557" s="1" t="str">
        <f t="shared" si="4"/>
        <v/>
      </c>
    </row>
    <row r="11558" hidden="1">
      <c r="F11558" s="1" t="str">
        <f t="shared" si="1"/>
        <v/>
      </c>
      <c r="G11558" s="1" t="str">
        <f t="shared" si="2"/>
        <v/>
      </c>
      <c r="J11558" s="1" t="str">
        <f t="shared" si="3"/>
        <v/>
      </c>
      <c r="K11558" s="1" t="str">
        <f t="shared" si="4"/>
        <v/>
      </c>
    </row>
    <row r="11559" hidden="1">
      <c r="F11559" s="1" t="str">
        <f t="shared" si="1"/>
        <v/>
      </c>
      <c r="G11559" s="1" t="str">
        <f t="shared" si="2"/>
        <v/>
      </c>
      <c r="J11559" s="1" t="str">
        <f t="shared" si="3"/>
        <v/>
      </c>
      <c r="K11559" s="1" t="str">
        <f t="shared" si="4"/>
        <v/>
      </c>
    </row>
    <row r="11560" hidden="1">
      <c r="F11560" s="1" t="str">
        <f t="shared" si="1"/>
        <v/>
      </c>
      <c r="G11560" s="1" t="str">
        <f t="shared" si="2"/>
        <v/>
      </c>
      <c r="J11560" s="1" t="str">
        <f t="shared" si="3"/>
        <v/>
      </c>
      <c r="K11560" s="1" t="str">
        <f t="shared" si="4"/>
        <v/>
      </c>
    </row>
    <row r="11561" hidden="1">
      <c r="F11561" s="1" t="str">
        <f t="shared" si="1"/>
        <v/>
      </c>
      <c r="G11561" s="1" t="str">
        <f t="shared" si="2"/>
        <v/>
      </c>
      <c r="J11561" s="1" t="str">
        <f t="shared" si="3"/>
        <v/>
      </c>
      <c r="K11561" s="1" t="str">
        <f t="shared" si="4"/>
        <v/>
      </c>
    </row>
    <row r="11562" hidden="1">
      <c r="F11562" s="1" t="str">
        <f t="shared" si="1"/>
        <v/>
      </c>
      <c r="G11562" s="1" t="str">
        <f t="shared" si="2"/>
        <v/>
      </c>
      <c r="J11562" s="1" t="str">
        <f t="shared" si="3"/>
        <v/>
      </c>
      <c r="K11562" s="1" t="str">
        <f t="shared" si="4"/>
        <v/>
      </c>
    </row>
    <row r="11563" hidden="1">
      <c r="F11563" s="1" t="str">
        <f t="shared" si="1"/>
        <v/>
      </c>
      <c r="G11563" s="1" t="str">
        <f t="shared" si="2"/>
        <v/>
      </c>
      <c r="J11563" s="1" t="str">
        <f t="shared" si="3"/>
        <v/>
      </c>
      <c r="K11563" s="1" t="str">
        <f t="shared" si="4"/>
        <v/>
      </c>
    </row>
    <row r="11564" hidden="1">
      <c r="F11564" s="1" t="str">
        <f t="shared" si="1"/>
        <v/>
      </c>
      <c r="G11564" s="1" t="str">
        <f t="shared" si="2"/>
        <v/>
      </c>
      <c r="J11564" s="1" t="str">
        <f t="shared" si="3"/>
        <v/>
      </c>
      <c r="K11564" s="1" t="str">
        <f t="shared" si="4"/>
        <v/>
      </c>
    </row>
    <row r="11565" hidden="1">
      <c r="F11565" s="1" t="str">
        <f t="shared" si="1"/>
        <v/>
      </c>
      <c r="G11565" s="1" t="str">
        <f t="shared" si="2"/>
        <v/>
      </c>
      <c r="J11565" s="1" t="str">
        <f t="shared" si="3"/>
        <v/>
      </c>
      <c r="K11565" s="1" t="str">
        <f t="shared" si="4"/>
        <v/>
      </c>
    </row>
    <row r="11566" hidden="1">
      <c r="F11566" s="1" t="str">
        <f t="shared" si="1"/>
        <v/>
      </c>
      <c r="G11566" s="1" t="str">
        <f t="shared" si="2"/>
        <v/>
      </c>
      <c r="J11566" s="1" t="str">
        <f t="shared" si="3"/>
        <v/>
      </c>
      <c r="K11566" s="1" t="str">
        <f t="shared" si="4"/>
        <v/>
      </c>
    </row>
    <row r="11567" hidden="1">
      <c r="F11567" s="1" t="str">
        <f t="shared" si="1"/>
        <v/>
      </c>
      <c r="G11567" s="1" t="str">
        <f t="shared" si="2"/>
        <v/>
      </c>
      <c r="J11567" s="1" t="str">
        <f t="shared" si="3"/>
        <v/>
      </c>
      <c r="K11567" s="1" t="str">
        <f t="shared" si="4"/>
        <v/>
      </c>
    </row>
    <row r="11568" hidden="1">
      <c r="F11568" s="1" t="str">
        <f t="shared" si="1"/>
        <v/>
      </c>
      <c r="G11568" s="1" t="str">
        <f t="shared" si="2"/>
        <v/>
      </c>
      <c r="J11568" s="1" t="str">
        <f t="shared" si="3"/>
        <v/>
      </c>
      <c r="K11568" s="1" t="str">
        <f t="shared" si="4"/>
        <v/>
      </c>
    </row>
    <row r="11569" hidden="1">
      <c r="F11569" s="1" t="str">
        <f t="shared" si="1"/>
        <v/>
      </c>
      <c r="G11569" s="1" t="str">
        <f t="shared" si="2"/>
        <v/>
      </c>
      <c r="J11569" s="1" t="str">
        <f t="shared" si="3"/>
        <v/>
      </c>
      <c r="K11569" s="1" t="str">
        <f t="shared" si="4"/>
        <v/>
      </c>
    </row>
    <row r="11570" hidden="1">
      <c r="F11570" s="1" t="str">
        <f t="shared" si="1"/>
        <v/>
      </c>
      <c r="G11570" s="1" t="str">
        <f t="shared" si="2"/>
        <v/>
      </c>
      <c r="J11570" s="1" t="str">
        <f t="shared" si="3"/>
        <v/>
      </c>
      <c r="K11570" s="1" t="str">
        <f t="shared" si="4"/>
        <v/>
      </c>
    </row>
    <row r="11571" hidden="1">
      <c r="F11571" s="1" t="str">
        <f t="shared" si="1"/>
        <v/>
      </c>
      <c r="G11571" s="1" t="str">
        <f t="shared" si="2"/>
        <v/>
      </c>
      <c r="J11571" s="1" t="str">
        <f t="shared" si="3"/>
        <v/>
      </c>
      <c r="K11571" s="1" t="str">
        <f t="shared" si="4"/>
        <v/>
      </c>
    </row>
    <row r="11572" hidden="1">
      <c r="F11572" s="1" t="str">
        <f t="shared" si="1"/>
        <v/>
      </c>
      <c r="G11572" s="1" t="str">
        <f t="shared" si="2"/>
        <v/>
      </c>
      <c r="J11572" s="1" t="str">
        <f t="shared" si="3"/>
        <v/>
      </c>
      <c r="K11572" s="1" t="str">
        <f t="shared" si="4"/>
        <v/>
      </c>
    </row>
    <row r="11573" hidden="1">
      <c r="F11573" s="1" t="str">
        <f t="shared" si="1"/>
        <v/>
      </c>
      <c r="G11573" s="1" t="str">
        <f t="shared" si="2"/>
        <v/>
      </c>
      <c r="J11573" s="1" t="str">
        <f t="shared" si="3"/>
        <v/>
      </c>
      <c r="K11573" s="1" t="str">
        <f t="shared" si="4"/>
        <v/>
      </c>
    </row>
    <row r="11574" hidden="1">
      <c r="F11574" s="1" t="str">
        <f t="shared" si="1"/>
        <v/>
      </c>
      <c r="G11574" s="1" t="str">
        <f t="shared" si="2"/>
        <v/>
      </c>
      <c r="J11574" s="1" t="str">
        <f t="shared" si="3"/>
        <v/>
      </c>
      <c r="K11574" s="1" t="str">
        <f t="shared" si="4"/>
        <v/>
      </c>
    </row>
    <row r="11575" hidden="1">
      <c r="F11575" s="1" t="str">
        <f t="shared" si="1"/>
        <v/>
      </c>
      <c r="G11575" s="1" t="str">
        <f t="shared" si="2"/>
        <v/>
      </c>
      <c r="J11575" s="1" t="str">
        <f t="shared" si="3"/>
        <v/>
      </c>
      <c r="K11575" s="1" t="str">
        <f t="shared" si="4"/>
        <v/>
      </c>
    </row>
    <row r="11576" hidden="1">
      <c r="F11576" s="1" t="str">
        <f t="shared" si="1"/>
        <v/>
      </c>
      <c r="G11576" s="1" t="str">
        <f t="shared" si="2"/>
        <v/>
      </c>
      <c r="J11576" s="1" t="str">
        <f t="shared" si="3"/>
        <v/>
      </c>
      <c r="K11576" s="1" t="str">
        <f t="shared" si="4"/>
        <v/>
      </c>
    </row>
    <row r="11577" hidden="1">
      <c r="F11577" s="1" t="str">
        <f t="shared" si="1"/>
        <v/>
      </c>
      <c r="G11577" s="1" t="str">
        <f t="shared" si="2"/>
        <v/>
      </c>
      <c r="J11577" s="1" t="str">
        <f t="shared" si="3"/>
        <v/>
      </c>
      <c r="K11577" s="1" t="str">
        <f t="shared" si="4"/>
        <v/>
      </c>
    </row>
    <row r="11578" hidden="1">
      <c r="F11578" s="1" t="str">
        <f t="shared" si="1"/>
        <v/>
      </c>
      <c r="G11578" s="1" t="str">
        <f t="shared" si="2"/>
        <v/>
      </c>
      <c r="J11578" s="1" t="str">
        <f t="shared" si="3"/>
        <v/>
      </c>
      <c r="K11578" s="1" t="str">
        <f t="shared" si="4"/>
        <v/>
      </c>
    </row>
    <row r="11579" hidden="1">
      <c r="F11579" s="1" t="str">
        <f t="shared" si="1"/>
        <v/>
      </c>
      <c r="G11579" s="1" t="str">
        <f t="shared" si="2"/>
        <v/>
      </c>
      <c r="J11579" s="1" t="str">
        <f t="shared" si="3"/>
        <v/>
      </c>
      <c r="K11579" s="1" t="str">
        <f t="shared" si="4"/>
        <v/>
      </c>
    </row>
    <row r="11580" hidden="1">
      <c r="F11580" s="1" t="str">
        <f t="shared" si="1"/>
        <v/>
      </c>
      <c r="G11580" s="1" t="str">
        <f t="shared" si="2"/>
        <v/>
      </c>
      <c r="J11580" s="1" t="str">
        <f t="shared" si="3"/>
        <v/>
      </c>
      <c r="K11580" s="1" t="str">
        <f t="shared" si="4"/>
        <v/>
      </c>
    </row>
    <row r="11581" hidden="1">
      <c r="F11581" s="1" t="str">
        <f t="shared" si="1"/>
        <v/>
      </c>
      <c r="G11581" s="1" t="str">
        <f t="shared" si="2"/>
        <v/>
      </c>
      <c r="J11581" s="1" t="str">
        <f t="shared" si="3"/>
        <v/>
      </c>
      <c r="K11581" s="1" t="str">
        <f t="shared" si="4"/>
        <v/>
      </c>
    </row>
    <row r="11582" hidden="1">
      <c r="F11582" s="1" t="str">
        <f t="shared" si="1"/>
        <v/>
      </c>
      <c r="G11582" s="1" t="str">
        <f t="shared" si="2"/>
        <v/>
      </c>
      <c r="J11582" s="1" t="str">
        <f t="shared" si="3"/>
        <v/>
      </c>
      <c r="K11582" s="1" t="str">
        <f t="shared" si="4"/>
        <v/>
      </c>
    </row>
    <row r="11583" hidden="1">
      <c r="F11583" s="1" t="str">
        <f t="shared" si="1"/>
        <v/>
      </c>
      <c r="G11583" s="1" t="str">
        <f t="shared" si="2"/>
        <v/>
      </c>
      <c r="J11583" s="1" t="str">
        <f t="shared" si="3"/>
        <v/>
      </c>
      <c r="K11583" s="1" t="str">
        <f t="shared" si="4"/>
        <v/>
      </c>
    </row>
    <row r="11584" hidden="1">
      <c r="F11584" s="1" t="str">
        <f t="shared" si="1"/>
        <v/>
      </c>
      <c r="G11584" s="1" t="str">
        <f t="shared" si="2"/>
        <v/>
      </c>
      <c r="J11584" s="1" t="str">
        <f t="shared" si="3"/>
        <v/>
      </c>
      <c r="K11584" s="1" t="str">
        <f t="shared" si="4"/>
        <v/>
      </c>
    </row>
    <row r="11585" hidden="1">
      <c r="F11585" s="1" t="str">
        <f t="shared" si="1"/>
        <v/>
      </c>
      <c r="G11585" s="1" t="str">
        <f t="shared" si="2"/>
        <v/>
      </c>
      <c r="J11585" s="1" t="str">
        <f t="shared" si="3"/>
        <v/>
      </c>
      <c r="K11585" s="1" t="str">
        <f t="shared" si="4"/>
        <v/>
      </c>
    </row>
    <row r="11586" hidden="1">
      <c r="F11586" s="1" t="str">
        <f t="shared" si="1"/>
        <v/>
      </c>
      <c r="G11586" s="1" t="str">
        <f t="shared" si="2"/>
        <v/>
      </c>
      <c r="J11586" s="1" t="str">
        <f t="shared" si="3"/>
        <v/>
      </c>
      <c r="K11586" s="1" t="str">
        <f t="shared" si="4"/>
        <v/>
      </c>
    </row>
    <row r="11587" hidden="1">
      <c r="F11587" s="1" t="str">
        <f t="shared" si="1"/>
        <v/>
      </c>
      <c r="G11587" s="1" t="str">
        <f t="shared" si="2"/>
        <v/>
      </c>
      <c r="J11587" s="1" t="str">
        <f t="shared" si="3"/>
        <v/>
      </c>
      <c r="K11587" s="1" t="str">
        <f t="shared" si="4"/>
        <v/>
      </c>
    </row>
    <row r="11588" hidden="1">
      <c r="F11588" s="1" t="str">
        <f t="shared" si="1"/>
        <v/>
      </c>
      <c r="G11588" s="1" t="str">
        <f t="shared" si="2"/>
        <v/>
      </c>
      <c r="J11588" s="1" t="str">
        <f t="shared" si="3"/>
        <v/>
      </c>
      <c r="K11588" s="1" t="str">
        <f t="shared" si="4"/>
        <v/>
      </c>
    </row>
    <row r="11589" hidden="1">
      <c r="F11589" s="1" t="str">
        <f t="shared" si="1"/>
        <v/>
      </c>
      <c r="G11589" s="1" t="str">
        <f t="shared" si="2"/>
        <v/>
      </c>
      <c r="J11589" s="1" t="str">
        <f t="shared" si="3"/>
        <v/>
      </c>
      <c r="K11589" s="1" t="str">
        <f t="shared" si="4"/>
        <v/>
      </c>
    </row>
    <row r="11590" hidden="1">
      <c r="F11590" s="1" t="str">
        <f t="shared" si="1"/>
        <v/>
      </c>
      <c r="G11590" s="1" t="str">
        <f t="shared" si="2"/>
        <v/>
      </c>
      <c r="J11590" s="1" t="str">
        <f t="shared" si="3"/>
        <v/>
      </c>
      <c r="K11590" s="1" t="str">
        <f t="shared" si="4"/>
        <v/>
      </c>
    </row>
    <row r="11591" hidden="1">
      <c r="F11591" s="1" t="str">
        <f t="shared" si="1"/>
        <v/>
      </c>
      <c r="G11591" s="1" t="str">
        <f t="shared" si="2"/>
        <v/>
      </c>
      <c r="J11591" s="1" t="str">
        <f t="shared" si="3"/>
        <v/>
      </c>
      <c r="K11591" s="1" t="str">
        <f t="shared" si="4"/>
        <v/>
      </c>
    </row>
    <row r="11592" hidden="1">
      <c r="F11592" s="1" t="str">
        <f t="shared" si="1"/>
        <v/>
      </c>
      <c r="G11592" s="1" t="str">
        <f t="shared" si="2"/>
        <v/>
      </c>
      <c r="J11592" s="1" t="str">
        <f t="shared" si="3"/>
        <v/>
      </c>
      <c r="K11592" s="1" t="str">
        <f t="shared" si="4"/>
        <v/>
      </c>
    </row>
    <row r="11593" hidden="1">
      <c r="F11593" s="1" t="str">
        <f t="shared" si="1"/>
        <v/>
      </c>
      <c r="G11593" s="1" t="str">
        <f t="shared" si="2"/>
        <v/>
      </c>
      <c r="J11593" s="1" t="str">
        <f t="shared" si="3"/>
        <v/>
      </c>
      <c r="K11593" s="1" t="str">
        <f t="shared" si="4"/>
        <v/>
      </c>
    </row>
    <row r="11594" hidden="1">
      <c r="F11594" s="1" t="str">
        <f t="shared" si="1"/>
        <v/>
      </c>
      <c r="G11594" s="1" t="str">
        <f t="shared" si="2"/>
        <v/>
      </c>
      <c r="J11594" s="1" t="str">
        <f t="shared" si="3"/>
        <v/>
      </c>
      <c r="K11594" s="1" t="str">
        <f t="shared" si="4"/>
        <v/>
      </c>
    </row>
    <row r="11595" hidden="1">
      <c r="F11595" s="1" t="str">
        <f t="shared" si="1"/>
        <v/>
      </c>
      <c r="G11595" s="1" t="str">
        <f t="shared" si="2"/>
        <v/>
      </c>
      <c r="J11595" s="1" t="str">
        <f t="shared" si="3"/>
        <v/>
      </c>
      <c r="K11595" s="1" t="str">
        <f t="shared" si="4"/>
        <v/>
      </c>
    </row>
    <row r="11596" hidden="1">
      <c r="F11596" s="1" t="str">
        <f t="shared" si="1"/>
        <v/>
      </c>
      <c r="G11596" s="1" t="str">
        <f t="shared" si="2"/>
        <v/>
      </c>
      <c r="J11596" s="1" t="str">
        <f t="shared" si="3"/>
        <v/>
      </c>
      <c r="K11596" s="1" t="str">
        <f t="shared" si="4"/>
        <v/>
      </c>
    </row>
    <row r="11597" hidden="1">
      <c r="F11597" s="1" t="str">
        <f t="shared" si="1"/>
        <v/>
      </c>
      <c r="G11597" s="1" t="str">
        <f t="shared" si="2"/>
        <v/>
      </c>
      <c r="J11597" s="1" t="str">
        <f t="shared" si="3"/>
        <v/>
      </c>
      <c r="K11597" s="1" t="str">
        <f t="shared" si="4"/>
        <v/>
      </c>
    </row>
    <row r="11598" hidden="1">
      <c r="F11598" s="1" t="str">
        <f t="shared" si="1"/>
        <v/>
      </c>
      <c r="G11598" s="1" t="str">
        <f t="shared" si="2"/>
        <v/>
      </c>
      <c r="J11598" s="1" t="str">
        <f t="shared" si="3"/>
        <v/>
      </c>
      <c r="K11598" s="1" t="str">
        <f t="shared" si="4"/>
        <v/>
      </c>
    </row>
    <row r="11599" hidden="1">
      <c r="F11599" s="1" t="str">
        <f t="shared" si="1"/>
        <v/>
      </c>
      <c r="G11599" s="1" t="str">
        <f t="shared" si="2"/>
        <v/>
      </c>
      <c r="J11599" s="1" t="str">
        <f t="shared" si="3"/>
        <v/>
      </c>
      <c r="K11599" s="1" t="str">
        <f t="shared" si="4"/>
        <v/>
      </c>
    </row>
    <row r="11600" hidden="1">
      <c r="F11600" s="1" t="str">
        <f t="shared" si="1"/>
        <v/>
      </c>
      <c r="G11600" s="1" t="str">
        <f t="shared" si="2"/>
        <v/>
      </c>
      <c r="J11600" s="1" t="str">
        <f t="shared" si="3"/>
        <v/>
      </c>
      <c r="K11600" s="1" t="str">
        <f t="shared" si="4"/>
        <v/>
      </c>
    </row>
    <row r="11601" hidden="1">
      <c r="F11601" s="1" t="str">
        <f t="shared" si="1"/>
        <v/>
      </c>
      <c r="G11601" s="1" t="str">
        <f t="shared" si="2"/>
        <v/>
      </c>
      <c r="J11601" s="1" t="str">
        <f t="shared" si="3"/>
        <v/>
      </c>
      <c r="K11601" s="1" t="str">
        <f t="shared" si="4"/>
        <v/>
      </c>
    </row>
    <row r="11602" hidden="1">
      <c r="F11602" s="1" t="str">
        <f t="shared" si="1"/>
        <v/>
      </c>
      <c r="G11602" s="1" t="str">
        <f t="shared" si="2"/>
        <v/>
      </c>
      <c r="J11602" s="1" t="str">
        <f t="shared" si="3"/>
        <v/>
      </c>
      <c r="K11602" s="1" t="str">
        <f t="shared" si="4"/>
        <v/>
      </c>
    </row>
    <row r="11603" hidden="1">
      <c r="F11603" s="1" t="str">
        <f t="shared" si="1"/>
        <v/>
      </c>
      <c r="G11603" s="1" t="str">
        <f t="shared" si="2"/>
        <v/>
      </c>
      <c r="J11603" s="1" t="str">
        <f t="shared" si="3"/>
        <v/>
      </c>
      <c r="K11603" s="1" t="str">
        <f t="shared" si="4"/>
        <v/>
      </c>
    </row>
    <row r="11604" hidden="1">
      <c r="F11604" s="1" t="str">
        <f t="shared" si="1"/>
        <v/>
      </c>
      <c r="G11604" s="1" t="str">
        <f t="shared" si="2"/>
        <v/>
      </c>
      <c r="J11604" s="1" t="str">
        <f t="shared" si="3"/>
        <v/>
      </c>
      <c r="K11604" s="1" t="str">
        <f t="shared" si="4"/>
        <v/>
      </c>
    </row>
    <row r="11605" hidden="1">
      <c r="F11605" s="1" t="str">
        <f t="shared" si="1"/>
        <v/>
      </c>
      <c r="G11605" s="1" t="str">
        <f t="shared" si="2"/>
        <v/>
      </c>
      <c r="J11605" s="1" t="str">
        <f t="shared" si="3"/>
        <v/>
      </c>
      <c r="K11605" s="1" t="str">
        <f t="shared" si="4"/>
        <v/>
      </c>
    </row>
    <row r="11606" hidden="1">
      <c r="F11606" s="1" t="str">
        <f t="shared" si="1"/>
        <v/>
      </c>
      <c r="G11606" s="1" t="str">
        <f t="shared" si="2"/>
        <v/>
      </c>
      <c r="J11606" s="1" t="str">
        <f t="shared" si="3"/>
        <v/>
      </c>
      <c r="K11606" s="1" t="str">
        <f t="shared" si="4"/>
        <v/>
      </c>
    </row>
    <row r="11607" hidden="1">
      <c r="F11607" s="1" t="str">
        <f t="shared" si="1"/>
        <v/>
      </c>
      <c r="G11607" s="1" t="str">
        <f t="shared" si="2"/>
        <v/>
      </c>
      <c r="J11607" s="1" t="str">
        <f t="shared" si="3"/>
        <v/>
      </c>
      <c r="K11607" s="1" t="str">
        <f t="shared" si="4"/>
        <v/>
      </c>
    </row>
    <row r="11608" hidden="1">
      <c r="F11608" s="1" t="str">
        <f t="shared" si="1"/>
        <v/>
      </c>
      <c r="G11608" s="1" t="str">
        <f t="shared" si="2"/>
        <v/>
      </c>
      <c r="J11608" s="1" t="str">
        <f t="shared" si="3"/>
        <v/>
      </c>
      <c r="K11608" s="1" t="str">
        <f t="shared" si="4"/>
        <v/>
      </c>
    </row>
    <row r="11609" hidden="1">
      <c r="F11609" s="1" t="str">
        <f t="shared" si="1"/>
        <v/>
      </c>
      <c r="G11609" s="1" t="str">
        <f t="shared" si="2"/>
        <v/>
      </c>
      <c r="J11609" s="1" t="str">
        <f t="shared" si="3"/>
        <v/>
      </c>
      <c r="K11609" s="1" t="str">
        <f t="shared" si="4"/>
        <v/>
      </c>
    </row>
    <row r="11610" hidden="1">
      <c r="F11610" s="1" t="str">
        <f t="shared" si="1"/>
        <v/>
      </c>
      <c r="G11610" s="1" t="str">
        <f t="shared" si="2"/>
        <v/>
      </c>
      <c r="J11610" s="1" t="str">
        <f t="shared" si="3"/>
        <v/>
      </c>
      <c r="K11610" s="1" t="str">
        <f t="shared" si="4"/>
        <v/>
      </c>
    </row>
    <row r="11611" hidden="1">
      <c r="F11611" s="1" t="str">
        <f t="shared" si="1"/>
        <v/>
      </c>
      <c r="G11611" s="1" t="str">
        <f t="shared" si="2"/>
        <v/>
      </c>
      <c r="J11611" s="1" t="str">
        <f t="shared" si="3"/>
        <v/>
      </c>
      <c r="K11611" s="1" t="str">
        <f t="shared" si="4"/>
        <v/>
      </c>
    </row>
    <row r="11612" hidden="1">
      <c r="F11612" s="1" t="str">
        <f t="shared" si="1"/>
        <v/>
      </c>
      <c r="G11612" s="1" t="str">
        <f t="shared" si="2"/>
        <v/>
      </c>
      <c r="J11612" s="1" t="str">
        <f t="shared" si="3"/>
        <v/>
      </c>
      <c r="K11612" s="1" t="str">
        <f t="shared" si="4"/>
        <v/>
      </c>
    </row>
    <row r="11613" hidden="1">
      <c r="F11613" s="1" t="str">
        <f t="shared" si="1"/>
        <v/>
      </c>
      <c r="G11613" s="1" t="str">
        <f t="shared" si="2"/>
        <v/>
      </c>
      <c r="J11613" s="1" t="str">
        <f t="shared" si="3"/>
        <v/>
      </c>
      <c r="K11613" s="1" t="str">
        <f t="shared" si="4"/>
        <v/>
      </c>
    </row>
    <row r="11614" hidden="1">
      <c r="F11614" s="1" t="str">
        <f t="shared" si="1"/>
        <v/>
      </c>
      <c r="G11614" s="1" t="str">
        <f t="shared" si="2"/>
        <v/>
      </c>
      <c r="J11614" s="1" t="str">
        <f t="shared" si="3"/>
        <v/>
      </c>
      <c r="K11614" s="1" t="str">
        <f t="shared" si="4"/>
        <v/>
      </c>
    </row>
    <row r="11615" hidden="1">
      <c r="F11615" s="1" t="str">
        <f t="shared" si="1"/>
        <v/>
      </c>
      <c r="G11615" s="1" t="str">
        <f t="shared" si="2"/>
        <v/>
      </c>
      <c r="J11615" s="1" t="str">
        <f t="shared" si="3"/>
        <v/>
      </c>
      <c r="K11615" s="1" t="str">
        <f t="shared" si="4"/>
        <v/>
      </c>
    </row>
    <row r="11616" hidden="1">
      <c r="F11616" s="1" t="str">
        <f t="shared" si="1"/>
        <v/>
      </c>
      <c r="G11616" s="1" t="str">
        <f t="shared" si="2"/>
        <v/>
      </c>
      <c r="J11616" s="1" t="str">
        <f t="shared" si="3"/>
        <v/>
      </c>
      <c r="K11616" s="1" t="str">
        <f t="shared" si="4"/>
        <v/>
      </c>
    </row>
    <row r="11617" hidden="1">
      <c r="F11617" s="1" t="str">
        <f t="shared" si="1"/>
        <v/>
      </c>
      <c r="G11617" s="1" t="str">
        <f t="shared" si="2"/>
        <v/>
      </c>
      <c r="J11617" s="1" t="str">
        <f t="shared" si="3"/>
        <v/>
      </c>
      <c r="K11617" s="1" t="str">
        <f t="shared" si="4"/>
        <v/>
      </c>
    </row>
    <row r="11618" hidden="1">
      <c r="F11618" s="1" t="str">
        <f t="shared" si="1"/>
        <v/>
      </c>
      <c r="G11618" s="1" t="str">
        <f t="shared" si="2"/>
        <v/>
      </c>
      <c r="J11618" s="1" t="str">
        <f t="shared" si="3"/>
        <v/>
      </c>
      <c r="K11618" s="1" t="str">
        <f t="shared" si="4"/>
        <v/>
      </c>
    </row>
    <row r="11619" hidden="1">
      <c r="F11619" s="1" t="str">
        <f t="shared" si="1"/>
        <v/>
      </c>
      <c r="G11619" s="1" t="str">
        <f t="shared" si="2"/>
        <v/>
      </c>
      <c r="J11619" s="1" t="str">
        <f t="shared" si="3"/>
        <v/>
      </c>
      <c r="K11619" s="1" t="str">
        <f t="shared" si="4"/>
        <v/>
      </c>
    </row>
    <row r="11620" hidden="1">
      <c r="F11620" s="1" t="str">
        <f t="shared" si="1"/>
        <v/>
      </c>
      <c r="G11620" s="1" t="str">
        <f t="shared" si="2"/>
        <v/>
      </c>
      <c r="J11620" s="1" t="str">
        <f t="shared" si="3"/>
        <v/>
      </c>
      <c r="K11620" s="1" t="str">
        <f t="shared" si="4"/>
        <v/>
      </c>
    </row>
    <row r="11621" hidden="1">
      <c r="F11621" s="1" t="str">
        <f t="shared" si="1"/>
        <v/>
      </c>
      <c r="G11621" s="1" t="str">
        <f t="shared" si="2"/>
        <v/>
      </c>
      <c r="J11621" s="1" t="str">
        <f t="shared" si="3"/>
        <v/>
      </c>
      <c r="K11621" s="1" t="str">
        <f t="shared" si="4"/>
        <v/>
      </c>
    </row>
    <row r="11622" hidden="1">
      <c r="F11622" s="1" t="str">
        <f t="shared" si="1"/>
        <v/>
      </c>
      <c r="G11622" s="1" t="str">
        <f t="shared" si="2"/>
        <v/>
      </c>
      <c r="J11622" s="1" t="str">
        <f t="shared" si="3"/>
        <v/>
      </c>
      <c r="K11622" s="1" t="str">
        <f t="shared" si="4"/>
        <v/>
      </c>
    </row>
    <row r="11623" hidden="1">
      <c r="F11623" s="1" t="str">
        <f t="shared" si="1"/>
        <v/>
      </c>
      <c r="G11623" s="1" t="str">
        <f t="shared" si="2"/>
        <v/>
      </c>
      <c r="J11623" s="1" t="str">
        <f t="shared" si="3"/>
        <v/>
      </c>
      <c r="K11623" s="1" t="str">
        <f t="shared" si="4"/>
        <v/>
      </c>
    </row>
    <row r="11624" hidden="1">
      <c r="F11624" s="1" t="str">
        <f t="shared" si="1"/>
        <v/>
      </c>
      <c r="G11624" s="1" t="str">
        <f t="shared" si="2"/>
        <v/>
      </c>
      <c r="J11624" s="1" t="str">
        <f t="shared" si="3"/>
        <v/>
      </c>
      <c r="K11624" s="1" t="str">
        <f t="shared" si="4"/>
        <v/>
      </c>
    </row>
    <row r="11625" hidden="1">
      <c r="F11625" s="1" t="str">
        <f t="shared" si="1"/>
        <v/>
      </c>
      <c r="G11625" s="1" t="str">
        <f t="shared" si="2"/>
        <v/>
      </c>
      <c r="J11625" s="1" t="str">
        <f t="shared" si="3"/>
        <v/>
      </c>
      <c r="K11625" s="1" t="str">
        <f t="shared" si="4"/>
        <v/>
      </c>
    </row>
    <row r="11626" hidden="1">
      <c r="F11626" s="1" t="str">
        <f t="shared" si="1"/>
        <v/>
      </c>
      <c r="G11626" s="1" t="str">
        <f t="shared" si="2"/>
        <v/>
      </c>
      <c r="J11626" s="1" t="str">
        <f t="shared" si="3"/>
        <v/>
      </c>
      <c r="K11626" s="1" t="str">
        <f t="shared" si="4"/>
        <v/>
      </c>
    </row>
    <row r="11627" hidden="1">
      <c r="F11627" s="1" t="str">
        <f t="shared" si="1"/>
        <v/>
      </c>
      <c r="G11627" s="1" t="str">
        <f t="shared" si="2"/>
        <v/>
      </c>
      <c r="J11627" s="1" t="str">
        <f t="shared" si="3"/>
        <v/>
      </c>
      <c r="K11627" s="1" t="str">
        <f t="shared" si="4"/>
        <v/>
      </c>
    </row>
    <row r="11628" hidden="1">
      <c r="F11628" s="1" t="str">
        <f t="shared" si="1"/>
        <v/>
      </c>
      <c r="G11628" s="1" t="str">
        <f t="shared" si="2"/>
        <v/>
      </c>
      <c r="J11628" s="1" t="str">
        <f t="shared" si="3"/>
        <v/>
      </c>
      <c r="K11628" s="1" t="str">
        <f t="shared" si="4"/>
        <v/>
      </c>
    </row>
    <row r="11629" hidden="1">
      <c r="F11629" s="1" t="str">
        <f t="shared" si="1"/>
        <v/>
      </c>
      <c r="G11629" s="1" t="str">
        <f t="shared" si="2"/>
        <v/>
      </c>
      <c r="J11629" s="1" t="str">
        <f t="shared" si="3"/>
        <v/>
      </c>
      <c r="K11629" s="1" t="str">
        <f t="shared" si="4"/>
        <v/>
      </c>
    </row>
    <row r="11630" hidden="1">
      <c r="F11630" s="1" t="str">
        <f t="shared" si="1"/>
        <v/>
      </c>
      <c r="G11630" s="1" t="str">
        <f t="shared" si="2"/>
        <v/>
      </c>
      <c r="J11630" s="1" t="str">
        <f t="shared" si="3"/>
        <v/>
      </c>
      <c r="K11630" s="1" t="str">
        <f t="shared" si="4"/>
        <v/>
      </c>
    </row>
    <row r="11631" hidden="1">
      <c r="F11631" s="1" t="str">
        <f t="shared" si="1"/>
        <v/>
      </c>
      <c r="G11631" s="1" t="str">
        <f t="shared" si="2"/>
        <v/>
      </c>
      <c r="J11631" s="1" t="str">
        <f t="shared" si="3"/>
        <v/>
      </c>
      <c r="K11631" s="1" t="str">
        <f t="shared" si="4"/>
        <v/>
      </c>
    </row>
    <row r="11632" hidden="1">
      <c r="F11632" s="1" t="str">
        <f t="shared" si="1"/>
        <v/>
      </c>
      <c r="G11632" s="1" t="str">
        <f t="shared" si="2"/>
        <v/>
      </c>
      <c r="J11632" s="1" t="str">
        <f t="shared" si="3"/>
        <v/>
      </c>
      <c r="K11632" s="1" t="str">
        <f t="shared" si="4"/>
        <v/>
      </c>
    </row>
    <row r="11633" hidden="1">
      <c r="F11633" s="1" t="str">
        <f t="shared" si="1"/>
        <v/>
      </c>
      <c r="G11633" s="1" t="str">
        <f t="shared" si="2"/>
        <v/>
      </c>
      <c r="J11633" s="1" t="str">
        <f t="shared" si="3"/>
        <v/>
      </c>
      <c r="K11633" s="1" t="str">
        <f t="shared" si="4"/>
        <v/>
      </c>
    </row>
    <row r="11634" hidden="1">
      <c r="F11634" s="1" t="str">
        <f t="shared" si="1"/>
        <v/>
      </c>
      <c r="G11634" s="1" t="str">
        <f t="shared" si="2"/>
        <v/>
      </c>
      <c r="J11634" s="1" t="str">
        <f t="shared" si="3"/>
        <v/>
      </c>
      <c r="K11634" s="1" t="str">
        <f t="shared" si="4"/>
        <v/>
      </c>
    </row>
    <row r="11635" hidden="1">
      <c r="F11635" s="1" t="str">
        <f t="shared" si="1"/>
        <v/>
      </c>
      <c r="G11635" s="1" t="str">
        <f t="shared" si="2"/>
        <v/>
      </c>
      <c r="J11635" s="1" t="str">
        <f t="shared" si="3"/>
        <v/>
      </c>
      <c r="K11635" s="1" t="str">
        <f t="shared" si="4"/>
        <v/>
      </c>
    </row>
    <row r="11636" hidden="1">
      <c r="F11636" s="1" t="str">
        <f t="shared" si="1"/>
        <v/>
      </c>
      <c r="G11636" s="1" t="str">
        <f t="shared" si="2"/>
        <v/>
      </c>
      <c r="J11636" s="1" t="str">
        <f t="shared" si="3"/>
        <v/>
      </c>
      <c r="K11636" s="1" t="str">
        <f t="shared" si="4"/>
        <v/>
      </c>
    </row>
    <row r="11637" hidden="1">
      <c r="F11637" s="1" t="str">
        <f t="shared" si="1"/>
        <v/>
      </c>
      <c r="G11637" s="1" t="str">
        <f t="shared" si="2"/>
        <v/>
      </c>
      <c r="J11637" s="1" t="str">
        <f t="shared" si="3"/>
        <v/>
      </c>
      <c r="K11637" s="1" t="str">
        <f t="shared" si="4"/>
        <v/>
      </c>
    </row>
    <row r="11638" hidden="1">
      <c r="F11638" s="1" t="str">
        <f t="shared" si="1"/>
        <v/>
      </c>
      <c r="G11638" s="1" t="str">
        <f t="shared" si="2"/>
        <v/>
      </c>
      <c r="J11638" s="1" t="str">
        <f t="shared" si="3"/>
        <v/>
      </c>
      <c r="K11638" s="1" t="str">
        <f t="shared" si="4"/>
        <v/>
      </c>
    </row>
    <row r="11639" hidden="1">
      <c r="F11639" s="1" t="str">
        <f t="shared" si="1"/>
        <v/>
      </c>
      <c r="G11639" s="1" t="str">
        <f t="shared" si="2"/>
        <v/>
      </c>
      <c r="J11639" s="1" t="str">
        <f t="shared" si="3"/>
        <v/>
      </c>
      <c r="K11639" s="1" t="str">
        <f t="shared" si="4"/>
        <v/>
      </c>
    </row>
    <row r="11640" hidden="1">
      <c r="F11640" s="1" t="str">
        <f t="shared" si="1"/>
        <v/>
      </c>
      <c r="G11640" s="1" t="str">
        <f t="shared" si="2"/>
        <v/>
      </c>
      <c r="J11640" s="1" t="str">
        <f t="shared" si="3"/>
        <v/>
      </c>
      <c r="K11640" s="1" t="str">
        <f t="shared" si="4"/>
        <v/>
      </c>
    </row>
    <row r="11641" hidden="1">
      <c r="F11641" s="1" t="str">
        <f t="shared" si="1"/>
        <v/>
      </c>
      <c r="G11641" s="1" t="str">
        <f t="shared" si="2"/>
        <v/>
      </c>
      <c r="J11641" s="1" t="str">
        <f t="shared" si="3"/>
        <v/>
      </c>
      <c r="K11641" s="1" t="str">
        <f t="shared" si="4"/>
        <v/>
      </c>
    </row>
    <row r="11642" hidden="1">
      <c r="F11642" s="1" t="str">
        <f t="shared" si="1"/>
        <v/>
      </c>
      <c r="G11642" s="1" t="str">
        <f t="shared" si="2"/>
        <v/>
      </c>
      <c r="J11642" s="1" t="str">
        <f t="shared" si="3"/>
        <v/>
      </c>
      <c r="K11642" s="1" t="str">
        <f t="shared" si="4"/>
        <v/>
      </c>
    </row>
    <row r="11643" hidden="1">
      <c r="F11643" s="1" t="str">
        <f t="shared" si="1"/>
        <v/>
      </c>
      <c r="G11643" s="1" t="str">
        <f t="shared" si="2"/>
        <v/>
      </c>
      <c r="J11643" s="1" t="str">
        <f t="shared" si="3"/>
        <v/>
      </c>
      <c r="K11643" s="1" t="str">
        <f t="shared" si="4"/>
        <v/>
      </c>
    </row>
    <row r="11644" hidden="1">
      <c r="F11644" s="1" t="str">
        <f t="shared" si="1"/>
        <v/>
      </c>
      <c r="G11644" s="1" t="str">
        <f t="shared" si="2"/>
        <v/>
      </c>
      <c r="J11644" s="1" t="str">
        <f t="shared" si="3"/>
        <v/>
      </c>
      <c r="K11644" s="1" t="str">
        <f t="shared" si="4"/>
        <v/>
      </c>
    </row>
    <row r="11645" hidden="1">
      <c r="F11645" s="1" t="str">
        <f t="shared" si="1"/>
        <v/>
      </c>
      <c r="G11645" s="1" t="str">
        <f t="shared" si="2"/>
        <v/>
      </c>
      <c r="J11645" s="1" t="str">
        <f t="shared" si="3"/>
        <v/>
      </c>
      <c r="K11645" s="1" t="str">
        <f t="shared" si="4"/>
        <v/>
      </c>
    </row>
    <row r="11646" hidden="1">
      <c r="F11646" s="1" t="str">
        <f t="shared" si="1"/>
        <v/>
      </c>
      <c r="G11646" s="1" t="str">
        <f t="shared" si="2"/>
        <v/>
      </c>
      <c r="J11646" s="1" t="str">
        <f t="shared" si="3"/>
        <v/>
      </c>
      <c r="K11646" s="1" t="str">
        <f t="shared" si="4"/>
        <v/>
      </c>
    </row>
    <row r="11647" hidden="1">
      <c r="F11647" s="1" t="str">
        <f t="shared" si="1"/>
        <v/>
      </c>
      <c r="G11647" s="1" t="str">
        <f t="shared" si="2"/>
        <v/>
      </c>
      <c r="J11647" s="1" t="str">
        <f t="shared" si="3"/>
        <v/>
      </c>
      <c r="K11647" s="1" t="str">
        <f t="shared" si="4"/>
        <v/>
      </c>
    </row>
    <row r="11648" hidden="1">
      <c r="F11648" s="1" t="str">
        <f t="shared" si="1"/>
        <v/>
      </c>
      <c r="G11648" s="1" t="str">
        <f t="shared" si="2"/>
        <v/>
      </c>
      <c r="J11648" s="1" t="str">
        <f t="shared" si="3"/>
        <v/>
      </c>
      <c r="K11648" s="1" t="str">
        <f t="shared" si="4"/>
        <v/>
      </c>
    </row>
    <row r="11649" hidden="1">
      <c r="F11649" s="1" t="str">
        <f t="shared" si="1"/>
        <v/>
      </c>
      <c r="G11649" s="1" t="str">
        <f t="shared" si="2"/>
        <v/>
      </c>
      <c r="J11649" s="1" t="str">
        <f t="shared" si="3"/>
        <v/>
      </c>
      <c r="K11649" s="1" t="str">
        <f t="shared" si="4"/>
        <v/>
      </c>
    </row>
    <row r="11650" hidden="1">
      <c r="F11650" s="1" t="str">
        <f t="shared" si="1"/>
        <v/>
      </c>
      <c r="G11650" s="1" t="str">
        <f t="shared" si="2"/>
        <v/>
      </c>
      <c r="J11650" s="1" t="str">
        <f t="shared" si="3"/>
        <v/>
      </c>
      <c r="K11650" s="1" t="str">
        <f t="shared" si="4"/>
        <v/>
      </c>
    </row>
    <row r="11651" hidden="1">
      <c r="F11651" s="1" t="str">
        <f t="shared" si="1"/>
        <v/>
      </c>
      <c r="G11651" s="1" t="str">
        <f t="shared" si="2"/>
        <v/>
      </c>
      <c r="J11651" s="1" t="str">
        <f t="shared" si="3"/>
        <v/>
      </c>
      <c r="K11651" s="1" t="str">
        <f t="shared" si="4"/>
        <v/>
      </c>
    </row>
    <row r="11652" hidden="1">
      <c r="F11652" s="1" t="str">
        <f t="shared" si="1"/>
        <v/>
      </c>
      <c r="G11652" s="1" t="str">
        <f t="shared" si="2"/>
        <v/>
      </c>
      <c r="J11652" s="1" t="str">
        <f t="shared" si="3"/>
        <v/>
      </c>
      <c r="K11652" s="1" t="str">
        <f t="shared" si="4"/>
        <v/>
      </c>
    </row>
    <row r="11653" hidden="1">
      <c r="F11653" s="1" t="str">
        <f t="shared" si="1"/>
        <v/>
      </c>
      <c r="G11653" s="1" t="str">
        <f t="shared" si="2"/>
        <v/>
      </c>
      <c r="J11653" s="1" t="str">
        <f t="shared" si="3"/>
        <v/>
      </c>
      <c r="K11653" s="1" t="str">
        <f t="shared" si="4"/>
        <v/>
      </c>
    </row>
    <row r="11654" hidden="1">
      <c r="F11654" s="1" t="str">
        <f t="shared" si="1"/>
        <v/>
      </c>
      <c r="G11654" s="1" t="str">
        <f t="shared" si="2"/>
        <v/>
      </c>
      <c r="J11654" s="1" t="str">
        <f t="shared" si="3"/>
        <v/>
      </c>
      <c r="K11654" s="1" t="str">
        <f t="shared" si="4"/>
        <v/>
      </c>
    </row>
    <row r="11655" hidden="1">
      <c r="F11655" s="1" t="str">
        <f t="shared" si="1"/>
        <v/>
      </c>
      <c r="G11655" s="1" t="str">
        <f t="shared" si="2"/>
        <v/>
      </c>
      <c r="J11655" s="1" t="str">
        <f t="shared" si="3"/>
        <v/>
      </c>
      <c r="K11655" s="1" t="str">
        <f t="shared" si="4"/>
        <v/>
      </c>
    </row>
    <row r="11656" hidden="1">
      <c r="F11656" s="1" t="str">
        <f t="shared" si="1"/>
        <v/>
      </c>
      <c r="G11656" s="1" t="str">
        <f t="shared" si="2"/>
        <v/>
      </c>
      <c r="J11656" s="1" t="str">
        <f t="shared" si="3"/>
        <v/>
      </c>
      <c r="K11656" s="1" t="str">
        <f t="shared" si="4"/>
        <v/>
      </c>
    </row>
    <row r="11657" hidden="1">
      <c r="F11657" s="1" t="str">
        <f t="shared" si="1"/>
        <v/>
      </c>
      <c r="G11657" s="1" t="str">
        <f t="shared" si="2"/>
        <v/>
      </c>
      <c r="J11657" s="1" t="str">
        <f t="shared" si="3"/>
        <v/>
      </c>
      <c r="K11657" s="1" t="str">
        <f t="shared" si="4"/>
        <v/>
      </c>
    </row>
    <row r="11658" hidden="1">
      <c r="F11658" s="1" t="str">
        <f t="shared" si="1"/>
        <v/>
      </c>
      <c r="G11658" s="1" t="str">
        <f t="shared" si="2"/>
        <v/>
      </c>
      <c r="J11658" s="1" t="str">
        <f t="shared" si="3"/>
        <v/>
      </c>
      <c r="K11658" s="1" t="str">
        <f t="shared" si="4"/>
        <v/>
      </c>
    </row>
    <row r="11659" hidden="1">
      <c r="F11659" s="1" t="str">
        <f t="shared" si="1"/>
        <v/>
      </c>
      <c r="G11659" s="1" t="str">
        <f t="shared" si="2"/>
        <v/>
      </c>
      <c r="J11659" s="1" t="str">
        <f t="shared" si="3"/>
        <v/>
      </c>
      <c r="K11659" s="1" t="str">
        <f t="shared" si="4"/>
        <v/>
      </c>
    </row>
    <row r="11660" hidden="1">
      <c r="F11660" s="1" t="str">
        <f t="shared" si="1"/>
        <v/>
      </c>
      <c r="G11660" s="1" t="str">
        <f t="shared" si="2"/>
        <v/>
      </c>
      <c r="J11660" s="1" t="str">
        <f t="shared" si="3"/>
        <v/>
      </c>
      <c r="K11660" s="1" t="str">
        <f t="shared" si="4"/>
        <v/>
      </c>
    </row>
    <row r="11661" hidden="1">
      <c r="F11661" s="1" t="str">
        <f t="shared" si="1"/>
        <v/>
      </c>
      <c r="G11661" s="1" t="str">
        <f t="shared" si="2"/>
        <v/>
      </c>
      <c r="J11661" s="1" t="str">
        <f t="shared" si="3"/>
        <v/>
      </c>
      <c r="K11661" s="1" t="str">
        <f t="shared" si="4"/>
        <v/>
      </c>
    </row>
    <row r="11662" hidden="1">
      <c r="F11662" s="1" t="str">
        <f t="shared" si="1"/>
        <v/>
      </c>
      <c r="G11662" s="1" t="str">
        <f t="shared" si="2"/>
        <v/>
      </c>
      <c r="J11662" s="1" t="str">
        <f t="shared" si="3"/>
        <v/>
      </c>
      <c r="K11662" s="1" t="str">
        <f t="shared" si="4"/>
        <v/>
      </c>
    </row>
    <row r="11663" hidden="1">
      <c r="F11663" s="1" t="str">
        <f t="shared" si="1"/>
        <v/>
      </c>
      <c r="G11663" s="1" t="str">
        <f t="shared" si="2"/>
        <v/>
      </c>
      <c r="J11663" s="1" t="str">
        <f t="shared" si="3"/>
        <v/>
      </c>
      <c r="K11663" s="1" t="str">
        <f t="shared" si="4"/>
        <v/>
      </c>
    </row>
    <row r="11664" hidden="1">
      <c r="F11664" s="1" t="str">
        <f t="shared" si="1"/>
        <v/>
      </c>
      <c r="G11664" s="1" t="str">
        <f t="shared" si="2"/>
        <v/>
      </c>
      <c r="J11664" s="1" t="str">
        <f t="shared" si="3"/>
        <v/>
      </c>
      <c r="K11664" s="1" t="str">
        <f t="shared" si="4"/>
        <v/>
      </c>
    </row>
    <row r="11665" hidden="1">
      <c r="F11665" s="1" t="str">
        <f t="shared" si="1"/>
        <v/>
      </c>
      <c r="G11665" s="1" t="str">
        <f t="shared" si="2"/>
        <v/>
      </c>
      <c r="J11665" s="1" t="str">
        <f t="shared" si="3"/>
        <v/>
      </c>
      <c r="K11665" s="1" t="str">
        <f t="shared" si="4"/>
        <v/>
      </c>
    </row>
    <row r="11666" hidden="1">
      <c r="F11666" s="1" t="str">
        <f t="shared" si="1"/>
        <v/>
      </c>
      <c r="G11666" s="1" t="str">
        <f t="shared" si="2"/>
        <v/>
      </c>
      <c r="J11666" s="1" t="str">
        <f t="shared" si="3"/>
        <v/>
      </c>
      <c r="K11666" s="1" t="str">
        <f t="shared" si="4"/>
        <v/>
      </c>
    </row>
    <row r="11667" hidden="1">
      <c r="F11667" s="1" t="str">
        <f t="shared" si="1"/>
        <v/>
      </c>
      <c r="G11667" s="1" t="str">
        <f t="shared" si="2"/>
        <v/>
      </c>
      <c r="J11667" s="1" t="str">
        <f t="shared" si="3"/>
        <v/>
      </c>
      <c r="K11667" s="1" t="str">
        <f t="shared" si="4"/>
        <v/>
      </c>
    </row>
    <row r="11668" hidden="1">
      <c r="F11668" s="1" t="str">
        <f t="shared" si="1"/>
        <v/>
      </c>
      <c r="G11668" s="1" t="str">
        <f t="shared" si="2"/>
        <v/>
      </c>
      <c r="J11668" s="1" t="str">
        <f t="shared" si="3"/>
        <v/>
      </c>
      <c r="K11668" s="1" t="str">
        <f t="shared" si="4"/>
        <v/>
      </c>
    </row>
    <row r="11669" hidden="1">
      <c r="F11669" s="1" t="str">
        <f t="shared" si="1"/>
        <v/>
      </c>
      <c r="G11669" s="1" t="str">
        <f t="shared" si="2"/>
        <v/>
      </c>
      <c r="J11669" s="1" t="str">
        <f t="shared" si="3"/>
        <v/>
      </c>
      <c r="K11669" s="1" t="str">
        <f t="shared" si="4"/>
        <v/>
      </c>
    </row>
    <row r="11670" hidden="1">
      <c r="F11670" s="1" t="str">
        <f t="shared" si="1"/>
        <v/>
      </c>
      <c r="G11670" s="1" t="str">
        <f t="shared" si="2"/>
        <v/>
      </c>
      <c r="J11670" s="1" t="str">
        <f t="shared" si="3"/>
        <v/>
      </c>
      <c r="K11670" s="1" t="str">
        <f t="shared" si="4"/>
        <v/>
      </c>
    </row>
    <row r="11671" hidden="1">
      <c r="F11671" s="1" t="str">
        <f t="shared" si="1"/>
        <v/>
      </c>
      <c r="G11671" s="1" t="str">
        <f t="shared" si="2"/>
        <v/>
      </c>
      <c r="J11671" s="1" t="str">
        <f t="shared" si="3"/>
        <v/>
      </c>
      <c r="K11671" s="1" t="str">
        <f t="shared" si="4"/>
        <v/>
      </c>
    </row>
    <row r="11672" hidden="1">
      <c r="F11672" s="1" t="str">
        <f t="shared" si="1"/>
        <v/>
      </c>
      <c r="G11672" s="1" t="str">
        <f t="shared" si="2"/>
        <v/>
      </c>
      <c r="J11672" s="1" t="str">
        <f t="shared" si="3"/>
        <v/>
      </c>
      <c r="K11672" s="1" t="str">
        <f t="shared" si="4"/>
        <v/>
      </c>
    </row>
    <row r="11673" hidden="1">
      <c r="F11673" s="1" t="str">
        <f t="shared" si="1"/>
        <v/>
      </c>
      <c r="G11673" s="1" t="str">
        <f t="shared" si="2"/>
        <v/>
      </c>
      <c r="J11673" s="1" t="str">
        <f t="shared" si="3"/>
        <v/>
      </c>
      <c r="K11673" s="1" t="str">
        <f t="shared" si="4"/>
        <v/>
      </c>
    </row>
    <row r="11674" hidden="1">
      <c r="F11674" s="1" t="str">
        <f t="shared" si="1"/>
        <v/>
      </c>
      <c r="G11674" s="1" t="str">
        <f t="shared" si="2"/>
        <v/>
      </c>
      <c r="J11674" s="1" t="str">
        <f t="shared" si="3"/>
        <v/>
      </c>
      <c r="K11674" s="1" t="str">
        <f t="shared" si="4"/>
        <v/>
      </c>
    </row>
    <row r="11675" hidden="1">
      <c r="F11675" s="1" t="str">
        <f t="shared" si="1"/>
        <v/>
      </c>
      <c r="G11675" s="1" t="str">
        <f t="shared" si="2"/>
        <v/>
      </c>
      <c r="J11675" s="1" t="str">
        <f t="shared" si="3"/>
        <v/>
      </c>
      <c r="K11675" s="1" t="str">
        <f t="shared" si="4"/>
        <v/>
      </c>
    </row>
    <row r="11676" hidden="1">
      <c r="F11676" s="1" t="str">
        <f t="shared" si="1"/>
        <v/>
      </c>
      <c r="G11676" s="1" t="str">
        <f t="shared" si="2"/>
        <v/>
      </c>
      <c r="J11676" s="1" t="str">
        <f t="shared" si="3"/>
        <v/>
      </c>
      <c r="K11676" s="1" t="str">
        <f t="shared" si="4"/>
        <v/>
      </c>
    </row>
    <row r="11677" hidden="1">
      <c r="F11677" s="1" t="str">
        <f t="shared" si="1"/>
        <v/>
      </c>
      <c r="G11677" s="1" t="str">
        <f t="shared" si="2"/>
        <v/>
      </c>
      <c r="J11677" s="1" t="str">
        <f t="shared" si="3"/>
        <v/>
      </c>
      <c r="K11677" s="1" t="str">
        <f t="shared" si="4"/>
        <v/>
      </c>
    </row>
    <row r="11678" hidden="1">
      <c r="F11678" s="1" t="str">
        <f t="shared" si="1"/>
        <v/>
      </c>
      <c r="G11678" s="1" t="str">
        <f t="shared" si="2"/>
        <v/>
      </c>
      <c r="J11678" s="1" t="str">
        <f t="shared" si="3"/>
        <v/>
      </c>
      <c r="K11678" s="1" t="str">
        <f t="shared" si="4"/>
        <v/>
      </c>
    </row>
    <row r="11679" hidden="1">
      <c r="F11679" s="1" t="str">
        <f t="shared" si="1"/>
        <v/>
      </c>
      <c r="G11679" s="1" t="str">
        <f t="shared" si="2"/>
        <v/>
      </c>
      <c r="J11679" s="1" t="str">
        <f t="shared" si="3"/>
        <v/>
      </c>
      <c r="K11679" s="1" t="str">
        <f t="shared" si="4"/>
        <v/>
      </c>
    </row>
    <row r="11680" hidden="1">
      <c r="F11680" s="1" t="str">
        <f t="shared" si="1"/>
        <v/>
      </c>
      <c r="G11680" s="1" t="str">
        <f t="shared" si="2"/>
        <v/>
      </c>
      <c r="J11680" s="1" t="str">
        <f t="shared" si="3"/>
        <v/>
      </c>
      <c r="K11680" s="1" t="str">
        <f t="shared" si="4"/>
        <v/>
      </c>
    </row>
    <row r="11681" hidden="1">
      <c r="F11681" s="1" t="str">
        <f t="shared" si="1"/>
        <v/>
      </c>
      <c r="G11681" s="1" t="str">
        <f t="shared" si="2"/>
        <v/>
      </c>
      <c r="J11681" s="1" t="str">
        <f t="shared" si="3"/>
        <v/>
      </c>
      <c r="K11681" s="1" t="str">
        <f t="shared" si="4"/>
        <v/>
      </c>
    </row>
    <row r="11682" hidden="1">
      <c r="F11682" s="1" t="str">
        <f t="shared" si="1"/>
        <v/>
      </c>
      <c r="G11682" s="1" t="str">
        <f t="shared" si="2"/>
        <v/>
      </c>
      <c r="J11682" s="1" t="str">
        <f t="shared" si="3"/>
        <v/>
      </c>
      <c r="K11682" s="1" t="str">
        <f t="shared" si="4"/>
        <v/>
      </c>
    </row>
    <row r="11683" hidden="1">
      <c r="F11683" s="1" t="str">
        <f t="shared" si="1"/>
        <v/>
      </c>
      <c r="G11683" s="1" t="str">
        <f t="shared" si="2"/>
        <v/>
      </c>
      <c r="J11683" s="1" t="str">
        <f t="shared" si="3"/>
        <v/>
      </c>
      <c r="K11683" s="1" t="str">
        <f t="shared" si="4"/>
        <v/>
      </c>
    </row>
    <row r="11684" hidden="1">
      <c r="F11684" s="1" t="str">
        <f t="shared" si="1"/>
        <v/>
      </c>
      <c r="G11684" s="1" t="str">
        <f t="shared" si="2"/>
        <v/>
      </c>
      <c r="J11684" s="1" t="str">
        <f t="shared" si="3"/>
        <v/>
      </c>
      <c r="K11684" s="1" t="str">
        <f t="shared" si="4"/>
        <v/>
      </c>
    </row>
    <row r="11685" hidden="1">
      <c r="F11685" s="1" t="str">
        <f t="shared" si="1"/>
        <v/>
      </c>
      <c r="G11685" s="1" t="str">
        <f t="shared" si="2"/>
        <v/>
      </c>
      <c r="J11685" s="1" t="str">
        <f t="shared" si="3"/>
        <v/>
      </c>
      <c r="K11685" s="1" t="str">
        <f t="shared" si="4"/>
        <v/>
      </c>
    </row>
    <row r="11686" hidden="1">
      <c r="F11686" s="1" t="str">
        <f t="shared" si="1"/>
        <v/>
      </c>
      <c r="G11686" s="1" t="str">
        <f t="shared" si="2"/>
        <v/>
      </c>
      <c r="J11686" s="1" t="str">
        <f t="shared" si="3"/>
        <v/>
      </c>
      <c r="K11686" s="1" t="str">
        <f t="shared" si="4"/>
        <v/>
      </c>
    </row>
    <row r="11687" hidden="1">
      <c r="F11687" s="1" t="str">
        <f t="shared" si="1"/>
        <v/>
      </c>
      <c r="G11687" s="1" t="str">
        <f t="shared" si="2"/>
        <v/>
      </c>
      <c r="J11687" s="1" t="str">
        <f t="shared" si="3"/>
        <v/>
      </c>
      <c r="K11687" s="1" t="str">
        <f t="shared" si="4"/>
        <v/>
      </c>
    </row>
    <row r="11688" hidden="1">
      <c r="F11688" s="1" t="str">
        <f t="shared" si="1"/>
        <v/>
      </c>
      <c r="G11688" s="1" t="str">
        <f t="shared" si="2"/>
        <v/>
      </c>
      <c r="J11688" s="1" t="str">
        <f t="shared" si="3"/>
        <v/>
      </c>
      <c r="K11688" s="1" t="str">
        <f t="shared" si="4"/>
        <v/>
      </c>
    </row>
    <row r="11689" hidden="1">
      <c r="F11689" s="1" t="str">
        <f t="shared" si="1"/>
        <v/>
      </c>
      <c r="G11689" s="1" t="str">
        <f t="shared" si="2"/>
        <v/>
      </c>
      <c r="J11689" s="1" t="str">
        <f t="shared" si="3"/>
        <v/>
      </c>
      <c r="K11689" s="1" t="str">
        <f t="shared" si="4"/>
        <v/>
      </c>
    </row>
    <row r="11690" hidden="1">
      <c r="F11690" s="1" t="str">
        <f t="shared" si="1"/>
        <v/>
      </c>
      <c r="G11690" s="1" t="str">
        <f t="shared" si="2"/>
        <v/>
      </c>
      <c r="J11690" s="1" t="str">
        <f t="shared" si="3"/>
        <v/>
      </c>
      <c r="K11690" s="1" t="str">
        <f t="shared" si="4"/>
        <v/>
      </c>
    </row>
    <row r="11691" hidden="1">
      <c r="F11691" s="1" t="str">
        <f t="shared" si="1"/>
        <v/>
      </c>
      <c r="G11691" s="1" t="str">
        <f t="shared" si="2"/>
        <v/>
      </c>
      <c r="J11691" s="1" t="str">
        <f t="shared" si="3"/>
        <v/>
      </c>
      <c r="K11691" s="1" t="str">
        <f t="shared" si="4"/>
        <v/>
      </c>
    </row>
    <row r="11692" hidden="1">
      <c r="F11692" s="1" t="str">
        <f t="shared" si="1"/>
        <v/>
      </c>
      <c r="G11692" s="1" t="str">
        <f t="shared" si="2"/>
        <v/>
      </c>
      <c r="J11692" s="1" t="str">
        <f t="shared" si="3"/>
        <v/>
      </c>
      <c r="K11692" s="1" t="str">
        <f t="shared" si="4"/>
        <v/>
      </c>
    </row>
    <row r="11693" hidden="1">
      <c r="F11693" s="1" t="str">
        <f t="shared" si="1"/>
        <v/>
      </c>
      <c r="G11693" s="1" t="str">
        <f t="shared" si="2"/>
        <v/>
      </c>
      <c r="J11693" s="1" t="str">
        <f t="shared" si="3"/>
        <v/>
      </c>
      <c r="K11693" s="1" t="str">
        <f t="shared" si="4"/>
        <v/>
      </c>
    </row>
    <row r="11694" hidden="1">
      <c r="F11694" s="1" t="str">
        <f t="shared" si="1"/>
        <v/>
      </c>
      <c r="G11694" s="1" t="str">
        <f t="shared" si="2"/>
        <v/>
      </c>
      <c r="J11694" s="1" t="str">
        <f t="shared" si="3"/>
        <v/>
      </c>
      <c r="K11694" s="1" t="str">
        <f t="shared" si="4"/>
        <v/>
      </c>
    </row>
    <row r="11695" hidden="1">
      <c r="F11695" s="1" t="str">
        <f t="shared" si="1"/>
        <v/>
      </c>
      <c r="G11695" s="1" t="str">
        <f t="shared" si="2"/>
        <v/>
      </c>
      <c r="J11695" s="1" t="str">
        <f t="shared" si="3"/>
        <v/>
      </c>
      <c r="K11695" s="1" t="str">
        <f t="shared" si="4"/>
        <v/>
      </c>
    </row>
    <row r="11696" hidden="1">
      <c r="F11696" s="1" t="str">
        <f t="shared" si="1"/>
        <v/>
      </c>
      <c r="G11696" s="1" t="str">
        <f t="shared" si="2"/>
        <v/>
      </c>
      <c r="J11696" s="1" t="str">
        <f t="shared" si="3"/>
        <v/>
      </c>
      <c r="K11696" s="1" t="str">
        <f t="shared" si="4"/>
        <v/>
      </c>
    </row>
    <row r="11697" hidden="1">
      <c r="F11697" s="1" t="str">
        <f t="shared" si="1"/>
        <v/>
      </c>
      <c r="G11697" s="1" t="str">
        <f t="shared" si="2"/>
        <v/>
      </c>
      <c r="J11697" s="1" t="str">
        <f t="shared" si="3"/>
        <v/>
      </c>
      <c r="K11697" s="1" t="str">
        <f t="shared" si="4"/>
        <v/>
      </c>
    </row>
    <row r="11698" hidden="1">
      <c r="F11698" s="1" t="str">
        <f t="shared" si="1"/>
        <v/>
      </c>
      <c r="G11698" s="1" t="str">
        <f t="shared" si="2"/>
        <v/>
      </c>
      <c r="J11698" s="1" t="str">
        <f t="shared" si="3"/>
        <v/>
      </c>
      <c r="K11698" s="1" t="str">
        <f t="shared" si="4"/>
        <v/>
      </c>
    </row>
    <row r="11699" hidden="1">
      <c r="F11699" s="1" t="str">
        <f t="shared" si="1"/>
        <v/>
      </c>
      <c r="G11699" s="1" t="str">
        <f t="shared" si="2"/>
        <v/>
      </c>
      <c r="J11699" s="1" t="str">
        <f t="shared" si="3"/>
        <v/>
      </c>
      <c r="K11699" s="1" t="str">
        <f t="shared" si="4"/>
        <v/>
      </c>
    </row>
    <row r="11700" hidden="1">
      <c r="F11700" s="1" t="str">
        <f t="shared" si="1"/>
        <v/>
      </c>
      <c r="G11700" s="1" t="str">
        <f t="shared" si="2"/>
        <v/>
      </c>
      <c r="J11700" s="1" t="str">
        <f t="shared" si="3"/>
        <v/>
      </c>
      <c r="K11700" s="1" t="str">
        <f t="shared" si="4"/>
        <v/>
      </c>
    </row>
    <row r="11701" hidden="1">
      <c r="F11701" s="1" t="str">
        <f t="shared" si="1"/>
        <v/>
      </c>
      <c r="G11701" s="1" t="str">
        <f t="shared" si="2"/>
        <v/>
      </c>
      <c r="J11701" s="1" t="str">
        <f t="shared" si="3"/>
        <v/>
      </c>
      <c r="K11701" s="1" t="str">
        <f t="shared" si="4"/>
        <v/>
      </c>
    </row>
    <row r="11702" hidden="1">
      <c r="F11702" s="1" t="str">
        <f t="shared" si="1"/>
        <v/>
      </c>
      <c r="G11702" s="1" t="str">
        <f t="shared" si="2"/>
        <v/>
      </c>
      <c r="J11702" s="1" t="str">
        <f t="shared" si="3"/>
        <v/>
      </c>
      <c r="K11702" s="1" t="str">
        <f t="shared" si="4"/>
        <v/>
      </c>
    </row>
    <row r="11703" hidden="1">
      <c r="F11703" s="1" t="str">
        <f t="shared" si="1"/>
        <v/>
      </c>
      <c r="G11703" s="1" t="str">
        <f t="shared" si="2"/>
        <v/>
      </c>
      <c r="J11703" s="1" t="str">
        <f t="shared" si="3"/>
        <v/>
      </c>
      <c r="K11703" s="1" t="str">
        <f t="shared" si="4"/>
        <v/>
      </c>
    </row>
    <row r="11704" hidden="1">
      <c r="F11704" s="1" t="str">
        <f t="shared" si="1"/>
        <v/>
      </c>
      <c r="G11704" s="1" t="str">
        <f t="shared" si="2"/>
        <v/>
      </c>
      <c r="J11704" s="1" t="str">
        <f t="shared" si="3"/>
        <v/>
      </c>
      <c r="K11704" s="1" t="str">
        <f t="shared" si="4"/>
        <v/>
      </c>
    </row>
    <row r="11705" hidden="1">
      <c r="F11705" s="1" t="str">
        <f t="shared" si="1"/>
        <v/>
      </c>
      <c r="G11705" s="1" t="str">
        <f t="shared" si="2"/>
        <v/>
      </c>
      <c r="J11705" s="1" t="str">
        <f t="shared" si="3"/>
        <v/>
      </c>
      <c r="K11705" s="1" t="str">
        <f t="shared" si="4"/>
        <v/>
      </c>
    </row>
    <row r="11706" hidden="1">
      <c r="F11706" s="1" t="str">
        <f t="shared" si="1"/>
        <v/>
      </c>
      <c r="G11706" s="1" t="str">
        <f t="shared" si="2"/>
        <v/>
      </c>
      <c r="J11706" s="1" t="str">
        <f t="shared" si="3"/>
        <v/>
      </c>
      <c r="K11706" s="1" t="str">
        <f t="shared" si="4"/>
        <v/>
      </c>
    </row>
    <row r="11707" hidden="1">
      <c r="F11707" s="1" t="str">
        <f t="shared" si="1"/>
        <v/>
      </c>
      <c r="G11707" s="1" t="str">
        <f t="shared" si="2"/>
        <v/>
      </c>
      <c r="J11707" s="1" t="str">
        <f t="shared" si="3"/>
        <v/>
      </c>
      <c r="K11707" s="1" t="str">
        <f t="shared" si="4"/>
        <v/>
      </c>
    </row>
    <row r="11708" hidden="1">
      <c r="F11708" s="1" t="str">
        <f t="shared" si="1"/>
        <v/>
      </c>
      <c r="G11708" s="1" t="str">
        <f t="shared" si="2"/>
        <v/>
      </c>
      <c r="J11708" s="1" t="str">
        <f t="shared" si="3"/>
        <v/>
      </c>
      <c r="K11708" s="1" t="str">
        <f t="shared" si="4"/>
        <v/>
      </c>
    </row>
    <row r="11709" hidden="1">
      <c r="F11709" s="1" t="str">
        <f t="shared" si="1"/>
        <v/>
      </c>
      <c r="G11709" s="1" t="str">
        <f t="shared" si="2"/>
        <v/>
      </c>
      <c r="J11709" s="1" t="str">
        <f t="shared" si="3"/>
        <v/>
      </c>
      <c r="K11709" s="1" t="str">
        <f t="shared" si="4"/>
        <v/>
      </c>
    </row>
    <row r="11710" hidden="1">
      <c r="F11710" s="1" t="str">
        <f t="shared" si="1"/>
        <v/>
      </c>
      <c r="G11710" s="1" t="str">
        <f t="shared" si="2"/>
        <v/>
      </c>
      <c r="J11710" s="1" t="str">
        <f t="shared" si="3"/>
        <v/>
      </c>
      <c r="K11710" s="1" t="str">
        <f t="shared" si="4"/>
        <v/>
      </c>
    </row>
    <row r="11711" hidden="1">
      <c r="F11711" s="1" t="str">
        <f t="shared" si="1"/>
        <v/>
      </c>
      <c r="G11711" s="1" t="str">
        <f t="shared" si="2"/>
        <v/>
      </c>
      <c r="J11711" s="1" t="str">
        <f t="shared" si="3"/>
        <v/>
      </c>
      <c r="K11711" s="1" t="str">
        <f t="shared" si="4"/>
        <v/>
      </c>
    </row>
    <row r="11712" hidden="1">
      <c r="F11712" s="1" t="str">
        <f t="shared" si="1"/>
        <v/>
      </c>
      <c r="G11712" s="1" t="str">
        <f t="shared" si="2"/>
        <v/>
      </c>
      <c r="J11712" s="1" t="str">
        <f t="shared" si="3"/>
        <v/>
      </c>
      <c r="K11712" s="1" t="str">
        <f t="shared" si="4"/>
        <v/>
      </c>
    </row>
    <row r="11713" hidden="1">
      <c r="F11713" s="1" t="str">
        <f t="shared" si="1"/>
        <v/>
      </c>
      <c r="G11713" s="1" t="str">
        <f t="shared" si="2"/>
        <v/>
      </c>
      <c r="J11713" s="1" t="str">
        <f t="shared" si="3"/>
        <v/>
      </c>
      <c r="K11713" s="1" t="str">
        <f t="shared" si="4"/>
        <v/>
      </c>
    </row>
    <row r="11714" hidden="1">
      <c r="F11714" s="1" t="str">
        <f t="shared" si="1"/>
        <v/>
      </c>
      <c r="G11714" s="1" t="str">
        <f t="shared" si="2"/>
        <v/>
      </c>
      <c r="J11714" s="1" t="str">
        <f t="shared" si="3"/>
        <v/>
      </c>
      <c r="K11714" s="1" t="str">
        <f t="shared" si="4"/>
        <v/>
      </c>
    </row>
    <row r="11715" hidden="1">
      <c r="F11715" s="1" t="str">
        <f t="shared" si="1"/>
        <v/>
      </c>
      <c r="G11715" s="1" t="str">
        <f t="shared" si="2"/>
        <v/>
      </c>
      <c r="J11715" s="1" t="str">
        <f t="shared" si="3"/>
        <v/>
      </c>
      <c r="K11715" s="1" t="str">
        <f t="shared" si="4"/>
        <v/>
      </c>
    </row>
    <row r="11716" hidden="1">
      <c r="F11716" s="1" t="str">
        <f t="shared" si="1"/>
        <v/>
      </c>
      <c r="G11716" s="1" t="str">
        <f t="shared" si="2"/>
        <v/>
      </c>
      <c r="J11716" s="1" t="str">
        <f t="shared" si="3"/>
        <v/>
      </c>
      <c r="K11716" s="1" t="str">
        <f t="shared" si="4"/>
        <v/>
      </c>
    </row>
    <row r="11717" hidden="1">
      <c r="F11717" s="1" t="str">
        <f t="shared" si="1"/>
        <v/>
      </c>
      <c r="G11717" s="1" t="str">
        <f t="shared" si="2"/>
        <v/>
      </c>
      <c r="J11717" s="1" t="str">
        <f t="shared" si="3"/>
        <v/>
      </c>
      <c r="K11717" s="1" t="str">
        <f t="shared" si="4"/>
        <v/>
      </c>
    </row>
    <row r="11718" hidden="1">
      <c r="F11718" s="1" t="str">
        <f t="shared" si="1"/>
        <v/>
      </c>
      <c r="G11718" s="1" t="str">
        <f t="shared" si="2"/>
        <v/>
      </c>
      <c r="J11718" s="1" t="str">
        <f t="shared" si="3"/>
        <v/>
      </c>
      <c r="K11718" s="1" t="str">
        <f t="shared" si="4"/>
        <v/>
      </c>
    </row>
    <row r="11719" hidden="1">
      <c r="F11719" s="1" t="str">
        <f t="shared" si="1"/>
        <v/>
      </c>
      <c r="G11719" s="1" t="str">
        <f t="shared" si="2"/>
        <v/>
      </c>
      <c r="J11719" s="1" t="str">
        <f t="shared" si="3"/>
        <v/>
      </c>
      <c r="K11719" s="1" t="str">
        <f t="shared" si="4"/>
        <v/>
      </c>
    </row>
    <row r="11720" hidden="1">
      <c r="F11720" s="1" t="str">
        <f t="shared" si="1"/>
        <v/>
      </c>
      <c r="G11720" s="1" t="str">
        <f t="shared" si="2"/>
        <v/>
      </c>
      <c r="J11720" s="1" t="str">
        <f t="shared" si="3"/>
        <v/>
      </c>
      <c r="K11720" s="1" t="str">
        <f t="shared" si="4"/>
        <v/>
      </c>
    </row>
    <row r="11721" hidden="1">
      <c r="F11721" s="1" t="str">
        <f t="shared" si="1"/>
        <v/>
      </c>
      <c r="G11721" s="1" t="str">
        <f t="shared" si="2"/>
        <v/>
      </c>
      <c r="J11721" s="1" t="str">
        <f t="shared" si="3"/>
        <v/>
      </c>
      <c r="K11721" s="1" t="str">
        <f t="shared" si="4"/>
        <v/>
      </c>
    </row>
    <row r="11722" hidden="1">
      <c r="F11722" s="1" t="str">
        <f t="shared" si="1"/>
        <v/>
      </c>
      <c r="G11722" s="1" t="str">
        <f t="shared" si="2"/>
        <v/>
      </c>
      <c r="J11722" s="1" t="str">
        <f t="shared" si="3"/>
        <v/>
      </c>
      <c r="K11722" s="1" t="str">
        <f t="shared" si="4"/>
        <v/>
      </c>
    </row>
    <row r="11723" hidden="1">
      <c r="F11723" s="1" t="str">
        <f t="shared" si="1"/>
        <v/>
      </c>
      <c r="G11723" s="1" t="str">
        <f t="shared" si="2"/>
        <v/>
      </c>
      <c r="J11723" s="1" t="str">
        <f t="shared" si="3"/>
        <v/>
      </c>
      <c r="K11723" s="1" t="str">
        <f t="shared" si="4"/>
        <v/>
      </c>
    </row>
    <row r="11724" hidden="1">
      <c r="F11724" s="1" t="str">
        <f t="shared" si="1"/>
        <v/>
      </c>
      <c r="G11724" s="1" t="str">
        <f t="shared" si="2"/>
        <v/>
      </c>
      <c r="J11724" s="1" t="str">
        <f t="shared" si="3"/>
        <v/>
      </c>
      <c r="K11724" s="1" t="str">
        <f t="shared" si="4"/>
        <v/>
      </c>
    </row>
    <row r="11725" hidden="1">
      <c r="F11725" s="1" t="str">
        <f t="shared" si="1"/>
        <v/>
      </c>
      <c r="G11725" s="1" t="str">
        <f t="shared" si="2"/>
        <v/>
      </c>
      <c r="J11725" s="1" t="str">
        <f t="shared" si="3"/>
        <v/>
      </c>
      <c r="K11725" s="1" t="str">
        <f t="shared" si="4"/>
        <v/>
      </c>
    </row>
    <row r="11726" hidden="1">
      <c r="F11726" s="1" t="str">
        <f t="shared" si="1"/>
        <v/>
      </c>
      <c r="G11726" s="1" t="str">
        <f t="shared" si="2"/>
        <v/>
      </c>
      <c r="J11726" s="1" t="str">
        <f t="shared" si="3"/>
        <v/>
      </c>
      <c r="K11726" s="1" t="str">
        <f t="shared" si="4"/>
        <v/>
      </c>
    </row>
    <row r="11727" hidden="1">
      <c r="F11727" s="1" t="str">
        <f t="shared" si="1"/>
        <v/>
      </c>
      <c r="G11727" s="1" t="str">
        <f t="shared" si="2"/>
        <v/>
      </c>
      <c r="J11727" s="1" t="str">
        <f t="shared" si="3"/>
        <v/>
      </c>
      <c r="K11727" s="1" t="str">
        <f t="shared" si="4"/>
        <v/>
      </c>
    </row>
    <row r="11728" hidden="1">
      <c r="F11728" s="1" t="str">
        <f t="shared" si="1"/>
        <v/>
      </c>
      <c r="G11728" s="1" t="str">
        <f t="shared" si="2"/>
        <v/>
      </c>
      <c r="J11728" s="1" t="str">
        <f t="shared" si="3"/>
        <v/>
      </c>
      <c r="K11728" s="1" t="str">
        <f t="shared" si="4"/>
        <v/>
      </c>
    </row>
    <row r="11729" hidden="1">
      <c r="F11729" s="1" t="str">
        <f t="shared" si="1"/>
        <v/>
      </c>
      <c r="G11729" s="1" t="str">
        <f t="shared" si="2"/>
        <v/>
      </c>
      <c r="J11729" s="1" t="str">
        <f t="shared" si="3"/>
        <v/>
      </c>
      <c r="K11729" s="1" t="str">
        <f t="shared" si="4"/>
        <v/>
      </c>
    </row>
    <row r="11730" hidden="1">
      <c r="F11730" s="1" t="str">
        <f t="shared" si="1"/>
        <v/>
      </c>
      <c r="G11730" s="1" t="str">
        <f t="shared" si="2"/>
        <v/>
      </c>
      <c r="J11730" s="1" t="str">
        <f t="shared" si="3"/>
        <v/>
      </c>
      <c r="K11730" s="1" t="str">
        <f t="shared" si="4"/>
        <v/>
      </c>
    </row>
    <row r="11731" hidden="1">
      <c r="F11731" s="1" t="str">
        <f t="shared" si="1"/>
        <v/>
      </c>
      <c r="G11731" s="1" t="str">
        <f t="shared" si="2"/>
        <v/>
      </c>
      <c r="J11731" s="1" t="str">
        <f t="shared" si="3"/>
        <v/>
      </c>
      <c r="K11731" s="1" t="str">
        <f t="shared" si="4"/>
        <v/>
      </c>
    </row>
    <row r="11732" hidden="1">
      <c r="F11732" s="1" t="str">
        <f t="shared" si="1"/>
        <v/>
      </c>
      <c r="G11732" s="1" t="str">
        <f t="shared" si="2"/>
        <v/>
      </c>
      <c r="J11732" s="1" t="str">
        <f t="shared" si="3"/>
        <v/>
      </c>
      <c r="K11732" s="1" t="str">
        <f t="shared" si="4"/>
        <v/>
      </c>
    </row>
    <row r="11733" hidden="1">
      <c r="F11733" s="1" t="str">
        <f t="shared" si="1"/>
        <v/>
      </c>
      <c r="G11733" s="1" t="str">
        <f t="shared" si="2"/>
        <v/>
      </c>
      <c r="J11733" s="1" t="str">
        <f t="shared" si="3"/>
        <v/>
      </c>
      <c r="K11733" s="1" t="str">
        <f t="shared" si="4"/>
        <v/>
      </c>
    </row>
    <row r="11734" hidden="1">
      <c r="F11734" s="1" t="str">
        <f t="shared" si="1"/>
        <v/>
      </c>
      <c r="G11734" s="1" t="str">
        <f t="shared" si="2"/>
        <v/>
      </c>
      <c r="J11734" s="1" t="str">
        <f t="shared" si="3"/>
        <v/>
      </c>
      <c r="K11734" s="1" t="str">
        <f t="shared" si="4"/>
        <v/>
      </c>
    </row>
    <row r="11735" hidden="1">
      <c r="F11735" s="1" t="str">
        <f t="shared" si="1"/>
        <v/>
      </c>
      <c r="G11735" s="1" t="str">
        <f t="shared" si="2"/>
        <v/>
      </c>
      <c r="J11735" s="1" t="str">
        <f t="shared" si="3"/>
        <v/>
      </c>
      <c r="K11735" s="1" t="str">
        <f t="shared" si="4"/>
        <v/>
      </c>
    </row>
    <row r="11736" hidden="1">
      <c r="F11736" s="1" t="str">
        <f t="shared" si="1"/>
        <v/>
      </c>
      <c r="G11736" s="1" t="str">
        <f t="shared" si="2"/>
        <v/>
      </c>
      <c r="J11736" s="1" t="str">
        <f t="shared" si="3"/>
        <v/>
      </c>
      <c r="K11736" s="1" t="str">
        <f t="shared" si="4"/>
        <v/>
      </c>
    </row>
    <row r="11737" hidden="1">
      <c r="F11737" s="1" t="str">
        <f t="shared" si="1"/>
        <v/>
      </c>
      <c r="G11737" s="1" t="str">
        <f t="shared" si="2"/>
        <v/>
      </c>
      <c r="J11737" s="1" t="str">
        <f t="shared" si="3"/>
        <v/>
      </c>
      <c r="K11737" s="1" t="str">
        <f t="shared" si="4"/>
        <v/>
      </c>
    </row>
    <row r="11738" hidden="1">
      <c r="F11738" s="1" t="str">
        <f t="shared" si="1"/>
        <v/>
      </c>
      <c r="G11738" s="1" t="str">
        <f t="shared" si="2"/>
        <v/>
      </c>
      <c r="J11738" s="1" t="str">
        <f t="shared" si="3"/>
        <v/>
      </c>
      <c r="K11738" s="1" t="str">
        <f t="shared" si="4"/>
        <v/>
      </c>
    </row>
    <row r="11739" hidden="1">
      <c r="F11739" s="1" t="str">
        <f t="shared" si="1"/>
        <v/>
      </c>
      <c r="G11739" s="1" t="str">
        <f t="shared" si="2"/>
        <v/>
      </c>
      <c r="J11739" s="1" t="str">
        <f t="shared" si="3"/>
        <v/>
      </c>
      <c r="K11739" s="1" t="str">
        <f t="shared" si="4"/>
        <v/>
      </c>
    </row>
    <row r="11740" hidden="1">
      <c r="F11740" s="1" t="str">
        <f t="shared" si="1"/>
        <v/>
      </c>
      <c r="G11740" s="1" t="str">
        <f t="shared" si="2"/>
        <v/>
      </c>
      <c r="J11740" s="1" t="str">
        <f t="shared" si="3"/>
        <v/>
      </c>
      <c r="K11740" s="1" t="str">
        <f t="shared" si="4"/>
        <v/>
      </c>
    </row>
    <row r="11741" hidden="1">
      <c r="F11741" s="1" t="str">
        <f t="shared" si="1"/>
        <v/>
      </c>
      <c r="G11741" s="1" t="str">
        <f t="shared" si="2"/>
        <v/>
      </c>
      <c r="J11741" s="1" t="str">
        <f t="shared" si="3"/>
        <v/>
      </c>
      <c r="K11741" s="1" t="str">
        <f t="shared" si="4"/>
        <v/>
      </c>
    </row>
    <row r="11742" hidden="1">
      <c r="F11742" s="1" t="str">
        <f t="shared" si="1"/>
        <v/>
      </c>
      <c r="G11742" s="1" t="str">
        <f t="shared" si="2"/>
        <v/>
      </c>
      <c r="J11742" s="1" t="str">
        <f t="shared" si="3"/>
        <v/>
      </c>
      <c r="K11742" s="1" t="str">
        <f t="shared" si="4"/>
        <v/>
      </c>
    </row>
    <row r="11743" hidden="1">
      <c r="F11743" s="1" t="str">
        <f t="shared" si="1"/>
        <v/>
      </c>
      <c r="G11743" s="1" t="str">
        <f t="shared" si="2"/>
        <v/>
      </c>
      <c r="J11743" s="1" t="str">
        <f t="shared" si="3"/>
        <v/>
      </c>
      <c r="K11743" s="1" t="str">
        <f t="shared" si="4"/>
        <v/>
      </c>
    </row>
    <row r="11744" hidden="1">
      <c r="F11744" s="1" t="str">
        <f t="shared" si="1"/>
        <v/>
      </c>
      <c r="G11744" s="1" t="str">
        <f t="shared" si="2"/>
        <v/>
      </c>
      <c r="J11744" s="1" t="str">
        <f t="shared" si="3"/>
        <v/>
      </c>
      <c r="K11744" s="1" t="str">
        <f t="shared" si="4"/>
        <v/>
      </c>
    </row>
    <row r="11745" hidden="1">
      <c r="F11745" s="1" t="str">
        <f t="shared" si="1"/>
        <v/>
      </c>
      <c r="G11745" s="1" t="str">
        <f t="shared" si="2"/>
        <v/>
      </c>
      <c r="J11745" s="1" t="str">
        <f t="shared" si="3"/>
        <v/>
      </c>
      <c r="K11745" s="1" t="str">
        <f t="shared" si="4"/>
        <v/>
      </c>
    </row>
    <row r="11746" hidden="1">
      <c r="F11746" s="1" t="str">
        <f t="shared" si="1"/>
        <v/>
      </c>
      <c r="G11746" s="1" t="str">
        <f t="shared" si="2"/>
        <v/>
      </c>
      <c r="J11746" s="1" t="str">
        <f t="shared" si="3"/>
        <v/>
      </c>
      <c r="K11746" s="1" t="str">
        <f t="shared" si="4"/>
        <v/>
      </c>
    </row>
    <row r="11747" hidden="1">
      <c r="F11747" s="1" t="str">
        <f t="shared" si="1"/>
        <v/>
      </c>
      <c r="G11747" s="1" t="str">
        <f t="shared" si="2"/>
        <v/>
      </c>
      <c r="J11747" s="1" t="str">
        <f t="shared" si="3"/>
        <v/>
      </c>
      <c r="K11747" s="1" t="str">
        <f t="shared" si="4"/>
        <v/>
      </c>
    </row>
    <row r="11748" hidden="1">
      <c r="F11748" s="1" t="str">
        <f t="shared" si="1"/>
        <v/>
      </c>
      <c r="G11748" s="1" t="str">
        <f t="shared" si="2"/>
        <v/>
      </c>
      <c r="J11748" s="1" t="str">
        <f t="shared" si="3"/>
        <v/>
      </c>
      <c r="K11748" s="1" t="str">
        <f t="shared" si="4"/>
        <v/>
      </c>
    </row>
    <row r="11749" hidden="1">
      <c r="F11749" s="1" t="str">
        <f t="shared" si="1"/>
        <v/>
      </c>
      <c r="G11749" s="1" t="str">
        <f t="shared" si="2"/>
        <v/>
      </c>
      <c r="J11749" s="1" t="str">
        <f t="shared" si="3"/>
        <v/>
      </c>
      <c r="K11749" s="1" t="str">
        <f t="shared" si="4"/>
        <v/>
      </c>
    </row>
    <row r="11750" hidden="1">
      <c r="F11750" s="1" t="str">
        <f t="shared" si="1"/>
        <v/>
      </c>
      <c r="G11750" s="1" t="str">
        <f t="shared" si="2"/>
        <v/>
      </c>
      <c r="J11750" s="1" t="str">
        <f t="shared" si="3"/>
        <v/>
      </c>
      <c r="K11750" s="1" t="str">
        <f t="shared" si="4"/>
        <v/>
      </c>
    </row>
    <row r="11751" hidden="1">
      <c r="F11751" s="1" t="str">
        <f t="shared" si="1"/>
        <v/>
      </c>
      <c r="G11751" s="1" t="str">
        <f t="shared" si="2"/>
        <v/>
      </c>
      <c r="J11751" s="1" t="str">
        <f t="shared" si="3"/>
        <v/>
      </c>
      <c r="K11751" s="1" t="str">
        <f t="shared" si="4"/>
        <v/>
      </c>
    </row>
    <row r="11752" hidden="1">
      <c r="F11752" s="1" t="str">
        <f t="shared" si="1"/>
        <v/>
      </c>
      <c r="G11752" s="1" t="str">
        <f t="shared" si="2"/>
        <v/>
      </c>
      <c r="J11752" s="1" t="str">
        <f t="shared" si="3"/>
        <v/>
      </c>
      <c r="K11752" s="1" t="str">
        <f t="shared" si="4"/>
        <v/>
      </c>
    </row>
    <row r="11753" hidden="1">
      <c r="F11753" s="1" t="str">
        <f t="shared" si="1"/>
        <v/>
      </c>
      <c r="G11753" s="1" t="str">
        <f t="shared" si="2"/>
        <v/>
      </c>
      <c r="J11753" s="1" t="str">
        <f t="shared" si="3"/>
        <v/>
      </c>
      <c r="K11753" s="1" t="str">
        <f t="shared" si="4"/>
        <v/>
      </c>
    </row>
    <row r="11754" hidden="1">
      <c r="F11754" s="1" t="str">
        <f t="shared" si="1"/>
        <v/>
      </c>
      <c r="G11754" s="1" t="str">
        <f t="shared" si="2"/>
        <v/>
      </c>
      <c r="J11754" s="1" t="str">
        <f t="shared" si="3"/>
        <v/>
      </c>
      <c r="K11754" s="1" t="str">
        <f t="shared" si="4"/>
        <v/>
      </c>
    </row>
    <row r="11755" hidden="1">
      <c r="F11755" s="1" t="str">
        <f t="shared" si="1"/>
        <v/>
      </c>
      <c r="G11755" s="1" t="str">
        <f t="shared" si="2"/>
        <v/>
      </c>
      <c r="J11755" s="1" t="str">
        <f t="shared" si="3"/>
        <v/>
      </c>
      <c r="K11755" s="1" t="str">
        <f t="shared" si="4"/>
        <v/>
      </c>
    </row>
    <row r="11756" hidden="1">
      <c r="F11756" s="1" t="str">
        <f t="shared" si="1"/>
        <v/>
      </c>
      <c r="G11756" s="1" t="str">
        <f t="shared" si="2"/>
        <v/>
      </c>
      <c r="J11756" s="1" t="str">
        <f t="shared" si="3"/>
        <v/>
      </c>
      <c r="K11756" s="1" t="str">
        <f t="shared" si="4"/>
        <v/>
      </c>
    </row>
    <row r="11757" hidden="1">
      <c r="F11757" s="1" t="str">
        <f t="shared" si="1"/>
        <v/>
      </c>
      <c r="G11757" s="1" t="str">
        <f t="shared" si="2"/>
        <v/>
      </c>
      <c r="J11757" s="1" t="str">
        <f t="shared" si="3"/>
        <v/>
      </c>
      <c r="K11757" s="1" t="str">
        <f t="shared" si="4"/>
        <v/>
      </c>
    </row>
    <row r="11758" hidden="1">
      <c r="F11758" s="1" t="str">
        <f t="shared" si="1"/>
        <v/>
      </c>
      <c r="G11758" s="1" t="str">
        <f t="shared" si="2"/>
        <v/>
      </c>
      <c r="J11758" s="1" t="str">
        <f t="shared" si="3"/>
        <v/>
      </c>
      <c r="K11758" s="1" t="str">
        <f t="shared" si="4"/>
        <v/>
      </c>
    </row>
    <row r="11759" hidden="1">
      <c r="F11759" s="1" t="str">
        <f t="shared" si="1"/>
        <v/>
      </c>
      <c r="G11759" s="1" t="str">
        <f t="shared" si="2"/>
        <v/>
      </c>
      <c r="J11759" s="1" t="str">
        <f t="shared" si="3"/>
        <v/>
      </c>
      <c r="K11759" s="1" t="str">
        <f t="shared" si="4"/>
        <v/>
      </c>
    </row>
    <row r="11760" hidden="1">
      <c r="F11760" s="1" t="str">
        <f t="shared" si="1"/>
        <v/>
      </c>
      <c r="G11760" s="1" t="str">
        <f t="shared" si="2"/>
        <v/>
      </c>
      <c r="J11760" s="1" t="str">
        <f t="shared" si="3"/>
        <v/>
      </c>
      <c r="K11760" s="1" t="str">
        <f t="shared" si="4"/>
        <v/>
      </c>
    </row>
    <row r="11761" hidden="1">
      <c r="F11761" s="1" t="str">
        <f t="shared" si="1"/>
        <v/>
      </c>
      <c r="G11761" s="1" t="str">
        <f t="shared" si="2"/>
        <v/>
      </c>
      <c r="J11761" s="1" t="str">
        <f t="shared" si="3"/>
        <v/>
      </c>
      <c r="K11761" s="1" t="str">
        <f t="shared" si="4"/>
        <v/>
      </c>
    </row>
    <row r="11762" hidden="1">
      <c r="F11762" s="1" t="str">
        <f t="shared" si="1"/>
        <v/>
      </c>
      <c r="G11762" s="1" t="str">
        <f t="shared" si="2"/>
        <v/>
      </c>
      <c r="J11762" s="1" t="str">
        <f t="shared" si="3"/>
        <v/>
      </c>
      <c r="K11762" s="1" t="str">
        <f t="shared" si="4"/>
        <v/>
      </c>
    </row>
    <row r="11763" hidden="1">
      <c r="F11763" s="1" t="str">
        <f t="shared" si="1"/>
        <v/>
      </c>
      <c r="G11763" s="1" t="str">
        <f t="shared" si="2"/>
        <v/>
      </c>
      <c r="J11763" s="1" t="str">
        <f t="shared" si="3"/>
        <v/>
      </c>
      <c r="K11763" s="1" t="str">
        <f t="shared" si="4"/>
        <v/>
      </c>
    </row>
    <row r="11764" hidden="1">
      <c r="F11764" s="1" t="str">
        <f t="shared" si="1"/>
        <v/>
      </c>
      <c r="G11764" s="1" t="str">
        <f t="shared" si="2"/>
        <v/>
      </c>
      <c r="J11764" s="1" t="str">
        <f t="shared" si="3"/>
        <v/>
      </c>
      <c r="K11764" s="1" t="str">
        <f t="shared" si="4"/>
        <v/>
      </c>
    </row>
    <row r="11765" hidden="1">
      <c r="F11765" s="1" t="str">
        <f t="shared" si="1"/>
        <v/>
      </c>
      <c r="G11765" s="1" t="str">
        <f t="shared" si="2"/>
        <v/>
      </c>
      <c r="J11765" s="1" t="str">
        <f t="shared" si="3"/>
        <v/>
      </c>
      <c r="K11765" s="1" t="str">
        <f t="shared" si="4"/>
        <v/>
      </c>
    </row>
    <row r="11766" hidden="1">
      <c r="F11766" s="1" t="str">
        <f t="shared" si="1"/>
        <v/>
      </c>
      <c r="G11766" s="1" t="str">
        <f t="shared" si="2"/>
        <v/>
      </c>
      <c r="J11766" s="1" t="str">
        <f t="shared" si="3"/>
        <v/>
      </c>
      <c r="K11766" s="1" t="str">
        <f t="shared" si="4"/>
        <v/>
      </c>
    </row>
    <row r="11767" hidden="1">
      <c r="F11767" s="1" t="str">
        <f t="shared" si="1"/>
        <v/>
      </c>
      <c r="G11767" s="1" t="str">
        <f t="shared" si="2"/>
        <v/>
      </c>
      <c r="J11767" s="1" t="str">
        <f t="shared" si="3"/>
        <v/>
      </c>
      <c r="K11767" s="1" t="str">
        <f t="shared" si="4"/>
        <v/>
      </c>
    </row>
    <row r="11768" hidden="1">
      <c r="F11768" s="1" t="str">
        <f t="shared" si="1"/>
        <v/>
      </c>
      <c r="G11768" s="1" t="str">
        <f t="shared" si="2"/>
        <v/>
      </c>
      <c r="J11768" s="1" t="str">
        <f t="shared" si="3"/>
        <v/>
      </c>
      <c r="K11768" s="1" t="str">
        <f t="shared" si="4"/>
        <v/>
      </c>
    </row>
    <row r="11769" hidden="1">
      <c r="F11769" s="1" t="str">
        <f t="shared" si="1"/>
        <v/>
      </c>
      <c r="G11769" s="1" t="str">
        <f t="shared" si="2"/>
        <v/>
      </c>
      <c r="J11769" s="1" t="str">
        <f t="shared" si="3"/>
        <v/>
      </c>
      <c r="K11769" s="1" t="str">
        <f t="shared" si="4"/>
        <v/>
      </c>
    </row>
    <row r="11770" hidden="1">
      <c r="F11770" s="1" t="str">
        <f t="shared" si="1"/>
        <v/>
      </c>
      <c r="G11770" s="1" t="str">
        <f t="shared" si="2"/>
        <v/>
      </c>
      <c r="J11770" s="1" t="str">
        <f t="shared" si="3"/>
        <v/>
      </c>
      <c r="K11770" s="1" t="str">
        <f t="shared" si="4"/>
        <v/>
      </c>
    </row>
    <row r="11771" hidden="1">
      <c r="F11771" s="1" t="str">
        <f t="shared" si="1"/>
        <v/>
      </c>
      <c r="G11771" s="1" t="str">
        <f t="shared" si="2"/>
        <v/>
      </c>
      <c r="J11771" s="1" t="str">
        <f t="shared" si="3"/>
        <v/>
      </c>
      <c r="K11771" s="1" t="str">
        <f t="shared" si="4"/>
        <v/>
      </c>
    </row>
    <row r="11772" hidden="1">
      <c r="F11772" s="1" t="str">
        <f t="shared" si="1"/>
        <v/>
      </c>
      <c r="G11772" s="1" t="str">
        <f t="shared" si="2"/>
        <v/>
      </c>
      <c r="J11772" s="1" t="str">
        <f t="shared" si="3"/>
        <v/>
      </c>
      <c r="K11772" s="1" t="str">
        <f t="shared" si="4"/>
        <v/>
      </c>
    </row>
    <row r="11773" hidden="1">
      <c r="F11773" s="1" t="str">
        <f t="shared" si="1"/>
        <v/>
      </c>
      <c r="G11773" s="1" t="str">
        <f t="shared" si="2"/>
        <v/>
      </c>
      <c r="J11773" s="1" t="str">
        <f t="shared" si="3"/>
        <v/>
      </c>
      <c r="K11773" s="1" t="str">
        <f t="shared" si="4"/>
        <v/>
      </c>
    </row>
    <row r="11774" hidden="1">
      <c r="F11774" s="1" t="str">
        <f t="shared" si="1"/>
        <v/>
      </c>
      <c r="G11774" s="1" t="str">
        <f t="shared" si="2"/>
        <v/>
      </c>
      <c r="J11774" s="1" t="str">
        <f t="shared" si="3"/>
        <v/>
      </c>
      <c r="K11774" s="1" t="str">
        <f t="shared" si="4"/>
        <v/>
      </c>
    </row>
    <row r="11775" hidden="1">
      <c r="F11775" s="1" t="str">
        <f t="shared" si="1"/>
        <v/>
      </c>
      <c r="G11775" s="1" t="str">
        <f t="shared" si="2"/>
        <v/>
      </c>
      <c r="J11775" s="1" t="str">
        <f t="shared" si="3"/>
        <v/>
      </c>
      <c r="K11775" s="1" t="str">
        <f t="shared" si="4"/>
        <v/>
      </c>
    </row>
    <row r="11776" hidden="1">
      <c r="F11776" s="1" t="str">
        <f t="shared" si="1"/>
        <v/>
      </c>
      <c r="G11776" s="1" t="str">
        <f t="shared" si="2"/>
        <v/>
      </c>
      <c r="J11776" s="1" t="str">
        <f t="shared" si="3"/>
        <v/>
      </c>
      <c r="K11776" s="1" t="str">
        <f t="shared" si="4"/>
        <v/>
      </c>
    </row>
    <row r="11777" hidden="1">
      <c r="F11777" s="1" t="str">
        <f t="shared" si="1"/>
        <v/>
      </c>
      <c r="G11777" s="1" t="str">
        <f t="shared" si="2"/>
        <v/>
      </c>
      <c r="J11777" s="1" t="str">
        <f t="shared" si="3"/>
        <v/>
      </c>
      <c r="K11777" s="1" t="str">
        <f t="shared" si="4"/>
        <v/>
      </c>
    </row>
    <row r="11778" hidden="1">
      <c r="F11778" s="1" t="str">
        <f t="shared" si="1"/>
        <v/>
      </c>
      <c r="G11778" s="1" t="str">
        <f t="shared" si="2"/>
        <v/>
      </c>
      <c r="J11778" s="1" t="str">
        <f t="shared" si="3"/>
        <v/>
      </c>
      <c r="K11778" s="1" t="str">
        <f t="shared" si="4"/>
        <v/>
      </c>
    </row>
    <row r="11779" hidden="1">
      <c r="F11779" s="1" t="str">
        <f t="shared" si="1"/>
        <v/>
      </c>
      <c r="G11779" s="1" t="str">
        <f t="shared" si="2"/>
        <v/>
      </c>
      <c r="J11779" s="1" t="str">
        <f t="shared" si="3"/>
        <v/>
      </c>
      <c r="K11779" s="1" t="str">
        <f t="shared" si="4"/>
        <v/>
      </c>
    </row>
    <row r="11780" hidden="1">
      <c r="F11780" s="1" t="str">
        <f t="shared" si="1"/>
        <v/>
      </c>
      <c r="G11780" s="1" t="str">
        <f t="shared" si="2"/>
        <v/>
      </c>
      <c r="J11780" s="1" t="str">
        <f t="shared" si="3"/>
        <v/>
      </c>
      <c r="K11780" s="1" t="str">
        <f t="shared" si="4"/>
        <v/>
      </c>
    </row>
    <row r="11781" hidden="1">
      <c r="F11781" s="1" t="str">
        <f t="shared" si="1"/>
        <v/>
      </c>
      <c r="G11781" s="1" t="str">
        <f t="shared" si="2"/>
        <v/>
      </c>
      <c r="J11781" s="1" t="str">
        <f t="shared" si="3"/>
        <v/>
      </c>
      <c r="K11781" s="1" t="str">
        <f t="shared" si="4"/>
        <v/>
      </c>
    </row>
    <row r="11782" hidden="1">
      <c r="F11782" s="1" t="str">
        <f t="shared" si="1"/>
        <v/>
      </c>
      <c r="G11782" s="1" t="str">
        <f t="shared" si="2"/>
        <v/>
      </c>
      <c r="J11782" s="1" t="str">
        <f t="shared" si="3"/>
        <v/>
      </c>
      <c r="K11782" s="1" t="str">
        <f t="shared" si="4"/>
        <v/>
      </c>
    </row>
    <row r="11783" hidden="1">
      <c r="F11783" s="1" t="str">
        <f t="shared" si="1"/>
        <v/>
      </c>
      <c r="G11783" s="1" t="str">
        <f t="shared" si="2"/>
        <v/>
      </c>
      <c r="J11783" s="1" t="str">
        <f t="shared" si="3"/>
        <v/>
      </c>
      <c r="K11783" s="1" t="str">
        <f t="shared" si="4"/>
        <v/>
      </c>
    </row>
    <row r="11784" hidden="1">
      <c r="F11784" s="1" t="str">
        <f t="shared" si="1"/>
        <v/>
      </c>
      <c r="G11784" s="1" t="str">
        <f t="shared" si="2"/>
        <v/>
      </c>
      <c r="J11784" s="1" t="str">
        <f t="shared" si="3"/>
        <v/>
      </c>
      <c r="K11784" s="1" t="str">
        <f t="shared" si="4"/>
        <v/>
      </c>
    </row>
    <row r="11785" hidden="1">
      <c r="F11785" s="1" t="str">
        <f t="shared" si="1"/>
        <v/>
      </c>
      <c r="G11785" s="1" t="str">
        <f t="shared" si="2"/>
        <v/>
      </c>
      <c r="J11785" s="1" t="str">
        <f t="shared" si="3"/>
        <v/>
      </c>
      <c r="K11785" s="1" t="str">
        <f t="shared" si="4"/>
        <v/>
      </c>
    </row>
    <row r="11786" hidden="1">
      <c r="F11786" s="1" t="str">
        <f t="shared" si="1"/>
        <v/>
      </c>
      <c r="G11786" s="1" t="str">
        <f t="shared" si="2"/>
        <v/>
      </c>
      <c r="J11786" s="1" t="str">
        <f t="shared" si="3"/>
        <v/>
      </c>
      <c r="K11786" s="1" t="str">
        <f t="shared" si="4"/>
        <v/>
      </c>
    </row>
    <row r="11787" hidden="1">
      <c r="F11787" s="1" t="str">
        <f t="shared" si="1"/>
        <v/>
      </c>
      <c r="G11787" s="1" t="str">
        <f t="shared" si="2"/>
        <v/>
      </c>
      <c r="J11787" s="1" t="str">
        <f t="shared" si="3"/>
        <v/>
      </c>
      <c r="K11787" s="1" t="str">
        <f t="shared" si="4"/>
        <v/>
      </c>
    </row>
    <row r="11788" hidden="1">
      <c r="F11788" s="1" t="str">
        <f t="shared" si="1"/>
        <v/>
      </c>
      <c r="G11788" s="1" t="str">
        <f t="shared" si="2"/>
        <v/>
      </c>
      <c r="J11788" s="1" t="str">
        <f t="shared" si="3"/>
        <v/>
      </c>
      <c r="K11788" s="1" t="str">
        <f t="shared" si="4"/>
        <v/>
      </c>
    </row>
    <row r="11789" hidden="1">
      <c r="F11789" s="1" t="str">
        <f t="shared" si="1"/>
        <v/>
      </c>
      <c r="G11789" s="1" t="str">
        <f t="shared" si="2"/>
        <v/>
      </c>
      <c r="J11789" s="1" t="str">
        <f t="shared" si="3"/>
        <v/>
      </c>
      <c r="K11789" s="1" t="str">
        <f t="shared" si="4"/>
        <v/>
      </c>
    </row>
    <row r="11790" hidden="1">
      <c r="F11790" s="1" t="str">
        <f t="shared" si="1"/>
        <v/>
      </c>
      <c r="G11790" s="1" t="str">
        <f t="shared" si="2"/>
        <v/>
      </c>
      <c r="J11790" s="1" t="str">
        <f t="shared" si="3"/>
        <v/>
      </c>
      <c r="K11790" s="1" t="str">
        <f t="shared" si="4"/>
        <v/>
      </c>
    </row>
    <row r="11791" hidden="1">
      <c r="F11791" s="1" t="str">
        <f t="shared" si="1"/>
        <v/>
      </c>
      <c r="G11791" s="1" t="str">
        <f t="shared" si="2"/>
        <v/>
      </c>
      <c r="J11791" s="1" t="str">
        <f t="shared" si="3"/>
        <v/>
      </c>
      <c r="K11791" s="1" t="str">
        <f t="shared" si="4"/>
        <v/>
      </c>
    </row>
    <row r="11792" hidden="1">
      <c r="F11792" s="1" t="str">
        <f t="shared" si="1"/>
        <v/>
      </c>
      <c r="G11792" s="1" t="str">
        <f t="shared" si="2"/>
        <v/>
      </c>
      <c r="J11792" s="1" t="str">
        <f t="shared" si="3"/>
        <v/>
      </c>
      <c r="K11792" s="1" t="str">
        <f t="shared" si="4"/>
        <v/>
      </c>
    </row>
    <row r="11793" hidden="1">
      <c r="F11793" s="1" t="str">
        <f t="shared" si="1"/>
        <v/>
      </c>
      <c r="G11793" s="1" t="str">
        <f t="shared" si="2"/>
        <v/>
      </c>
      <c r="J11793" s="1" t="str">
        <f t="shared" si="3"/>
        <v/>
      </c>
      <c r="K11793" s="1" t="str">
        <f t="shared" si="4"/>
        <v/>
      </c>
    </row>
    <row r="11794" hidden="1">
      <c r="F11794" s="1" t="str">
        <f t="shared" si="1"/>
        <v/>
      </c>
      <c r="G11794" s="1" t="str">
        <f t="shared" si="2"/>
        <v/>
      </c>
      <c r="J11794" s="1" t="str">
        <f t="shared" si="3"/>
        <v/>
      </c>
      <c r="K11794" s="1" t="str">
        <f t="shared" si="4"/>
        <v/>
      </c>
    </row>
    <row r="11795" hidden="1">
      <c r="F11795" s="1" t="str">
        <f t="shared" si="1"/>
        <v/>
      </c>
      <c r="G11795" s="1" t="str">
        <f t="shared" si="2"/>
        <v/>
      </c>
      <c r="J11795" s="1" t="str">
        <f t="shared" si="3"/>
        <v/>
      </c>
      <c r="K11795" s="1" t="str">
        <f t="shared" si="4"/>
        <v/>
      </c>
    </row>
    <row r="11796" hidden="1">
      <c r="F11796" s="1" t="str">
        <f t="shared" si="1"/>
        <v/>
      </c>
      <c r="G11796" s="1" t="str">
        <f t="shared" si="2"/>
        <v/>
      </c>
      <c r="J11796" s="1" t="str">
        <f t="shared" si="3"/>
        <v/>
      </c>
      <c r="K11796" s="1" t="str">
        <f t="shared" si="4"/>
        <v/>
      </c>
    </row>
    <row r="11797" hidden="1">
      <c r="F11797" s="1" t="str">
        <f t="shared" si="1"/>
        <v/>
      </c>
      <c r="G11797" s="1" t="str">
        <f t="shared" si="2"/>
        <v/>
      </c>
      <c r="J11797" s="1" t="str">
        <f t="shared" si="3"/>
        <v/>
      </c>
      <c r="K11797" s="1" t="str">
        <f t="shared" si="4"/>
        <v/>
      </c>
    </row>
    <row r="11798" hidden="1">
      <c r="F11798" s="1" t="str">
        <f t="shared" si="1"/>
        <v/>
      </c>
      <c r="G11798" s="1" t="str">
        <f t="shared" si="2"/>
        <v/>
      </c>
      <c r="J11798" s="1" t="str">
        <f t="shared" si="3"/>
        <v/>
      </c>
      <c r="K11798" s="1" t="str">
        <f t="shared" si="4"/>
        <v/>
      </c>
    </row>
    <row r="11799" hidden="1">
      <c r="F11799" s="1" t="str">
        <f t="shared" si="1"/>
        <v/>
      </c>
      <c r="G11799" s="1" t="str">
        <f t="shared" si="2"/>
        <v/>
      </c>
      <c r="J11799" s="1" t="str">
        <f t="shared" si="3"/>
        <v/>
      </c>
      <c r="K11799" s="1" t="str">
        <f t="shared" si="4"/>
        <v/>
      </c>
    </row>
    <row r="11800" hidden="1">
      <c r="F11800" s="1" t="str">
        <f t="shared" si="1"/>
        <v/>
      </c>
      <c r="G11800" s="1" t="str">
        <f t="shared" si="2"/>
        <v/>
      </c>
      <c r="J11800" s="1" t="str">
        <f t="shared" si="3"/>
        <v/>
      </c>
      <c r="K11800" s="1" t="str">
        <f t="shared" si="4"/>
        <v/>
      </c>
    </row>
    <row r="11801" hidden="1">
      <c r="F11801" s="1" t="str">
        <f t="shared" si="1"/>
        <v/>
      </c>
      <c r="G11801" s="1" t="str">
        <f t="shared" si="2"/>
        <v/>
      </c>
      <c r="J11801" s="1" t="str">
        <f t="shared" si="3"/>
        <v/>
      </c>
      <c r="K11801" s="1" t="str">
        <f t="shared" si="4"/>
        <v/>
      </c>
    </row>
    <row r="11802" hidden="1">
      <c r="F11802" s="1" t="str">
        <f t="shared" si="1"/>
        <v/>
      </c>
      <c r="G11802" s="1" t="str">
        <f t="shared" si="2"/>
        <v/>
      </c>
      <c r="J11802" s="1" t="str">
        <f t="shared" si="3"/>
        <v/>
      </c>
      <c r="K11802" s="1" t="str">
        <f t="shared" si="4"/>
        <v/>
      </c>
    </row>
    <row r="11803" hidden="1">
      <c r="F11803" s="1" t="str">
        <f t="shared" si="1"/>
        <v/>
      </c>
      <c r="G11803" s="1" t="str">
        <f t="shared" si="2"/>
        <v/>
      </c>
      <c r="J11803" s="1" t="str">
        <f t="shared" si="3"/>
        <v/>
      </c>
      <c r="K11803" s="1" t="str">
        <f t="shared" si="4"/>
        <v/>
      </c>
    </row>
    <row r="11804" hidden="1">
      <c r="F11804" s="1" t="str">
        <f t="shared" si="1"/>
        <v/>
      </c>
      <c r="G11804" s="1" t="str">
        <f t="shared" si="2"/>
        <v/>
      </c>
      <c r="J11804" s="1" t="str">
        <f t="shared" si="3"/>
        <v/>
      </c>
      <c r="K11804" s="1" t="str">
        <f t="shared" si="4"/>
        <v/>
      </c>
    </row>
    <row r="11805" hidden="1">
      <c r="F11805" s="1" t="str">
        <f t="shared" si="1"/>
        <v/>
      </c>
      <c r="G11805" s="1" t="str">
        <f t="shared" si="2"/>
        <v/>
      </c>
      <c r="J11805" s="1" t="str">
        <f t="shared" si="3"/>
        <v/>
      </c>
      <c r="K11805" s="1" t="str">
        <f t="shared" si="4"/>
        <v/>
      </c>
    </row>
    <row r="11806" hidden="1">
      <c r="F11806" s="1" t="str">
        <f t="shared" si="1"/>
        <v/>
      </c>
      <c r="G11806" s="1" t="str">
        <f t="shared" si="2"/>
        <v/>
      </c>
      <c r="J11806" s="1" t="str">
        <f t="shared" si="3"/>
        <v/>
      </c>
      <c r="K11806" s="1" t="str">
        <f t="shared" si="4"/>
        <v/>
      </c>
    </row>
    <row r="11807" hidden="1">
      <c r="F11807" s="1" t="str">
        <f t="shared" si="1"/>
        <v/>
      </c>
      <c r="G11807" s="1" t="str">
        <f t="shared" si="2"/>
        <v/>
      </c>
      <c r="J11807" s="1" t="str">
        <f t="shared" si="3"/>
        <v/>
      </c>
      <c r="K11807" s="1" t="str">
        <f t="shared" si="4"/>
        <v/>
      </c>
    </row>
    <row r="11808" hidden="1">
      <c r="F11808" s="1" t="str">
        <f t="shared" si="1"/>
        <v/>
      </c>
      <c r="G11808" s="1" t="str">
        <f t="shared" si="2"/>
        <v/>
      </c>
      <c r="J11808" s="1" t="str">
        <f t="shared" si="3"/>
        <v/>
      </c>
      <c r="K11808" s="1" t="str">
        <f t="shared" si="4"/>
        <v/>
      </c>
    </row>
    <row r="11809" hidden="1">
      <c r="F11809" s="1" t="str">
        <f t="shared" si="1"/>
        <v/>
      </c>
      <c r="G11809" s="1" t="str">
        <f t="shared" si="2"/>
        <v/>
      </c>
      <c r="J11809" s="1" t="str">
        <f t="shared" si="3"/>
        <v/>
      </c>
      <c r="K11809" s="1" t="str">
        <f t="shared" si="4"/>
        <v/>
      </c>
    </row>
    <row r="11810" hidden="1">
      <c r="F11810" s="1" t="str">
        <f t="shared" si="1"/>
        <v/>
      </c>
      <c r="G11810" s="1" t="str">
        <f t="shared" si="2"/>
        <v/>
      </c>
      <c r="J11810" s="1" t="str">
        <f t="shared" si="3"/>
        <v/>
      </c>
      <c r="K11810" s="1" t="str">
        <f t="shared" si="4"/>
        <v/>
      </c>
    </row>
    <row r="11811" hidden="1">
      <c r="F11811" s="1" t="str">
        <f t="shared" si="1"/>
        <v/>
      </c>
      <c r="G11811" s="1" t="str">
        <f t="shared" si="2"/>
        <v/>
      </c>
      <c r="J11811" s="1" t="str">
        <f t="shared" si="3"/>
        <v/>
      </c>
      <c r="K11811" s="1" t="str">
        <f t="shared" si="4"/>
        <v/>
      </c>
    </row>
    <row r="11812" hidden="1">
      <c r="F11812" s="1" t="str">
        <f t="shared" si="1"/>
        <v/>
      </c>
      <c r="G11812" s="1" t="str">
        <f t="shared" si="2"/>
        <v/>
      </c>
      <c r="J11812" s="1" t="str">
        <f t="shared" si="3"/>
        <v/>
      </c>
      <c r="K11812" s="1" t="str">
        <f t="shared" si="4"/>
        <v/>
      </c>
    </row>
    <row r="11813" hidden="1">
      <c r="F11813" s="1" t="str">
        <f t="shared" si="1"/>
        <v/>
      </c>
      <c r="G11813" s="1" t="str">
        <f t="shared" si="2"/>
        <v/>
      </c>
      <c r="J11813" s="1" t="str">
        <f t="shared" si="3"/>
        <v/>
      </c>
      <c r="K11813" s="1" t="str">
        <f t="shared" si="4"/>
        <v/>
      </c>
    </row>
    <row r="11814" hidden="1">
      <c r="F11814" s="1" t="str">
        <f t="shared" si="1"/>
        <v/>
      </c>
      <c r="G11814" s="1" t="str">
        <f t="shared" si="2"/>
        <v/>
      </c>
      <c r="J11814" s="1" t="str">
        <f t="shared" si="3"/>
        <v/>
      </c>
      <c r="K11814" s="1" t="str">
        <f t="shared" si="4"/>
        <v/>
      </c>
    </row>
    <row r="11815" hidden="1">
      <c r="F11815" s="1" t="str">
        <f t="shared" si="1"/>
        <v/>
      </c>
      <c r="G11815" s="1" t="str">
        <f t="shared" si="2"/>
        <v/>
      </c>
      <c r="J11815" s="1" t="str">
        <f t="shared" si="3"/>
        <v/>
      </c>
      <c r="K11815" s="1" t="str">
        <f t="shared" si="4"/>
        <v/>
      </c>
    </row>
    <row r="11816" hidden="1">
      <c r="F11816" s="1" t="str">
        <f t="shared" si="1"/>
        <v/>
      </c>
      <c r="G11816" s="1" t="str">
        <f t="shared" si="2"/>
        <v/>
      </c>
      <c r="J11816" s="1" t="str">
        <f t="shared" si="3"/>
        <v/>
      </c>
      <c r="K11816" s="1" t="str">
        <f t="shared" si="4"/>
        <v/>
      </c>
    </row>
    <row r="11817" hidden="1">
      <c r="F11817" s="1" t="str">
        <f t="shared" si="1"/>
        <v/>
      </c>
      <c r="G11817" s="1" t="str">
        <f t="shared" si="2"/>
        <v/>
      </c>
      <c r="J11817" s="1" t="str">
        <f t="shared" si="3"/>
        <v/>
      </c>
      <c r="K11817" s="1" t="str">
        <f t="shared" si="4"/>
        <v/>
      </c>
    </row>
    <row r="11818" hidden="1">
      <c r="F11818" s="1" t="str">
        <f t="shared" si="1"/>
        <v/>
      </c>
      <c r="G11818" s="1" t="str">
        <f t="shared" si="2"/>
        <v/>
      </c>
      <c r="J11818" s="1" t="str">
        <f t="shared" si="3"/>
        <v/>
      </c>
      <c r="K11818" s="1" t="str">
        <f t="shared" si="4"/>
        <v/>
      </c>
    </row>
    <row r="11819" hidden="1">
      <c r="F11819" s="1" t="str">
        <f t="shared" si="1"/>
        <v/>
      </c>
      <c r="G11819" s="1" t="str">
        <f t="shared" si="2"/>
        <v/>
      </c>
      <c r="J11819" s="1" t="str">
        <f t="shared" si="3"/>
        <v/>
      </c>
      <c r="K11819" s="1" t="str">
        <f t="shared" si="4"/>
        <v/>
      </c>
    </row>
    <row r="11820" hidden="1">
      <c r="F11820" s="1" t="str">
        <f t="shared" si="1"/>
        <v/>
      </c>
      <c r="G11820" s="1" t="str">
        <f t="shared" si="2"/>
        <v/>
      </c>
      <c r="J11820" s="1" t="str">
        <f t="shared" si="3"/>
        <v/>
      </c>
      <c r="K11820" s="1" t="str">
        <f t="shared" si="4"/>
        <v/>
      </c>
    </row>
    <row r="11821" hidden="1">
      <c r="F11821" s="1" t="str">
        <f t="shared" si="1"/>
        <v/>
      </c>
      <c r="G11821" s="1" t="str">
        <f t="shared" si="2"/>
        <v/>
      </c>
      <c r="J11821" s="1" t="str">
        <f t="shared" si="3"/>
        <v/>
      </c>
      <c r="K11821" s="1" t="str">
        <f t="shared" si="4"/>
        <v/>
      </c>
    </row>
    <row r="11822" hidden="1">
      <c r="F11822" s="1" t="str">
        <f t="shared" si="1"/>
        <v/>
      </c>
      <c r="G11822" s="1" t="str">
        <f t="shared" si="2"/>
        <v/>
      </c>
      <c r="J11822" s="1" t="str">
        <f t="shared" si="3"/>
        <v/>
      </c>
      <c r="K11822" s="1" t="str">
        <f t="shared" si="4"/>
        <v/>
      </c>
    </row>
    <row r="11823" hidden="1">
      <c r="F11823" s="1" t="str">
        <f t="shared" si="1"/>
        <v/>
      </c>
      <c r="G11823" s="1" t="str">
        <f t="shared" si="2"/>
        <v/>
      </c>
      <c r="J11823" s="1" t="str">
        <f t="shared" si="3"/>
        <v/>
      </c>
      <c r="K11823" s="1" t="str">
        <f t="shared" si="4"/>
        <v/>
      </c>
    </row>
    <row r="11824" hidden="1">
      <c r="F11824" s="1" t="str">
        <f t="shared" si="1"/>
        <v/>
      </c>
      <c r="G11824" s="1" t="str">
        <f t="shared" si="2"/>
        <v/>
      </c>
      <c r="J11824" s="1" t="str">
        <f t="shared" si="3"/>
        <v/>
      </c>
      <c r="K11824" s="1" t="str">
        <f t="shared" si="4"/>
        <v/>
      </c>
    </row>
    <row r="11825" hidden="1">
      <c r="F11825" s="1" t="str">
        <f t="shared" si="1"/>
        <v/>
      </c>
      <c r="G11825" s="1" t="str">
        <f t="shared" si="2"/>
        <v/>
      </c>
      <c r="J11825" s="1" t="str">
        <f t="shared" si="3"/>
        <v/>
      </c>
      <c r="K11825" s="1" t="str">
        <f t="shared" si="4"/>
        <v/>
      </c>
    </row>
    <row r="11826" hidden="1">
      <c r="F11826" s="1" t="str">
        <f t="shared" si="1"/>
        <v/>
      </c>
      <c r="G11826" s="1" t="str">
        <f t="shared" si="2"/>
        <v/>
      </c>
      <c r="J11826" s="1" t="str">
        <f t="shared" si="3"/>
        <v/>
      </c>
      <c r="K11826" s="1" t="str">
        <f t="shared" si="4"/>
        <v/>
      </c>
    </row>
    <row r="11827" hidden="1">
      <c r="F11827" s="1" t="str">
        <f t="shared" si="1"/>
        <v/>
      </c>
      <c r="G11827" s="1" t="str">
        <f t="shared" si="2"/>
        <v/>
      </c>
      <c r="J11827" s="1" t="str">
        <f t="shared" si="3"/>
        <v/>
      </c>
      <c r="K11827" s="1" t="str">
        <f t="shared" si="4"/>
        <v/>
      </c>
    </row>
    <row r="11828" hidden="1">
      <c r="F11828" s="1" t="str">
        <f t="shared" si="1"/>
        <v/>
      </c>
      <c r="G11828" s="1" t="str">
        <f t="shared" si="2"/>
        <v/>
      </c>
      <c r="J11828" s="1" t="str">
        <f t="shared" si="3"/>
        <v/>
      </c>
      <c r="K11828" s="1" t="str">
        <f t="shared" si="4"/>
        <v/>
      </c>
    </row>
    <row r="11829" hidden="1">
      <c r="F11829" s="1" t="str">
        <f t="shared" si="1"/>
        <v/>
      </c>
      <c r="G11829" s="1" t="str">
        <f t="shared" si="2"/>
        <v/>
      </c>
      <c r="J11829" s="1" t="str">
        <f t="shared" si="3"/>
        <v/>
      </c>
      <c r="K11829" s="1" t="str">
        <f t="shared" si="4"/>
        <v/>
      </c>
    </row>
    <row r="11830" hidden="1">
      <c r="F11830" s="1" t="str">
        <f t="shared" si="1"/>
        <v/>
      </c>
      <c r="G11830" s="1" t="str">
        <f t="shared" si="2"/>
        <v/>
      </c>
      <c r="J11830" s="1" t="str">
        <f t="shared" si="3"/>
        <v/>
      </c>
      <c r="K11830" s="1" t="str">
        <f t="shared" si="4"/>
        <v/>
      </c>
    </row>
    <row r="11831" hidden="1">
      <c r="F11831" s="1" t="str">
        <f t="shared" si="1"/>
        <v/>
      </c>
      <c r="G11831" s="1" t="str">
        <f t="shared" si="2"/>
        <v/>
      </c>
      <c r="J11831" s="1" t="str">
        <f t="shared" si="3"/>
        <v/>
      </c>
      <c r="K11831" s="1" t="str">
        <f t="shared" si="4"/>
        <v/>
      </c>
    </row>
    <row r="11832" hidden="1">
      <c r="F11832" s="1" t="str">
        <f t="shared" si="1"/>
        <v/>
      </c>
      <c r="G11832" s="1" t="str">
        <f t="shared" si="2"/>
        <v/>
      </c>
      <c r="J11832" s="1" t="str">
        <f t="shared" si="3"/>
        <v/>
      </c>
      <c r="K11832" s="1" t="str">
        <f t="shared" si="4"/>
        <v/>
      </c>
    </row>
    <row r="11833" hidden="1">
      <c r="F11833" s="1" t="str">
        <f t="shared" si="1"/>
        <v/>
      </c>
      <c r="G11833" s="1" t="str">
        <f t="shared" si="2"/>
        <v/>
      </c>
      <c r="J11833" s="1" t="str">
        <f t="shared" si="3"/>
        <v/>
      </c>
      <c r="K11833" s="1" t="str">
        <f t="shared" si="4"/>
        <v/>
      </c>
    </row>
    <row r="11834" hidden="1">
      <c r="F11834" s="1" t="str">
        <f t="shared" si="1"/>
        <v/>
      </c>
      <c r="G11834" s="1" t="str">
        <f t="shared" si="2"/>
        <v/>
      </c>
      <c r="J11834" s="1" t="str">
        <f t="shared" si="3"/>
        <v/>
      </c>
      <c r="K11834" s="1" t="str">
        <f t="shared" si="4"/>
        <v/>
      </c>
    </row>
    <row r="11835" hidden="1">
      <c r="F11835" s="1" t="str">
        <f t="shared" si="1"/>
        <v/>
      </c>
      <c r="G11835" s="1" t="str">
        <f t="shared" si="2"/>
        <v/>
      </c>
      <c r="J11835" s="1" t="str">
        <f t="shared" si="3"/>
        <v/>
      </c>
      <c r="K11835" s="1" t="str">
        <f t="shared" si="4"/>
        <v/>
      </c>
    </row>
    <row r="11836" hidden="1">
      <c r="F11836" s="1" t="str">
        <f t="shared" si="1"/>
        <v/>
      </c>
      <c r="G11836" s="1" t="str">
        <f t="shared" si="2"/>
        <v/>
      </c>
      <c r="J11836" s="1" t="str">
        <f t="shared" si="3"/>
        <v/>
      </c>
      <c r="K11836" s="1" t="str">
        <f t="shared" si="4"/>
        <v/>
      </c>
    </row>
    <row r="11837" hidden="1">
      <c r="F11837" s="1" t="str">
        <f t="shared" si="1"/>
        <v/>
      </c>
      <c r="G11837" s="1" t="str">
        <f t="shared" si="2"/>
        <v/>
      </c>
      <c r="J11837" s="1" t="str">
        <f t="shared" si="3"/>
        <v/>
      </c>
      <c r="K11837" s="1" t="str">
        <f t="shared" si="4"/>
        <v/>
      </c>
    </row>
    <row r="11838" hidden="1">
      <c r="F11838" s="1" t="str">
        <f t="shared" si="1"/>
        <v/>
      </c>
      <c r="G11838" s="1" t="str">
        <f t="shared" si="2"/>
        <v/>
      </c>
      <c r="J11838" s="1" t="str">
        <f t="shared" si="3"/>
        <v/>
      </c>
      <c r="K11838" s="1" t="str">
        <f t="shared" si="4"/>
        <v/>
      </c>
    </row>
    <row r="11839" hidden="1">
      <c r="F11839" s="1" t="str">
        <f t="shared" si="1"/>
        <v/>
      </c>
      <c r="G11839" s="1" t="str">
        <f t="shared" si="2"/>
        <v/>
      </c>
      <c r="J11839" s="1" t="str">
        <f t="shared" si="3"/>
        <v/>
      </c>
      <c r="K11839" s="1" t="str">
        <f t="shared" si="4"/>
        <v/>
      </c>
    </row>
    <row r="11840" hidden="1">
      <c r="F11840" s="1" t="str">
        <f t="shared" si="1"/>
        <v/>
      </c>
      <c r="G11840" s="1" t="str">
        <f t="shared" si="2"/>
        <v/>
      </c>
      <c r="J11840" s="1" t="str">
        <f t="shared" si="3"/>
        <v/>
      </c>
      <c r="K11840" s="1" t="str">
        <f t="shared" si="4"/>
        <v/>
      </c>
    </row>
    <row r="11841" hidden="1">
      <c r="F11841" s="1" t="str">
        <f t="shared" si="1"/>
        <v/>
      </c>
      <c r="G11841" s="1" t="str">
        <f t="shared" si="2"/>
        <v/>
      </c>
      <c r="J11841" s="1" t="str">
        <f t="shared" si="3"/>
        <v/>
      </c>
      <c r="K11841" s="1" t="str">
        <f t="shared" si="4"/>
        <v/>
      </c>
    </row>
    <row r="11842" hidden="1">
      <c r="F11842" s="1" t="str">
        <f t="shared" si="1"/>
        <v/>
      </c>
      <c r="G11842" s="1" t="str">
        <f t="shared" si="2"/>
        <v/>
      </c>
      <c r="J11842" s="1" t="str">
        <f t="shared" si="3"/>
        <v/>
      </c>
      <c r="K11842" s="1" t="str">
        <f t="shared" si="4"/>
        <v/>
      </c>
    </row>
    <row r="11843" hidden="1">
      <c r="F11843" s="1" t="str">
        <f t="shared" si="1"/>
        <v/>
      </c>
      <c r="G11843" s="1" t="str">
        <f t="shared" si="2"/>
        <v/>
      </c>
      <c r="J11843" s="1" t="str">
        <f t="shared" si="3"/>
        <v/>
      </c>
      <c r="K11843" s="1" t="str">
        <f t="shared" si="4"/>
        <v/>
      </c>
    </row>
    <row r="11844" hidden="1">
      <c r="F11844" s="1" t="str">
        <f t="shared" si="1"/>
        <v/>
      </c>
      <c r="G11844" s="1" t="str">
        <f t="shared" si="2"/>
        <v/>
      </c>
      <c r="J11844" s="1" t="str">
        <f t="shared" si="3"/>
        <v/>
      </c>
      <c r="K11844" s="1" t="str">
        <f t="shared" si="4"/>
        <v/>
      </c>
    </row>
    <row r="11845" hidden="1">
      <c r="F11845" s="1" t="str">
        <f t="shared" si="1"/>
        <v/>
      </c>
      <c r="G11845" s="1" t="str">
        <f t="shared" si="2"/>
        <v/>
      </c>
      <c r="J11845" s="1" t="str">
        <f t="shared" si="3"/>
        <v/>
      </c>
      <c r="K11845" s="1" t="str">
        <f t="shared" si="4"/>
        <v/>
      </c>
    </row>
    <row r="11846" hidden="1">
      <c r="F11846" s="1" t="str">
        <f t="shared" si="1"/>
        <v/>
      </c>
      <c r="G11846" s="1" t="str">
        <f t="shared" si="2"/>
        <v/>
      </c>
      <c r="J11846" s="1" t="str">
        <f t="shared" si="3"/>
        <v/>
      </c>
      <c r="K11846" s="1" t="str">
        <f t="shared" si="4"/>
        <v/>
      </c>
    </row>
    <row r="11847" hidden="1">
      <c r="F11847" s="1" t="str">
        <f t="shared" si="1"/>
        <v/>
      </c>
      <c r="G11847" s="1" t="str">
        <f t="shared" si="2"/>
        <v/>
      </c>
      <c r="J11847" s="1" t="str">
        <f t="shared" si="3"/>
        <v/>
      </c>
      <c r="K11847" s="1" t="str">
        <f t="shared" si="4"/>
        <v/>
      </c>
    </row>
    <row r="11848" hidden="1">
      <c r="F11848" s="1" t="str">
        <f t="shared" si="1"/>
        <v/>
      </c>
      <c r="G11848" s="1" t="str">
        <f t="shared" si="2"/>
        <v/>
      </c>
      <c r="J11848" s="1" t="str">
        <f t="shared" si="3"/>
        <v/>
      </c>
      <c r="K11848" s="1" t="str">
        <f t="shared" si="4"/>
        <v/>
      </c>
    </row>
    <row r="11849" hidden="1">
      <c r="F11849" s="1" t="str">
        <f t="shared" si="1"/>
        <v/>
      </c>
      <c r="G11849" s="1" t="str">
        <f t="shared" si="2"/>
        <v/>
      </c>
      <c r="J11849" s="1" t="str">
        <f t="shared" si="3"/>
        <v/>
      </c>
      <c r="K11849" s="1" t="str">
        <f t="shared" si="4"/>
        <v/>
      </c>
    </row>
    <row r="11850" hidden="1">
      <c r="F11850" s="1" t="str">
        <f t="shared" si="1"/>
        <v/>
      </c>
      <c r="G11850" s="1" t="str">
        <f t="shared" si="2"/>
        <v/>
      </c>
      <c r="J11850" s="1" t="str">
        <f t="shared" si="3"/>
        <v/>
      </c>
      <c r="K11850" s="1" t="str">
        <f t="shared" si="4"/>
        <v/>
      </c>
    </row>
    <row r="11851" hidden="1">
      <c r="F11851" s="1" t="str">
        <f t="shared" si="1"/>
        <v/>
      </c>
      <c r="G11851" s="1" t="str">
        <f t="shared" si="2"/>
        <v/>
      </c>
      <c r="J11851" s="1" t="str">
        <f t="shared" si="3"/>
        <v/>
      </c>
      <c r="K11851" s="1" t="str">
        <f t="shared" si="4"/>
        <v/>
      </c>
    </row>
    <row r="11852" hidden="1">
      <c r="F11852" s="1" t="str">
        <f t="shared" si="1"/>
        <v/>
      </c>
      <c r="G11852" s="1" t="str">
        <f t="shared" si="2"/>
        <v/>
      </c>
      <c r="J11852" s="1" t="str">
        <f t="shared" si="3"/>
        <v/>
      </c>
      <c r="K11852" s="1" t="str">
        <f t="shared" si="4"/>
        <v/>
      </c>
    </row>
    <row r="11853" hidden="1">
      <c r="F11853" s="1" t="str">
        <f t="shared" si="1"/>
        <v/>
      </c>
      <c r="G11853" s="1" t="str">
        <f t="shared" si="2"/>
        <v/>
      </c>
      <c r="J11853" s="1" t="str">
        <f t="shared" si="3"/>
        <v/>
      </c>
      <c r="K11853" s="1" t="str">
        <f t="shared" si="4"/>
        <v/>
      </c>
    </row>
    <row r="11854" hidden="1">
      <c r="F11854" s="1" t="str">
        <f t="shared" si="1"/>
        <v/>
      </c>
      <c r="G11854" s="1" t="str">
        <f t="shared" si="2"/>
        <v/>
      </c>
      <c r="J11854" s="1" t="str">
        <f t="shared" si="3"/>
        <v/>
      </c>
      <c r="K11854" s="1" t="str">
        <f t="shared" si="4"/>
        <v/>
      </c>
    </row>
    <row r="11855" hidden="1">
      <c r="F11855" s="1" t="str">
        <f t="shared" si="1"/>
        <v/>
      </c>
      <c r="G11855" s="1" t="str">
        <f t="shared" si="2"/>
        <v/>
      </c>
      <c r="J11855" s="1" t="str">
        <f t="shared" si="3"/>
        <v/>
      </c>
      <c r="K11855" s="1" t="str">
        <f t="shared" si="4"/>
        <v/>
      </c>
    </row>
    <row r="11856" hidden="1">
      <c r="F11856" s="1" t="str">
        <f t="shared" si="1"/>
        <v/>
      </c>
      <c r="G11856" s="1" t="str">
        <f t="shared" si="2"/>
        <v/>
      </c>
      <c r="J11856" s="1" t="str">
        <f t="shared" si="3"/>
        <v/>
      </c>
      <c r="K11856" s="1" t="str">
        <f t="shared" si="4"/>
        <v/>
      </c>
    </row>
    <row r="11857" hidden="1">
      <c r="F11857" s="1" t="str">
        <f t="shared" si="1"/>
        <v/>
      </c>
      <c r="G11857" s="1" t="str">
        <f t="shared" si="2"/>
        <v/>
      </c>
      <c r="J11857" s="1" t="str">
        <f t="shared" si="3"/>
        <v/>
      </c>
      <c r="K11857" s="1" t="str">
        <f t="shared" si="4"/>
        <v/>
      </c>
    </row>
    <row r="11858" hidden="1">
      <c r="F11858" s="1" t="str">
        <f t="shared" si="1"/>
        <v/>
      </c>
      <c r="G11858" s="1" t="str">
        <f t="shared" si="2"/>
        <v/>
      </c>
      <c r="J11858" s="1" t="str">
        <f t="shared" si="3"/>
        <v/>
      </c>
      <c r="K11858" s="1" t="str">
        <f t="shared" si="4"/>
        <v/>
      </c>
    </row>
    <row r="11859" hidden="1">
      <c r="F11859" s="1" t="str">
        <f t="shared" si="1"/>
        <v/>
      </c>
      <c r="G11859" s="1" t="str">
        <f t="shared" si="2"/>
        <v/>
      </c>
      <c r="J11859" s="1" t="str">
        <f t="shared" si="3"/>
        <v/>
      </c>
      <c r="K11859" s="1" t="str">
        <f t="shared" si="4"/>
        <v/>
      </c>
    </row>
    <row r="11860" hidden="1">
      <c r="F11860" s="1" t="str">
        <f t="shared" si="1"/>
        <v/>
      </c>
      <c r="G11860" s="1" t="str">
        <f t="shared" si="2"/>
        <v/>
      </c>
      <c r="J11860" s="1" t="str">
        <f t="shared" si="3"/>
        <v/>
      </c>
      <c r="K11860" s="1" t="str">
        <f t="shared" si="4"/>
        <v/>
      </c>
    </row>
    <row r="11861" hidden="1">
      <c r="F11861" s="1" t="str">
        <f t="shared" si="1"/>
        <v/>
      </c>
      <c r="G11861" s="1" t="str">
        <f t="shared" si="2"/>
        <v/>
      </c>
      <c r="J11861" s="1" t="str">
        <f t="shared" si="3"/>
        <v/>
      </c>
      <c r="K11861" s="1" t="str">
        <f t="shared" si="4"/>
        <v/>
      </c>
    </row>
    <row r="11862" hidden="1">
      <c r="F11862" s="1" t="str">
        <f t="shared" si="1"/>
        <v/>
      </c>
      <c r="G11862" s="1" t="str">
        <f t="shared" si="2"/>
        <v/>
      </c>
      <c r="J11862" s="1" t="str">
        <f t="shared" si="3"/>
        <v/>
      </c>
      <c r="K11862" s="1" t="str">
        <f t="shared" si="4"/>
        <v/>
      </c>
    </row>
    <row r="11863" hidden="1">
      <c r="F11863" s="1" t="str">
        <f t="shared" si="1"/>
        <v/>
      </c>
      <c r="G11863" s="1" t="str">
        <f t="shared" si="2"/>
        <v/>
      </c>
      <c r="J11863" s="1" t="str">
        <f t="shared" si="3"/>
        <v/>
      </c>
      <c r="K11863" s="1" t="str">
        <f t="shared" si="4"/>
        <v/>
      </c>
    </row>
    <row r="11864" hidden="1">
      <c r="F11864" s="1" t="str">
        <f t="shared" si="1"/>
        <v/>
      </c>
      <c r="G11864" s="1" t="str">
        <f t="shared" si="2"/>
        <v/>
      </c>
      <c r="J11864" s="1" t="str">
        <f t="shared" si="3"/>
        <v/>
      </c>
      <c r="K11864" s="1" t="str">
        <f t="shared" si="4"/>
        <v/>
      </c>
    </row>
    <row r="11865" hidden="1">
      <c r="F11865" s="1" t="str">
        <f t="shared" si="1"/>
        <v/>
      </c>
      <c r="G11865" s="1" t="str">
        <f t="shared" si="2"/>
        <v/>
      </c>
      <c r="J11865" s="1" t="str">
        <f t="shared" si="3"/>
        <v/>
      </c>
      <c r="K11865" s="1" t="str">
        <f t="shared" si="4"/>
        <v/>
      </c>
    </row>
    <row r="11866" hidden="1">
      <c r="F11866" s="1" t="str">
        <f t="shared" si="1"/>
        <v/>
      </c>
      <c r="G11866" s="1" t="str">
        <f t="shared" si="2"/>
        <v/>
      </c>
      <c r="J11866" s="1" t="str">
        <f t="shared" si="3"/>
        <v/>
      </c>
      <c r="K11866" s="1" t="str">
        <f t="shared" si="4"/>
        <v/>
      </c>
    </row>
    <row r="11867" hidden="1">
      <c r="F11867" s="1" t="str">
        <f t="shared" si="1"/>
        <v/>
      </c>
      <c r="G11867" s="1" t="str">
        <f t="shared" si="2"/>
        <v/>
      </c>
      <c r="J11867" s="1" t="str">
        <f t="shared" si="3"/>
        <v/>
      </c>
      <c r="K11867" s="1" t="str">
        <f t="shared" si="4"/>
        <v/>
      </c>
    </row>
    <row r="11868" hidden="1">
      <c r="F11868" s="1" t="str">
        <f t="shared" si="1"/>
        <v/>
      </c>
      <c r="G11868" s="1" t="str">
        <f t="shared" si="2"/>
        <v/>
      </c>
      <c r="J11868" s="1" t="str">
        <f t="shared" si="3"/>
        <v/>
      </c>
      <c r="K11868" s="1" t="str">
        <f t="shared" si="4"/>
        <v/>
      </c>
    </row>
    <row r="11869" hidden="1">
      <c r="F11869" s="1" t="str">
        <f t="shared" si="1"/>
        <v/>
      </c>
      <c r="G11869" s="1" t="str">
        <f t="shared" si="2"/>
        <v/>
      </c>
      <c r="J11869" s="1" t="str">
        <f t="shared" si="3"/>
        <v/>
      </c>
      <c r="K11869" s="1" t="str">
        <f t="shared" si="4"/>
        <v/>
      </c>
    </row>
    <row r="11870" hidden="1">
      <c r="F11870" s="1" t="str">
        <f t="shared" si="1"/>
        <v/>
      </c>
      <c r="G11870" s="1" t="str">
        <f t="shared" si="2"/>
        <v/>
      </c>
      <c r="J11870" s="1" t="str">
        <f t="shared" si="3"/>
        <v/>
      </c>
      <c r="K11870" s="1" t="str">
        <f t="shared" si="4"/>
        <v/>
      </c>
    </row>
    <row r="11871" hidden="1">
      <c r="F11871" s="1" t="str">
        <f t="shared" si="1"/>
        <v/>
      </c>
      <c r="G11871" s="1" t="str">
        <f t="shared" si="2"/>
        <v/>
      </c>
      <c r="J11871" s="1" t="str">
        <f t="shared" si="3"/>
        <v/>
      </c>
      <c r="K11871" s="1" t="str">
        <f t="shared" si="4"/>
        <v/>
      </c>
    </row>
    <row r="11872" hidden="1">
      <c r="F11872" s="1" t="str">
        <f t="shared" si="1"/>
        <v/>
      </c>
      <c r="G11872" s="1" t="str">
        <f t="shared" si="2"/>
        <v/>
      </c>
      <c r="J11872" s="1" t="str">
        <f t="shared" si="3"/>
        <v/>
      </c>
      <c r="K11872" s="1" t="str">
        <f t="shared" si="4"/>
        <v/>
      </c>
    </row>
    <row r="11873" hidden="1">
      <c r="F11873" s="1" t="str">
        <f t="shared" si="1"/>
        <v/>
      </c>
      <c r="G11873" s="1" t="str">
        <f t="shared" si="2"/>
        <v/>
      </c>
      <c r="J11873" s="1" t="str">
        <f t="shared" si="3"/>
        <v/>
      </c>
      <c r="K11873" s="1" t="str">
        <f t="shared" si="4"/>
        <v/>
      </c>
    </row>
    <row r="11874" hidden="1">
      <c r="F11874" s="1" t="str">
        <f t="shared" si="1"/>
        <v/>
      </c>
      <c r="G11874" s="1" t="str">
        <f t="shared" si="2"/>
        <v/>
      </c>
      <c r="J11874" s="1" t="str">
        <f t="shared" si="3"/>
        <v/>
      </c>
      <c r="K11874" s="1" t="str">
        <f t="shared" si="4"/>
        <v/>
      </c>
    </row>
    <row r="11875" hidden="1">
      <c r="F11875" s="1" t="str">
        <f t="shared" si="1"/>
        <v/>
      </c>
      <c r="G11875" s="1" t="str">
        <f t="shared" si="2"/>
        <v/>
      </c>
      <c r="J11875" s="1" t="str">
        <f t="shared" si="3"/>
        <v/>
      </c>
      <c r="K11875" s="1" t="str">
        <f t="shared" si="4"/>
        <v/>
      </c>
    </row>
    <row r="11876" hidden="1">
      <c r="F11876" s="1" t="str">
        <f t="shared" si="1"/>
        <v/>
      </c>
      <c r="G11876" s="1" t="str">
        <f t="shared" si="2"/>
        <v/>
      </c>
      <c r="J11876" s="1" t="str">
        <f t="shared" si="3"/>
        <v/>
      </c>
      <c r="K11876" s="1" t="str">
        <f t="shared" si="4"/>
        <v/>
      </c>
    </row>
    <row r="11877" hidden="1">
      <c r="F11877" s="1" t="str">
        <f t="shared" si="1"/>
        <v/>
      </c>
      <c r="G11877" s="1" t="str">
        <f t="shared" si="2"/>
        <v/>
      </c>
      <c r="J11877" s="1" t="str">
        <f t="shared" si="3"/>
        <v/>
      </c>
      <c r="K11877" s="1" t="str">
        <f t="shared" si="4"/>
        <v/>
      </c>
    </row>
    <row r="11878" hidden="1">
      <c r="F11878" s="1" t="str">
        <f t="shared" si="1"/>
        <v/>
      </c>
      <c r="G11878" s="1" t="str">
        <f t="shared" si="2"/>
        <v/>
      </c>
      <c r="J11878" s="1" t="str">
        <f t="shared" si="3"/>
        <v/>
      </c>
      <c r="K11878" s="1" t="str">
        <f t="shared" si="4"/>
        <v/>
      </c>
    </row>
    <row r="11879" hidden="1">
      <c r="F11879" s="1" t="str">
        <f t="shared" si="1"/>
        <v/>
      </c>
      <c r="G11879" s="1" t="str">
        <f t="shared" si="2"/>
        <v/>
      </c>
      <c r="J11879" s="1" t="str">
        <f t="shared" si="3"/>
        <v/>
      </c>
      <c r="K11879" s="1" t="str">
        <f t="shared" si="4"/>
        <v/>
      </c>
    </row>
    <row r="11880" hidden="1">
      <c r="F11880" s="1" t="str">
        <f t="shared" si="1"/>
        <v/>
      </c>
      <c r="G11880" s="1" t="str">
        <f t="shared" si="2"/>
        <v/>
      </c>
      <c r="J11880" s="1" t="str">
        <f t="shared" si="3"/>
        <v/>
      </c>
      <c r="K11880" s="1" t="str">
        <f t="shared" si="4"/>
        <v/>
      </c>
    </row>
    <row r="11881" hidden="1">
      <c r="F11881" s="1" t="str">
        <f t="shared" si="1"/>
        <v/>
      </c>
      <c r="G11881" s="1" t="str">
        <f t="shared" si="2"/>
        <v/>
      </c>
      <c r="J11881" s="1" t="str">
        <f t="shared" si="3"/>
        <v/>
      </c>
      <c r="K11881" s="1" t="str">
        <f t="shared" si="4"/>
        <v/>
      </c>
    </row>
    <row r="11882" hidden="1">
      <c r="F11882" s="1" t="str">
        <f t="shared" si="1"/>
        <v/>
      </c>
      <c r="G11882" s="1" t="str">
        <f t="shared" si="2"/>
        <v/>
      </c>
      <c r="J11882" s="1" t="str">
        <f t="shared" si="3"/>
        <v/>
      </c>
      <c r="K11882" s="1" t="str">
        <f t="shared" si="4"/>
        <v/>
      </c>
    </row>
    <row r="11883" hidden="1">
      <c r="F11883" s="1" t="str">
        <f t="shared" si="1"/>
        <v/>
      </c>
      <c r="G11883" s="1" t="str">
        <f t="shared" si="2"/>
        <v/>
      </c>
      <c r="J11883" s="1" t="str">
        <f t="shared" si="3"/>
        <v/>
      </c>
      <c r="K11883" s="1" t="str">
        <f t="shared" si="4"/>
        <v/>
      </c>
    </row>
    <row r="11884" hidden="1">
      <c r="F11884" s="1" t="str">
        <f t="shared" si="1"/>
        <v/>
      </c>
      <c r="G11884" s="1" t="str">
        <f t="shared" si="2"/>
        <v/>
      </c>
      <c r="J11884" s="1" t="str">
        <f t="shared" si="3"/>
        <v/>
      </c>
      <c r="K11884" s="1" t="str">
        <f t="shared" si="4"/>
        <v/>
      </c>
    </row>
    <row r="11885" hidden="1">
      <c r="F11885" s="1" t="str">
        <f t="shared" si="1"/>
        <v/>
      </c>
      <c r="G11885" s="1" t="str">
        <f t="shared" si="2"/>
        <v/>
      </c>
      <c r="J11885" s="1" t="str">
        <f t="shared" si="3"/>
        <v/>
      </c>
      <c r="K11885" s="1" t="str">
        <f t="shared" si="4"/>
        <v/>
      </c>
    </row>
    <row r="11886" hidden="1">
      <c r="F11886" s="1" t="str">
        <f t="shared" si="1"/>
        <v/>
      </c>
      <c r="G11886" s="1" t="str">
        <f t="shared" si="2"/>
        <v/>
      </c>
      <c r="J11886" s="1" t="str">
        <f t="shared" si="3"/>
        <v/>
      </c>
      <c r="K11886" s="1" t="str">
        <f t="shared" si="4"/>
        <v/>
      </c>
    </row>
    <row r="11887" hidden="1">
      <c r="F11887" s="1" t="str">
        <f t="shared" si="1"/>
        <v/>
      </c>
      <c r="G11887" s="1" t="str">
        <f t="shared" si="2"/>
        <v/>
      </c>
      <c r="J11887" s="1" t="str">
        <f t="shared" si="3"/>
        <v/>
      </c>
      <c r="K11887" s="1" t="str">
        <f t="shared" si="4"/>
        <v/>
      </c>
    </row>
    <row r="11888" hidden="1">
      <c r="F11888" s="1" t="str">
        <f t="shared" si="1"/>
        <v/>
      </c>
      <c r="G11888" s="1" t="str">
        <f t="shared" si="2"/>
        <v/>
      </c>
      <c r="J11888" s="1" t="str">
        <f t="shared" si="3"/>
        <v/>
      </c>
      <c r="K11888" s="1" t="str">
        <f t="shared" si="4"/>
        <v/>
      </c>
    </row>
    <row r="11889" hidden="1">
      <c r="F11889" s="1" t="str">
        <f t="shared" si="1"/>
        <v/>
      </c>
      <c r="G11889" s="1" t="str">
        <f t="shared" si="2"/>
        <v/>
      </c>
      <c r="J11889" s="1" t="str">
        <f t="shared" si="3"/>
        <v/>
      </c>
      <c r="K11889" s="1" t="str">
        <f t="shared" si="4"/>
        <v/>
      </c>
    </row>
    <row r="11890" hidden="1">
      <c r="F11890" s="1" t="str">
        <f t="shared" si="1"/>
        <v/>
      </c>
      <c r="G11890" s="1" t="str">
        <f t="shared" si="2"/>
        <v/>
      </c>
      <c r="J11890" s="1" t="str">
        <f t="shared" si="3"/>
        <v/>
      </c>
      <c r="K11890" s="1" t="str">
        <f t="shared" si="4"/>
        <v/>
      </c>
    </row>
    <row r="11891" hidden="1">
      <c r="F11891" s="1" t="str">
        <f t="shared" si="1"/>
        <v/>
      </c>
      <c r="G11891" s="1" t="str">
        <f t="shared" si="2"/>
        <v/>
      </c>
      <c r="J11891" s="1" t="str">
        <f t="shared" si="3"/>
        <v/>
      </c>
      <c r="K11891" s="1" t="str">
        <f t="shared" si="4"/>
        <v/>
      </c>
    </row>
    <row r="11892" hidden="1">
      <c r="F11892" s="1" t="str">
        <f t="shared" si="1"/>
        <v/>
      </c>
      <c r="G11892" s="1" t="str">
        <f t="shared" si="2"/>
        <v/>
      </c>
      <c r="J11892" s="1" t="str">
        <f t="shared" si="3"/>
        <v/>
      </c>
      <c r="K11892" s="1" t="str">
        <f t="shared" si="4"/>
        <v/>
      </c>
    </row>
    <row r="11893" hidden="1">
      <c r="F11893" s="1" t="str">
        <f t="shared" si="1"/>
        <v/>
      </c>
      <c r="G11893" s="1" t="str">
        <f t="shared" si="2"/>
        <v/>
      </c>
      <c r="J11893" s="1" t="str">
        <f t="shared" si="3"/>
        <v/>
      </c>
      <c r="K11893" s="1" t="str">
        <f t="shared" si="4"/>
        <v/>
      </c>
    </row>
    <row r="11894" hidden="1">
      <c r="F11894" s="1" t="str">
        <f t="shared" si="1"/>
        <v/>
      </c>
      <c r="G11894" s="1" t="str">
        <f t="shared" si="2"/>
        <v/>
      </c>
      <c r="J11894" s="1" t="str">
        <f t="shared" si="3"/>
        <v/>
      </c>
      <c r="K11894" s="1" t="str">
        <f t="shared" si="4"/>
        <v/>
      </c>
    </row>
    <row r="11895" hidden="1">
      <c r="F11895" s="1" t="str">
        <f t="shared" si="1"/>
        <v/>
      </c>
      <c r="G11895" s="1" t="str">
        <f t="shared" si="2"/>
        <v/>
      </c>
      <c r="J11895" s="1" t="str">
        <f t="shared" si="3"/>
        <v/>
      </c>
      <c r="K11895" s="1" t="str">
        <f t="shared" si="4"/>
        <v/>
      </c>
    </row>
    <row r="11896" hidden="1">
      <c r="F11896" s="1" t="str">
        <f t="shared" si="1"/>
        <v/>
      </c>
      <c r="G11896" s="1" t="str">
        <f t="shared" si="2"/>
        <v/>
      </c>
      <c r="J11896" s="1" t="str">
        <f t="shared" si="3"/>
        <v/>
      </c>
      <c r="K11896" s="1" t="str">
        <f t="shared" si="4"/>
        <v/>
      </c>
    </row>
    <row r="11897" hidden="1">
      <c r="F11897" s="1" t="str">
        <f t="shared" si="1"/>
        <v/>
      </c>
      <c r="G11897" s="1" t="str">
        <f t="shared" si="2"/>
        <v/>
      </c>
      <c r="J11897" s="1" t="str">
        <f t="shared" si="3"/>
        <v/>
      </c>
      <c r="K11897" s="1" t="str">
        <f t="shared" si="4"/>
        <v/>
      </c>
    </row>
    <row r="11898" hidden="1">
      <c r="F11898" s="1" t="str">
        <f t="shared" si="1"/>
        <v/>
      </c>
      <c r="G11898" s="1" t="str">
        <f t="shared" si="2"/>
        <v/>
      </c>
      <c r="J11898" s="1" t="str">
        <f t="shared" si="3"/>
        <v/>
      </c>
      <c r="K11898" s="1" t="str">
        <f t="shared" si="4"/>
        <v/>
      </c>
    </row>
    <row r="11899" hidden="1">
      <c r="F11899" s="1" t="str">
        <f t="shared" si="1"/>
        <v/>
      </c>
      <c r="G11899" s="1" t="str">
        <f t="shared" si="2"/>
        <v/>
      </c>
      <c r="J11899" s="1" t="str">
        <f t="shared" si="3"/>
        <v/>
      </c>
      <c r="K11899" s="1" t="str">
        <f t="shared" si="4"/>
        <v/>
      </c>
    </row>
    <row r="11900" hidden="1">
      <c r="F11900" s="1" t="str">
        <f t="shared" si="1"/>
        <v/>
      </c>
      <c r="G11900" s="1" t="str">
        <f t="shared" si="2"/>
        <v/>
      </c>
      <c r="J11900" s="1" t="str">
        <f t="shared" si="3"/>
        <v/>
      </c>
      <c r="K11900" s="1" t="str">
        <f t="shared" si="4"/>
        <v/>
      </c>
    </row>
    <row r="11901" hidden="1">
      <c r="F11901" s="1" t="str">
        <f t="shared" si="1"/>
        <v/>
      </c>
      <c r="G11901" s="1" t="str">
        <f t="shared" si="2"/>
        <v/>
      </c>
      <c r="J11901" s="1" t="str">
        <f t="shared" si="3"/>
        <v/>
      </c>
      <c r="K11901" s="1" t="str">
        <f t="shared" si="4"/>
        <v/>
      </c>
    </row>
    <row r="11902" hidden="1">
      <c r="F11902" s="1" t="str">
        <f t="shared" si="1"/>
        <v/>
      </c>
      <c r="G11902" s="1" t="str">
        <f t="shared" si="2"/>
        <v/>
      </c>
      <c r="J11902" s="1" t="str">
        <f t="shared" si="3"/>
        <v/>
      </c>
      <c r="K11902" s="1" t="str">
        <f t="shared" si="4"/>
        <v/>
      </c>
    </row>
    <row r="11903" hidden="1">
      <c r="F11903" s="1" t="str">
        <f t="shared" si="1"/>
        <v/>
      </c>
      <c r="G11903" s="1" t="str">
        <f t="shared" si="2"/>
        <v/>
      </c>
      <c r="J11903" s="1" t="str">
        <f t="shared" si="3"/>
        <v/>
      </c>
      <c r="K11903" s="1" t="str">
        <f t="shared" si="4"/>
        <v/>
      </c>
    </row>
    <row r="11904" hidden="1">
      <c r="F11904" s="1" t="str">
        <f t="shared" si="1"/>
        <v/>
      </c>
      <c r="G11904" s="1" t="str">
        <f t="shared" si="2"/>
        <v/>
      </c>
      <c r="J11904" s="1" t="str">
        <f t="shared" si="3"/>
        <v/>
      </c>
      <c r="K11904" s="1" t="str">
        <f t="shared" si="4"/>
        <v/>
      </c>
    </row>
    <row r="11905" hidden="1">
      <c r="F11905" s="1" t="str">
        <f t="shared" si="1"/>
        <v/>
      </c>
      <c r="G11905" s="1" t="str">
        <f t="shared" si="2"/>
        <v/>
      </c>
      <c r="J11905" s="1" t="str">
        <f t="shared" si="3"/>
        <v/>
      </c>
      <c r="K11905" s="1" t="str">
        <f t="shared" si="4"/>
        <v/>
      </c>
    </row>
    <row r="11906" hidden="1">
      <c r="F11906" s="1" t="str">
        <f t="shared" si="1"/>
        <v/>
      </c>
      <c r="G11906" s="1" t="str">
        <f t="shared" si="2"/>
        <v/>
      </c>
      <c r="J11906" s="1" t="str">
        <f t="shared" si="3"/>
        <v/>
      </c>
      <c r="K11906" s="1" t="str">
        <f t="shared" si="4"/>
        <v/>
      </c>
    </row>
    <row r="11907" hidden="1">
      <c r="F11907" s="1" t="str">
        <f t="shared" si="1"/>
        <v/>
      </c>
      <c r="G11907" s="1" t="str">
        <f t="shared" si="2"/>
        <v/>
      </c>
      <c r="J11907" s="1" t="str">
        <f t="shared" si="3"/>
        <v/>
      </c>
      <c r="K11907" s="1" t="str">
        <f t="shared" si="4"/>
        <v/>
      </c>
    </row>
    <row r="11908" hidden="1">
      <c r="F11908" s="1" t="str">
        <f t="shared" si="1"/>
        <v/>
      </c>
      <c r="G11908" s="1" t="str">
        <f t="shared" si="2"/>
        <v/>
      </c>
      <c r="J11908" s="1" t="str">
        <f t="shared" si="3"/>
        <v/>
      </c>
      <c r="K11908" s="1" t="str">
        <f t="shared" si="4"/>
        <v/>
      </c>
    </row>
    <row r="11909" hidden="1">
      <c r="F11909" s="1" t="str">
        <f t="shared" si="1"/>
        <v/>
      </c>
      <c r="G11909" s="1" t="str">
        <f t="shared" si="2"/>
        <v/>
      </c>
      <c r="J11909" s="1" t="str">
        <f t="shared" si="3"/>
        <v/>
      </c>
      <c r="K11909" s="1" t="str">
        <f t="shared" si="4"/>
        <v/>
      </c>
    </row>
    <row r="11910" hidden="1">
      <c r="F11910" s="1" t="str">
        <f t="shared" si="1"/>
        <v/>
      </c>
      <c r="G11910" s="1" t="str">
        <f t="shared" si="2"/>
        <v/>
      </c>
      <c r="J11910" s="1" t="str">
        <f t="shared" si="3"/>
        <v/>
      </c>
      <c r="K11910" s="1" t="str">
        <f t="shared" si="4"/>
        <v/>
      </c>
    </row>
    <row r="11911" hidden="1">
      <c r="F11911" s="1" t="str">
        <f t="shared" si="1"/>
        <v/>
      </c>
      <c r="G11911" s="1" t="str">
        <f t="shared" si="2"/>
        <v/>
      </c>
      <c r="J11911" s="1" t="str">
        <f t="shared" si="3"/>
        <v/>
      </c>
      <c r="K11911" s="1" t="str">
        <f t="shared" si="4"/>
        <v/>
      </c>
    </row>
    <row r="11912" hidden="1">
      <c r="F11912" s="1" t="str">
        <f t="shared" si="1"/>
        <v/>
      </c>
      <c r="G11912" s="1" t="str">
        <f t="shared" si="2"/>
        <v/>
      </c>
      <c r="J11912" s="1" t="str">
        <f t="shared" si="3"/>
        <v/>
      </c>
      <c r="K11912" s="1" t="str">
        <f t="shared" si="4"/>
        <v/>
      </c>
    </row>
    <row r="11913" hidden="1">
      <c r="F11913" s="1" t="str">
        <f t="shared" si="1"/>
        <v/>
      </c>
      <c r="G11913" s="1" t="str">
        <f t="shared" si="2"/>
        <v/>
      </c>
      <c r="J11913" s="1" t="str">
        <f t="shared" si="3"/>
        <v/>
      </c>
      <c r="K11913" s="1" t="str">
        <f t="shared" si="4"/>
        <v/>
      </c>
    </row>
    <row r="11914" hidden="1">
      <c r="F11914" s="1" t="str">
        <f t="shared" si="1"/>
        <v/>
      </c>
      <c r="G11914" s="1" t="str">
        <f t="shared" si="2"/>
        <v/>
      </c>
      <c r="J11914" s="1" t="str">
        <f t="shared" si="3"/>
        <v/>
      </c>
      <c r="K11914" s="1" t="str">
        <f t="shared" si="4"/>
        <v/>
      </c>
    </row>
    <row r="11915" hidden="1">
      <c r="F11915" s="1" t="str">
        <f t="shared" si="1"/>
        <v/>
      </c>
      <c r="G11915" s="1" t="str">
        <f t="shared" si="2"/>
        <v/>
      </c>
      <c r="J11915" s="1" t="str">
        <f t="shared" si="3"/>
        <v/>
      </c>
      <c r="K11915" s="1" t="str">
        <f t="shared" si="4"/>
        <v/>
      </c>
    </row>
    <row r="11916" hidden="1">
      <c r="F11916" s="1" t="str">
        <f t="shared" si="1"/>
        <v/>
      </c>
      <c r="G11916" s="1" t="str">
        <f t="shared" si="2"/>
        <v/>
      </c>
      <c r="J11916" s="1" t="str">
        <f t="shared" si="3"/>
        <v/>
      </c>
      <c r="K11916" s="1" t="str">
        <f t="shared" si="4"/>
        <v/>
      </c>
    </row>
    <row r="11917" hidden="1">
      <c r="F11917" s="1" t="str">
        <f t="shared" si="1"/>
        <v/>
      </c>
      <c r="G11917" s="1" t="str">
        <f t="shared" si="2"/>
        <v/>
      </c>
      <c r="J11917" s="1" t="str">
        <f t="shared" si="3"/>
        <v/>
      </c>
      <c r="K11917" s="1" t="str">
        <f t="shared" si="4"/>
        <v/>
      </c>
    </row>
    <row r="11918" hidden="1">
      <c r="F11918" s="1" t="str">
        <f t="shared" si="1"/>
        <v/>
      </c>
      <c r="G11918" s="1" t="str">
        <f t="shared" si="2"/>
        <v/>
      </c>
      <c r="J11918" s="1" t="str">
        <f t="shared" si="3"/>
        <v/>
      </c>
      <c r="K11918" s="1" t="str">
        <f t="shared" si="4"/>
        <v/>
      </c>
    </row>
    <row r="11919" hidden="1">
      <c r="F11919" s="1" t="str">
        <f t="shared" si="1"/>
        <v/>
      </c>
      <c r="G11919" s="1" t="str">
        <f t="shared" si="2"/>
        <v/>
      </c>
      <c r="J11919" s="1" t="str">
        <f t="shared" si="3"/>
        <v/>
      </c>
      <c r="K11919" s="1" t="str">
        <f t="shared" si="4"/>
        <v/>
      </c>
    </row>
    <row r="11920" hidden="1">
      <c r="F11920" s="1" t="str">
        <f t="shared" si="1"/>
        <v/>
      </c>
      <c r="G11920" s="1" t="str">
        <f t="shared" si="2"/>
        <v/>
      </c>
      <c r="J11920" s="1" t="str">
        <f t="shared" si="3"/>
        <v/>
      </c>
      <c r="K11920" s="1" t="str">
        <f t="shared" si="4"/>
        <v/>
      </c>
    </row>
    <row r="11921" hidden="1">
      <c r="F11921" s="1" t="str">
        <f t="shared" si="1"/>
        <v/>
      </c>
      <c r="G11921" s="1" t="str">
        <f t="shared" si="2"/>
        <v/>
      </c>
      <c r="J11921" s="1" t="str">
        <f t="shared" si="3"/>
        <v/>
      </c>
      <c r="K11921" s="1" t="str">
        <f t="shared" si="4"/>
        <v/>
      </c>
    </row>
    <row r="11922" hidden="1">
      <c r="F11922" s="1" t="str">
        <f t="shared" si="1"/>
        <v/>
      </c>
      <c r="G11922" s="1" t="str">
        <f t="shared" si="2"/>
        <v/>
      </c>
      <c r="J11922" s="1" t="str">
        <f t="shared" si="3"/>
        <v/>
      </c>
      <c r="K11922" s="1" t="str">
        <f t="shared" si="4"/>
        <v/>
      </c>
    </row>
    <row r="11923" hidden="1">
      <c r="F11923" s="1" t="str">
        <f t="shared" si="1"/>
        <v/>
      </c>
      <c r="G11923" s="1" t="str">
        <f t="shared" si="2"/>
        <v/>
      </c>
      <c r="J11923" s="1" t="str">
        <f t="shared" si="3"/>
        <v/>
      </c>
      <c r="K11923" s="1" t="str">
        <f t="shared" si="4"/>
        <v/>
      </c>
    </row>
    <row r="11924" hidden="1">
      <c r="F11924" s="1" t="str">
        <f t="shared" si="1"/>
        <v/>
      </c>
      <c r="G11924" s="1" t="str">
        <f t="shared" si="2"/>
        <v/>
      </c>
      <c r="J11924" s="1" t="str">
        <f t="shared" si="3"/>
        <v/>
      </c>
      <c r="K11924" s="1" t="str">
        <f t="shared" si="4"/>
        <v/>
      </c>
    </row>
    <row r="11925" hidden="1">
      <c r="F11925" s="1" t="str">
        <f t="shared" si="1"/>
        <v/>
      </c>
      <c r="G11925" s="1" t="str">
        <f t="shared" si="2"/>
        <v/>
      </c>
      <c r="J11925" s="1" t="str">
        <f t="shared" si="3"/>
        <v/>
      </c>
      <c r="K11925" s="1" t="str">
        <f t="shared" si="4"/>
        <v/>
      </c>
    </row>
    <row r="11926" hidden="1">
      <c r="F11926" s="1" t="str">
        <f t="shared" si="1"/>
        <v/>
      </c>
      <c r="G11926" s="1" t="str">
        <f t="shared" si="2"/>
        <v/>
      </c>
      <c r="J11926" s="1" t="str">
        <f t="shared" si="3"/>
        <v/>
      </c>
      <c r="K11926" s="1" t="str">
        <f t="shared" si="4"/>
        <v/>
      </c>
    </row>
    <row r="11927" hidden="1">
      <c r="F11927" s="1" t="str">
        <f t="shared" si="1"/>
        <v/>
      </c>
      <c r="G11927" s="1" t="str">
        <f t="shared" si="2"/>
        <v/>
      </c>
      <c r="J11927" s="1" t="str">
        <f t="shared" si="3"/>
        <v/>
      </c>
      <c r="K11927" s="1" t="str">
        <f t="shared" si="4"/>
        <v/>
      </c>
    </row>
    <row r="11928" hidden="1">
      <c r="F11928" s="1" t="str">
        <f t="shared" si="1"/>
        <v/>
      </c>
      <c r="G11928" s="1" t="str">
        <f t="shared" si="2"/>
        <v/>
      </c>
      <c r="J11928" s="1" t="str">
        <f t="shared" si="3"/>
        <v/>
      </c>
      <c r="K11928" s="1" t="str">
        <f t="shared" si="4"/>
        <v/>
      </c>
    </row>
    <row r="11929" hidden="1">
      <c r="F11929" s="1" t="str">
        <f t="shared" si="1"/>
        <v/>
      </c>
      <c r="G11929" s="1" t="str">
        <f t="shared" si="2"/>
        <v/>
      </c>
      <c r="J11929" s="1" t="str">
        <f t="shared" si="3"/>
        <v/>
      </c>
      <c r="K11929" s="1" t="str">
        <f t="shared" si="4"/>
        <v/>
      </c>
    </row>
    <row r="11930" hidden="1">
      <c r="F11930" s="1" t="str">
        <f t="shared" si="1"/>
        <v/>
      </c>
      <c r="G11930" s="1" t="str">
        <f t="shared" si="2"/>
        <v/>
      </c>
      <c r="J11930" s="1" t="str">
        <f t="shared" si="3"/>
        <v/>
      </c>
      <c r="K11930" s="1" t="str">
        <f t="shared" si="4"/>
        <v/>
      </c>
    </row>
    <row r="11931" hidden="1">
      <c r="F11931" s="1" t="str">
        <f t="shared" si="1"/>
        <v/>
      </c>
      <c r="G11931" s="1" t="str">
        <f t="shared" si="2"/>
        <v/>
      </c>
      <c r="J11931" s="1" t="str">
        <f t="shared" si="3"/>
        <v/>
      </c>
      <c r="K11931" s="1" t="str">
        <f t="shared" si="4"/>
        <v/>
      </c>
    </row>
    <row r="11932" hidden="1">
      <c r="F11932" s="1" t="str">
        <f t="shared" si="1"/>
        <v/>
      </c>
      <c r="G11932" s="1" t="str">
        <f t="shared" si="2"/>
        <v/>
      </c>
      <c r="J11932" s="1" t="str">
        <f t="shared" si="3"/>
        <v/>
      </c>
      <c r="K11932" s="1" t="str">
        <f t="shared" si="4"/>
        <v/>
      </c>
    </row>
    <row r="11933" hidden="1">
      <c r="F11933" s="1" t="str">
        <f t="shared" si="1"/>
        <v/>
      </c>
      <c r="G11933" s="1" t="str">
        <f t="shared" si="2"/>
        <v/>
      </c>
      <c r="J11933" s="1" t="str">
        <f t="shared" si="3"/>
        <v/>
      </c>
      <c r="K11933" s="1" t="str">
        <f t="shared" si="4"/>
        <v/>
      </c>
    </row>
    <row r="11934" hidden="1">
      <c r="F11934" s="1" t="str">
        <f t="shared" si="1"/>
        <v/>
      </c>
      <c r="G11934" s="1" t="str">
        <f t="shared" si="2"/>
        <v/>
      </c>
      <c r="J11934" s="1" t="str">
        <f t="shared" si="3"/>
        <v/>
      </c>
      <c r="K11934" s="1" t="str">
        <f t="shared" si="4"/>
        <v/>
      </c>
    </row>
    <row r="11935" hidden="1">
      <c r="F11935" s="1" t="str">
        <f t="shared" si="1"/>
        <v/>
      </c>
      <c r="G11935" s="1" t="str">
        <f t="shared" si="2"/>
        <v/>
      </c>
      <c r="J11935" s="1" t="str">
        <f t="shared" si="3"/>
        <v/>
      </c>
      <c r="K11935" s="1" t="str">
        <f t="shared" si="4"/>
        <v/>
      </c>
    </row>
    <row r="11936" hidden="1">
      <c r="F11936" s="1" t="str">
        <f t="shared" si="1"/>
        <v/>
      </c>
      <c r="G11936" s="1" t="str">
        <f t="shared" si="2"/>
        <v/>
      </c>
      <c r="J11936" s="1" t="str">
        <f t="shared" si="3"/>
        <v/>
      </c>
      <c r="K11936" s="1" t="str">
        <f t="shared" si="4"/>
        <v/>
      </c>
    </row>
    <row r="11937" hidden="1">
      <c r="F11937" s="1" t="str">
        <f t="shared" si="1"/>
        <v/>
      </c>
      <c r="G11937" s="1" t="str">
        <f t="shared" si="2"/>
        <v/>
      </c>
      <c r="J11937" s="1" t="str">
        <f t="shared" si="3"/>
        <v/>
      </c>
      <c r="K11937" s="1" t="str">
        <f t="shared" si="4"/>
        <v/>
      </c>
    </row>
    <row r="11938" hidden="1">
      <c r="F11938" s="1" t="str">
        <f t="shared" si="1"/>
        <v/>
      </c>
      <c r="G11938" s="1" t="str">
        <f t="shared" si="2"/>
        <v/>
      </c>
      <c r="J11938" s="1" t="str">
        <f t="shared" si="3"/>
        <v/>
      </c>
      <c r="K11938" s="1" t="str">
        <f t="shared" si="4"/>
        <v/>
      </c>
    </row>
    <row r="11939" hidden="1">
      <c r="F11939" s="1" t="str">
        <f t="shared" si="1"/>
        <v/>
      </c>
      <c r="G11939" s="1" t="str">
        <f t="shared" si="2"/>
        <v/>
      </c>
      <c r="J11939" s="1" t="str">
        <f t="shared" si="3"/>
        <v/>
      </c>
      <c r="K11939" s="1" t="str">
        <f t="shared" si="4"/>
        <v/>
      </c>
    </row>
    <row r="11940" hidden="1">
      <c r="F11940" s="1" t="str">
        <f t="shared" si="1"/>
        <v/>
      </c>
      <c r="G11940" s="1" t="str">
        <f t="shared" si="2"/>
        <v/>
      </c>
      <c r="J11940" s="1" t="str">
        <f t="shared" si="3"/>
        <v/>
      </c>
      <c r="K11940" s="1" t="str">
        <f t="shared" si="4"/>
        <v/>
      </c>
    </row>
    <row r="11941" hidden="1">
      <c r="F11941" s="1" t="str">
        <f t="shared" si="1"/>
        <v/>
      </c>
      <c r="G11941" s="1" t="str">
        <f t="shared" si="2"/>
        <v/>
      </c>
      <c r="J11941" s="1" t="str">
        <f t="shared" si="3"/>
        <v/>
      </c>
      <c r="K11941" s="1" t="str">
        <f t="shared" si="4"/>
        <v/>
      </c>
    </row>
    <row r="11942" hidden="1">
      <c r="F11942" s="1" t="str">
        <f t="shared" si="1"/>
        <v/>
      </c>
      <c r="G11942" s="1" t="str">
        <f t="shared" si="2"/>
        <v/>
      </c>
      <c r="J11942" s="1" t="str">
        <f t="shared" si="3"/>
        <v/>
      </c>
      <c r="K11942" s="1" t="str">
        <f t="shared" si="4"/>
        <v/>
      </c>
    </row>
    <row r="11943" hidden="1">
      <c r="F11943" s="1" t="str">
        <f t="shared" si="1"/>
        <v/>
      </c>
      <c r="G11943" s="1" t="str">
        <f t="shared" si="2"/>
        <v/>
      </c>
      <c r="J11943" s="1" t="str">
        <f t="shared" si="3"/>
        <v/>
      </c>
      <c r="K11943" s="1" t="str">
        <f t="shared" si="4"/>
        <v/>
      </c>
    </row>
    <row r="11944" hidden="1">
      <c r="F11944" s="1" t="str">
        <f t="shared" si="1"/>
        <v/>
      </c>
      <c r="G11944" s="1" t="str">
        <f t="shared" si="2"/>
        <v/>
      </c>
      <c r="J11944" s="1" t="str">
        <f t="shared" si="3"/>
        <v/>
      </c>
      <c r="K11944" s="1" t="str">
        <f t="shared" si="4"/>
        <v/>
      </c>
    </row>
    <row r="11945" hidden="1">
      <c r="F11945" s="1" t="str">
        <f t="shared" si="1"/>
        <v/>
      </c>
      <c r="G11945" s="1" t="str">
        <f t="shared" si="2"/>
        <v/>
      </c>
      <c r="J11945" s="1" t="str">
        <f t="shared" si="3"/>
        <v/>
      </c>
      <c r="K11945" s="1" t="str">
        <f t="shared" si="4"/>
        <v/>
      </c>
    </row>
    <row r="11946" hidden="1">
      <c r="F11946" s="1" t="str">
        <f t="shared" si="1"/>
        <v/>
      </c>
      <c r="G11946" s="1" t="str">
        <f t="shared" si="2"/>
        <v/>
      </c>
      <c r="J11946" s="1" t="str">
        <f t="shared" si="3"/>
        <v/>
      </c>
      <c r="K11946" s="1" t="str">
        <f t="shared" si="4"/>
        <v/>
      </c>
    </row>
    <row r="11947" hidden="1">
      <c r="F11947" s="1" t="str">
        <f t="shared" si="1"/>
        <v/>
      </c>
      <c r="G11947" s="1" t="str">
        <f t="shared" si="2"/>
        <v/>
      </c>
      <c r="J11947" s="1" t="str">
        <f t="shared" si="3"/>
        <v/>
      </c>
      <c r="K11947" s="1" t="str">
        <f t="shared" si="4"/>
        <v/>
      </c>
    </row>
    <row r="11948" hidden="1">
      <c r="F11948" s="1" t="str">
        <f t="shared" si="1"/>
        <v/>
      </c>
      <c r="G11948" s="1" t="str">
        <f t="shared" si="2"/>
        <v/>
      </c>
      <c r="J11948" s="1" t="str">
        <f t="shared" si="3"/>
        <v/>
      </c>
      <c r="K11948" s="1" t="str">
        <f t="shared" si="4"/>
        <v/>
      </c>
    </row>
    <row r="11949" hidden="1">
      <c r="F11949" s="1" t="str">
        <f t="shared" si="1"/>
        <v/>
      </c>
      <c r="G11949" s="1" t="str">
        <f t="shared" si="2"/>
        <v/>
      </c>
      <c r="J11949" s="1" t="str">
        <f t="shared" si="3"/>
        <v/>
      </c>
      <c r="K11949" s="1" t="str">
        <f t="shared" si="4"/>
        <v/>
      </c>
    </row>
    <row r="11950" hidden="1">
      <c r="F11950" s="1" t="str">
        <f t="shared" si="1"/>
        <v/>
      </c>
      <c r="G11950" s="1" t="str">
        <f t="shared" si="2"/>
        <v/>
      </c>
      <c r="J11950" s="1" t="str">
        <f t="shared" si="3"/>
        <v/>
      </c>
      <c r="K11950" s="1" t="str">
        <f t="shared" si="4"/>
        <v/>
      </c>
    </row>
    <row r="11951" hidden="1">
      <c r="F11951" s="1" t="str">
        <f t="shared" si="1"/>
        <v/>
      </c>
      <c r="G11951" s="1" t="str">
        <f t="shared" si="2"/>
        <v/>
      </c>
      <c r="J11951" s="1" t="str">
        <f t="shared" si="3"/>
        <v/>
      </c>
      <c r="K11951" s="1" t="str">
        <f t="shared" si="4"/>
        <v/>
      </c>
    </row>
    <row r="11952" hidden="1">
      <c r="F11952" s="1" t="str">
        <f t="shared" si="1"/>
        <v/>
      </c>
      <c r="G11952" s="1" t="str">
        <f t="shared" si="2"/>
        <v/>
      </c>
      <c r="J11952" s="1" t="str">
        <f t="shared" si="3"/>
        <v/>
      </c>
      <c r="K11952" s="1" t="str">
        <f t="shared" si="4"/>
        <v/>
      </c>
    </row>
    <row r="11953" hidden="1">
      <c r="F11953" s="1" t="str">
        <f t="shared" si="1"/>
        <v/>
      </c>
      <c r="G11953" s="1" t="str">
        <f t="shared" si="2"/>
        <v/>
      </c>
      <c r="J11953" s="1" t="str">
        <f t="shared" si="3"/>
        <v/>
      </c>
      <c r="K11953" s="1" t="str">
        <f t="shared" si="4"/>
        <v/>
      </c>
    </row>
    <row r="11954" hidden="1">
      <c r="F11954" s="1" t="str">
        <f t="shared" si="1"/>
        <v/>
      </c>
      <c r="G11954" s="1" t="str">
        <f t="shared" si="2"/>
        <v/>
      </c>
      <c r="J11954" s="1" t="str">
        <f t="shared" si="3"/>
        <v/>
      </c>
      <c r="K11954" s="1" t="str">
        <f t="shared" si="4"/>
        <v/>
      </c>
    </row>
    <row r="11955" hidden="1">
      <c r="F11955" s="1" t="str">
        <f t="shared" si="1"/>
        <v/>
      </c>
      <c r="G11955" s="1" t="str">
        <f t="shared" si="2"/>
        <v/>
      </c>
      <c r="J11955" s="1" t="str">
        <f t="shared" si="3"/>
        <v/>
      </c>
      <c r="K11955" s="1" t="str">
        <f t="shared" si="4"/>
        <v/>
      </c>
    </row>
    <row r="11956" hidden="1">
      <c r="F11956" s="1" t="str">
        <f t="shared" si="1"/>
        <v/>
      </c>
      <c r="G11956" s="1" t="str">
        <f t="shared" si="2"/>
        <v/>
      </c>
      <c r="J11956" s="1" t="str">
        <f t="shared" si="3"/>
        <v/>
      </c>
      <c r="K11956" s="1" t="str">
        <f t="shared" si="4"/>
        <v/>
      </c>
    </row>
    <row r="11957" hidden="1">
      <c r="F11957" s="1" t="str">
        <f t="shared" si="1"/>
        <v/>
      </c>
      <c r="G11957" s="1" t="str">
        <f t="shared" si="2"/>
        <v/>
      </c>
      <c r="J11957" s="1" t="str">
        <f t="shared" si="3"/>
        <v/>
      </c>
      <c r="K11957" s="1" t="str">
        <f t="shared" si="4"/>
        <v/>
      </c>
    </row>
    <row r="11958" hidden="1">
      <c r="F11958" s="1" t="str">
        <f t="shared" si="1"/>
        <v/>
      </c>
      <c r="G11958" s="1" t="str">
        <f t="shared" si="2"/>
        <v/>
      </c>
      <c r="J11958" s="1" t="str">
        <f t="shared" si="3"/>
        <v/>
      </c>
      <c r="K11958" s="1" t="str">
        <f t="shared" si="4"/>
        <v/>
      </c>
    </row>
    <row r="11959" hidden="1">
      <c r="F11959" s="1" t="str">
        <f t="shared" si="1"/>
        <v/>
      </c>
      <c r="G11959" s="1" t="str">
        <f t="shared" si="2"/>
        <v/>
      </c>
      <c r="J11959" s="1" t="str">
        <f t="shared" si="3"/>
        <v/>
      </c>
      <c r="K11959" s="1" t="str">
        <f t="shared" si="4"/>
        <v/>
      </c>
    </row>
    <row r="11960" hidden="1">
      <c r="F11960" s="1" t="str">
        <f t="shared" si="1"/>
        <v/>
      </c>
      <c r="G11960" s="1" t="str">
        <f t="shared" si="2"/>
        <v/>
      </c>
      <c r="J11960" s="1" t="str">
        <f t="shared" si="3"/>
        <v/>
      </c>
      <c r="K11960" s="1" t="str">
        <f t="shared" si="4"/>
        <v/>
      </c>
    </row>
    <row r="11961" hidden="1">
      <c r="F11961" s="1" t="str">
        <f t="shared" si="1"/>
        <v/>
      </c>
      <c r="G11961" s="1" t="str">
        <f t="shared" si="2"/>
        <v/>
      </c>
      <c r="J11961" s="1" t="str">
        <f t="shared" si="3"/>
        <v/>
      </c>
      <c r="K11961" s="1" t="str">
        <f t="shared" si="4"/>
        <v/>
      </c>
    </row>
    <row r="11962" hidden="1">
      <c r="F11962" s="1" t="str">
        <f t="shared" si="1"/>
        <v/>
      </c>
      <c r="G11962" s="1" t="str">
        <f t="shared" si="2"/>
        <v/>
      </c>
      <c r="J11962" s="1" t="str">
        <f t="shared" si="3"/>
        <v/>
      </c>
      <c r="K11962" s="1" t="str">
        <f t="shared" si="4"/>
        <v/>
      </c>
    </row>
    <row r="11963" hidden="1">
      <c r="F11963" s="1" t="str">
        <f t="shared" si="1"/>
        <v/>
      </c>
      <c r="G11963" s="1" t="str">
        <f t="shared" si="2"/>
        <v/>
      </c>
      <c r="J11963" s="1" t="str">
        <f t="shared" si="3"/>
        <v/>
      </c>
      <c r="K11963" s="1" t="str">
        <f t="shared" si="4"/>
        <v/>
      </c>
    </row>
    <row r="11964" hidden="1">
      <c r="F11964" s="1" t="str">
        <f t="shared" si="1"/>
        <v/>
      </c>
      <c r="G11964" s="1" t="str">
        <f t="shared" si="2"/>
        <v/>
      </c>
      <c r="J11964" s="1" t="str">
        <f t="shared" si="3"/>
        <v/>
      </c>
      <c r="K11964" s="1" t="str">
        <f t="shared" si="4"/>
        <v/>
      </c>
    </row>
    <row r="11965" hidden="1">
      <c r="F11965" s="1" t="str">
        <f t="shared" si="1"/>
        <v/>
      </c>
      <c r="G11965" s="1" t="str">
        <f t="shared" si="2"/>
        <v/>
      </c>
      <c r="J11965" s="1" t="str">
        <f t="shared" si="3"/>
        <v/>
      </c>
      <c r="K11965" s="1" t="str">
        <f t="shared" si="4"/>
        <v/>
      </c>
    </row>
    <row r="11966" hidden="1">
      <c r="F11966" s="1" t="str">
        <f t="shared" si="1"/>
        <v/>
      </c>
      <c r="G11966" s="1" t="str">
        <f t="shared" si="2"/>
        <v/>
      </c>
      <c r="J11966" s="1" t="str">
        <f t="shared" si="3"/>
        <v/>
      </c>
      <c r="K11966" s="1" t="str">
        <f t="shared" si="4"/>
        <v/>
      </c>
    </row>
    <row r="11967" hidden="1">
      <c r="F11967" s="1" t="str">
        <f t="shared" si="1"/>
        <v/>
      </c>
      <c r="G11967" s="1" t="str">
        <f t="shared" si="2"/>
        <v/>
      </c>
      <c r="J11967" s="1" t="str">
        <f t="shared" si="3"/>
        <v/>
      </c>
      <c r="K11967" s="1" t="str">
        <f t="shared" si="4"/>
        <v/>
      </c>
    </row>
    <row r="11968" hidden="1">
      <c r="F11968" s="1" t="str">
        <f t="shared" si="1"/>
        <v/>
      </c>
      <c r="G11968" s="1" t="str">
        <f t="shared" si="2"/>
        <v/>
      </c>
      <c r="J11968" s="1" t="str">
        <f t="shared" si="3"/>
        <v/>
      </c>
      <c r="K11968" s="1" t="str">
        <f t="shared" si="4"/>
        <v/>
      </c>
    </row>
    <row r="11969" hidden="1">
      <c r="F11969" s="1" t="str">
        <f t="shared" si="1"/>
        <v/>
      </c>
      <c r="G11969" s="1" t="str">
        <f t="shared" si="2"/>
        <v/>
      </c>
      <c r="J11969" s="1" t="str">
        <f t="shared" si="3"/>
        <v/>
      </c>
      <c r="K11969" s="1" t="str">
        <f t="shared" si="4"/>
        <v/>
      </c>
    </row>
    <row r="11970" hidden="1">
      <c r="F11970" s="1" t="str">
        <f t="shared" si="1"/>
        <v/>
      </c>
      <c r="G11970" s="1" t="str">
        <f t="shared" si="2"/>
        <v/>
      </c>
      <c r="J11970" s="1" t="str">
        <f t="shared" si="3"/>
        <v/>
      </c>
      <c r="K11970" s="1" t="str">
        <f t="shared" si="4"/>
        <v/>
      </c>
    </row>
    <row r="11971" hidden="1">
      <c r="F11971" s="1" t="str">
        <f t="shared" si="1"/>
        <v/>
      </c>
      <c r="G11971" s="1" t="str">
        <f t="shared" si="2"/>
        <v/>
      </c>
      <c r="J11971" s="1" t="str">
        <f t="shared" si="3"/>
        <v/>
      </c>
      <c r="K11971" s="1" t="str">
        <f t="shared" si="4"/>
        <v/>
      </c>
    </row>
    <row r="11972" hidden="1">
      <c r="F11972" s="1" t="str">
        <f t="shared" si="1"/>
        <v/>
      </c>
      <c r="G11972" s="1" t="str">
        <f t="shared" si="2"/>
        <v/>
      </c>
      <c r="J11972" s="1" t="str">
        <f t="shared" si="3"/>
        <v/>
      </c>
      <c r="K11972" s="1" t="str">
        <f t="shared" si="4"/>
        <v/>
      </c>
    </row>
    <row r="11973" hidden="1">
      <c r="F11973" s="1" t="str">
        <f t="shared" si="1"/>
        <v/>
      </c>
      <c r="G11973" s="1" t="str">
        <f t="shared" si="2"/>
        <v/>
      </c>
      <c r="J11973" s="1" t="str">
        <f t="shared" si="3"/>
        <v/>
      </c>
      <c r="K11973" s="1" t="str">
        <f t="shared" si="4"/>
        <v/>
      </c>
    </row>
    <row r="11974" hidden="1">
      <c r="F11974" s="1" t="str">
        <f t="shared" si="1"/>
        <v/>
      </c>
      <c r="G11974" s="1" t="str">
        <f t="shared" si="2"/>
        <v/>
      </c>
      <c r="J11974" s="1" t="str">
        <f t="shared" si="3"/>
        <v/>
      </c>
      <c r="K11974" s="1" t="str">
        <f t="shared" si="4"/>
        <v/>
      </c>
    </row>
    <row r="11975" hidden="1">
      <c r="F11975" s="1" t="str">
        <f t="shared" si="1"/>
        <v/>
      </c>
      <c r="G11975" s="1" t="str">
        <f t="shared" si="2"/>
        <v/>
      </c>
      <c r="J11975" s="1" t="str">
        <f t="shared" si="3"/>
        <v/>
      </c>
      <c r="K11975" s="1" t="str">
        <f t="shared" si="4"/>
        <v/>
      </c>
    </row>
    <row r="11976" hidden="1">
      <c r="F11976" s="1" t="str">
        <f t="shared" si="1"/>
        <v/>
      </c>
      <c r="G11976" s="1" t="str">
        <f t="shared" si="2"/>
        <v/>
      </c>
      <c r="J11976" s="1" t="str">
        <f t="shared" si="3"/>
        <v/>
      </c>
      <c r="K11976" s="1" t="str">
        <f t="shared" si="4"/>
        <v/>
      </c>
    </row>
    <row r="11977" hidden="1">
      <c r="F11977" s="1" t="str">
        <f t="shared" si="1"/>
        <v/>
      </c>
      <c r="G11977" s="1" t="str">
        <f t="shared" si="2"/>
        <v/>
      </c>
      <c r="J11977" s="1" t="str">
        <f t="shared" si="3"/>
        <v/>
      </c>
      <c r="K11977" s="1" t="str">
        <f t="shared" si="4"/>
        <v/>
      </c>
    </row>
    <row r="11978" hidden="1">
      <c r="F11978" s="1" t="str">
        <f t="shared" si="1"/>
        <v/>
      </c>
      <c r="G11978" s="1" t="str">
        <f t="shared" si="2"/>
        <v/>
      </c>
      <c r="J11978" s="1" t="str">
        <f t="shared" si="3"/>
        <v/>
      </c>
      <c r="K11978" s="1" t="str">
        <f t="shared" si="4"/>
        <v/>
      </c>
    </row>
    <row r="11979" hidden="1">
      <c r="F11979" s="1" t="str">
        <f t="shared" si="1"/>
        <v/>
      </c>
      <c r="G11979" s="1" t="str">
        <f t="shared" si="2"/>
        <v/>
      </c>
      <c r="J11979" s="1" t="str">
        <f t="shared" si="3"/>
        <v/>
      </c>
      <c r="K11979" s="1" t="str">
        <f t="shared" si="4"/>
        <v/>
      </c>
    </row>
    <row r="11980" hidden="1">
      <c r="F11980" s="1" t="str">
        <f t="shared" si="1"/>
        <v/>
      </c>
      <c r="G11980" s="1" t="str">
        <f t="shared" si="2"/>
        <v/>
      </c>
      <c r="J11980" s="1" t="str">
        <f t="shared" si="3"/>
        <v/>
      </c>
      <c r="K11980" s="1" t="str">
        <f t="shared" si="4"/>
        <v/>
      </c>
    </row>
    <row r="11981" hidden="1">
      <c r="F11981" s="1" t="str">
        <f t="shared" si="1"/>
        <v/>
      </c>
      <c r="G11981" s="1" t="str">
        <f t="shared" si="2"/>
        <v/>
      </c>
      <c r="J11981" s="1" t="str">
        <f t="shared" si="3"/>
        <v/>
      </c>
      <c r="K11981" s="1" t="str">
        <f t="shared" si="4"/>
        <v/>
      </c>
    </row>
    <row r="11982" hidden="1">
      <c r="F11982" s="1" t="str">
        <f t="shared" si="1"/>
        <v/>
      </c>
      <c r="G11982" s="1" t="str">
        <f t="shared" si="2"/>
        <v/>
      </c>
      <c r="J11982" s="1" t="str">
        <f t="shared" si="3"/>
        <v/>
      </c>
      <c r="K11982" s="1" t="str">
        <f t="shared" si="4"/>
        <v/>
      </c>
    </row>
    <row r="11983" hidden="1">
      <c r="F11983" s="1" t="str">
        <f t="shared" si="1"/>
        <v/>
      </c>
      <c r="G11983" s="1" t="str">
        <f t="shared" si="2"/>
        <v/>
      </c>
      <c r="J11983" s="1" t="str">
        <f t="shared" si="3"/>
        <v/>
      </c>
      <c r="K11983" s="1" t="str">
        <f t="shared" si="4"/>
        <v/>
      </c>
    </row>
    <row r="11984" hidden="1">
      <c r="F11984" s="1" t="str">
        <f t="shared" si="1"/>
        <v/>
      </c>
      <c r="G11984" s="1" t="str">
        <f t="shared" si="2"/>
        <v/>
      </c>
      <c r="J11984" s="1" t="str">
        <f t="shared" si="3"/>
        <v/>
      </c>
      <c r="K11984" s="1" t="str">
        <f t="shared" si="4"/>
        <v/>
      </c>
    </row>
    <row r="11985" hidden="1">
      <c r="F11985" s="1" t="str">
        <f t="shared" si="1"/>
        <v/>
      </c>
      <c r="G11985" s="1" t="str">
        <f t="shared" si="2"/>
        <v/>
      </c>
      <c r="J11985" s="1" t="str">
        <f t="shared" si="3"/>
        <v/>
      </c>
      <c r="K11985" s="1" t="str">
        <f t="shared" si="4"/>
        <v/>
      </c>
    </row>
    <row r="11986" hidden="1">
      <c r="F11986" s="1" t="str">
        <f t="shared" si="1"/>
        <v/>
      </c>
      <c r="G11986" s="1" t="str">
        <f t="shared" si="2"/>
        <v/>
      </c>
      <c r="J11986" s="1" t="str">
        <f t="shared" si="3"/>
        <v/>
      </c>
      <c r="K11986" s="1" t="str">
        <f t="shared" si="4"/>
        <v/>
      </c>
    </row>
    <row r="11987" hidden="1">
      <c r="F11987" s="1" t="str">
        <f t="shared" si="1"/>
        <v/>
      </c>
      <c r="G11987" s="1" t="str">
        <f t="shared" si="2"/>
        <v/>
      </c>
      <c r="J11987" s="1" t="str">
        <f t="shared" si="3"/>
        <v/>
      </c>
      <c r="K11987" s="1" t="str">
        <f t="shared" si="4"/>
        <v/>
      </c>
    </row>
    <row r="11988" hidden="1">
      <c r="F11988" s="1" t="str">
        <f t="shared" si="1"/>
        <v/>
      </c>
      <c r="G11988" s="1" t="str">
        <f t="shared" si="2"/>
        <v/>
      </c>
      <c r="J11988" s="1" t="str">
        <f t="shared" si="3"/>
        <v/>
      </c>
      <c r="K11988" s="1" t="str">
        <f t="shared" si="4"/>
        <v/>
      </c>
    </row>
    <row r="11989" hidden="1">
      <c r="F11989" s="1" t="str">
        <f t="shared" si="1"/>
        <v/>
      </c>
      <c r="G11989" s="1" t="str">
        <f t="shared" si="2"/>
        <v/>
      </c>
      <c r="J11989" s="1" t="str">
        <f t="shared" si="3"/>
        <v/>
      </c>
      <c r="K11989" s="1" t="str">
        <f t="shared" si="4"/>
        <v/>
      </c>
    </row>
    <row r="11990" hidden="1">
      <c r="F11990" s="1" t="str">
        <f t="shared" si="1"/>
        <v/>
      </c>
      <c r="G11990" s="1" t="str">
        <f t="shared" si="2"/>
        <v/>
      </c>
      <c r="J11990" s="1" t="str">
        <f t="shared" si="3"/>
        <v/>
      </c>
      <c r="K11990" s="1" t="str">
        <f t="shared" si="4"/>
        <v/>
      </c>
    </row>
    <row r="11991" hidden="1">
      <c r="F11991" s="1" t="str">
        <f t="shared" si="1"/>
        <v/>
      </c>
      <c r="G11991" s="1" t="str">
        <f t="shared" si="2"/>
        <v/>
      </c>
      <c r="J11991" s="1" t="str">
        <f t="shared" si="3"/>
        <v/>
      </c>
      <c r="K11991" s="1" t="str">
        <f t="shared" si="4"/>
        <v/>
      </c>
    </row>
    <row r="11992" hidden="1">
      <c r="F11992" s="1" t="str">
        <f t="shared" si="1"/>
        <v/>
      </c>
      <c r="G11992" s="1" t="str">
        <f t="shared" si="2"/>
        <v/>
      </c>
      <c r="J11992" s="1" t="str">
        <f t="shared" si="3"/>
        <v/>
      </c>
      <c r="K11992" s="1" t="str">
        <f t="shared" si="4"/>
        <v/>
      </c>
    </row>
    <row r="11993" hidden="1">
      <c r="F11993" s="1" t="str">
        <f t="shared" si="1"/>
        <v/>
      </c>
      <c r="G11993" s="1" t="str">
        <f t="shared" si="2"/>
        <v/>
      </c>
      <c r="J11993" s="1" t="str">
        <f t="shared" si="3"/>
        <v/>
      </c>
      <c r="K11993" s="1" t="str">
        <f t="shared" si="4"/>
        <v/>
      </c>
    </row>
    <row r="11994" hidden="1">
      <c r="F11994" s="1" t="str">
        <f t="shared" si="1"/>
        <v/>
      </c>
      <c r="G11994" s="1" t="str">
        <f t="shared" si="2"/>
        <v/>
      </c>
      <c r="J11994" s="1" t="str">
        <f t="shared" si="3"/>
        <v/>
      </c>
      <c r="K11994" s="1" t="str">
        <f t="shared" si="4"/>
        <v/>
      </c>
    </row>
    <row r="11995" hidden="1">
      <c r="F11995" s="1" t="str">
        <f t="shared" si="1"/>
        <v/>
      </c>
      <c r="G11995" s="1" t="str">
        <f t="shared" si="2"/>
        <v/>
      </c>
      <c r="J11995" s="1" t="str">
        <f t="shared" si="3"/>
        <v/>
      </c>
      <c r="K11995" s="1" t="str">
        <f t="shared" si="4"/>
        <v/>
      </c>
    </row>
    <row r="11996" hidden="1">
      <c r="F11996" s="1" t="str">
        <f t="shared" si="1"/>
        <v/>
      </c>
      <c r="G11996" s="1" t="str">
        <f t="shared" si="2"/>
        <v/>
      </c>
      <c r="J11996" s="1" t="str">
        <f t="shared" si="3"/>
        <v/>
      </c>
      <c r="K11996" s="1" t="str">
        <f t="shared" si="4"/>
        <v/>
      </c>
    </row>
    <row r="11997" hidden="1">
      <c r="F11997" s="1" t="str">
        <f t="shared" si="1"/>
        <v/>
      </c>
      <c r="G11997" s="1" t="str">
        <f t="shared" si="2"/>
        <v/>
      </c>
      <c r="J11997" s="1" t="str">
        <f t="shared" si="3"/>
        <v/>
      </c>
      <c r="K11997" s="1" t="str">
        <f t="shared" si="4"/>
        <v/>
      </c>
    </row>
    <row r="11998" hidden="1">
      <c r="F11998" s="1" t="str">
        <f t="shared" si="1"/>
        <v/>
      </c>
      <c r="G11998" s="1" t="str">
        <f t="shared" si="2"/>
        <v/>
      </c>
      <c r="J11998" s="1" t="str">
        <f t="shared" si="3"/>
        <v/>
      </c>
      <c r="K11998" s="1" t="str">
        <f t="shared" si="4"/>
        <v/>
      </c>
    </row>
    <row r="11999" hidden="1">
      <c r="F11999" s="1" t="str">
        <f t="shared" si="1"/>
        <v/>
      </c>
      <c r="G11999" s="1" t="str">
        <f t="shared" si="2"/>
        <v/>
      </c>
      <c r="J11999" s="1" t="str">
        <f t="shared" si="3"/>
        <v/>
      </c>
      <c r="K11999" s="1" t="str">
        <f t="shared" si="4"/>
        <v/>
      </c>
    </row>
    <row r="12000" hidden="1">
      <c r="F12000" s="1" t="str">
        <f t="shared" si="1"/>
        <v/>
      </c>
      <c r="G12000" s="1" t="str">
        <f t="shared" si="2"/>
        <v/>
      </c>
      <c r="J12000" s="1" t="str">
        <f t="shared" si="3"/>
        <v/>
      </c>
      <c r="K12000" s="1" t="str">
        <f t="shared" si="4"/>
        <v/>
      </c>
    </row>
    <row r="12001" hidden="1">
      <c r="F12001" s="1" t="str">
        <f t="shared" si="1"/>
        <v/>
      </c>
      <c r="G12001" s="1" t="str">
        <f t="shared" si="2"/>
        <v/>
      </c>
      <c r="J12001" s="1" t="str">
        <f t="shared" si="3"/>
        <v/>
      </c>
      <c r="K12001" s="1" t="str">
        <f t="shared" si="4"/>
        <v/>
      </c>
    </row>
    <row r="12002" hidden="1">
      <c r="F12002" s="1" t="str">
        <f t="shared" si="1"/>
        <v/>
      </c>
      <c r="G12002" s="1" t="str">
        <f t="shared" si="2"/>
        <v/>
      </c>
      <c r="J12002" s="1" t="str">
        <f t="shared" si="3"/>
        <v/>
      </c>
      <c r="K12002" s="1" t="str">
        <f t="shared" si="4"/>
        <v/>
      </c>
    </row>
    <row r="12003" hidden="1">
      <c r="F12003" s="1" t="str">
        <f t="shared" si="1"/>
        <v/>
      </c>
      <c r="G12003" s="1" t="str">
        <f t="shared" si="2"/>
        <v/>
      </c>
      <c r="J12003" s="1" t="str">
        <f t="shared" si="3"/>
        <v/>
      </c>
      <c r="K12003" s="1" t="str">
        <f t="shared" si="4"/>
        <v/>
      </c>
    </row>
    <row r="12004" hidden="1">
      <c r="F12004" s="1" t="str">
        <f t="shared" si="1"/>
        <v/>
      </c>
      <c r="G12004" s="1" t="str">
        <f t="shared" si="2"/>
        <v/>
      </c>
      <c r="J12004" s="1" t="str">
        <f t="shared" si="3"/>
        <v/>
      </c>
      <c r="K12004" s="1" t="str">
        <f t="shared" si="4"/>
        <v/>
      </c>
    </row>
    <row r="12005" hidden="1">
      <c r="F12005" s="1" t="str">
        <f t="shared" si="1"/>
        <v/>
      </c>
      <c r="G12005" s="1" t="str">
        <f t="shared" si="2"/>
        <v/>
      </c>
      <c r="J12005" s="1" t="str">
        <f t="shared" si="3"/>
        <v/>
      </c>
      <c r="K12005" s="1" t="str">
        <f t="shared" si="4"/>
        <v/>
      </c>
    </row>
    <row r="12006" hidden="1">
      <c r="F12006" s="1" t="str">
        <f t="shared" si="1"/>
        <v/>
      </c>
      <c r="G12006" s="1" t="str">
        <f t="shared" si="2"/>
        <v/>
      </c>
      <c r="J12006" s="1" t="str">
        <f t="shared" si="3"/>
        <v/>
      </c>
      <c r="K12006" s="1" t="str">
        <f t="shared" si="4"/>
        <v/>
      </c>
    </row>
    <row r="12007" hidden="1">
      <c r="F12007" s="1" t="str">
        <f t="shared" si="1"/>
        <v/>
      </c>
      <c r="G12007" s="1" t="str">
        <f t="shared" si="2"/>
        <v/>
      </c>
      <c r="J12007" s="1" t="str">
        <f t="shared" si="3"/>
        <v/>
      </c>
      <c r="K12007" s="1" t="str">
        <f t="shared" si="4"/>
        <v/>
      </c>
    </row>
    <row r="12008" hidden="1">
      <c r="F12008" s="1" t="str">
        <f t="shared" si="1"/>
        <v/>
      </c>
      <c r="G12008" s="1" t="str">
        <f t="shared" si="2"/>
        <v/>
      </c>
      <c r="J12008" s="1" t="str">
        <f t="shared" si="3"/>
        <v/>
      </c>
      <c r="K12008" s="1" t="str">
        <f t="shared" si="4"/>
        <v/>
      </c>
    </row>
    <row r="12009" hidden="1">
      <c r="F12009" s="1" t="str">
        <f t="shared" si="1"/>
        <v/>
      </c>
      <c r="G12009" s="1" t="str">
        <f t="shared" si="2"/>
        <v/>
      </c>
      <c r="J12009" s="1" t="str">
        <f t="shared" si="3"/>
        <v/>
      </c>
      <c r="K12009" s="1" t="str">
        <f t="shared" si="4"/>
        <v/>
      </c>
    </row>
    <row r="12010" hidden="1">
      <c r="F12010" s="1" t="str">
        <f t="shared" si="1"/>
        <v/>
      </c>
      <c r="G12010" s="1" t="str">
        <f t="shared" si="2"/>
        <v/>
      </c>
      <c r="J12010" s="1" t="str">
        <f t="shared" si="3"/>
        <v/>
      </c>
      <c r="K12010" s="1" t="str">
        <f t="shared" si="4"/>
        <v/>
      </c>
    </row>
    <row r="12011" hidden="1">
      <c r="F12011" s="1" t="str">
        <f t="shared" si="1"/>
        <v/>
      </c>
      <c r="G12011" s="1" t="str">
        <f t="shared" si="2"/>
        <v/>
      </c>
      <c r="J12011" s="1" t="str">
        <f t="shared" si="3"/>
        <v/>
      </c>
      <c r="K12011" s="1" t="str">
        <f t="shared" si="4"/>
        <v/>
      </c>
    </row>
    <row r="12012" hidden="1">
      <c r="F12012" s="1" t="str">
        <f t="shared" si="1"/>
        <v/>
      </c>
      <c r="G12012" s="1" t="str">
        <f t="shared" si="2"/>
        <v/>
      </c>
      <c r="J12012" s="1" t="str">
        <f t="shared" si="3"/>
        <v/>
      </c>
      <c r="K12012" s="1" t="str">
        <f t="shared" si="4"/>
        <v/>
      </c>
    </row>
    <row r="12013" hidden="1">
      <c r="F12013" s="1" t="str">
        <f t="shared" si="1"/>
        <v/>
      </c>
      <c r="G12013" s="1" t="str">
        <f t="shared" si="2"/>
        <v/>
      </c>
      <c r="J12013" s="1" t="str">
        <f t="shared" si="3"/>
        <v/>
      </c>
      <c r="K12013" s="1" t="str">
        <f t="shared" si="4"/>
        <v/>
      </c>
    </row>
    <row r="12014" hidden="1">
      <c r="F12014" s="1" t="str">
        <f t="shared" si="1"/>
        <v/>
      </c>
      <c r="G12014" s="1" t="str">
        <f t="shared" si="2"/>
        <v/>
      </c>
      <c r="J12014" s="1" t="str">
        <f t="shared" si="3"/>
        <v/>
      </c>
      <c r="K12014" s="1" t="str">
        <f t="shared" si="4"/>
        <v/>
      </c>
    </row>
    <row r="12015" hidden="1">
      <c r="F12015" s="1" t="str">
        <f t="shared" si="1"/>
        <v/>
      </c>
      <c r="G12015" s="1" t="str">
        <f t="shared" si="2"/>
        <v/>
      </c>
      <c r="J12015" s="1" t="str">
        <f t="shared" si="3"/>
        <v/>
      </c>
      <c r="K12015" s="1" t="str">
        <f t="shared" si="4"/>
        <v/>
      </c>
    </row>
    <row r="12016" hidden="1">
      <c r="F12016" s="1" t="str">
        <f t="shared" si="1"/>
        <v/>
      </c>
      <c r="G12016" s="1" t="str">
        <f t="shared" si="2"/>
        <v/>
      </c>
      <c r="J12016" s="1" t="str">
        <f t="shared" si="3"/>
        <v/>
      </c>
      <c r="K12016" s="1" t="str">
        <f t="shared" si="4"/>
        <v/>
      </c>
    </row>
    <row r="12017" hidden="1">
      <c r="F12017" s="1" t="str">
        <f t="shared" si="1"/>
        <v/>
      </c>
      <c r="G12017" s="1" t="str">
        <f t="shared" si="2"/>
        <v/>
      </c>
      <c r="J12017" s="1" t="str">
        <f t="shared" si="3"/>
        <v/>
      </c>
      <c r="K12017" s="1" t="str">
        <f t="shared" si="4"/>
        <v/>
      </c>
    </row>
    <row r="12018" hidden="1">
      <c r="F12018" s="1" t="str">
        <f t="shared" si="1"/>
        <v/>
      </c>
      <c r="G12018" s="1" t="str">
        <f t="shared" si="2"/>
        <v/>
      </c>
      <c r="J12018" s="1" t="str">
        <f t="shared" si="3"/>
        <v/>
      </c>
      <c r="K12018" s="1" t="str">
        <f t="shared" si="4"/>
        <v/>
      </c>
    </row>
    <row r="12019" hidden="1">
      <c r="F12019" s="1" t="str">
        <f t="shared" si="1"/>
        <v/>
      </c>
      <c r="G12019" s="1" t="str">
        <f t="shared" si="2"/>
        <v/>
      </c>
      <c r="J12019" s="1" t="str">
        <f t="shared" si="3"/>
        <v/>
      </c>
      <c r="K12019" s="1" t="str">
        <f t="shared" si="4"/>
        <v/>
      </c>
    </row>
    <row r="12020" hidden="1">
      <c r="F12020" s="1" t="str">
        <f t="shared" si="1"/>
        <v/>
      </c>
      <c r="G12020" s="1" t="str">
        <f t="shared" si="2"/>
        <v/>
      </c>
      <c r="J12020" s="1" t="str">
        <f t="shared" si="3"/>
        <v/>
      </c>
      <c r="K12020" s="1" t="str">
        <f t="shared" si="4"/>
        <v/>
      </c>
    </row>
    <row r="12021" hidden="1">
      <c r="F12021" s="1" t="str">
        <f t="shared" si="1"/>
        <v/>
      </c>
      <c r="G12021" s="1" t="str">
        <f t="shared" si="2"/>
        <v/>
      </c>
      <c r="J12021" s="1" t="str">
        <f t="shared" si="3"/>
        <v/>
      </c>
      <c r="K12021" s="1" t="str">
        <f t="shared" si="4"/>
        <v/>
      </c>
    </row>
    <row r="12022" hidden="1">
      <c r="F12022" s="1" t="str">
        <f t="shared" si="1"/>
        <v/>
      </c>
      <c r="G12022" s="1" t="str">
        <f t="shared" si="2"/>
        <v/>
      </c>
      <c r="J12022" s="1" t="str">
        <f t="shared" si="3"/>
        <v/>
      </c>
      <c r="K12022" s="1" t="str">
        <f t="shared" si="4"/>
        <v/>
      </c>
    </row>
    <row r="12023" hidden="1">
      <c r="F12023" s="1" t="str">
        <f t="shared" si="1"/>
        <v/>
      </c>
      <c r="G12023" s="1" t="str">
        <f t="shared" si="2"/>
        <v/>
      </c>
      <c r="J12023" s="1" t="str">
        <f t="shared" si="3"/>
        <v/>
      </c>
      <c r="K12023" s="1" t="str">
        <f t="shared" si="4"/>
        <v/>
      </c>
    </row>
    <row r="12024" hidden="1">
      <c r="F12024" s="1" t="str">
        <f t="shared" si="1"/>
        <v/>
      </c>
      <c r="G12024" s="1" t="str">
        <f t="shared" si="2"/>
        <v/>
      </c>
      <c r="J12024" s="1" t="str">
        <f t="shared" si="3"/>
        <v/>
      </c>
      <c r="K12024" s="1" t="str">
        <f t="shared" si="4"/>
        <v/>
      </c>
    </row>
    <row r="12025" hidden="1">
      <c r="F12025" s="1" t="str">
        <f t="shared" si="1"/>
        <v/>
      </c>
      <c r="G12025" s="1" t="str">
        <f t="shared" si="2"/>
        <v/>
      </c>
      <c r="J12025" s="1" t="str">
        <f t="shared" si="3"/>
        <v/>
      </c>
      <c r="K12025" s="1" t="str">
        <f t="shared" si="4"/>
        <v/>
      </c>
    </row>
    <row r="12026" hidden="1">
      <c r="F12026" s="1" t="str">
        <f t="shared" si="1"/>
        <v/>
      </c>
      <c r="G12026" s="1" t="str">
        <f t="shared" si="2"/>
        <v/>
      </c>
      <c r="J12026" s="1" t="str">
        <f t="shared" si="3"/>
        <v/>
      </c>
      <c r="K12026" s="1" t="str">
        <f t="shared" si="4"/>
        <v/>
      </c>
    </row>
    <row r="12027" hidden="1">
      <c r="F12027" s="1" t="str">
        <f t="shared" si="1"/>
        <v/>
      </c>
      <c r="G12027" s="1" t="str">
        <f t="shared" si="2"/>
        <v/>
      </c>
      <c r="J12027" s="1" t="str">
        <f t="shared" si="3"/>
        <v/>
      </c>
      <c r="K12027" s="1" t="str">
        <f t="shared" si="4"/>
        <v/>
      </c>
    </row>
    <row r="12028" hidden="1">
      <c r="F12028" s="1" t="str">
        <f t="shared" si="1"/>
        <v/>
      </c>
      <c r="G12028" s="1" t="str">
        <f t="shared" si="2"/>
        <v/>
      </c>
      <c r="J12028" s="1" t="str">
        <f t="shared" si="3"/>
        <v/>
      </c>
      <c r="K12028" s="1" t="str">
        <f t="shared" si="4"/>
        <v/>
      </c>
    </row>
    <row r="12029" hidden="1">
      <c r="F12029" s="1" t="str">
        <f t="shared" si="1"/>
        <v/>
      </c>
      <c r="G12029" s="1" t="str">
        <f t="shared" si="2"/>
        <v/>
      </c>
      <c r="J12029" s="1" t="str">
        <f t="shared" si="3"/>
        <v/>
      </c>
      <c r="K12029" s="1" t="str">
        <f t="shared" si="4"/>
        <v/>
      </c>
    </row>
    <row r="12030" hidden="1">
      <c r="F12030" s="1" t="str">
        <f t="shared" si="1"/>
        <v/>
      </c>
      <c r="G12030" s="1" t="str">
        <f t="shared" si="2"/>
        <v/>
      </c>
      <c r="J12030" s="1" t="str">
        <f t="shared" si="3"/>
        <v/>
      </c>
      <c r="K12030" s="1" t="str">
        <f t="shared" si="4"/>
        <v/>
      </c>
    </row>
    <row r="12031" hidden="1">
      <c r="F12031" s="1" t="str">
        <f t="shared" si="1"/>
        <v/>
      </c>
      <c r="G12031" s="1" t="str">
        <f t="shared" si="2"/>
        <v/>
      </c>
      <c r="J12031" s="1" t="str">
        <f t="shared" si="3"/>
        <v/>
      </c>
      <c r="K12031" s="1" t="str">
        <f t="shared" si="4"/>
        <v/>
      </c>
    </row>
    <row r="12032" hidden="1">
      <c r="F12032" s="1" t="str">
        <f t="shared" si="1"/>
        <v/>
      </c>
      <c r="G12032" s="1" t="str">
        <f t="shared" si="2"/>
        <v/>
      </c>
      <c r="J12032" s="1" t="str">
        <f t="shared" si="3"/>
        <v/>
      </c>
      <c r="K12032" s="1" t="str">
        <f t="shared" si="4"/>
        <v/>
      </c>
    </row>
    <row r="12033" hidden="1">
      <c r="F12033" s="1" t="str">
        <f t="shared" si="1"/>
        <v/>
      </c>
      <c r="G12033" s="1" t="str">
        <f t="shared" si="2"/>
        <v/>
      </c>
      <c r="J12033" s="1" t="str">
        <f t="shared" si="3"/>
        <v/>
      </c>
      <c r="K12033" s="1" t="str">
        <f t="shared" si="4"/>
        <v/>
      </c>
    </row>
    <row r="12034" hidden="1">
      <c r="F12034" s="1" t="str">
        <f t="shared" si="1"/>
        <v/>
      </c>
      <c r="G12034" s="1" t="str">
        <f t="shared" si="2"/>
        <v/>
      </c>
      <c r="J12034" s="1" t="str">
        <f t="shared" si="3"/>
        <v/>
      </c>
      <c r="K12034" s="1" t="str">
        <f t="shared" si="4"/>
        <v/>
      </c>
    </row>
    <row r="12035" hidden="1">
      <c r="F12035" s="1" t="str">
        <f t="shared" si="1"/>
        <v/>
      </c>
      <c r="G12035" s="1" t="str">
        <f t="shared" si="2"/>
        <v/>
      </c>
      <c r="J12035" s="1" t="str">
        <f t="shared" si="3"/>
        <v/>
      </c>
      <c r="K12035" s="1" t="str">
        <f t="shared" si="4"/>
        <v/>
      </c>
    </row>
    <row r="12036" hidden="1">
      <c r="F12036" s="1" t="str">
        <f t="shared" si="1"/>
        <v/>
      </c>
      <c r="G12036" s="1" t="str">
        <f t="shared" si="2"/>
        <v/>
      </c>
      <c r="J12036" s="1" t="str">
        <f t="shared" si="3"/>
        <v/>
      </c>
      <c r="K12036" s="1" t="str">
        <f t="shared" si="4"/>
        <v/>
      </c>
    </row>
    <row r="12037" hidden="1">
      <c r="F12037" s="1" t="str">
        <f t="shared" si="1"/>
        <v/>
      </c>
      <c r="G12037" s="1" t="str">
        <f t="shared" si="2"/>
        <v/>
      </c>
      <c r="J12037" s="1" t="str">
        <f t="shared" si="3"/>
        <v/>
      </c>
      <c r="K12037" s="1" t="str">
        <f t="shared" si="4"/>
        <v/>
      </c>
    </row>
    <row r="12038" hidden="1">
      <c r="F12038" s="1" t="str">
        <f t="shared" si="1"/>
        <v/>
      </c>
      <c r="G12038" s="1" t="str">
        <f t="shared" si="2"/>
        <v/>
      </c>
      <c r="J12038" s="1" t="str">
        <f t="shared" si="3"/>
        <v/>
      </c>
      <c r="K12038" s="1" t="str">
        <f t="shared" si="4"/>
        <v/>
      </c>
    </row>
    <row r="12039" hidden="1">
      <c r="F12039" s="1" t="str">
        <f t="shared" si="1"/>
        <v/>
      </c>
      <c r="G12039" s="1" t="str">
        <f t="shared" si="2"/>
        <v/>
      </c>
      <c r="J12039" s="1" t="str">
        <f t="shared" si="3"/>
        <v/>
      </c>
      <c r="K12039" s="1" t="str">
        <f t="shared" si="4"/>
        <v/>
      </c>
    </row>
    <row r="12040" hidden="1">
      <c r="F12040" s="1" t="str">
        <f t="shared" si="1"/>
        <v/>
      </c>
      <c r="G12040" s="1" t="str">
        <f t="shared" si="2"/>
        <v/>
      </c>
      <c r="J12040" s="1" t="str">
        <f t="shared" si="3"/>
        <v/>
      </c>
      <c r="K12040" s="1" t="str">
        <f t="shared" si="4"/>
        <v/>
      </c>
    </row>
    <row r="12041" hidden="1">
      <c r="F12041" s="1" t="str">
        <f t="shared" si="1"/>
        <v/>
      </c>
      <c r="G12041" s="1" t="str">
        <f t="shared" si="2"/>
        <v/>
      </c>
      <c r="J12041" s="1" t="str">
        <f t="shared" si="3"/>
        <v/>
      </c>
      <c r="K12041" s="1" t="str">
        <f t="shared" si="4"/>
        <v/>
      </c>
    </row>
    <row r="12042" hidden="1">
      <c r="F12042" s="1" t="str">
        <f t="shared" si="1"/>
        <v/>
      </c>
      <c r="G12042" s="1" t="str">
        <f t="shared" si="2"/>
        <v/>
      </c>
      <c r="J12042" s="1" t="str">
        <f t="shared" si="3"/>
        <v/>
      </c>
      <c r="K12042" s="1" t="str">
        <f t="shared" si="4"/>
        <v/>
      </c>
    </row>
    <row r="12043" hidden="1">
      <c r="F12043" s="1" t="str">
        <f t="shared" si="1"/>
        <v/>
      </c>
      <c r="G12043" s="1" t="str">
        <f t="shared" si="2"/>
        <v/>
      </c>
      <c r="J12043" s="1" t="str">
        <f t="shared" si="3"/>
        <v/>
      </c>
      <c r="K12043" s="1" t="str">
        <f t="shared" si="4"/>
        <v/>
      </c>
    </row>
    <row r="12044" hidden="1">
      <c r="F12044" s="1" t="str">
        <f t="shared" si="1"/>
        <v/>
      </c>
      <c r="G12044" s="1" t="str">
        <f t="shared" si="2"/>
        <v/>
      </c>
      <c r="J12044" s="1" t="str">
        <f t="shared" si="3"/>
        <v/>
      </c>
      <c r="K12044" s="1" t="str">
        <f t="shared" si="4"/>
        <v/>
      </c>
    </row>
    <row r="12045" hidden="1">
      <c r="F12045" s="1" t="str">
        <f t="shared" si="1"/>
        <v/>
      </c>
      <c r="G12045" s="1" t="str">
        <f t="shared" si="2"/>
        <v/>
      </c>
      <c r="J12045" s="1" t="str">
        <f t="shared" si="3"/>
        <v/>
      </c>
      <c r="K12045" s="1" t="str">
        <f t="shared" si="4"/>
        <v/>
      </c>
    </row>
    <row r="12046" hidden="1">
      <c r="F12046" s="1" t="str">
        <f t="shared" si="1"/>
        <v/>
      </c>
      <c r="G12046" s="1" t="str">
        <f t="shared" si="2"/>
        <v/>
      </c>
      <c r="J12046" s="1" t="str">
        <f t="shared" si="3"/>
        <v/>
      </c>
      <c r="K12046" s="1" t="str">
        <f t="shared" si="4"/>
        <v/>
      </c>
    </row>
    <row r="12047" hidden="1">
      <c r="F12047" s="1" t="str">
        <f t="shared" si="1"/>
        <v/>
      </c>
      <c r="G12047" s="1" t="str">
        <f t="shared" si="2"/>
        <v/>
      </c>
      <c r="J12047" s="1" t="str">
        <f t="shared" si="3"/>
        <v/>
      </c>
      <c r="K12047" s="1" t="str">
        <f t="shared" si="4"/>
        <v/>
      </c>
    </row>
    <row r="12048" hidden="1">
      <c r="F12048" s="1" t="str">
        <f t="shared" si="1"/>
        <v/>
      </c>
      <c r="G12048" s="1" t="str">
        <f t="shared" si="2"/>
        <v/>
      </c>
      <c r="J12048" s="1" t="str">
        <f t="shared" si="3"/>
        <v/>
      </c>
      <c r="K12048" s="1" t="str">
        <f t="shared" si="4"/>
        <v/>
      </c>
    </row>
    <row r="12049" hidden="1">
      <c r="F12049" s="1" t="str">
        <f t="shared" si="1"/>
        <v/>
      </c>
      <c r="G12049" s="1" t="str">
        <f t="shared" si="2"/>
        <v/>
      </c>
      <c r="J12049" s="1" t="str">
        <f t="shared" si="3"/>
        <v/>
      </c>
      <c r="K12049" s="1" t="str">
        <f t="shared" si="4"/>
        <v/>
      </c>
    </row>
    <row r="12050" hidden="1">
      <c r="F12050" s="1" t="str">
        <f t="shared" si="1"/>
        <v/>
      </c>
      <c r="G12050" s="1" t="str">
        <f t="shared" si="2"/>
        <v/>
      </c>
      <c r="J12050" s="1" t="str">
        <f t="shared" si="3"/>
        <v/>
      </c>
      <c r="K12050" s="1" t="str">
        <f t="shared" si="4"/>
        <v/>
      </c>
    </row>
    <row r="12051" hidden="1">
      <c r="F12051" s="1" t="str">
        <f t="shared" si="1"/>
        <v/>
      </c>
      <c r="G12051" s="1" t="str">
        <f t="shared" si="2"/>
        <v/>
      </c>
      <c r="J12051" s="1" t="str">
        <f t="shared" si="3"/>
        <v/>
      </c>
      <c r="K12051" s="1" t="str">
        <f t="shared" si="4"/>
        <v/>
      </c>
    </row>
    <row r="12052" hidden="1">
      <c r="F12052" s="1" t="str">
        <f t="shared" si="1"/>
        <v/>
      </c>
      <c r="G12052" s="1" t="str">
        <f t="shared" si="2"/>
        <v/>
      </c>
      <c r="J12052" s="1" t="str">
        <f t="shared" si="3"/>
        <v/>
      </c>
      <c r="K12052" s="1" t="str">
        <f t="shared" si="4"/>
        <v/>
      </c>
    </row>
    <row r="12053" hidden="1">
      <c r="F12053" s="1" t="str">
        <f t="shared" si="1"/>
        <v/>
      </c>
      <c r="G12053" s="1" t="str">
        <f t="shared" si="2"/>
        <v/>
      </c>
      <c r="J12053" s="1" t="str">
        <f t="shared" si="3"/>
        <v/>
      </c>
      <c r="K12053" s="1" t="str">
        <f t="shared" si="4"/>
        <v/>
      </c>
    </row>
    <row r="12054" hidden="1">
      <c r="F12054" s="1" t="str">
        <f t="shared" si="1"/>
        <v/>
      </c>
      <c r="G12054" s="1" t="str">
        <f t="shared" si="2"/>
        <v/>
      </c>
      <c r="J12054" s="1" t="str">
        <f t="shared" si="3"/>
        <v/>
      </c>
      <c r="K12054" s="1" t="str">
        <f t="shared" si="4"/>
        <v/>
      </c>
    </row>
    <row r="12055" hidden="1">
      <c r="F12055" s="1" t="str">
        <f t="shared" si="1"/>
        <v/>
      </c>
      <c r="G12055" s="1" t="str">
        <f t="shared" si="2"/>
        <v/>
      </c>
      <c r="J12055" s="1" t="str">
        <f t="shared" si="3"/>
        <v/>
      </c>
      <c r="K12055" s="1" t="str">
        <f t="shared" si="4"/>
        <v/>
      </c>
    </row>
    <row r="12056" hidden="1">
      <c r="F12056" s="1" t="str">
        <f t="shared" si="1"/>
        <v/>
      </c>
      <c r="G12056" s="1" t="str">
        <f t="shared" si="2"/>
        <v/>
      </c>
      <c r="J12056" s="1" t="str">
        <f t="shared" si="3"/>
        <v/>
      </c>
      <c r="K12056" s="1" t="str">
        <f t="shared" si="4"/>
        <v/>
      </c>
    </row>
    <row r="12057" hidden="1">
      <c r="F12057" s="1" t="str">
        <f t="shared" si="1"/>
        <v/>
      </c>
      <c r="G12057" s="1" t="str">
        <f t="shared" si="2"/>
        <v/>
      </c>
      <c r="J12057" s="1" t="str">
        <f t="shared" si="3"/>
        <v/>
      </c>
      <c r="K12057" s="1" t="str">
        <f t="shared" si="4"/>
        <v/>
      </c>
    </row>
    <row r="12058" hidden="1">
      <c r="F12058" s="1" t="str">
        <f t="shared" si="1"/>
        <v/>
      </c>
      <c r="G12058" s="1" t="str">
        <f t="shared" si="2"/>
        <v/>
      </c>
      <c r="J12058" s="1" t="str">
        <f t="shared" si="3"/>
        <v/>
      </c>
      <c r="K12058" s="1" t="str">
        <f t="shared" si="4"/>
        <v/>
      </c>
    </row>
    <row r="12059" hidden="1">
      <c r="F12059" s="1" t="str">
        <f t="shared" si="1"/>
        <v/>
      </c>
      <c r="G12059" s="1" t="str">
        <f t="shared" si="2"/>
        <v/>
      </c>
      <c r="J12059" s="1" t="str">
        <f t="shared" si="3"/>
        <v/>
      </c>
      <c r="K12059" s="1" t="str">
        <f t="shared" si="4"/>
        <v/>
      </c>
    </row>
    <row r="12060" hidden="1">
      <c r="F12060" s="1" t="str">
        <f t="shared" si="1"/>
        <v/>
      </c>
      <c r="G12060" s="1" t="str">
        <f t="shared" si="2"/>
        <v/>
      </c>
      <c r="J12060" s="1" t="str">
        <f t="shared" si="3"/>
        <v/>
      </c>
      <c r="K12060" s="1" t="str">
        <f t="shared" si="4"/>
        <v/>
      </c>
    </row>
    <row r="12061" hidden="1">
      <c r="F12061" s="1" t="str">
        <f t="shared" si="1"/>
        <v/>
      </c>
      <c r="G12061" s="1" t="str">
        <f t="shared" si="2"/>
        <v/>
      </c>
      <c r="J12061" s="1" t="str">
        <f t="shared" si="3"/>
        <v/>
      </c>
      <c r="K12061" s="1" t="str">
        <f t="shared" si="4"/>
        <v/>
      </c>
    </row>
    <row r="12062" hidden="1">
      <c r="F12062" s="1" t="str">
        <f t="shared" si="1"/>
        <v/>
      </c>
      <c r="G12062" s="1" t="str">
        <f t="shared" si="2"/>
        <v/>
      </c>
      <c r="J12062" s="1" t="str">
        <f t="shared" si="3"/>
        <v/>
      </c>
      <c r="K12062" s="1" t="str">
        <f t="shared" si="4"/>
        <v/>
      </c>
    </row>
    <row r="12063" hidden="1">
      <c r="F12063" s="1" t="str">
        <f t="shared" si="1"/>
        <v/>
      </c>
      <c r="G12063" s="1" t="str">
        <f t="shared" si="2"/>
        <v/>
      </c>
      <c r="J12063" s="1" t="str">
        <f t="shared" si="3"/>
        <v/>
      </c>
      <c r="K12063" s="1" t="str">
        <f t="shared" si="4"/>
        <v/>
      </c>
    </row>
    <row r="12064" hidden="1">
      <c r="F12064" s="1" t="str">
        <f t="shared" si="1"/>
        <v/>
      </c>
      <c r="G12064" s="1" t="str">
        <f t="shared" si="2"/>
        <v/>
      </c>
      <c r="J12064" s="1" t="str">
        <f t="shared" si="3"/>
        <v/>
      </c>
      <c r="K12064" s="1" t="str">
        <f t="shared" si="4"/>
        <v/>
      </c>
    </row>
    <row r="12065" hidden="1">
      <c r="F12065" s="1" t="str">
        <f t="shared" si="1"/>
        <v/>
      </c>
      <c r="G12065" s="1" t="str">
        <f t="shared" si="2"/>
        <v/>
      </c>
      <c r="J12065" s="1" t="str">
        <f t="shared" si="3"/>
        <v/>
      </c>
      <c r="K12065" s="1" t="str">
        <f t="shared" si="4"/>
        <v/>
      </c>
    </row>
    <row r="12066" hidden="1">
      <c r="F12066" s="1" t="str">
        <f t="shared" si="1"/>
        <v/>
      </c>
      <c r="G12066" s="1" t="str">
        <f t="shared" si="2"/>
        <v/>
      </c>
      <c r="J12066" s="1" t="str">
        <f t="shared" si="3"/>
        <v/>
      </c>
      <c r="K12066" s="1" t="str">
        <f t="shared" si="4"/>
        <v/>
      </c>
    </row>
    <row r="12067" hidden="1">
      <c r="F12067" s="1" t="str">
        <f t="shared" si="1"/>
        <v/>
      </c>
      <c r="G12067" s="1" t="str">
        <f t="shared" si="2"/>
        <v/>
      </c>
      <c r="J12067" s="1" t="str">
        <f t="shared" si="3"/>
        <v/>
      </c>
      <c r="K12067" s="1" t="str">
        <f t="shared" si="4"/>
        <v/>
      </c>
    </row>
    <row r="12068" hidden="1">
      <c r="F12068" s="1" t="str">
        <f t="shared" si="1"/>
        <v/>
      </c>
      <c r="G12068" s="1" t="str">
        <f t="shared" si="2"/>
        <v/>
      </c>
      <c r="J12068" s="1" t="str">
        <f t="shared" si="3"/>
        <v/>
      </c>
      <c r="K12068" s="1" t="str">
        <f t="shared" si="4"/>
        <v/>
      </c>
    </row>
    <row r="12069" hidden="1">
      <c r="F12069" s="1" t="str">
        <f t="shared" si="1"/>
        <v/>
      </c>
      <c r="G12069" s="1" t="str">
        <f t="shared" si="2"/>
        <v/>
      </c>
      <c r="J12069" s="1" t="str">
        <f t="shared" si="3"/>
        <v/>
      </c>
      <c r="K12069" s="1" t="str">
        <f t="shared" si="4"/>
        <v/>
      </c>
    </row>
    <row r="12070" hidden="1">
      <c r="F12070" s="1" t="str">
        <f t="shared" si="1"/>
        <v/>
      </c>
      <c r="G12070" s="1" t="str">
        <f t="shared" si="2"/>
        <v/>
      </c>
      <c r="J12070" s="1" t="str">
        <f t="shared" si="3"/>
        <v/>
      </c>
      <c r="K12070" s="1" t="str">
        <f t="shared" si="4"/>
        <v/>
      </c>
    </row>
    <row r="12071" hidden="1">
      <c r="F12071" s="1" t="str">
        <f t="shared" si="1"/>
        <v/>
      </c>
      <c r="G12071" s="1" t="str">
        <f t="shared" si="2"/>
        <v/>
      </c>
      <c r="J12071" s="1" t="str">
        <f t="shared" si="3"/>
        <v/>
      </c>
      <c r="K12071" s="1" t="str">
        <f t="shared" si="4"/>
        <v/>
      </c>
    </row>
    <row r="12072" hidden="1">
      <c r="F12072" s="1" t="str">
        <f t="shared" si="1"/>
        <v/>
      </c>
      <c r="G12072" s="1" t="str">
        <f t="shared" si="2"/>
        <v/>
      </c>
      <c r="J12072" s="1" t="str">
        <f t="shared" si="3"/>
        <v/>
      </c>
      <c r="K12072" s="1" t="str">
        <f t="shared" si="4"/>
        <v/>
      </c>
    </row>
    <row r="12073" hidden="1">
      <c r="F12073" s="1" t="str">
        <f t="shared" si="1"/>
        <v/>
      </c>
      <c r="G12073" s="1" t="str">
        <f t="shared" si="2"/>
        <v/>
      </c>
      <c r="J12073" s="1" t="str">
        <f t="shared" si="3"/>
        <v/>
      </c>
      <c r="K12073" s="1" t="str">
        <f t="shared" si="4"/>
        <v/>
      </c>
    </row>
    <row r="12074" hidden="1">
      <c r="F12074" s="1" t="str">
        <f t="shared" si="1"/>
        <v/>
      </c>
      <c r="G12074" s="1" t="str">
        <f t="shared" si="2"/>
        <v/>
      </c>
      <c r="J12074" s="1" t="str">
        <f t="shared" si="3"/>
        <v/>
      </c>
      <c r="K12074" s="1" t="str">
        <f t="shared" si="4"/>
        <v/>
      </c>
    </row>
    <row r="12075" hidden="1">
      <c r="F12075" s="1" t="str">
        <f t="shared" si="1"/>
        <v/>
      </c>
      <c r="G12075" s="1" t="str">
        <f t="shared" si="2"/>
        <v/>
      </c>
      <c r="J12075" s="1" t="str">
        <f t="shared" si="3"/>
        <v/>
      </c>
      <c r="K12075" s="1" t="str">
        <f t="shared" si="4"/>
        <v/>
      </c>
    </row>
    <row r="12076" hidden="1">
      <c r="F12076" s="1" t="str">
        <f t="shared" si="1"/>
        <v/>
      </c>
      <c r="G12076" s="1" t="str">
        <f t="shared" si="2"/>
        <v/>
      </c>
      <c r="J12076" s="1" t="str">
        <f t="shared" si="3"/>
        <v/>
      </c>
      <c r="K12076" s="1" t="str">
        <f t="shared" si="4"/>
        <v/>
      </c>
    </row>
    <row r="12077" hidden="1">
      <c r="F12077" s="1" t="str">
        <f t="shared" si="1"/>
        <v/>
      </c>
      <c r="G12077" s="1" t="str">
        <f t="shared" si="2"/>
        <v/>
      </c>
      <c r="J12077" s="1" t="str">
        <f t="shared" si="3"/>
        <v/>
      </c>
      <c r="K12077" s="1" t="str">
        <f t="shared" si="4"/>
        <v/>
      </c>
    </row>
    <row r="12078" hidden="1">
      <c r="F12078" s="1" t="str">
        <f t="shared" si="1"/>
        <v/>
      </c>
      <c r="G12078" s="1" t="str">
        <f t="shared" si="2"/>
        <v/>
      </c>
      <c r="J12078" s="1" t="str">
        <f t="shared" si="3"/>
        <v/>
      </c>
      <c r="K12078" s="1" t="str">
        <f t="shared" si="4"/>
        <v/>
      </c>
    </row>
    <row r="12079" hidden="1">
      <c r="F12079" s="1" t="str">
        <f t="shared" si="1"/>
        <v/>
      </c>
      <c r="G12079" s="1" t="str">
        <f t="shared" si="2"/>
        <v/>
      </c>
      <c r="J12079" s="1" t="str">
        <f t="shared" si="3"/>
        <v/>
      </c>
      <c r="K12079" s="1" t="str">
        <f t="shared" si="4"/>
        <v/>
      </c>
    </row>
    <row r="12080" hidden="1">
      <c r="F12080" s="1" t="str">
        <f t="shared" si="1"/>
        <v/>
      </c>
      <c r="G12080" s="1" t="str">
        <f t="shared" si="2"/>
        <v/>
      </c>
      <c r="J12080" s="1" t="str">
        <f t="shared" si="3"/>
        <v/>
      </c>
      <c r="K12080" s="1" t="str">
        <f t="shared" si="4"/>
        <v/>
      </c>
    </row>
    <row r="12081" hidden="1">
      <c r="F12081" s="1" t="str">
        <f t="shared" si="1"/>
        <v/>
      </c>
      <c r="G12081" s="1" t="str">
        <f t="shared" si="2"/>
        <v/>
      </c>
      <c r="J12081" s="1" t="str">
        <f t="shared" si="3"/>
        <v/>
      </c>
      <c r="K12081" s="1" t="str">
        <f t="shared" si="4"/>
        <v/>
      </c>
    </row>
    <row r="12082" hidden="1">
      <c r="F12082" s="1" t="str">
        <f t="shared" si="1"/>
        <v/>
      </c>
      <c r="G12082" s="1" t="str">
        <f t="shared" si="2"/>
        <v/>
      </c>
      <c r="J12082" s="1" t="str">
        <f t="shared" si="3"/>
        <v/>
      </c>
      <c r="K12082" s="1" t="str">
        <f t="shared" si="4"/>
        <v/>
      </c>
    </row>
    <row r="12083" hidden="1">
      <c r="F12083" s="1" t="str">
        <f t="shared" si="1"/>
        <v/>
      </c>
      <c r="G12083" s="1" t="str">
        <f t="shared" si="2"/>
        <v/>
      </c>
      <c r="J12083" s="1" t="str">
        <f t="shared" si="3"/>
        <v/>
      </c>
      <c r="K12083" s="1" t="str">
        <f t="shared" si="4"/>
        <v/>
      </c>
    </row>
    <row r="12084" hidden="1">
      <c r="F12084" s="1" t="str">
        <f t="shared" si="1"/>
        <v/>
      </c>
      <c r="G12084" s="1" t="str">
        <f t="shared" si="2"/>
        <v/>
      </c>
      <c r="J12084" s="1" t="str">
        <f t="shared" si="3"/>
        <v/>
      </c>
      <c r="K12084" s="1" t="str">
        <f t="shared" si="4"/>
        <v/>
      </c>
    </row>
    <row r="12085" hidden="1">
      <c r="F12085" s="1" t="str">
        <f t="shared" si="1"/>
        <v/>
      </c>
      <c r="G12085" s="1" t="str">
        <f t="shared" si="2"/>
        <v/>
      </c>
      <c r="J12085" s="1" t="str">
        <f t="shared" si="3"/>
        <v/>
      </c>
      <c r="K12085" s="1" t="str">
        <f t="shared" si="4"/>
        <v/>
      </c>
    </row>
    <row r="12086" hidden="1">
      <c r="F12086" s="1" t="str">
        <f t="shared" si="1"/>
        <v/>
      </c>
      <c r="G12086" s="1" t="str">
        <f t="shared" si="2"/>
        <v/>
      </c>
      <c r="J12086" s="1" t="str">
        <f t="shared" si="3"/>
        <v/>
      </c>
      <c r="K12086" s="1" t="str">
        <f t="shared" si="4"/>
        <v/>
      </c>
    </row>
    <row r="12087" hidden="1">
      <c r="F12087" s="1" t="str">
        <f t="shared" si="1"/>
        <v/>
      </c>
      <c r="G12087" s="1" t="str">
        <f t="shared" si="2"/>
        <v/>
      </c>
      <c r="J12087" s="1" t="str">
        <f t="shared" si="3"/>
        <v/>
      </c>
      <c r="K12087" s="1" t="str">
        <f t="shared" si="4"/>
        <v/>
      </c>
    </row>
    <row r="12088" hidden="1">
      <c r="F12088" s="1" t="str">
        <f t="shared" si="1"/>
        <v/>
      </c>
      <c r="G12088" s="1" t="str">
        <f t="shared" si="2"/>
        <v/>
      </c>
      <c r="J12088" s="1" t="str">
        <f t="shared" si="3"/>
        <v/>
      </c>
      <c r="K12088" s="1" t="str">
        <f t="shared" si="4"/>
        <v/>
      </c>
    </row>
    <row r="12089" hidden="1">
      <c r="F12089" s="1" t="str">
        <f t="shared" si="1"/>
        <v/>
      </c>
      <c r="G12089" s="1" t="str">
        <f t="shared" si="2"/>
        <v/>
      </c>
      <c r="J12089" s="1" t="str">
        <f t="shared" si="3"/>
        <v/>
      </c>
      <c r="K12089" s="1" t="str">
        <f t="shared" si="4"/>
        <v/>
      </c>
    </row>
    <row r="12090" hidden="1">
      <c r="F12090" s="1" t="str">
        <f t="shared" si="1"/>
        <v/>
      </c>
      <c r="G12090" s="1" t="str">
        <f t="shared" si="2"/>
        <v/>
      </c>
      <c r="J12090" s="1" t="str">
        <f t="shared" si="3"/>
        <v/>
      </c>
      <c r="K12090" s="1" t="str">
        <f t="shared" si="4"/>
        <v/>
      </c>
    </row>
    <row r="12091" hidden="1">
      <c r="F12091" s="1" t="str">
        <f t="shared" si="1"/>
        <v/>
      </c>
      <c r="G12091" s="1" t="str">
        <f t="shared" si="2"/>
        <v/>
      </c>
      <c r="J12091" s="1" t="str">
        <f t="shared" si="3"/>
        <v/>
      </c>
      <c r="K12091" s="1" t="str">
        <f t="shared" si="4"/>
        <v/>
      </c>
    </row>
    <row r="12092" hidden="1">
      <c r="F12092" s="1" t="str">
        <f t="shared" si="1"/>
        <v/>
      </c>
      <c r="G12092" s="1" t="str">
        <f t="shared" si="2"/>
        <v/>
      </c>
      <c r="J12092" s="1" t="str">
        <f t="shared" si="3"/>
        <v/>
      </c>
      <c r="K12092" s="1" t="str">
        <f t="shared" si="4"/>
        <v/>
      </c>
    </row>
    <row r="12093" hidden="1">
      <c r="F12093" s="1" t="str">
        <f t="shared" si="1"/>
        <v/>
      </c>
      <c r="G12093" s="1" t="str">
        <f t="shared" si="2"/>
        <v/>
      </c>
      <c r="J12093" s="1" t="str">
        <f t="shared" si="3"/>
        <v/>
      </c>
      <c r="K12093" s="1" t="str">
        <f t="shared" si="4"/>
        <v/>
      </c>
    </row>
    <row r="12094" hidden="1">
      <c r="F12094" s="1" t="str">
        <f t="shared" si="1"/>
        <v/>
      </c>
      <c r="G12094" s="1" t="str">
        <f t="shared" si="2"/>
        <v/>
      </c>
      <c r="J12094" s="1" t="str">
        <f t="shared" si="3"/>
        <v/>
      </c>
      <c r="K12094" s="1" t="str">
        <f t="shared" si="4"/>
        <v/>
      </c>
    </row>
    <row r="12095" hidden="1">
      <c r="F12095" s="1" t="str">
        <f t="shared" si="1"/>
        <v/>
      </c>
      <c r="G12095" s="1" t="str">
        <f t="shared" si="2"/>
        <v/>
      </c>
      <c r="J12095" s="1" t="str">
        <f t="shared" si="3"/>
        <v/>
      </c>
      <c r="K12095" s="1" t="str">
        <f t="shared" si="4"/>
        <v/>
      </c>
    </row>
    <row r="12096" hidden="1">
      <c r="F12096" s="1" t="str">
        <f t="shared" si="1"/>
        <v/>
      </c>
      <c r="G12096" s="1" t="str">
        <f t="shared" si="2"/>
        <v/>
      </c>
      <c r="J12096" s="1" t="str">
        <f t="shared" si="3"/>
        <v/>
      </c>
      <c r="K12096" s="1" t="str">
        <f t="shared" si="4"/>
        <v/>
      </c>
    </row>
    <row r="12097" hidden="1">
      <c r="F12097" s="1" t="str">
        <f t="shared" si="1"/>
        <v/>
      </c>
      <c r="G12097" s="1" t="str">
        <f t="shared" si="2"/>
        <v/>
      </c>
      <c r="J12097" s="1" t="str">
        <f t="shared" si="3"/>
        <v/>
      </c>
      <c r="K12097" s="1" t="str">
        <f t="shared" si="4"/>
        <v/>
      </c>
    </row>
    <row r="12098" hidden="1">
      <c r="F12098" s="1" t="str">
        <f t="shared" si="1"/>
        <v/>
      </c>
      <c r="G12098" s="1" t="str">
        <f t="shared" si="2"/>
        <v/>
      </c>
      <c r="J12098" s="1" t="str">
        <f t="shared" si="3"/>
        <v/>
      </c>
      <c r="K12098" s="1" t="str">
        <f t="shared" si="4"/>
        <v/>
      </c>
    </row>
    <row r="12099" hidden="1">
      <c r="F12099" s="1" t="str">
        <f t="shared" si="1"/>
        <v/>
      </c>
      <c r="G12099" s="1" t="str">
        <f t="shared" si="2"/>
        <v/>
      </c>
      <c r="J12099" s="1" t="str">
        <f t="shared" si="3"/>
        <v/>
      </c>
      <c r="K12099" s="1" t="str">
        <f t="shared" si="4"/>
        <v/>
      </c>
    </row>
    <row r="12100" hidden="1">
      <c r="F12100" s="1" t="str">
        <f t="shared" si="1"/>
        <v/>
      </c>
      <c r="G12100" s="1" t="str">
        <f t="shared" si="2"/>
        <v/>
      </c>
      <c r="J12100" s="1" t="str">
        <f t="shared" si="3"/>
        <v/>
      </c>
      <c r="K12100" s="1" t="str">
        <f t="shared" si="4"/>
        <v/>
      </c>
    </row>
    <row r="12101" hidden="1">
      <c r="F12101" s="1" t="str">
        <f t="shared" si="1"/>
        <v/>
      </c>
      <c r="G12101" s="1" t="str">
        <f t="shared" si="2"/>
        <v/>
      </c>
      <c r="J12101" s="1" t="str">
        <f t="shared" si="3"/>
        <v/>
      </c>
      <c r="K12101" s="1" t="str">
        <f t="shared" si="4"/>
        <v/>
      </c>
    </row>
    <row r="12102" hidden="1">
      <c r="F12102" s="1" t="str">
        <f t="shared" si="1"/>
        <v/>
      </c>
      <c r="G12102" s="1" t="str">
        <f t="shared" si="2"/>
        <v/>
      </c>
      <c r="J12102" s="1" t="str">
        <f t="shared" si="3"/>
        <v/>
      </c>
      <c r="K12102" s="1" t="str">
        <f t="shared" si="4"/>
        <v/>
      </c>
    </row>
    <row r="12103" hidden="1">
      <c r="F12103" s="1" t="str">
        <f t="shared" si="1"/>
        <v/>
      </c>
      <c r="G12103" s="1" t="str">
        <f t="shared" si="2"/>
        <v/>
      </c>
      <c r="J12103" s="1" t="str">
        <f t="shared" si="3"/>
        <v/>
      </c>
      <c r="K12103" s="1" t="str">
        <f t="shared" si="4"/>
        <v/>
      </c>
    </row>
    <row r="12104" hidden="1">
      <c r="F12104" s="1" t="str">
        <f t="shared" si="1"/>
        <v/>
      </c>
      <c r="G12104" s="1" t="str">
        <f t="shared" si="2"/>
        <v/>
      </c>
      <c r="J12104" s="1" t="str">
        <f t="shared" si="3"/>
        <v/>
      </c>
      <c r="K12104" s="1" t="str">
        <f t="shared" si="4"/>
        <v/>
      </c>
    </row>
    <row r="12105" hidden="1">
      <c r="F12105" s="1" t="str">
        <f t="shared" si="1"/>
        <v/>
      </c>
      <c r="G12105" s="1" t="str">
        <f t="shared" si="2"/>
        <v/>
      </c>
      <c r="J12105" s="1" t="str">
        <f t="shared" si="3"/>
        <v/>
      </c>
      <c r="K12105" s="1" t="str">
        <f t="shared" si="4"/>
        <v/>
      </c>
    </row>
    <row r="12106" hidden="1">
      <c r="F12106" s="1" t="str">
        <f t="shared" si="1"/>
        <v/>
      </c>
      <c r="G12106" s="1" t="str">
        <f t="shared" si="2"/>
        <v/>
      </c>
      <c r="J12106" s="1" t="str">
        <f t="shared" si="3"/>
        <v/>
      </c>
      <c r="K12106" s="1" t="str">
        <f t="shared" si="4"/>
        <v/>
      </c>
    </row>
    <row r="12107" hidden="1">
      <c r="F12107" s="1" t="str">
        <f t="shared" si="1"/>
        <v/>
      </c>
      <c r="G12107" s="1" t="str">
        <f t="shared" si="2"/>
        <v/>
      </c>
      <c r="J12107" s="1" t="str">
        <f t="shared" si="3"/>
        <v/>
      </c>
      <c r="K12107" s="1" t="str">
        <f t="shared" si="4"/>
        <v/>
      </c>
    </row>
    <row r="12108" hidden="1">
      <c r="F12108" s="1" t="str">
        <f t="shared" si="1"/>
        <v/>
      </c>
      <c r="G12108" s="1" t="str">
        <f t="shared" si="2"/>
        <v/>
      </c>
      <c r="J12108" s="1" t="str">
        <f t="shared" si="3"/>
        <v/>
      </c>
      <c r="K12108" s="1" t="str">
        <f t="shared" si="4"/>
        <v/>
      </c>
    </row>
    <row r="12109" hidden="1">
      <c r="F12109" s="1" t="str">
        <f t="shared" si="1"/>
        <v/>
      </c>
      <c r="G12109" s="1" t="str">
        <f t="shared" si="2"/>
        <v/>
      </c>
      <c r="J12109" s="1" t="str">
        <f t="shared" si="3"/>
        <v/>
      </c>
      <c r="K12109" s="1" t="str">
        <f t="shared" si="4"/>
        <v/>
      </c>
    </row>
    <row r="12110" hidden="1">
      <c r="F12110" s="1" t="str">
        <f t="shared" si="1"/>
        <v/>
      </c>
      <c r="G12110" s="1" t="str">
        <f t="shared" si="2"/>
        <v/>
      </c>
      <c r="J12110" s="1" t="str">
        <f t="shared" si="3"/>
        <v/>
      </c>
      <c r="K12110" s="1" t="str">
        <f t="shared" si="4"/>
        <v/>
      </c>
    </row>
    <row r="12111" hidden="1">
      <c r="F12111" s="1" t="str">
        <f t="shared" si="1"/>
        <v/>
      </c>
      <c r="G12111" s="1" t="str">
        <f t="shared" si="2"/>
        <v/>
      </c>
      <c r="J12111" s="1" t="str">
        <f t="shared" si="3"/>
        <v/>
      </c>
      <c r="K12111" s="1" t="str">
        <f t="shared" si="4"/>
        <v/>
      </c>
    </row>
    <row r="12112" hidden="1">
      <c r="F12112" s="1" t="str">
        <f t="shared" si="1"/>
        <v/>
      </c>
      <c r="G12112" s="1" t="str">
        <f t="shared" si="2"/>
        <v/>
      </c>
      <c r="J12112" s="1" t="str">
        <f t="shared" si="3"/>
        <v/>
      </c>
      <c r="K12112" s="1" t="str">
        <f t="shared" si="4"/>
        <v/>
      </c>
    </row>
    <row r="12113" hidden="1">
      <c r="F12113" s="1" t="str">
        <f t="shared" si="1"/>
        <v/>
      </c>
      <c r="G12113" s="1" t="str">
        <f t="shared" si="2"/>
        <v/>
      </c>
      <c r="J12113" s="1" t="str">
        <f t="shared" si="3"/>
        <v/>
      </c>
      <c r="K12113" s="1" t="str">
        <f t="shared" si="4"/>
        <v/>
      </c>
    </row>
    <row r="12114" hidden="1">
      <c r="F12114" s="1" t="str">
        <f t="shared" si="1"/>
        <v/>
      </c>
      <c r="G12114" s="1" t="str">
        <f t="shared" si="2"/>
        <v/>
      </c>
      <c r="J12114" s="1" t="str">
        <f t="shared" si="3"/>
        <v/>
      </c>
      <c r="K12114" s="1" t="str">
        <f t="shared" si="4"/>
        <v/>
      </c>
    </row>
    <row r="12115" hidden="1">
      <c r="F12115" s="1" t="str">
        <f t="shared" si="1"/>
        <v/>
      </c>
      <c r="G12115" s="1" t="str">
        <f t="shared" si="2"/>
        <v/>
      </c>
      <c r="J12115" s="1" t="str">
        <f t="shared" si="3"/>
        <v/>
      </c>
      <c r="K12115" s="1" t="str">
        <f t="shared" si="4"/>
        <v/>
      </c>
    </row>
    <row r="12116" hidden="1">
      <c r="F12116" s="1" t="str">
        <f t="shared" si="1"/>
        <v/>
      </c>
      <c r="G12116" s="1" t="str">
        <f t="shared" si="2"/>
        <v/>
      </c>
      <c r="J12116" s="1" t="str">
        <f t="shared" si="3"/>
        <v/>
      </c>
      <c r="K12116" s="1" t="str">
        <f t="shared" si="4"/>
        <v/>
      </c>
    </row>
    <row r="12117" hidden="1">
      <c r="F12117" s="1" t="str">
        <f t="shared" si="1"/>
        <v/>
      </c>
      <c r="G12117" s="1" t="str">
        <f t="shared" si="2"/>
        <v/>
      </c>
      <c r="J12117" s="1" t="str">
        <f t="shared" si="3"/>
        <v/>
      </c>
      <c r="K12117" s="1" t="str">
        <f t="shared" si="4"/>
        <v/>
      </c>
    </row>
    <row r="12118" hidden="1">
      <c r="F12118" s="1" t="str">
        <f t="shared" si="1"/>
        <v/>
      </c>
      <c r="G12118" s="1" t="str">
        <f t="shared" si="2"/>
        <v/>
      </c>
      <c r="J12118" s="1" t="str">
        <f t="shared" si="3"/>
        <v/>
      </c>
      <c r="K12118" s="1" t="str">
        <f t="shared" si="4"/>
        <v/>
      </c>
    </row>
    <row r="12119" hidden="1">
      <c r="F12119" s="1" t="str">
        <f t="shared" si="1"/>
        <v/>
      </c>
      <c r="G12119" s="1" t="str">
        <f t="shared" si="2"/>
        <v/>
      </c>
      <c r="J12119" s="1" t="str">
        <f t="shared" si="3"/>
        <v/>
      </c>
      <c r="K12119" s="1" t="str">
        <f t="shared" si="4"/>
        <v/>
      </c>
    </row>
    <row r="12120" hidden="1">
      <c r="F12120" s="1" t="str">
        <f t="shared" si="1"/>
        <v/>
      </c>
      <c r="G12120" s="1" t="str">
        <f t="shared" si="2"/>
        <v/>
      </c>
      <c r="J12120" s="1" t="str">
        <f t="shared" si="3"/>
        <v/>
      </c>
      <c r="K12120" s="1" t="str">
        <f t="shared" si="4"/>
        <v/>
      </c>
    </row>
    <row r="12121" hidden="1">
      <c r="F12121" s="1" t="str">
        <f t="shared" si="1"/>
        <v/>
      </c>
      <c r="G12121" s="1" t="str">
        <f t="shared" si="2"/>
        <v/>
      </c>
      <c r="J12121" s="1" t="str">
        <f t="shared" si="3"/>
        <v/>
      </c>
      <c r="K12121" s="1" t="str">
        <f t="shared" si="4"/>
        <v/>
      </c>
    </row>
    <row r="12122" hidden="1">
      <c r="F12122" s="1" t="str">
        <f t="shared" si="1"/>
        <v/>
      </c>
      <c r="G12122" s="1" t="str">
        <f t="shared" si="2"/>
        <v/>
      </c>
      <c r="J12122" s="1" t="str">
        <f t="shared" si="3"/>
        <v/>
      </c>
      <c r="K12122" s="1" t="str">
        <f t="shared" si="4"/>
        <v/>
      </c>
    </row>
    <row r="12123" hidden="1">
      <c r="F12123" s="1" t="str">
        <f t="shared" si="1"/>
        <v/>
      </c>
      <c r="G12123" s="1" t="str">
        <f t="shared" si="2"/>
        <v/>
      </c>
      <c r="J12123" s="1" t="str">
        <f t="shared" si="3"/>
        <v/>
      </c>
      <c r="K12123" s="1" t="str">
        <f t="shared" si="4"/>
        <v/>
      </c>
    </row>
    <row r="12124" hidden="1">
      <c r="F12124" s="1" t="str">
        <f t="shared" si="1"/>
        <v/>
      </c>
      <c r="G12124" s="1" t="str">
        <f t="shared" si="2"/>
        <v/>
      </c>
      <c r="J12124" s="1" t="str">
        <f t="shared" si="3"/>
        <v/>
      </c>
      <c r="K12124" s="1" t="str">
        <f t="shared" si="4"/>
        <v/>
      </c>
    </row>
    <row r="12125" hidden="1">
      <c r="F12125" s="1" t="str">
        <f t="shared" si="1"/>
        <v/>
      </c>
      <c r="G12125" s="1" t="str">
        <f t="shared" si="2"/>
        <v/>
      </c>
      <c r="J12125" s="1" t="str">
        <f t="shared" si="3"/>
        <v/>
      </c>
      <c r="K12125" s="1" t="str">
        <f t="shared" si="4"/>
        <v/>
      </c>
    </row>
    <row r="12126" hidden="1">
      <c r="F12126" s="1" t="str">
        <f t="shared" si="1"/>
        <v/>
      </c>
      <c r="G12126" s="1" t="str">
        <f t="shared" si="2"/>
        <v/>
      </c>
      <c r="J12126" s="1" t="str">
        <f t="shared" si="3"/>
        <v/>
      </c>
      <c r="K12126" s="1" t="str">
        <f t="shared" si="4"/>
        <v/>
      </c>
    </row>
    <row r="12127" hidden="1">
      <c r="F12127" s="1" t="str">
        <f t="shared" si="1"/>
        <v/>
      </c>
      <c r="G12127" s="1" t="str">
        <f t="shared" si="2"/>
        <v/>
      </c>
      <c r="J12127" s="1" t="str">
        <f t="shared" si="3"/>
        <v/>
      </c>
      <c r="K12127" s="1" t="str">
        <f t="shared" si="4"/>
        <v/>
      </c>
    </row>
    <row r="12128" hidden="1">
      <c r="F12128" s="1" t="str">
        <f t="shared" si="1"/>
        <v/>
      </c>
      <c r="G12128" s="1" t="str">
        <f t="shared" si="2"/>
        <v/>
      </c>
      <c r="J12128" s="1" t="str">
        <f t="shared" si="3"/>
        <v/>
      </c>
      <c r="K12128" s="1" t="str">
        <f t="shared" si="4"/>
        <v/>
      </c>
    </row>
    <row r="12129" hidden="1">
      <c r="F12129" s="1" t="str">
        <f t="shared" si="1"/>
        <v/>
      </c>
      <c r="G12129" s="1" t="str">
        <f t="shared" si="2"/>
        <v/>
      </c>
      <c r="J12129" s="1" t="str">
        <f t="shared" si="3"/>
        <v/>
      </c>
      <c r="K12129" s="1" t="str">
        <f t="shared" si="4"/>
        <v/>
      </c>
    </row>
    <row r="12130" hidden="1">
      <c r="F12130" s="1" t="str">
        <f t="shared" si="1"/>
        <v/>
      </c>
      <c r="G12130" s="1" t="str">
        <f t="shared" si="2"/>
        <v/>
      </c>
      <c r="J12130" s="1" t="str">
        <f t="shared" si="3"/>
        <v/>
      </c>
      <c r="K12130" s="1" t="str">
        <f t="shared" si="4"/>
        <v/>
      </c>
    </row>
    <row r="12131" hidden="1">
      <c r="F12131" s="1" t="str">
        <f t="shared" si="1"/>
        <v/>
      </c>
      <c r="G12131" s="1" t="str">
        <f t="shared" si="2"/>
        <v/>
      </c>
      <c r="J12131" s="1" t="str">
        <f t="shared" si="3"/>
        <v/>
      </c>
      <c r="K12131" s="1" t="str">
        <f t="shared" si="4"/>
        <v/>
      </c>
    </row>
    <row r="12132" hidden="1">
      <c r="F12132" s="1" t="str">
        <f t="shared" si="1"/>
        <v/>
      </c>
      <c r="G12132" s="1" t="str">
        <f t="shared" si="2"/>
        <v/>
      </c>
      <c r="J12132" s="1" t="str">
        <f t="shared" si="3"/>
        <v/>
      </c>
      <c r="K12132" s="1" t="str">
        <f t="shared" si="4"/>
        <v/>
      </c>
    </row>
    <row r="12133" hidden="1">
      <c r="F12133" s="1" t="str">
        <f t="shared" si="1"/>
        <v/>
      </c>
      <c r="G12133" s="1" t="str">
        <f t="shared" si="2"/>
        <v/>
      </c>
      <c r="J12133" s="1" t="str">
        <f t="shared" si="3"/>
        <v/>
      </c>
      <c r="K12133" s="1" t="str">
        <f t="shared" si="4"/>
        <v/>
      </c>
    </row>
    <row r="12134" hidden="1">
      <c r="F12134" s="1" t="str">
        <f t="shared" si="1"/>
        <v/>
      </c>
      <c r="G12134" s="1" t="str">
        <f t="shared" si="2"/>
        <v/>
      </c>
      <c r="J12134" s="1" t="str">
        <f t="shared" si="3"/>
        <v/>
      </c>
      <c r="K12134" s="1" t="str">
        <f t="shared" si="4"/>
        <v/>
      </c>
    </row>
    <row r="12135" hidden="1">
      <c r="F12135" s="1" t="str">
        <f t="shared" si="1"/>
        <v/>
      </c>
      <c r="G12135" s="1" t="str">
        <f t="shared" si="2"/>
        <v/>
      </c>
      <c r="J12135" s="1" t="str">
        <f t="shared" si="3"/>
        <v/>
      </c>
      <c r="K12135" s="1" t="str">
        <f t="shared" si="4"/>
        <v/>
      </c>
    </row>
    <row r="12136" hidden="1">
      <c r="F12136" s="1" t="str">
        <f t="shared" si="1"/>
        <v/>
      </c>
      <c r="G12136" s="1" t="str">
        <f t="shared" si="2"/>
        <v/>
      </c>
      <c r="J12136" s="1" t="str">
        <f t="shared" si="3"/>
        <v/>
      </c>
      <c r="K12136" s="1" t="str">
        <f t="shared" si="4"/>
        <v/>
      </c>
    </row>
    <row r="12137" hidden="1">
      <c r="F12137" s="1" t="str">
        <f t="shared" si="1"/>
        <v/>
      </c>
      <c r="G12137" s="1" t="str">
        <f t="shared" si="2"/>
        <v/>
      </c>
      <c r="J12137" s="1" t="str">
        <f t="shared" si="3"/>
        <v/>
      </c>
      <c r="K12137" s="1" t="str">
        <f t="shared" si="4"/>
        <v/>
      </c>
    </row>
    <row r="12138" hidden="1">
      <c r="F12138" s="1" t="str">
        <f t="shared" si="1"/>
        <v/>
      </c>
      <c r="G12138" s="1" t="str">
        <f t="shared" si="2"/>
        <v/>
      </c>
      <c r="J12138" s="1" t="str">
        <f t="shared" si="3"/>
        <v/>
      </c>
      <c r="K12138" s="1" t="str">
        <f t="shared" si="4"/>
        <v/>
      </c>
    </row>
    <row r="12139" hidden="1">
      <c r="F12139" s="1" t="str">
        <f t="shared" si="1"/>
        <v/>
      </c>
      <c r="G12139" s="1" t="str">
        <f t="shared" si="2"/>
        <v/>
      </c>
      <c r="J12139" s="1" t="str">
        <f t="shared" si="3"/>
        <v/>
      </c>
      <c r="K12139" s="1" t="str">
        <f t="shared" si="4"/>
        <v/>
      </c>
    </row>
    <row r="12140" hidden="1">
      <c r="F12140" s="1" t="str">
        <f t="shared" si="1"/>
        <v/>
      </c>
      <c r="G12140" s="1" t="str">
        <f t="shared" si="2"/>
        <v/>
      </c>
      <c r="J12140" s="1" t="str">
        <f t="shared" si="3"/>
        <v/>
      </c>
      <c r="K12140" s="1" t="str">
        <f t="shared" si="4"/>
        <v/>
      </c>
    </row>
    <row r="12141" hidden="1">
      <c r="F12141" s="1" t="str">
        <f t="shared" si="1"/>
        <v/>
      </c>
      <c r="G12141" s="1" t="str">
        <f t="shared" si="2"/>
        <v/>
      </c>
      <c r="J12141" s="1" t="str">
        <f t="shared" si="3"/>
        <v/>
      </c>
      <c r="K12141" s="1" t="str">
        <f t="shared" si="4"/>
        <v/>
      </c>
    </row>
    <row r="12142" hidden="1">
      <c r="F12142" s="1" t="str">
        <f t="shared" si="1"/>
        <v/>
      </c>
      <c r="G12142" s="1" t="str">
        <f t="shared" si="2"/>
        <v/>
      </c>
      <c r="J12142" s="1" t="str">
        <f t="shared" si="3"/>
        <v/>
      </c>
      <c r="K12142" s="1" t="str">
        <f t="shared" si="4"/>
        <v/>
      </c>
    </row>
    <row r="12143" hidden="1">
      <c r="F12143" s="1" t="str">
        <f t="shared" si="1"/>
        <v/>
      </c>
      <c r="G12143" s="1" t="str">
        <f t="shared" si="2"/>
        <v/>
      </c>
      <c r="J12143" s="1" t="str">
        <f t="shared" si="3"/>
        <v/>
      </c>
      <c r="K12143" s="1" t="str">
        <f t="shared" si="4"/>
        <v/>
      </c>
    </row>
    <row r="12144" hidden="1">
      <c r="F12144" s="1" t="str">
        <f t="shared" si="1"/>
        <v/>
      </c>
      <c r="G12144" s="1" t="str">
        <f t="shared" si="2"/>
        <v/>
      </c>
      <c r="J12144" s="1" t="str">
        <f t="shared" si="3"/>
        <v/>
      </c>
      <c r="K12144" s="1" t="str">
        <f t="shared" si="4"/>
        <v/>
      </c>
    </row>
    <row r="12145" hidden="1">
      <c r="F12145" s="1" t="str">
        <f t="shared" si="1"/>
        <v/>
      </c>
      <c r="G12145" s="1" t="str">
        <f t="shared" si="2"/>
        <v/>
      </c>
      <c r="J12145" s="1" t="str">
        <f t="shared" si="3"/>
        <v/>
      </c>
      <c r="K12145" s="1" t="str">
        <f t="shared" si="4"/>
        <v/>
      </c>
    </row>
    <row r="12146" hidden="1">
      <c r="F12146" s="1" t="str">
        <f t="shared" si="1"/>
        <v/>
      </c>
      <c r="G12146" s="1" t="str">
        <f t="shared" si="2"/>
        <v/>
      </c>
      <c r="J12146" s="1" t="str">
        <f t="shared" si="3"/>
        <v/>
      </c>
      <c r="K12146" s="1" t="str">
        <f t="shared" si="4"/>
        <v/>
      </c>
    </row>
    <row r="12147" hidden="1">
      <c r="F12147" s="1" t="str">
        <f t="shared" si="1"/>
        <v/>
      </c>
      <c r="G12147" s="1" t="str">
        <f t="shared" si="2"/>
        <v/>
      </c>
      <c r="J12147" s="1" t="str">
        <f t="shared" si="3"/>
        <v/>
      </c>
      <c r="K12147" s="1" t="str">
        <f t="shared" si="4"/>
        <v/>
      </c>
    </row>
    <row r="12148" hidden="1">
      <c r="F12148" s="1" t="str">
        <f t="shared" si="1"/>
        <v/>
      </c>
      <c r="G12148" s="1" t="str">
        <f t="shared" si="2"/>
        <v/>
      </c>
      <c r="J12148" s="1" t="str">
        <f t="shared" si="3"/>
        <v/>
      </c>
      <c r="K12148" s="1" t="str">
        <f t="shared" si="4"/>
        <v/>
      </c>
    </row>
    <row r="12149" hidden="1">
      <c r="F12149" s="1" t="str">
        <f t="shared" si="1"/>
        <v/>
      </c>
      <c r="G12149" s="1" t="str">
        <f t="shared" si="2"/>
        <v/>
      </c>
      <c r="J12149" s="1" t="str">
        <f t="shared" si="3"/>
        <v/>
      </c>
      <c r="K12149" s="1" t="str">
        <f t="shared" si="4"/>
        <v/>
      </c>
    </row>
    <row r="12150" hidden="1">
      <c r="F12150" s="1" t="str">
        <f t="shared" si="1"/>
        <v/>
      </c>
      <c r="G12150" s="1" t="str">
        <f t="shared" si="2"/>
        <v/>
      </c>
      <c r="J12150" s="1" t="str">
        <f t="shared" si="3"/>
        <v/>
      </c>
      <c r="K12150" s="1" t="str">
        <f t="shared" si="4"/>
        <v/>
      </c>
    </row>
    <row r="12151" hidden="1">
      <c r="F12151" s="1" t="str">
        <f t="shared" si="1"/>
        <v/>
      </c>
      <c r="G12151" s="1" t="str">
        <f t="shared" si="2"/>
        <v/>
      </c>
      <c r="J12151" s="1" t="str">
        <f t="shared" si="3"/>
        <v/>
      </c>
      <c r="K12151" s="1" t="str">
        <f t="shared" si="4"/>
        <v/>
      </c>
    </row>
    <row r="12152" hidden="1">
      <c r="F12152" s="1" t="str">
        <f t="shared" si="1"/>
        <v/>
      </c>
      <c r="G12152" s="1" t="str">
        <f t="shared" si="2"/>
        <v/>
      </c>
      <c r="J12152" s="1" t="str">
        <f t="shared" si="3"/>
        <v/>
      </c>
      <c r="K12152" s="1" t="str">
        <f t="shared" si="4"/>
        <v/>
      </c>
    </row>
    <row r="12153" hidden="1">
      <c r="F12153" s="1" t="str">
        <f t="shared" si="1"/>
        <v/>
      </c>
      <c r="G12153" s="1" t="str">
        <f t="shared" si="2"/>
        <v/>
      </c>
      <c r="J12153" s="1" t="str">
        <f t="shared" si="3"/>
        <v/>
      </c>
      <c r="K12153" s="1" t="str">
        <f t="shared" si="4"/>
        <v/>
      </c>
    </row>
    <row r="12154" hidden="1">
      <c r="F12154" s="1" t="str">
        <f t="shared" si="1"/>
        <v/>
      </c>
      <c r="G12154" s="1" t="str">
        <f t="shared" si="2"/>
        <v/>
      </c>
      <c r="J12154" s="1" t="str">
        <f t="shared" si="3"/>
        <v/>
      </c>
      <c r="K12154" s="1" t="str">
        <f t="shared" si="4"/>
        <v/>
      </c>
    </row>
    <row r="12155" hidden="1">
      <c r="F12155" s="1" t="str">
        <f t="shared" si="1"/>
        <v/>
      </c>
      <c r="G12155" s="1" t="str">
        <f t="shared" si="2"/>
        <v/>
      </c>
      <c r="J12155" s="1" t="str">
        <f t="shared" si="3"/>
        <v/>
      </c>
      <c r="K12155" s="1" t="str">
        <f t="shared" si="4"/>
        <v/>
      </c>
    </row>
    <row r="12156" hidden="1">
      <c r="F12156" s="1" t="str">
        <f t="shared" si="1"/>
        <v/>
      </c>
      <c r="G12156" s="1" t="str">
        <f t="shared" si="2"/>
        <v/>
      </c>
      <c r="J12156" s="1" t="str">
        <f t="shared" si="3"/>
        <v/>
      </c>
      <c r="K12156" s="1" t="str">
        <f t="shared" si="4"/>
        <v/>
      </c>
    </row>
    <row r="12157" hidden="1">
      <c r="F12157" s="1" t="str">
        <f t="shared" si="1"/>
        <v/>
      </c>
      <c r="G12157" s="1" t="str">
        <f t="shared" si="2"/>
        <v/>
      </c>
      <c r="J12157" s="1" t="str">
        <f t="shared" si="3"/>
        <v/>
      </c>
      <c r="K12157" s="1" t="str">
        <f t="shared" si="4"/>
        <v/>
      </c>
    </row>
    <row r="12158" hidden="1">
      <c r="F12158" s="1" t="str">
        <f t="shared" si="1"/>
        <v/>
      </c>
      <c r="G12158" s="1" t="str">
        <f t="shared" si="2"/>
        <v/>
      </c>
      <c r="J12158" s="1" t="str">
        <f t="shared" si="3"/>
        <v/>
      </c>
      <c r="K12158" s="1" t="str">
        <f t="shared" si="4"/>
        <v/>
      </c>
    </row>
    <row r="12159" hidden="1">
      <c r="F12159" s="1" t="str">
        <f t="shared" si="1"/>
        <v/>
      </c>
      <c r="G12159" s="1" t="str">
        <f t="shared" si="2"/>
        <v/>
      </c>
      <c r="J12159" s="1" t="str">
        <f t="shared" si="3"/>
        <v/>
      </c>
      <c r="K12159" s="1" t="str">
        <f t="shared" si="4"/>
        <v/>
      </c>
    </row>
    <row r="12160" hidden="1">
      <c r="F12160" s="1" t="str">
        <f t="shared" si="1"/>
        <v/>
      </c>
      <c r="G12160" s="1" t="str">
        <f t="shared" si="2"/>
        <v/>
      </c>
      <c r="J12160" s="1" t="str">
        <f t="shared" si="3"/>
        <v/>
      </c>
      <c r="K12160" s="1" t="str">
        <f t="shared" si="4"/>
        <v/>
      </c>
    </row>
    <row r="12161" hidden="1">
      <c r="F12161" s="1" t="str">
        <f t="shared" si="1"/>
        <v/>
      </c>
      <c r="G12161" s="1" t="str">
        <f t="shared" si="2"/>
        <v/>
      </c>
      <c r="J12161" s="1" t="str">
        <f t="shared" si="3"/>
        <v/>
      </c>
      <c r="K12161" s="1" t="str">
        <f t="shared" si="4"/>
        <v/>
      </c>
    </row>
    <row r="12162" hidden="1">
      <c r="F12162" s="1" t="str">
        <f t="shared" si="1"/>
        <v/>
      </c>
      <c r="G12162" s="1" t="str">
        <f t="shared" si="2"/>
        <v/>
      </c>
      <c r="J12162" s="1" t="str">
        <f t="shared" si="3"/>
        <v/>
      </c>
      <c r="K12162" s="1" t="str">
        <f t="shared" si="4"/>
        <v/>
      </c>
    </row>
    <row r="12163" hidden="1">
      <c r="F12163" s="1" t="str">
        <f t="shared" si="1"/>
        <v/>
      </c>
      <c r="G12163" s="1" t="str">
        <f t="shared" si="2"/>
        <v/>
      </c>
      <c r="J12163" s="1" t="str">
        <f t="shared" si="3"/>
        <v/>
      </c>
      <c r="K12163" s="1" t="str">
        <f t="shared" si="4"/>
        <v/>
      </c>
    </row>
    <row r="12164" hidden="1">
      <c r="F12164" s="1" t="str">
        <f t="shared" si="1"/>
        <v/>
      </c>
      <c r="G12164" s="1" t="str">
        <f t="shared" si="2"/>
        <v/>
      </c>
      <c r="J12164" s="1" t="str">
        <f t="shared" si="3"/>
        <v/>
      </c>
      <c r="K12164" s="1" t="str">
        <f t="shared" si="4"/>
        <v/>
      </c>
    </row>
    <row r="12165" hidden="1">
      <c r="F12165" s="1" t="str">
        <f t="shared" si="1"/>
        <v/>
      </c>
      <c r="G12165" s="1" t="str">
        <f t="shared" si="2"/>
        <v/>
      </c>
      <c r="J12165" s="1" t="str">
        <f t="shared" si="3"/>
        <v/>
      </c>
      <c r="K12165" s="1" t="str">
        <f t="shared" si="4"/>
        <v/>
      </c>
    </row>
    <row r="12166" hidden="1">
      <c r="F12166" s="1" t="str">
        <f t="shared" si="1"/>
        <v/>
      </c>
      <c r="G12166" s="1" t="str">
        <f t="shared" si="2"/>
        <v/>
      </c>
      <c r="J12166" s="1" t="str">
        <f t="shared" si="3"/>
        <v/>
      </c>
      <c r="K12166" s="1" t="str">
        <f t="shared" si="4"/>
        <v/>
      </c>
    </row>
    <row r="12167" hidden="1">
      <c r="F12167" s="1" t="str">
        <f t="shared" si="1"/>
        <v/>
      </c>
      <c r="G12167" s="1" t="str">
        <f t="shared" si="2"/>
        <v/>
      </c>
      <c r="J12167" s="1" t="str">
        <f t="shared" si="3"/>
        <v/>
      </c>
      <c r="K12167" s="1" t="str">
        <f t="shared" si="4"/>
        <v/>
      </c>
    </row>
    <row r="12168" hidden="1">
      <c r="F12168" s="1" t="str">
        <f t="shared" si="1"/>
        <v/>
      </c>
      <c r="G12168" s="1" t="str">
        <f t="shared" si="2"/>
        <v/>
      </c>
      <c r="J12168" s="1" t="str">
        <f t="shared" si="3"/>
        <v/>
      </c>
      <c r="K12168" s="1" t="str">
        <f t="shared" si="4"/>
        <v/>
      </c>
    </row>
    <row r="12169" hidden="1">
      <c r="F12169" s="1" t="str">
        <f t="shared" si="1"/>
        <v/>
      </c>
      <c r="G12169" s="1" t="str">
        <f t="shared" si="2"/>
        <v/>
      </c>
      <c r="J12169" s="1" t="str">
        <f t="shared" si="3"/>
        <v/>
      </c>
      <c r="K12169" s="1" t="str">
        <f t="shared" si="4"/>
        <v/>
      </c>
    </row>
    <row r="12170" hidden="1">
      <c r="F12170" s="1" t="str">
        <f t="shared" si="1"/>
        <v/>
      </c>
      <c r="G12170" s="1" t="str">
        <f t="shared" si="2"/>
        <v/>
      </c>
      <c r="J12170" s="1" t="str">
        <f t="shared" si="3"/>
        <v/>
      </c>
      <c r="K12170" s="1" t="str">
        <f t="shared" si="4"/>
        <v/>
      </c>
    </row>
    <row r="12171" hidden="1">
      <c r="F12171" s="1" t="str">
        <f t="shared" si="1"/>
        <v/>
      </c>
      <c r="G12171" s="1" t="str">
        <f t="shared" si="2"/>
        <v/>
      </c>
      <c r="J12171" s="1" t="str">
        <f t="shared" si="3"/>
        <v/>
      </c>
      <c r="K12171" s="1" t="str">
        <f t="shared" si="4"/>
        <v/>
      </c>
    </row>
    <row r="12172" hidden="1">
      <c r="F12172" s="1" t="str">
        <f t="shared" si="1"/>
        <v/>
      </c>
      <c r="G12172" s="1" t="str">
        <f t="shared" si="2"/>
        <v/>
      </c>
      <c r="J12172" s="1" t="str">
        <f t="shared" si="3"/>
        <v/>
      </c>
      <c r="K12172" s="1" t="str">
        <f t="shared" si="4"/>
        <v/>
      </c>
    </row>
    <row r="12173" hidden="1">
      <c r="F12173" s="1" t="str">
        <f t="shared" si="1"/>
        <v/>
      </c>
      <c r="G12173" s="1" t="str">
        <f t="shared" si="2"/>
        <v/>
      </c>
      <c r="J12173" s="1" t="str">
        <f t="shared" si="3"/>
        <v/>
      </c>
      <c r="K12173" s="1" t="str">
        <f t="shared" si="4"/>
        <v/>
      </c>
    </row>
    <row r="12174" hidden="1">
      <c r="F12174" s="1" t="str">
        <f t="shared" si="1"/>
        <v/>
      </c>
      <c r="G12174" s="1" t="str">
        <f t="shared" si="2"/>
        <v/>
      </c>
      <c r="J12174" s="1" t="str">
        <f t="shared" si="3"/>
        <v/>
      </c>
      <c r="K12174" s="1" t="str">
        <f t="shared" si="4"/>
        <v/>
      </c>
    </row>
    <row r="12175" hidden="1">
      <c r="F12175" s="1" t="str">
        <f t="shared" si="1"/>
        <v/>
      </c>
      <c r="G12175" s="1" t="str">
        <f t="shared" si="2"/>
        <v/>
      </c>
      <c r="J12175" s="1" t="str">
        <f t="shared" si="3"/>
        <v/>
      </c>
      <c r="K12175" s="1" t="str">
        <f t="shared" si="4"/>
        <v/>
      </c>
    </row>
    <row r="12176" hidden="1">
      <c r="F12176" s="1" t="str">
        <f t="shared" si="1"/>
        <v/>
      </c>
      <c r="G12176" s="1" t="str">
        <f t="shared" si="2"/>
        <v/>
      </c>
      <c r="J12176" s="1" t="str">
        <f t="shared" si="3"/>
        <v/>
      </c>
      <c r="K12176" s="1" t="str">
        <f t="shared" si="4"/>
        <v/>
      </c>
    </row>
    <row r="12177" hidden="1">
      <c r="F12177" s="1" t="str">
        <f t="shared" si="1"/>
        <v/>
      </c>
      <c r="G12177" s="1" t="str">
        <f t="shared" si="2"/>
        <v/>
      </c>
      <c r="J12177" s="1" t="str">
        <f t="shared" si="3"/>
        <v/>
      </c>
      <c r="K12177" s="1" t="str">
        <f t="shared" si="4"/>
        <v/>
      </c>
    </row>
    <row r="12178" hidden="1">
      <c r="F12178" s="1" t="str">
        <f t="shared" si="1"/>
        <v/>
      </c>
      <c r="G12178" s="1" t="str">
        <f t="shared" si="2"/>
        <v/>
      </c>
      <c r="J12178" s="1" t="str">
        <f t="shared" si="3"/>
        <v/>
      </c>
      <c r="K12178" s="1" t="str">
        <f t="shared" si="4"/>
        <v/>
      </c>
    </row>
    <row r="12179" hidden="1">
      <c r="F12179" s="1" t="str">
        <f t="shared" si="1"/>
        <v/>
      </c>
      <c r="G12179" s="1" t="str">
        <f t="shared" si="2"/>
        <v/>
      </c>
      <c r="J12179" s="1" t="str">
        <f t="shared" si="3"/>
        <v/>
      </c>
      <c r="K12179" s="1" t="str">
        <f t="shared" si="4"/>
        <v/>
      </c>
    </row>
    <row r="12180" hidden="1">
      <c r="F12180" s="1" t="str">
        <f t="shared" si="1"/>
        <v/>
      </c>
      <c r="G12180" s="1" t="str">
        <f t="shared" si="2"/>
        <v/>
      </c>
      <c r="J12180" s="1" t="str">
        <f t="shared" si="3"/>
        <v/>
      </c>
      <c r="K12180" s="1" t="str">
        <f t="shared" si="4"/>
        <v/>
      </c>
    </row>
    <row r="12181" hidden="1">
      <c r="F12181" s="1" t="str">
        <f t="shared" si="1"/>
        <v/>
      </c>
      <c r="G12181" s="1" t="str">
        <f t="shared" si="2"/>
        <v/>
      </c>
      <c r="J12181" s="1" t="str">
        <f t="shared" si="3"/>
        <v/>
      </c>
      <c r="K12181" s="1" t="str">
        <f t="shared" si="4"/>
        <v/>
      </c>
    </row>
    <row r="12182" hidden="1">
      <c r="F12182" s="1" t="str">
        <f t="shared" si="1"/>
        <v/>
      </c>
      <c r="G12182" s="1" t="str">
        <f t="shared" si="2"/>
        <v/>
      </c>
      <c r="J12182" s="1" t="str">
        <f t="shared" si="3"/>
        <v/>
      </c>
      <c r="K12182" s="1" t="str">
        <f t="shared" si="4"/>
        <v/>
      </c>
    </row>
    <row r="12183" hidden="1">
      <c r="F12183" s="1" t="str">
        <f t="shared" si="1"/>
        <v/>
      </c>
      <c r="G12183" s="1" t="str">
        <f t="shared" si="2"/>
        <v/>
      </c>
      <c r="J12183" s="1" t="str">
        <f t="shared" si="3"/>
        <v/>
      </c>
      <c r="K12183" s="1" t="str">
        <f t="shared" si="4"/>
        <v/>
      </c>
    </row>
    <row r="12184" hidden="1">
      <c r="F12184" s="1" t="str">
        <f t="shared" si="1"/>
        <v/>
      </c>
      <c r="G12184" s="1" t="str">
        <f t="shared" si="2"/>
        <v/>
      </c>
      <c r="J12184" s="1" t="str">
        <f t="shared" si="3"/>
        <v/>
      </c>
      <c r="K12184" s="1" t="str">
        <f t="shared" si="4"/>
        <v/>
      </c>
    </row>
    <row r="12185" hidden="1">
      <c r="F12185" s="1" t="str">
        <f t="shared" si="1"/>
        <v/>
      </c>
      <c r="G12185" s="1" t="str">
        <f t="shared" si="2"/>
        <v/>
      </c>
      <c r="J12185" s="1" t="str">
        <f t="shared" si="3"/>
        <v/>
      </c>
      <c r="K12185" s="1" t="str">
        <f t="shared" si="4"/>
        <v/>
      </c>
    </row>
    <row r="12186" hidden="1">
      <c r="F12186" s="1" t="str">
        <f t="shared" si="1"/>
        <v/>
      </c>
      <c r="G12186" s="1" t="str">
        <f t="shared" si="2"/>
        <v/>
      </c>
      <c r="J12186" s="1" t="str">
        <f t="shared" si="3"/>
        <v/>
      </c>
      <c r="K12186" s="1" t="str">
        <f t="shared" si="4"/>
        <v/>
      </c>
    </row>
    <row r="12187" hidden="1">
      <c r="F12187" s="1" t="str">
        <f t="shared" si="1"/>
        <v/>
      </c>
      <c r="G12187" s="1" t="str">
        <f t="shared" si="2"/>
        <v/>
      </c>
      <c r="J12187" s="1" t="str">
        <f t="shared" si="3"/>
        <v/>
      </c>
      <c r="K12187" s="1" t="str">
        <f t="shared" si="4"/>
        <v/>
      </c>
    </row>
    <row r="12188" hidden="1">
      <c r="F12188" s="1" t="str">
        <f t="shared" si="1"/>
        <v/>
      </c>
      <c r="G12188" s="1" t="str">
        <f t="shared" si="2"/>
        <v/>
      </c>
      <c r="J12188" s="1" t="str">
        <f t="shared" si="3"/>
        <v/>
      </c>
      <c r="K12188" s="1" t="str">
        <f t="shared" si="4"/>
        <v/>
      </c>
    </row>
    <row r="12189" hidden="1">
      <c r="F12189" s="1" t="str">
        <f t="shared" si="1"/>
        <v/>
      </c>
      <c r="G12189" s="1" t="str">
        <f t="shared" si="2"/>
        <v/>
      </c>
      <c r="J12189" s="1" t="str">
        <f t="shared" si="3"/>
        <v/>
      </c>
      <c r="K12189" s="1" t="str">
        <f t="shared" si="4"/>
        <v/>
      </c>
    </row>
    <row r="12190" hidden="1">
      <c r="F12190" s="1" t="str">
        <f t="shared" si="1"/>
        <v/>
      </c>
      <c r="G12190" s="1" t="str">
        <f t="shared" si="2"/>
        <v/>
      </c>
      <c r="J12190" s="1" t="str">
        <f t="shared" si="3"/>
        <v/>
      </c>
      <c r="K12190" s="1" t="str">
        <f t="shared" si="4"/>
        <v/>
      </c>
    </row>
    <row r="12191" hidden="1">
      <c r="F12191" s="1" t="str">
        <f t="shared" si="1"/>
        <v/>
      </c>
      <c r="G12191" s="1" t="str">
        <f t="shared" si="2"/>
        <v/>
      </c>
      <c r="J12191" s="1" t="str">
        <f t="shared" si="3"/>
        <v/>
      </c>
      <c r="K12191" s="1" t="str">
        <f t="shared" si="4"/>
        <v/>
      </c>
    </row>
    <row r="12192" hidden="1">
      <c r="F12192" s="1" t="str">
        <f t="shared" si="1"/>
        <v/>
      </c>
      <c r="G12192" s="1" t="str">
        <f t="shared" si="2"/>
        <v/>
      </c>
      <c r="J12192" s="1" t="str">
        <f t="shared" si="3"/>
        <v/>
      </c>
      <c r="K12192" s="1" t="str">
        <f t="shared" si="4"/>
        <v/>
      </c>
    </row>
    <row r="12193" hidden="1">
      <c r="F12193" s="1" t="str">
        <f t="shared" si="1"/>
        <v/>
      </c>
      <c r="G12193" s="1" t="str">
        <f t="shared" si="2"/>
        <v/>
      </c>
      <c r="J12193" s="1" t="str">
        <f t="shared" si="3"/>
        <v/>
      </c>
      <c r="K12193" s="1" t="str">
        <f t="shared" si="4"/>
        <v/>
      </c>
    </row>
    <row r="12194" hidden="1">
      <c r="F12194" s="1" t="str">
        <f t="shared" si="1"/>
        <v/>
      </c>
      <c r="G12194" s="1" t="str">
        <f t="shared" si="2"/>
        <v/>
      </c>
      <c r="J12194" s="1" t="str">
        <f t="shared" si="3"/>
        <v/>
      </c>
      <c r="K12194" s="1" t="str">
        <f t="shared" si="4"/>
        <v/>
      </c>
    </row>
    <row r="12195" hidden="1">
      <c r="F12195" s="1" t="str">
        <f t="shared" si="1"/>
        <v/>
      </c>
      <c r="G12195" s="1" t="str">
        <f t="shared" si="2"/>
        <v/>
      </c>
      <c r="J12195" s="1" t="str">
        <f t="shared" si="3"/>
        <v/>
      </c>
      <c r="K12195" s="1" t="str">
        <f t="shared" si="4"/>
        <v/>
      </c>
    </row>
    <row r="12196" hidden="1">
      <c r="F12196" s="1" t="str">
        <f t="shared" si="1"/>
        <v/>
      </c>
      <c r="G12196" s="1" t="str">
        <f t="shared" si="2"/>
        <v/>
      </c>
      <c r="J12196" s="1" t="str">
        <f t="shared" si="3"/>
        <v/>
      </c>
      <c r="K12196" s="1" t="str">
        <f t="shared" si="4"/>
        <v/>
      </c>
    </row>
    <row r="12197" hidden="1">
      <c r="F12197" s="1" t="str">
        <f t="shared" si="1"/>
        <v/>
      </c>
      <c r="G12197" s="1" t="str">
        <f t="shared" si="2"/>
        <v/>
      </c>
      <c r="J12197" s="1" t="str">
        <f t="shared" si="3"/>
        <v/>
      </c>
      <c r="K12197" s="1" t="str">
        <f t="shared" si="4"/>
        <v/>
      </c>
    </row>
    <row r="12198" hidden="1">
      <c r="F12198" s="1" t="str">
        <f t="shared" si="1"/>
        <v/>
      </c>
      <c r="G12198" s="1" t="str">
        <f t="shared" si="2"/>
        <v/>
      </c>
      <c r="J12198" s="1" t="str">
        <f t="shared" si="3"/>
        <v/>
      </c>
      <c r="K12198" s="1" t="str">
        <f t="shared" si="4"/>
        <v/>
      </c>
    </row>
    <row r="12199" hidden="1">
      <c r="F12199" s="1" t="str">
        <f t="shared" si="1"/>
        <v/>
      </c>
      <c r="G12199" s="1" t="str">
        <f t="shared" si="2"/>
        <v/>
      </c>
      <c r="J12199" s="1" t="str">
        <f t="shared" si="3"/>
        <v/>
      </c>
      <c r="K12199" s="1" t="str">
        <f t="shared" si="4"/>
        <v/>
      </c>
    </row>
    <row r="12200" hidden="1">
      <c r="F12200" s="1" t="str">
        <f t="shared" si="1"/>
        <v/>
      </c>
      <c r="G12200" s="1" t="str">
        <f t="shared" si="2"/>
        <v/>
      </c>
      <c r="J12200" s="1" t="str">
        <f t="shared" si="3"/>
        <v/>
      </c>
      <c r="K12200" s="1" t="str">
        <f t="shared" si="4"/>
        <v/>
      </c>
    </row>
    <row r="12201" hidden="1">
      <c r="F12201" s="1" t="str">
        <f t="shared" si="1"/>
        <v/>
      </c>
      <c r="G12201" s="1" t="str">
        <f t="shared" si="2"/>
        <v/>
      </c>
      <c r="J12201" s="1" t="str">
        <f t="shared" si="3"/>
        <v/>
      </c>
      <c r="K12201" s="1" t="str">
        <f t="shared" si="4"/>
        <v/>
      </c>
    </row>
    <row r="12202" hidden="1">
      <c r="F12202" s="1" t="str">
        <f t="shared" si="1"/>
        <v/>
      </c>
      <c r="G12202" s="1" t="str">
        <f t="shared" si="2"/>
        <v/>
      </c>
      <c r="J12202" s="1" t="str">
        <f t="shared" si="3"/>
        <v/>
      </c>
      <c r="K12202" s="1" t="str">
        <f t="shared" si="4"/>
        <v/>
      </c>
    </row>
    <row r="12203" hidden="1">
      <c r="F12203" s="1" t="str">
        <f t="shared" si="1"/>
        <v/>
      </c>
      <c r="G12203" s="1" t="str">
        <f t="shared" si="2"/>
        <v/>
      </c>
      <c r="J12203" s="1" t="str">
        <f t="shared" si="3"/>
        <v/>
      </c>
      <c r="K12203" s="1" t="str">
        <f t="shared" si="4"/>
        <v/>
      </c>
    </row>
    <row r="12204" hidden="1">
      <c r="F12204" s="1" t="str">
        <f t="shared" si="1"/>
        <v/>
      </c>
      <c r="G12204" s="1" t="str">
        <f t="shared" si="2"/>
        <v/>
      </c>
      <c r="J12204" s="1" t="str">
        <f t="shared" si="3"/>
        <v/>
      </c>
      <c r="K12204" s="1" t="str">
        <f t="shared" si="4"/>
        <v/>
      </c>
    </row>
    <row r="12205" hidden="1">
      <c r="F12205" s="1" t="str">
        <f t="shared" si="1"/>
        <v/>
      </c>
      <c r="G12205" s="1" t="str">
        <f t="shared" si="2"/>
        <v/>
      </c>
      <c r="J12205" s="1" t="str">
        <f t="shared" si="3"/>
        <v/>
      </c>
      <c r="K12205" s="1" t="str">
        <f t="shared" si="4"/>
        <v/>
      </c>
    </row>
    <row r="12206" hidden="1">
      <c r="F12206" s="1" t="str">
        <f t="shared" si="1"/>
        <v/>
      </c>
      <c r="G12206" s="1" t="str">
        <f t="shared" si="2"/>
        <v/>
      </c>
      <c r="J12206" s="1" t="str">
        <f t="shared" si="3"/>
        <v/>
      </c>
      <c r="K12206" s="1" t="str">
        <f t="shared" si="4"/>
        <v/>
      </c>
    </row>
    <row r="12207" hidden="1">
      <c r="F12207" s="1" t="str">
        <f t="shared" si="1"/>
        <v/>
      </c>
      <c r="G12207" s="1" t="str">
        <f t="shared" si="2"/>
        <v/>
      </c>
      <c r="J12207" s="1" t="str">
        <f t="shared" si="3"/>
        <v/>
      </c>
      <c r="K12207" s="1" t="str">
        <f t="shared" si="4"/>
        <v/>
      </c>
    </row>
    <row r="12208" hidden="1">
      <c r="F12208" s="1" t="str">
        <f t="shared" si="1"/>
        <v/>
      </c>
      <c r="G12208" s="1" t="str">
        <f t="shared" si="2"/>
        <v/>
      </c>
      <c r="J12208" s="1" t="str">
        <f t="shared" si="3"/>
        <v/>
      </c>
      <c r="K12208" s="1" t="str">
        <f t="shared" si="4"/>
        <v/>
      </c>
    </row>
    <row r="12209" hidden="1">
      <c r="F12209" s="1" t="str">
        <f t="shared" si="1"/>
        <v/>
      </c>
      <c r="G12209" s="1" t="str">
        <f t="shared" si="2"/>
        <v/>
      </c>
      <c r="J12209" s="1" t="str">
        <f t="shared" si="3"/>
        <v/>
      </c>
      <c r="K12209" s="1" t="str">
        <f t="shared" si="4"/>
        <v/>
      </c>
    </row>
    <row r="12210" hidden="1">
      <c r="F12210" s="1" t="str">
        <f t="shared" si="1"/>
        <v/>
      </c>
      <c r="G12210" s="1" t="str">
        <f t="shared" si="2"/>
        <v/>
      </c>
      <c r="J12210" s="1" t="str">
        <f t="shared" si="3"/>
        <v/>
      </c>
      <c r="K12210" s="1" t="str">
        <f t="shared" si="4"/>
        <v/>
      </c>
    </row>
    <row r="12211" hidden="1">
      <c r="F12211" s="1" t="str">
        <f t="shared" si="1"/>
        <v/>
      </c>
      <c r="G12211" s="1" t="str">
        <f t="shared" si="2"/>
        <v/>
      </c>
      <c r="J12211" s="1" t="str">
        <f t="shared" si="3"/>
        <v/>
      </c>
      <c r="K12211" s="1" t="str">
        <f t="shared" si="4"/>
        <v/>
      </c>
    </row>
    <row r="12212" hidden="1">
      <c r="F12212" s="1" t="str">
        <f t="shared" si="1"/>
        <v/>
      </c>
      <c r="G12212" s="1" t="str">
        <f t="shared" si="2"/>
        <v/>
      </c>
      <c r="J12212" s="1" t="str">
        <f t="shared" si="3"/>
        <v/>
      </c>
      <c r="K12212" s="1" t="str">
        <f t="shared" si="4"/>
        <v/>
      </c>
    </row>
    <row r="12213" hidden="1">
      <c r="F12213" s="1" t="str">
        <f t="shared" si="1"/>
        <v/>
      </c>
      <c r="G12213" s="1" t="str">
        <f t="shared" si="2"/>
        <v/>
      </c>
      <c r="J12213" s="1" t="str">
        <f t="shared" si="3"/>
        <v/>
      </c>
      <c r="K12213" s="1" t="str">
        <f t="shared" si="4"/>
        <v/>
      </c>
    </row>
    <row r="12214" hidden="1">
      <c r="F12214" s="1" t="str">
        <f t="shared" si="1"/>
        <v/>
      </c>
      <c r="G12214" s="1" t="str">
        <f t="shared" si="2"/>
        <v/>
      </c>
      <c r="J12214" s="1" t="str">
        <f t="shared" si="3"/>
        <v/>
      </c>
      <c r="K12214" s="1" t="str">
        <f t="shared" si="4"/>
        <v/>
      </c>
    </row>
    <row r="12215" hidden="1">
      <c r="F12215" s="1" t="str">
        <f t="shared" si="1"/>
        <v/>
      </c>
      <c r="G12215" s="1" t="str">
        <f t="shared" si="2"/>
        <v/>
      </c>
      <c r="J12215" s="1" t="str">
        <f t="shared" si="3"/>
        <v/>
      </c>
      <c r="K12215" s="1" t="str">
        <f t="shared" si="4"/>
        <v/>
      </c>
    </row>
    <row r="12216" hidden="1">
      <c r="F12216" s="1" t="str">
        <f t="shared" si="1"/>
        <v/>
      </c>
      <c r="G12216" s="1" t="str">
        <f t="shared" si="2"/>
        <v/>
      </c>
      <c r="J12216" s="1" t="str">
        <f t="shared" si="3"/>
        <v/>
      </c>
      <c r="K12216" s="1" t="str">
        <f t="shared" si="4"/>
        <v/>
      </c>
    </row>
    <row r="12217" hidden="1">
      <c r="F12217" s="1" t="str">
        <f t="shared" si="1"/>
        <v/>
      </c>
      <c r="G12217" s="1" t="str">
        <f t="shared" si="2"/>
        <v/>
      </c>
      <c r="J12217" s="1" t="str">
        <f t="shared" si="3"/>
        <v/>
      </c>
      <c r="K12217" s="1" t="str">
        <f t="shared" si="4"/>
        <v/>
      </c>
    </row>
    <row r="12218" hidden="1">
      <c r="F12218" s="1" t="str">
        <f t="shared" si="1"/>
        <v/>
      </c>
      <c r="G12218" s="1" t="str">
        <f t="shared" si="2"/>
        <v/>
      </c>
      <c r="J12218" s="1" t="str">
        <f t="shared" si="3"/>
        <v/>
      </c>
      <c r="K12218" s="1" t="str">
        <f t="shared" si="4"/>
        <v/>
      </c>
    </row>
    <row r="12219" hidden="1">
      <c r="F12219" s="1" t="str">
        <f t="shared" si="1"/>
        <v/>
      </c>
      <c r="G12219" s="1" t="str">
        <f t="shared" si="2"/>
        <v/>
      </c>
      <c r="J12219" s="1" t="str">
        <f t="shared" si="3"/>
        <v/>
      </c>
      <c r="K12219" s="1" t="str">
        <f t="shared" si="4"/>
        <v/>
      </c>
    </row>
    <row r="12220" hidden="1">
      <c r="F12220" s="1" t="str">
        <f t="shared" si="1"/>
        <v/>
      </c>
      <c r="G12220" s="1" t="str">
        <f t="shared" si="2"/>
        <v/>
      </c>
      <c r="J12220" s="1" t="str">
        <f t="shared" si="3"/>
        <v/>
      </c>
      <c r="K12220" s="1" t="str">
        <f t="shared" si="4"/>
        <v/>
      </c>
    </row>
    <row r="12221" hidden="1">
      <c r="F12221" s="1" t="str">
        <f t="shared" si="1"/>
        <v/>
      </c>
      <c r="G12221" s="1" t="str">
        <f t="shared" si="2"/>
        <v/>
      </c>
      <c r="J12221" s="1" t="str">
        <f t="shared" si="3"/>
        <v/>
      </c>
      <c r="K12221" s="1" t="str">
        <f t="shared" si="4"/>
        <v/>
      </c>
    </row>
    <row r="12222" hidden="1">
      <c r="F12222" s="1" t="str">
        <f t="shared" si="1"/>
        <v/>
      </c>
      <c r="G12222" s="1" t="str">
        <f t="shared" si="2"/>
        <v/>
      </c>
      <c r="J12222" s="1" t="str">
        <f t="shared" si="3"/>
        <v/>
      </c>
      <c r="K12222" s="1" t="str">
        <f t="shared" si="4"/>
        <v/>
      </c>
    </row>
    <row r="12223" hidden="1">
      <c r="F12223" s="1" t="str">
        <f t="shared" si="1"/>
        <v/>
      </c>
      <c r="G12223" s="1" t="str">
        <f t="shared" si="2"/>
        <v/>
      </c>
      <c r="J12223" s="1" t="str">
        <f t="shared" si="3"/>
        <v/>
      </c>
      <c r="K12223" s="1" t="str">
        <f t="shared" si="4"/>
        <v/>
      </c>
    </row>
    <row r="12224" hidden="1">
      <c r="F12224" s="1" t="str">
        <f t="shared" si="1"/>
        <v/>
      </c>
      <c r="G12224" s="1" t="str">
        <f t="shared" si="2"/>
        <v/>
      </c>
      <c r="J12224" s="1" t="str">
        <f t="shared" si="3"/>
        <v/>
      </c>
      <c r="K12224" s="1" t="str">
        <f t="shared" si="4"/>
        <v/>
      </c>
    </row>
    <row r="12225" hidden="1">
      <c r="F12225" s="1" t="str">
        <f t="shared" si="1"/>
        <v/>
      </c>
      <c r="G12225" s="1" t="str">
        <f t="shared" si="2"/>
        <v/>
      </c>
      <c r="J12225" s="1" t="str">
        <f t="shared" si="3"/>
        <v/>
      </c>
      <c r="K12225" s="1" t="str">
        <f t="shared" si="4"/>
        <v/>
      </c>
    </row>
    <row r="12226" hidden="1">
      <c r="F12226" s="1" t="str">
        <f t="shared" si="1"/>
        <v/>
      </c>
      <c r="G12226" s="1" t="str">
        <f t="shared" si="2"/>
        <v/>
      </c>
      <c r="J12226" s="1" t="str">
        <f t="shared" si="3"/>
        <v/>
      </c>
      <c r="K12226" s="1" t="str">
        <f t="shared" si="4"/>
        <v/>
      </c>
    </row>
    <row r="12227" hidden="1">
      <c r="F12227" s="1" t="str">
        <f t="shared" si="1"/>
        <v/>
      </c>
      <c r="G12227" s="1" t="str">
        <f t="shared" si="2"/>
        <v/>
      </c>
      <c r="J12227" s="1" t="str">
        <f t="shared" si="3"/>
        <v/>
      </c>
      <c r="K12227" s="1" t="str">
        <f t="shared" si="4"/>
        <v/>
      </c>
    </row>
    <row r="12228" hidden="1">
      <c r="F12228" s="1" t="str">
        <f t="shared" si="1"/>
        <v/>
      </c>
      <c r="G12228" s="1" t="str">
        <f t="shared" si="2"/>
        <v/>
      </c>
      <c r="J12228" s="1" t="str">
        <f t="shared" si="3"/>
        <v/>
      </c>
      <c r="K12228" s="1" t="str">
        <f t="shared" si="4"/>
        <v/>
      </c>
    </row>
    <row r="12229" hidden="1">
      <c r="F12229" s="1" t="str">
        <f t="shared" si="1"/>
        <v/>
      </c>
      <c r="G12229" s="1" t="str">
        <f t="shared" si="2"/>
        <v/>
      </c>
      <c r="J12229" s="1" t="str">
        <f t="shared" si="3"/>
        <v/>
      </c>
      <c r="K12229" s="1" t="str">
        <f t="shared" si="4"/>
        <v/>
      </c>
    </row>
    <row r="12230" hidden="1">
      <c r="F12230" s="1" t="str">
        <f t="shared" si="1"/>
        <v/>
      </c>
      <c r="G12230" s="1" t="str">
        <f t="shared" si="2"/>
        <v/>
      </c>
      <c r="J12230" s="1" t="str">
        <f t="shared" si="3"/>
        <v/>
      </c>
      <c r="K12230" s="1" t="str">
        <f t="shared" si="4"/>
        <v/>
      </c>
    </row>
    <row r="12231" hidden="1">
      <c r="F12231" s="1" t="str">
        <f t="shared" si="1"/>
        <v/>
      </c>
      <c r="G12231" s="1" t="str">
        <f t="shared" si="2"/>
        <v/>
      </c>
      <c r="J12231" s="1" t="str">
        <f t="shared" si="3"/>
        <v/>
      </c>
      <c r="K12231" s="1" t="str">
        <f t="shared" si="4"/>
        <v/>
      </c>
    </row>
    <row r="12232" hidden="1">
      <c r="F12232" s="1" t="str">
        <f t="shared" si="1"/>
        <v/>
      </c>
      <c r="G12232" s="1" t="str">
        <f t="shared" si="2"/>
        <v/>
      </c>
      <c r="J12232" s="1" t="str">
        <f t="shared" si="3"/>
        <v/>
      </c>
      <c r="K12232" s="1" t="str">
        <f t="shared" si="4"/>
        <v/>
      </c>
    </row>
    <row r="12233" hidden="1">
      <c r="F12233" s="1" t="str">
        <f t="shared" si="1"/>
        <v/>
      </c>
      <c r="G12233" s="1" t="str">
        <f t="shared" si="2"/>
        <v/>
      </c>
      <c r="J12233" s="1" t="str">
        <f t="shared" si="3"/>
        <v/>
      </c>
      <c r="K12233" s="1" t="str">
        <f t="shared" si="4"/>
        <v/>
      </c>
    </row>
    <row r="12234" hidden="1">
      <c r="F12234" s="1" t="str">
        <f t="shared" si="1"/>
        <v/>
      </c>
      <c r="G12234" s="1" t="str">
        <f t="shared" si="2"/>
        <v/>
      </c>
      <c r="J12234" s="1" t="str">
        <f t="shared" si="3"/>
        <v/>
      </c>
      <c r="K12234" s="1" t="str">
        <f t="shared" si="4"/>
        <v/>
      </c>
    </row>
    <row r="12235" hidden="1">
      <c r="F12235" s="1" t="str">
        <f t="shared" si="1"/>
        <v/>
      </c>
      <c r="G12235" s="1" t="str">
        <f t="shared" si="2"/>
        <v/>
      </c>
      <c r="J12235" s="1" t="str">
        <f t="shared" si="3"/>
        <v/>
      </c>
      <c r="K12235" s="1" t="str">
        <f t="shared" si="4"/>
        <v/>
      </c>
    </row>
    <row r="12236" hidden="1">
      <c r="F12236" s="1" t="str">
        <f t="shared" si="1"/>
        <v/>
      </c>
      <c r="G12236" s="1" t="str">
        <f t="shared" si="2"/>
        <v/>
      </c>
      <c r="J12236" s="1" t="str">
        <f t="shared" si="3"/>
        <v/>
      </c>
      <c r="K12236" s="1" t="str">
        <f t="shared" si="4"/>
        <v/>
      </c>
    </row>
    <row r="12237" hidden="1">
      <c r="F12237" s="1" t="str">
        <f t="shared" si="1"/>
        <v/>
      </c>
      <c r="G12237" s="1" t="str">
        <f t="shared" si="2"/>
        <v/>
      </c>
      <c r="J12237" s="1" t="str">
        <f t="shared" si="3"/>
        <v/>
      </c>
      <c r="K12237" s="1" t="str">
        <f t="shared" si="4"/>
        <v/>
      </c>
    </row>
    <row r="12238" hidden="1">
      <c r="F12238" s="1" t="str">
        <f t="shared" si="1"/>
        <v/>
      </c>
      <c r="G12238" s="1" t="str">
        <f t="shared" si="2"/>
        <v/>
      </c>
      <c r="J12238" s="1" t="str">
        <f t="shared" si="3"/>
        <v/>
      </c>
      <c r="K12238" s="1" t="str">
        <f t="shared" si="4"/>
        <v/>
      </c>
    </row>
    <row r="12239" hidden="1">
      <c r="F12239" s="1" t="str">
        <f t="shared" si="1"/>
        <v/>
      </c>
      <c r="G12239" s="1" t="str">
        <f t="shared" si="2"/>
        <v/>
      </c>
      <c r="J12239" s="1" t="str">
        <f t="shared" si="3"/>
        <v/>
      </c>
      <c r="K12239" s="1" t="str">
        <f t="shared" si="4"/>
        <v/>
      </c>
    </row>
    <row r="12240" hidden="1">
      <c r="F12240" s="1" t="str">
        <f t="shared" si="1"/>
        <v/>
      </c>
      <c r="G12240" s="1" t="str">
        <f t="shared" si="2"/>
        <v/>
      </c>
      <c r="J12240" s="1" t="str">
        <f t="shared" si="3"/>
        <v/>
      </c>
      <c r="K12240" s="1" t="str">
        <f t="shared" si="4"/>
        <v/>
      </c>
    </row>
    <row r="12241" hidden="1">
      <c r="F12241" s="1" t="str">
        <f t="shared" si="1"/>
        <v/>
      </c>
      <c r="G12241" s="1" t="str">
        <f t="shared" si="2"/>
        <v/>
      </c>
      <c r="J12241" s="1" t="str">
        <f t="shared" si="3"/>
        <v/>
      </c>
      <c r="K12241" s="1" t="str">
        <f t="shared" si="4"/>
        <v/>
      </c>
    </row>
    <row r="12242" hidden="1">
      <c r="F12242" s="1" t="str">
        <f t="shared" si="1"/>
        <v/>
      </c>
      <c r="G12242" s="1" t="str">
        <f t="shared" si="2"/>
        <v/>
      </c>
      <c r="J12242" s="1" t="str">
        <f t="shared" si="3"/>
        <v/>
      </c>
      <c r="K12242" s="1" t="str">
        <f t="shared" si="4"/>
        <v/>
      </c>
    </row>
    <row r="12243" hidden="1">
      <c r="F12243" s="1" t="str">
        <f t="shared" si="1"/>
        <v/>
      </c>
      <c r="G12243" s="1" t="str">
        <f t="shared" si="2"/>
        <v/>
      </c>
      <c r="J12243" s="1" t="str">
        <f t="shared" si="3"/>
        <v/>
      </c>
      <c r="K12243" s="1" t="str">
        <f t="shared" si="4"/>
        <v/>
      </c>
    </row>
    <row r="12244" hidden="1">
      <c r="F12244" s="1" t="str">
        <f t="shared" si="1"/>
        <v/>
      </c>
      <c r="G12244" s="1" t="str">
        <f t="shared" si="2"/>
        <v/>
      </c>
      <c r="J12244" s="1" t="str">
        <f t="shared" si="3"/>
        <v/>
      </c>
      <c r="K12244" s="1" t="str">
        <f t="shared" si="4"/>
        <v/>
      </c>
    </row>
    <row r="12245" hidden="1">
      <c r="F12245" s="1" t="str">
        <f t="shared" si="1"/>
        <v/>
      </c>
      <c r="G12245" s="1" t="str">
        <f t="shared" si="2"/>
        <v/>
      </c>
      <c r="J12245" s="1" t="str">
        <f t="shared" si="3"/>
        <v/>
      </c>
      <c r="K12245" s="1" t="str">
        <f t="shared" si="4"/>
        <v/>
      </c>
    </row>
    <row r="12246" hidden="1">
      <c r="F12246" s="1" t="str">
        <f t="shared" si="1"/>
        <v/>
      </c>
      <c r="G12246" s="1" t="str">
        <f t="shared" si="2"/>
        <v/>
      </c>
      <c r="J12246" s="1" t="str">
        <f t="shared" si="3"/>
        <v/>
      </c>
      <c r="K12246" s="1" t="str">
        <f t="shared" si="4"/>
        <v/>
      </c>
    </row>
    <row r="12247" hidden="1">
      <c r="F12247" s="1" t="str">
        <f t="shared" si="1"/>
        <v/>
      </c>
      <c r="G12247" s="1" t="str">
        <f t="shared" si="2"/>
        <v/>
      </c>
      <c r="J12247" s="1" t="str">
        <f t="shared" si="3"/>
        <v/>
      </c>
      <c r="K12247" s="1" t="str">
        <f t="shared" si="4"/>
        <v/>
      </c>
    </row>
    <row r="12248" hidden="1">
      <c r="F12248" s="1" t="str">
        <f t="shared" si="1"/>
        <v/>
      </c>
      <c r="G12248" s="1" t="str">
        <f t="shared" si="2"/>
        <v/>
      </c>
      <c r="J12248" s="1" t="str">
        <f t="shared" si="3"/>
        <v/>
      </c>
      <c r="K12248" s="1" t="str">
        <f t="shared" si="4"/>
        <v/>
      </c>
    </row>
    <row r="12249" hidden="1">
      <c r="F12249" s="1" t="str">
        <f t="shared" si="1"/>
        <v/>
      </c>
      <c r="G12249" s="1" t="str">
        <f t="shared" si="2"/>
        <v/>
      </c>
      <c r="J12249" s="1" t="str">
        <f t="shared" si="3"/>
        <v/>
      </c>
      <c r="K12249" s="1" t="str">
        <f t="shared" si="4"/>
        <v/>
      </c>
    </row>
    <row r="12250" hidden="1">
      <c r="F12250" s="1" t="str">
        <f t="shared" si="1"/>
        <v/>
      </c>
      <c r="G12250" s="1" t="str">
        <f t="shared" si="2"/>
        <v/>
      </c>
      <c r="J12250" s="1" t="str">
        <f t="shared" si="3"/>
        <v/>
      </c>
      <c r="K12250" s="1" t="str">
        <f t="shared" si="4"/>
        <v/>
      </c>
    </row>
    <row r="12251" hidden="1">
      <c r="F12251" s="1" t="str">
        <f t="shared" si="1"/>
        <v/>
      </c>
      <c r="G12251" s="1" t="str">
        <f t="shared" si="2"/>
        <v/>
      </c>
      <c r="J12251" s="1" t="str">
        <f t="shared" si="3"/>
        <v/>
      </c>
      <c r="K12251" s="1" t="str">
        <f t="shared" si="4"/>
        <v/>
      </c>
    </row>
    <row r="12252" hidden="1">
      <c r="F12252" s="1" t="str">
        <f t="shared" si="1"/>
        <v/>
      </c>
      <c r="G12252" s="1" t="str">
        <f t="shared" si="2"/>
        <v/>
      </c>
      <c r="J12252" s="1" t="str">
        <f t="shared" si="3"/>
        <v/>
      </c>
      <c r="K12252" s="1" t="str">
        <f t="shared" si="4"/>
        <v/>
      </c>
    </row>
    <row r="12253" hidden="1">
      <c r="F12253" s="1" t="str">
        <f t="shared" si="1"/>
        <v/>
      </c>
      <c r="G12253" s="1" t="str">
        <f t="shared" si="2"/>
        <v/>
      </c>
      <c r="J12253" s="1" t="str">
        <f t="shared" si="3"/>
        <v/>
      </c>
      <c r="K12253" s="1" t="str">
        <f t="shared" si="4"/>
        <v/>
      </c>
    </row>
    <row r="12254" hidden="1">
      <c r="F12254" s="1" t="str">
        <f t="shared" si="1"/>
        <v/>
      </c>
      <c r="G12254" s="1" t="str">
        <f t="shared" si="2"/>
        <v/>
      </c>
      <c r="J12254" s="1" t="str">
        <f t="shared" si="3"/>
        <v/>
      </c>
      <c r="K12254" s="1" t="str">
        <f t="shared" si="4"/>
        <v/>
      </c>
    </row>
    <row r="12255" hidden="1">
      <c r="F12255" s="1" t="str">
        <f t="shared" si="1"/>
        <v/>
      </c>
      <c r="G12255" s="1" t="str">
        <f t="shared" si="2"/>
        <v/>
      </c>
      <c r="J12255" s="1" t="str">
        <f t="shared" si="3"/>
        <v/>
      </c>
      <c r="K12255" s="1" t="str">
        <f t="shared" si="4"/>
        <v/>
      </c>
    </row>
    <row r="12256" hidden="1">
      <c r="F12256" s="1" t="str">
        <f t="shared" si="1"/>
        <v/>
      </c>
      <c r="G12256" s="1" t="str">
        <f t="shared" si="2"/>
        <v/>
      </c>
      <c r="J12256" s="1" t="str">
        <f t="shared" si="3"/>
        <v/>
      </c>
      <c r="K12256" s="1" t="str">
        <f t="shared" si="4"/>
        <v/>
      </c>
    </row>
    <row r="12257" hidden="1">
      <c r="F12257" s="1" t="str">
        <f t="shared" si="1"/>
        <v/>
      </c>
      <c r="G12257" s="1" t="str">
        <f t="shared" si="2"/>
        <v/>
      </c>
      <c r="J12257" s="1" t="str">
        <f t="shared" si="3"/>
        <v/>
      </c>
      <c r="K12257" s="1" t="str">
        <f t="shared" si="4"/>
        <v/>
      </c>
    </row>
    <row r="12258" hidden="1">
      <c r="F12258" s="1" t="str">
        <f t="shared" si="1"/>
        <v/>
      </c>
      <c r="G12258" s="1" t="str">
        <f t="shared" si="2"/>
        <v/>
      </c>
      <c r="J12258" s="1" t="str">
        <f t="shared" si="3"/>
        <v/>
      </c>
      <c r="K12258" s="1" t="str">
        <f t="shared" si="4"/>
        <v/>
      </c>
    </row>
    <row r="12259" hidden="1">
      <c r="F12259" s="1" t="str">
        <f t="shared" si="1"/>
        <v/>
      </c>
      <c r="G12259" s="1" t="str">
        <f t="shared" si="2"/>
        <v/>
      </c>
      <c r="J12259" s="1" t="str">
        <f t="shared" si="3"/>
        <v/>
      </c>
      <c r="K12259" s="1" t="str">
        <f t="shared" si="4"/>
        <v/>
      </c>
    </row>
    <row r="12260" hidden="1">
      <c r="F12260" s="1" t="str">
        <f t="shared" si="1"/>
        <v/>
      </c>
      <c r="G12260" s="1" t="str">
        <f t="shared" si="2"/>
        <v/>
      </c>
      <c r="J12260" s="1" t="str">
        <f t="shared" si="3"/>
        <v/>
      </c>
      <c r="K12260" s="1" t="str">
        <f t="shared" si="4"/>
        <v/>
      </c>
    </row>
    <row r="12261" hidden="1">
      <c r="F12261" s="1" t="str">
        <f t="shared" si="1"/>
        <v/>
      </c>
      <c r="G12261" s="1" t="str">
        <f t="shared" si="2"/>
        <v/>
      </c>
      <c r="J12261" s="1" t="str">
        <f t="shared" si="3"/>
        <v/>
      </c>
      <c r="K12261" s="1" t="str">
        <f t="shared" si="4"/>
        <v/>
      </c>
    </row>
    <row r="12262" hidden="1">
      <c r="F12262" s="1" t="str">
        <f t="shared" si="1"/>
        <v/>
      </c>
      <c r="G12262" s="1" t="str">
        <f t="shared" si="2"/>
        <v/>
      </c>
      <c r="J12262" s="1" t="str">
        <f t="shared" si="3"/>
        <v/>
      </c>
      <c r="K12262" s="1" t="str">
        <f t="shared" si="4"/>
        <v/>
      </c>
    </row>
    <row r="12263" hidden="1">
      <c r="F12263" s="1" t="str">
        <f t="shared" si="1"/>
        <v/>
      </c>
      <c r="G12263" s="1" t="str">
        <f t="shared" si="2"/>
        <v/>
      </c>
      <c r="J12263" s="1" t="str">
        <f t="shared" si="3"/>
        <v/>
      </c>
      <c r="K12263" s="1" t="str">
        <f t="shared" si="4"/>
        <v/>
      </c>
    </row>
    <row r="12264" hidden="1">
      <c r="F12264" s="1" t="str">
        <f t="shared" si="1"/>
        <v/>
      </c>
      <c r="G12264" s="1" t="str">
        <f t="shared" si="2"/>
        <v/>
      </c>
      <c r="J12264" s="1" t="str">
        <f t="shared" si="3"/>
        <v/>
      </c>
      <c r="K12264" s="1" t="str">
        <f t="shared" si="4"/>
        <v/>
      </c>
    </row>
    <row r="12265" hidden="1">
      <c r="F12265" s="1" t="str">
        <f t="shared" si="1"/>
        <v/>
      </c>
      <c r="G12265" s="1" t="str">
        <f t="shared" si="2"/>
        <v/>
      </c>
      <c r="J12265" s="1" t="str">
        <f t="shared" si="3"/>
        <v/>
      </c>
      <c r="K12265" s="1" t="str">
        <f t="shared" si="4"/>
        <v/>
      </c>
    </row>
    <row r="12266" hidden="1">
      <c r="F12266" s="1" t="str">
        <f t="shared" si="1"/>
        <v/>
      </c>
      <c r="G12266" s="1" t="str">
        <f t="shared" si="2"/>
        <v/>
      </c>
      <c r="J12266" s="1" t="str">
        <f t="shared" si="3"/>
        <v/>
      </c>
      <c r="K12266" s="1" t="str">
        <f t="shared" si="4"/>
        <v/>
      </c>
    </row>
    <row r="12267" hidden="1">
      <c r="F12267" s="1" t="str">
        <f t="shared" si="1"/>
        <v/>
      </c>
      <c r="G12267" s="1" t="str">
        <f t="shared" si="2"/>
        <v/>
      </c>
      <c r="J12267" s="1" t="str">
        <f t="shared" si="3"/>
        <v/>
      </c>
      <c r="K12267" s="1" t="str">
        <f t="shared" si="4"/>
        <v/>
      </c>
    </row>
    <row r="12268" hidden="1">
      <c r="F12268" s="1" t="str">
        <f t="shared" si="1"/>
        <v/>
      </c>
      <c r="G12268" s="1" t="str">
        <f t="shared" si="2"/>
        <v/>
      </c>
      <c r="J12268" s="1" t="str">
        <f t="shared" si="3"/>
        <v/>
      </c>
      <c r="K12268" s="1" t="str">
        <f t="shared" si="4"/>
        <v/>
      </c>
    </row>
    <row r="12269" hidden="1">
      <c r="F12269" s="1" t="str">
        <f t="shared" si="1"/>
        <v/>
      </c>
      <c r="G12269" s="1" t="str">
        <f t="shared" si="2"/>
        <v/>
      </c>
      <c r="J12269" s="1" t="str">
        <f t="shared" si="3"/>
        <v/>
      </c>
      <c r="K12269" s="1" t="str">
        <f t="shared" si="4"/>
        <v/>
      </c>
    </row>
    <row r="12270" hidden="1">
      <c r="F12270" s="1" t="str">
        <f t="shared" si="1"/>
        <v/>
      </c>
      <c r="G12270" s="1" t="str">
        <f t="shared" si="2"/>
        <v/>
      </c>
      <c r="J12270" s="1" t="str">
        <f t="shared" si="3"/>
        <v/>
      </c>
      <c r="K12270" s="1" t="str">
        <f t="shared" si="4"/>
        <v/>
      </c>
    </row>
    <row r="12271" hidden="1">
      <c r="F12271" s="1" t="str">
        <f t="shared" si="1"/>
        <v/>
      </c>
      <c r="G12271" s="1" t="str">
        <f t="shared" si="2"/>
        <v/>
      </c>
      <c r="J12271" s="1" t="str">
        <f t="shared" si="3"/>
        <v/>
      </c>
      <c r="K12271" s="1" t="str">
        <f t="shared" si="4"/>
        <v/>
      </c>
    </row>
    <row r="12272" hidden="1">
      <c r="F12272" s="1" t="str">
        <f t="shared" si="1"/>
        <v/>
      </c>
      <c r="G12272" s="1" t="str">
        <f t="shared" si="2"/>
        <v/>
      </c>
      <c r="J12272" s="1" t="str">
        <f t="shared" si="3"/>
        <v/>
      </c>
      <c r="K12272" s="1" t="str">
        <f t="shared" si="4"/>
        <v/>
      </c>
    </row>
    <row r="12273" hidden="1">
      <c r="F12273" s="1" t="str">
        <f t="shared" si="1"/>
        <v/>
      </c>
      <c r="G12273" s="1" t="str">
        <f t="shared" si="2"/>
        <v/>
      </c>
      <c r="J12273" s="1" t="str">
        <f t="shared" si="3"/>
        <v/>
      </c>
      <c r="K12273" s="1" t="str">
        <f t="shared" si="4"/>
        <v/>
      </c>
    </row>
    <row r="12274" hidden="1">
      <c r="F12274" s="1" t="str">
        <f t="shared" si="1"/>
        <v/>
      </c>
      <c r="G12274" s="1" t="str">
        <f t="shared" si="2"/>
        <v/>
      </c>
      <c r="J12274" s="1" t="str">
        <f t="shared" si="3"/>
        <v/>
      </c>
      <c r="K12274" s="1" t="str">
        <f t="shared" si="4"/>
        <v/>
      </c>
    </row>
    <row r="12275" hidden="1">
      <c r="F12275" s="1" t="str">
        <f t="shared" si="1"/>
        <v/>
      </c>
      <c r="G12275" s="1" t="str">
        <f t="shared" si="2"/>
        <v/>
      </c>
      <c r="J12275" s="1" t="str">
        <f t="shared" si="3"/>
        <v/>
      </c>
      <c r="K12275" s="1" t="str">
        <f t="shared" si="4"/>
        <v/>
      </c>
    </row>
    <row r="12276" hidden="1">
      <c r="F12276" s="1" t="str">
        <f t="shared" si="1"/>
        <v/>
      </c>
      <c r="G12276" s="1" t="str">
        <f t="shared" si="2"/>
        <v/>
      </c>
      <c r="J12276" s="1" t="str">
        <f t="shared" si="3"/>
        <v/>
      </c>
      <c r="K12276" s="1" t="str">
        <f t="shared" si="4"/>
        <v/>
      </c>
    </row>
    <row r="12277" hidden="1">
      <c r="F12277" s="1" t="str">
        <f t="shared" si="1"/>
        <v/>
      </c>
      <c r="G12277" s="1" t="str">
        <f t="shared" si="2"/>
        <v/>
      </c>
      <c r="J12277" s="1" t="str">
        <f t="shared" si="3"/>
        <v/>
      </c>
      <c r="K12277" s="1" t="str">
        <f t="shared" si="4"/>
        <v/>
      </c>
    </row>
    <row r="12278" hidden="1">
      <c r="F12278" s="1" t="str">
        <f t="shared" si="1"/>
        <v/>
      </c>
      <c r="G12278" s="1" t="str">
        <f t="shared" si="2"/>
        <v/>
      </c>
      <c r="J12278" s="1" t="str">
        <f t="shared" si="3"/>
        <v/>
      </c>
      <c r="K12278" s="1" t="str">
        <f t="shared" si="4"/>
        <v/>
      </c>
    </row>
    <row r="12279" hidden="1">
      <c r="F12279" s="1" t="str">
        <f t="shared" si="1"/>
        <v/>
      </c>
      <c r="G12279" s="1" t="str">
        <f t="shared" si="2"/>
        <v/>
      </c>
      <c r="J12279" s="1" t="str">
        <f t="shared" si="3"/>
        <v/>
      </c>
      <c r="K12279" s="1" t="str">
        <f t="shared" si="4"/>
        <v/>
      </c>
    </row>
    <row r="12280" hidden="1">
      <c r="F12280" s="1" t="str">
        <f t="shared" si="1"/>
        <v/>
      </c>
      <c r="G12280" s="1" t="str">
        <f t="shared" si="2"/>
        <v/>
      </c>
      <c r="J12280" s="1" t="str">
        <f t="shared" si="3"/>
        <v/>
      </c>
      <c r="K12280" s="1" t="str">
        <f t="shared" si="4"/>
        <v/>
      </c>
    </row>
    <row r="12281" hidden="1">
      <c r="F12281" s="1" t="str">
        <f t="shared" si="1"/>
        <v/>
      </c>
      <c r="G12281" s="1" t="str">
        <f t="shared" si="2"/>
        <v/>
      </c>
      <c r="J12281" s="1" t="str">
        <f t="shared" si="3"/>
        <v/>
      </c>
      <c r="K12281" s="1" t="str">
        <f t="shared" si="4"/>
        <v/>
      </c>
    </row>
    <row r="12282" hidden="1">
      <c r="F12282" s="1" t="str">
        <f t="shared" si="1"/>
        <v/>
      </c>
      <c r="G12282" s="1" t="str">
        <f t="shared" si="2"/>
        <v/>
      </c>
      <c r="J12282" s="1" t="str">
        <f t="shared" si="3"/>
        <v/>
      </c>
      <c r="K12282" s="1" t="str">
        <f t="shared" si="4"/>
        <v/>
      </c>
    </row>
    <row r="12283" hidden="1">
      <c r="F12283" s="1" t="str">
        <f t="shared" si="1"/>
        <v/>
      </c>
      <c r="G12283" s="1" t="str">
        <f t="shared" si="2"/>
        <v/>
      </c>
      <c r="J12283" s="1" t="str">
        <f t="shared" si="3"/>
        <v/>
      </c>
      <c r="K12283" s="1" t="str">
        <f t="shared" si="4"/>
        <v/>
      </c>
    </row>
    <row r="12284" hidden="1">
      <c r="F12284" s="1" t="str">
        <f t="shared" si="1"/>
        <v/>
      </c>
      <c r="G12284" s="1" t="str">
        <f t="shared" si="2"/>
        <v/>
      </c>
      <c r="J12284" s="1" t="str">
        <f t="shared" si="3"/>
        <v/>
      </c>
      <c r="K12284" s="1" t="str">
        <f t="shared" si="4"/>
        <v/>
      </c>
    </row>
    <row r="12285" hidden="1">
      <c r="F12285" s="1" t="str">
        <f t="shared" si="1"/>
        <v/>
      </c>
      <c r="G12285" s="1" t="str">
        <f t="shared" si="2"/>
        <v/>
      </c>
      <c r="J12285" s="1" t="str">
        <f t="shared" si="3"/>
        <v/>
      </c>
      <c r="K12285" s="1" t="str">
        <f t="shared" si="4"/>
        <v/>
      </c>
    </row>
    <row r="12286" hidden="1">
      <c r="F12286" s="1" t="str">
        <f t="shared" si="1"/>
        <v/>
      </c>
      <c r="G12286" s="1" t="str">
        <f t="shared" si="2"/>
        <v/>
      </c>
      <c r="J12286" s="1" t="str">
        <f t="shared" si="3"/>
        <v/>
      </c>
      <c r="K12286" s="1" t="str">
        <f t="shared" si="4"/>
        <v/>
      </c>
    </row>
    <row r="12287" hidden="1">
      <c r="F12287" s="1" t="str">
        <f t="shared" si="1"/>
        <v/>
      </c>
      <c r="G12287" s="1" t="str">
        <f t="shared" si="2"/>
        <v/>
      </c>
      <c r="J12287" s="1" t="str">
        <f t="shared" si="3"/>
        <v/>
      </c>
      <c r="K12287" s="1" t="str">
        <f t="shared" si="4"/>
        <v/>
      </c>
    </row>
    <row r="12288" hidden="1">
      <c r="F12288" s="1" t="str">
        <f t="shared" si="1"/>
        <v/>
      </c>
      <c r="G12288" s="1" t="str">
        <f t="shared" si="2"/>
        <v/>
      </c>
      <c r="J12288" s="1" t="str">
        <f t="shared" si="3"/>
        <v/>
      </c>
      <c r="K12288" s="1" t="str">
        <f t="shared" si="4"/>
        <v/>
      </c>
    </row>
    <row r="12289" hidden="1">
      <c r="F12289" s="1" t="str">
        <f t="shared" si="1"/>
        <v/>
      </c>
      <c r="G12289" s="1" t="str">
        <f t="shared" si="2"/>
        <v/>
      </c>
      <c r="J12289" s="1" t="str">
        <f t="shared" si="3"/>
        <v/>
      </c>
      <c r="K12289" s="1" t="str">
        <f t="shared" si="4"/>
        <v/>
      </c>
    </row>
    <row r="12290" hidden="1">
      <c r="F12290" s="1" t="str">
        <f t="shared" si="1"/>
        <v/>
      </c>
      <c r="G12290" s="1" t="str">
        <f t="shared" si="2"/>
        <v/>
      </c>
      <c r="J12290" s="1" t="str">
        <f t="shared" si="3"/>
        <v/>
      </c>
      <c r="K12290" s="1" t="str">
        <f t="shared" si="4"/>
        <v/>
      </c>
    </row>
    <row r="12291" hidden="1">
      <c r="F12291" s="1" t="str">
        <f t="shared" si="1"/>
        <v/>
      </c>
      <c r="G12291" s="1" t="str">
        <f t="shared" si="2"/>
        <v/>
      </c>
      <c r="J12291" s="1" t="str">
        <f t="shared" si="3"/>
        <v/>
      </c>
      <c r="K12291" s="1" t="str">
        <f t="shared" si="4"/>
        <v/>
      </c>
    </row>
    <row r="12292" hidden="1">
      <c r="F12292" s="1" t="str">
        <f t="shared" si="1"/>
        <v/>
      </c>
      <c r="G12292" s="1" t="str">
        <f t="shared" si="2"/>
        <v/>
      </c>
      <c r="J12292" s="1" t="str">
        <f t="shared" si="3"/>
        <v/>
      </c>
      <c r="K12292" s="1" t="str">
        <f t="shared" si="4"/>
        <v/>
      </c>
    </row>
    <row r="12293" hidden="1">
      <c r="F12293" s="1" t="str">
        <f t="shared" si="1"/>
        <v/>
      </c>
      <c r="G12293" s="1" t="str">
        <f t="shared" si="2"/>
        <v/>
      </c>
      <c r="J12293" s="1" t="str">
        <f t="shared" si="3"/>
        <v/>
      </c>
      <c r="K12293" s="1" t="str">
        <f t="shared" si="4"/>
        <v/>
      </c>
    </row>
    <row r="12294" hidden="1">
      <c r="F12294" s="1" t="str">
        <f t="shared" si="1"/>
        <v/>
      </c>
      <c r="G12294" s="1" t="str">
        <f t="shared" si="2"/>
        <v/>
      </c>
      <c r="J12294" s="1" t="str">
        <f t="shared" si="3"/>
        <v/>
      </c>
      <c r="K12294" s="1" t="str">
        <f t="shared" si="4"/>
        <v/>
      </c>
    </row>
    <row r="12295" hidden="1">
      <c r="F12295" s="1" t="str">
        <f t="shared" si="1"/>
        <v/>
      </c>
      <c r="G12295" s="1" t="str">
        <f t="shared" si="2"/>
        <v/>
      </c>
      <c r="J12295" s="1" t="str">
        <f t="shared" si="3"/>
        <v/>
      </c>
      <c r="K12295" s="1" t="str">
        <f t="shared" si="4"/>
        <v/>
      </c>
    </row>
    <row r="12296" hidden="1">
      <c r="F12296" s="1" t="str">
        <f t="shared" si="1"/>
        <v/>
      </c>
      <c r="G12296" s="1" t="str">
        <f t="shared" si="2"/>
        <v/>
      </c>
      <c r="J12296" s="1" t="str">
        <f t="shared" si="3"/>
        <v/>
      </c>
      <c r="K12296" s="1" t="str">
        <f t="shared" si="4"/>
        <v/>
      </c>
    </row>
    <row r="12297" hidden="1">
      <c r="F12297" s="1" t="str">
        <f t="shared" si="1"/>
        <v/>
      </c>
      <c r="G12297" s="1" t="str">
        <f t="shared" si="2"/>
        <v/>
      </c>
      <c r="J12297" s="1" t="str">
        <f t="shared" si="3"/>
        <v/>
      </c>
      <c r="K12297" s="1" t="str">
        <f t="shared" si="4"/>
        <v/>
      </c>
    </row>
    <row r="12298" hidden="1">
      <c r="F12298" s="1" t="str">
        <f t="shared" si="1"/>
        <v/>
      </c>
      <c r="G12298" s="1" t="str">
        <f t="shared" si="2"/>
        <v/>
      </c>
      <c r="J12298" s="1" t="str">
        <f t="shared" si="3"/>
        <v/>
      </c>
      <c r="K12298" s="1" t="str">
        <f t="shared" si="4"/>
        <v/>
      </c>
    </row>
    <row r="12299" hidden="1">
      <c r="F12299" s="1" t="str">
        <f t="shared" si="1"/>
        <v/>
      </c>
      <c r="G12299" s="1" t="str">
        <f t="shared" si="2"/>
        <v/>
      </c>
      <c r="J12299" s="1" t="str">
        <f t="shared" si="3"/>
        <v/>
      </c>
      <c r="K12299" s="1" t="str">
        <f t="shared" si="4"/>
        <v/>
      </c>
    </row>
    <row r="12300" hidden="1">
      <c r="F12300" s="1" t="str">
        <f t="shared" si="1"/>
        <v/>
      </c>
      <c r="G12300" s="1" t="str">
        <f t="shared" si="2"/>
        <v/>
      </c>
      <c r="J12300" s="1" t="str">
        <f t="shared" si="3"/>
        <v/>
      </c>
      <c r="K12300" s="1" t="str">
        <f t="shared" si="4"/>
        <v/>
      </c>
    </row>
    <row r="12301" hidden="1">
      <c r="F12301" s="1" t="str">
        <f t="shared" si="1"/>
        <v/>
      </c>
      <c r="G12301" s="1" t="str">
        <f t="shared" si="2"/>
        <v/>
      </c>
      <c r="J12301" s="1" t="str">
        <f t="shared" si="3"/>
        <v/>
      </c>
      <c r="K12301" s="1" t="str">
        <f t="shared" si="4"/>
        <v/>
      </c>
    </row>
    <row r="12302" hidden="1">
      <c r="F12302" s="1" t="str">
        <f t="shared" si="1"/>
        <v/>
      </c>
      <c r="G12302" s="1" t="str">
        <f t="shared" si="2"/>
        <v/>
      </c>
      <c r="J12302" s="1" t="str">
        <f t="shared" si="3"/>
        <v/>
      </c>
      <c r="K12302" s="1" t="str">
        <f t="shared" si="4"/>
        <v/>
      </c>
    </row>
    <row r="12303" hidden="1">
      <c r="F12303" s="1" t="str">
        <f t="shared" si="1"/>
        <v/>
      </c>
      <c r="G12303" s="1" t="str">
        <f t="shared" si="2"/>
        <v/>
      </c>
      <c r="J12303" s="1" t="str">
        <f t="shared" si="3"/>
        <v/>
      </c>
      <c r="K12303" s="1" t="str">
        <f t="shared" si="4"/>
        <v/>
      </c>
    </row>
    <row r="12304" hidden="1">
      <c r="F12304" s="1" t="str">
        <f t="shared" si="1"/>
        <v/>
      </c>
      <c r="G12304" s="1" t="str">
        <f t="shared" si="2"/>
        <v/>
      </c>
      <c r="J12304" s="1" t="str">
        <f t="shared" si="3"/>
        <v/>
      </c>
      <c r="K12304" s="1" t="str">
        <f t="shared" si="4"/>
        <v/>
      </c>
    </row>
    <row r="12305" hidden="1">
      <c r="F12305" s="1" t="str">
        <f t="shared" si="1"/>
        <v/>
      </c>
      <c r="G12305" s="1" t="str">
        <f t="shared" si="2"/>
        <v/>
      </c>
      <c r="J12305" s="1" t="str">
        <f t="shared" si="3"/>
        <v/>
      </c>
      <c r="K12305" s="1" t="str">
        <f t="shared" si="4"/>
        <v/>
      </c>
    </row>
    <row r="12306" hidden="1">
      <c r="F12306" s="1" t="str">
        <f t="shared" si="1"/>
        <v/>
      </c>
      <c r="G12306" s="1" t="str">
        <f t="shared" si="2"/>
        <v/>
      </c>
      <c r="J12306" s="1" t="str">
        <f t="shared" si="3"/>
        <v/>
      </c>
      <c r="K12306" s="1" t="str">
        <f t="shared" si="4"/>
        <v/>
      </c>
    </row>
    <row r="12307" hidden="1">
      <c r="F12307" s="1" t="str">
        <f t="shared" si="1"/>
        <v/>
      </c>
      <c r="G12307" s="1" t="str">
        <f t="shared" si="2"/>
        <v/>
      </c>
      <c r="J12307" s="1" t="str">
        <f t="shared" si="3"/>
        <v/>
      </c>
      <c r="K12307" s="1" t="str">
        <f t="shared" si="4"/>
        <v/>
      </c>
    </row>
    <row r="12308" hidden="1">
      <c r="F12308" s="1" t="str">
        <f t="shared" si="1"/>
        <v/>
      </c>
      <c r="G12308" s="1" t="str">
        <f t="shared" si="2"/>
        <v/>
      </c>
      <c r="J12308" s="1" t="str">
        <f t="shared" si="3"/>
        <v/>
      </c>
      <c r="K12308" s="1" t="str">
        <f t="shared" si="4"/>
        <v/>
      </c>
    </row>
    <row r="12309" hidden="1">
      <c r="F12309" s="1" t="str">
        <f t="shared" si="1"/>
        <v/>
      </c>
      <c r="G12309" s="1" t="str">
        <f t="shared" si="2"/>
        <v/>
      </c>
      <c r="J12309" s="1" t="str">
        <f t="shared" si="3"/>
        <v/>
      </c>
      <c r="K12309" s="1" t="str">
        <f t="shared" si="4"/>
        <v/>
      </c>
    </row>
    <row r="12310" hidden="1">
      <c r="F12310" s="1" t="str">
        <f t="shared" si="1"/>
        <v/>
      </c>
      <c r="G12310" s="1" t="str">
        <f t="shared" si="2"/>
        <v/>
      </c>
      <c r="J12310" s="1" t="str">
        <f t="shared" si="3"/>
        <v/>
      </c>
      <c r="K12310" s="1" t="str">
        <f t="shared" si="4"/>
        <v/>
      </c>
    </row>
    <row r="12311" hidden="1">
      <c r="F12311" s="1" t="str">
        <f t="shared" si="1"/>
        <v/>
      </c>
      <c r="G12311" s="1" t="str">
        <f t="shared" si="2"/>
        <v/>
      </c>
      <c r="J12311" s="1" t="str">
        <f t="shared" si="3"/>
        <v/>
      </c>
      <c r="K12311" s="1" t="str">
        <f t="shared" si="4"/>
        <v/>
      </c>
    </row>
    <row r="12312" hidden="1">
      <c r="F12312" s="1" t="str">
        <f t="shared" si="1"/>
        <v/>
      </c>
      <c r="G12312" s="1" t="str">
        <f t="shared" si="2"/>
        <v/>
      </c>
      <c r="J12312" s="1" t="str">
        <f t="shared" si="3"/>
        <v/>
      </c>
      <c r="K12312" s="1" t="str">
        <f t="shared" si="4"/>
        <v/>
      </c>
    </row>
    <row r="12313" hidden="1">
      <c r="F12313" s="1" t="str">
        <f t="shared" si="1"/>
        <v/>
      </c>
      <c r="G12313" s="1" t="str">
        <f t="shared" si="2"/>
        <v/>
      </c>
      <c r="J12313" s="1" t="str">
        <f t="shared" si="3"/>
        <v/>
      </c>
      <c r="K12313" s="1" t="str">
        <f t="shared" si="4"/>
        <v/>
      </c>
    </row>
    <row r="12314" hidden="1">
      <c r="F12314" s="1" t="str">
        <f t="shared" si="1"/>
        <v/>
      </c>
      <c r="G12314" s="1" t="str">
        <f t="shared" si="2"/>
        <v/>
      </c>
      <c r="J12314" s="1" t="str">
        <f t="shared" si="3"/>
        <v/>
      </c>
      <c r="K12314" s="1" t="str">
        <f t="shared" si="4"/>
        <v/>
      </c>
    </row>
    <row r="12315" hidden="1">
      <c r="F12315" s="1" t="str">
        <f t="shared" si="1"/>
        <v/>
      </c>
      <c r="G12315" s="1" t="str">
        <f t="shared" si="2"/>
        <v/>
      </c>
      <c r="J12315" s="1" t="str">
        <f t="shared" si="3"/>
        <v/>
      </c>
      <c r="K12315" s="1" t="str">
        <f t="shared" si="4"/>
        <v/>
      </c>
    </row>
    <row r="12316" hidden="1">
      <c r="F12316" s="1" t="str">
        <f t="shared" si="1"/>
        <v/>
      </c>
      <c r="G12316" s="1" t="str">
        <f t="shared" si="2"/>
        <v/>
      </c>
      <c r="J12316" s="1" t="str">
        <f t="shared" si="3"/>
        <v/>
      </c>
      <c r="K12316" s="1" t="str">
        <f t="shared" si="4"/>
        <v/>
      </c>
    </row>
    <row r="12317" hidden="1">
      <c r="F12317" s="1" t="str">
        <f t="shared" si="1"/>
        <v/>
      </c>
      <c r="G12317" s="1" t="str">
        <f t="shared" si="2"/>
        <v/>
      </c>
      <c r="J12317" s="1" t="str">
        <f t="shared" si="3"/>
        <v/>
      </c>
      <c r="K12317" s="1" t="str">
        <f t="shared" si="4"/>
        <v/>
      </c>
    </row>
    <row r="12318" hidden="1">
      <c r="F12318" s="1" t="str">
        <f t="shared" si="1"/>
        <v/>
      </c>
      <c r="G12318" s="1" t="str">
        <f t="shared" si="2"/>
        <v/>
      </c>
      <c r="J12318" s="1" t="str">
        <f t="shared" si="3"/>
        <v/>
      </c>
      <c r="K12318" s="1" t="str">
        <f t="shared" si="4"/>
        <v/>
      </c>
    </row>
    <row r="12319" hidden="1">
      <c r="F12319" s="1" t="str">
        <f t="shared" si="1"/>
        <v/>
      </c>
      <c r="G12319" s="1" t="str">
        <f t="shared" si="2"/>
        <v/>
      </c>
      <c r="J12319" s="1" t="str">
        <f t="shared" si="3"/>
        <v/>
      </c>
      <c r="K12319" s="1" t="str">
        <f t="shared" si="4"/>
        <v/>
      </c>
    </row>
    <row r="12320" hidden="1">
      <c r="F12320" s="1" t="str">
        <f t="shared" si="1"/>
        <v/>
      </c>
      <c r="G12320" s="1" t="str">
        <f t="shared" si="2"/>
        <v/>
      </c>
      <c r="J12320" s="1" t="str">
        <f t="shared" si="3"/>
        <v/>
      </c>
      <c r="K12320" s="1" t="str">
        <f t="shared" si="4"/>
        <v/>
      </c>
    </row>
    <row r="12321" hidden="1">
      <c r="F12321" s="1" t="str">
        <f t="shared" si="1"/>
        <v/>
      </c>
      <c r="G12321" s="1" t="str">
        <f t="shared" si="2"/>
        <v/>
      </c>
      <c r="J12321" s="1" t="str">
        <f t="shared" si="3"/>
        <v/>
      </c>
      <c r="K12321" s="1" t="str">
        <f t="shared" si="4"/>
        <v/>
      </c>
    </row>
    <row r="12322" hidden="1">
      <c r="F12322" s="1" t="str">
        <f t="shared" si="1"/>
        <v/>
      </c>
      <c r="G12322" s="1" t="str">
        <f t="shared" si="2"/>
        <v/>
      </c>
      <c r="J12322" s="1" t="str">
        <f t="shared" si="3"/>
        <v/>
      </c>
      <c r="K12322" s="1" t="str">
        <f t="shared" si="4"/>
        <v/>
      </c>
    </row>
    <row r="12323" hidden="1">
      <c r="F12323" s="1" t="str">
        <f t="shared" si="1"/>
        <v/>
      </c>
      <c r="G12323" s="1" t="str">
        <f t="shared" si="2"/>
        <v/>
      </c>
      <c r="J12323" s="1" t="str">
        <f t="shared" si="3"/>
        <v/>
      </c>
      <c r="K12323" s="1" t="str">
        <f t="shared" si="4"/>
        <v/>
      </c>
    </row>
    <row r="12324" hidden="1">
      <c r="F12324" s="1" t="str">
        <f t="shared" si="1"/>
        <v/>
      </c>
      <c r="G12324" s="1" t="str">
        <f t="shared" si="2"/>
        <v/>
      </c>
      <c r="J12324" s="1" t="str">
        <f t="shared" si="3"/>
        <v/>
      </c>
      <c r="K12324" s="1" t="str">
        <f t="shared" si="4"/>
        <v/>
      </c>
    </row>
    <row r="12325" hidden="1">
      <c r="F12325" s="1" t="str">
        <f t="shared" si="1"/>
        <v/>
      </c>
      <c r="G12325" s="1" t="str">
        <f t="shared" si="2"/>
        <v/>
      </c>
      <c r="J12325" s="1" t="str">
        <f t="shared" si="3"/>
        <v/>
      </c>
      <c r="K12325" s="1" t="str">
        <f t="shared" si="4"/>
        <v/>
      </c>
    </row>
    <row r="12326" hidden="1">
      <c r="F12326" s="1" t="str">
        <f t="shared" si="1"/>
        <v/>
      </c>
      <c r="G12326" s="1" t="str">
        <f t="shared" si="2"/>
        <v/>
      </c>
      <c r="J12326" s="1" t="str">
        <f t="shared" si="3"/>
        <v/>
      </c>
      <c r="K12326" s="1" t="str">
        <f t="shared" si="4"/>
        <v/>
      </c>
    </row>
    <row r="12327" hidden="1">
      <c r="F12327" s="1" t="str">
        <f t="shared" si="1"/>
        <v/>
      </c>
      <c r="G12327" s="1" t="str">
        <f t="shared" si="2"/>
        <v/>
      </c>
      <c r="J12327" s="1" t="str">
        <f t="shared" si="3"/>
        <v/>
      </c>
      <c r="K12327" s="1" t="str">
        <f t="shared" si="4"/>
        <v/>
      </c>
    </row>
    <row r="12328" hidden="1">
      <c r="F12328" s="1" t="str">
        <f t="shared" si="1"/>
        <v/>
      </c>
      <c r="G12328" s="1" t="str">
        <f t="shared" si="2"/>
        <v/>
      </c>
      <c r="J12328" s="1" t="str">
        <f t="shared" si="3"/>
        <v/>
      </c>
      <c r="K12328" s="1" t="str">
        <f t="shared" si="4"/>
        <v/>
      </c>
    </row>
    <row r="12329" hidden="1">
      <c r="F12329" s="1" t="str">
        <f t="shared" si="1"/>
        <v/>
      </c>
      <c r="G12329" s="1" t="str">
        <f t="shared" si="2"/>
        <v/>
      </c>
      <c r="J12329" s="1" t="str">
        <f t="shared" si="3"/>
        <v/>
      </c>
      <c r="K12329" s="1" t="str">
        <f t="shared" si="4"/>
        <v/>
      </c>
    </row>
    <row r="12330" hidden="1">
      <c r="F12330" s="1" t="str">
        <f t="shared" si="1"/>
        <v/>
      </c>
      <c r="G12330" s="1" t="str">
        <f t="shared" si="2"/>
        <v/>
      </c>
      <c r="J12330" s="1" t="str">
        <f t="shared" si="3"/>
        <v/>
      </c>
      <c r="K12330" s="1" t="str">
        <f t="shared" si="4"/>
        <v/>
      </c>
    </row>
    <row r="12331" hidden="1">
      <c r="F12331" s="1" t="str">
        <f t="shared" si="1"/>
        <v/>
      </c>
      <c r="G12331" s="1" t="str">
        <f t="shared" si="2"/>
        <v/>
      </c>
      <c r="J12331" s="1" t="str">
        <f t="shared" si="3"/>
        <v/>
      </c>
      <c r="K12331" s="1" t="str">
        <f t="shared" si="4"/>
        <v/>
      </c>
    </row>
    <row r="12332" hidden="1">
      <c r="F12332" s="1" t="str">
        <f t="shared" si="1"/>
        <v/>
      </c>
      <c r="G12332" s="1" t="str">
        <f t="shared" si="2"/>
        <v/>
      </c>
      <c r="J12332" s="1" t="str">
        <f t="shared" si="3"/>
        <v/>
      </c>
      <c r="K12332" s="1" t="str">
        <f t="shared" si="4"/>
        <v/>
      </c>
    </row>
    <row r="12333" hidden="1">
      <c r="F12333" s="1" t="str">
        <f t="shared" si="1"/>
        <v/>
      </c>
      <c r="G12333" s="1" t="str">
        <f t="shared" si="2"/>
        <v/>
      </c>
      <c r="J12333" s="1" t="str">
        <f t="shared" si="3"/>
        <v/>
      </c>
      <c r="K12333" s="1" t="str">
        <f t="shared" si="4"/>
        <v/>
      </c>
    </row>
    <row r="12334" hidden="1">
      <c r="F12334" s="1" t="str">
        <f t="shared" si="1"/>
        <v/>
      </c>
      <c r="G12334" s="1" t="str">
        <f t="shared" si="2"/>
        <v/>
      </c>
      <c r="J12334" s="1" t="str">
        <f t="shared" si="3"/>
        <v/>
      </c>
      <c r="K12334" s="1" t="str">
        <f t="shared" si="4"/>
        <v/>
      </c>
    </row>
    <row r="12335" hidden="1">
      <c r="F12335" s="1" t="str">
        <f t="shared" si="1"/>
        <v/>
      </c>
      <c r="G12335" s="1" t="str">
        <f t="shared" si="2"/>
        <v/>
      </c>
      <c r="J12335" s="1" t="str">
        <f t="shared" si="3"/>
        <v/>
      </c>
      <c r="K12335" s="1" t="str">
        <f t="shared" si="4"/>
        <v/>
      </c>
    </row>
    <row r="12336" hidden="1">
      <c r="F12336" s="1" t="str">
        <f t="shared" si="1"/>
        <v/>
      </c>
      <c r="G12336" s="1" t="str">
        <f t="shared" si="2"/>
        <v/>
      </c>
      <c r="J12336" s="1" t="str">
        <f t="shared" si="3"/>
        <v/>
      </c>
      <c r="K12336" s="1" t="str">
        <f t="shared" si="4"/>
        <v/>
      </c>
    </row>
    <row r="12337" hidden="1">
      <c r="F12337" s="1" t="str">
        <f t="shared" si="1"/>
        <v/>
      </c>
      <c r="G12337" s="1" t="str">
        <f t="shared" si="2"/>
        <v/>
      </c>
      <c r="J12337" s="1" t="str">
        <f t="shared" si="3"/>
        <v/>
      </c>
      <c r="K12337" s="1" t="str">
        <f t="shared" si="4"/>
        <v/>
      </c>
    </row>
    <row r="12338" hidden="1">
      <c r="F12338" s="1" t="str">
        <f t="shared" si="1"/>
        <v/>
      </c>
      <c r="G12338" s="1" t="str">
        <f t="shared" si="2"/>
        <v/>
      </c>
      <c r="J12338" s="1" t="str">
        <f t="shared" si="3"/>
        <v/>
      </c>
      <c r="K12338" s="1" t="str">
        <f t="shared" si="4"/>
        <v/>
      </c>
    </row>
    <row r="12339" hidden="1">
      <c r="F12339" s="1" t="str">
        <f t="shared" si="1"/>
        <v/>
      </c>
      <c r="G12339" s="1" t="str">
        <f t="shared" si="2"/>
        <v/>
      </c>
      <c r="J12339" s="1" t="str">
        <f t="shared" si="3"/>
        <v/>
      </c>
      <c r="K12339" s="1" t="str">
        <f t="shared" si="4"/>
        <v/>
      </c>
    </row>
    <row r="12340" hidden="1">
      <c r="F12340" s="1" t="str">
        <f t="shared" si="1"/>
        <v/>
      </c>
      <c r="G12340" s="1" t="str">
        <f t="shared" si="2"/>
        <v/>
      </c>
      <c r="J12340" s="1" t="str">
        <f t="shared" si="3"/>
        <v/>
      </c>
      <c r="K12340" s="1" t="str">
        <f t="shared" si="4"/>
        <v/>
      </c>
    </row>
    <row r="12341" hidden="1">
      <c r="F12341" s="1" t="str">
        <f t="shared" si="1"/>
        <v/>
      </c>
      <c r="G12341" s="1" t="str">
        <f t="shared" si="2"/>
        <v/>
      </c>
      <c r="J12341" s="1" t="str">
        <f t="shared" si="3"/>
        <v/>
      </c>
      <c r="K12341" s="1" t="str">
        <f t="shared" si="4"/>
        <v/>
      </c>
    </row>
    <row r="12342" hidden="1">
      <c r="F12342" s="1" t="str">
        <f t="shared" si="1"/>
        <v/>
      </c>
      <c r="G12342" s="1" t="str">
        <f t="shared" si="2"/>
        <v/>
      </c>
      <c r="J12342" s="1" t="str">
        <f t="shared" si="3"/>
        <v/>
      </c>
      <c r="K12342" s="1" t="str">
        <f t="shared" si="4"/>
        <v/>
      </c>
    </row>
    <row r="12343" hidden="1">
      <c r="F12343" s="1" t="str">
        <f t="shared" si="1"/>
        <v/>
      </c>
      <c r="G12343" s="1" t="str">
        <f t="shared" si="2"/>
        <v/>
      </c>
      <c r="J12343" s="1" t="str">
        <f t="shared" si="3"/>
        <v/>
      </c>
      <c r="K12343" s="1" t="str">
        <f t="shared" si="4"/>
        <v/>
      </c>
    </row>
    <row r="12344" hidden="1">
      <c r="F12344" s="1" t="str">
        <f t="shared" si="1"/>
        <v/>
      </c>
      <c r="G12344" s="1" t="str">
        <f t="shared" si="2"/>
        <v/>
      </c>
      <c r="J12344" s="1" t="str">
        <f t="shared" si="3"/>
        <v/>
      </c>
      <c r="K12344" s="1" t="str">
        <f t="shared" si="4"/>
        <v/>
      </c>
    </row>
    <row r="12345" hidden="1">
      <c r="F12345" s="1" t="str">
        <f t="shared" si="1"/>
        <v/>
      </c>
      <c r="G12345" s="1" t="str">
        <f t="shared" si="2"/>
        <v/>
      </c>
      <c r="J12345" s="1" t="str">
        <f t="shared" si="3"/>
        <v/>
      </c>
      <c r="K12345" s="1" t="str">
        <f t="shared" si="4"/>
        <v/>
      </c>
    </row>
    <row r="12346" hidden="1">
      <c r="F12346" s="1" t="str">
        <f t="shared" si="1"/>
        <v/>
      </c>
      <c r="G12346" s="1" t="str">
        <f t="shared" si="2"/>
        <v/>
      </c>
      <c r="J12346" s="1" t="str">
        <f t="shared" si="3"/>
        <v/>
      </c>
      <c r="K12346" s="1" t="str">
        <f t="shared" si="4"/>
        <v/>
      </c>
    </row>
    <row r="12347" hidden="1">
      <c r="F12347" s="1" t="str">
        <f t="shared" si="1"/>
        <v/>
      </c>
      <c r="G12347" s="1" t="str">
        <f t="shared" si="2"/>
        <v/>
      </c>
      <c r="J12347" s="1" t="str">
        <f t="shared" si="3"/>
        <v/>
      </c>
      <c r="K12347" s="1" t="str">
        <f t="shared" si="4"/>
        <v/>
      </c>
    </row>
    <row r="12348" hidden="1">
      <c r="F12348" s="1" t="str">
        <f t="shared" si="1"/>
        <v/>
      </c>
      <c r="G12348" s="1" t="str">
        <f t="shared" si="2"/>
        <v/>
      </c>
      <c r="J12348" s="1" t="str">
        <f t="shared" si="3"/>
        <v/>
      </c>
      <c r="K12348" s="1" t="str">
        <f t="shared" si="4"/>
        <v/>
      </c>
    </row>
    <row r="12349" hidden="1">
      <c r="F12349" s="1" t="str">
        <f t="shared" si="1"/>
        <v/>
      </c>
      <c r="G12349" s="1" t="str">
        <f t="shared" si="2"/>
        <v/>
      </c>
      <c r="J12349" s="1" t="str">
        <f t="shared" si="3"/>
        <v/>
      </c>
      <c r="K12349" s="1" t="str">
        <f t="shared" si="4"/>
        <v/>
      </c>
    </row>
    <row r="12350" hidden="1">
      <c r="F12350" s="1" t="str">
        <f t="shared" si="1"/>
        <v/>
      </c>
      <c r="G12350" s="1" t="str">
        <f t="shared" si="2"/>
        <v/>
      </c>
      <c r="J12350" s="1" t="str">
        <f t="shared" si="3"/>
        <v/>
      </c>
      <c r="K12350" s="1" t="str">
        <f t="shared" si="4"/>
        <v/>
      </c>
    </row>
    <row r="12351" hidden="1">
      <c r="F12351" s="1" t="str">
        <f t="shared" si="1"/>
        <v/>
      </c>
      <c r="G12351" s="1" t="str">
        <f t="shared" si="2"/>
        <v/>
      </c>
      <c r="J12351" s="1" t="str">
        <f t="shared" si="3"/>
        <v/>
      </c>
      <c r="K12351" s="1" t="str">
        <f t="shared" si="4"/>
        <v/>
      </c>
    </row>
    <row r="12352" hidden="1">
      <c r="F12352" s="1" t="str">
        <f t="shared" si="1"/>
        <v/>
      </c>
      <c r="G12352" s="1" t="str">
        <f t="shared" si="2"/>
        <v/>
      </c>
      <c r="J12352" s="1" t="str">
        <f t="shared" si="3"/>
        <v/>
      </c>
      <c r="K12352" s="1" t="str">
        <f t="shared" si="4"/>
        <v/>
      </c>
    </row>
    <row r="12353" hidden="1">
      <c r="F12353" s="1" t="str">
        <f t="shared" si="1"/>
        <v/>
      </c>
      <c r="G12353" s="1" t="str">
        <f t="shared" si="2"/>
        <v/>
      </c>
      <c r="J12353" s="1" t="str">
        <f t="shared" si="3"/>
        <v/>
      </c>
      <c r="K12353" s="1" t="str">
        <f t="shared" si="4"/>
        <v/>
      </c>
    </row>
    <row r="12354" hidden="1">
      <c r="F12354" s="1" t="str">
        <f t="shared" si="1"/>
        <v/>
      </c>
      <c r="G12354" s="1" t="str">
        <f t="shared" si="2"/>
        <v/>
      </c>
      <c r="J12354" s="1" t="str">
        <f t="shared" si="3"/>
        <v/>
      </c>
      <c r="K12354" s="1" t="str">
        <f t="shared" si="4"/>
        <v/>
      </c>
    </row>
    <row r="12355" hidden="1">
      <c r="F12355" s="1" t="str">
        <f t="shared" si="1"/>
        <v/>
      </c>
      <c r="G12355" s="1" t="str">
        <f t="shared" si="2"/>
        <v/>
      </c>
      <c r="J12355" s="1" t="str">
        <f t="shared" si="3"/>
        <v/>
      </c>
      <c r="K12355" s="1" t="str">
        <f t="shared" si="4"/>
        <v/>
      </c>
    </row>
    <row r="12356" hidden="1">
      <c r="F12356" s="1" t="str">
        <f t="shared" si="1"/>
        <v/>
      </c>
      <c r="G12356" s="1" t="str">
        <f t="shared" si="2"/>
        <v/>
      </c>
      <c r="J12356" s="1" t="str">
        <f t="shared" si="3"/>
        <v/>
      </c>
      <c r="K12356" s="1" t="str">
        <f t="shared" si="4"/>
        <v/>
      </c>
    </row>
    <row r="12357" hidden="1">
      <c r="F12357" s="1" t="str">
        <f t="shared" si="1"/>
        <v/>
      </c>
      <c r="G12357" s="1" t="str">
        <f t="shared" si="2"/>
        <v/>
      </c>
      <c r="J12357" s="1" t="str">
        <f t="shared" si="3"/>
        <v/>
      </c>
      <c r="K12357" s="1" t="str">
        <f t="shared" si="4"/>
        <v/>
      </c>
    </row>
    <row r="12358" hidden="1">
      <c r="F12358" s="1" t="str">
        <f t="shared" si="1"/>
        <v/>
      </c>
      <c r="G12358" s="1" t="str">
        <f t="shared" si="2"/>
        <v/>
      </c>
      <c r="J12358" s="1" t="str">
        <f t="shared" si="3"/>
        <v/>
      </c>
      <c r="K12358" s="1" t="str">
        <f t="shared" si="4"/>
        <v/>
      </c>
    </row>
    <row r="12359" hidden="1">
      <c r="F12359" s="1" t="str">
        <f t="shared" si="1"/>
        <v/>
      </c>
      <c r="G12359" s="1" t="str">
        <f t="shared" si="2"/>
        <v/>
      </c>
      <c r="J12359" s="1" t="str">
        <f t="shared" si="3"/>
        <v/>
      </c>
      <c r="K12359" s="1" t="str">
        <f t="shared" si="4"/>
        <v/>
      </c>
    </row>
    <row r="12360" hidden="1">
      <c r="F12360" s="1" t="str">
        <f t="shared" si="1"/>
        <v/>
      </c>
      <c r="G12360" s="1" t="str">
        <f t="shared" si="2"/>
        <v/>
      </c>
      <c r="J12360" s="1" t="str">
        <f t="shared" si="3"/>
        <v/>
      </c>
      <c r="K12360" s="1" t="str">
        <f t="shared" si="4"/>
        <v/>
      </c>
    </row>
    <row r="12361" hidden="1">
      <c r="F12361" s="1" t="str">
        <f t="shared" si="1"/>
        <v/>
      </c>
      <c r="G12361" s="1" t="str">
        <f t="shared" si="2"/>
        <v/>
      </c>
      <c r="J12361" s="1" t="str">
        <f t="shared" si="3"/>
        <v/>
      </c>
      <c r="K12361" s="1" t="str">
        <f t="shared" si="4"/>
        <v/>
      </c>
    </row>
    <row r="12362" hidden="1">
      <c r="F12362" s="1" t="str">
        <f t="shared" si="1"/>
        <v/>
      </c>
      <c r="G12362" s="1" t="str">
        <f t="shared" si="2"/>
        <v/>
      </c>
      <c r="J12362" s="1" t="str">
        <f t="shared" si="3"/>
        <v/>
      </c>
      <c r="K12362" s="1" t="str">
        <f t="shared" si="4"/>
        <v/>
      </c>
    </row>
    <row r="12363" hidden="1">
      <c r="F12363" s="1" t="str">
        <f t="shared" si="1"/>
        <v/>
      </c>
      <c r="G12363" s="1" t="str">
        <f t="shared" si="2"/>
        <v/>
      </c>
      <c r="J12363" s="1" t="str">
        <f t="shared" si="3"/>
        <v/>
      </c>
      <c r="K12363" s="1" t="str">
        <f t="shared" si="4"/>
        <v/>
      </c>
    </row>
    <row r="12364" hidden="1">
      <c r="F12364" s="1" t="str">
        <f t="shared" si="1"/>
        <v/>
      </c>
      <c r="G12364" s="1" t="str">
        <f t="shared" si="2"/>
        <v/>
      </c>
      <c r="J12364" s="1" t="str">
        <f t="shared" si="3"/>
        <v/>
      </c>
      <c r="K12364" s="1" t="str">
        <f t="shared" si="4"/>
        <v/>
      </c>
    </row>
    <row r="12365" hidden="1">
      <c r="F12365" s="1" t="str">
        <f t="shared" si="1"/>
        <v/>
      </c>
      <c r="G12365" s="1" t="str">
        <f t="shared" si="2"/>
        <v/>
      </c>
      <c r="J12365" s="1" t="str">
        <f t="shared" si="3"/>
        <v/>
      </c>
      <c r="K12365" s="1" t="str">
        <f t="shared" si="4"/>
        <v/>
      </c>
    </row>
    <row r="12366" hidden="1">
      <c r="F12366" s="1" t="str">
        <f t="shared" si="1"/>
        <v/>
      </c>
      <c r="G12366" s="1" t="str">
        <f t="shared" si="2"/>
        <v/>
      </c>
      <c r="J12366" s="1" t="str">
        <f t="shared" si="3"/>
        <v/>
      </c>
      <c r="K12366" s="1" t="str">
        <f t="shared" si="4"/>
        <v/>
      </c>
    </row>
    <row r="12367" hidden="1">
      <c r="F12367" s="1" t="str">
        <f t="shared" si="1"/>
        <v/>
      </c>
      <c r="G12367" s="1" t="str">
        <f t="shared" si="2"/>
        <v/>
      </c>
      <c r="J12367" s="1" t="str">
        <f t="shared" si="3"/>
        <v/>
      </c>
      <c r="K12367" s="1" t="str">
        <f t="shared" si="4"/>
        <v/>
      </c>
    </row>
    <row r="12368" hidden="1">
      <c r="F12368" s="1" t="str">
        <f t="shared" si="1"/>
        <v/>
      </c>
      <c r="G12368" s="1" t="str">
        <f t="shared" si="2"/>
        <v/>
      </c>
      <c r="J12368" s="1" t="str">
        <f t="shared" si="3"/>
        <v/>
      </c>
      <c r="K12368" s="1" t="str">
        <f t="shared" si="4"/>
        <v/>
      </c>
    </row>
    <row r="12369" hidden="1">
      <c r="F12369" s="1" t="str">
        <f t="shared" si="1"/>
        <v/>
      </c>
      <c r="G12369" s="1" t="str">
        <f t="shared" si="2"/>
        <v/>
      </c>
      <c r="J12369" s="1" t="str">
        <f t="shared" si="3"/>
        <v/>
      </c>
      <c r="K12369" s="1" t="str">
        <f t="shared" si="4"/>
        <v/>
      </c>
    </row>
    <row r="12370" hidden="1">
      <c r="F12370" s="1" t="str">
        <f t="shared" si="1"/>
        <v/>
      </c>
      <c r="G12370" s="1" t="str">
        <f t="shared" si="2"/>
        <v/>
      </c>
      <c r="J12370" s="1" t="str">
        <f t="shared" si="3"/>
        <v/>
      </c>
      <c r="K12370" s="1" t="str">
        <f t="shared" si="4"/>
        <v/>
      </c>
    </row>
    <row r="12371" hidden="1">
      <c r="F12371" s="1" t="str">
        <f t="shared" si="1"/>
        <v/>
      </c>
      <c r="G12371" s="1" t="str">
        <f t="shared" si="2"/>
        <v/>
      </c>
      <c r="J12371" s="1" t="str">
        <f t="shared" si="3"/>
        <v/>
      </c>
      <c r="K12371" s="1" t="str">
        <f t="shared" si="4"/>
        <v/>
      </c>
    </row>
    <row r="12372" hidden="1">
      <c r="F12372" s="1" t="str">
        <f t="shared" si="1"/>
        <v/>
      </c>
      <c r="G12372" s="1" t="str">
        <f t="shared" si="2"/>
        <v/>
      </c>
      <c r="J12372" s="1" t="str">
        <f t="shared" si="3"/>
        <v/>
      </c>
      <c r="K12372" s="1" t="str">
        <f t="shared" si="4"/>
        <v/>
      </c>
    </row>
    <row r="12373" hidden="1">
      <c r="F12373" s="1" t="str">
        <f t="shared" si="1"/>
        <v/>
      </c>
      <c r="G12373" s="1" t="str">
        <f t="shared" si="2"/>
        <v/>
      </c>
      <c r="J12373" s="1" t="str">
        <f t="shared" si="3"/>
        <v/>
      </c>
      <c r="K12373" s="1" t="str">
        <f t="shared" si="4"/>
        <v/>
      </c>
    </row>
    <row r="12374" hidden="1">
      <c r="F12374" s="1" t="str">
        <f t="shared" si="1"/>
        <v/>
      </c>
      <c r="G12374" s="1" t="str">
        <f t="shared" si="2"/>
        <v/>
      </c>
      <c r="J12374" s="1" t="str">
        <f t="shared" si="3"/>
        <v/>
      </c>
      <c r="K12374" s="1" t="str">
        <f t="shared" si="4"/>
        <v/>
      </c>
    </row>
    <row r="12375" hidden="1">
      <c r="F12375" s="1" t="str">
        <f t="shared" si="1"/>
        <v/>
      </c>
      <c r="G12375" s="1" t="str">
        <f t="shared" si="2"/>
        <v/>
      </c>
      <c r="J12375" s="1" t="str">
        <f t="shared" si="3"/>
        <v/>
      </c>
      <c r="K12375" s="1" t="str">
        <f t="shared" si="4"/>
        <v/>
      </c>
    </row>
    <row r="12376" hidden="1">
      <c r="F12376" s="1" t="str">
        <f t="shared" si="1"/>
        <v/>
      </c>
      <c r="G12376" s="1" t="str">
        <f t="shared" si="2"/>
        <v/>
      </c>
      <c r="J12376" s="1" t="str">
        <f t="shared" si="3"/>
        <v/>
      </c>
      <c r="K12376" s="1" t="str">
        <f t="shared" si="4"/>
        <v/>
      </c>
    </row>
    <row r="12377" hidden="1">
      <c r="F12377" s="1" t="str">
        <f t="shared" si="1"/>
        <v/>
      </c>
      <c r="G12377" s="1" t="str">
        <f t="shared" si="2"/>
        <v/>
      </c>
      <c r="J12377" s="1" t="str">
        <f t="shared" si="3"/>
        <v/>
      </c>
      <c r="K12377" s="1" t="str">
        <f t="shared" si="4"/>
        <v/>
      </c>
    </row>
    <row r="12378" hidden="1">
      <c r="F12378" s="1" t="str">
        <f t="shared" si="1"/>
        <v/>
      </c>
      <c r="G12378" s="1" t="str">
        <f t="shared" si="2"/>
        <v/>
      </c>
      <c r="J12378" s="1" t="str">
        <f t="shared" si="3"/>
        <v/>
      </c>
      <c r="K12378" s="1" t="str">
        <f t="shared" si="4"/>
        <v/>
      </c>
    </row>
    <row r="12379" hidden="1">
      <c r="F12379" s="1" t="str">
        <f t="shared" si="1"/>
        <v/>
      </c>
      <c r="G12379" s="1" t="str">
        <f t="shared" si="2"/>
        <v/>
      </c>
      <c r="J12379" s="1" t="str">
        <f t="shared" si="3"/>
        <v/>
      </c>
      <c r="K12379" s="1" t="str">
        <f t="shared" si="4"/>
        <v/>
      </c>
    </row>
    <row r="12380" hidden="1">
      <c r="F12380" s="1" t="str">
        <f t="shared" si="1"/>
        <v/>
      </c>
      <c r="G12380" s="1" t="str">
        <f t="shared" si="2"/>
        <v/>
      </c>
      <c r="J12380" s="1" t="str">
        <f t="shared" si="3"/>
        <v/>
      </c>
      <c r="K12380" s="1" t="str">
        <f t="shared" si="4"/>
        <v/>
      </c>
    </row>
    <row r="12381" hidden="1">
      <c r="F12381" s="1" t="str">
        <f t="shared" si="1"/>
        <v/>
      </c>
      <c r="G12381" s="1" t="str">
        <f t="shared" si="2"/>
        <v/>
      </c>
      <c r="J12381" s="1" t="str">
        <f t="shared" si="3"/>
        <v/>
      </c>
      <c r="K12381" s="1" t="str">
        <f t="shared" si="4"/>
        <v/>
      </c>
    </row>
    <row r="12382" hidden="1">
      <c r="F12382" s="1" t="str">
        <f t="shared" si="1"/>
        <v/>
      </c>
      <c r="G12382" s="1" t="str">
        <f t="shared" si="2"/>
        <v/>
      </c>
      <c r="J12382" s="1" t="str">
        <f t="shared" si="3"/>
        <v/>
      </c>
      <c r="K12382" s="1" t="str">
        <f t="shared" si="4"/>
        <v/>
      </c>
    </row>
    <row r="12383" hidden="1">
      <c r="F12383" s="1" t="str">
        <f t="shared" si="1"/>
        <v/>
      </c>
      <c r="G12383" s="1" t="str">
        <f t="shared" si="2"/>
        <v/>
      </c>
      <c r="J12383" s="1" t="str">
        <f t="shared" si="3"/>
        <v/>
      </c>
      <c r="K12383" s="1" t="str">
        <f t="shared" si="4"/>
        <v/>
      </c>
    </row>
    <row r="12384" hidden="1">
      <c r="F12384" s="1" t="str">
        <f t="shared" si="1"/>
        <v/>
      </c>
      <c r="G12384" s="1" t="str">
        <f t="shared" si="2"/>
        <v/>
      </c>
      <c r="J12384" s="1" t="str">
        <f t="shared" si="3"/>
        <v/>
      </c>
      <c r="K12384" s="1" t="str">
        <f t="shared" si="4"/>
        <v/>
      </c>
    </row>
    <row r="12385" hidden="1">
      <c r="F12385" s="1" t="str">
        <f t="shared" si="1"/>
        <v/>
      </c>
      <c r="G12385" s="1" t="str">
        <f t="shared" si="2"/>
        <v/>
      </c>
      <c r="J12385" s="1" t="str">
        <f t="shared" si="3"/>
        <v/>
      </c>
      <c r="K12385" s="1" t="str">
        <f t="shared" si="4"/>
        <v/>
      </c>
    </row>
    <row r="12386" hidden="1">
      <c r="F12386" s="1" t="str">
        <f t="shared" si="1"/>
        <v/>
      </c>
      <c r="G12386" s="1" t="str">
        <f t="shared" si="2"/>
        <v/>
      </c>
      <c r="J12386" s="1" t="str">
        <f t="shared" si="3"/>
        <v/>
      </c>
      <c r="K12386" s="1" t="str">
        <f t="shared" si="4"/>
        <v/>
      </c>
    </row>
    <row r="12387" hidden="1">
      <c r="F12387" s="1" t="str">
        <f t="shared" si="1"/>
        <v/>
      </c>
      <c r="G12387" s="1" t="str">
        <f t="shared" si="2"/>
        <v/>
      </c>
      <c r="J12387" s="1" t="str">
        <f t="shared" si="3"/>
        <v/>
      </c>
      <c r="K12387" s="1" t="str">
        <f t="shared" si="4"/>
        <v/>
      </c>
    </row>
    <row r="12388" hidden="1">
      <c r="F12388" s="1" t="str">
        <f t="shared" si="1"/>
        <v/>
      </c>
      <c r="G12388" s="1" t="str">
        <f t="shared" si="2"/>
        <v/>
      </c>
      <c r="J12388" s="1" t="str">
        <f t="shared" si="3"/>
        <v/>
      </c>
      <c r="K12388" s="1" t="str">
        <f t="shared" si="4"/>
        <v/>
      </c>
    </row>
    <row r="12389" hidden="1">
      <c r="F12389" s="1" t="str">
        <f t="shared" si="1"/>
        <v/>
      </c>
      <c r="G12389" s="1" t="str">
        <f t="shared" si="2"/>
        <v/>
      </c>
      <c r="J12389" s="1" t="str">
        <f t="shared" si="3"/>
        <v/>
      </c>
      <c r="K12389" s="1" t="str">
        <f t="shared" si="4"/>
        <v/>
      </c>
    </row>
    <row r="12390" hidden="1">
      <c r="F12390" s="1" t="str">
        <f t="shared" si="1"/>
        <v/>
      </c>
      <c r="G12390" s="1" t="str">
        <f t="shared" si="2"/>
        <v/>
      </c>
      <c r="J12390" s="1" t="str">
        <f t="shared" si="3"/>
        <v/>
      </c>
      <c r="K12390" s="1" t="str">
        <f t="shared" si="4"/>
        <v/>
      </c>
    </row>
    <row r="12391" hidden="1">
      <c r="F12391" s="1" t="str">
        <f t="shared" si="1"/>
        <v/>
      </c>
      <c r="G12391" s="1" t="str">
        <f t="shared" si="2"/>
        <v/>
      </c>
      <c r="J12391" s="1" t="str">
        <f t="shared" si="3"/>
        <v/>
      </c>
      <c r="K12391" s="1" t="str">
        <f t="shared" si="4"/>
        <v/>
      </c>
    </row>
    <row r="12392" hidden="1">
      <c r="F12392" s="1" t="str">
        <f t="shared" si="1"/>
        <v/>
      </c>
      <c r="G12392" s="1" t="str">
        <f t="shared" si="2"/>
        <v/>
      </c>
      <c r="J12392" s="1" t="str">
        <f t="shared" si="3"/>
        <v/>
      </c>
      <c r="K12392" s="1" t="str">
        <f t="shared" si="4"/>
        <v/>
      </c>
    </row>
    <row r="12393" hidden="1">
      <c r="F12393" s="1" t="str">
        <f t="shared" si="1"/>
        <v/>
      </c>
      <c r="G12393" s="1" t="str">
        <f t="shared" si="2"/>
        <v/>
      </c>
      <c r="J12393" s="1" t="str">
        <f t="shared" si="3"/>
        <v/>
      </c>
      <c r="K12393" s="1" t="str">
        <f t="shared" si="4"/>
        <v/>
      </c>
    </row>
    <row r="12394" hidden="1">
      <c r="F12394" s="1" t="str">
        <f t="shared" si="1"/>
        <v/>
      </c>
      <c r="G12394" s="1" t="str">
        <f t="shared" si="2"/>
        <v/>
      </c>
      <c r="J12394" s="1" t="str">
        <f t="shared" si="3"/>
        <v/>
      </c>
      <c r="K12394" s="1" t="str">
        <f t="shared" si="4"/>
        <v/>
      </c>
    </row>
    <row r="12395" hidden="1">
      <c r="F12395" s="1" t="str">
        <f t="shared" si="1"/>
        <v/>
      </c>
      <c r="G12395" s="1" t="str">
        <f t="shared" si="2"/>
        <v/>
      </c>
      <c r="J12395" s="1" t="str">
        <f t="shared" si="3"/>
        <v/>
      </c>
      <c r="K12395" s="1" t="str">
        <f t="shared" si="4"/>
        <v/>
      </c>
    </row>
    <row r="12396" hidden="1">
      <c r="F12396" s="1" t="str">
        <f t="shared" si="1"/>
        <v/>
      </c>
      <c r="G12396" s="1" t="str">
        <f t="shared" si="2"/>
        <v/>
      </c>
      <c r="J12396" s="1" t="str">
        <f t="shared" si="3"/>
        <v/>
      </c>
      <c r="K12396" s="1" t="str">
        <f t="shared" si="4"/>
        <v/>
      </c>
    </row>
    <row r="12397" hidden="1">
      <c r="F12397" s="1" t="str">
        <f t="shared" si="1"/>
        <v/>
      </c>
      <c r="G12397" s="1" t="str">
        <f t="shared" si="2"/>
        <v/>
      </c>
      <c r="J12397" s="1" t="str">
        <f t="shared" si="3"/>
        <v/>
      </c>
      <c r="K12397" s="1" t="str">
        <f t="shared" si="4"/>
        <v/>
      </c>
    </row>
    <row r="12398" hidden="1">
      <c r="F12398" s="1" t="str">
        <f t="shared" si="1"/>
        <v/>
      </c>
      <c r="G12398" s="1" t="str">
        <f t="shared" si="2"/>
        <v/>
      </c>
      <c r="J12398" s="1" t="str">
        <f t="shared" si="3"/>
        <v/>
      </c>
      <c r="K12398" s="1" t="str">
        <f t="shared" si="4"/>
        <v/>
      </c>
    </row>
    <row r="12399" hidden="1">
      <c r="F12399" s="1" t="str">
        <f t="shared" si="1"/>
        <v/>
      </c>
      <c r="G12399" s="1" t="str">
        <f t="shared" si="2"/>
        <v/>
      </c>
      <c r="J12399" s="1" t="str">
        <f t="shared" si="3"/>
        <v/>
      </c>
      <c r="K12399" s="1" t="str">
        <f t="shared" si="4"/>
        <v/>
      </c>
    </row>
    <row r="12400" hidden="1">
      <c r="F12400" s="1" t="str">
        <f t="shared" si="1"/>
        <v/>
      </c>
      <c r="G12400" s="1" t="str">
        <f t="shared" si="2"/>
        <v/>
      </c>
      <c r="J12400" s="1" t="str">
        <f t="shared" si="3"/>
        <v/>
      </c>
      <c r="K12400" s="1" t="str">
        <f t="shared" si="4"/>
        <v/>
      </c>
    </row>
    <row r="12401" hidden="1">
      <c r="F12401" s="1" t="str">
        <f t="shared" si="1"/>
        <v/>
      </c>
      <c r="G12401" s="1" t="str">
        <f t="shared" si="2"/>
        <v/>
      </c>
      <c r="J12401" s="1" t="str">
        <f t="shared" si="3"/>
        <v/>
      </c>
      <c r="K12401" s="1" t="str">
        <f t="shared" si="4"/>
        <v/>
      </c>
    </row>
    <row r="12402" hidden="1">
      <c r="F12402" s="1" t="str">
        <f t="shared" si="1"/>
        <v/>
      </c>
      <c r="G12402" s="1" t="str">
        <f t="shared" si="2"/>
        <v/>
      </c>
      <c r="J12402" s="1" t="str">
        <f t="shared" si="3"/>
        <v/>
      </c>
      <c r="K12402" s="1" t="str">
        <f t="shared" si="4"/>
        <v/>
      </c>
    </row>
    <row r="12403" hidden="1">
      <c r="F12403" s="1" t="str">
        <f t="shared" si="1"/>
        <v/>
      </c>
      <c r="G12403" s="1" t="str">
        <f t="shared" si="2"/>
        <v/>
      </c>
      <c r="J12403" s="1" t="str">
        <f t="shared" si="3"/>
        <v/>
      </c>
      <c r="K12403" s="1" t="str">
        <f t="shared" si="4"/>
        <v/>
      </c>
    </row>
    <row r="12404" hidden="1">
      <c r="F12404" s="1" t="str">
        <f t="shared" si="1"/>
        <v/>
      </c>
      <c r="G12404" s="1" t="str">
        <f t="shared" si="2"/>
        <v/>
      </c>
      <c r="J12404" s="1" t="str">
        <f t="shared" si="3"/>
        <v/>
      </c>
      <c r="K12404" s="1" t="str">
        <f t="shared" si="4"/>
        <v/>
      </c>
    </row>
    <row r="12405" hidden="1">
      <c r="F12405" s="1" t="str">
        <f t="shared" si="1"/>
        <v/>
      </c>
      <c r="G12405" s="1" t="str">
        <f t="shared" si="2"/>
        <v/>
      </c>
      <c r="J12405" s="1" t="str">
        <f t="shared" si="3"/>
        <v/>
      </c>
      <c r="K12405" s="1" t="str">
        <f t="shared" si="4"/>
        <v/>
      </c>
    </row>
    <row r="12406" hidden="1">
      <c r="F12406" s="1" t="str">
        <f t="shared" si="1"/>
        <v/>
      </c>
      <c r="G12406" s="1" t="str">
        <f t="shared" si="2"/>
        <v/>
      </c>
      <c r="J12406" s="1" t="str">
        <f t="shared" si="3"/>
        <v/>
      </c>
      <c r="K12406" s="1" t="str">
        <f t="shared" si="4"/>
        <v/>
      </c>
    </row>
    <row r="12407" hidden="1">
      <c r="F12407" s="1" t="str">
        <f t="shared" si="1"/>
        <v/>
      </c>
      <c r="G12407" s="1" t="str">
        <f t="shared" si="2"/>
        <v/>
      </c>
      <c r="J12407" s="1" t="str">
        <f t="shared" si="3"/>
        <v/>
      </c>
      <c r="K12407" s="1" t="str">
        <f t="shared" si="4"/>
        <v/>
      </c>
    </row>
    <row r="12408" hidden="1">
      <c r="F12408" s="1" t="str">
        <f t="shared" si="1"/>
        <v/>
      </c>
      <c r="G12408" s="1" t="str">
        <f t="shared" si="2"/>
        <v/>
      </c>
      <c r="J12408" s="1" t="str">
        <f t="shared" si="3"/>
        <v/>
      </c>
      <c r="K12408" s="1" t="str">
        <f t="shared" si="4"/>
        <v/>
      </c>
    </row>
    <row r="12409" hidden="1">
      <c r="F12409" s="1" t="str">
        <f t="shared" si="1"/>
        <v/>
      </c>
      <c r="G12409" s="1" t="str">
        <f t="shared" si="2"/>
        <v/>
      </c>
      <c r="J12409" s="1" t="str">
        <f t="shared" si="3"/>
        <v/>
      </c>
      <c r="K12409" s="1" t="str">
        <f t="shared" si="4"/>
        <v/>
      </c>
    </row>
    <row r="12410" hidden="1">
      <c r="F12410" s="1" t="str">
        <f t="shared" si="1"/>
        <v/>
      </c>
      <c r="G12410" s="1" t="str">
        <f t="shared" si="2"/>
        <v/>
      </c>
      <c r="J12410" s="1" t="str">
        <f t="shared" si="3"/>
        <v/>
      </c>
      <c r="K12410" s="1" t="str">
        <f t="shared" si="4"/>
        <v/>
      </c>
    </row>
    <row r="12411" hidden="1">
      <c r="F12411" s="1" t="str">
        <f t="shared" si="1"/>
        <v/>
      </c>
      <c r="G12411" s="1" t="str">
        <f t="shared" si="2"/>
        <v/>
      </c>
      <c r="J12411" s="1" t="str">
        <f t="shared" si="3"/>
        <v/>
      </c>
      <c r="K12411" s="1" t="str">
        <f t="shared" si="4"/>
        <v/>
      </c>
    </row>
    <row r="12412" hidden="1">
      <c r="F12412" s="1" t="str">
        <f t="shared" si="1"/>
        <v/>
      </c>
      <c r="G12412" s="1" t="str">
        <f t="shared" si="2"/>
        <v/>
      </c>
      <c r="J12412" s="1" t="str">
        <f t="shared" si="3"/>
        <v/>
      </c>
      <c r="K12412" s="1" t="str">
        <f t="shared" si="4"/>
        <v/>
      </c>
    </row>
    <row r="12413" hidden="1">
      <c r="F12413" s="1" t="str">
        <f t="shared" si="1"/>
        <v/>
      </c>
      <c r="G12413" s="1" t="str">
        <f t="shared" si="2"/>
        <v/>
      </c>
      <c r="J12413" s="1" t="str">
        <f t="shared" si="3"/>
        <v/>
      </c>
      <c r="K12413" s="1" t="str">
        <f t="shared" si="4"/>
        <v/>
      </c>
    </row>
    <row r="12414" hidden="1">
      <c r="F12414" s="1" t="str">
        <f t="shared" si="1"/>
        <v/>
      </c>
      <c r="G12414" s="1" t="str">
        <f t="shared" si="2"/>
        <v/>
      </c>
      <c r="J12414" s="1" t="str">
        <f t="shared" si="3"/>
        <v/>
      </c>
      <c r="K12414" s="1" t="str">
        <f t="shared" si="4"/>
        <v/>
      </c>
    </row>
    <row r="12415" hidden="1">
      <c r="F12415" s="1" t="str">
        <f t="shared" si="1"/>
        <v/>
      </c>
      <c r="G12415" s="1" t="str">
        <f t="shared" si="2"/>
        <v/>
      </c>
      <c r="J12415" s="1" t="str">
        <f t="shared" si="3"/>
        <v/>
      </c>
      <c r="K12415" s="1" t="str">
        <f t="shared" si="4"/>
        <v/>
      </c>
    </row>
    <row r="12416" hidden="1">
      <c r="F12416" s="1" t="str">
        <f t="shared" si="1"/>
        <v/>
      </c>
      <c r="G12416" s="1" t="str">
        <f t="shared" si="2"/>
        <v/>
      </c>
      <c r="J12416" s="1" t="str">
        <f t="shared" si="3"/>
        <v/>
      </c>
      <c r="K12416" s="1" t="str">
        <f t="shared" si="4"/>
        <v/>
      </c>
    </row>
    <row r="12417" hidden="1">
      <c r="F12417" s="1" t="str">
        <f t="shared" si="1"/>
        <v/>
      </c>
      <c r="G12417" s="1" t="str">
        <f t="shared" si="2"/>
        <v/>
      </c>
      <c r="J12417" s="1" t="str">
        <f t="shared" si="3"/>
        <v/>
      </c>
      <c r="K12417" s="1" t="str">
        <f t="shared" si="4"/>
        <v/>
      </c>
    </row>
    <row r="12418" hidden="1">
      <c r="F12418" s="1" t="str">
        <f t="shared" si="1"/>
        <v/>
      </c>
      <c r="G12418" s="1" t="str">
        <f t="shared" si="2"/>
        <v/>
      </c>
      <c r="J12418" s="1" t="str">
        <f t="shared" si="3"/>
        <v/>
      </c>
      <c r="K12418" s="1" t="str">
        <f t="shared" si="4"/>
        <v/>
      </c>
    </row>
    <row r="12419" hidden="1">
      <c r="F12419" s="1" t="str">
        <f t="shared" si="1"/>
        <v/>
      </c>
      <c r="G12419" s="1" t="str">
        <f t="shared" si="2"/>
        <v/>
      </c>
      <c r="J12419" s="1" t="str">
        <f t="shared" si="3"/>
        <v/>
      </c>
      <c r="K12419" s="1" t="str">
        <f t="shared" si="4"/>
        <v/>
      </c>
    </row>
    <row r="12420" hidden="1">
      <c r="F12420" s="1" t="str">
        <f t="shared" si="1"/>
        <v/>
      </c>
      <c r="G12420" s="1" t="str">
        <f t="shared" si="2"/>
        <v/>
      </c>
      <c r="J12420" s="1" t="str">
        <f t="shared" si="3"/>
        <v/>
      </c>
      <c r="K12420" s="1" t="str">
        <f t="shared" si="4"/>
        <v/>
      </c>
    </row>
    <row r="12421" hidden="1">
      <c r="F12421" s="1" t="str">
        <f t="shared" si="1"/>
        <v/>
      </c>
      <c r="G12421" s="1" t="str">
        <f t="shared" si="2"/>
        <v/>
      </c>
      <c r="J12421" s="1" t="str">
        <f t="shared" si="3"/>
        <v/>
      </c>
      <c r="K12421" s="1" t="str">
        <f t="shared" si="4"/>
        <v/>
      </c>
    </row>
    <row r="12422" hidden="1">
      <c r="F12422" s="1" t="str">
        <f t="shared" si="1"/>
        <v/>
      </c>
      <c r="G12422" s="1" t="str">
        <f t="shared" si="2"/>
        <v/>
      </c>
      <c r="J12422" s="1" t="str">
        <f t="shared" si="3"/>
        <v/>
      </c>
      <c r="K12422" s="1" t="str">
        <f t="shared" si="4"/>
        <v/>
      </c>
    </row>
    <row r="12423" hidden="1">
      <c r="F12423" s="1" t="str">
        <f t="shared" si="1"/>
        <v/>
      </c>
      <c r="G12423" s="1" t="str">
        <f t="shared" si="2"/>
        <v/>
      </c>
      <c r="J12423" s="1" t="str">
        <f t="shared" si="3"/>
        <v/>
      </c>
      <c r="K12423" s="1" t="str">
        <f t="shared" si="4"/>
        <v/>
      </c>
    </row>
    <row r="12424" hidden="1">
      <c r="F12424" s="1" t="str">
        <f t="shared" si="1"/>
        <v/>
      </c>
      <c r="G12424" s="1" t="str">
        <f t="shared" si="2"/>
        <v/>
      </c>
      <c r="J12424" s="1" t="str">
        <f t="shared" si="3"/>
        <v/>
      </c>
      <c r="K12424" s="1" t="str">
        <f t="shared" si="4"/>
        <v/>
      </c>
    </row>
    <row r="12425" hidden="1">
      <c r="F12425" s="1" t="str">
        <f t="shared" si="1"/>
        <v/>
      </c>
      <c r="G12425" s="1" t="str">
        <f t="shared" si="2"/>
        <v/>
      </c>
      <c r="J12425" s="1" t="str">
        <f t="shared" si="3"/>
        <v/>
      </c>
      <c r="K12425" s="1" t="str">
        <f t="shared" si="4"/>
        <v/>
      </c>
    </row>
    <row r="12426" hidden="1">
      <c r="F12426" s="1" t="str">
        <f t="shared" si="1"/>
        <v/>
      </c>
      <c r="G12426" s="1" t="str">
        <f t="shared" si="2"/>
        <v/>
      </c>
      <c r="J12426" s="1" t="str">
        <f t="shared" si="3"/>
        <v/>
      </c>
      <c r="K12426" s="1" t="str">
        <f t="shared" si="4"/>
        <v/>
      </c>
    </row>
    <row r="12427" hidden="1">
      <c r="F12427" s="1" t="str">
        <f t="shared" si="1"/>
        <v/>
      </c>
      <c r="G12427" s="1" t="str">
        <f t="shared" si="2"/>
        <v/>
      </c>
      <c r="J12427" s="1" t="str">
        <f t="shared" si="3"/>
        <v/>
      </c>
      <c r="K12427" s="1" t="str">
        <f t="shared" si="4"/>
        <v/>
      </c>
    </row>
    <row r="12428" hidden="1">
      <c r="F12428" s="1" t="str">
        <f t="shared" si="1"/>
        <v/>
      </c>
      <c r="G12428" s="1" t="str">
        <f t="shared" si="2"/>
        <v/>
      </c>
      <c r="J12428" s="1" t="str">
        <f t="shared" si="3"/>
        <v/>
      </c>
      <c r="K12428" s="1" t="str">
        <f t="shared" si="4"/>
        <v/>
      </c>
    </row>
    <row r="12429" hidden="1">
      <c r="F12429" s="1" t="str">
        <f t="shared" si="1"/>
        <v/>
      </c>
      <c r="G12429" s="1" t="str">
        <f t="shared" si="2"/>
        <v/>
      </c>
      <c r="J12429" s="1" t="str">
        <f t="shared" si="3"/>
        <v/>
      </c>
      <c r="K12429" s="1" t="str">
        <f t="shared" si="4"/>
        <v/>
      </c>
    </row>
    <row r="12430" hidden="1">
      <c r="F12430" s="1" t="str">
        <f t="shared" si="1"/>
        <v/>
      </c>
      <c r="G12430" s="1" t="str">
        <f t="shared" si="2"/>
        <v/>
      </c>
      <c r="J12430" s="1" t="str">
        <f t="shared" si="3"/>
        <v/>
      </c>
      <c r="K12430" s="1" t="str">
        <f t="shared" si="4"/>
        <v/>
      </c>
    </row>
    <row r="12431" hidden="1">
      <c r="F12431" s="1" t="str">
        <f t="shared" si="1"/>
        <v/>
      </c>
      <c r="G12431" s="1" t="str">
        <f t="shared" si="2"/>
        <v/>
      </c>
      <c r="J12431" s="1" t="str">
        <f t="shared" si="3"/>
        <v/>
      </c>
      <c r="K12431" s="1" t="str">
        <f t="shared" si="4"/>
        <v/>
      </c>
    </row>
    <row r="12432" hidden="1">
      <c r="F12432" s="1" t="str">
        <f t="shared" si="1"/>
        <v/>
      </c>
      <c r="G12432" s="1" t="str">
        <f t="shared" si="2"/>
        <v/>
      </c>
      <c r="J12432" s="1" t="str">
        <f t="shared" si="3"/>
        <v/>
      </c>
      <c r="K12432" s="1" t="str">
        <f t="shared" si="4"/>
        <v/>
      </c>
    </row>
    <row r="12433" hidden="1">
      <c r="F12433" s="1" t="str">
        <f t="shared" si="1"/>
        <v/>
      </c>
      <c r="G12433" s="1" t="str">
        <f t="shared" si="2"/>
        <v/>
      </c>
      <c r="J12433" s="1" t="str">
        <f t="shared" si="3"/>
        <v/>
      </c>
      <c r="K12433" s="1" t="str">
        <f t="shared" si="4"/>
        <v/>
      </c>
    </row>
    <row r="12434" hidden="1">
      <c r="F12434" s="1" t="str">
        <f t="shared" si="1"/>
        <v/>
      </c>
      <c r="G12434" s="1" t="str">
        <f t="shared" si="2"/>
        <v/>
      </c>
      <c r="J12434" s="1" t="str">
        <f t="shared" si="3"/>
        <v/>
      </c>
      <c r="K12434" s="1" t="str">
        <f t="shared" si="4"/>
        <v/>
      </c>
    </row>
    <row r="12435" hidden="1">
      <c r="F12435" s="1" t="str">
        <f t="shared" si="1"/>
        <v/>
      </c>
      <c r="G12435" s="1" t="str">
        <f t="shared" si="2"/>
        <v/>
      </c>
      <c r="J12435" s="1" t="str">
        <f t="shared" si="3"/>
        <v/>
      </c>
      <c r="K12435" s="1" t="str">
        <f t="shared" si="4"/>
        <v/>
      </c>
    </row>
    <row r="12436" hidden="1">
      <c r="F12436" s="1" t="str">
        <f t="shared" si="1"/>
        <v/>
      </c>
      <c r="G12436" s="1" t="str">
        <f t="shared" si="2"/>
        <v/>
      </c>
      <c r="J12436" s="1" t="str">
        <f t="shared" si="3"/>
        <v/>
      </c>
      <c r="K12436" s="1" t="str">
        <f t="shared" si="4"/>
        <v/>
      </c>
    </row>
    <row r="12437" hidden="1">
      <c r="F12437" s="1" t="str">
        <f t="shared" si="1"/>
        <v/>
      </c>
      <c r="G12437" s="1" t="str">
        <f t="shared" si="2"/>
        <v/>
      </c>
      <c r="J12437" s="1" t="str">
        <f t="shared" si="3"/>
        <v/>
      </c>
      <c r="K12437" s="1" t="str">
        <f t="shared" si="4"/>
        <v/>
      </c>
    </row>
    <row r="12438" hidden="1">
      <c r="F12438" s="1" t="str">
        <f t="shared" si="1"/>
        <v/>
      </c>
      <c r="G12438" s="1" t="str">
        <f t="shared" si="2"/>
        <v/>
      </c>
      <c r="J12438" s="1" t="str">
        <f t="shared" si="3"/>
        <v/>
      </c>
      <c r="K12438" s="1" t="str">
        <f t="shared" si="4"/>
        <v/>
      </c>
    </row>
    <row r="12439" hidden="1">
      <c r="F12439" s="1" t="str">
        <f t="shared" si="1"/>
        <v/>
      </c>
      <c r="G12439" s="1" t="str">
        <f t="shared" si="2"/>
        <v/>
      </c>
      <c r="J12439" s="1" t="str">
        <f t="shared" si="3"/>
        <v/>
      </c>
      <c r="K12439" s="1" t="str">
        <f t="shared" si="4"/>
        <v/>
      </c>
    </row>
    <row r="12440" hidden="1">
      <c r="F12440" s="1" t="str">
        <f t="shared" si="1"/>
        <v/>
      </c>
      <c r="G12440" s="1" t="str">
        <f t="shared" si="2"/>
        <v/>
      </c>
      <c r="J12440" s="1" t="str">
        <f t="shared" si="3"/>
        <v/>
      </c>
      <c r="K12440" s="1" t="str">
        <f t="shared" si="4"/>
        <v/>
      </c>
    </row>
    <row r="12441" hidden="1">
      <c r="F12441" s="1" t="str">
        <f t="shared" si="1"/>
        <v/>
      </c>
      <c r="G12441" s="1" t="str">
        <f t="shared" si="2"/>
        <v/>
      </c>
      <c r="J12441" s="1" t="str">
        <f t="shared" si="3"/>
        <v/>
      </c>
      <c r="K12441" s="1" t="str">
        <f t="shared" si="4"/>
        <v/>
      </c>
    </row>
    <row r="12442" hidden="1">
      <c r="F12442" s="1" t="str">
        <f t="shared" si="1"/>
        <v/>
      </c>
      <c r="G12442" s="1" t="str">
        <f t="shared" si="2"/>
        <v/>
      </c>
      <c r="J12442" s="1" t="str">
        <f t="shared" si="3"/>
        <v/>
      </c>
      <c r="K12442" s="1" t="str">
        <f t="shared" si="4"/>
        <v/>
      </c>
    </row>
    <row r="12443" hidden="1">
      <c r="F12443" s="1" t="str">
        <f t="shared" si="1"/>
        <v/>
      </c>
      <c r="G12443" s="1" t="str">
        <f t="shared" si="2"/>
        <v/>
      </c>
      <c r="J12443" s="1" t="str">
        <f t="shared" si="3"/>
        <v/>
      </c>
      <c r="K12443" s="1" t="str">
        <f t="shared" si="4"/>
        <v/>
      </c>
    </row>
    <row r="12444" hidden="1">
      <c r="F12444" s="1" t="str">
        <f t="shared" si="1"/>
        <v/>
      </c>
      <c r="G12444" s="1" t="str">
        <f t="shared" si="2"/>
        <v/>
      </c>
      <c r="J12444" s="1" t="str">
        <f t="shared" si="3"/>
        <v/>
      </c>
      <c r="K12444" s="1" t="str">
        <f t="shared" si="4"/>
        <v/>
      </c>
    </row>
    <row r="12445" hidden="1">
      <c r="F12445" s="1" t="str">
        <f t="shared" si="1"/>
        <v/>
      </c>
      <c r="G12445" s="1" t="str">
        <f t="shared" si="2"/>
        <v/>
      </c>
      <c r="J12445" s="1" t="str">
        <f t="shared" si="3"/>
        <v/>
      </c>
      <c r="K12445" s="1" t="str">
        <f t="shared" si="4"/>
        <v/>
      </c>
    </row>
    <row r="12446" hidden="1">
      <c r="F12446" s="1" t="str">
        <f t="shared" si="1"/>
        <v/>
      </c>
      <c r="G12446" s="1" t="str">
        <f t="shared" si="2"/>
        <v/>
      </c>
      <c r="J12446" s="1" t="str">
        <f t="shared" si="3"/>
        <v/>
      </c>
      <c r="K12446" s="1" t="str">
        <f t="shared" si="4"/>
        <v/>
      </c>
    </row>
    <row r="12447" hidden="1">
      <c r="F12447" s="1" t="str">
        <f t="shared" si="1"/>
        <v/>
      </c>
      <c r="G12447" s="1" t="str">
        <f t="shared" si="2"/>
        <v/>
      </c>
      <c r="J12447" s="1" t="str">
        <f t="shared" si="3"/>
        <v/>
      </c>
      <c r="K12447" s="1" t="str">
        <f t="shared" si="4"/>
        <v/>
      </c>
    </row>
    <row r="12448" hidden="1">
      <c r="F12448" s="1" t="str">
        <f t="shared" si="1"/>
        <v/>
      </c>
      <c r="G12448" s="1" t="str">
        <f t="shared" si="2"/>
        <v/>
      </c>
      <c r="J12448" s="1" t="str">
        <f t="shared" si="3"/>
        <v/>
      </c>
      <c r="K12448" s="1" t="str">
        <f t="shared" si="4"/>
        <v/>
      </c>
    </row>
    <row r="12449" hidden="1">
      <c r="F12449" s="1" t="str">
        <f t="shared" si="1"/>
        <v/>
      </c>
      <c r="G12449" s="1" t="str">
        <f t="shared" si="2"/>
        <v/>
      </c>
      <c r="J12449" s="1" t="str">
        <f t="shared" si="3"/>
        <v/>
      </c>
      <c r="K12449" s="1" t="str">
        <f t="shared" si="4"/>
        <v/>
      </c>
    </row>
    <row r="12450" hidden="1">
      <c r="F12450" s="1" t="str">
        <f t="shared" si="1"/>
        <v/>
      </c>
      <c r="G12450" s="1" t="str">
        <f t="shared" si="2"/>
        <v/>
      </c>
      <c r="J12450" s="1" t="str">
        <f t="shared" si="3"/>
        <v/>
      </c>
      <c r="K12450" s="1" t="str">
        <f t="shared" si="4"/>
        <v/>
      </c>
    </row>
    <row r="12451" hidden="1">
      <c r="F12451" s="1" t="str">
        <f t="shared" si="1"/>
        <v/>
      </c>
      <c r="G12451" s="1" t="str">
        <f t="shared" si="2"/>
        <v/>
      </c>
      <c r="J12451" s="1" t="str">
        <f t="shared" si="3"/>
        <v/>
      </c>
      <c r="K12451" s="1" t="str">
        <f t="shared" si="4"/>
        <v/>
      </c>
    </row>
    <row r="12452" hidden="1">
      <c r="F12452" s="1" t="str">
        <f t="shared" si="1"/>
        <v/>
      </c>
      <c r="G12452" s="1" t="str">
        <f t="shared" si="2"/>
        <v/>
      </c>
      <c r="J12452" s="1" t="str">
        <f t="shared" si="3"/>
        <v/>
      </c>
      <c r="K12452" s="1" t="str">
        <f t="shared" si="4"/>
        <v/>
      </c>
    </row>
    <row r="12453" hidden="1">
      <c r="F12453" s="1" t="str">
        <f t="shared" si="1"/>
        <v/>
      </c>
      <c r="G12453" s="1" t="str">
        <f t="shared" si="2"/>
        <v/>
      </c>
      <c r="J12453" s="1" t="str">
        <f t="shared" si="3"/>
        <v/>
      </c>
      <c r="K12453" s="1" t="str">
        <f t="shared" si="4"/>
        <v/>
      </c>
    </row>
    <row r="12454" hidden="1">
      <c r="F12454" s="1" t="str">
        <f t="shared" si="1"/>
        <v/>
      </c>
      <c r="G12454" s="1" t="str">
        <f t="shared" si="2"/>
        <v/>
      </c>
      <c r="J12454" s="1" t="str">
        <f t="shared" si="3"/>
        <v/>
      </c>
      <c r="K12454" s="1" t="str">
        <f t="shared" si="4"/>
        <v/>
      </c>
    </row>
    <row r="12455" hidden="1">
      <c r="F12455" s="1" t="str">
        <f t="shared" si="1"/>
        <v/>
      </c>
      <c r="G12455" s="1" t="str">
        <f t="shared" si="2"/>
        <v/>
      </c>
      <c r="J12455" s="1" t="str">
        <f t="shared" si="3"/>
        <v/>
      </c>
      <c r="K12455" s="1" t="str">
        <f t="shared" si="4"/>
        <v/>
      </c>
    </row>
    <row r="12456" hidden="1">
      <c r="F12456" s="1" t="str">
        <f t="shared" si="1"/>
        <v/>
      </c>
      <c r="G12456" s="1" t="str">
        <f t="shared" si="2"/>
        <v/>
      </c>
      <c r="J12456" s="1" t="str">
        <f t="shared" si="3"/>
        <v/>
      </c>
      <c r="K12456" s="1" t="str">
        <f t="shared" si="4"/>
        <v/>
      </c>
    </row>
    <row r="12457" hidden="1">
      <c r="F12457" s="1" t="str">
        <f t="shared" si="1"/>
        <v/>
      </c>
      <c r="G12457" s="1" t="str">
        <f t="shared" si="2"/>
        <v/>
      </c>
      <c r="J12457" s="1" t="str">
        <f t="shared" si="3"/>
        <v/>
      </c>
      <c r="K12457" s="1" t="str">
        <f t="shared" si="4"/>
        <v/>
      </c>
    </row>
    <row r="12458" hidden="1">
      <c r="F12458" s="1" t="str">
        <f t="shared" si="1"/>
        <v/>
      </c>
      <c r="G12458" s="1" t="str">
        <f t="shared" si="2"/>
        <v/>
      </c>
      <c r="J12458" s="1" t="str">
        <f t="shared" si="3"/>
        <v/>
      </c>
      <c r="K12458" s="1" t="str">
        <f t="shared" si="4"/>
        <v/>
      </c>
    </row>
    <row r="12459" hidden="1">
      <c r="F12459" s="1" t="str">
        <f t="shared" si="1"/>
        <v/>
      </c>
      <c r="G12459" s="1" t="str">
        <f t="shared" si="2"/>
        <v/>
      </c>
      <c r="J12459" s="1" t="str">
        <f t="shared" si="3"/>
        <v/>
      </c>
      <c r="K12459" s="1" t="str">
        <f t="shared" si="4"/>
        <v/>
      </c>
    </row>
    <row r="12460" hidden="1">
      <c r="F12460" s="1" t="str">
        <f t="shared" si="1"/>
        <v/>
      </c>
      <c r="G12460" s="1" t="str">
        <f t="shared" si="2"/>
        <v/>
      </c>
      <c r="J12460" s="1" t="str">
        <f t="shared" si="3"/>
        <v/>
      </c>
      <c r="K12460" s="1" t="str">
        <f t="shared" si="4"/>
        <v/>
      </c>
    </row>
    <row r="12461" hidden="1">
      <c r="F12461" s="1" t="str">
        <f t="shared" si="1"/>
        <v/>
      </c>
      <c r="G12461" s="1" t="str">
        <f t="shared" si="2"/>
        <v/>
      </c>
      <c r="J12461" s="1" t="str">
        <f t="shared" si="3"/>
        <v/>
      </c>
      <c r="K12461" s="1" t="str">
        <f t="shared" si="4"/>
        <v/>
      </c>
    </row>
    <row r="12462" hidden="1">
      <c r="F12462" s="1" t="str">
        <f t="shared" si="1"/>
        <v/>
      </c>
      <c r="G12462" s="1" t="str">
        <f t="shared" si="2"/>
        <v/>
      </c>
      <c r="J12462" s="1" t="str">
        <f t="shared" si="3"/>
        <v/>
      </c>
      <c r="K12462" s="1" t="str">
        <f t="shared" si="4"/>
        <v/>
      </c>
    </row>
    <row r="12463" hidden="1">
      <c r="F12463" s="1" t="str">
        <f t="shared" si="1"/>
        <v/>
      </c>
      <c r="G12463" s="1" t="str">
        <f t="shared" si="2"/>
        <v/>
      </c>
      <c r="J12463" s="1" t="str">
        <f t="shared" si="3"/>
        <v/>
      </c>
      <c r="K12463" s="1" t="str">
        <f t="shared" si="4"/>
        <v/>
      </c>
    </row>
    <row r="12464" hidden="1">
      <c r="F12464" s="1" t="str">
        <f t="shared" si="1"/>
        <v/>
      </c>
      <c r="G12464" s="1" t="str">
        <f t="shared" si="2"/>
        <v/>
      </c>
      <c r="J12464" s="1" t="str">
        <f t="shared" si="3"/>
        <v/>
      </c>
      <c r="K12464" s="1" t="str">
        <f t="shared" si="4"/>
        <v/>
      </c>
    </row>
    <row r="12465" hidden="1">
      <c r="F12465" s="1" t="str">
        <f t="shared" si="1"/>
        <v/>
      </c>
      <c r="G12465" s="1" t="str">
        <f t="shared" si="2"/>
        <v/>
      </c>
      <c r="J12465" s="1" t="str">
        <f t="shared" si="3"/>
        <v/>
      </c>
      <c r="K12465" s="1" t="str">
        <f t="shared" si="4"/>
        <v/>
      </c>
    </row>
    <row r="12466" hidden="1">
      <c r="F12466" s="1" t="str">
        <f t="shared" si="1"/>
        <v/>
      </c>
      <c r="G12466" s="1" t="str">
        <f t="shared" si="2"/>
        <v/>
      </c>
      <c r="J12466" s="1" t="str">
        <f t="shared" si="3"/>
        <v/>
      </c>
      <c r="K12466" s="1" t="str">
        <f t="shared" si="4"/>
        <v/>
      </c>
    </row>
    <row r="12467" hidden="1">
      <c r="F12467" s="1" t="str">
        <f t="shared" si="1"/>
        <v/>
      </c>
      <c r="G12467" s="1" t="str">
        <f t="shared" si="2"/>
        <v/>
      </c>
      <c r="J12467" s="1" t="str">
        <f t="shared" si="3"/>
        <v/>
      </c>
      <c r="K12467" s="1" t="str">
        <f t="shared" si="4"/>
        <v/>
      </c>
    </row>
    <row r="12468" hidden="1">
      <c r="F12468" s="1" t="str">
        <f t="shared" si="1"/>
        <v/>
      </c>
      <c r="G12468" s="1" t="str">
        <f t="shared" si="2"/>
        <v/>
      </c>
      <c r="J12468" s="1" t="str">
        <f t="shared" si="3"/>
        <v/>
      </c>
      <c r="K12468" s="1" t="str">
        <f t="shared" si="4"/>
        <v/>
      </c>
    </row>
    <row r="12469" hidden="1">
      <c r="F12469" s="1" t="str">
        <f t="shared" si="1"/>
        <v/>
      </c>
      <c r="G12469" s="1" t="str">
        <f t="shared" si="2"/>
        <v/>
      </c>
      <c r="J12469" s="1" t="str">
        <f t="shared" si="3"/>
        <v/>
      </c>
      <c r="K12469" s="1" t="str">
        <f t="shared" si="4"/>
        <v/>
      </c>
    </row>
    <row r="12470" hidden="1">
      <c r="F12470" s="1" t="str">
        <f t="shared" si="1"/>
        <v/>
      </c>
      <c r="G12470" s="1" t="str">
        <f t="shared" si="2"/>
        <v/>
      </c>
      <c r="J12470" s="1" t="str">
        <f t="shared" si="3"/>
        <v/>
      </c>
      <c r="K12470" s="1" t="str">
        <f t="shared" si="4"/>
        <v/>
      </c>
    </row>
    <row r="12471" hidden="1">
      <c r="F12471" s="1" t="str">
        <f t="shared" si="1"/>
        <v/>
      </c>
      <c r="G12471" s="1" t="str">
        <f t="shared" si="2"/>
        <v/>
      </c>
      <c r="J12471" s="1" t="str">
        <f t="shared" si="3"/>
        <v/>
      </c>
      <c r="K12471" s="1" t="str">
        <f t="shared" si="4"/>
        <v/>
      </c>
    </row>
    <row r="12472" hidden="1">
      <c r="F12472" s="1" t="str">
        <f t="shared" si="1"/>
        <v/>
      </c>
      <c r="G12472" s="1" t="str">
        <f t="shared" si="2"/>
        <v/>
      </c>
      <c r="J12472" s="1" t="str">
        <f t="shared" si="3"/>
        <v/>
      </c>
      <c r="K12472" s="1" t="str">
        <f t="shared" si="4"/>
        <v/>
      </c>
    </row>
    <row r="12473" hidden="1">
      <c r="F12473" s="1" t="str">
        <f t="shared" si="1"/>
        <v/>
      </c>
      <c r="G12473" s="1" t="str">
        <f t="shared" si="2"/>
        <v/>
      </c>
      <c r="J12473" s="1" t="str">
        <f t="shared" si="3"/>
        <v/>
      </c>
      <c r="K12473" s="1" t="str">
        <f t="shared" si="4"/>
        <v/>
      </c>
    </row>
    <row r="12474" hidden="1">
      <c r="F12474" s="1" t="str">
        <f t="shared" si="1"/>
        <v/>
      </c>
      <c r="G12474" s="1" t="str">
        <f t="shared" si="2"/>
        <v/>
      </c>
      <c r="J12474" s="1" t="str">
        <f t="shared" si="3"/>
        <v/>
      </c>
      <c r="K12474" s="1" t="str">
        <f t="shared" si="4"/>
        <v/>
      </c>
    </row>
    <row r="12475" hidden="1">
      <c r="F12475" s="1" t="str">
        <f t="shared" si="1"/>
        <v/>
      </c>
      <c r="G12475" s="1" t="str">
        <f t="shared" si="2"/>
        <v/>
      </c>
      <c r="J12475" s="1" t="str">
        <f t="shared" si="3"/>
        <v/>
      </c>
      <c r="K12475" s="1" t="str">
        <f t="shared" si="4"/>
        <v/>
      </c>
    </row>
    <row r="12476" hidden="1">
      <c r="F12476" s="1" t="str">
        <f t="shared" si="1"/>
        <v/>
      </c>
      <c r="G12476" s="1" t="str">
        <f t="shared" si="2"/>
        <v/>
      </c>
      <c r="J12476" s="1" t="str">
        <f t="shared" si="3"/>
        <v/>
      </c>
      <c r="K12476" s="1" t="str">
        <f t="shared" si="4"/>
        <v/>
      </c>
    </row>
    <row r="12477" hidden="1">
      <c r="F12477" s="1" t="str">
        <f t="shared" si="1"/>
        <v/>
      </c>
      <c r="G12477" s="1" t="str">
        <f t="shared" si="2"/>
        <v/>
      </c>
      <c r="J12477" s="1" t="str">
        <f t="shared" si="3"/>
        <v/>
      </c>
      <c r="K12477" s="1" t="str">
        <f t="shared" si="4"/>
        <v/>
      </c>
    </row>
    <row r="12478" hidden="1">
      <c r="F12478" s="1" t="str">
        <f t="shared" si="1"/>
        <v/>
      </c>
      <c r="G12478" s="1" t="str">
        <f t="shared" si="2"/>
        <v/>
      </c>
      <c r="J12478" s="1" t="str">
        <f t="shared" si="3"/>
        <v/>
      </c>
      <c r="K12478" s="1" t="str">
        <f t="shared" si="4"/>
        <v/>
      </c>
    </row>
    <row r="12479" hidden="1">
      <c r="F12479" s="1" t="str">
        <f t="shared" si="1"/>
        <v/>
      </c>
      <c r="G12479" s="1" t="str">
        <f t="shared" si="2"/>
        <v/>
      </c>
      <c r="J12479" s="1" t="str">
        <f t="shared" si="3"/>
        <v/>
      </c>
      <c r="K12479" s="1" t="str">
        <f t="shared" si="4"/>
        <v/>
      </c>
    </row>
    <row r="12480" hidden="1">
      <c r="F12480" s="1" t="str">
        <f t="shared" si="1"/>
        <v/>
      </c>
      <c r="G12480" s="1" t="str">
        <f t="shared" si="2"/>
        <v/>
      </c>
      <c r="J12480" s="1" t="str">
        <f t="shared" si="3"/>
        <v/>
      </c>
      <c r="K12480" s="1" t="str">
        <f t="shared" si="4"/>
        <v/>
      </c>
    </row>
    <row r="12481" hidden="1">
      <c r="F12481" s="1" t="str">
        <f t="shared" si="1"/>
        <v/>
      </c>
      <c r="G12481" s="1" t="str">
        <f t="shared" si="2"/>
        <v/>
      </c>
      <c r="J12481" s="1" t="str">
        <f t="shared" si="3"/>
        <v/>
      </c>
      <c r="K12481" s="1" t="str">
        <f t="shared" si="4"/>
        <v/>
      </c>
    </row>
    <row r="12482" hidden="1">
      <c r="F12482" s="1" t="str">
        <f t="shared" si="1"/>
        <v/>
      </c>
      <c r="G12482" s="1" t="str">
        <f t="shared" si="2"/>
        <v/>
      </c>
      <c r="J12482" s="1" t="str">
        <f t="shared" si="3"/>
        <v/>
      </c>
      <c r="K12482" s="1" t="str">
        <f t="shared" si="4"/>
        <v/>
      </c>
    </row>
    <row r="12483" hidden="1">
      <c r="F12483" s="1" t="str">
        <f t="shared" si="1"/>
        <v/>
      </c>
      <c r="G12483" s="1" t="str">
        <f t="shared" si="2"/>
        <v/>
      </c>
      <c r="J12483" s="1" t="str">
        <f t="shared" si="3"/>
        <v/>
      </c>
      <c r="K12483" s="1" t="str">
        <f t="shared" si="4"/>
        <v/>
      </c>
    </row>
    <row r="12484" hidden="1">
      <c r="F12484" s="1" t="str">
        <f t="shared" si="1"/>
        <v/>
      </c>
      <c r="G12484" s="1" t="str">
        <f t="shared" si="2"/>
        <v/>
      </c>
      <c r="J12484" s="1" t="str">
        <f t="shared" si="3"/>
        <v/>
      </c>
      <c r="K12484" s="1" t="str">
        <f t="shared" si="4"/>
        <v/>
      </c>
    </row>
    <row r="12485" hidden="1">
      <c r="F12485" s="1" t="str">
        <f t="shared" si="1"/>
        <v/>
      </c>
      <c r="G12485" s="1" t="str">
        <f t="shared" si="2"/>
        <v/>
      </c>
      <c r="J12485" s="1" t="str">
        <f t="shared" si="3"/>
        <v/>
      </c>
      <c r="K12485" s="1" t="str">
        <f t="shared" si="4"/>
        <v/>
      </c>
    </row>
    <row r="12486" hidden="1">
      <c r="F12486" s="1" t="str">
        <f t="shared" si="1"/>
        <v/>
      </c>
      <c r="G12486" s="1" t="str">
        <f t="shared" si="2"/>
        <v/>
      </c>
      <c r="J12486" s="1" t="str">
        <f t="shared" si="3"/>
        <v/>
      </c>
      <c r="K12486" s="1" t="str">
        <f t="shared" si="4"/>
        <v/>
      </c>
    </row>
    <row r="12487" hidden="1">
      <c r="F12487" s="1" t="str">
        <f t="shared" si="1"/>
        <v/>
      </c>
      <c r="G12487" s="1" t="str">
        <f t="shared" si="2"/>
        <v/>
      </c>
      <c r="J12487" s="1" t="str">
        <f t="shared" si="3"/>
        <v/>
      </c>
      <c r="K12487" s="1" t="str">
        <f t="shared" si="4"/>
        <v/>
      </c>
    </row>
    <row r="12488" hidden="1">
      <c r="F12488" s="1" t="str">
        <f t="shared" si="1"/>
        <v/>
      </c>
      <c r="G12488" s="1" t="str">
        <f t="shared" si="2"/>
        <v/>
      </c>
      <c r="J12488" s="1" t="str">
        <f t="shared" si="3"/>
        <v/>
      </c>
      <c r="K12488" s="1" t="str">
        <f t="shared" si="4"/>
        <v/>
      </c>
    </row>
    <row r="12489" hidden="1">
      <c r="F12489" s="1" t="str">
        <f t="shared" si="1"/>
        <v/>
      </c>
      <c r="G12489" s="1" t="str">
        <f t="shared" si="2"/>
        <v/>
      </c>
      <c r="J12489" s="1" t="str">
        <f t="shared" si="3"/>
        <v/>
      </c>
      <c r="K12489" s="1" t="str">
        <f t="shared" si="4"/>
        <v/>
      </c>
    </row>
    <row r="12490" hidden="1">
      <c r="F12490" s="1" t="str">
        <f t="shared" si="1"/>
        <v/>
      </c>
      <c r="G12490" s="1" t="str">
        <f t="shared" si="2"/>
        <v/>
      </c>
      <c r="J12490" s="1" t="str">
        <f t="shared" si="3"/>
        <v/>
      </c>
      <c r="K12490" s="1" t="str">
        <f t="shared" si="4"/>
        <v/>
      </c>
    </row>
    <row r="12491" hidden="1">
      <c r="F12491" s="1" t="str">
        <f t="shared" si="1"/>
        <v/>
      </c>
      <c r="G12491" s="1" t="str">
        <f t="shared" si="2"/>
        <v/>
      </c>
      <c r="J12491" s="1" t="str">
        <f t="shared" si="3"/>
        <v/>
      </c>
      <c r="K12491" s="1" t="str">
        <f t="shared" si="4"/>
        <v/>
      </c>
    </row>
    <row r="12492" hidden="1">
      <c r="F12492" s="1" t="str">
        <f t="shared" si="1"/>
        <v/>
      </c>
      <c r="G12492" s="1" t="str">
        <f t="shared" si="2"/>
        <v/>
      </c>
      <c r="J12492" s="1" t="str">
        <f t="shared" si="3"/>
        <v/>
      </c>
      <c r="K12492" s="1" t="str">
        <f t="shared" si="4"/>
        <v/>
      </c>
    </row>
    <row r="12493" hidden="1">
      <c r="F12493" s="1" t="str">
        <f t="shared" si="1"/>
        <v/>
      </c>
      <c r="G12493" s="1" t="str">
        <f t="shared" si="2"/>
        <v/>
      </c>
      <c r="J12493" s="1" t="str">
        <f t="shared" si="3"/>
        <v/>
      </c>
      <c r="K12493" s="1" t="str">
        <f t="shared" si="4"/>
        <v/>
      </c>
    </row>
    <row r="12494" hidden="1">
      <c r="F12494" s="1" t="str">
        <f t="shared" si="1"/>
        <v/>
      </c>
      <c r="G12494" s="1" t="str">
        <f t="shared" si="2"/>
        <v/>
      </c>
      <c r="J12494" s="1" t="str">
        <f t="shared" si="3"/>
        <v/>
      </c>
      <c r="K12494" s="1" t="str">
        <f t="shared" si="4"/>
        <v/>
      </c>
    </row>
    <row r="12495" hidden="1">
      <c r="F12495" s="1" t="str">
        <f t="shared" si="1"/>
        <v/>
      </c>
      <c r="G12495" s="1" t="str">
        <f t="shared" si="2"/>
        <v/>
      </c>
      <c r="J12495" s="1" t="str">
        <f t="shared" si="3"/>
        <v/>
      </c>
      <c r="K12495" s="1" t="str">
        <f t="shared" si="4"/>
        <v/>
      </c>
    </row>
    <row r="12496" hidden="1">
      <c r="F12496" s="1" t="str">
        <f t="shared" si="1"/>
        <v/>
      </c>
      <c r="G12496" s="1" t="str">
        <f t="shared" si="2"/>
        <v/>
      </c>
      <c r="J12496" s="1" t="str">
        <f t="shared" si="3"/>
        <v/>
      </c>
      <c r="K12496" s="1" t="str">
        <f t="shared" si="4"/>
        <v/>
      </c>
    </row>
    <row r="12497" hidden="1">
      <c r="F12497" s="1" t="str">
        <f t="shared" si="1"/>
        <v/>
      </c>
      <c r="G12497" s="1" t="str">
        <f t="shared" si="2"/>
        <v/>
      </c>
      <c r="J12497" s="1" t="str">
        <f t="shared" si="3"/>
        <v/>
      </c>
      <c r="K12497" s="1" t="str">
        <f t="shared" si="4"/>
        <v/>
      </c>
    </row>
    <row r="12498" hidden="1">
      <c r="F12498" s="1" t="str">
        <f t="shared" si="1"/>
        <v/>
      </c>
      <c r="G12498" s="1" t="str">
        <f t="shared" si="2"/>
        <v/>
      </c>
      <c r="J12498" s="1" t="str">
        <f t="shared" si="3"/>
        <v/>
      </c>
      <c r="K12498" s="1" t="str">
        <f t="shared" si="4"/>
        <v/>
      </c>
    </row>
    <row r="12499" hidden="1">
      <c r="F12499" s="1" t="str">
        <f t="shared" si="1"/>
        <v/>
      </c>
      <c r="G12499" s="1" t="str">
        <f t="shared" si="2"/>
        <v/>
      </c>
      <c r="J12499" s="1" t="str">
        <f t="shared" si="3"/>
        <v/>
      </c>
      <c r="K12499" s="1" t="str">
        <f t="shared" si="4"/>
        <v/>
      </c>
    </row>
    <row r="12500" hidden="1">
      <c r="F12500" s="1" t="str">
        <f t="shared" si="1"/>
        <v/>
      </c>
      <c r="G12500" s="1" t="str">
        <f t="shared" si="2"/>
        <v/>
      </c>
      <c r="J12500" s="1" t="str">
        <f t="shared" si="3"/>
        <v/>
      </c>
      <c r="K12500" s="1" t="str">
        <f t="shared" si="4"/>
        <v/>
      </c>
    </row>
    <row r="12501" hidden="1">
      <c r="F12501" s="1" t="str">
        <f t="shared" si="1"/>
        <v/>
      </c>
      <c r="G12501" s="1" t="str">
        <f t="shared" si="2"/>
        <v/>
      </c>
      <c r="J12501" s="1" t="str">
        <f t="shared" si="3"/>
        <v/>
      </c>
      <c r="K12501" s="1" t="str">
        <f t="shared" si="4"/>
        <v/>
      </c>
    </row>
    <row r="12502" hidden="1">
      <c r="F12502" s="1" t="str">
        <f t="shared" si="1"/>
        <v/>
      </c>
      <c r="G12502" s="1" t="str">
        <f t="shared" si="2"/>
        <v/>
      </c>
      <c r="J12502" s="1" t="str">
        <f t="shared" si="3"/>
        <v/>
      </c>
      <c r="K12502" s="1" t="str">
        <f t="shared" si="4"/>
        <v/>
      </c>
    </row>
    <row r="12503" hidden="1">
      <c r="F12503" s="1" t="str">
        <f t="shared" si="1"/>
        <v/>
      </c>
      <c r="G12503" s="1" t="str">
        <f t="shared" si="2"/>
        <v/>
      </c>
      <c r="J12503" s="1" t="str">
        <f t="shared" si="3"/>
        <v/>
      </c>
      <c r="K12503" s="1" t="str">
        <f t="shared" si="4"/>
        <v/>
      </c>
    </row>
    <row r="12504" hidden="1">
      <c r="F12504" s="1" t="str">
        <f t="shared" si="1"/>
        <v/>
      </c>
      <c r="G12504" s="1" t="str">
        <f t="shared" si="2"/>
        <v/>
      </c>
      <c r="J12504" s="1" t="str">
        <f t="shared" si="3"/>
        <v/>
      </c>
      <c r="K12504" s="1" t="str">
        <f t="shared" si="4"/>
        <v/>
      </c>
    </row>
    <row r="12505" hidden="1">
      <c r="F12505" s="1" t="str">
        <f t="shared" si="1"/>
        <v/>
      </c>
      <c r="G12505" s="1" t="str">
        <f t="shared" si="2"/>
        <v/>
      </c>
      <c r="J12505" s="1" t="str">
        <f t="shared" si="3"/>
        <v/>
      </c>
      <c r="K12505" s="1" t="str">
        <f t="shared" si="4"/>
        <v/>
      </c>
    </row>
    <row r="12506" hidden="1">
      <c r="F12506" s="1" t="str">
        <f t="shared" si="1"/>
        <v/>
      </c>
      <c r="G12506" s="1" t="str">
        <f t="shared" si="2"/>
        <v/>
      </c>
      <c r="J12506" s="1" t="str">
        <f t="shared" si="3"/>
        <v/>
      </c>
      <c r="K12506" s="1" t="str">
        <f t="shared" si="4"/>
        <v/>
      </c>
    </row>
    <row r="12507" hidden="1">
      <c r="F12507" s="1" t="str">
        <f t="shared" si="1"/>
        <v/>
      </c>
      <c r="G12507" s="1" t="str">
        <f t="shared" si="2"/>
        <v/>
      </c>
      <c r="J12507" s="1" t="str">
        <f t="shared" si="3"/>
        <v/>
      </c>
      <c r="K12507" s="1" t="str">
        <f t="shared" si="4"/>
        <v/>
      </c>
    </row>
    <row r="12508" hidden="1">
      <c r="F12508" s="1" t="str">
        <f t="shared" si="1"/>
        <v/>
      </c>
      <c r="G12508" s="1" t="str">
        <f t="shared" si="2"/>
        <v/>
      </c>
      <c r="J12508" s="1" t="str">
        <f t="shared" si="3"/>
        <v/>
      </c>
      <c r="K12508" s="1" t="str">
        <f t="shared" si="4"/>
        <v/>
      </c>
    </row>
    <row r="12509" hidden="1">
      <c r="F12509" s="1" t="str">
        <f t="shared" si="1"/>
        <v/>
      </c>
      <c r="G12509" s="1" t="str">
        <f t="shared" si="2"/>
        <v/>
      </c>
      <c r="J12509" s="1" t="str">
        <f t="shared" si="3"/>
        <v/>
      </c>
      <c r="K12509" s="1" t="str">
        <f t="shared" si="4"/>
        <v/>
      </c>
    </row>
    <row r="12510" hidden="1">
      <c r="F12510" s="1" t="str">
        <f t="shared" si="1"/>
        <v/>
      </c>
      <c r="G12510" s="1" t="str">
        <f t="shared" si="2"/>
        <v/>
      </c>
      <c r="J12510" s="1" t="str">
        <f t="shared" si="3"/>
        <v/>
      </c>
      <c r="K12510" s="1" t="str">
        <f t="shared" si="4"/>
        <v/>
      </c>
    </row>
    <row r="12511" hidden="1">
      <c r="F12511" s="1" t="str">
        <f t="shared" si="1"/>
        <v/>
      </c>
      <c r="G12511" s="1" t="str">
        <f t="shared" si="2"/>
        <v/>
      </c>
      <c r="J12511" s="1" t="str">
        <f t="shared" si="3"/>
        <v/>
      </c>
      <c r="K12511" s="1" t="str">
        <f t="shared" si="4"/>
        <v/>
      </c>
    </row>
    <row r="12512" hidden="1">
      <c r="F12512" s="1" t="str">
        <f t="shared" si="1"/>
        <v/>
      </c>
      <c r="G12512" s="1" t="str">
        <f t="shared" si="2"/>
        <v/>
      </c>
      <c r="J12512" s="1" t="str">
        <f t="shared" si="3"/>
        <v/>
      </c>
      <c r="K12512" s="1" t="str">
        <f t="shared" si="4"/>
        <v/>
      </c>
    </row>
    <row r="12513" hidden="1">
      <c r="F12513" s="1" t="str">
        <f t="shared" si="1"/>
        <v/>
      </c>
      <c r="G12513" s="1" t="str">
        <f t="shared" si="2"/>
        <v/>
      </c>
      <c r="J12513" s="1" t="str">
        <f t="shared" si="3"/>
        <v/>
      </c>
      <c r="K12513" s="1" t="str">
        <f t="shared" si="4"/>
        <v/>
      </c>
    </row>
    <row r="12514" hidden="1">
      <c r="F12514" s="1" t="str">
        <f t="shared" si="1"/>
        <v/>
      </c>
      <c r="G12514" s="1" t="str">
        <f t="shared" si="2"/>
        <v/>
      </c>
      <c r="J12514" s="1" t="str">
        <f t="shared" si="3"/>
        <v/>
      </c>
      <c r="K12514" s="1" t="str">
        <f t="shared" si="4"/>
        <v/>
      </c>
    </row>
    <row r="12515" hidden="1">
      <c r="F12515" s="1" t="str">
        <f t="shared" si="1"/>
        <v/>
      </c>
      <c r="G12515" s="1" t="str">
        <f t="shared" si="2"/>
        <v/>
      </c>
      <c r="J12515" s="1" t="str">
        <f t="shared" si="3"/>
        <v/>
      </c>
      <c r="K12515" s="1" t="str">
        <f t="shared" si="4"/>
        <v/>
      </c>
    </row>
    <row r="12516" hidden="1">
      <c r="F12516" s="1" t="str">
        <f t="shared" si="1"/>
        <v/>
      </c>
      <c r="G12516" s="1" t="str">
        <f t="shared" si="2"/>
        <v/>
      </c>
      <c r="J12516" s="1" t="str">
        <f t="shared" si="3"/>
        <v/>
      </c>
      <c r="K12516" s="1" t="str">
        <f t="shared" si="4"/>
        <v/>
      </c>
    </row>
    <row r="12517" hidden="1">
      <c r="F12517" s="1" t="str">
        <f t="shared" si="1"/>
        <v/>
      </c>
      <c r="G12517" s="1" t="str">
        <f t="shared" si="2"/>
        <v/>
      </c>
      <c r="J12517" s="1" t="str">
        <f t="shared" si="3"/>
        <v/>
      </c>
      <c r="K12517" s="1" t="str">
        <f t="shared" si="4"/>
        <v/>
      </c>
    </row>
    <row r="12518" hidden="1">
      <c r="F12518" s="1" t="str">
        <f t="shared" si="1"/>
        <v/>
      </c>
      <c r="G12518" s="1" t="str">
        <f t="shared" si="2"/>
        <v/>
      </c>
      <c r="J12518" s="1" t="str">
        <f t="shared" si="3"/>
        <v/>
      </c>
      <c r="K12518" s="1" t="str">
        <f t="shared" si="4"/>
        <v/>
      </c>
    </row>
    <row r="12519" hidden="1">
      <c r="F12519" s="1" t="str">
        <f t="shared" si="1"/>
        <v/>
      </c>
      <c r="G12519" s="1" t="str">
        <f t="shared" si="2"/>
        <v/>
      </c>
      <c r="J12519" s="1" t="str">
        <f t="shared" si="3"/>
        <v/>
      </c>
      <c r="K12519" s="1" t="str">
        <f t="shared" si="4"/>
        <v/>
      </c>
    </row>
    <row r="12520" hidden="1">
      <c r="F12520" s="1" t="str">
        <f t="shared" si="1"/>
        <v/>
      </c>
      <c r="G12520" s="1" t="str">
        <f t="shared" si="2"/>
        <v/>
      </c>
      <c r="J12520" s="1" t="str">
        <f t="shared" si="3"/>
        <v/>
      </c>
      <c r="K12520" s="1" t="str">
        <f t="shared" si="4"/>
        <v/>
      </c>
    </row>
    <row r="12521" hidden="1">
      <c r="F12521" s="1" t="str">
        <f t="shared" si="1"/>
        <v/>
      </c>
      <c r="G12521" s="1" t="str">
        <f t="shared" si="2"/>
        <v/>
      </c>
      <c r="J12521" s="1" t="str">
        <f t="shared" si="3"/>
        <v/>
      </c>
      <c r="K12521" s="1" t="str">
        <f t="shared" si="4"/>
        <v/>
      </c>
    </row>
    <row r="12522" hidden="1">
      <c r="F12522" s="1" t="str">
        <f t="shared" si="1"/>
        <v/>
      </c>
      <c r="G12522" s="1" t="str">
        <f t="shared" si="2"/>
        <v/>
      </c>
      <c r="J12522" s="1" t="str">
        <f t="shared" si="3"/>
        <v/>
      </c>
      <c r="K12522" s="1" t="str">
        <f t="shared" si="4"/>
        <v/>
      </c>
    </row>
    <row r="12523" hidden="1">
      <c r="F12523" s="1" t="str">
        <f t="shared" si="1"/>
        <v/>
      </c>
      <c r="G12523" s="1" t="str">
        <f t="shared" si="2"/>
        <v/>
      </c>
      <c r="J12523" s="1" t="str">
        <f t="shared" si="3"/>
        <v/>
      </c>
      <c r="K12523" s="1" t="str">
        <f t="shared" si="4"/>
        <v/>
      </c>
    </row>
    <row r="12524" hidden="1">
      <c r="F12524" s="1" t="str">
        <f t="shared" si="1"/>
        <v/>
      </c>
      <c r="G12524" s="1" t="str">
        <f t="shared" si="2"/>
        <v/>
      </c>
      <c r="J12524" s="1" t="str">
        <f t="shared" si="3"/>
        <v/>
      </c>
      <c r="K12524" s="1" t="str">
        <f t="shared" si="4"/>
        <v/>
      </c>
    </row>
    <row r="12525" hidden="1">
      <c r="F12525" s="1" t="str">
        <f t="shared" si="1"/>
        <v/>
      </c>
      <c r="G12525" s="1" t="str">
        <f t="shared" si="2"/>
        <v/>
      </c>
      <c r="J12525" s="1" t="str">
        <f t="shared" si="3"/>
        <v/>
      </c>
      <c r="K12525" s="1" t="str">
        <f t="shared" si="4"/>
        <v/>
      </c>
    </row>
    <row r="12526" hidden="1">
      <c r="F12526" s="1" t="str">
        <f t="shared" si="1"/>
        <v/>
      </c>
      <c r="G12526" s="1" t="str">
        <f t="shared" si="2"/>
        <v/>
      </c>
      <c r="J12526" s="1" t="str">
        <f t="shared" si="3"/>
        <v/>
      </c>
      <c r="K12526" s="1" t="str">
        <f t="shared" si="4"/>
        <v/>
      </c>
    </row>
    <row r="12527" hidden="1">
      <c r="F12527" s="1" t="str">
        <f t="shared" si="1"/>
        <v/>
      </c>
      <c r="G12527" s="1" t="str">
        <f t="shared" si="2"/>
        <v/>
      </c>
      <c r="J12527" s="1" t="str">
        <f t="shared" si="3"/>
        <v/>
      </c>
      <c r="K12527" s="1" t="str">
        <f t="shared" si="4"/>
        <v/>
      </c>
    </row>
    <row r="12528" hidden="1">
      <c r="F12528" s="1" t="str">
        <f t="shared" si="1"/>
        <v/>
      </c>
      <c r="G12528" s="1" t="str">
        <f t="shared" si="2"/>
        <v/>
      </c>
      <c r="J12528" s="1" t="str">
        <f t="shared" si="3"/>
        <v/>
      </c>
      <c r="K12528" s="1" t="str">
        <f t="shared" si="4"/>
        <v/>
      </c>
    </row>
    <row r="12529" hidden="1">
      <c r="F12529" s="1" t="str">
        <f t="shared" si="1"/>
        <v/>
      </c>
      <c r="G12529" s="1" t="str">
        <f t="shared" si="2"/>
        <v/>
      </c>
      <c r="J12529" s="1" t="str">
        <f t="shared" si="3"/>
        <v/>
      </c>
      <c r="K12529" s="1" t="str">
        <f t="shared" si="4"/>
        <v/>
      </c>
    </row>
    <row r="12530" hidden="1">
      <c r="F12530" s="1" t="str">
        <f t="shared" si="1"/>
        <v/>
      </c>
      <c r="G12530" s="1" t="str">
        <f t="shared" si="2"/>
        <v/>
      </c>
      <c r="J12530" s="1" t="str">
        <f t="shared" si="3"/>
        <v/>
      </c>
      <c r="K12530" s="1" t="str">
        <f t="shared" si="4"/>
        <v/>
      </c>
    </row>
    <row r="12531" hidden="1">
      <c r="F12531" s="1" t="str">
        <f t="shared" si="1"/>
        <v/>
      </c>
      <c r="G12531" s="1" t="str">
        <f t="shared" si="2"/>
        <v/>
      </c>
      <c r="J12531" s="1" t="str">
        <f t="shared" si="3"/>
        <v/>
      </c>
      <c r="K12531" s="1" t="str">
        <f t="shared" si="4"/>
        <v/>
      </c>
    </row>
    <row r="12532" hidden="1">
      <c r="F12532" s="1" t="str">
        <f t="shared" si="1"/>
        <v/>
      </c>
      <c r="G12532" s="1" t="str">
        <f t="shared" si="2"/>
        <v/>
      </c>
      <c r="J12532" s="1" t="str">
        <f t="shared" si="3"/>
        <v/>
      </c>
      <c r="K12532" s="1" t="str">
        <f t="shared" si="4"/>
        <v/>
      </c>
    </row>
    <row r="12533" hidden="1">
      <c r="F12533" s="1" t="str">
        <f t="shared" si="1"/>
        <v/>
      </c>
      <c r="G12533" s="1" t="str">
        <f t="shared" si="2"/>
        <v/>
      </c>
      <c r="J12533" s="1" t="str">
        <f t="shared" si="3"/>
        <v/>
      </c>
      <c r="K12533" s="1" t="str">
        <f t="shared" si="4"/>
        <v/>
      </c>
    </row>
    <row r="12534" hidden="1">
      <c r="F12534" s="1" t="str">
        <f t="shared" si="1"/>
        <v/>
      </c>
      <c r="G12534" s="1" t="str">
        <f t="shared" si="2"/>
        <v/>
      </c>
      <c r="J12534" s="1" t="str">
        <f t="shared" si="3"/>
        <v/>
      </c>
      <c r="K12534" s="1" t="str">
        <f t="shared" si="4"/>
        <v/>
      </c>
    </row>
    <row r="12535" hidden="1">
      <c r="F12535" s="1" t="str">
        <f t="shared" si="1"/>
        <v/>
      </c>
      <c r="G12535" s="1" t="str">
        <f t="shared" si="2"/>
        <v/>
      </c>
      <c r="J12535" s="1" t="str">
        <f t="shared" si="3"/>
        <v/>
      </c>
      <c r="K12535" s="1" t="str">
        <f t="shared" si="4"/>
        <v/>
      </c>
    </row>
    <row r="12536" hidden="1">
      <c r="F12536" s="1" t="str">
        <f t="shared" si="1"/>
        <v/>
      </c>
      <c r="G12536" s="1" t="str">
        <f t="shared" si="2"/>
        <v/>
      </c>
      <c r="J12536" s="1" t="str">
        <f t="shared" si="3"/>
        <v/>
      </c>
      <c r="K12536" s="1" t="str">
        <f t="shared" si="4"/>
        <v/>
      </c>
    </row>
    <row r="12537" hidden="1">
      <c r="F12537" s="1" t="str">
        <f t="shared" si="1"/>
        <v/>
      </c>
      <c r="G12537" s="1" t="str">
        <f t="shared" si="2"/>
        <v/>
      </c>
      <c r="J12537" s="1" t="str">
        <f t="shared" si="3"/>
        <v/>
      </c>
      <c r="K12537" s="1" t="str">
        <f t="shared" si="4"/>
        <v/>
      </c>
    </row>
    <row r="12538" hidden="1">
      <c r="F12538" s="1" t="str">
        <f t="shared" si="1"/>
        <v/>
      </c>
      <c r="G12538" s="1" t="str">
        <f t="shared" si="2"/>
        <v/>
      </c>
      <c r="J12538" s="1" t="str">
        <f t="shared" si="3"/>
        <v/>
      </c>
      <c r="K12538" s="1" t="str">
        <f t="shared" si="4"/>
        <v/>
      </c>
    </row>
    <row r="12539" hidden="1">
      <c r="F12539" s="1" t="str">
        <f t="shared" si="1"/>
        <v/>
      </c>
      <c r="G12539" s="1" t="str">
        <f t="shared" si="2"/>
        <v/>
      </c>
      <c r="J12539" s="1" t="str">
        <f t="shared" si="3"/>
        <v/>
      </c>
      <c r="K12539" s="1" t="str">
        <f t="shared" si="4"/>
        <v/>
      </c>
    </row>
    <row r="12540" hidden="1">
      <c r="F12540" s="1" t="str">
        <f t="shared" si="1"/>
        <v/>
      </c>
      <c r="G12540" s="1" t="str">
        <f t="shared" si="2"/>
        <v/>
      </c>
      <c r="J12540" s="1" t="str">
        <f t="shared" si="3"/>
        <v/>
      </c>
      <c r="K12540" s="1" t="str">
        <f t="shared" si="4"/>
        <v/>
      </c>
    </row>
    <row r="12541" hidden="1">
      <c r="F12541" s="1" t="str">
        <f t="shared" si="1"/>
        <v/>
      </c>
      <c r="G12541" s="1" t="str">
        <f t="shared" si="2"/>
        <v/>
      </c>
      <c r="J12541" s="1" t="str">
        <f t="shared" si="3"/>
        <v/>
      </c>
      <c r="K12541" s="1" t="str">
        <f t="shared" si="4"/>
        <v/>
      </c>
    </row>
    <row r="12542" hidden="1">
      <c r="F12542" s="1" t="str">
        <f t="shared" si="1"/>
        <v/>
      </c>
      <c r="G12542" s="1" t="str">
        <f t="shared" si="2"/>
        <v/>
      </c>
      <c r="J12542" s="1" t="str">
        <f t="shared" si="3"/>
        <v/>
      </c>
      <c r="K12542" s="1" t="str">
        <f t="shared" si="4"/>
        <v/>
      </c>
    </row>
    <row r="12543" hidden="1">
      <c r="F12543" s="1" t="str">
        <f t="shared" si="1"/>
        <v/>
      </c>
      <c r="G12543" s="1" t="str">
        <f t="shared" si="2"/>
        <v/>
      </c>
      <c r="J12543" s="1" t="str">
        <f t="shared" si="3"/>
        <v/>
      </c>
      <c r="K12543" s="1" t="str">
        <f t="shared" si="4"/>
        <v/>
      </c>
    </row>
    <row r="12544" hidden="1">
      <c r="F12544" s="1" t="str">
        <f t="shared" si="1"/>
        <v/>
      </c>
      <c r="G12544" s="1" t="str">
        <f t="shared" si="2"/>
        <v/>
      </c>
      <c r="J12544" s="1" t="str">
        <f t="shared" si="3"/>
        <v/>
      </c>
      <c r="K12544" s="1" t="str">
        <f t="shared" si="4"/>
        <v/>
      </c>
    </row>
    <row r="12545" hidden="1">
      <c r="F12545" s="1" t="str">
        <f t="shared" si="1"/>
        <v/>
      </c>
      <c r="G12545" s="1" t="str">
        <f t="shared" si="2"/>
        <v/>
      </c>
      <c r="J12545" s="1" t="str">
        <f t="shared" si="3"/>
        <v/>
      </c>
      <c r="K12545" s="1" t="str">
        <f t="shared" si="4"/>
        <v/>
      </c>
    </row>
    <row r="12546" hidden="1">
      <c r="F12546" s="1" t="str">
        <f t="shared" si="1"/>
        <v/>
      </c>
      <c r="G12546" s="1" t="str">
        <f t="shared" si="2"/>
        <v/>
      </c>
      <c r="J12546" s="1" t="str">
        <f t="shared" si="3"/>
        <v/>
      </c>
      <c r="K12546" s="1" t="str">
        <f t="shared" si="4"/>
        <v/>
      </c>
    </row>
    <row r="12547" hidden="1">
      <c r="F12547" s="1" t="str">
        <f t="shared" si="1"/>
        <v/>
      </c>
      <c r="G12547" s="1" t="str">
        <f t="shared" si="2"/>
        <v/>
      </c>
      <c r="J12547" s="1" t="str">
        <f t="shared" si="3"/>
        <v/>
      </c>
      <c r="K12547" s="1" t="str">
        <f t="shared" si="4"/>
        <v/>
      </c>
    </row>
    <row r="12548" hidden="1">
      <c r="F12548" s="1" t="str">
        <f t="shared" si="1"/>
        <v/>
      </c>
      <c r="G12548" s="1" t="str">
        <f t="shared" si="2"/>
        <v/>
      </c>
      <c r="J12548" s="1" t="str">
        <f t="shared" si="3"/>
        <v/>
      </c>
      <c r="K12548" s="1" t="str">
        <f t="shared" si="4"/>
        <v/>
      </c>
    </row>
    <row r="12549" hidden="1">
      <c r="F12549" s="1" t="str">
        <f t="shared" si="1"/>
        <v/>
      </c>
      <c r="G12549" s="1" t="str">
        <f t="shared" si="2"/>
        <v/>
      </c>
      <c r="J12549" s="1" t="str">
        <f t="shared" si="3"/>
        <v/>
      </c>
      <c r="K12549" s="1" t="str">
        <f t="shared" si="4"/>
        <v/>
      </c>
    </row>
    <row r="12550" hidden="1">
      <c r="F12550" s="1" t="str">
        <f t="shared" si="1"/>
        <v/>
      </c>
      <c r="G12550" s="1" t="str">
        <f t="shared" si="2"/>
        <v/>
      </c>
      <c r="J12550" s="1" t="str">
        <f t="shared" si="3"/>
        <v/>
      </c>
      <c r="K12550" s="1" t="str">
        <f t="shared" si="4"/>
        <v/>
      </c>
    </row>
    <row r="12551" hidden="1">
      <c r="F12551" s="1" t="str">
        <f t="shared" si="1"/>
        <v/>
      </c>
      <c r="G12551" s="1" t="str">
        <f t="shared" si="2"/>
        <v/>
      </c>
      <c r="J12551" s="1" t="str">
        <f t="shared" si="3"/>
        <v/>
      </c>
      <c r="K12551" s="1" t="str">
        <f t="shared" si="4"/>
        <v/>
      </c>
    </row>
    <row r="12552" hidden="1">
      <c r="F12552" s="1" t="str">
        <f t="shared" si="1"/>
        <v/>
      </c>
      <c r="G12552" s="1" t="str">
        <f t="shared" si="2"/>
        <v/>
      </c>
      <c r="J12552" s="1" t="str">
        <f t="shared" si="3"/>
        <v/>
      </c>
      <c r="K12552" s="1" t="str">
        <f t="shared" si="4"/>
        <v/>
      </c>
    </row>
    <row r="12553" hidden="1">
      <c r="F12553" s="1" t="str">
        <f t="shared" si="1"/>
        <v/>
      </c>
      <c r="G12553" s="1" t="str">
        <f t="shared" si="2"/>
        <v/>
      </c>
      <c r="J12553" s="1" t="str">
        <f t="shared" si="3"/>
        <v/>
      </c>
      <c r="K12553" s="1" t="str">
        <f t="shared" si="4"/>
        <v/>
      </c>
    </row>
    <row r="12554" hidden="1">
      <c r="F12554" s="1" t="str">
        <f t="shared" si="1"/>
        <v/>
      </c>
      <c r="G12554" s="1" t="str">
        <f t="shared" si="2"/>
        <v/>
      </c>
      <c r="J12554" s="1" t="str">
        <f t="shared" si="3"/>
        <v/>
      </c>
      <c r="K12554" s="1" t="str">
        <f t="shared" si="4"/>
        <v/>
      </c>
    </row>
    <row r="12555" hidden="1">
      <c r="F12555" s="1" t="str">
        <f t="shared" si="1"/>
        <v/>
      </c>
      <c r="G12555" s="1" t="str">
        <f t="shared" si="2"/>
        <v/>
      </c>
      <c r="J12555" s="1" t="str">
        <f t="shared" si="3"/>
        <v/>
      </c>
      <c r="K12555" s="1" t="str">
        <f t="shared" si="4"/>
        <v/>
      </c>
    </row>
    <row r="12556" hidden="1">
      <c r="F12556" s="1" t="str">
        <f t="shared" si="1"/>
        <v/>
      </c>
      <c r="G12556" s="1" t="str">
        <f t="shared" si="2"/>
        <v/>
      </c>
      <c r="J12556" s="1" t="str">
        <f t="shared" si="3"/>
        <v/>
      </c>
      <c r="K12556" s="1" t="str">
        <f t="shared" si="4"/>
        <v/>
      </c>
    </row>
    <row r="12557" hidden="1">
      <c r="F12557" s="1" t="str">
        <f t="shared" si="1"/>
        <v/>
      </c>
      <c r="G12557" s="1" t="str">
        <f t="shared" si="2"/>
        <v/>
      </c>
      <c r="J12557" s="1" t="str">
        <f t="shared" si="3"/>
        <v/>
      </c>
      <c r="K12557" s="1" t="str">
        <f t="shared" si="4"/>
        <v/>
      </c>
    </row>
    <row r="12558" hidden="1">
      <c r="F12558" s="1" t="str">
        <f t="shared" si="1"/>
        <v/>
      </c>
      <c r="G12558" s="1" t="str">
        <f t="shared" si="2"/>
        <v/>
      </c>
      <c r="J12558" s="1" t="str">
        <f t="shared" si="3"/>
        <v/>
      </c>
      <c r="K12558" s="1" t="str">
        <f t="shared" si="4"/>
        <v/>
      </c>
    </row>
    <row r="12559" hidden="1">
      <c r="F12559" s="1" t="str">
        <f t="shared" si="1"/>
        <v/>
      </c>
      <c r="G12559" s="1" t="str">
        <f t="shared" si="2"/>
        <v/>
      </c>
      <c r="J12559" s="1" t="str">
        <f t="shared" si="3"/>
        <v/>
      </c>
      <c r="K12559" s="1" t="str">
        <f t="shared" si="4"/>
        <v/>
      </c>
    </row>
    <row r="12560" hidden="1">
      <c r="F12560" s="1" t="str">
        <f t="shared" si="1"/>
        <v/>
      </c>
      <c r="G12560" s="1" t="str">
        <f t="shared" si="2"/>
        <v/>
      </c>
      <c r="J12560" s="1" t="str">
        <f t="shared" si="3"/>
        <v/>
      </c>
      <c r="K12560" s="1" t="str">
        <f t="shared" si="4"/>
        <v/>
      </c>
    </row>
    <row r="12561" hidden="1">
      <c r="F12561" s="1" t="str">
        <f t="shared" si="1"/>
        <v/>
      </c>
      <c r="G12561" s="1" t="str">
        <f t="shared" si="2"/>
        <v/>
      </c>
      <c r="J12561" s="1" t="str">
        <f t="shared" si="3"/>
        <v/>
      </c>
      <c r="K12561" s="1" t="str">
        <f t="shared" si="4"/>
        <v/>
      </c>
    </row>
    <row r="12562" hidden="1">
      <c r="F12562" s="1" t="str">
        <f t="shared" si="1"/>
        <v/>
      </c>
      <c r="G12562" s="1" t="str">
        <f t="shared" si="2"/>
        <v/>
      </c>
      <c r="J12562" s="1" t="str">
        <f t="shared" si="3"/>
        <v/>
      </c>
      <c r="K12562" s="1" t="str">
        <f t="shared" si="4"/>
        <v/>
      </c>
    </row>
    <row r="12563" hidden="1">
      <c r="F12563" s="1" t="str">
        <f t="shared" si="1"/>
        <v/>
      </c>
      <c r="G12563" s="1" t="str">
        <f t="shared" si="2"/>
        <v/>
      </c>
      <c r="J12563" s="1" t="str">
        <f t="shared" si="3"/>
        <v/>
      </c>
      <c r="K12563" s="1" t="str">
        <f t="shared" si="4"/>
        <v/>
      </c>
    </row>
    <row r="12564" hidden="1">
      <c r="F12564" s="1" t="str">
        <f t="shared" si="1"/>
        <v/>
      </c>
      <c r="G12564" s="1" t="str">
        <f t="shared" si="2"/>
        <v/>
      </c>
      <c r="J12564" s="1" t="str">
        <f t="shared" si="3"/>
        <v/>
      </c>
      <c r="K12564" s="1" t="str">
        <f t="shared" si="4"/>
        <v/>
      </c>
    </row>
    <row r="12565" hidden="1">
      <c r="F12565" s="1" t="str">
        <f t="shared" si="1"/>
        <v/>
      </c>
      <c r="G12565" s="1" t="str">
        <f t="shared" si="2"/>
        <v/>
      </c>
      <c r="J12565" s="1" t="str">
        <f t="shared" si="3"/>
        <v/>
      </c>
      <c r="K12565" s="1" t="str">
        <f t="shared" si="4"/>
        <v/>
      </c>
    </row>
    <row r="12566" hidden="1">
      <c r="F12566" s="1" t="str">
        <f t="shared" si="1"/>
        <v/>
      </c>
      <c r="G12566" s="1" t="str">
        <f t="shared" si="2"/>
        <v/>
      </c>
      <c r="J12566" s="1" t="str">
        <f t="shared" si="3"/>
        <v/>
      </c>
      <c r="K12566" s="1" t="str">
        <f t="shared" si="4"/>
        <v/>
      </c>
    </row>
    <row r="12567" hidden="1">
      <c r="F12567" s="1" t="str">
        <f t="shared" si="1"/>
        <v/>
      </c>
      <c r="G12567" s="1" t="str">
        <f t="shared" si="2"/>
        <v/>
      </c>
      <c r="J12567" s="1" t="str">
        <f t="shared" si="3"/>
        <v/>
      </c>
      <c r="K12567" s="1" t="str">
        <f t="shared" si="4"/>
        <v/>
      </c>
    </row>
    <row r="12568" hidden="1">
      <c r="F12568" s="1" t="str">
        <f t="shared" si="1"/>
        <v/>
      </c>
      <c r="G12568" s="1" t="str">
        <f t="shared" si="2"/>
        <v/>
      </c>
      <c r="J12568" s="1" t="str">
        <f t="shared" si="3"/>
        <v/>
      </c>
      <c r="K12568" s="1" t="str">
        <f t="shared" si="4"/>
        <v/>
      </c>
    </row>
    <row r="12569" hidden="1">
      <c r="F12569" s="1" t="str">
        <f t="shared" si="1"/>
        <v/>
      </c>
      <c r="G12569" s="1" t="str">
        <f t="shared" si="2"/>
        <v/>
      </c>
      <c r="J12569" s="1" t="str">
        <f t="shared" si="3"/>
        <v/>
      </c>
      <c r="K12569" s="1" t="str">
        <f t="shared" si="4"/>
        <v/>
      </c>
    </row>
    <row r="12570" hidden="1">
      <c r="F12570" s="1" t="str">
        <f t="shared" si="1"/>
        <v/>
      </c>
      <c r="G12570" s="1" t="str">
        <f t="shared" si="2"/>
        <v/>
      </c>
      <c r="J12570" s="1" t="str">
        <f t="shared" si="3"/>
        <v/>
      </c>
      <c r="K12570" s="1" t="str">
        <f t="shared" si="4"/>
        <v/>
      </c>
    </row>
    <row r="12571" hidden="1">
      <c r="F12571" s="1" t="str">
        <f t="shared" si="1"/>
        <v/>
      </c>
      <c r="G12571" s="1" t="str">
        <f t="shared" si="2"/>
        <v/>
      </c>
      <c r="J12571" s="1" t="str">
        <f t="shared" si="3"/>
        <v/>
      </c>
      <c r="K12571" s="1" t="str">
        <f t="shared" si="4"/>
        <v/>
      </c>
    </row>
    <row r="12572" hidden="1">
      <c r="F12572" s="1" t="str">
        <f t="shared" si="1"/>
        <v/>
      </c>
      <c r="G12572" s="1" t="str">
        <f t="shared" si="2"/>
        <v/>
      </c>
      <c r="J12572" s="1" t="str">
        <f t="shared" si="3"/>
        <v/>
      </c>
      <c r="K12572" s="1" t="str">
        <f t="shared" si="4"/>
        <v/>
      </c>
    </row>
    <row r="12573" hidden="1">
      <c r="F12573" s="1" t="str">
        <f t="shared" si="1"/>
        <v/>
      </c>
      <c r="G12573" s="1" t="str">
        <f t="shared" si="2"/>
        <v/>
      </c>
      <c r="J12573" s="1" t="str">
        <f t="shared" si="3"/>
        <v/>
      </c>
      <c r="K12573" s="1" t="str">
        <f t="shared" si="4"/>
        <v/>
      </c>
    </row>
    <row r="12574" hidden="1">
      <c r="F12574" s="1" t="str">
        <f t="shared" si="1"/>
        <v/>
      </c>
      <c r="G12574" s="1" t="str">
        <f t="shared" si="2"/>
        <v/>
      </c>
      <c r="J12574" s="1" t="str">
        <f t="shared" si="3"/>
        <v/>
      </c>
      <c r="K12574" s="1" t="str">
        <f t="shared" si="4"/>
        <v/>
      </c>
    </row>
    <row r="12575" hidden="1">
      <c r="F12575" s="1" t="str">
        <f t="shared" si="1"/>
        <v/>
      </c>
      <c r="G12575" s="1" t="str">
        <f t="shared" si="2"/>
        <v/>
      </c>
      <c r="J12575" s="1" t="str">
        <f t="shared" si="3"/>
        <v/>
      </c>
      <c r="K12575" s="1" t="str">
        <f t="shared" si="4"/>
        <v/>
      </c>
    </row>
    <row r="12576" hidden="1">
      <c r="F12576" s="1" t="str">
        <f t="shared" si="1"/>
        <v/>
      </c>
      <c r="G12576" s="1" t="str">
        <f t="shared" si="2"/>
        <v/>
      </c>
      <c r="J12576" s="1" t="str">
        <f t="shared" si="3"/>
        <v/>
      </c>
      <c r="K12576" s="1" t="str">
        <f t="shared" si="4"/>
        <v/>
      </c>
    </row>
    <row r="12577" hidden="1">
      <c r="F12577" s="1" t="str">
        <f t="shared" si="1"/>
        <v/>
      </c>
      <c r="G12577" s="1" t="str">
        <f t="shared" si="2"/>
        <v/>
      </c>
      <c r="J12577" s="1" t="str">
        <f t="shared" si="3"/>
        <v/>
      </c>
      <c r="K12577" s="1" t="str">
        <f t="shared" si="4"/>
        <v/>
      </c>
    </row>
    <row r="12578" hidden="1">
      <c r="F12578" s="1" t="str">
        <f t="shared" si="1"/>
        <v/>
      </c>
      <c r="G12578" s="1" t="str">
        <f t="shared" si="2"/>
        <v/>
      </c>
      <c r="J12578" s="1" t="str">
        <f t="shared" si="3"/>
        <v/>
      </c>
      <c r="K12578" s="1" t="str">
        <f t="shared" si="4"/>
        <v/>
      </c>
    </row>
    <row r="12579" hidden="1">
      <c r="F12579" s="1" t="str">
        <f t="shared" si="1"/>
        <v/>
      </c>
      <c r="G12579" s="1" t="str">
        <f t="shared" si="2"/>
        <v/>
      </c>
      <c r="J12579" s="1" t="str">
        <f t="shared" si="3"/>
        <v/>
      </c>
      <c r="K12579" s="1" t="str">
        <f t="shared" si="4"/>
        <v/>
      </c>
    </row>
    <row r="12580" hidden="1">
      <c r="F12580" s="1" t="str">
        <f t="shared" si="1"/>
        <v/>
      </c>
      <c r="G12580" s="1" t="str">
        <f t="shared" si="2"/>
        <v/>
      </c>
      <c r="J12580" s="1" t="str">
        <f t="shared" si="3"/>
        <v/>
      </c>
      <c r="K12580" s="1" t="str">
        <f t="shared" si="4"/>
        <v/>
      </c>
    </row>
    <row r="12581" hidden="1">
      <c r="F12581" s="1" t="str">
        <f t="shared" si="1"/>
        <v/>
      </c>
      <c r="G12581" s="1" t="str">
        <f t="shared" si="2"/>
        <v/>
      </c>
      <c r="J12581" s="1" t="str">
        <f t="shared" si="3"/>
        <v/>
      </c>
      <c r="K12581" s="1" t="str">
        <f t="shared" si="4"/>
        <v/>
      </c>
    </row>
    <row r="12582" hidden="1">
      <c r="F12582" s="1" t="str">
        <f t="shared" si="1"/>
        <v/>
      </c>
      <c r="G12582" s="1" t="str">
        <f t="shared" si="2"/>
        <v/>
      </c>
      <c r="J12582" s="1" t="str">
        <f t="shared" si="3"/>
        <v/>
      </c>
      <c r="K12582" s="1" t="str">
        <f t="shared" si="4"/>
        <v/>
      </c>
    </row>
    <row r="12583">
      <c r="F12583" s="1" t="str">
        <f t="shared" si="1"/>
        <v/>
      </c>
      <c r="G12583" s="1" t="str">
        <f t="shared" si="2"/>
        <v/>
      </c>
      <c r="J12583" s="1" t="str">
        <f t="shared" si="3"/>
        <v/>
      </c>
      <c r="K12583" s="1" t="str">
        <f t="shared" si="4"/>
        <v/>
      </c>
    </row>
    <row r="12584">
      <c r="F12584" s="1" t="str">
        <f t="shared" si="1"/>
        <v/>
      </c>
      <c r="G12584" s="1" t="str">
        <f t="shared" si="2"/>
        <v/>
      </c>
      <c r="J12584" s="1" t="str">
        <f t="shared" si="3"/>
        <v/>
      </c>
      <c r="K12584" s="1" t="str">
        <f t="shared" si="4"/>
        <v/>
      </c>
    </row>
    <row r="12585">
      <c r="F12585" s="1" t="str">
        <f t="shared" si="1"/>
        <v/>
      </c>
      <c r="G12585" s="1" t="str">
        <f t="shared" si="2"/>
        <v/>
      </c>
      <c r="J12585" s="1" t="str">
        <f t="shared" si="3"/>
        <v/>
      </c>
      <c r="K12585" s="1" t="str">
        <f t="shared" si="4"/>
        <v/>
      </c>
    </row>
    <row r="12586">
      <c r="F12586" s="1" t="str">
        <f t="shared" si="1"/>
        <v/>
      </c>
      <c r="G12586" s="1" t="str">
        <f t="shared" si="2"/>
        <v/>
      </c>
      <c r="J12586" s="1" t="str">
        <f t="shared" si="3"/>
        <v/>
      </c>
      <c r="K12586" s="1" t="str">
        <f t="shared" si="4"/>
        <v/>
      </c>
    </row>
    <row r="12587">
      <c r="F12587" s="1" t="str">
        <f t="shared" si="1"/>
        <v/>
      </c>
      <c r="G12587" s="1" t="str">
        <f t="shared" si="2"/>
        <v/>
      </c>
      <c r="J12587" s="1" t="str">
        <f t="shared" si="3"/>
        <v/>
      </c>
      <c r="K12587" s="1" t="str">
        <f t="shared" si="4"/>
        <v/>
      </c>
    </row>
    <row r="12588">
      <c r="F12588" s="1" t="str">
        <f t="shared" si="1"/>
        <v/>
      </c>
      <c r="G12588" s="1" t="str">
        <f t="shared" si="2"/>
        <v/>
      </c>
      <c r="J12588" s="1" t="str">
        <f t="shared" si="3"/>
        <v/>
      </c>
      <c r="K12588" s="1" t="str">
        <f t="shared" si="4"/>
        <v/>
      </c>
    </row>
    <row r="12589">
      <c r="F12589" s="1" t="str">
        <f t="shared" si="1"/>
        <v/>
      </c>
      <c r="G12589" s="1" t="str">
        <f t="shared" si="2"/>
        <v/>
      </c>
      <c r="J12589" s="1" t="str">
        <f t="shared" si="3"/>
        <v/>
      </c>
      <c r="K12589" s="1" t="str">
        <f t="shared" si="4"/>
        <v/>
      </c>
    </row>
    <row r="12590">
      <c r="F12590" s="1" t="str">
        <f t="shared" si="1"/>
        <v/>
      </c>
      <c r="G12590" s="1" t="str">
        <f t="shared" si="2"/>
        <v/>
      </c>
      <c r="J12590" s="1" t="str">
        <f t="shared" si="3"/>
        <v/>
      </c>
      <c r="K12590" s="1" t="str">
        <f t="shared" si="4"/>
        <v/>
      </c>
    </row>
    <row r="12591">
      <c r="F12591" s="1" t="str">
        <f t="shared" si="1"/>
        <v/>
      </c>
      <c r="G12591" s="1" t="str">
        <f t="shared" si="2"/>
        <v/>
      </c>
      <c r="J12591" s="1" t="str">
        <f t="shared" si="3"/>
        <v/>
      </c>
      <c r="K12591" s="1" t="str">
        <f t="shared" si="4"/>
        <v/>
      </c>
    </row>
    <row r="12592">
      <c r="F12592" s="1" t="str">
        <f t="shared" si="1"/>
        <v/>
      </c>
      <c r="G12592" s="1" t="str">
        <f t="shared" si="2"/>
        <v/>
      </c>
      <c r="J12592" s="1" t="str">
        <f t="shared" si="3"/>
        <v/>
      </c>
      <c r="K12592" s="1" t="str">
        <f t="shared" si="4"/>
        <v/>
      </c>
    </row>
    <row r="12593">
      <c r="F12593" s="1" t="str">
        <f t="shared" si="1"/>
        <v/>
      </c>
      <c r="G12593" s="1" t="str">
        <f t="shared" si="2"/>
        <v/>
      </c>
      <c r="J12593" s="1" t="str">
        <f t="shared" si="3"/>
        <v/>
      </c>
      <c r="K12593" s="1" t="str">
        <f t="shared" si="4"/>
        <v/>
      </c>
    </row>
    <row r="12594">
      <c r="F12594" s="1" t="str">
        <f t="shared" si="1"/>
        <v/>
      </c>
      <c r="G12594" s="1" t="str">
        <f t="shared" si="2"/>
        <v/>
      </c>
      <c r="J12594" s="1" t="str">
        <f t="shared" si="3"/>
        <v/>
      </c>
      <c r="K12594" s="1" t="str">
        <f t="shared" si="4"/>
        <v/>
      </c>
    </row>
    <row r="12595">
      <c r="F12595" s="1" t="str">
        <f t="shared" si="1"/>
        <v/>
      </c>
      <c r="G12595" s="1" t="str">
        <f t="shared" si="2"/>
        <v/>
      </c>
      <c r="J12595" s="1" t="str">
        <f t="shared" si="3"/>
        <v/>
      </c>
      <c r="K12595" s="1" t="str">
        <f t="shared" si="4"/>
        <v/>
      </c>
    </row>
    <row r="12596">
      <c r="F12596" s="1" t="str">
        <f t="shared" si="1"/>
        <v/>
      </c>
      <c r="G12596" s="1" t="str">
        <f t="shared" si="2"/>
        <v/>
      </c>
      <c r="J12596" s="1" t="str">
        <f t="shared" si="3"/>
        <v/>
      </c>
      <c r="K12596" s="1" t="str">
        <f t="shared" si="4"/>
        <v/>
      </c>
    </row>
    <row r="12597">
      <c r="F12597" s="1" t="str">
        <f t="shared" si="1"/>
        <v/>
      </c>
      <c r="G12597" s="1" t="str">
        <f t="shared" si="2"/>
        <v/>
      </c>
      <c r="J12597" s="1" t="str">
        <f t="shared" si="3"/>
        <v/>
      </c>
      <c r="K12597" s="1" t="str">
        <f t="shared" si="4"/>
        <v/>
      </c>
    </row>
    <row r="12598">
      <c r="F12598" s="1" t="str">
        <f t="shared" si="1"/>
        <v/>
      </c>
      <c r="G12598" s="1" t="str">
        <f t="shared" si="2"/>
        <v/>
      </c>
      <c r="J12598" s="1" t="str">
        <f t="shared" si="3"/>
        <v/>
      </c>
      <c r="K12598" s="1" t="str">
        <f t="shared" si="4"/>
        <v/>
      </c>
    </row>
    <row r="12599">
      <c r="F12599" s="1" t="str">
        <f t="shared" si="1"/>
        <v/>
      </c>
      <c r="G12599" s="1" t="str">
        <f t="shared" si="2"/>
        <v/>
      </c>
      <c r="J12599" s="1" t="str">
        <f t="shared" si="3"/>
        <v/>
      </c>
      <c r="K12599" s="1" t="str">
        <f t="shared" si="4"/>
        <v/>
      </c>
    </row>
    <row r="12600">
      <c r="F12600" s="1" t="str">
        <f t="shared" si="1"/>
        <v/>
      </c>
      <c r="G12600" s="1" t="str">
        <f t="shared" si="2"/>
        <v/>
      </c>
      <c r="J12600" s="1" t="str">
        <f t="shared" si="3"/>
        <v/>
      </c>
      <c r="K12600" s="1" t="str">
        <f t="shared" si="4"/>
        <v/>
      </c>
    </row>
    <row r="12601">
      <c r="F12601" s="1" t="str">
        <f t="shared" si="1"/>
        <v/>
      </c>
      <c r="G12601" s="1" t="str">
        <f t="shared" si="2"/>
        <v/>
      </c>
      <c r="J12601" s="1" t="str">
        <f t="shared" si="3"/>
        <v/>
      </c>
      <c r="K12601" s="1" t="str">
        <f t="shared" si="4"/>
        <v/>
      </c>
    </row>
    <row r="12602">
      <c r="F12602" s="1" t="str">
        <f t="shared" si="1"/>
        <v/>
      </c>
      <c r="G12602" s="1" t="str">
        <f t="shared" si="2"/>
        <v/>
      </c>
      <c r="J12602" s="1" t="str">
        <f t="shared" si="3"/>
        <v/>
      </c>
      <c r="K12602" s="1" t="str">
        <f t="shared" si="4"/>
        <v/>
      </c>
    </row>
    <row r="12603">
      <c r="F12603" s="1" t="str">
        <f t="shared" si="1"/>
        <v/>
      </c>
      <c r="G12603" s="1" t="str">
        <f t="shared" si="2"/>
        <v/>
      </c>
      <c r="J12603" s="1" t="str">
        <f t="shared" si="3"/>
        <v/>
      </c>
      <c r="K12603" s="1" t="str">
        <f t="shared" si="4"/>
        <v/>
      </c>
    </row>
    <row r="12604">
      <c r="F12604" s="1" t="str">
        <f t="shared" si="1"/>
        <v/>
      </c>
      <c r="G12604" s="1" t="str">
        <f t="shared" si="2"/>
        <v/>
      </c>
      <c r="J12604" s="1" t="str">
        <f t="shared" si="3"/>
        <v/>
      </c>
      <c r="K12604" s="1" t="str">
        <f t="shared" si="4"/>
        <v/>
      </c>
    </row>
    <row r="12605">
      <c r="F12605" s="1" t="str">
        <f t="shared" si="1"/>
        <v/>
      </c>
      <c r="G12605" s="1" t="str">
        <f t="shared" si="2"/>
        <v/>
      </c>
      <c r="J12605" s="1" t="str">
        <f t="shared" si="3"/>
        <v/>
      </c>
      <c r="K12605" s="1" t="str">
        <f t="shared" si="4"/>
        <v/>
      </c>
    </row>
    <row r="12606">
      <c r="F12606" s="1" t="str">
        <f t="shared" si="1"/>
        <v/>
      </c>
      <c r="G12606" s="1" t="str">
        <f t="shared" si="2"/>
        <v/>
      </c>
      <c r="J12606" s="1" t="str">
        <f t="shared" si="3"/>
        <v/>
      </c>
      <c r="K12606" s="1" t="str">
        <f t="shared" si="4"/>
        <v/>
      </c>
    </row>
    <row r="12607">
      <c r="F12607" s="1" t="str">
        <f t="shared" si="1"/>
        <v/>
      </c>
      <c r="G12607" s="1" t="str">
        <f t="shared" si="2"/>
        <v/>
      </c>
      <c r="J12607" s="1" t="str">
        <f t="shared" si="3"/>
        <v/>
      </c>
      <c r="K12607" s="1" t="str">
        <f t="shared" si="4"/>
        <v/>
      </c>
    </row>
    <row r="12608">
      <c r="F12608" s="1" t="str">
        <f t="shared" si="1"/>
        <v/>
      </c>
      <c r="G12608" s="1" t="str">
        <f t="shared" si="2"/>
        <v/>
      </c>
      <c r="J12608" s="1" t="str">
        <f t="shared" si="3"/>
        <v/>
      </c>
      <c r="K12608" s="1" t="str">
        <f t="shared" si="4"/>
        <v/>
      </c>
    </row>
    <row r="12609">
      <c r="F12609" s="1" t="str">
        <f t="shared" si="1"/>
        <v/>
      </c>
      <c r="G12609" s="1" t="str">
        <f t="shared" si="2"/>
        <v/>
      </c>
      <c r="J12609" s="1" t="str">
        <f t="shared" si="3"/>
        <v/>
      </c>
      <c r="K12609" s="1" t="str">
        <f t="shared" si="4"/>
        <v/>
      </c>
    </row>
    <row r="12610">
      <c r="F12610" s="1" t="str">
        <f t="shared" si="1"/>
        <v/>
      </c>
      <c r="G12610" s="1" t="str">
        <f t="shared" si="2"/>
        <v/>
      </c>
      <c r="J12610" s="1" t="str">
        <f t="shared" si="3"/>
        <v/>
      </c>
      <c r="K12610" s="1" t="str">
        <f t="shared" si="4"/>
        <v/>
      </c>
    </row>
    <row r="12611">
      <c r="F12611" s="1" t="str">
        <f t="shared" si="1"/>
        <v/>
      </c>
      <c r="G12611" s="1" t="str">
        <f t="shared" si="2"/>
        <v/>
      </c>
      <c r="J12611" s="1" t="str">
        <f t="shared" si="3"/>
        <v/>
      </c>
      <c r="K12611" s="1" t="str">
        <f t="shared" si="4"/>
        <v/>
      </c>
    </row>
    <row r="12612">
      <c r="F12612" s="1" t="str">
        <f t="shared" si="1"/>
        <v/>
      </c>
      <c r="G12612" s="1" t="str">
        <f t="shared" si="2"/>
        <v/>
      </c>
      <c r="J12612" s="1" t="str">
        <f t="shared" si="3"/>
        <v/>
      </c>
      <c r="K12612" s="1" t="str">
        <f t="shared" si="4"/>
        <v/>
      </c>
    </row>
    <row r="12613">
      <c r="F12613" s="1" t="str">
        <f t="shared" si="1"/>
        <v/>
      </c>
      <c r="G12613" s="1" t="str">
        <f t="shared" si="2"/>
        <v/>
      </c>
      <c r="J12613" s="1" t="str">
        <f t="shared" si="3"/>
        <v/>
      </c>
      <c r="K12613" s="1" t="str">
        <f t="shared" si="4"/>
        <v/>
      </c>
    </row>
    <row r="12614">
      <c r="F12614" s="1" t="str">
        <f t="shared" si="1"/>
        <v/>
      </c>
      <c r="G12614" s="1" t="str">
        <f t="shared" si="2"/>
        <v/>
      </c>
      <c r="J12614" s="1" t="str">
        <f t="shared" si="3"/>
        <v/>
      </c>
      <c r="K12614" s="1" t="str">
        <f t="shared" si="4"/>
        <v/>
      </c>
    </row>
    <row r="12615">
      <c r="F12615" s="1" t="str">
        <f t="shared" si="1"/>
        <v/>
      </c>
      <c r="G12615" s="1" t="str">
        <f t="shared" si="2"/>
        <v/>
      </c>
      <c r="J12615" s="1" t="str">
        <f t="shared" si="3"/>
        <v/>
      </c>
      <c r="K12615" s="1" t="str">
        <f t="shared" si="4"/>
        <v/>
      </c>
    </row>
    <row r="12616">
      <c r="F12616" s="1" t="str">
        <f t="shared" si="1"/>
        <v/>
      </c>
      <c r="G12616" s="1" t="str">
        <f t="shared" si="2"/>
        <v/>
      </c>
      <c r="J12616" s="1" t="str">
        <f t="shared" si="3"/>
        <v/>
      </c>
      <c r="K12616" s="1" t="str">
        <f t="shared" si="4"/>
        <v/>
      </c>
    </row>
    <row r="12617">
      <c r="F12617" s="1" t="str">
        <f t="shared" si="1"/>
        <v/>
      </c>
      <c r="G12617" s="1" t="str">
        <f t="shared" si="2"/>
        <v/>
      </c>
      <c r="J12617" s="1" t="str">
        <f t="shared" si="3"/>
        <v/>
      </c>
      <c r="K12617" s="1" t="str">
        <f t="shared" si="4"/>
        <v/>
      </c>
    </row>
    <row r="12618">
      <c r="F12618" s="1" t="str">
        <f t="shared" si="1"/>
        <v/>
      </c>
      <c r="G12618" s="1" t="str">
        <f t="shared" si="2"/>
        <v/>
      </c>
      <c r="J12618" s="1" t="str">
        <f t="shared" si="3"/>
        <v/>
      </c>
      <c r="K12618" s="1" t="str">
        <f t="shared" si="4"/>
        <v/>
      </c>
    </row>
    <row r="12619">
      <c r="F12619" s="1" t="str">
        <f t="shared" si="1"/>
        <v/>
      </c>
      <c r="G12619" s="1" t="str">
        <f t="shared" si="2"/>
        <v/>
      </c>
      <c r="J12619" s="1" t="str">
        <f t="shared" si="3"/>
        <v/>
      </c>
      <c r="K12619" s="1" t="str">
        <f t="shared" si="4"/>
        <v/>
      </c>
    </row>
    <row r="12620">
      <c r="F12620" s="1" t="str">
        <f t="shared" si="1"/>
        <v/>
      </c>
      <c r="G12620" s="1" t="str">
        <f t="shared" si="2"/>
        <v/>
      </c>
      <c r="J12620" s="1" t="str">
        <f t="shared" si="3"/>
        <v/>
      </c>
      <c r="K12620" s="1" t="str">
        <f t="shared" si="4"/>
        <v/>
      </c>
    </row>
    <row r="12621">
      <c r="F12621" s="1" t="str">
        <f t="shared" si="1"/>
        <v/>
      </c>
      <c r="G12621" s="1" t="str">
        <f t="shared" si="2"/>
        <v/>
      </c>
      <c r="J12621" s="1" t="str">
        <f t="shared" si="3"/>
        <v/>
      </c>
      <c r="K12621" s="1" t="str">
        <f t="shared" si="4"/>
        <v/>
      </c>
    </row>
    <row r="12622">
      <c r="F12622" s="1" t="str">
        <f t="shared" si="1"/>
        <v/>
      </c>
      <c r="G12622" s="1" t="str">
        <f t="shared" si="2"/>
        <v/>
      </c>
      <c r="J12622" s="1" t="str">
        <f t="shared" si="3"/>
        <v/>
      </c>
      <c r="K12622" s="1" t="str">
        <f t="shared" si="4"/>
        <v/>
      </c>
    </row>
    <row r="12623">
      <c r="F12623" s="1" t="str">
        <f t="shared" si="1"/>
        <v/>
      </c>
      <c r="G12623" s="1" t="str">
        <f t="shared" si="2"/>
        <v/>
      </c>
      <c r="J12623" s="1" t="str">
        <f t="shared" si="3"/>
        <v/>
      </c>
      <c r="K12623" s="1" t="str">
        <f t="shared" si="4"/>
        <v/>
      </c>
    </row>
    <row r="12624">
      <c r="F12624" s="1" t="str">
        <f t="shared" si="1"/>
        <v/>
      </c>
      <c r="G12624" s="1" t="str">
        <f t="shared" si="2"/>
        <v/>
      </c>
      <c r="J12624" s="1" t="str">
        <f t="shared" si="3"/>
        <v/>
      </c>
      <c r="K12624" s="1" t="str">
        <f t="shared" si="4"/>
        <v/>
      </c>
    </row>
    <row r="12625">
      <c r="F12625" s="1" t="str">
        <f t="shared" si="1"/>
        <v/>
      </c>
      <c r="G12625" s="1" t="str">
        <f t="shared" si="2"/>
        <v/>
      </c>
      <c r="J12625" s="1" t="str">
        <f t="shared" si="3"/>
        <v/>
      </c>
      <c r="K12625" s="1" t="str">
        <f t="shared" si="4"/>
        <v/>
      </c>
    </row>
    <row r="12626">
      <c r="F12626" s="1" t="str">
        <f t="shared" si="1"/>
        <v/>
      </c>
      <c r="G12626" s="1" t="str">
        <f t="shared" si="2"/>
        <v/>
      </c>
      <c r="J12626" s="1" t="str">
        <f t="shared" si="3"/>
        <v/>
      </c>
      <c r="K12626" s="1" t="str">
        <f t="shared" si="4"/>
        <v/>
      </c>
    </row>
    <row r="12627">
      <c r="F12627" s="1" t="str">
        <f t="shared" si="1"/>
        <v/>
      </c>
      <c r="G12627" s="1" t="str">
        <f t="shared" si="2"/>
        <v/>
      </c>
      <c r="J12627" s="1" t="str">
        <f t="shared" si="3"/>
        <v/>
      </c>
      <c r="K12627" s="1" t="str">
        <f t="shared" si="4"/>
        <v/>
      </c>
    </row>
    <row r="12628">
      <c r="F12628" s="1" t="str">
        <f t="shared" si="1"/>
        <v/>
      </c>
      <c r="G12628" s="1" t="str">
        <f t="shared" si="2"/>
        <v/>
      </c>
      <c r="J12628" s="1" t="str">
        <f t="shared" si="3"/>
        <v/>
      </c>
      <c r="K12628" s="1" t="str">
        <f t="shared" si="4"/>
        <v/>
      </c>
    </row>
    <row r="12629">
      <c r="F12629" s="1" t="str">
        <f t="shared" si="1"/>
        <v/>
      </c>
      <c r="G12629" s="1" t="str">
        <f t="shared" si="2"/>
        <v/>
      </c>
      <c r="J12629" s="1" t="str">
        <f t="shared" si="3"/>
        <v/>
      </c>
      <c r="K12629" s="1" t="str">
        <f t="shared" si="4"/>
        <v/>
      </c>
    </row>
    <row r="12630">
      <c r="F12630" s="1" t="str">
        <f t="shared" si="1"/>
        <v/>
      </c>
      <c r="G12630" s="1" t="str">
        <f t="shared" si="2"/>
        <v/>
      </c>
      <c r="J12630" s="1" t="str">
        <f t="shared" si="3"/>
        <v/>
      </c>
      <c r="K12630" s="1" t="str">
        <f t="shared" si="4"/>
        <v/>
      </c>
    </row>
    <row r="12631">
      <c r="F12631" s="1" t="str">
        <f t="shared" si="1"/>
        <v/>
      </c>
      <c r="G12631" s="1" t="str">
        <f t="shared" si="2"/>
        <v/>
      </c>
      <c r="J12631" s="1" t="str">
        <f t="shared" si="3"/>
        <v/>
      </c>
      <c r="K12631" s="1" t="str">
        <f t="shared" si="4"/>
        <v/>
      </c>
    </row>
    <row r="12632">
      <c r="F12632" s="1" t="str">
        <f t="shared" si="1"/>
        <v/>
      </c>
      <c r="G12632" s="1" t="str">
        <f t="shared" si="2"/>
        <v/>
      </c>
      <c r="J12632" s="1" t="str">
        <f t="shared" si="3"/>
        <v/>
      </c>
      <c r="K12632" s="1" t="str">
        <f t="shared" si="4"/>
        <v/>
      </c>
    </row>
    <row r="12633">
      <c r="F12633" s="1" t="str">
        <f t="shared" si="1"/>
        <v/>
      </c>
      <c r="G12633" s="1" t="str">
        <f t="shared" si="2"/>
        <v/>
      </c>
      <c r="J12633" s="1" t="str">
        <f t="shared" si="3"/>
        <v/>
      </c>
      <c r="K12633" s="1" t="str">
        <f t="shared" si="4"/>
        <v/>
      </c>
    </row>
    <row r="12634">
      <c r="F12634" s="1" t="str">
        <f t="shared" si="1"/>
        <v/>
      </c>
      <c r="G12634" s="1" t="str">
        <f t="shared" si="2"/>
        <v/>
      </c>
      <c r="J12634" s="1" t="str">
        <f t="shared" si="3"/>
        <v/>
      </c>
      <c r="K12634" s="1" t="str">
        <f t="shared" si="4"/>
        <v/>
      </c>
    </row>
    <row r="12635">
      <c r="F12635" s="1" t="str">
        <f t="shared" si="1"/>
        <v/>
      </c>
      <c r="G12635" s="1" t="str">
        <f t="shared" si="2"/>
        <v/>
      </c>
      <c r="J12635" s="1" t="str">
        <f t="shared" si="3"/>
        <v/>
      </c>
      <c r="K12635" s="1" t="str">
        <f t="shared" si="4"/>
        <v/>
      </c>
    </row>
    <row r="12636">
      <c r="F12636" s="1" t="str">
        <f t="shared" si="1"/>
        <v/>
      </c>
      <c r="G12636" s="1" t="str">
        <f t="shared" si="2"/>
        <v/>
      </c>
      <c r="J12636" s="1" t="str">
        <f t="shared" si="3"/>
        <v/>
      </c>
      <c r="K12636" s="1" t="str">
        <f t="shared" si="4"/>
        <v/>
      </c>
    </row>
    <row r="12637">
      <c r="F12637" s="1" t="str">
        <f t="shared" si="1"/>
        <v/>
      </c>
      <c r="G12637" s="1" t="str">
        <f t="shared" si="2"/>
        <v/>
      </c>
      <c r="J12637" s="1" t="str">
        <f t="shared" si="3"/>
        <v/>
      </c>
      <c r="K12637" s="1" t="str">
        <f t="shared" si="4"/>
        <v/>
      </c>
    </row>
    <row r="12638">
      <c r="F12638" s="1" t="str">
        <f t="shared" si="1"/>
        <v/>
      </c>
      <c r="G12638" s="1" t="str">
        <f t="shared" si="2"/>
        <v/>
      </c>
      <c r="J12638" s="1" t="str">
        <f t="shared" si="3"/>
        <v/>
      </c>
      <c r="K12638" s="1" t="str">
        <f t="shared" si="4"/>
        <v/>
      </c>
    </row>
    <row r="12639">
      <c r="F12639" s="1" t="str">
        <f t="shared" si="1"/>
        <v/>
      </c>
      <c r="G12639" s="1" t="str">
        <f t="shared" si="2"/>
        <v/>
      </c>
      <c r="J12639" s="1" t="str">
        <f t="shared" si="3"/>
        <v/>
      </c>
      <c r="K12639" s="1" t="str">
        <f t="shared" si="4"/>
        <v/>
      </c>
    </row>
    <row r="12640">
      <c r="F12640" s="1" t="str">
        <f t="shared" si="1"/>
        <v/>
      </c>
      <c r="G12640" s="1" t="str">
        <f t="shared" si="2"/>
        <v/>
      </c>
      <c r="J12640" s="1" t="str">
        <f t="shared" si="3"/>
        <v/>
      </c>
      <c r="K12640" s="1" t="str">
        <f t="shared" si="4"/>
        <v/>
      </c>
    </row>
    <row r="12641">
      <c r="F12641" s="1" t="str">
        <f t="shared" si="1"/>
        <v/>
      </c>
      <c r="G12641" s="1" t="str">
        <f t="shared" si="2"/>
        <v/>
      </c>
      <c r="J12641" s="1" t="str">
        <f t="shared" si="3"/>
        <v/>
      </c>
      <c r="K12641" s="1" t="str">
        <f t="shared" si="4"/>
        <v/>
      </c>
    </row>
    <row r="12642">
      <c r="F12642" s="1" t="str">
        <f t="shared" si="1"/>
        <v/>
      </c>
      <c r="G12642" s="1" t="str">
        <f t="shared" si="2"/>
        <v/>
      </c>
      <c r="J12642" s="1" t="str">
        <f t="shared" si="3"/>
        <v/>
      </c>
      <c r="K12642" s="1" t="str">
        <f t="shared" si="4"/>
        <v/>
      </c>
    </row>
    <row r="12643">
      <c r="F12643" s="1" t="str">
        <f t="shared" si="1"/>
        <v/>
      </c>
      <c r="G12643" s="1" t="str">
        <f t="shared" si="2"/>
        <v/>
      </c>
      <c r="J12643" s="1" t="str">
        <f t="shared" si="3"/>
        <v/>
      </c>
      <c r="K12643" s="1" t="str">
        <f t="shared" si="4"/>
        <v/>
      </c>
    </row>
    <row r="12644">
      <c r="F12644" s="1" t="str">
        <f t="shared" si="1"/>
        <v/>
      </c>
      <c r="G12644" s="1" t="str">
        <f t="shared" si="2"/>
        <v/>
      </c>
      <c r="J12644" s="1" t="str">
        <f t="shared" si="3"/>
        <v/>
      </c>
      <c r="K12644" s="1" t="str">
        <f t="shared" si="4"/>
        <v/>
      </c>
    </row>
    <row r="12645">
      <c r="F12645" s="1" t="str">
        <f t="shared" si="1"/>
        <v/>
      </c>
      <c r="G12645" s="1" t="str">
        <f t="shared" si="2"/>
        <v/>
      </c>
      <c r="J12645" s="1" t="str">
        <f t="shared" si="3"/>
        <v/>
      </c>
      <c r="K12645" s="1" t="str">
        <f t="shared" si="4"/>
        <v/>
      </c>
    </row>
    <row r="12646">
      <c r="F12646" s="1" t="str">
        <f t="shared" si="1"/>
        <v/>
      </c>
      <c r="G12646" s="1" t="str">
        <f t="shared" si="2"/>
        <v/>
      </c>
      <c r="J12646" s="1" t="str">
        <f t="shared" si="3"/>
        <v/>
      </c>
      <c r="K12646" s="1" t="str">
        <f t="shared" si="4"/>
        <v/>
      </c>
    </row>
    <row r="12647">
      <c r="F12647" s="1" t="str">
        <f t="shared" si="1"/>
        <v/>
      </c>
      <c r="G12647" s="1" t="str">
        <f t="shared" si="2"/>
        <v/>
      </c>
      <c r="J12647" s="1" t="str">
        <f t="shared" si="3"/>
        <v/>
      </c>
      <c r="K12647" s="1" t="str">
        <f t="shared" si="4"/>
        <v/>
      </c>
    </row>
    <row r="12648">
      <c r="F12648" s="1" t="str">
        <f t="shared" si="1"/>
        <v/>
      </c>
      <c r="G12648" s="1" t="str">
        <f t="shared" si="2"/>
        <v/>
      </c>
      <c r="J12648" s="1" t="str">
        <f t="shared" si="3"/>
        <v/>
      </c>
      <c r="K12648" s="1" t="str">
        <f t="shared" si="4"/>
        <v/>
      </c>
    </row>
    <row r="12649">
      <c r="F12649" s="1" t="str">
        <f t="shared" si="1"/>
        <v/>
      </c>
      <c r="G12649" s="1" t="str">
        <f t="shared" si="2"/>
        <v/>
      </c>
      <c r="J12649" s="1" t="str">
        <f t="shared" si="3"/>
        <v/>
      </c>
      <c r="K12649" s="1" t="str">
        <f t="shared" si="4"/>
        <v/>
      </c>
    </row>
    <row r="12650">
      <c r="F12650" s="1" t="str">
        <f t="shared" si="1"/>
        <v/>
      </c>
      <c r="G12650" s="1" t="str">
        <f t="shared" si="2"/>
        <v/>
      </c>
      <c r="J12650" s="1" t="str">
        <f t="shared" si="3"/>
        <v/>
      </c>
      <c r="K12650" s="1" t="str">
        <f t="shared" si="4"/>
        <v/>
      </c>
    </row>
    <row r="12651">
      <c r="F12651" s="1" t="str">
        <f t="shared" si="1"/>
        <v/>
      </c>
      <c r="G12651" s="1" t="str">
        <f t="shared" si="2"/>
        <v/>
      </c>
      <c r="J12651" s="1" t="str">
        <f t="shared" si="3"/>
        <v/>
      </c>
      <c r="K12651" s="1" t="str">
        <f t="shared" si="4"/>
        <v/>
      </c>
    </row>
    <row r="12652">
      <c r="F12652" s="1" t="str">
        <f t="shared" si="1"/>
        <v/>
      </c>
      <c r="G12652" s="1" t="str">
        <f t="shared" si="2"/>
        <v/>
      </c>
      <c r="J12652" s="1" t="str">
        <f t="shared" si="3"/>
        <v/>
      </c>
      <c r="K12652" s="1" t="str">
        <f t="shared" si="4"/>
        <v/>
      </c>
    </row>
    <row r="12653">
      <c r="F12653" s="1" t="str">
        <f t="shared" si="1"/>
        <v/>
      </c>
      <c r="G12653" s="1" t="str">
        <f t="shared" si="2"/>
        <v/>
      </c>
      <c r="J12653" s="1" t="str">
        <f t="shared" si="3"/>
        <v/>
      </c>
      <c r="K12653" s="1" t="str">
        <f t="shared" si="4"/>
        <v/>
      </c>
    </row>
    <row r="12654">
      <c r="F12654" s="1" t="str">
        <f t="shared" si="1"/>
        <v/>
      </c>
      <c r="G12654" s="1" t="str">
        <f t="shared" si="2"/>
        <v/>
      </c>
      <c r="J12654" s="1" t="str">
        <f t="shared" si="3"/>
        <v/>
      </c>
      <c r="K12654" s="1" t="str">
        <f t="shared" si="4"/>
        <v/>
      </c>
    </row>
    <row r="12655">
      <c r="F12655" s="1" t="str">
        <f t="shared" si="1"/>
        <v/>
      </c>
      <c r="G12655" s="1" t="str">
        <f t="shared" si="2"/>
        <v/>
      </c>
      <c r="J12655" s="1" t="str">
        <f t="shared" si="3"/>
        <v/>
      </c>
      <c r="K12655" s="1" t="str">
        <f t="shared" si="4"/>
        <v/>
      </c>
    </row>
    <row r="12656">
      <c r="F12656" s="1" t="str">
        <f t="shared" si="1"/>
        <v/>
      </c>
      <c r="G12656" s="1" t="str">
        <f t="shared" si="2"/>
        <v/>
      </c>
      <c r="J12656" s="1" t="str">
        <f t="shared" si="3"/>
        <v/>
      </c>
      <c r="K12656" s="1" t="str">
        <f t="shared" si="4"/>
        <v/>
      </c>
    </row>
    <row r="12657">
      <c r="F12657" s="1" t="str">
        <f t="shared" si="1"/>
        <v/>
      </c>
      <c r="G12657" s="1" t="str">
        <f t="shared" si="2"/>
        <v/>
      </c>
      <c r="J12657" s="1" t="str">
        <f t="shared" si="3"/>
        <v/>
      </c>
      <c r="K12657" s="1" t="str">
        <f t="shared" si="4"/>
        <v/>
      </c>
    </row>
    <row r="12658">
      <c r="F12658" s="1" t="str">
        <f t="shared" si="1"/>
        <v/>
      </c>
      <c r="G12658" s="1" t="str">
        <f t="shared" si="2"/>
        <v/>
      </c>
      <c r="J12658" s="1" t="str">
        <f t="shared" si="3"/>
        <v/>
      </c>
      <c r="K12658" s="1" t="str">
        <f t="shared" si="4"/>
        <v/>
      </c>
    </row>
    <row r="12659">
      <c r="F12659" s="1" t="str">
        <f t="shared" si="1"/>
        <v/>
      </c>
      <c r="G12659" s="1" t="str">
        <f t="shared" si="2"/>
        <v/>
      </c>
      <c r="J12659" s="1" t="str">
        <f t="shared" si="3"/>
        <v/>
      </c>
      <c r="K12659" s="1" t="str">
        <f t="shared" si="4"/>
        <v/>
      </c>
    </row>
    <row r="12660">
      <c r="F12660" s="1" t="str">
        <f t="shared" si="1"/>
        <v/>
      </c>
      <c r="G12660" s="1" t="str">
        <f t="shared" si="2"/>
        <v/>
      </c>
      <c r="J12660" s="1" t="str">
        <f t="shared" si="3"/>
        <v/>
      </c>
      <c r="K12660" s="1" t="str">
        <f t="shared" si="4"/>
        <v/>
      </c>
    </row>
    <row r="12661">
      <c r="F12661" s="1" t="str">
        <f t="shared" si="1"/>
        <v/>
      </c>
      <c r="G12661" s="1" t="str">
        <f t="shared" si="2"/>
        <v/>
      </c>
      <c r="J12661" s="1" t="str">
        <f t="shared" si="3"/>
        <v/>
      </c>
      <c r="K12661" s="1" t="str">
        <f t="shared" si="4"/>
        <v/>
      </c>
    </row>
    <row r="12662">
      <c r="F12662" s="1" t="str">
        <f t="shared" si="1"/>
        <v/>
      </c>
      <c r="G12662" s="1" t="str">
        <f t="shared" si="2"/>
        <v/>
      </c>
      <c r="J12662" s="1" t="str">
        <f t="shared" si="3"/>
        <v/>
      </c>
      <c r="K12662" s="1" t="str">
        <f t="shared" si="4"/>
        <v/>
      </c>
    </row>
    <row r="12663">
      <c r="F12663" s="1" t="str">
        <f t="shared" si="1"/>
        <v/>
      </c>
      <c r="G12663" s="1" t="str">
        <f t="shared" si="2"/>
        <v/>
      </c>
      <c r="J12663" s="1" t="str">
        <f t="shared" si="3"/>
        <v/>
      </c>
      <c r="K12663" s="1" t="str">
        <f t="shared" si="4"/>
        <v/>
      </c>
    </row>
    <row r="12664">
      <c r="F12664" s="1" t="str">
        <f t="shared" si="1"/>
        <v/>
      </c>
      <c r="G12664" s="1" t="str">
        <f t="shared" si="2"/>
        <v/>
      </c>
      <c r="J12664" s="1" t="str">
        <f t="shared" si="3"/>
        <v/>
      </c>
      <c r="K12664" s="1" t="str">
        <f t="shared" si="4"/>
        <v/>
      </c>
    </row>
    <row r="12665">
      <c r="F12665" s="1" t="str">
        <f t="shared" si="1"/>
        <v/>
      </c>
      <c r="G12665" s="1" t="str">
        <f t="shared" si="2"/>
        <v/>
      </c>
      <c r="J12665" s="1" t="str">
        <f t="shared" si="3"/>
        <v/>
      </c>
      <c r="K12665" s="1" t="str">
        <f t="shared" si="4"/>
        <v/>
      </c>
    </row>
    <row r="12666">
      <c r="F12666" s="1" t="str">
        <f t="shared" si="1"/>
        <v/>
      </c>
      <c r="G12666" s="1" t="str">
        <f t="shared" si="2"/>
        <v/>
      </c>
      <c r="J12666" s="1" t="str">
        <f t="shared" si="3"/>
        <v/>
      </c>
      <c r="K12666" s="1" t="str">
        <f t="shared" si="4"/>
        <v/>
      </c>
    </row>
    <row r="12667">
      <c r="F12667" s="1" t="str">
        <f t="shared" si="1"/>
        <v/>
      </c>
      <c r="G12667" s="1" t="str">
        <f t="shared" si="2"/>
        <v/>
      </c>
      <c r="J12667" s="1" t="str">
        <f t="shared" si="3"/>
        <v/>
      </c>
      <c r="K12667" s="1" t="str">
        <f t="shared" si="4"/>
        <v/>
      </c>
    </row>
    <row r="12668">
      <c r="F12668" s="1" t="str">
        <f t="shared" si="1"/>
        <v/>
      </c>
      <c r="G12668" s="1" t="str">
        <f t="shared" si="2"/>
        <v/>
      </c>
      <c r="J12668" s="1" t="str">
        <f t="shared" si="3"/>
        <v/>
      </c>
      <c r="K12668" s="1" t="str">
        <f t="shared" si="4"/>
        <v/>
      </c>
    </row>
    <row r="12669">
      <c r="F12669" s="1" t="str">
        <f t="shared" si="1"/>
        <v/>
      </c>
      <c r="G12669" s="1" t="str">
        <f t="shared" si="2"/>
        <v/>
      </c>
      <c r="J12669" s="1" t="str">
        <f t="shared" si="3"/>
        <v/>
      </c>
      <c r="K12669" s="1" t="str">
        <f t="shared" si="4"/>
        <v/>
      </c>
    </row>
    <row r="12670">
      <c r="F12670" s="1" t="str">
        <f t="shared" si="1"/>
        <v/>
      </c>
      <c r="G12670" s="1" t="str">
        <f t="shared" si="2"/>
        <v/>
      </c>
      <c r="J12670" s="1" t="str">
        <f t="shared" si="3"/>
        <v/>
      </c>
      <c r="K12670" s="1" t="str">
        <f t="shared" si="4"/>
        <v/>
      </c>
    </row>
    <row r="12671">
      <c r="F12671" s="1" t="str">
        <f t="shared" si="1"/>
        <v/>
      </c>
      <c r="G12671" s="1" t="str">
        <f t="shared" si="2"/>
        <v/>
      </c>
      <c r="J12671" s="1" t="str">
        <f t="shared" si="3"/>
        <v/>
      </c>
      <c r="K12671" s="1" t="str">
        <f t="shared" si="4"/>
        <v/>
      </c>
    </row>
    <row r="12672">
      <c r="F12672" s="1" t="str">
        <f t="shared" si="1"/>
        <v/>
      </c>
      <c r="G12672" s="1" t="str">
        <f t="shared" si="2"/>
        <v/>
      </c>
      <c r="J12672" s="1" t="str">
        <f t="shared" si="3"/>
        <v/>
      </c>
      <c r="K12672" s="1" t="str">
        <f t="shared" si="4"/>
        <v/>
      </c>
    </row>
    <row r="12673">
      <c r="F12673" s="1" t="str">
        <f t="shared" si="1"/>
        <v/>
      </c>
      <c r="G12673" s="1" t="str">
        <f t="shared" si="2"/>
        <v/>
      </c>
      <c r="J12673" s="1" t="str">
        <f t="shared" si="3"/>
        <v/>
      </c>
      <c r="K12673" s="1" t="str">
        <f t="shared" si="4"/>
        <v/>
      </c>
    </row>
    <row r="12674">
      <c r="F12674" s="1" t="str">
        <f t="shared" si="1"/>
        <v/>
      </c>
      <c r="G12674" s="1" t="str">
        <f t="shared" si="2"/>
        <v/>
      </c>
      <c r="J12674" s="1" t="str">
        <f t="shared" si="3"/>
        <v/>
      </c>
      <c r="K12674" s="1" t="str">
        <f t="shared" si="4"/>
        <v/>
      </c>
    </row>
    <row r="12675">
      <c r="F12675" s="1" t="str">
        <f t="shared" si="1"/>
        <v/>
      </c>
      <c r="G12675" s="1" t="str">
        <f t="shared" si="2"/>
        <v/>
      </c>
      <c r="J12675" s="1" t="str">
        <f t="shared" si="3"/>
        <v/>
      </c>
      <c r="K12675" s="1" t="str">
        <f t="shared" si="4"/>
        <v/>
      </c>
    </row>
    <row r="12676">
      <c r="F12676" s="1" t="str">
        <f t="shared" si="1"/>
        <v/>
      </c>
      <c r="G12676" s="1" t="str">
        <f t="shared" si="2"/>
        <v/>
      </c>
      <c r="J12676" s="1" t="str">
        <f t="shared" si="3"/>
        <v/>
      </c>
      <c r="K12676" s="1" t="str">
        <f t="shared" si="4"/>
        <v/>
      </c>
    </row>
    <row r="12677">
      <c r="F12677" s="1" t="str">
        <f t="shared" si="1"/>
        <v/>
      </c>
      <c r="G12677" s="1" t="str">
        <f t="shared" si="2"/>
        <v/>
      </c>
      <c r="J12677" s="1" t="str">
        <f t="shared" si="3"/>
        <v/>
      </c>
      <c r="K12677" s="1" t="str">
        <f t="shared" si="4"/>
        <v/>
      </c>
    </row>
    <row r="12678">
      <c r="F12678" s="1" t="str">
        <f t="shared" si="1"/>
        <v/>
      </c>
      <c r="G12678" s="1" t="str">
        <f t="shared" si="2"/>
        <v/>
      </c>
      <c r="J12678" s="1" t="str">
        <f t="shared" si="3"/>
        <v/>
      </c>
      <c r="K12678" s="1" t="str">
        <f t="shared" si="4"/>
        <v/>
      </c>
    </row>
    <row r="12679">
      <c r="F12679" s="1" t="str">
        <f t="shared" si="1"/>
        <v/>
      </c>
      <c r="G12679" s="1" t="str">
        <f t="shared" si="2"/>
        <v/>
      </c>
      <c r="J12679" s="1" t="str">
        <f t="shared" si="3"/>
        <v/>
      </c>
      <c r="K12679" s="1" t="str">
        <f t="shared" si="4"/>
        <v/>
      </c>
    </row>
    <row r="12680">
      <c r="F12680" s="1" t="str">
        <f t="shared" si="1"/>
        <v/>
      </c>
      <c r="G12680" s="1" t="str">
        <f t="shared" si="2"/>
        <v/>
      </c>
      <c r="J12680" s="1" t="str">
        <f t="shared" si="3"/>
        <v/>
      </c>
      <c r="K12680" s="1" t="str">
        <f t="shared" si="4"/>
        <v/>
      </c>
    </row>
    <row r="12681">
      <c r="F12681" s="1" t="str">
        <f t="shared" si="1"/>
        <v/>
      </c>
      <c r="G12681" s="1" t="str">
        <f t="shared" si="2"/>
        <v/>
      </c>
      <c r="J12681" s="1" t="str">
        <f t="shared" si="3"/>
        <v/>
      </c>
      <c r="K12681" s="1" t="str">
        <f t="shared" si="4"/>
        <v/>
      </c>
    </row>
    <row r="12682">
      <c r="F12682" s="1" t="str">
        <f t="shared" si="1"/>
        <v/>
      </c>
      <c r="G12682" s="1" t="str">
        <f t="shared" si="2"/>
        <v/>
      </c>
      <c r="J12682" s="1" t="str">
        <f t="shared" si="3"/>
        <v/>
      </c>
      <c r="K12682" s="1" t="str">
        <f t="shared" si="4"/>
        <v/>
      </c>
    </row>
    <row r="12683">
      <c r="F12683" s="1" t="str">
        <f t="shared" si="1"/>
        <v/>
      </c>
      <c r="G12683" s="1" t="str">
        <f t="shared" si="2"/>
        <v/>
      </c>
      <c r="J12683" s="1" t="str">
        <f t="shared" si="3"/>
        <v/>
      </c>
      <c r="K12683" s="1" t="str">
        <f t="shared" si="4"/>
        <v/>
      </c>
    </row>
    <row r="12684">
      <c r="F12684" s="1" t="str">
        <f t="shared" si="1"/>
        <v/>
      </c>
      <c r="G12684" s="1" t="str">
        <f t="shared" si="2"/>
        <v/>
      </c>
      <c r="J12684" s="1" t="str">
        <f t="shared" si="3"/>
        <v/>
      </c>
      <c r="K12684" s="1" t="str">
        <f t="shared" si="4"/>
        <v/>
      </c>
    </row>
    <row r="12685">
      <c r="F12685" s="1" t="str">
        <f t="shared" si="1"/>
        <v/>
      </c>
      <c r="G12685" s="1" t="str">
        <f t="shared" si="2"/>
        <v/>
      </c>
      <c r="J12685" s="1" t="str">
        <f t="shared" si="3"/>
        <v/>
      </c>
      <c r="K12685" s="1" t="str">
        <f t="shared" si="4"/>
        <v/>
      </c>
    </row>
    <row r="12686">
      <c r="F12686" s="1" t="str">
        <f t="shared" si="1"/>
        <v/>
      </c>
      <c r="G12686" s="1" t="str">
        <f t="shared" si="2"/>
        <v/>
      </c>
      <c r="J12686" s="1" t="str">
        <f t="shared" si="3"/>
        <v/>
      </c>
      <c r="K12686" s="1" t="str">
        <f t="shared" si="4"/>
        <v/>
      </c>
    </row>
    <row r="12687">
      <c r="F12687" s="1" t="str">
        <f t="shared" si="1"/>
        <v/>
      </c>
      <c r="G12687" s="1" t="str">
        <f t="shared" si="2"/>
        <v/>
      </c>
      <c r="J12687" s="1" t="str">
        <f t="shared" si="3"/>
        <v/>
      </c>
      <c r="K12687" s="1" t="str">
        <f t="shared" si="4"/>
        <v/>
      </c>
    </row>
    <row r="12688">
      <c r="F12688" s="1" t="str">
        <f t="shared" si="1"/>
        <v/>
      </c>
      <c r="G12688" s="1" t="str">
        <f t="shared" si="2"/>
        <v/>
      </c>
      <c r="J12688" s="1" t="str">
        <f t="shared" si="3"/>
        <v/>
      </c>
      <c r="K12688" s="1" t="str">
        <f t="shared" si="4"/>
        <v/>
      </c>
    </row>
    <row r="12689">
      <c r="F12689" s="1" t="str">
        <f t="shared" si="1"/>
        <v/>
      </c>
      <c r="G12689" s="1" t="str">
        <f t="shared" si="2"/>
        <v/>
      </c>
      <c r="J12689" s="1" t="str">
        <f t="shared" si="3"/>
        <v/>
      </c>
      <c r="K12689" s="1" t="str">
        <f t="shared" si="4"/>
        <v/>
      </c>
    </row>
    <row r="12690">
      <c r="F12690" s="1" t="str">
        <f t="shared" si="1"/>
        <v/>
      </c>
      <c r="G12690" s="1" t="str">
        <f t="shared" si="2"/>
        <v/>
      </c>
      <c r="J12690" s="1" t="str">
        <f t="shared" si="3"/>
        <v/>
      </c>
      <c r="K12690" s="1" t="str">
        <f t="shared" si="4"/>
        <v/>
      </c>
    </row>
    <row r="12691">
      <c r="F12691" s="1" t="str">
        <f t="shared" si="1"/>
        <v/>
      </c>
      <c r="G12691" s="1" t="str">
        <f t="shared" si="2"/>
        <v/>
      </c>
      <c r="J12691" s="1" t="str">
        <f t="shared" si="3"/>
        <v/>
      </c>
      <c r="K12691" s="1" t="str">
        <f t="shared" si="4"/>
        <v/>
      </c>
    </row>
    <row r="12692">
      <c r="F12692" s="1" t="str">
        <f t="shared" si="1"/>
        <v/>
      </c>
      <c r="G12692" s="1" t="str">
        <f t="shared" si="2"/>
        <v/>
      </c>
      <c r="J12692" s="1" t="str">
        <f t="shared" si="3"/>
        <v/>
      </c>
      <c r="K12692" s="1" t="str">
        <f t="shared" si="4"/>
        <v/>
      </c>
    </row>
    <row r="12693">
      <c r="F12693" s="1" t="str">
        <f t="shared" si="1"/>
        <v/>
      </c>
      <c r="G12693" s="1" t="str">
        <f t="shared" si="2"/>
        <v/>
      </c>
      <c r="J12693" s="1" t="str">
        <f t="shared" si="3"/>
        <v/>
      </c>
      <c r="K12693" s="1" t="str">
        <f t="shared" si="4"/>
        <v/>
      </c>
    </row>
    <row r="12694">
      <c r="F12694" s="1" t="str">
        <f t="shared" si="1"/>
        <v/>
      </c>
      <c r="G12694" s="1" t="str">
        <f t="shared" si="2"/>
        <v/>
      </c>
      <c r="J12694" s="1" t="str">
        <f t="shared" si="3"/>
        <v/>
      </c>
      <c r="K12694" s="1" t="str">
        <f t="shared" si="4"/>
        <v/>
      </c>
    </row>
    <row r="12695">
      <c r="F12695" s="1" t="str">
        <f t="shared" si="1"/>
        <v/>
      </c>
      <c r="G12695" s="1" t="str">
        <f t="shared" si="2"/>
        <v/>
      </c>
      <c r="J12695" s="1" t="str">
        <f t="shared" si="3"/>
        <v/>
      </c>
      <c r="K12695" s="1" t="str">
        <f t="shared" si="4"/>
        <v/>
      </c>
    </row>
    <row r="12696">
      <c r="F12696" s="1" t="str">
        <f t="shared" si="1"/>
        <v/>
      </c>
      <c r="G12696" s="1" t="str">
        <f t="shared" si="2"/>
        <v/>
      </c>
      <c r="J12696" s="1" t="str">
        <f t="shared" si="3"/>
        <v/>
      </c>
      <c r="K12696" s="1" t="str">
        <f t="shared" si="4"/>
        <v/>
      </c>
    </row>
    <row r="12697">
      <c r="F12697" s="1" t="str">
        <f t="shared" si="1"/>
        <v/>
      </c>
      <c r="G12697" s="1" t="str">
        <f t="shared" si="2"/>
        <v/>
      </c>
      <c r="J12697" s="1" t="str">
        <f t="shared" si="3"/>
        <v/>
      </c>
      <c r="K12697" s="1" t="str">
        <f t="shared" si="4"/>
        <v/>
      </c>
    </row>
    <row r="12698">
      <c r="F12698" s="1" t="str">
        <f t="shared" si="1"/>
        <v/>
      </c>
      <c r="G12698" s="1" t="str">
        <f t="shared" si="2"/>
        <v/>
      </c>
      <c r="J12698" s="1" t="str">
        <f t="shared" si="3"/>
        <v/>
      </c>
      <c r="K12698" s="1" t="str">
        <f t="shared" si="4"/>
        <v/>
      </c>
    </row>
    <row r="12699">
      <c r="F12699" s="1" t="str">
        <f t="shared" si="1"/>
        <v/>
      </c>
      <c r="G12699" s="1" t="str">
        <f t="shared" si="2"/>
        <v/>
      </c>
      <c r="J12699" s="1" t="str">
        <f t="shared" si="3"/>
        <v/>
      </c>
      <c r="K12699" s="1" t="str">
        <f t="shared" si="4"/>
        <v/>
      </c>
    </row>
    <row r="12700">
      <c r="F12700" s="1" t="str">
        <f t="shared" si="1"/>
        <v/>
      </c>
      <c r="G12700" s="1" t="str">
        <f t="shared" si="2"/>
        <v/>
      </c>
      <c r="J12700" s="1" t="str">
        <f t="shared" si="3"/>
        <v/>
      </c>
      <c r="K12700" s="1" t="str">
        <f t="shared" si="4"/>
        <v/>
      </c>
    </row>
    <row r="12701">
      <c r="F12701" s="1" t="str">
        <f t="shared" si="1"/>
        <v/>
      </c>
      <c r="G12701" s="1" t="str">
        <f t="shared" si="2"/>
        <v/>
      </c>
      <c r="J12701" s="1" t="str">
        <f t="shared" si="3"/>
        <v/>
      </c>
      <c r="K12701" s="1" t="str">
        <f t="shared" si="4"/>
        <v/>
      </c>
    </row>
    <row r="12702">
      <c r="F12702" s="1" t="str">
        <f t="shared" si="1"/>
        <v/>
      </c>
      <c r="G12702" s="1" t="str">
        <f t="shared" si="2"/>
        <v/>
      </c>
      <c r="J12702" s="1" t="str">
        <f t="shared" si="3"/>
        <v/>
      </c>
      <c r="K12702" s="1" t="str">
        <f t="shared" si="4"/>
        <v/>
      </c>
    </row>
    <row r="12703">
      <c r="F12703" s="1" t="str">
        <f t="shared" si="1"/>
        <v/>
      </c>
      <c r="G12703" s="1" t="str">
        <f t="shared" si="2"/>
        <v/>
      </c>
      <c r="J12703" s="1" t="str">
        <f t="shared" si="3"/>
        <v/>
      </c>
      <c r="K12703" s="1" t="str">
        <f t="shared" si="4"/>
        <v/>
      </c>
    </row>
    <row r="12704">
      <c r="F12704" s="1" t="str">
        <f t="shared" si="1"/>
        <v/>
      </c>
      <c r="G12704" s="1" t="str">
        <f t="shared" si="2"/>
        <v/>
      </c>
      <c r="J12704" s="1" t="str">
        <f t="shared" si="3"/>
        <v/>
      </c>
      <c r="K12704" s="1" t="str">
        <f t="shared" si="4"/>
        <v/>
      </c>
    </row>
    <row r="12705">
      <c r="F12705" s="1" t="str">
        <f t="shared" si="1"/>
        <v/>
      </c>
      <c r="G12705" s="1" t="str">
        <f t="shared" si="2"/>
        <v/>
      </c>
      <c r="J12705" s="1" t="str">
        <f t="shared" si="3"/>
        <v/>
      </c>
      <c r="K12705" s="1" t="str">
        <f t="shared" si="4"/>
        <v/>
      </c>
    </row>
    <row r="12706">
      <c r="F12706" s="1" t="str">
        <f t="shared" si="1"/>
        <v/>
      </c>
      <c r="G12706" s="1" t="str">
        <f t="shared" si="2"/>
        <v/>
      </c>
      <c r="J12706" s="1" t="str">
        <f t="shared" si="3"/>
        <v/>
      </c>
      <c r="K12706" s="1" t="str">
        <f t="shared" si="4"/>
        <v/>
      </c>
    </row>
    <row r="12707">
      <c r="F12707" s="1" t="str">
        <f t="shared" si="1"/>
        <v/>
      </c>
      <c r="G12707" s="1" t="str">
        <f t="shared" si="2"/>
        <v/>
      </c>
      <c r="J12707" s="1" t="str">
        <f t="shared" si="3"/>
        <v/>
      </c>
      <c r="K12707" s="1" t="str">
        <f t="shared" si="4"/>
        <v/>
      </c>
    </row>
    <row r="12708">
      <c r="F12708" s="1" t="str">
        <f t="shared" si="1"/>
        <v/>
      </c>
      <c r="G12708" s="1" t="str">
        <f t="shared" si="2"/>
        <v/>
      </c>
      <c r="J12708" s="1" t="str">
        <f t="shared" si="3"/>
        <v/>
      </c>
      <c r="K12708" s="1" t="str">
        <f t="shared" si="4"/>
        <v/>
      </c>
    </row>
    <row r="12709">
      <c r="F12709" s="1" t="str">
        <f t="shared" si="1"/>
        <v/>
      </c>
      <c r="G12709" s="1" t="str">
        <f t="shared" si="2"/>
        <v/>
      </c>
      <c r="J12709" s="1" t="str">
        <f t="shared" si="3"/>
        <v/>
      </c>
      <c r="K12709" s="1" t="str">
        <f t="shared" si="4"/>
        <v/>
      </c>
    </row>
    <row r="12710">
      <c r="F12710" s="1" t="str">
        <f t="shared" si="1"/>
        <v/>
      </c>
      <c r="G12710" s="1" t="str">
        <f t="shared" si="2"/>
        <v/>
      </c>
      <c r="J12710" s="1" t="str">
        <f t="shared" si="3"/>
        <v/>
      </c>
      <c r="K12710" s="1" t="str">
        <f t="shared" si="4"/>
        <v/>
      </c>
    </row>
    <row r="12711">
      <c r="F12711" s="1" t="str">
        <f t="shared" si="1"/>
        <v/>
      </c>
      <c r="G12711" s="1" t="str">
        <f t="shared" si="2"/>
        <v/>
      </c>
      <c r="J12711" s="1" t="str">
        <f t="shared" si="3"/>
        <v/>
      </c>
      <c r="K12711" s="1" t="str">
        <f t="shared" si="4"/>
        <v/>
      </c>
    </row>
    <row r="12712">
      <c r="F12712" s="1" t="str">
        <f t="shared" si="1"/>
        <v/>
      </c>
      <c r="G12712" s="1" t="str">
        <f t="shared" si="2"/>
        <v/>
      </c>
      <c r="J12712" s="1" t="str">
        <f t="shared" si="3"/>
        <v/>
      </c>
      <c r="K12712" s="1" t="str">
        <f t="shared" si="4"/>
        <v/>
      </c>
    </row>
    <row r="12713">
      <c r="F12713" s="1" t="str">
        <f t="shared" si="1"/>
        <v/>
      </c>
      <c r="G12713" s="1" t="str">
        <f t="shared" si="2"/>
        <v/>
      </c>
      <c r="J12713" s="1" t="str">
        <f t="shared" si="3"/>
        <v/>
      </c>
      <c r="K12713" s="1" t="str">
        <f t="shared" si="4"/>
        <v/>
      </c>
    </row>
    <row r="12714">
      <c r="F12714" s="1" t="str">
        <f t="shared" si="1"/>
        <v/>
      </c>
      <c r="G12714" s="1" t="str">
        <f t="shared" si="2"/>
        <v/>
      </c>
      <c r="J12714" s="1" t="str">
        <f t="shared" si="3"/>
        <v/>
      </c>
      <c r="K12714" s="1" t="str">
        <f t="shared" si="4"/>
        <v/>
      </c>
    </row>
    <row r="12715">
      <c r="F12715" s="1" t="str">
        <f t="shared" si="1"/>
        <v/>
      </c>
      <c r="G12715" s="1" t="str">
        <f t="shared" si="2"/>
        <v/>
      </c>
      <c r="J12715" s="1" t="str">
        <f t="shared" si="3"/>
        <v/>
      </c>
      <c r="K12715" s="1" t="str">
        <f t="shared" si="4"/>
        <v/>
      </c>
    </row>
    <row r="12716">
      <c r="F12716" s="1" t="str">
        <f t="shared" si="1"/>
        <v/>
      </c>
      <c r="G12716" s="1" t="str">
        <f t="shared" si="2"/>
        <v/>
      </c>
      <c r="J12716" s="1" t="str">
        <f t="shared" si="3"/>
        <v/>
      </c>
      <c r="K12716" s="1" t="str">
        <f t="shared" si="4"/>
        <v/>
      </c>
    </row>
    <row r="12717">
      <c r="F12717" s="1" t="str">
        <f t="shared" si="1"/>
        <v/>
      </c>
      <c r="G12717" s="1" t="str">
        <f t="shared" si="2"/>
        <v/>
      </c>
      <c r="J12717" s="1" t="str">
        <f t="shared" si="3"/>
        <v/>
      </c>
      <c r="K12717" s="1" t="str">
        <f t="shared" si="4"/>
        <v/>
      </c>
    </row>
    <row r="12718">
      <c r="F12718" s="1" t="str">
        <f t="shared" si="1"/>
        <v/>
      </c>
      <c r="G12718" s="1" t="str">
        <f t="shared" si="2"/>
        <v/>
      </c>
      <c r="J12718" s="1" t="str">
        <f t="shared" si="3"/>
        <v/>
      </c>
      <c r="K12718" s="1" t="str">
        <f t="shared" si="4"/>
        <v/>
      </c>
    </row>
    <row r="12719">
      <c r="F12719" s="1" t="str">
        <f t="shared" si="1"/>
        <v/>
      </c>
      <c r="G12719" s="1" t="str">
        <f t="shared" si="2"/>
        <v/>
      </c>
      <c r="J12719" s="1" t="str">
        <f t="shared" si="3"/>
        <v/>
      </c>
      <c r="K12719" s="1" t="str">
        <f t="shared" si="4"/>
        <v/>
      </c>
    </row>
    <row r="12720">
      <c r="F12720" s="1" t="str">
        <f t="shared" si="1"/>
        <v/>
      </c>
      <c r="G12720" s="1" t="str">
        <f t="shared" si="2"/>
        <v/>
      </c>
      <c r="J12720" s="1" t="str">
        <f t="shared" si="3"/>
        <v/>
      </c>
      <c r="K12720" s="1" t="str">
        <f t="shared" si="4"/>
        <v/>
      </c>
    </row>
    <row r="12721">
      <c r="F12721" s="1" t="str">
        <f t="shared" si="1"/>
        <v/>
      </c>
      <c r="G12721" s="1" t="str">
        <f t="shared" si="2"/>
        <v/>
      </c>
      <c r="J12721" s="1" t="str">
        <f t="shared" si="3"/>
        <v/>
      </c>
      <c r="K12721" s="1" t="str">
        <f t="shared" si="4"/>
        <v/>
      </c>
    </row>
    <row r="12722">
      <c r="F12722" s="1" t="str">
        <f t="shared" si="1"/>
        <v/>
      </c>
      <c r="G12722" s="1" t="str">
        <f t="shared" si="2"/>
        <v/>
      </c>
      <c r="J12722" s="1" t="str">
        <f t="shared" si="3"/>
        <v/>
      </c>
      <c r="K12722" s="1" t="str">
        <f t="shared" si="4"/>
        <v/>
      </c>
    </row>
    <row r="12723">
      <c r="F12723" s="1" t="str">
        <f t="shared" si="1"/>
        <v/>
      </c>
      <c r="G12723" s="1" t="str">
        <f t="shared" si="2"/>
        <v/>
      </c>
      <c r="J12723" s="1" t="str">
        <f t="shared" si="3"/>
        <v/>
      </c>
      <c r="K12723" s="1" t="str">
        <f t="shared" si="4"/>
        <v/>
      </c>
    </row>
    <row r="12724">
      <c r="F12724" s="1" t="str">
        <f t="shared" si="1"/>
        <v/>
      </c>
      <c r="G12724" s="1" t="str">
        <f t="shared" si="2"/>
        <v/>
      </c>
      <c r="J12724" s="1" t="str">
        <f t="shared" si="3"/>
        <v/>
      </c>
      <c r="K12724" s="1" t="str">
        <f t="shared" si="4"/>
        <v/>
      </c>
    </row>
    <row r="12725">
      <c r="F12725" s="1" t="str">
        <f t="shared" si="1"/>
        <v/>
      </c>
      <c r="G12725" s="1" t="str">
        <f t="shared" si="2"/>
        <v/>
      </c>
      <c r="J12725" s="1" t="str">
        <f t="shared" si="3"/>
        <v/>
      </c>
      <c r="K12725" s="1" t="str">
        <f t="shared" si="4"/>
        <v/>
      </c>
    </row>
    <row r="12726">
      <c r="F12726" s="1" t="str">
        <f t="shared" si="1"/>
        <v/>
      </c>
      <c r="G12726" s="1" t="str">
        <f t="shared" si="2"/>
        <v/>
      </c>
      <c r="J12726" s="1" t="str">
        <f t="shared" si="3"/>
        <v/>
      </c>
      <c r="K12726" s="1" t="str">
        <f t="shared" si="4"/>
        <v/>
      </c>
    </row>
    <row r="12727">
      <c r="F12727" s="1" t="str">
        <f t="shared" si="1"/>
        <v/>
      </c>
      <c r="G12727" s="1" t="str">
        <f t="shared" si="2"/>
        <v/>
      </c>
      <c r="J12727" s="1" t="str">
        <f t="shared" si="3"/>
        <v/>
      </c>
      <c r="K12727" s="1" t="str">
        <f t="shared" si="4"/>
        <v/>
      </c>
    </row>
    <row r="12728">
      <c r="F12728" s="1" t="str">
        <f t="shared" si="1"/>
        <v/>
      </c>
      <c r="G12728" s="1" t="str">
        <f t="shared" si="2"/>
        <v/>
      </c>
      <c r="J12728" s="1" t="str">
        <f t="shared" si="3"/>
        <v/>
      </c>
      <c r="K12728" s="1" t="str">
        <f t="shared" si="4"/>
        <v/>
      </c>
    </row>
    <row r="12729">
      <c r="F12729" s="1" t="str">
        <f t="shared" si="1"/>
        <v/>
      </c>
      <c r="G12729" s="1" t="str">
        <f t="shared" si="2"/>
        <v/>
      </c>
      <c r="J12729" s="1" t="str">
        <f t="shared" si="3"/>
        <v/>
      </c>
      <c r="K12729" s="1" t="str">
        <f t="shared" si="4"/>
        <v/>
      </c>
    </row>
    <row r="12730">
      <c r="F12730" s="1" t="str">
        <f t="shared" si="1"/>
        <v/>
      </c>
      <c r="G12730" s="1" t="str">
        <f t="shared" si="2"/>
        <v/>
      </c>
      <c r="J12730" s="1" t="str">
        <f t="shared" si="3"/>
        <v/>
      </c>
      <c r="K12730" s="1" t="str">
        <f t="shared" si="4"/>
        <v/>
      </c>
    </row>
    <row r="12731">
      <c r="F12731" s="1" t="str">
        <f t="shared" si="1"/>
        <v/>
      </c>
      <c r="G12731" s="1" t="str">
        <f t="shared" si="2"/>
        <v/>
      </c>
      <c r="J12731" s="1" t="str">
        <f t="shared" si="3"/>
        <v/>
      </c>
      <c r="K12731" s="1" t="str">
        <f t="shared" si="4"/>
        <v/>
      </c>
    </row>
    <row r="12732">
      <c r="F12732" s="1" t="str">
        <f t="shared" si="1"/>
        <v/>
      </c>
      <c r="G12732" s="1" t="str">
        <f t="shared" si="2"/>
        <v/>
      </c>
      <c r="J12732" s="1" t="str">
        <f t="shared" si="3"/>
        <v/>
      </c>
      <c r="K12732" s="1" t="str">
        <f t="shared" si="4"/>
        <v/>
      </c>
    </row>
    <row r="12733">
      <c r="F12733" s="1" t="str">
        <f t="shared" si="1"/>
        <v/>
      </c>
      <c r="G12733" s="1" t="str">
        <f t="shared" si="2"/>
        <v/>
      </c>
      <c r="J12733" s="1" t="str">
        <f t="shared" si="3"/>
        <v/>
      </c>
      <c r="K12733" s="1" t="str">
        <f t="shared" si="4"/>
        <v/>
      </c>
    </row>
    <row r="12734">
      <c r="F12734" s="1" t="str">
        <f t="shared" si="1"/>
        <v/>
      </c>
      <c r="G12734" s="1" t="str">
        <f t="shared" si="2"/>
        <v/>
      </c>
      <c r="J12734" s="1" t="str">
        <f t="shared" si="3"/>
        <v/>
      </c>
      <c r="K12734" s="1" t="str">
        <f t="shared" si="4"/>
        <v/>
      </c>
    </row>
    <row r="12735">
      <c r="F12735" s="1" t="str">
        <f t="shared" si="1"/>
        <v/>
      </c>
      <c r="G12735" s="1" t="str">
        <f t="shared" si="2"/>
        <v/>
      </c>
      <c r="J12735" s="1" t="str">
        <f t="shared" si="3"/>
        <v/>
      </c>
      <c r="K12735" s="1" t="str">
        <f t="shared" si="4"/>
        <v/>
      </c>
    </row>
    <row r="12736">
      <c r="F12736" s="1" t="str">
        <f t="shared" si="1"/>
        <v/>
      </c>
      <c r="G12736" s="1" t="str">
        <f t="shared" si="2"/>
        <v/>
      </c>
      <c r="J12736" s="1" t="str">
        <f t="shared" si="3"/>
        <v/>
      </c>
      <c r="K12736" s="1" t="str">
        <f t="shared" si="4"/>
        <v/>
      </c>
    </row>
    <row r="12737">
      <c r="F12737" s="1" t="str">
        <f t="shared" si="1"/>
        <v/>
      </c>
      <c r="G12737" s="1" t="str">
        <f t="shared" si="2"/>
        <v/>
      </c>
      <c r="J12737" s="1" t="str">
        <f t="shared" si="3"/>
        <v/>
      </c>
      <c r="K12737" s="1" t="str">
        <f t="shared" si="4"/>
        <v/>
      </c>
    </row>
    <row r="12738">
      <c r="F12738" s="1" t="str">
        <f t="shared" si="1"/>
        <v/>
      </c>
      <c r="G12738" s="1" t="str">
        <f t="shared" si="2"/>
        <v/>
      </c>
      <c r="J12738" s="1" t="str">
        <f t="shared" si="3"/>
        <v/>
      </c>
      <c r="K12738" s="1" t="str">
        <f t="shared" si="4"/>
        <v/>
      </c>
    </row>
    <row r="12739">
      <c r="F12739" s="1" t="str">
        <f t="shared" si="1"/>
        <v/>
      </c>
      <c r="G12739" s="1" t="str">
        <f t="shared" si="2"/>
        <v/>
      </c>
      <c r="J12739" s="1" t="str">
        <f t="shared" si="3"/>
        <v/>
      </c>
      <c r="K12739" s="1" t="str">
        <f t="shared" si="4"/>
        <v/>
      </c>
    </row>
    <row r="12740">
      <c r="F12740" s="1" t="str">
        <f t="shared" si="1"/>
        <v/>
      </c>
      <c r="G12740" s="1" t="str">
        <f t="shared" si="2"/>
        <v/>
      </c>
      <c r="J12740" s="1" t="str">
        <f t="shared" si="3"/>
        <v/>
      </c>
      <c r="K12740" s="1" t="str">
        <f t="shared" si="4"/>
        <v/>
      </c>
    </row>
    <row r="12741">
      <c r="F12741" s="1" t="str">
        <f t="shared" si="1"/>
        <v/>
      </c>
      <c r="G12741" s="1" t="str">
        <f t="shared" si="2"/>
        <v/>
      </c>
      <c r="J12741" s="1" t="str">
        <f t="shared" si="3"/>
        <v/>
      </c>
      <c r="K12741" s="1" t="str">
        <f t="shared" si="4"/>
        <v/>
      </c>
    </row>
    <row r="12742">
      <c r="F12742" s="1" t="str">
        <f t="shared" si="1"/>
        <v/>
      </c>
      <c r="G12742" s="1" t="str">
        <f t="shared" si="2"/>
        <v/>
      </c>
      <c r="J12742" s="1" t="str">
        <f t="shared" si="3"/>
        <v/>
      </c>
      <c r="K12742" s="1" t="str">
        <f t="shared" si="4"/>
        <v/>
      </c>
    </row>
    <row r="12743">
      <c r="F12743" s="1" t="str">
        <f t="shared" si="1"/>
        <v/>
      </c>
      <c r="G12743" s="1" t="str">
        <f t="shared" si="2"/>
        <v/>
      </c>
      <c r="J12743" s="1" t="str">
        <f t="shared" si="3"/>
        <v/>
      </c>
      <c r="K12743" s="1" t="str">
        <f t="shared" si="4"/>
        <v/>
      </c>
    </row>
    <row r="12744">
      <c r="F12744" s="1" t="str">
        <f t="shared" si="1"/>
        <v/>
      </c>
      <c r="G12744" s="1" t="str">
        <f t="shared" si="2"/>
        <v/>
      </c>
      <c r="J12744" s="1" t="str">
        <f t="shared" si="3"/>
        <v/>
      </c>
      <c r="K12744" s="1" t="str">
        <f t="shared" si="4"/>
        <v/>
      </c>
    </row>
    <row r="12745">
      <c r="F12745" s="1" t="str">
        <f t="shared" si="1"/>
        <v/>
      </c>
      <c r="G12745" s="1" t="str">
        <f t="shared" si="2"/>
        <v/>
      </c>
      <c r="J12745" s="1" t="str">
        <f t="shared" si="3"/>
        <v/>
      </c>
      <c r="K12745" s="1" t="str">
        <f t="shared" si="4"/>
        <v/>
      </c>
    </row>
    <row r="12746">
      <c r="F12746" s="1" t="str">
        <f t="shared" si="1"/>
        <v/>
      </c>
      <c r="G12746" s="1" t="str">
        <f t="shared" si="2"/>
        <v/>
      </c>
      <c r="J12746" s="1" t="str">
        <f t="shared" si="3"/>
        <v/>
      </c>
      <c r="K12746" s="1" t="str">
        <f t="shared" si="4"/>
        <v/>
      </c>
    </row>
    <row r="12747">
      <c r="F12747" s="1" t="str">
        <f t="shared" si="1"/>
        <v/>
      </c>
      <c r="G12747" s="1" t="str">
        <f t="shared" si="2"/>
        <v/>
      </c>
      <c r="J12747" s="1" t="str">
        <f t="shared" si="3"/>
        <v/>
      </c>
      <c r="K12747" s="1" t="str">
        <f t="shared" si="4"/>
        <v/>
      </c>
    </row>
    <row r="12748">
      <c r="F12748" s="1" t="str">
        <f t="shared" si="1"/>
        <v/>
      </c>
      <c r="G12748" s="1" t="str">
        <f t="shared" si="2"/>
        <v/>
      </c>
      <c r="J12748" s="1" t="str">
        <f t="shared" si="3"/>
        <v/>
      </c>
      <c r="K12748" s="1" t="str">
        <f t="shared" si="4"/>
        <v/>
      </c>
    </row>
    <row r="12749">
      <c r="F12749" s="1" t="str">
        <f t="shared" si="1"/>
        <v/>
      </c>
      <c r="G12749" s="1" t="str">
        <f t="shared" si="2"/>
        <v/>
      </c>
      <c r="J12749" s="1" t="str">
        <f t="shared" si="3"/>
        <v/>
      </c>
      <c r="K12749" s="1" t="str">
        <f t="shared" si="4"/>
        <v/>
      </c>
    </row>
    <row r="12750">
      <c r="F12750" s="1" t="str">
        <f t="shared" si="1"/>
        <v/>
      </c>
      <c r="G12750" s="1" t="str">
        <f t="shared" si="2"/>
        <v/>
      </c>
      <c r="J12750" s="1" t="str">
        <f t="shared" si="3"/>
        <v/>
      </c>
      <c r="K12750" s="1" t="str">
        <f t="shared" si="4"/>
        <v/>
      </c>
    </row>
    <row r="12751">
      <c r="F12751" s="1" t="str">
        <f t="shared" si="1"/>
        <v/>
      </c>
      <c r="G12751" s="1" t="str">
        <f t="shared" si="2"/>
        <v/>
      </c>
      <c r="J12751" s="1" t="str">
        <f t="shared" si="3"/>
        <v/>
      </c>
      <c r="K12751" s="1" t="str">
        <f t="shared" si="4"/>
        <v/>
      </c>
    </row>
    <row r="12752">
      <c r="F12752" s="1" t="str">
        <f t="shared" si="1"/>
        <v/>
      </c>
      <c r="G12752" s="1" t="str">
        <f t="shared" si="2"/>
        <v/>
      </c>
      <c r="J12752" s="1" t="str">
        <f t="shared" si="3"/>
        <v/>
      </c>
      <c r="K12752" s="1" t="str">
        <f t="shared" si="4"/>
        <v/>
      </c>
    </row>
    <row r="12753">
      <c r="F12753" s="1" t="str">
        <f t="shared" si="1"/>
        <v/>
      </c>
      <c r="G12753" s="1" t="str">
        <f t="shared" si="2"/>
        <v/>
      </c>
      <c r="J12753" s="1" t="str">
        <f t="shared" si="3"/>
        <v/>
      </c>
      <c r="K12753" s="1" t="str">
        <f t="shared" si="4"/>
        <v/>
      </c>
    </row>
    <row r="12754">
      <c r="F12754" s="1" t="str">
        <f t="shared" si="1"/>
        <v/>
      </c>
      <c r="G12754" s="1" t="str">
        <f t="shared" si="2"/>
        <v/>
      </c>
      <c r="J12754" s="1" t="str">
        <f t="shared" si="3"/>
        <v/>
      </c>
      <c r="K12754" s="1" t="str">
        <f t="shared" si="4"/>
        <v/>
      </c>
    </row>
    <row r="12755">
      <c r="F12755" s="1" t="str">
        <f t="shared" si="1"/>
        <v/>
      </c>
      <c r="G12755" s="1" t="str">
        <f t="shared" si="2"/>
        <v/>
      </c>
      <c r="J12755" s="1" t="str">
        <f t="shared" si="3"/>
        <v/>
      </c>
      <c r="K12755" s="1" t="str">
        <f t="shared" si="4"/>
        <v/>
      </c>
    </row>
    <row r="12756">
      <c r="F12756" s="1" t="str">
        <f t="shared" si="1"/>
        <v/>
      </c>
      <c r="G12756" s="1" t="str">
        <f t="shared" si="2"/>
        <v/>
      </c>
      <c r="J12756" s="1" t="str">
        <f t="shared" si="3"/>
        <v/>
      </c>
      <c r="K12756" s="1" t="str">
        <f t="shared" si="4"/>
        <v/>
      </c>
    </row>
    <row r="12757">
      <c r="F12757" s="1" t="str">
        <f t="shared" si="1"/>
        <v/>
      </c>
      <c r="G12757" s="1" t="str">
        <f t="shared" si="2"/>
        <v/>
      </c>
      <c r="J12757" s="1" t="str">
        <f t="shared" si="3"/>
        <v/>
      </c>
      <c r="K12757" s="1" t="str">
        <f t="shared" si="4"/>
        <v/>
      </c>
    </row>
    <row r="12758">
      <c r="F12758" s="1" t="str">
        <f t="shared" si="1"/>
        <v/>
      </c>
      <c r="G12758" s="1" t="str">
        <f t="shared" si="2"/>
        <v/>
      </c>
      <c r="J12758" s="1" t="str">
        <f t="shared" si="3"/>
        <v/>
      </c>
      <c r="K12758" s="1" t="str">
        <f t="shared" si="4"/>
        <v/>
      </c>
    </row>
    <row r="12759">
      <c r="F12759" s="1" t="str">
        <f t="shared" si="1"/>
        <v/>
      </c>
      <c r="G12759" s="1" t="str">
        <f t="shared" si="2"/>
        <v/>
      </c>
      <c r="J12759" s="1" t="str">
        <f t="shared" si="3"/>
        <v/>
      </c>
      <c r="K12759" s="1" t="str">
        <f t="shared" si="4"/>
        <v/>
      </c>
    </row>
    <row r="12760">
      <c r="F12760" s="1" t="str">
        <f t="shared" si="1"/>
        <v/>
      </c>
      <c r="G12760" s="1" t="str">
        <f t="shared" si="2"/>
        <v/>
      </c>
      <c r="J12760" s="1" t="str">
        <f t="shared" si="3"/>
        <v/>
      </c>
      <c r="K12760" s="1" t="str">
        <f t="shared" si="4"/>
        <v/>
      </c>
    </row>
    <row r="12761">
      <c r="F12761" s="1" t="str">
        <f t="shared" si="1"/>
        <v/>
      </c>
      <c r="G12761" s="1" t="str">
        <f t="shared" si="2"/>
        <v/>
      </c>
      <c r="J12761" s="1" t="str">
        <f t="shared" si="3"/>
        <v/>
      </c>
      <c r="K12761" s="1" t="str">
        <f t="shared" si="4"/>
        <v/>
      </c>
    </row>
    <row r="12762">
      <c r="F12762" s="1" t="str">
        <f t="shared" si="1"/>
        <v/>
      </c>
      <c r="G12762" s="1" t="str">
        <f t="shared" si="2"/>
        <v/>
      </c>
      <c r="J12762" s="1" t="str">
        <f t="shared" si="3"/>
        <v/>
      </c>
      <c r="K12762" s="1" t="str">
        <f t="shared" si="4"/>
        <v/>
      </c>
    </row>
    <row r="12763">
      <c r="F12763" s="1" t="str">
        <f t="shared" si="1"/>
        <v/>
      </c>
      <c r="G12763" s="1" t="str">
        <f t="shared" si="2"/>
        <v/>
      </c>
      <c r="J12763" s="1" t="str">
        <f t="shared" si="3"/>
        <v/>
      </c>
      <c r="K12763" s="1" t="str">
        <f t="shared" si="4"/>
        <v/>
      </c>
    </row>
    <row r="12764">
      <c r="F12764" s="1" t="str">
        <f t="shared" si="1"/>
        <v/>
      </c>
      <c r="G12764" s="1" t="str">
        <f t="shared" si="2"/>
        <v/>
      </c>
      <c r="J12764" s="1" t="str">
        <f t="shared" si="3"/>
        <v/>
      </c>
      <c r="K12764" s="1" t="str">
        <f t="shared" si="4"/>
        <v/>
      </c>
    </row>
    <row r="12765">
      <c r="F12765" s="1" t="str">
        <f t="shared" si="1"/>
        <v/>
      </c>
      <c r="G12765" s="1" t="str">
        <f t="shared" si="2"/>
        <v/>
      </c>
      <c r="J12765" s="1" t="str">
        <f t="shared" si="3"/>
        <v/>
      </c>
      <c r="K12765" s="1" t="str">
        <f t="shared" si="4"/>
        <v/>
      </c>
    </row>
    <row r="12766">
      <c r="F12766" s="1" t="str">
        <f t="shared" si="1"/>
        <v/>
      </c>
      <c r="G12766" s="1" t="str">
        <f t="shared" si="2"/>
        <v/>
      </c>
      <c r="J12766" s="1" t="str">
        <f t="shared" si="3"/>
        <v/>
      </c>
      <c r="K12766" s="1" t="str">
        <f t="shared" si="4"/>
        <v/>
      </c>
    </row>
    <row r="12767">
      <c r="F12767" s="1" t="str">
        <f t="shared" si="1"/>
        <v/>
      </c>
      <c r="G12767" s="1" t="str">
        <f t="shared" si="2"/>
        <v/>
      </c>
      <c r="J12767" s="1" t="str">
        <f t="shared" si="3"/>
        <v/>
      </c>
      <c r="K12767" s="1" t="str">
        <f t="shared" si="4"/>
        <v/>
      </c>
    </row>
    <row r="12768">
      <c r="F12768" s="1" t="str">
        <f t="shared" si="1"/>
        <v/>
      </c>
      <c r="G12768" s="1" t="str">
        <f t="shared" si="2"/>
        <v/>
      </c>
      <c r="J12768" s="1" t="str">
        <f t="shared" si="3"/>
        <v/>
      </c>
      <c r="K12768" s="1" t="str">
        <f t="shared" si="4"/>
        <v/>
      </c>
    </row>
    <row r="12769">
      <c r="F12769" s="1" t="str">
        <f t="shared" si="1"/>
        <v/>
      </c>
      <c r="G12769" s="1" t="str">
        <f t="shared" si="2"/>
        <v/>
      </c>
      <c r="J12769" s="1" t="str">
        <f t="shared" si="3"/>
        <v/>
      </c>
      <c r="K12769" s="1" t="str">
        <f t="shared" si="4"/>
        <v/>
      </c>
    </row>
    <row r="12770">
      <c r="F12770" s="1" t="str">
        <f t="shared" si="1"/>
        <v/>
      </c>
      <c r="G12770" s="1" t="str">
        <f t="shared" si="2"/>
        <v/>
      </c>
      <c r="J12770" s="1" t="str">
        <f t="shared" si="3"/>
        <v/>
      </c>
      <c r="K12770" s="1" t="str">
        <f t="shared" si="4"/>
        <v/>
      </c>
    </row>
    <row r="12771">
      <c r="F12771" s="1" t="str">
        <f t="shared" si="1"/>
        <v/>
      </c>
      <c r="G12771" s="1" t="str">
        <f t="shared" si="2"/>
        <v/>
      </c>
      <c r="J12771" s="1" t="str">
        <f t="shared" si="3"/>
        <v/>
      </c>
      <c r="K12771" s="1" t="str">
        <f t="shared" si="4"/>
        <v/>
      </c>
    </row>
    <row r="12772">
      <c r="F12772" s="1" t="str">
        <f t="shared" si="1"/>
        <v/>
      </c>
      <c r="G12772" s="1" t="str">
        <f t="shared" si="2"/>
        <v/>
      </c>
      <c r="J12772" s="1" t="str">
        <f t="shared" si="3"/>
        <v/>
      </c>
      <c r="K12772" s="1" t="str">
        <f t="shared" si="4"/>
        <v/>
      </c>
    </row>
    <row r="12773">
      <c r="F12773" s="1" t="str">
        <f t="shared" si="1"/>
        <v/>
      </c>
      <c r="G12773" s="1" t="str">
        <f t="shared" si="2"/>
        <v/>
      </c>
      <c r="J12773" s="1" t="str">
        <f t="shared" si="3"/>
        <v/>
      </c>
      <c r="K12773" s="1" t="str">
        <f t="shared" si="4"/>
        <v/>
      </c>
    </row>
    <row r="12774">
      <c r="F12774" s="1" t="str">
        <f t="shared" si="1"/>
        <v/>
      </c>
      <c r="G12774" s="1" t="str">
        <f t="shared" si="2"/>
        <v/>
      </c>
      <c r="J12774" s="1" t="str">
        <f t="shared" si="3"/>
        <v/>
      </c>
      <c r="K12774" s="1" t="str">
        <f t="shared" si="4"/>
        <v/>
      </c>
    </row>
    <row r="12775">
      <c r="F12775" s="1" t="str">
        <f t="shared" si="1"/>
        <v/>
      </c>
      <c r="G12775" s="1" t="str">
        <f t="shared" si="2"/>
        <v/>
      </c>
      <c r="J12775" s="1" t="str">
        <f t="shared" si="3"/>
        <v/>
      </c>
      <c r="K12775" s="1" t="str">
        <f t="shared" si="4"/>
        <v/>
      </c>
    </row>
    <row r="12776">
      <c r="F12776" s="1" t="str">
        <f t="shared" si="1"/>
        <v/>
      </c>
      <c r="G12776" s="1" t="str">
        <f t="shared" si="2"/>
        <v/>
      </c>
      <c r="J12776" s="1" t="str">
        <f t="shared" si="3"/>
        <v/>
      </c>
      <c r="K12776" s="1" t="str">
        <f t="shared" si="4"/>
        <v/>
      </c>
    </row>
    <row r="12777">
      <c r="F12777" s="1" t="str">
        <f t="shared" si="1"/>
        <v/>
      </c>
      <c r="G12777" s="1" t="str">
        <f t="shared" si="2"/>
        <v/>
      </c>
      <c r="J12777" s="1" t="str">
        <f t="shared" si="3"/>
        <v/>
      </c>
      <c r="K12777" s="1" t="str">
        <f t="shared" si="4"/>
        <v/>
      </c>
    </row>
    <row r="12778">
      <c r="F12778" s="1" t="str">
        <f t="shared" si="1"/>
        <v/>
      </c>
      <c r="G12778" s="1" t="str">
        <f t="shared" si="2"/>
        <v/>
      </c>
      <c r="J12778" s="1" t="str">
        <f t="shared" si="3"/>
        <v/>
      </c>
      <c r="K12778" s="1" t="str">
        <f t="shared" si="4"/>
        <v/>
      </c>
    </row>
    <row r="12779">
      <c r="F12779" s="1" t="str">
        <f t="shared" si="1"/>
        <v/>
      </c>
      <c r="G12779" s="1" t="str">
        <f t="shared" si="2"/>
        <v/>
      </c>
      <c r="J12779" s="1" t="str">
        <f t="shared" si="3"/>
        <v/>
      </c>
      <c r="K12779" s="1" t="str">
        <f t="shared" si="4"/>
        <v/>
      </c>
    </row>
    <row r="12780">
      <c r="F12780" s="1" t="str">
        <f t="shared" si="1"/>
        <v/>
      </c>
      <c r="G12780" s="1" t="str">
        <f t="shared" si="2"/>
        <v/>
      </c>
      <c r="J12780" s="1" t="str">
        <f t="shared" si="3"/>
        <v/>
      </c>
      <c r="K12780" s="1" t="str">
        <f t="shared" si="4"/>
        <v/>
      </c>
    </row>
    <row r="12781">
      <c r="F12781" s="1" t="str">
        <f t="shared" si="1"/>
        <v/>
      </c>
      <c r="G12781" s="1" t="str">
        <f t="shared" si="2"/>
        <v/>
      </c>
      <c r="J12781" s="1" t="str">
        <f t="shared" si="3"/>
        <v/>
      </c>
      <c r="K12781" s="1" t="str">
        <f t="shared" si="4"/>
        <v/>
      </c>
    </row>
    <row r="12782">
      <c r="F12782" s="1" t="str">
        <f t="shared" si="1"/>
        <v/>
      </c>
      <c r="G12782" s="1" t="str">
        <f t="shared" si="2"/>
        <v/>
      </c>
      <c r="J12782" s="1" t="str">
        <f t="shared" si="3"/>
        <v/>
      </c>
      <c r="K12782" s="1" t="str">
        <f t="shared" si="4"/>
        <v/>
      </c>
    </row>
    <row r="12783">
      <c r="F12783" s="1" t="str">
        <f t="shared" si="1"/>
        <v/>
      </c>
      <c r="G12783" s="1" t="str">
        <f t="shared" si="2"/>
        <v/>
      </c>
      <c r="J12783" s="1" t="str">
        <f t="shared" si="3"/>
        <v/>
      </c>
      <c r="K12783" s="1" t="str">
        <f t="shared" si="4"/>
        <v/>
      </c>
    </row>
    <row r="12784">
      <c r="F12784" s="1" t="str">
        <f t="shared" si="1"/>
        <v/>
      </c>
      <c r="G12784" s="1" t="str">
        <f t="shared" si="2"/>
        <v/>
      </c>
      <c r="J12784" s="1" t="str">
        <f t="shared" si="3"/>
        <v/>
      </c>
      <c r="K12784" s="1" t="str">
        <f t="shared" si="4"/>
        <v/>
      </c>
    </row>
    <row r="12785">
      <c r="F12785" s="1" t="str">
        <f t="shared" si="1"/>
        <v/>
      </c>
      <c r="G12785" s="1" t="str">
        <f t="shared" si="2"/>
        <v/>
      </c>
      <c r="J12785" s="1" t="str">
        <f t="shared" si="3"/>
        <v/>
      </c>
      <c r="K12785" s="1" t="str">
        <f t="shared" si="4"/>
        <v/>
      </c>
    </row>
    <row r="12786">
      <c r="F12786" s="1" t="str">
        <f t="shared" si="1"/>
        <v/>
      </c>
      <c r="G12786" s="1" t="str">
        <f t="shared" si="2"/>
        <v/>
      </c>
      <c r="J12786" s="1" t="str">
        <f t="shared" si="3"/>
        <v/>
      </c>
      <c r="K12786" s="1" t="str">
        <f t="shared" si="4"/>
        <v/>
      </c>
    </row>
    <row r="12787">
      <c r="F12787" s="1" t="str">
        <f t="shared" si="1"/>
        <v/>
      </c>
      <c r="G12787" s="1" t="str">
        <f t="shared" si="2"/>
        <v/>
      </c>
      <c r="J12787" s="1" t="str">
        <f t="shared" si="3"/>
        <v/>
      </c>
      <c r="K12787" s="1" t="str">
        <f t="shared" si="4"/>
        <v/>
      </c>
    </row>
    <row r="12788">
      <c r="F12788" s="1" t="str">
        <f t="shared" si="1"/>
        <v/>
      </c>
      <c r="G12788" s="1" t="str">
        <f t="shared" si="2"/>
        <v/>
      </c>
      <c r="J12788" s="1" t="str">
        <f t="shared" si="3"/>
        <v/>
      </c>
      <c r="K12788" s="1" t="str">
        <f t="shared" si="4"/>
        <v/>
      </c>
    </row>
    <row r="12789">
      <c r="F12789" s="1" t="str">
        <f t="shared" si="1"/>
        <v/>
      </c>
      <c r="G12789" s="1" t="str">
        <f t="shared" si="2"/>
        <v/>
      </c>
      <c r="J12789" s="1" t="str">
        <f t="shared" si="3"/>
        <v/>
      </c>
      <c r="K12789" s="1" t="str">
        <f t="shared" si="4"/>
        <v/>
      </c>
    </row>
    <row r="12790">
      <c r="F12790" s="1" t="str">
        <f t="shared" si="1"/>
        <v/>
      </c>
      <c r="G12790" s="1" t="str">
        <f t="shared" si="2"/>
        <v/>
      </c>
      <c r="J12790" s="1" t="str">
        <f t="shared" si="3"/>
        <v/>
      </c>
      <c r="K12790" s="1" t="str">
        <f t="shared" si="4"/>
        <v/>
      </c>
    </row>
    <row r="12791">
      <c r="F12791" s="1" t="str">
        <f t="shared" si="1"/>
        <v/>
      </c>
      <c r="G12791" s="1" t="str">
        <f t="shared" si="2"/>
        <v/>
      </c>
      <c r="J12791" s="1" t="str">
        <f t="shared" si="3"/>
        <v/>
      </c>
      <c r="K12791" s="1" t="str">
        <f t="shared" si="4"/>
        <v/>
      </c>
    </row>
    <row r="12792">
      <c r="F12792" s="1" t="str">
        <f t="shared" si="1"/>
        <v/>
      </c>
      <c r="G12792" s="1" t="str">
        <f t="shared" si="2"/>
        <v/>
      </c>
      <c r="J12792" s="1" t="str">
        <f t="shared" si="3"/>
        <v/>
      </c>
      <c r="K12792" s="1" t="str">
        <f t="shared" si="4"/>
        <v/>
      </c>
    </row>
    <row r="12793">
      <c r="F12793" s="1" t="str">
        <f t="shared" si="1"/>
        <v/>
      </c>
      <c r="G12793" s="1" t="str">
        <f t="shared" si="2"/>
        <v/>
      </c>
      <c r="J12793" s="1" t="str">
        <f t="shared" si="3"/>
        <v/>
      </c>
      <c r="K12793" s="1" t="str">
        <f t="shared" si="4"/>
        <v/>
      </c>
    </row>
    <row r="12794">
      <c r="F12794" s="1" t="str">
        <f t="shared" si="1"/>
        <v/>
      </c>
      <c r="G12794" s="1" t="str">
        <f t="shared" si="2"/>
        <v/>
      </c>
      <c r="J12794" s="1" t="str">
        <f t="shared" si="3"/>
        <v/>
      </c>
      <c r="K12794" s="1" t="str">
        <f t="shared" si="4"/>
        <v/>
      </c>
    </row>
    <row r="12795">
      <c r="F12795" s="1" t="str">
        <f t="shared" si="1"/>
        <v/>
      </c>
      <c r="G12795" s="1" t="str">
        <f t="shared" si="2"/>
        <v/>
      </c>
      <c r="J12795" s="1" t="str">
        <f t="shared" si="3"/>
        <v/>
      </c>
      <c r="K12795" s="1" t="str">
        <f t="shared" si="4"/>
        <v/>
      </c>
    </row>
    <row r="12796">
      <c r="F12796" s="1" t="str">
        <f t="shared" si="1"/>
        <v/>
      </c>
      <c r="G12796" s="1" t="str">
        <f t="shared" si="2"/>
        <v/>
      </c>
      <c r="J12796" s="1" t="str">
        <f t="shared" si="3"/>
        <v/>
      </c>
      <c r="K12796" s="1" t="str">
        <f t="shared" si="4"/>
        <v/>
      </c>
    </row>
    <row r="12797">
      <c r="F12797" s="1" t="str">
        <f t="shared" si="1"/>
        <v/>
      </c>
      <c r="G12797" s="1" t="str">
        <f t="shared" si="2"/>
        <v/>
      </c>
      <c r="J12797" s="1" t="str">
        <f t="shared" si="3"/>
        <v/>
      </c>
      <c r="K12797" s="1" t="str">
        <f t="shared" si="4"/>
        <v/>
      </c>
    </row>
    <row r="12798">
      <c r="F12798" s="1" t="str">
        <f t="shared" si="1"/>
        <v/>
      </c>
      <c r="G12798" s="1" t="str">
        <f t="shared" si="2"/>
        <v/>
      </c>
      <c r="J12798" s="1" t="str">
        <f t="shared" si="3"/>
        <v/>
      </c>
      <c r="K12798" s="1" t="str">
        <f t="shared" si="4"/>
        <v/>
      </c>
    </row>
    <row r="12799">
      <c r="F12799" s="1" t="str">
        <f t="shared" si="1"/>
        <v/>
      </c>
      <c r="G12799" s="1" t="str">
        <f t="shared" si="2"/>
        <v/>
      </c>
      <c r="J12799" s="1" t="str">
        <f t="shared" si="3"/>
        <v/>
      </c>
      <c r="K12799" s="1" t="str">
        <f t="shared" si="4"/>
        <v/>
      </c>
    </row>
    <row r="12800">
      <c r="F12800" s="1" t="str">
        <f t="shared" si="1"/>
        <v/>
      </c>
      <c r="G12800" s="1" t="str">
        <f t="shared" si="2"/>
        <v/>
      </c>
      <c r="J12800" s="1" t="str">
        <f t="shared" si="3"/>
        <v/>
      </c>
      <c r="K12800" s="1" t="str">
        <f t="shared" si="4"/>
        <v/>
      </c>
    </row>
    <row r="12801">
      <c r="F12801" s="1" t="str">
        <f t="shared" si="1"/>
        <v/>
      </c>
      <c r="G12801" s="1" t="str">
        <f t="shared" si="2"/>
        <v/>
      </c>
      <c r="J12801" s="1" t="str">
        <f t="shared" si="3"/>
        <v/>
      </c>
      <c r="K12801" s="1" t="str">
        <f t="shared" si="4"/>
        <v/>
      </c>
    </row>
    <row r="12802">
      <c r="F12802" s="1" t="str">
        <f t="shared" si="1"/>
        <v/>
      </c>
      <c r="G12802" s="1" t="str">
        <f t="shared" si="2"/>
        <v/>
      </c>
      <c r="J12802" s="1" t="str">
        <f t="shared" si="3"/>
        <v/>
      </c>
      <c r="K12802" s="1" t="str">
        <f t="shared" si="4"/>
        <v/>
      </c>
    </row>
    <row r="12803">
      <c r="F12803" s="1" t="str">
        <f t="shared" si="1"/>
        <v/>
      </c>
      <c r="G12803" s="1" t="str">
        <f t="shared" si="2"/>
        <v/>
      </c>
      <c r="J12803" s="1" t="str">
        <f t="shared" si="3"/>
        <v/>
      </c>
      <c r="K12803" s="1" t="str">
        <f t="shared" si="4"/>
        <v/>
      </c>
    </row>
    <row r="12804">
      <c r="F12804" s="1" t="str">
        <f t="shared" si="1"/>
        <v/>
      </c>
      <c r="G12804" s="1" t="str">
        <f t="shared" si="2"/>
        <v/>
      </c>
      <c r="J12804" s="1" t="str">
        <f t="shared" si="3"/>
        <v/>
      </c>
      <c r="K12804" s="1" t="str">
        <f t="shared" si="4"/>
        <v/>
      </c>
    </row>
    <row r="12805">
      <c r="F12805" s="1" t="str">
        <f t="shared" si="1"/>
        <v/>
      </c>
      <c r="G12805" s="1" t="str">
        <f t="shared" si="2"/>
        <v/>
      </c>
      <c r="J12805" s="1" t="str">
        <f t="shared" si="3"/>
        <v/>
      </c>
      <c r="K12805" s="1" t="str">
        <f t="shared" si="4"/>
        <v/>
      </c>
    </row>
    <row r="12806">
      <c r="F12806" s="1" t="str">
        <f t="shared" si="1"/>
        <v/>
      </c>
      <c r="G12806" s="1" t="str">
        <f t="shared" si="2"/>
        <v/>
      </c>
      <c r="J12806" s="1" t="str">
        <f t="shared" si="3"/>
        <v/>
      </c>
      <c r="K12806" s="1" t="str">
        <f t="shared" si="4"/>
        <v/>
      </c>
    </row>
    <row r="12807">
      <c r="F12807" s="1" t="str">
        <f t="shared" si="1"/>
        <v/>
      </c>
      <c r="G12807" s="1" t="str">
        <f t="shared" si="2"/>
        <v/>
      </c>
      <c r="J12807" s="1" t="str">
        <f t="shared" si="3"/>
        <v/>
      </c>
      <c r="K12807" s="1" t="str">
        <f t="shared" si="4"/>
        <v/>
      </c>
    </row>
    <row r="12808">
      <c r="F12808" s="1" t="str">
        <f t="shared" si="1"/>
        <v/>
      </c>
      <c r="G12808" s="1" t="str">
        <f t="shared" si="2"/>
        <v/>
      </c>
      <c r="J12808" s="1" t="str">
        <f t="shared" si="3"/>
        <v/>
      </c>
      <c r="K12808" s="1" t="str">
        <f t="shared" si="4"/>
        <v/>
      </c>
    </row>
    <row r="12809">
      <c r="F12809" s="1" t="str">
        <f t="shared" si="1"/>
        <v/>
      </c>
      <c r="G12809" s="1" t="str">
        <f t="shared" si="2"/>
        <v/>
      </c>
      <c r="J12809" s="1" t="str">
        <f t="shared" si="3"/>
        <v/>
      </c>
      <c r="K12809" s="1" t="str">
        <f t="shared" si="4"/>
        <v/>
      </c>
    </row>
    <row r="12810">
      <c r="F12810" s="1" t="str">
        <f t="shared" si="1"/>
        <v/>
      </c>
      <c r="G12810" s="1" t="str">
        <f t="shared" si="2"/>
        <v/>
      </c>
      <c r="J12810" s="1" t="str">
        <f t="shared" si="3"/>
        <v/>
      </c>
      <c r="K12810" s="1" t="str">
        <f t="shared" si="4"/>
        <v/>
      </c>
    </row>
    <row r="12811">
      <c r="F12811" s="1" t="str">
        <f t="shared" si="1"/>
        <v/>
      </c>
      <c r="G12811" s="1" t="str">
        <f t="shared" si="2"/>
        <v/>
      </c>
      <c r="J12811" s="1" t="str">
        <f t="shared" si="3"/>
        <v/>
      </c>
      <c r="K12811" s="1" t="str">
        <f t="shared" si="4"/>
        <v/>
      </c>
    </row>
    <row r="12812">
      <c r="F12812" s="1" t="str">
        <f t="shared" si="1"/>
        <v/>
      </c>
      <c r="G12812" s="1" t="str">
        <f t="shared" si="2"/>
        <v/>
      </c>
      <c r="J12812" s="1" t="str">
        <f t="shared" si="3"/>
        <v/>
      </c>
      <c r="K12812" s="1" t="str">
        <f t="shared" si="4"/>
        <v/>
      </c>
    </row>
    <row r="12813">
      <c r="F12813" s="1" t="str">
        <f t="shared" si="1"/>
        <v/>
      </c>
      <c r="G12813" s="1" t="str">
        <f t="shared" si="2"/>
        <v/>
      </c>
      <c r="J12813" s="1" t="str">
        <f t="shared" si="3"/>
        <v/>
      </c>
      <c r="K12813" s="1" t="str">
        <f t="shared" si="4"/>
        <v/>
      </c>
    </row>
    <row r="12814">
      <c r="F12814" s="1" t="str">
        <f t="shared" si="1"/>
        <v/>
      </c>
      <c r="G12814" s="1" t="str">
        <f t="shared" si="2"/>
        <v/>
      </c>
      <c r="J12814" s="1" t="str">
        <f t="shared" si="3"/>
        <v/>
      </c>
      <c r="K12814" s="1" t="str">
        <f t="shared" si="4"/>
        <v/>
      </c>
    </row>
    <row r="12815">
      <c r="F12815" s="1" t="str">
        <f t="shared" si="1"/>
        <v/>
      </c>
      <c r="G12815" s="1" t="str">
        <f t="shared" si="2"/>
        <v/>
      </c>
      <c r="J12815" s="1" t="str">
        <f t="shared" si="3"/>
        <v/>
      </c>
      <c r="K12815" s="1" t="str">
        <f t="shared" si="4"/>
        <v/>
      </c>
    </row>
    <row r="12816">
      <c r="F12816" s="1" t="str">
        <f t="shared" si="1"/>
        <v/>
      </c>
      <c r="G12816" s="1" t="str">
        <f t="shared" si="2"/>
        <v/>
      </c>
      <c r="J12816" s="1" t="str">
        <f t="shared" si="3"/>
        <v/>
      </c>
      <c r="K12816" s="1" t="str">
        <f t="shared" si="4"/>
        <v/>
      </c>
    </row>
    <row r="12817">
      <c r="F12817" s="1" t="str">
        <f t="shared" si="1"/>
        <v/>
      </c>
      <c r="G12817" s="1" t="str">
        <f t="shared" si="2"/>
        <v/>
      </c>
      <c r="J12817" s="1" t="str">
        <f t="shared" si="3"/>
        <v/>
      </c>
      <c r="K12817" s="1" t="str">
        <f t="shared" si="4"/>
        <v/>
      </c>
    </row>
    <row r="12818">
      <c r="F12818" s="1" t="str">
        <f t="shared" si="1"/>
        <v/>
      </c>
      <c r="G12818" s="1" t="str">
        <f t="shared" si="2"/>
        <v/>
      </c>
      <c r="J12818" s="1" t="str">
        <f t="shared" si="3"/>
        <v/>
      </c>
      <c r="K12818" s="1" t="str">
        <f t="shared" si="4"/>
        <v/>
      </c>
    </row>
    <row r="12819">
      <c r="F12819" s="1" t="str">
        <f t="shared" si="1"/>
        <v/>
      </c>
      <c r="G12819" s="1" t="str">
        <f t="shared" si="2"/>
        <v/>
      </c>
      <c r="J12819" s="1" t="str">
        <f t="shared" si="3"/>
        <v/>
      </c>
      <c r="K12819" s="1" t="str">
        <f t="shared" si="4"/>
        <v/>
      </c>
    </row>
    <row r="12820">
      <c r="F12820" s="1" t="str">
        <f t="shared" si="1"/>
        <v/>
      </c>
      <c r="G12820" s="1" t="str">
        <f t="shared" si="2"/>
        <v/>
      </c>
      <c r="J12820" s="1" t="str">
        <f t="shared" si="3"/>
        <v/>
      </c>
      <c r="K12820" s="1" t="str">
        <f t="shared" si="4"/>
        <v/>
      </c>
    </row>
    <row r="12821">
      <c r="F12821" s="1" t="str">
        <f t="shared" si="1"/>
        <v/>
      </c>
      <c r="G12821" s="1" t="str">
        <f t="shared" si="2"/>
        <v/>
      </c>
      <c r="J12821" s="1" t="str">
        <f t="shared" si="3"/>
        <v/>
      </c>
      <c r="K12821" s="1" t="str">
        <f t="shared" si="4"/>
        <v/>
      </c>
    </row>
    <row r="12822">
      <c r="F12822" s="1" t="str">
        <f t="shared" si="1"/>
        <v/>
      </c>
      <c r="G12822" s="1" t="str">
        <f t="shared" si="2"/>
        <v/>
      </c>
      <c r="J12822" s="1" t="str">
        <f t="shared" si="3"/>
        <v/>
      </c>
      <c r="K12822" s="1" t="str">
        <f t="shared" si="4"/>
        <v/>
      </c>
    </row>
    <row r="12823">
      <c r="F12823" s="1" t="str">
        <f t="shared" si="1"/>
        <v/>
      </c>
      <c r="G12823" s="1" t="str">
        <f t="shared" si="2"/>
        <v/>
      </c>
      <c r="J12823" s="1" t="str">
        <f t="shared" si="3"/>
        <v/>
      </c>
      <c r="K12823" s="1" t="str">
        <f t="shared" si="4"/>
        <v/>
      </c>
    </row>
    <row r="12824">
      <c r="F12824" s="1" t="str">
        <f t="shared" si="1"/>
        <v/>
      </c>
      <c r="G12824" s="1" t="str">
        <f t="shared" si="2"/>
        <v/>
      </c>
      <c r="J12824" s="1" t="str">
        <f t="shared" si="3"/>
        <v/>
      </c>
      <c r="K12824" s="1" t="str">
        <f t="shared" si="4"/>
        <v/>
      </c>
    </row>
    <row r="12825">
      <c r="F12825" s="1" t="str">
        <f t="shared" si="1"/>
        <v/>
      </c>
      <c r="G12825" s="1" t="str">
        <f t="shared" si="2"/>
        <v/>
      </c>
      <c r="J12825" s="1" t="str">
        <f t="shared" si="3"/>
        <v/>
      </c>
      <c r="K12825" s="1" t="str">
        <f t="shared" si="4"/>
        <v/>
      </c>
    </row>
    <row r="12826">
      <c r="F12826" s="1" t="str">
        <f t="shared" si="1"/>
        <v/>
      </c>
      <c r="G12826" s="1" t="str">
        <f t="shared" si="2"/>
        <v/>
      </c>
      <c r="J12826" s="1" t="str">
        <f t="shared" si="3"/>
        <v/>
      </c>
      <c r="K12826" s="1" t="str">
        <f t="shared" si="4"/>
        <v/>
      </c>
    </row>
    <row r="12827">
      <c r="F12827" s="1" t="str">
        <f t="shared" si="1"/>
        <v/>
      </c>
      <c r="G12827" s="1" t="str">
        <f t="shared" si="2"/>
        <v/>
      </c>
      <c r="J12827" s="1" t="str">
        <f t="shared" si="3"/>
        <v/>
      </c>
      <c r="K12827" s="1" t="str">
        <f t="shared" si="4"/>
        <v/>
      </c>
    </row>
    <row r="12828">
      <c r="F12828" s="1" t="str">
        <f t="shared" si="1"/>
        <v/>
      </c>
      <c r="G12828" s="1" t="str">
        <f t="shared" si="2"/>
        <v/>
      </c>
      <c r="J12828" s="1" t="str">
        <f t="shared" si="3"/>
        <v/>
      </c>
      <c r="K12828" s="1" t="str">
        <f t="shared" si="4"/>
        <v/>
      </c>
    </row>
    <row r="12829">
      <c r="F12829" s="1" t="str">
        <f t="shared" si="1"/>
        <v/>
      </c>
      <c r="G12829" s="1" t="str">
        <f t="shared" si="2"/>
        <v/>
      </c>
      <c r="J12829" s="1" t="str">
        <f t="shared" si="3"/>
        <v/>
      </c>
      <c r="K12829" s="1" t="str">
        <f t="shared" si="4"/>
        <v/>
      </c>
    </row>
    <row r="12830">
      <c r="F12830" s="1" t="str">
        <f t="shared" si="1"/>
        <v/>
      </c>
      <c r="G12830" s="1" t="str">
        <f t="shared" si="2"/>
        <v/>
      </c>
      <c r="J12830" s="1" t="str">
        <f t="shared" si="3"/>
        <v/>
      </c>
      <c r="K12830" s="1" t="str">
        <f t="shared" si="4"/>
        <v/>
      </c>
    </row>
    <row r="12831">
      <c r="F12831" s="1" t="str">
        <f t="shared" si="1"/>
        <v/>
      </c>
      <c r="G12831" s="1" t="str">
        <f t="shared" si="2"/>
        <v/>
      </c>
      <c r="J12831" s="1" t="str">
        <f t="shared" si="3"/>
        <v/>
      </c>
      <c r="K12831" s="1" t="str">
        <f t="shared" si="4"/>
        <v/>
      </c>
    </row>
    <row r="12832">
      <c r="F12832" s="1" t="str">
        <f t="shared" si="1"/>
        <v/>
      </c>
      <c r="G12832" s="1" t="str">
        <f t="shared" si="2"/>
        <v/>
      </c>
      <c r="J12832" s="1" t="str">
        <f t="shared" si="3"/>
        <v/>
      </c>
      <c r="K12832" s="1" t="str">
        <f t="shared" si="4"/>
        <v/>
      </c>
    </row>
    <row r="12833">
      <c r="F12833" s="1" t="str">
        <f t="shared" si="1"/>
        <v/>
      </c>
      <c r="G12833" s="1" t="str">
        <f t="shared" si="2"/>
        <v/>
      </c>
      <c r="J12833" s="1" t="str">
        <f t="shared" si="3"/>
        <v/>
      </c>
      <c r="K12833" s="1" t="str">
        <f t="shared" si="4"/>
        <v/>
      </c>
    </row>
    <row r="12834">
      <c r="F12834" s="1" t="str">
        <f t="shared" si="1"/>
        <v/>
      </c>
      <c r="G12834" s="1" t="str">
        <f t="shared" si="2"/>
        <v/>
      </c>
      <c r="J12834" s="1" t="str">
        <f t="shared" si="3"/>
        <v/>
      </c>
      <c r="K12834" s="1" t="str">
        <f t="shared" si="4"/>
        <v/>
      </c>
    </row>
    <row r="12835">
      <c r="F12835" s="1" t="str">
        <f t="shared" si="1"/>
        <v/>
      </c>
      <c r="G12835" s="1" t="str">
        <f t="shared" si="2"/>
        <v/>
      </c>
      <c r="J12835" s="1" t="str">
        <f t="shared" si="3"/>
        <v/>
      </c>
      <c r="K12835" s="1" t="str">
        <f t="shared" si="4"/>
        <v/>
      </c>
    </row>
    <row r="12836">
      <c r="F12836" s="1" t="str">
        <f t="shared" si="1"/>
        <v/>
      </c>
      <c r="G12836" s="1" t="str">
        <f t="shared" si="2"/>
        <v/>
      </c>
      <c r="J12836" s="1" t="str">
        <f t="shared" si="3"/>
        <v/>
      </c>
      <c r="K12836" s="1" t="str">
        <f t="shared" si="4"/>
        <v/>
      </c>
    </row>
    <row r="12837">
      <c r="F12837" s="1" t="str">
        <f t="shared" si="1"/>
        <v/>
      </c>
      <c r="G12837" s="1" t="str">
        <f t="shared" si="2"/>
        <v/>
      </c>
      <c r="J12837" s="1" t="str">
        <f t="shared" si="3"/>
        <v/>
      </c>
      <c r="K12837" s="1" t="str">
        <f t="shared" si="4"/>
        <v/>
      </c>
    </row>
    <row r="12838">
      <c r="F12838" s="1" t="str">
        <f t="shared" si="1"/>
        <v/>
      </c>
      <c r="G12838" s="1" t="str">
        <f t="shared" si="2"/>
        <v/>
      </c>
      <c r="J12838" s="1" t="str">
        <f t="shared" si="3"/>
        <v/>
      </c>
      <c r="K12838" s="1" t="str">
        <f t="shared" si="4"/>
        <v/>
      </c>
    </row>
    <row r="12839">
      <c r="F12839" s="1" t="str">
        <f t="shared" si="1"/>
        <v/>
      </c>
      <c r="G12839" s="1" t="str">
        <f t="shared" si="2"/>
        <v/>
      </c>
      <c r="J12839" s="1" t="str">
        <f t="shared" si="3"/>
        <v/>
      </c>
      <c r="K12839" s="1" t="str">
        <f t="shared" si="4"/>
        <v/>
      </c>
    </row>
    <row r="12840">
      <c r="F12840" s="1" t="str">
        <f t="shared" si="1"/>
        <v/>
      </c>
      <c r="G12840" s="1" t="str">
        <f t="shared" si="2"/>
        <v/>
      </c>
      <c r="J12840" s="1" t="str">
        <f t="shared" si="3"/>
        <v/>
      </c>
      <c r="K12840" s="1" t="str">
        <f t="shared" si="4"/>
        <v/>
      </c>
    </row>
    <row r="12841">
      <c r="F12841" s="1" t="str">
        <f t="shared" si="1"/>
        <v/>
      </c>
      <c r="G12841" s="1" t="str">
        <f t="shared" si="2"/>
        <v/>
      </c>
      <c r="J12841" s="1" t="str">
        <f t="shared" si="3"/>
        <v/>
      </c>
      <c r="K12841" s="1" t="str">
        <f t="shared" si="4"/>
        <v/>
      </c>
    </row>
    <row r="12842">
      <c r="F12842" s="1" t="str">
        <f t="shared" si="1"/>
        <v/>
      </c>
      <c r="G12842" s="1" t="str">
        <f t="shared" si="2"/>
        <v/>
      </c>
      <c r="J12842" s="1" t="str">
        <f t="shared" si="3"/>
        <v/>
      </c>
      <c r="K12842" s="1" t="str">
        <f t="shared" si="4"/>
        <v/>
      </c>
    </row>
    <row r="12843">
      <c r="F12843" s="1" t="str">
        <f t="shared" si="1"/>
        <v/>
      </c>
      <c r="G12843" s="1" t="str">
        <f t="shared" si="2"/>
        <v/>
      </c>
      <c r="J12843" s="1" t="str">
        <f t="shared" si="3"/>
        <v/>
      </c>
      <c r="K12843" s="1" t="str">
        <f t="shared" si="4"/>
        <v/>
      </c>
    </row>
    <row r="12844">
      <c r="F12844" s="1" t="str">
        <f t="shared" si="1"/>
        <v/>
      </c>
      <c r="G12844" s="1" t="str">
        <f t="shared" si="2"/>
        <v/>
      </c>
      <c r="J12844" s="1" t="str">
        <f t="shared" si="3"/>
        <v/>
      </c>
      <c r="K12844" s="1" t="str">
        <f t="shared" si="4"/>
        <v/>
      </c>
    </row>
    <row r="12845">
      <c r="F12845" s="1" t="str">
        <f t="shared" si="1"/>
        <v/>
      </c>
      <c r="G12845" s="1" t="str">
        <f t="shared" si="2"/>
        <v/>
      </c>
      <c r="J12845" s="1" t="str">
        <f t="shared" si="3"/>
        <v/>
      </c>
      <c r="K12845" s="1" t="str">
        <f t="shared" si="4"/>
        <v/>
      </c>
    </row>
    <row r="12846">
      <c r="F12846" s="1" t="str">
        <f t="shared" si="1"/>
        <v/>
      </c>
      <c r="G12846" s="1" t="str">
        <f t="shared" si="2"/>
        <v/>
      </c>
      <c r="J12846" s="1" t="str">
        <f t="shared" si="3"/>
        <v/>
      </c>
      <c r="K12846" s="1" t="str">
        <f t="shared" si="4"/>
        <v/>
      </c>
    </row>
    <row r="12847">
      <c r="F12847" s="1" t="str">
        <f t="shared" si="1"/>
        <v/>
      </c>
      <c r="G12847" s="1" t="str">
        <f t="shared" si="2"/>
        <v/>
      </c>
      <c r="J12847" s="1" t="str">
        <f t="shared" si="3"/>
        <v/>
      </c>
      <c r="K12847" s="1" t="str">
        <f t="shared" si="4"/>
        <v/>
      </c>
    </row>
    <row r="12848">
      <c r="F12848" s="1" t="str">
        <f t="shared" si="1"/>
        <v/>
      </c>
      <c r="G12848" s="1" t="str">
        <f t="shared" si="2"/>
        <v/>
      </c>
      <c r="J12848" s="1" t="str">
        <f t="shared" si="3"/>
        <v/>
      </c>
      <c r="K12848" s="1" t="str">
        <f t="shared" si="4"/>
        <v/>
      </c>
    </row>
    <row r="12849">
      <c r="F12849" s="1" t="str">
        <f t="shared" si="1"/>
        <v/>
      </c>
      <c r="G12849" s="1" t="str">
        <f t="shared" si="2"/>
        <v/>
      </c>
      <c r="J12849" s="1" t="str">
        <f t="shared" si="3"/>
        <v/>
      </c>
      <c r="K12849" s="1" t="str">
        <f t="shared" si="4"/>
        <v/>
      </c>
    </row>
    <row r="12850">
      <c r="F12850" s="1" t="str">
        <f t="shared" si="1"/>
        <v/>
      </c>
      <c r="G12850" s="1" t="str">
        <f t="shared" si="2"/>
        <v/>
      </c>
      <c r="J12850" s="1" t="str">
        <f t="shared" si="3"/>
        <v/>
      </c>
      <c r="K12850" s="1" t="str">
        <f t="shared" si="4"/>
        <v/>
      </c>
    </row>
    <row r="12851">
      <c r="F12851" s="1" t="str">
        <f t="shared" si="1"/>
        <v/>
      </c>
      <c r="G12851" s="1" t="str">
        <f t="shared" si="2"/>
        <v/>
      </c>
      <c r="J12851" s="1" t="str">
        <f t="shared" si="3"/>
        <v/>
      </c>
      <c r="K12851" s="1" t="str">
        <f t="shared" si="4"/>
        <v/>
      </c>
    </row>
    <row r="12852">
      <c r="F12852" s="1" t="str">
        <f t="shared" si="1"/>
        <v/>
      </c>
      <c r="G12852" s="1" t="str">
        <f t="shared" si="2"/>
        <v/>
      </c>
      <c r="J12852" s="1" t="str">
        <f t="shared" si="3"/>
        <v/>
      </c>
      <c r="K12852" s="1" t="str">
        <f t="shared" si="4"/>
        <v/>
      </c>
    </row>
    <row r="12853">
      <c r="F12853" s="1" t="str">
        <f t="shared" si="1"/>
        <v/>
      </c>
      <c r="G12853" s="1" t="str">
        <f t="shared" si="2"/>
        <v/>
      </c>
      <c r="J12853" s="1" t="str">
        <f t="shared" si="3"/>
        <v/>
      </c>
      <c r="K12853" s="1" t="str">
        <f t="shared" si="4"/>
        <v/>
      </c>
    </row>
    <row r="12854">
      <c r="F12854" s="1" t="str">
        <f t="shared" si="1"/>
        <v/>
      </c>
      <c r="G12854" s="1" t="str">
        <f t="shared" si="2"/>
        <v/>
      </c>
      <c r="J12854" s="1" t="str">
        <f t="shared" si="3"/>
        <v/>
      </c>
      <c r="K12854" s="1" t="str">
        <f t="shared" si="4"/>
        <v/>
      </c>
    </row>
    <row r="12855">
      <c r="F12855" s="1" t="str">
        <f t="shared" si="1"/>
        <v/>
      </c>
      <c r="G12855" s="1" t="str">
        <f t="shared" si="2"/>
        <v/>
      </c>
      <c r="J12855" s="1" t="str">
        <f t="shared" si="3"/>
        <v/>
      </c>
      <c r="K12855" s="1" t="str">
        <f t="shared" si="4"/>
        <v/>
      </c>
    </row>
    <row r="12856">
      <c r="F12856" s="1" t="str">
        <f t="shared" si="1"/>
        <v/>
      </c>
      <c r="G12856" s="1" t="str">
        <f t="shared" si="2"/>
        <v/>
      </c>
      <c r="J12856" s="1" t="str">
        <f t="shared" si="3"/>
        <v/>
      </c>
      <c r="K12856" s="1" t="str">
        <f t="shared" si="4"/>
        <v/>
      </c>
    </row>
    <row r="12857">
      <c r="F12857" s="1" t="str">
        <f t="shared" si="1"/>
        <v/>
      </c>
      <c r="G12857" s="1" t="str">
        <f t="shared" si="2"/>
        <v/>
      </c>
      <c r="J12857" s="1" t="str">
        <f t="shared" si="3"/>
        <v/>
      </c>
      <c r="K12857" s="1" t="str">
        <f t="shared" si="4"/>
        <v/>
      </c>
    </row>
    <row r="12858">
      <c r="F12858" s="1" t="str">
        <f t="shared" si="1"/>
        <v/>
      </c>
      <c r="G12858" s="1" t="str">
        <f t="shared" si="2"/>
        <v/>
      </c>
      <c r="J12858" s="1" t="str">
        <f t="shared" si="3"/>
        <v/>
      </c>
      <c r="K12858" s="1" t="str">
        <f t="shared" si="4"/>
        <v/>
      </c>
    </row>
    <row r="12859">
      <c r="F12859" s="1" t="str">
        <f t="shared" si="1"/>
        <v/>
      </c>
      <c r="G12859" s="1" t="str">
        <f t="shared" si="2"/>
        <v/>
      </c>
      <c r="J12859" s="1" t="str">
        <f t="shared" si="3"/>
        <v/>
      </c>
      <c r="K12859" s="1" t="str">
        <f t="shared" si="4"/>
        <v/>
      </c>
    </row>
    <row r="12860">
      <c r="F12860" s="1" t="str">
        <f t="shared" si="1"/>
        <v/>
      </c>
      <c r="G12860" s="1" t="str">
        <f t="shared" si="2"/>
        <v/>
      </c>
      <c r="J12860" s="1" t="str">
        <f t="shared" si="3"/>
        <v/>
      </c>
      <c r="K12860" s="1" t="str">
        <f t="shared" si="4"/>
        <v/>
      </c>
    </row>
    <row r="12861">
      <c r="F12861" s="1" t="str">
        <f t="shared" si="1"/>
        <v/>
      </c>
      <c r="G12861" s="1" t="str">
        <f t="shared" si="2"/>
        <v/>
      </c>
      <c r="J12861" s="1" t="str">
        <f t="shared" si="3"/>
        <v/>
      </c>
      <c r="K12861" s="1" t="str">
        <f t="shared" si="4"/>
        <v/>
      </c>
    </row>
    <row r="12862">
      <c r="F12862" s="1" t="str">
        <f t="shared" si="1"/>
        <v/>
      </c>
      <c r="G12862" s="1" t="str">
        <f t="shared" si="2"/>
        <v/>
      </c>
      <c r="J12862" s="1" t="str">
        <f t="shared" si="3"/>
        <v/>
      </c>
      <c r="K12862" s="1" t="str">
        <f t="shared" si="4"/>
        <v/>
      </c>
    </row>
    <row r="12863">
      <c r="F12863" s="1" t="str">
        <f t="shared" si="1"/>
        <v/>
      </c>
      <c r="G12863" s="1" t="str">
        <f t="shared" si="2"/>
        <v/>
      </c>
      <c r="J12863" s="1" t="str">
        <f t="shared" si="3"/>
        <v/>
      </c>
      <c r="K12863" s="1" t="str">
        <f t="shared" si="4"/>
        <v/>
      </c>
    </row>
    <row r="12864">
      <c r="F12864" s="1" t="str">
        <f t="shared" si="1"/>
        <v/>
      </c>
      <c r="G12864" s="1" t="str">
        <f t="shared" si="2"/>
        <v/>
      </c>
      <c r="J12864" s="1" t="str">
        <f t="shared" si="3"/>
        <v/>
      </c>
      <c r="K12864" s="1" t="str">
        <f t="shared" si="4"/>
        <v/>
      </c>
    </row>
    <row r="12865">
      <c r="F12865" s="1" t="str">
        <f t="shared" si="1"/>
        <v/>
      </c>
      <c r="G12865" s="1" t="str">
        <f t="shared" si="2"/>
        <v/>
      </c>
      <c r="J12865" s="1" t="str">
        <f t="shared" si="3"/>
        <v/>
      </c>
      <c r="K12865" s="1" t="str">
        <f t="shared" si="4"/>
        <v/>
      </c>
    </row>
    <row r="12866">
      <c r="F12866" s="1" t="str">
        <f t="shared" si="1"/>
        <v/>
      </c>
      <c r="G12866" s="1" t="str">
        <f t="shared" si="2"/>
        <v/>
      </c>
      <c r="J12866" s="1" t="str">
        <f t="shared" si="3"/>
        <v/>
      </c>
      <c r="K12866" s="1" t="str">
        <f t="shared" si="4"/>
        <v/>
      </c>
    </row>
    <row r="12867">
      <c r="F12867" s="1" t="str">
        <f t="shared" si="1"/>
        <v/>
      </c>
      <c r="G12867" s="1" t="str">
        <f t="shared" si="2"/>
        <v/>
      </c>
      <c r="J12867" s="1" t="str">
        <f t="shared" si="3"/>
        <v/>
      </c>
      <c r="K12867" s="1" t="str">
        <f t="shared" si="4"/>
        <v/>
      </c>
    </row>
    <row r="12868">
      <c r="F12868" s="1" t="str">
        <f t="shared" si="1"/>
        <v/>
      </c>
      <c r="G12868" s="1" t="str">
        <f t="shared" si="2"/>
        <v/>
      </c>
      <c r="J12868" s="1" t="str">
        <f t="shared" si="3"/>
        <v/>
      </c>
      <c r="K12868" s="1" t="str">
        <f t="shared" si="4"/>
        <v/>
      </c>
    </row>
    <row r="12869">
      <c r="F12869" s="1" t="str">
        <f t="shared" si="1"/>
        <v/>
      </c>
      <c r="G12869" s="1" t="str">
        <f t="shared" si="2"/>
        <v/>
      </c>
      <c r="J12869" s="1" t="str">
        <f t="shared" si="3"/>
        <v/>
      </c>
      <c r="K12869" s="1" t="str">
        <f t="shared" si="4"/>
        <v/>
      </c>
    </row>
    <row r="12870">
      <c r="F12870" s="1" t="str">
        <f t="shared" si="1"/>
        <v/>
      </c>
      <c r="G12870" s="1" t="str">
        <f t="shared" si="2"/>
        <v/>
      </c>
      <c r="J12870" s="1" t="str">
        <f t="shared" si="3"/>
        <v/>
      </c>
      <c r="K12870" s="1" t="str">
        <f t="shared" si="4"/>
        <v/>
      </c>
    </row>
    <row r="12871">
      <c r="F12871" s="1" t="str">
        <f t="shared" si="1"/>
        <v/>
      </c>
      <c r="G12871" s="1" t="str">
        <f t="shared" si="2"/>
        <v/>
      </c>
      <c r="J12871" s="1" t="str">
        <f t="shared" si="3"/>
        <v/>
      </c>
      <c r="K12871" s="1" t="str">
        <f t="shared" si="4"/>
        <v/>
      </c>
    </row>
    <row r="12872">
      <c r="F12872" s="1" t="str">
        <f t="shared" si="1"/>
        <v/>
      </c>
      <c r="G12872" s="1" t="str">
        <f t="shared" si="2"/>
        <v/>
      </c>
      <c r="J12872" s="1" t="str">
        <f t="shared" si="3"/>
        <v/>
      </c>
      <c r="K12872" s="1" t="str">
        <f t="shared" si="4"/>
        <v/>
      </c>
    </row>
    <row r="12873">
      <c r="F12873" s="1" t="str">
        <f t="shared" si="1"/>
        <v/>
      </c>
      <c r="G12873" s="1" t="str">
        <f t="shared" si="2"/>
        <v/>
      </c>
      <c r="J12873" s="1" t="str">
        <f t="shared" si="3"/>
        <v/>
      </c>
      <c r="K12873" s="1" t="str">
        <f t="shared" si="4"/>
        <v/>
      </c>
    </row>
    <row r="12874">
      <c r="F12874" s="1" t="str">
        <f t="shared" si="1"/>
        <v/>
      </c>
      <c r="G12874" s="1" t="str">
        <f t="shared" si="2"/>
        <v/>
      </c>
      <c r="J12874" s="1" t="str">
        <f t="shared" si="3"/>
        <v/>
      </c>
      <c r="K12874" s="1" t="str">
        <f t="shared" si="4"/>
        <v/>
      </c>
    </row>
    <row r="12875">
      <c r="F12875" s="1" t="str">
        <f t="shared" si="1"/>
        <v/>
      </c>
      <c r="G12875" s="1" t="str">
        <f t="shared" si="2"/>
        <v/>
      </c>
      <c r="J12875" s="1" t="str">
        <f t="shared" si="3"/>
        <v/>
      </c>
      <c r="K12875" s="1" t="str">
        <f t="shared" si="4"/>
        <v/>
      </c>
    </row>
    <row r="12876">
      <c r="F12876" s="1" t="str">
        <f t="shared" si="1"/>
        <v/>
      </c>
      <c r="G12876" s="1" t="str">
        <f t="shared" si="2"/>
        <v/>
      </c>
      <c r="J12876" s="1" t="str">
        <f t="shared" si="3"/>
        <v/>
      </c>
      <c r="K12876" s="1" t="str">
        <f t="shared" si="4"/>
        <v/>
      </c>
    </row>
    <row r="12877">
      <c r="F12877" s="1" t="str">
        <f t="shared" si="1"/>
        <v/>
      </c>
      <c r="G12877" s="1" t="str">
        <f t="shared" si="2"/>
        <v/>
      </c>
      <c r="J12877" s="1" t="str">
        <f t="shared" si="3"/>
        <v/>
      </c>
      <c r="K12877" s="1" t="str">
        <f t="shared" si="4"/>
        <v/>
      </c>
    </row>
    <row r="12878">
      <c r="F12878" s="1" t="str">
        <f t="shared" si="1"/>
        <v/>
      </c>
      <c r="G12878" s="1" t="str">
        <f t="shared" si="2"/>
        <v/>
      </c>
      <c r="J12878" s="1" t="str">
        <f t="shared" si="3"/>
        <v/>
      </c>
      <c r="K12878" s="1" t="str">
        <f t="shared" si="4"/>
        <v/>
      </c>
    </row>
    <row r="12879">
      <c r="F12879" s="1" t="str">
        <f t="shared" si="1"/>
        <v/>
      </c>
      <c r="G12879" s="1" t="str">
        <f t="shared" si="2"/>
        <v/>
      </c>
      <c r="J12879" s="1" t="str">
        <f t="shared" si="3"/>
        <v/>
      </c>
      <c r="K12879" s="1" t="str">
        <f t="shared" si="4"/>
        <v/>
      </c>
    </row>
    <row r="12880">
      <c r="F12880" s="1" t="str">
        <f t="shared" si="1"/>
        <v/>
      </c>
      <c r="G12880" s="1" t="str">
        <f t="shared" si="2"/>
        <v/>
      </c>
      <c r="J12880" s="1" t="str">
        <f t="shared" si="3"/>
        <v/>
      </c>
      <c r="K12880" s="1" t="str">
        <f t="shared" si="4"/>
        <v/>
      </c>
    </row>
    <row r="12881">
      <c r="F12881" s="1" t="str">
        <f t="shared" si="1"/>
        <v/>
      </c>
      <c r="G12881" s="1" t="str">
        <f t="shared" si="2"/>
        <v/>
      </c>
      <c r="J12881" s="1" t="str">
        <f t="shared" si="3"/>
        <v/>
      </c>
      <c r="K12881" s="1" t="str">
        <f t="shared" si="4"/>
        <v/>
      </c>
    </row>
    <row r="12882">
      <c r="F12882" s="1" t="str">
        <f t="shared" si="1"/>
        <v/>
      </c>
      <c r="G12882" s="1" t="str">
        <f t="shared" si="2"/>
        <v/>
      </c>
      <c r="J12882" s="1" t="str">
        <f t="shared" si="3"/>
        <v/>
      </c>
      <c r="K12882" s="1" t="str">
        <f t="shared" si="4"/>
        <v/>
      </c>
    </row>
    <row r="12883">
      <c r="F12883" s="1" t="str">
        <f t="shared" si="1"/>
        <v/>
      </c>
      <c r="G12883" s="1" t="str">
        <f t="shared" si="2"/>
        <v/>
      </c>
      <c r="J12883" s="1" t="str">
        <f t="shared" si="3"/>
        <v/>
      </c>
      <c r="K12883" s="1" t="str">
        <f t="shared" si="4"/>
        <v/>
      </c>
    </row>
    <row r="12884">
      <c r="F12884" s="1" t="str">
        <f t="shared" si="1"/>
        <v/>
      </c>
      <c r="G12884" s="1" t="str">
        <f t="shared" si="2"/>
        <v/>
      </c>
      <c r="J12884" s="1" t="str">
        <f t="shared" si="3"/>
        <v/>
      </c>
      <c r="K12884" s="1" t="str">
        <f t="shared" si="4"/>
        <v/>
      </c>
    </row>
    <row r="12885">
      <c r="F12885" s="1" t="str">
        <f t="shared" si="1"/>
        <v/>
      </c>
      <c r="G12885" s="1" t="str">
        <f t="shared" si="2"/>
        <v/>
      </c>
      <c r="J12885" s="1" t="str">
        <f t="shared" si="3"/>
        <v/>
      </c>
      <c r="K12885" s="1" t="str">
        <f t="shared" si="4"/>
        <v/>
      </c>
    </row>
    <row r="12886">
      <c r="F12886" s="1" t="str">
        <f t="shared" si="1"/>
        <v/>
      </c>
      <c r="G12886" s="1" t="str">
        <f t="shared" si="2"/>
        <v/>
      </c>
      <c r="J12886" s="1" t="str">
        <f t="shared" si="3"/>
        <v/>
      </c>
      <c r="K12886" s="1" t="str">
        <f t="shared" si="4"/>
        <v/>
      </c>
    </row>
    <row r="12887">
      <c r="F12887" s="1" t="str">
        <f t="shared" si="1"/>
        <v/>
      </c>
      <c r="G12887" s="1" t="str">
        <f t="shared" si="2"/>
        <v/>
      </c>
      <c r="J12887" s="1" t="str">
        <f t="shared" si="3"/>
        <v/>
      </c>
      <c r="K12887" s="1" t="str">
        <f t="shared" si="4"/>
        <v/>
      </c>
    </row>
    <row r="12888">
      <c r="F12888" s="1" t="str">
        <f t="shared" si="1"/>
        <v/>
      </c>
      <c r="G12888" s="1" t="str">
        <f t="shared" si="2"/>
        <v/>
      </c>
      <c r="J12888" s="1" t="str">
        <f t="shared" si="3"/>
        <v/>
      </c>
      <c r="K12888" s="1" t="str">
        <f t="shared" si="4"/>
        <v/>
      </c>
    </row>
    <row r="12889">
      <c r="F12889" s="1" t="str">
        <f t="shared" si="1"/>
        <v/>
      </c>
      <c r="G12889" s="1" t="str">
        <f t="shared" si="2"/>
        <v/>
      </c>
      <c r="J12889" s="1" t="str">
        <f t="shared" si="3"/>
        <v/>
      </c>
      <c r="K12889" s="1" t="str">
        <f t="shared" si="4"/>
        <v/>
      </c>
    </row>
    <row r="12890">
      <c r="F12890" s="1" t="str">
        <f t="shared" si="1"/>
        <v/>
      </c>
      <c r="G12890" s="1" t="str">
        <f t="shared" si="2"/>
        <v/>
      </c>
      <c r="J12890" s="1" t="str">
        <f t="shared" si="3"/>
        <v/>
      </c>
      <c r="K12890" s="1" t="str">
        <f t="shared" si="4"/>
        <v/>
      </c>
    </row>
    <row r="12891">
      <c r="F12891" s="1" t="str">
        <f t="shared" si="1"/>
        <v/>
      </c>
      <c r="G12891" s="1" t="str">
        <f t="shared" si="2"/>
        <v/>
      </c>
      <c r="J12891" s="1" t="str">
        <f t="shared" si="3"/>
        <v/>
      </c>
      <c r="K12891" s="1" t="str">
        <f t="shared" si="4"/>
        <v/>
      </c>
    </row>
    <row r="12892">
      <c r="F12892" s="1" t="str">
        <f t="shared" si="1"/>
        <v/>
      </c>
      <c r="G12892" s="1" t="str">
        <f t="shared" si="2"/>
        <v/>
      </c>
      <c r="J12892" s="1" t="str">
        <f t="shared" si="3"/>
        <v/>
      </c>
      <c r="K12892" s="1" t="str">
        <f t="shared" si="4"/>
        <v/>
      </c>
    </row>
    <row r="12893">
      <c r="F12893" s="1" t="str">
        <f t="shared" si="1"/>
        <v/>
      </c>
      <c r="G12893" s="1" t="str">
        <f t="shared" si="2"/>
        <v/>
      </c>
      <c r="J12893" s="1" t="str">
        <f t="shared" si="3"/>
        <v/>
      </c>
      <c r="K12893" s="1" t="str">
        <f t="shared" si="4"/>
        <v/>
      </c>
    </row>
    <row r="12894">
      <c r="F12894" s="1" t="str">
        <f t="shared" si="1"/>
        <v/>
      </c>
      <c r="G12894" s="1" t="str">
        <f t="shared" si="2"/>
        <v/>
      </c>
      <c r="J12894" s="1" t="str">
        <f t="shared" si="3"/>
        <v/>
      </c>
      <c r="K12894" s="1" t="str">
        <f t="shared" si="4"/>
        <v/>
      </c>
    </row>
    <row r="12895">
      <c r="F12895" s="1" t="str">
        <f t="shared" si="1"/>
        <v/>
      </c>
      <c r="G12895" s="1" t="str">
        <f t="shared" si="2"/>
        <v/>
      </c>
      <c r="J12895" s="1" t="str">
        <f t="shared" si="3"/>
        <v/>
      </c>
      <c r="K12895" s="1" t="str">
        <f t="shared" si="4"/>
        <v/>
      </c>
    </row>
    <row r="12896">
      <c r="F12896" s="1" t="str">
        <f t="shared" si="1"/>
        <v/>
      </c>
      <c r="G12896" s="1" t="str">
        <f t="shared" si="2"/>
        <v/>
      </c>
      <c r="J12896" s="1" t="str">
        <f t="shared" si="3"/>
        <v/>
      </c>
      <c r="K12896" s="1" t="str">
        <f t="shared" si="4"/>
        <v/>
      </c>
    </row>
    <row r="12897">
      <c r="F12897" s="1" t="str">
        <f t="shared" si="1"/>
        <v/>
      </c>
      <c r="G12897" s="1" t="str">
        <f t="shared" si="2"/>
        <v/>
      </c>
      <c r="J12897" s="1" t="str">
        <f t="shared" si="3"/>
        <v/>
      </c>
      <c r="K12897" s="1" t="str">
        <f t="shared" si="4"/>
        <v/>
      </c>
    </row>
    <row r="12898">
      <c r="F12898" s="1" t="str">
        <f t="shared" si="1"/>
        <v/>
      </c>
      <c r="G12898" s="1" t="str">
        <f t="shared" si="2"/>
        <v/>
      </c>
      <c r="J12898" s="1" t="str">
        <f t="shared" si="3"/>
        <v/>
      </c>
      <c r="K12898" s="1" t="str">
        <f t="shared" si="4"/>
        <v/>
      </c>
    </row>
    <row r="12899">
      <c r="F12899" s="1" t="str">
        <f t="shared" si="1"/>
        <v/>
      </c>
      <c r="G12899" s="1" t="str">
        <f t="shared" si="2"/>
        <v/>
      </c>
      <c r="J12899" s="1" t="str">
        <f t="shared" si="3"/>
        <v/>
      </c>
      <c r="K12899" s="1" t="str">
        <f t="shared" si="4"/>
        <v/>
      </c>
    </row>
    <row r="12900">
      <c r="F12900" s="1" t="str">
        <f t="shared" si="1"/>
        <v/>
      </c>
      <c r="G12900" s="1" t="str">
        <f t="shared" si="2"/>
        <v/>
      </c>
      <c r="J12900" s="1" t="str">
        <f t="shared" si="3"/>
        <v/>
      </c>
      <c r="K12900" s="1" t="str">
        <f t="shared" si="4"/>
        <v/>
      </c>
    </row>
    <row r="12901">
      <c r="F12901" s="1" t="str">
        <f t="shared" si="1"/>
        <v/>
      </c>
      <c r="G12901" s="1" t="str">
        <f t="shared" si="2"/>
        <v/>
      </c>
      <c r="J12901" s="1" t="str">
        <f t="shared" si="3"/>
        <v/>
      </c>
      <c r="K12901" s="1" t="str">
        <f t="shared" si="4"/>
        <v/>
      </c>
    </row>
    <row r="12902">
      <c r="F12902" s="1" t="str">
        <f t="shared" si="1"/>
        <v/>
      </c>
      <c r="G12902" s="1" t="str">
        <f t="shared" si="2"/>
        <v/>
      </c>
      <c r="J12902" s="1" t="str">
        <f t="shared" si="3"/>
        <v/>
      </c>
      <c r="K12902" s="1" t="str">
        <f t="shared" si="4"/>
        <v/>
      </c>
    </row>
    <row r="12903">
      <c r="F12903" s="1" t="str">
        <f t="shared" si="1"/>
        <v/>
      </c>
      <c r="G12903" s="1" t="str">
        <f t="shared" si="2"/>
        <v/>
      </c>
      <c r="J12903" s="1" t="str">
        <f t="shared" si="3"/>
        <v/>
      </c>
      <c r="K12903" s="1" t="str">
        <f t="shared" si="4"/>
        <v/>
      </c>
    </row>
    <row r="12904">
      <c r="F12904" s="1" t="str">
        <f t="shared" si="1"/>
        <v/>
      </c>
      <c r="G12904" s="1" t="str">
        <f t="shared" si="2"/>
        <v/>
      </c>
      <c r="J12904" s="1" t="str">
        <f t="shared" si="3"/>
        <v/>
      </c>
      <c r="K12904" s="1" t="str">
        <f t="shared" si="4"/>
        <v/>
      </c>
    </row>
    <row r="12905">
      <c r="F12905" s="1" t="str">
        <f t="shared" si="1"/>
        <v/>
      </c>
      <c r="G12905" s="1" t="str">
        <f t="shared" si="2"/>
        <v/>
      </c>
      <c r="J12905" s="1" t="str">
        <f t="shared" si="3"/>
        <v/>
      </c>
      <c r="K12905" s="1" t="str">
        <f t="shared" si="4"/>
        <v/>
      </c>
    </row>
    <row r="12906">
      <c r="F12906" s="1" t="str">
        <f t="shared" si="1"/>
        <v/>
      </c>
      <c r="G12906" s="1" t="str">
        <f t="shared" si="2"/>
        <v/>
      </c>
      <c r="J12906" s="1" t="str">
        <f t="shared" si="3"/>
        <v/>
      </c>
      <c r="K12906" s="1" t="str">
        <f t="shared" si="4"/>
        <v/>
      </c>
    </row>
    <row r="12907">
      <c r="F12907" s="1" t="str">
        <f t="shared" si="1"/>
        <v/>
      </c>
      <c r="G12907" s="1" t="str">
        <f t="shared" si="2"/>
        <v/>
      </c>
      <c r="J12907" s="1" t="str">
        <f t="shared" si="3"/>
        <v/>
      </c>
      <c r="K12907" s="1" t="str">
        <f t="shared" si="4"/>
        <v/>
      </c>
    </row>
    <row r="12908">
      <c r="F12908" s="1" t="str">
        <f t="shared" si="1"/>
        <v/>
      </c>
      <c r="G12908" s="1" t="str">
        <f t="shared" si="2"/>
        <v/>
      </c>
      <c r="J12908" s="1" t="str">
        <f t="shared" si="3"/>
        <v/>
      </c>
      <c r="K12908" s="1" t="str">
        <f t="shared" si="4"/>
        <v/>
      </c>
    </row>
    <row r="12909">
      <c r="F12909" s="1" t="str">
        <f t="shared" si="1"/>
        <v/>
      </c>
      <c r="G12909" s="1" t="str">
        <f t="shared" si="2"/>
        <v/>
      </c>
      <c r="J12909" s="1" t="str">
        <f t="shared" si="3"/>
        <v/>
      </c>
      <c r="K12909" s="1" t="str">
        <f t="shared" si="4"/>
        <v/>
      </c>
    </row>
    <row r="12910">
      <c r="F12910" s="1" t="str">
        <f t="shared" si="1"/>
        <v/>
      </c>
      <c r="G12910" s="1" t="str">
        <f t="shared" si="2"/>
        <v/>
      </c>
      <c r="J12910" s="1" t="str">
        <f t="shared" si="3"/>
        <v/>
      </c>
      <c r="K12910" s="1" t="str">
        <f t="shared" si="4"/>
        <v/>
      </c>
    </row>
    <row r="12911">
      <c r="F12911" s="1" t="str">
        <f t="shared" si="1"/>
        <v/>
      </c>
      <c r="G12911" s="1" t="str">
        <f t="shared" si="2"/>
        <v/>
      </c>
      <c r="J12911" s="1" t="str">
        <f t="shared" si="3"/>
        <v/>
      </c>
      <c r="K12911" s="1" t="str">
        <f t="shared" si="4"/>
        <v/>
      </c>
    </row>
    <row r="12912">
      <c r="F12912" s="1" t="str">
        <f t="shared" si="1"/>
        <v/>
      </c>
      <c r="G12912" s="1" t="str">
        <f t="shared" si="2"/>
        <v/>
      </c>
      <c r="J12912" s="1" t="str">
        <f t="shared" si="3"/>
        <v/>
      </c>
      <c r="K12912" s="1" t="str">
        <f t="shared" si="4"/>
        <v/>
      </c>
    </row>
    <row r="12913">
      <c r="F12913" s="1" t="str">
        <f t="shared" si="1"/>
        <v/>
      </c>
      <c r="G12913" s="1" t="str">
        <f t="shared" si="2"/>
        <v/>
      </c>
      <c r="J12913" s="1" t="str">
        <f t="shared" si="3"/>
        <v/>
      </c>
      <c r="K12913" s="1" t="str">
        <f t="shared" si="4"/>
        <v/>
      </c>
    </row>
    <row r="12914">
      <c r="F12914" s="1" t="str">
        <f t="shared" si="1"/>
        <v/>
      </c>
      <c r="G12914" s="1" t="str">
        <f t="shared" si="2"/>
        <v/>
      </c>
      <c r="J12914" s="1" t="str">
        <f t="shared" si="3"/>
        <v/>
      </c>
      <c r="K12914" s="1" t="str">
        <f t="shared" si="4"/>
        <v/>
      </c>
    </row>
    <row r="12915">
      <c r="F12915" s="1" t="str">
        <f t="shared" si="1"/>
        <v/>
      </c>
      <c r="G12915" s="1" t="str">
        <f t="shared" si="2"/>
        <v/>
      </c>
      <c r="J12915" s="1" t="str">
        <f t="shared" si="3"/>
        <v/>
      </c>
      <c r="K12915" s="1" t="str">
        <f t="shared" si="4"/>
        <v/>
      </c>
    </row>
    <row r="12916">
      <c r="F12916" s="1" t="str">
        <f t="shared" si="1"/>
        <v/>
      </c>
      <c r="G12916" s="1" t="str">
        <f t="shared" si="2"/>
        <v/>
      </c>
      <c r="J12916" s="1" t="str">
        <f t="shared" si="3"/>
        <v/>
      </c>
      <c r="K12916" s="1" t="str">
        <f t="shared" si="4"/>
        <v/>
      </c>
    </row>
    <row r="12917">
      <c r="F12917" s="1" t="str">
        <f t="shared" si="1"/>
        <v/>
      </c>
      <c r="G12917" s="1" t="str">
        <f t="shared" si="2"/>
        <v/>
      </c>
      <c r="J12917" s="1" t="str">
        <f t="shared" si="3"/>
        <v/>
      </c>
      <c r="K12917" s="1" t="str">
        <f t="shared" si="4"/>
        <v/>
      </c>
    </row>
    <row r="12918">
      <c r="F12918" s="1" t="str">
        <f t="shared" si="1"/>
        <v/>
      </c>
      <c r="G12918" s="1" t="str">
        <f t="shared" si="2"/>
        <v/>
      </c>
      <c r="J12918" s="1" t="str">
        <f t="shared" si="3"/>
        <v/>
      </c>
      <c r="K12918" s="1" t="str">
        <f t="shared" si="4"/>
        <v/>
      </c>
    </row>
    <row r="12919">
      <c r="F12919" s="1" t="str">
        <f t="shared" si="1"/>
        <v/>
      </c>
      <c r="G12919" s="1" t="str">
        <f t="shared" si="2"/>
        <v/>
      </c>
      <c r="J12919" s="1" t="str">
        <f t="shared" si="3"/>
        <v/>
      </c>
      <c r="K12919" s="1" t="str">
        <f t="shared" si="4"/>
        <v/>
      </c>
    </row>
    <row r="12920">
      <c r="F12920" s="1" t="str">
        <f t="shared" si="1"/>
        <v/>
      </c>
      <c r="G12920" s="1" t="str">
        <f t="shared" si="2"/>
        <v/>
      </c>
      <c r="J12920" s="1" t="str">
        <f t="shared" si="3"/>
        <v/>
      </c>
      <c r="K12920" s="1" t="str">
        <f t="shared" si="4"/>
        <v/>
      </c>
    </row>
    <row r="12921">
      <c r="F12921" s="1" t="str">
        <f t="shared" si="1"/>
        <v/>
      </c>
      <c r="G12921" s="1" t="str">
        <f t="shared" si="2"/>
        <v/>
      </c>
      <c r="J12921" s="1" t="str">
        <f t="shared" si="3"/>
        <v/>
      </c>
      <c r="K12921" s="1" t="str">
        <f t="shared" si="4"/>
        <v/>
      </c>
    </row>
    <row r="12922">
      <c r="F12922" s="1" t="str">
        <f t="shared" si="1"/>
        <v/>
      </c>
      <c r="G12922" s="1" t="str">
        <f t="shared" si="2"/>
        <v/>
      </c>
      <c r="J12922" s="1" t="str">
        <f t="shared" si="3"/>
        <v/>
      </c>
      <c r="K12922" s="1" t="str">
        <f t="shared" si="4"/>
        <v/>
      </c>
    </row>
    <row r="12923">
      <c r="F12923" s="1" t="str">
        <f t="shared" si="1"/>
        <v/>
      </c>
      <c r="G12923" s="1" t="str">
        <f t="shared" si="2"/>
        <v/>
      </c>
      <c r="J12923" s="1" t="str">
        <f t="shared" si="3"/>
        <v/>
      </c>
      <c r="K12923" s="1" t="str">
        <f t="shared" si="4"/>
        <v/>
      </c>
    </row>
    <row r="12924">
      <c r="F12924" s="1" t="str">
        <f t="shared" si="1"/>
        <v/>
      </c>
      <c r="G12924" s="1" t="str">
        <f t="shared" si="2"/>
        <v/>
      </c>
      <c r="J12924" s="1" t="str">
        <f t="shared" si="3"/>
        <v/>
      </c>
      <c r="K12924" s="1" t="str">
        <f t="shared" si="4"/>
        <v/>
      </c>
    </row>
    <row r="12925">
      <c r="F12925" s="1" t="str">
        <f t="shared" si="1"/>
        <v/>
      </c>
      <c r="G12925" s="1" t="str">
        <f t="shared" si="2"/>
        <v/>
      </c>
      <c r="J12925" s="1" t="str">
        <f t="shared" si="3"/>
        <v/>
      </c>
      <c r="K12925" s="1" t="str">
        <f t="shared" si="4"/>
        <v/>
      </c>
    </row>
    <row r="12926">
      <c r="F12926" s="1" t="str">
        <f t="shared" si="1"/>
        <v/>
      </c>
      <c r="G12926" s="1" t="str">
        <f t="shared" si="2"/>
        <v/>
      </c>
      <c r="J12926" s="1" t="str">
        <f t="shared" si="3"/>
        <v/>
      </c>
      <c r="K12926" s="1" t="str">
        <f t="shared" si="4"/>
        <v/>
      </c>
    </row>
    <row r="12927">
      <c r="F12927" s="1" t="str">
        <f t="shared" si="1"/>
        <v/>
      </c>
      <c r="G12927" s="1" t="str">
        <f t="shared" si="2"/>
        <v/>
      </c>
      <c r="J12927" s="1" t="str">
        <f t="shared" si="3"/>
        <v/>
      </c>
      <c r="K12927" s="1" t="str">
        <f t="shared" si="4"/>
        <v/>
      </c>
    </row>
    <row r="12928">
      <c r="F12928" s="1" t="str">
        <f t="shared" si="1"/>
        <v/>
      </c>
      <c r="G12928" s="1" t="str">
        <f t="shared" si="2"/>
        <v/>
      </c>
      <c r="J12928" s="1" t="str">
        <f t="shared" si="3"/>
        <v/>
      </c>
      <c r="K12928" s="1" t="str">
        <f t="shared" si="4"/>
        <v/>
      </c>
    </row>
    <row r="12929">
      <c r="F12929" s="1" t="str">
        <f t="shared" si="1"/>
        <v/>
      </c>
      <c r="G12929" s="1" t="str">
        <f t="shared" si="2"/>
        <v/>
      </c>
      <c r="J12929" s="1" t="str">
        <f t="shared" si="3"/>
        <v/>
      </c>
      <c r="K12929" s="1" t="str">
        <f t="shared" si="4"/>
        <v/>
      </c>
    </row>
    <row r="12930">
      <c r="F12930" s="1" t="str">
        <f t="shared" si="1"/>
        <v/>
      </c>
      <c r="G12930" s="1" t="str">
        <f t="shared" si="2"/>
        <v/>
      </c>
      <c r="J12930" s="1" t="str">
        <f t="shared" si="3"/>
        <v/>
      </c>
      <c r="K12930" s="1" t="str">
        <f t="shared" si="4"/>
        <v/>
      </c>
    </row>
    <row r="12931">
      <c r="F12931" s="1" t="str">
        <f t="shared" si="1"/>
        <v/>
      </c>
      <c r="G12931" s="1" t="str">
        <f t="shared" si="2"/>
        <v/>
      </c>
      <c r="J12931" s="1" t="str">
        <f t="shared" si="3"/>
        <v/>
      </c>
      <c r="K12931" s="1" t="str">
        <f t="shared" si="4"/>
        <v/>
      </c>
    </row>
    <row r="12932">
      <c r="F12932" s="1" t="str">
        <f t="shared" si="1"/>
        <v/>
      </c>
      <c r="G12932" s="1" t="str">
        <f t="shared" si="2"/>
        <v/>
      </c>
      <c r="J12932" s="1" t="str">
        <f t="shared" si="3"/>
        <v/>
      </c>
      <c r="K12932" s="1" t="str">
        <f t="shared" si="4"/>
        <v/>
      </c>
    </row>
    <row r="12933">
      <c r="F12933" s="1" t="str">
        <f t="shared" si="1"/>
        <v/>
      </c>
      <c r="G12933" s="1" t="str">
        <f t="shared" si="2"/>
        <v/>
      </c>
      <c r="J12933" s="1" t="str">
        <f t="shared" si="3"/>
        <v/>
      </c>
      <c r="K12933" s="1" t="str">
        <f t="shared" si="4"/>
        <v/>
      </c>
    </row>
    <row r="12934">
      <c r="F12934" s="1" t="str">
        <f t="shared" si="1"/>
        <v/>
      </c>
      <c r="G12934" s="1" t="str">
        <f t="shared" si="2"/>
        <v/>
      </c>
      <c r="J12934" s="1" t="str">
        <f t="shared" si="3"/>
        <v/>
      </c>
      <c r="K12934" s="1" t="str">
        <f t="shared" si="4"/>
        <v/>
      </c>
    </row>
    <row r="12935">
      <c r="F12935" s="1" t="str">
        <f t="shared" si="1"/>
        <v/>
      </c>
      <c r="G12935" s="1" t="str">
        <f t="shared" si="2"/>
        <v/>
      </c>
      <c r="J12935" s="1" t="str">
        <f t="shared" si="3"/>
        <v/>
      </c>
      <c r="K12935" s="1" t="str">
        <f t="shared" si="4"/>
        <v/>
      </c>
    </row>
    <row r="12936">
      <c r="F12936" s="1" t="str">
        <f t="shared" si="1"/>
        <v/>
      </c>
      <c r="G12936" s="1" t="str">
        <f t="shared" si="2"/>
        <v/>
      </c>
      <c r="J12936" s="1" t="str">
        <f t="shared" si="3"/>
        <v/>
      </c>
      <c r="K12936" s="1" t="str">
        <f t="shared" si="4"/>
        <v/>
      </c>
    </row>
    <row r="12937">
      <c r="F12937" s="1" t="str">
        <f t="shared" si="1"/>
        <v/>
      </c>
      <c r="G12937" s="1" t="str">
        <f t="shared" si="2"/>
        <v/>
      </c>
      <c r="J12937" s="1" t="str">
        <f t="shared" si="3"/>
        <v/>
      </c>
      <c r="K12937" s="1" t="str">
        <f t="shared" si="4"/>
        <v/>
      </c>
    </row>
    <row r="12938">
      <c r="F12938" s="1" t="str">
        <f t="shared" si="1"/>
        <v/>
      </c>
      <c r="G12938" s="1" t="str">
        <f t="shared" si="2"/>
        <v/>
      </c>
      <c r="J12938" s="1" t="str">
        <f t="shared" si="3"/>
        <v/>
      </c>
      <c r="K12938" s="1" t="str">
        <f t="shared" si="4"/>
        <v/>
      </c>
    </row>
    <row r="12939">
      <c r="F12939" s="1" t="str">
        <f t="shared" si="1"/>
        <v/>
      </c>
      <c r="G12939" s="1" t="str">
        <f t="shared" si="2"/>
        <v/>
      </c>
      <c r="J12939" s="1" t="str">
        <f t="shared" si="3"/>
        <v/>
      </c>
      <c r="K12939" s="1" t="str">
        <f t="shared" si="4"/>
        <v/>
      </c>
    </row>
    <row r="12940">
      <c r="F12940" s="1" t="str">
        <f t="shared" si="1"/>
        <v/>
      </c>
      <c r="G12940" s="1" t="str">
        <f t="shared" si="2"/>
        <v/>
      </c>
      <c r="J12940" s="1" t="str">
        <f t="shared" si="3"/>
        <v/>
      </c>
      <c r="K12940" s="1" t="str">
        <f t="shared" si="4"/>
        <v/>
      </c>
    </row>
    <row r="12941">
      <c r="F12941" s="1" t="str">
        <f t="shared" si="1"/>
        <v/>
      </c>
      <c r="G12941" s="1" t="str">
        <f t="shared" si="2"/>
        <v/>
      </c>
      <c r="J12941" s="1" t="str">
        <f t="shared" si="3"/>
        <v/>
      </c>
      <c r="K12941" s="1" t="str">
        <f t="shared" si="4"/>
        <v/>
      </c>
    </row>
    <row r="12942">
      <c r="F12942" s="1" t="str">
        <f t="shared" si="1"/>
        <v/>
      </c>
      <c r="G12942" s="1" t="str">
        <f t="shared" si="2"/>
        <v/>
      </c>
      <c r="J12942" s="1" t="str">
        <f t="shared" si="3"/>
        <v/>
      </c>
      <c r="K12942" s="1" t="str">
        <f t="shared" si="4"/>
        <v/>
      </c>
    </row>
    <row r="12943">
      <c r="F12943" s="1" t="str">
        <f t="shared" si="1"/>
        <v/>
      </c>
      <c r="G12943" s="1" t="str">
        <f t="shared" si="2"/>
        <v/>
      </c>
      <c r="J12943" s="1" t="str">
        <f t="shared" si="3"/>
        <v/>
      </c>
      <c r="K12943" s="1" t="str">
        <f t="shared" si="4"/>
        <v/>
      </c>
    </row>
    <row r="12944">
      <c r="F12944" s="1" t="str">
        <f t="shared" si="1"/>
        <v/>
      </c>
      <c r="G12944" s="1" t="str">
        <f t="shared" si="2"/>
        <v/>
      </c>
      <c r="J12944" s="1" t="str">
        <f t="shared" si="3"/>
        <v/>
      </c>
      <c r="K12944" s="1" t="str">
        <f t="shared" si="4"/>
        <v/>
      </c>
    </row>
    <row r="12945">
      <c r="F12945" s="1" t="str">
        <f t="shared" si="1"/>
        <v/>
      </c>
      <c r="G12945" s="1" t="str">
        <f t="shared" si="2"/>
        <v/>
      </c>
      <c r="J12945" s="1" t="str">
        <f t="shared" si="3"/>
        <v/>
      </c>
      <c r="K12945" s="1" t="str">
        <f t="shared" si="4"/>
        <v/>
      </c>
    </row>
    <row r="12946">
      <c r="F12946" s="1" t="str">
        <f t="shared" si="1"/>
        <v/>
      </c>
      <c r="G12946" s="1" t="str">
        <f t="shared" si="2"/>
        <v/>
      </c>
      <c r="J12946" s="1" t="str">
        <f t="shared" si="3"/>
        <v/>
      </c>
      <c r="K12946" s="1" t="str">
        <f t="shared" si="4"/>
        <v/>
      </c>
    </row>
    <row r="12947">
      <c r="F12947" s="1" t="str">
        <f t="shared" si="1"/>
        <v/>
      </c>
      <c r="G12947" s="1" t="str">
        <f t="shared" si="2"/>
        <v/>
      </c>
      <c r="J12947" s="1" t="str">
        <f t="shared" si="3"/>
        <v/>
      </c>
      <c r="K12947" s="1" t="str">
        <f t="shared" si="4"/>
        <v/>
      </c>
    </row>
    <row r="12948">
      <c r="F12948" s="1" t="str">
        <f t="shared" si="1"/>
        <v/>
      </c>
      <c r="G12948" s="1" t="str">
        <f t="shared" si="2"/>
        <v/>
      </c>
      <c r="J12948" s="1" t="str">
        <f t="shared" si="3"/>
        <v/>
      </c>
      <c r="K12948" s="1" t="str">
        <f t="shared" si="4"/>
        <v/>
      </c>
    </row>
    <row r="12949">
      <c r="F12949" s="1" t="str">
        <f t="shared" si="1"/>
        <v/>
      </c>
      <c r="G12949" s="1" t="str">
        <f t="shared" si="2"/>
        <v/>
      </c>
      <c r="J12949" s="1" t="str">
        <f t="shared" si="3"/>
        <v/>
      </c>
      <c r="K12949" s="1" t="str">
        <f t="shared" si="4"/>
        <v/>
      </c>
    </row>
    <row r="12950">
      <c r="F12950" s="1" t="str">
        <f t="shared" si="1"/>
        <v/>
      </c>
      <c r="G12950" s="1" t="str">
        <f t="shared" si="2"/>
        <v/>
      </c>
      <c r="J12950" s="1" t="str">
        <f t="shared" si="3"/>
        <v/>
      </c>
      <c r="K12950" s="1" t="str">
        <f t="shared" si="4"/>
        <v/>
      </c>
    </row>
    <row r="12951">
      <c r="F12951" s="1" t="str">
        <f t="shared" si="1"/>
        <v/>
      </c>
      <c r="G12951" s="1" t="str">
        <f t="shared" si="2"/>
        <v/>
      </c>
      <c r="J12951" s="1" t="str">
        <f t="shared" si="3"/>
        <v/>
      </c>
      <c r="K12951" s="1" t="str">
        <f t="shared" si="4"/>
        <v/>
      </c>
    </row>
    <row r="12952">
      <c r="F12952" s="1" t="str">
        <f t="shared" si="1"/>
        <v/>
      </c>
      <c r="G12952" s="1" t="str">
        <f t="shared" si="2"/>
        <v/>
      </c>
      <c r="J12952" s="1" t="str">
        <f t="shared" si="3"/>
        <v/>
      </c>
      <c r="K12952" s="1" t="str">
        <f t="shared" si="4"/>
        <v/>
      </c>
    </row>
    <row r="12953">
      <c r="F12953" s="1" t="str">
        <f t="shared" si="1"/>
        <v/>
      </c>
      <c r="G12953" s="1" t="str">
        <f t="shared" si="2"/>
        <v/>
      </c>
      <c r="J12953" s="1" t="str">
        <f t="shared" si="3"/>
        <v/>
      </c>
      <c r="K12953" s="1" t="str">
        <f t="shared" si="4"/>
        <v/>
      </c>
    </row>
    <row r="12954">
      <c r="F12954" s="1" t="str">
        <f t="shared" si="1"/>
        <v/>
      </c>
      <c r="G12954" s="1" t="str">
        <f t="shared" si="2"/>
        <v/>
      </c>
      <c r="J12954" s="1" t="str">
        <f t="shared" si="3"/>
        <v/>
      </c>
      <c r="K12954" s="1" t="str">
        <f t="shared" si="4"/>
        <v/>
      </c>
    </row>
    <row r="12955">
      <c r="F12955" s="1" t="str">
        <f t="shared" si="1"/>
        <v/>
      </c>
      <c r="G12955" s="1" t="str">
        <f t="shared" si="2"/>
        <v/>
      </c>
      <c r="J12955" s="1" t="str">
        <f t="shared" si="3"/>
        <v/>
      </c>
      <c r="K12955" s="1" t="str">
        <f t="shared" si="4"/>
        <v/>
      </c>
    </row>
    <row r="12956">
      <c r="F12956" s="1" t="str">
        <f t="shared" si="1"/>
        <v/>
      </c>
      <c r="G12956" s="1" t="str">
        <f t="shared" si="2"/>
        <v/>
      </c>
      <c r="J12956" s="1" t="str">
        <f t="shared" si="3"/>
        <v/>
      </c>
      <c r="K12956" s="1" t="str">
        <f t="shared" si="4"/>
        <v/>
      </c>
    </row>
    <row r="12957">
      <c r="F12957" s="1" t="str">
        <f t="shared" si="1"/>
        <v/>
      </c>
      <c r="G12957" s="1" t="str">
        <f t="shared" si="2"/>
        <v/>
      </c>
      <c r="J12957" s="1" t="str">
        <f t="shared" si="3"/>
        <v/>
      </c>
      <c r="K12957" s="1" t="str">
        <f t="shared" si="4"/>
        <v/>
      </c>
    </row>
    <row r="12958">
      <c r="F12958" s="1" t="str">
        <f t="shared" si="1"/>
        <v/>
      </c>
      <c r="G12958" s="1" t="str">
        <f t="shared" si="2"/>
        <v/>
      </c>
      <c r="J12958" s="1" t="str">
        <f t="shared" si="3"/>
        <v/>
      </c>
      <c r="K12958" s="1" t="str">
        <f t="shared" si="4"/>
        <v/>
      </c>
    </row>
    <row r="12959">
      <c r="F12959" s="1" t="str">
        <f t="shared" si="1"/>
        <v/>
      </c>
      <c r="G12959" s="1" t="str">
        <f t="shared" si="2"/>
        <v/>
      </c>
      <c r="J12959" s="1" t="str">
        <f t="shared" si="3"/>
        <v/>
      </c>
      <c r="K12959" s="1" t="str">
        <f t="shared" si="4"/>
        <v/>
      </c>
    </row>
    <row r="12960">
      <c r="F12960" s="1" t="str">
        <f t="shared" si="1"/>
        <v/>
      </c>
      <c r="G12960" s="1" t="str">
        <f t="shared" si="2"/>
        <v/>
      </c>
      <c r="J12960" s="1" t="str">
        <f t="shared" si="3"/>
        <v/>
      </c>
      <c r="K12960" s="1" t="str">
        <f t="shared" si="4"/>
        <v/>
      </c>
    </row>
    <row r="12961">
      <c r="F12961" s="1" t="str">
        <f t="shared" si="1"/>
        <v/>
      </c>
      <c r="G12961" s="1" t="str">
        <f t="shared" si="2"/>
        <v/>
      </c>
      <c r="J12961" s="1" t="str">
        <f t="shared" si="3"/>
        <v/>
      </c>
      <c r="K12961" s="1" t="str">
        <f t="shared" si="4"/>
        <v/>
      </c>
    </row>
    <row r="12962">
      <c r="F12962" s="1" t="str">
        <f t="shared" si="1"/>
        <v/>
      </c>
      <c r="G12962" s="1" t="str">
        <f t="shared" si="2"/>
        <v/>
      </c>
      <c r="J12962" s="1" t="str">
        <f t="shared" si="3"/>
        <v/>
      </c>
      <c r="K12962" s="1" t="str">
        <f t="shared" si="4"/>
        <v/>
      </c>
    </row>
    <row r="12963">
      <c r="F12963" s="1" t="str">
        <f t="shared" si="1"/>
        <v/>
      </c>
      <c r="G12963" s="1" t="str">
        <f t="shared" si="2"/>
        <v/>
      </c>
      <c r="J12963" s="1" t="str">
        <f t="shared" si="3"/>
        <v/>
      </c>
      <c r="K12963" s="1" t="str">
        <f t="shared" si="4"/>
        <v/>
      </c>
    </row>
    <row r="12964">
      <c r="F12964" s="1" t="str">
        <f t="shared" si="1"/>
        <v/>
      </c>
      <c r="G12964" s="1" t="str">
        <f t="shared" si="2"/>
        <v/>
      </c>
      <c r="J12964" s="1" t="str">
        <f t="shared" si="3"/>
        <v/>
      </c>
      <c r="K12964" s="1" t="str">
        <f t="shared" si="4"/>
        <v/>
      </c>
    </row>
    <row r="12965">
      <c r="F12965" s="1" t="str">
        <f t="shared" si="1"/>
        <v/>
      </c>
      <c r="G12965" s="1" t="str">
        <f t="shared" si="2"/>
        <v/>
      </c>
      <c r="J12965" s="1" t="str">
        <f t="shared" si="3"/>
        <v/>
      </c>
      <c r="K12965" s="1" t="str">
        <f t="shared" si="4"/>
        <v/>
      </c>
    </row>
    <row r="12966">
      <c r="F12966" s="1" t="str">
        <f t="shared" si="1"/>
        <v/>
      </c>
      <c r="G12966" s="1" t="str">
        <f t="shared" si="2"/>
        <v/>
      </c>
      <c r="J12966" s="1" t="str">
        <f t="shared" si="3"/>
        <v/>
      </c>
      <c r="K12966" s="1" t="str">
        <f t="shared" si="4"/>
        <v/>
      </c>
    </row>
    <row r="12967">
      <c r="F12967" s="1" t="str">
        <f t="shared" si="1"/>
        <v/>
      </c>
      <c r="G12967" s="1" t="str">
        <f t="shared" si="2"/>
        <v/>
      </c>
      <c r="J12967" s="1" t="str">
        <f t="shared" si="3"/>
        <v/>
      </c>
      <c r="K12967" s="1" t="str">
        <f t="shared" si="4"/>
        <v/>
      </c>
    </row>
    <row r="12968">
      <c r="F12968" s="1" t="str">
        <f t="shared" si="1"/>
        <v/>
      </c>
      <c r="G12968" s="1" t="str">
        <f t="shared" si="2"/>
        <v/>
      </c>
      <c r="J12968" s="1" t="str">
        <f t="shared" si="3"/>
        <v/>
      </c>
      <c r="K12968" s="1" t="str">
        <f t="shared" si="4"/>
        <v/>
      </c>
    </row>
    <row r="12969">
      <c r="F12969" s="1" t="str">
        <f t="shared" si="1"/>
        <v/>
      </c>
      <c r="G12969" s="1" t="str">
        <f t="shared" si="2"/>
        <v/>
      </c>
      <c r="J12969" s="1" t="str">
        <f t="shared" si="3"/>
        <v/>
      </c>
      <c r="K12969" s="1" t="str">
        <f t="shared" si="4"/>
        <v/>
      </c>
    </row>
    <row r="12970">
      <c r="F12970" s="1" t="str">
        <f t="shared" si="1"/>
        <v/>
      </c>
      <c r="G12970" s="1" t="str">
        <f t="shared" si="2"/>
        <v/>
      </c>
      <c r="J12970" s="1" t="str">
        <f t="shared" si="3"/>
        <v/>
      </c>
      <c r="K12970" s="1" t="str">
        <f t="shared" si="4"/>
        <v/>
      </c>
    </row>
    <row r="12971">
      <c r="F12971" s="1" t="str">
        <f t="shared" si="1"/>
        <v/>
      </c>
      <c r="G12971" s="1" t="str">
        <f t="shared" si="2"/>
        <v/>
      </c>
      <c r="J12971" s="1" t="str">
        <f t="shared" si="3"/>
        <v/>
      </c>
      <c r="K12971" s="1" t="str">
        <f t="shared" si="4"/>
        <v/>
      </c>
    </row>
    <row r="12972">
      <c r="F12972" s="1" t="str">
        <f t="shared" si="1"/>
        <v/>
      </c>
      <c r="G12972" s="1" t="str">
        <f t="shared" si="2"/>
        <v/>
      </c>
      <c r="J12972" s="1" t="str">
        <f t="shared" si="3"/>
        <v/>
      </c>
      <c r="K12972" s="1" t="str">
        <f t="shared" si="4"/>
        <v/>
      </c>
    </row>
    <row r="12973">
      <c r="F12973" s="1" t="str">
        <f t="shared" si="1"/>
        <v/>
      </c>
      <c r="G12973" s="1" t="str">
        <f t="shared" si="2"/>
        <v/>
      </c>
      <c r="J12973" s="1" t="str">
        <f t="shared" si="3"/>
        <v/>
      </c>
      <c r="K12973" s="1" t="str">
        <f t="shared" si="4"/>
        <v/>
      </c>
    </row>
    <row r="12974">
      <c r="F12974" s="1" t="str">
        <f t="shared" si="1"/>
        <v/>
      </c>
      <c r="G12974" s="1" t="str">
        <f t="shared" si="2"/>
        <v/>
      </c>
      <c r="J12974" s="1" t="str">
        <f t="shared" si="3"/>
        <v/>
      </c>
      <c r="K12974" s="1" t="str">
        <f t="shared" si="4"/>
        <v/>
      </c>
    </row>
    <row r="12975">
      <c r="F12975" s="1" t="str">
        <f t="shared" si="1"/>
        <v/>
      </c>
      <c r="G12975" s="1" t="str">
        <f t="shared" si="2"/>
        <v/>
      </c>
      <c r="J12975" s="1" t="str">
        <f t="shared" si="3"/>
        <v/>
      </c>
      <c r="K12975" s="1" t="str">
        <f t="shared" si="4"/>
        <v/>
      </c>
    </row>
    <row r="12976">
      <c r="F12976" s="1" t="str">
        <f t="shared" si="1"/>
        <v/>
      </c>
      <c r="G12976" s="1" t="str">
        <f t="shared" si="2"/>
        <v/>
      </c>
      <c r="J12976" s="1" t="str">
        <f t="shared" si="3"/>
        <v/>
      </c>
      <c r="K12976" s="1" t="str">
        <f t="shared" si="4"/>
        <v/>
      </c>
    </row>
    <row r="12977">
      <c r="F12977" s="1" t="str">
        <f t="shared" si="1"/>
        <v/>
      </c>
      <c r="G12977" s="1" t="str">
        <f t="shared" si="2"/>
        <v/>
      </c>
      <c r="J12977" s="1" t="str">
        <f t="shared" si="3"/>
        <v/>
      </c>
      <c r="K12977" s="1" t="str">
        <f t="shared" si="4"/>
        <v/>
      </c>
    </row>
    <row r="12978">
      <c r="F12978" s="1" t="str">
        <f t="shared" si="1"/>
        <v/>
      </c>
      <c r="G12978" s="1" t="str">
        <f t="shared" si="2"/>
        <v/>
      </c>
      <c r="J12978" s="1" t="str">
        <f t="shared" si="3"/>
        <v/>
      </c>
      <c r="K12978" s="1" t="str">
        <f t="shared" si="4"/>
        <v/>
      </c>
    </row>
    <row r="12979">
      <c r="F12979" s="1" t="str">
        <f t="shared" si="1"/>
        <v/>
      </c>
      <c r="G12979" s="1" t="str">
        <f t="shared" si="2"/>
        <v/>
      </c>
      <c r="J12979" s="1" t="str">
        <f t="shared" si="3"/>
        <v/>
      </c>
      <c r="K12979" s="1" t="str">
        <f t="shared" si="4"/>
        <v/>
      </c>
    </row>
    <row r="12980">
      <c r="F12980" s="1" t="str">
        <f t="shared" si="1"/>
        <v/>
      </c>
      <c r="G12980" s="1" t="str">
        <f t="shared" si="2"/>
        <v/>
      </c>
      <c r="J12980" s="1" t="str">
        <f t="shared" si="3"/>
        <v/>
      </c>
      <c r="K12980" s="1" t="str">
        <f t="shared" si="4"/>
        <v/>
      </c>
    </row>
    <row r="12981">
      <c r="F12981" s="1" t="str">
        <f t="shared" si="1"/>
        <v/>
      </c>
      <c r="G12981" s="1" t="str">
        <f t="shared" si="2"/>
        <v/>
      </c>
      <c r="J12981" s="1" t="str">
        <f t="shared" si="3"/>
        <v/>
      </c>
      <c r="K12981" s="1" t="str">
        <f t="shared" si="4"/>
        <v/>
      </c>
    </row>
    <row r="12982">
      <c r="F12982" s="1" t="str">
        <f t="shared" si="1"/>
        <v/>
      </c>
      <c r="G12982" s="1" t="str">
        <f t="shared" si="2"/>
        <v/>
      </c>
      <c r="J12982" s="1" t="str">
        <f t="shared" si="3"/>
        <v/>
      </c>
      <c r="K12982" s="1" t="str">
        <f t="shared" si="4"/>
        <v/>
      </c>
    </row>
    <row r="12983">
      <c r="F12983" s="1" t="str">
        <f t="shared" si="1"/>
        <v/>
      </c>
      <c r="G12983" s="1" t="str">
        <f t="shared" si="2"/>
        <v/>
      </c>
      <c r="J12983" s="1" t="str">
        <f t="shared" si="3"/>
        <v/>
      </c>
      <c r="K12983" s="1" t="str">
        <f t="shared" si="4"/>
        <v/>
      </c>
    </row>
    <row r="12984">
      <c r="F12984" s="1" t="str">
        <f t="shared" si="1"/>
        <v/>
      </c>
      <c r="G12984" s="1" t="str">
        <f t="shared" si="2"/>
        <v/>
      </c>
      <c r="J12984" s="1" t="str">
        <f t="shared" si="3"/>
        <v/>
      </c>
      <c r="K12984" s="1" t="str">
        <f t="shared" si="4"/>
        <v/>
      </c>
    </row>
    <row r="12985">
      <c r="F12985" s="1" t="str">
        <f t="shared" si="1"/>
        <v/>
      </c>
      <c r="G12985" s="1" t="str">
        <f t="shared" si="2"/>
        <v/>
      </c>
      <c r="J12985" s="1" t="str">
        <f t="shared" si="3"/>
        <v/>
      </c>
      <c r="K12985" s="1" t="str">
        <f t="shared" si="4"/>
        <v/>
      </c>
    </row>
    <row r="12986">
      <c r="F12986" s="1" t="str">
        <f t="shared" si="1"/>
        <v/>
      </c>
      <c r="G12986" s="1" t="str">
        <f t="shared" si="2"/>
        <v/>
      </c>
      <c r="J12986" s="1" t="str">
        <f t="shared" si="3"/>
        <v/>
      </c>
      <c r="K12986" s="1" t="str">
        <f t="shared" si="4"/>
        <v/>
      </c>
    </row>
    <row r="12987">
      <c r="F12987" s="1" t="str">
        <f t="shared" si="1"/>
        <v/>
      </c>
      <c r="G12987" s="1" t="str">
        <f t="shared" si="2"/>
        <v/>
      </c>
      <c r="J12987" s="1" t="str">
        <f t="shared" si="3"/>
        <v/>
      </c>
      <c r="K12987" s="1" t="str">
        <f t="shared" si="4"/>
        <v/>
      </c>
    </row>
    <row r="12988">
      <c r="F12988" s="1" t="str">
        <f t="shared" si="1"/>
        <v/>
      </c>
      <c r="G12988" s="1" t="str">
        <f t="shared" si="2"/>
        <v/>
      </c>
      <c r="J12988" s="1" t="str">
        <f t="shared" si="3"/>
        <v/>
      </c>
      <c r="K12988" s="1" t="str">
        <f t="shared" si="4"/>
        <v/>
      </c>
    </row>
    <row r="12989">
      <c r="F12989" s="1" t="str">
        <f t="shared" si="1"/>
        <v/>
      </c>
      <c r="G12989" s="1" t="str">
        <f t="shared" si="2"/>
        <v/>
      </c>
      <c r="J12989" s="1" t="str">
        <f t="shared" si="3"/>
        <v/>
      </c>
      <c r="K12989" s="1" t="str">
        <f t="shared" si="4"/>
        <v/>
      </c>
    </row>
    <row r="12990">
      <c r="F12990" s="1" t="str">
        <f t="shared" si="1"/>
        <v/>
      </c>
      <c r="G12990" s="1" t="str">
        <f t="shared" si="2"/>
        <v/>
      </c>
      <c r="J12990" s="1" t="str">
        <f t="shared" si="3"/>
        <v/>
      </c>
      <c r="K12990" s="1" t="str">
        <f t="shared" si="4"/>
        <v/>
      </c>
    </row>
    <row r="12991">
      <c r="F12991" s="1" t="str">
        <f t="shared" si="1"/>
        <v/>
      </c>
      <c r="G12991" s="1" t="str">
        <f t="shared" si="2"/>
        <v/>
      </c>
      <c r="J12991" s="1" t="str">
        <f t="shared" si="3"/>
        <v/>
      </c>
      <c r="K12991" s="1" t="str">
        <f t="shared" si="4"/>
        <v/>
      </c>
    </row>
    <row r="12992">
      <c r="F12992" s="1" t="str">
        <f t="shared" si="1"/>
        <v/>
      </c>
      <c r="G12992" s="1" t="str">
        <f t="shared" si="2"/>
        <v/>
      </c>
      <c r="J12992" s="1" t="str">
        <f t="shared" si="3"/>
        <v/>
      </c>
      <c r="K12992" s="1" t="str">
        <f t="shared" si="4"/>
        <v/>
      </c>
    </row>
    <row r="12993">
      <c r="F12993" s="1" t="str">
        <f t="shared" si="1"/>
        <v/>
      </c>
      <c r="G12993" s="1" t="str">
        <f t="shared" si="2"/>
        <v/>
      </c>
      <c r="J12993" s="1" t="str">
        <f t="shared" si="3"/>
        <v/>
      </c>
      <c r="K12993" s="1" t="str">
        <f t="shared" si="4"/>
        <v/>
      </c>
    </row>
    <row r="12994">
      <c r="F12994" s="1" t="str">
        <f t="shared" si="1"/>
        <v/>
      </c>
      <c r="G12994" s="1" t="str">
        <f t="shared" si="2"/>
        <v/>
      </c>
      <c r="J12994" s="1" t="str">
        <f t="shared" si="3"/>
        <v/>
      </c>
      <c r="K12994" s="1" t="str">
        <f t="shared" si="4"/>
        <v/>
      </c>
    </row>
    <row r="12995">
      <c r="F12995" s="1" t="str">
        <f t="shared" si="1"/>
        <v/>
      </c>
      <c r="G12995" s="1" t="str">
        <f t="shared" si="2"/>
        <v/>
      </c>
      <c r="J12995" s="1" t="str">
        <f t="shared" si="3"/>
        <v/>
      </c>
      <c r="K12995" s="1" t="str">
        <f t="shared" si="4"/>
        <v/>
      </c>
    </row>
    <row r="12996">
      <c r="F12996" s="1" t="str">
        <f t="shared" si="1"/>
        <v/>
      </c>
      <c r="G12996" s="1" t="str">
        <f t="shared" si="2"/>
        <v/>
      </c>
      <c r="J12996" s="1" t="str">
        <f t="shared" si="3"/>
        <v/>
      </c>
      <c r="K12996" s="1" t="str">
        <f t="shared" si="4"/>
        <v/>
      </c>
    </row>
    <row r="12997">
      <c r="F12997" s="1" t="str">
        <f t="shared" si="1"/>
        <v/>
      </c>
      <c r="G12997" s="1" t="str">
        <f t="shared" si="2"/>
        <v/>
      </c>
      <c r="J12997" s="1" t="str">
        <f t="shared" si="3"/>
        <v/>
      </c>
      <c r="K12997" s="1" t="str">
        <f t="shared" si="4"/>
        <v/>
      </c>
    </row>
    <row r="12998">
      <c r="F12998" s="1" t="str">
        <f t="shared" si="1"/>
        <v/>
      </c>
      <c r="G12998" s="1" t="str">
        <f t="shared" si="2"/>
        <v/>
      </c>
      <c r="J12998" s="1" t="str">
        <f t="shared" si="3"/>
        <v/>
      </c>
      <c r="K12998" s="1" t="str">
        <f t="shared" si="4"/>
        <v/>
      </c>
    </row>
    <row r="12999">
      <c r="F12999" s="1" t="str">
        <f t="shared" si="1"/>
        <v/>
      </c>
      <c r="G12999" s="1" t="str">
        <f t="shared" si="2"/>
        <v/>
      </c>
      <c r="J12999" s="1" t="str">
        <f t="shared" si="3"/>
        <v/>
      </c>
      <c r="K12999" s="1" t="str">
        <f t="shared" si="4"/>
        <v/>
      </c>
    </row>
    <row r="13000">
      <c r="F13000" s="1" t="str">
        <f t="shared" si="1"/>
        <v/>
      </c>
      <c r="G13000" s="1" t="str">
        <f t="shared" si="2"/>
        <v/>
      </c>
      <c r="J13000" s="1" t="str">
        <f t="shared" si="3"/>
        <v/>
      </c>
      <c r="K13000" s="1" t="str">
        <f t="shared" si="4"/>
        <v/>
      </c>
    </row>
    <row r="13001">
      <c r="F13001" s="1" t="str">
        <f t="shared" si="1"/>
        <v/>
      </c>
      <c r="G13001" s="1" t="str">
        <f t="shared" si="2"/>
        <v/>
      </c>
      <c r="J13001" s="1" t="str">
        <f t="shared" si="3"/>
        <v/>
      </c>
      <c r="K13001" s="1" t="str">
        <f t="shared" si="4"/>
        <v/>
      </c>
    </row>
    <row r="13002">
      <c r="F13002" s="1" t="str">
        <f t="shared" si="1"/>
        <v/>
      </c>
      <c r="G13002" s="1" t="str">
        <f t="shared" si="2"/>
        <v/>
      </c>
      <c r="J13002" s="1" t="str">
        <f t="shared" si="3"/>
        <v/>
      </c>
      <c r="K13002" s="1" t="str">
        <f t="shared" si="4"/>
        <v/>
      </c>
    </row>
    <row r="13003">
      <c r="F13003" s="1" t="str">
        <f t="shared" si="1"/>
        <v/>
      </c>
      <c r="G13003" s="1" t="str">
        <f t="shared" si="2"/>
        <v/>
      </c>
      <c r="J13003" s="1" t="str">
        <f t="shared" si="3"/>
        <v/>
      </c>
      <c r="K13003" s="1" t="str">
        <f t="shared" si="4"/>
        <v/>
      </c>
    </row>
    <row r="13004">
      <c r="F13004" s="1" t="str">
        <f t="shared" si="1"/>
        <v/>
      </c>
      <c r="G13004" s="1" t="str">
        <f t="shared" si="2"/>
        <v/>
      </c>
      <c r="J13004" s="1" t="str">
        <f t="shared" si="3"/>
        <v/>
      </c>
      <c r="K13004" s="1" t="str">
        <f t="shared" si="4"/>
        <v/>
      </c>
    </row>
    <row r="13005">
      <c r="F13005" s="1" t="str">
        <f t="shared" si="1"/>
        <v/>
      </c>
      <c r="G13005" s="1" t="str">
        <f t="shared" si="2"/>
        <v/>
      </c>
      <c r="J13005" s="1" t="str">
        <f t="shared" si="3"/>
        <v/>
      </c>
      <c r="K13005" s="1" t="str">
        <f t="shared" si="4"/>
        <v/>
      </c>
    </row>
    <row r="13006">
      <c r="F13006" s="1" t="str">
        <f t="shared" si="1"/>
        <v/>
      </c>
      <c r="G13006" s="1" t="str">
        <f t="shared" si="2"/>
        <v/>
      </c>
      <c r="J13006" s="1" t="str">
        <f t="shared" si="3"/>
        <v/>
      </c>
      <c r="K13006" s="1" t="str">
        <f t="shared" si="4"/>
        <v/>
      </c>
    </row>
    <row r="13007">
      <c r="F13007" s="1" t="str">
        <f t="shared" si="1"/>
        <v/>
      </c>
      <c r="G13007" s="1" t="str">
        <f t="shared" si="2"/>
        <v/>
      </c>
      <c r="J13007" s="1" t="str">
        <f t="shared" si="3"/>
        <v/>
      </c>
      <c r="K13007" s="1" t="str">
        <f t="shared" si="4"/>
        <v/>
      </c>
    </row>
    <row r="13008">
      <c r="F13008" s="1" t="str">
        <f t="shared" si="1"/>
        <v/>
      </c>
      <c r="G13008" s="1" t="str">
        <f t="shared" si="2"/>
        <v/>
      </c>
      <c r="J13008" s="1" t="str">
        <f t="shared" si="3"/>
        <v/>
      </c>
      <c r="K13008" s="1" t="str">
        <f t="shared" si="4"/>
        <v/>
      </c>
    </row>
    <row r="13009">
      <c r="F13009" s="1" t="str">
        <f t="shared" si="1"/>
        <v/>
      </c>
      <c r="G13009" s="1" t="str">
        <f t="shared" si="2"/>
        <v/>
      </c>
      <c r="J13009" s="1" t="str">
        <f t="shared" si="3"/>
        <v/>
      </c>
      <c r="K13009" s="1" t="str">
        <f t="shared" si="4"/>
        <v/>
      </c>
    </row>
    <row r="13010">
      <c r="F13010" s="1" t="str">
        <f t="shared" si="1"/>
        <v/>
      </c>
      <c r="G13010" s="1" t="str">
        <f t="shared" si="2"/>
        <v/>
      </c>
      <c r="J13010" s="1" t="str">
        <f t="shared" si="3"/>
        <v/>
      </c>
      <c r="K13010" s="1" t="str">
        <f t="shared" si="4"/>
        <v/>
      </c>
    </row>
    <row r="13011">
      <c r="F13011" s="1" t="str">
        <f t="shared" si="1"/>
        <v/>
      </c>
      <c r="G13011" s="1" t="str">
        <f t="shared" si="2"/>
        <v/>
      </c>
      <c r="J13011" s="1" t="str">
        <f t="shared" si="3"/>
        <v/>
      </c>
      <c r="K13011" s="1" t="str">
        <f t="shared" si="4"/>
        <v/>
      </c>
    </row>
    <row r="13012">
      <c r="F13012" s="1" t="str">
        <f t="shared" si="1"/>
        <v/>
      </c>
      <c r="G13012" s="1" t="str">
        <f t="shared" si="2"/>
        <v/>
      </c>
      <c r="J13012" s="1" t="str">
        <f t="shared" si="3"/>
        <v/>
      </c>
      <c r="K13012" s="1" t="str">
        <f t="shared" si="4"/>
        <v/>
      </c>
    </row>
    <row r="13013">
      <c r="F13013" s="1" t="str">
        <f t="shared" si="1"/>
        <v/>
      </c>
      <c r="G13013" s="1" t="str">
        <f t="shared" si="2"/>
        <v/>
      </c>
      <c r="J13013" s="1" t="str">
        <f t="shared" si="3"/>
        <v/>
      </c>
      <c r="K13013" s="1" t="str">
        <f t="shared" si="4"/>
        <v/>
      </c>
    </row>
    <row r="13014">
      <c r="F13014" s="1" t="str">
        <f t="shared" si="1"/>
        <v/>
      </c>
      <c r="G13014" s="1" t="str">
        <f t="shared" si="2"/>
        <v/>
      </c>
      <c r="J13014" s="1" t="str">
        <f t="shared" si="3"/>
        <v/>
      </c>
      <c r="K13014" s="1" t="str">
        <f t="shared" si="4"/>
        <v/>
      </c>
    </row>
    <row r="13015">
      <c r="F13015" s="1" t="str">
        <f t="shared" si="1"/>
        <v/>
      </c>
      <c r="G13015" s="1" t="str">
        <f t="shared" si="2"/>
        <v/>
      </c>
      <c r="J13015" s="1" t="str">
        <f t="shared" si="3"/>
        <v/>
      </c>
      <c r="K13015" s="1" t="str">
        <f t="shared" si="4"/>
        <v/>
      </c>
    </row>
    <row r="13016">
      <c r="F13016" s="1" t="str">
        <f t="shared" si="1"/>
        <v/>
      </c>
      <c r="G13016" s="1" t="str">
        <f t="shared" si="2"/>
        <v/>
      </c>
      <c r="J13016" s="1" t="str">
        <f t="shared" si="3"/>
        <v/>
      </c>
      <c r="K13016" s="1" t="str">
        <f t="shared" si="4"/>
        <v/>
      </c>
    </row>
    <row r="13017">
      <c r="F13017" s="1" t="str">
        <f t="shared" si="1"/>
        <v/>
      </c>
      <c r="G13017" s="1" t="str">
        <f t="shared" si="2"/>
        <v/>
      </c>
      <c r="J13017" s="1" t="str">
        <f t="shared" si="3"/>
        <v/>
      </c>
      <c r="K13017" s="1" t="str">
        <f t="shared" si="4"/>
        <v/>
      </c>
    </row>
    <row r="13018">
      <c r="F13018" s="1" t="str">
        <f t="shared" si="1"/>
        <v/>
      </c>
      <c r="G13018" s="1" t="str">
        <f t="shared" si="2"/>
        <v/>
      </c>
      <c r="J13018" s="1" t="str">
        <f t="shared" si="3"/>
        <v/>
      </c>
      <c r="K13018" s="1" t="str">
        <f t="shared" si="4"/>
        <v/>
      </c>
    </row>
    <row r="13019">
      <c r="F13019" s="1" t="str">
        <f t="shared" si="1"/>
        <v/>
      </c>
      <c r="G13019" s="1" t="str">
        <f t="shared" si="2"/>
        <v/>
      </c>
      <c r="J13019" s="1" t="str">
        <f t="shared" si="3"/>
        <v/>
      </c>
      <c r="K13019" s="1" t="str">
        <f t="shared" si="4"/>
        <v/>
      </c>
    </row>
    <row r="13020">
      <c r="F13020" s="1" t="str">
        <f t="shared" si="1"/>
        <v/>
      </c>
      <c r="G13020" s="1" t="str">
        <f t="shared" si="2"/>
        <v/>
      </c>
      <c r="J13020" s="1" t="str">
        <f t="shared" si="3"/>
        <v/>
      </c>
      <c r="K13020" s="1" t="str">
        <f t="shared" si="4"/>
        <v/>
      </c>
    </row>
    <row r="13021">
      <c r="F13021" s="1" t="str">
        <f t="shared" si="1"/>
        <v/>
      </c>
      <c r="G13021" s="1" t="str">
        <f t="shared" si="2"/>
        <v/>
      </c>
      <c r="J13021" s="1" t="str">
        <f t="shared" si="3"/>
        <v/>
      </c>
      <c r="K13021" s="1" t="str">
        <f t="shared" si="4"/>
        <v/>
      </c>
    </row>
    <row r="13022">
      <c r="F13022" s="1" t="str">
        <f t="shared" si="1"/>
        <v/>
      </c>
      <c r="G13022" s="1" t="str">
        <f t="shared" si="2"/>
        <v/>
      </c>
      <c r="J13022" s="1" t="str">
        <f t="shared" si="3"/>
        <v/>
      </c>
      <c r="K13022" s="1" t="str">
        <f t="shared" si="4"/>
        <v/>
      </c>
    </row>
    <row r="13023">
      <c r="F13023" s="1" t="str">
        <f t="shared" si="1"/>
        <v/>
      </c>
      <c r="G13023" s="1" t="str">
        <f t="shared" si="2"/>
        <v/>
      </c>
      <c r="J13023" s="1" t="str">
        <f t="shared" si="3"/>
        <v/>
      </c>
      <c r="K13023" s="1" t="str">
        <f t="shared" si="4"/>
        <v/>
      </c>
    </row>
    <row r="13024">
      <c r="F13024" s="1" t="str">
        <f t="shared" si="1"/>
        <v/>
      </c>
      <c r="G13024" s="1" t="str">
        <f t="shared" si="2"/>
        <v/>
      </c>
      <c r="J13024" s="1" t="str">
        <f t="shared" si="3"/>
        <v/>
      </c>
      <c r="K13024" s="1" t="str">
        <f t="shared" si="4"/>
        <v/>
      </c>
    </row>
    <row r="13025">
      <c r="F13025" s="1" t="str">
        <f t="shared" si="1"/>
        <v/>
      </c>
      <c r="G13025" s="1" t="str">
        <f t="shared" si="2"/>
        <v/>
      </c>
      <c r="J13025" s="1" t="str">
        <f t="shared" si="3"/>
        <v/>
      </c>
      <c r="K13025" s="1" t="str">
        <f t="shared" si="4"/>
        <v/>
      </c>
    </row>
    <row r="13026">
      <c r="F13026" s="1" t="str">
        <f t="shared" si="1"/>
        <v/>
      </c>
      <c r="G13026" s="1" t="str">
        <f t="shared" si="2"/>
        <v/>
      </c>
      <c r="J13026" s="1" t="str">
        <f t="shared" si="3"/>
        <v/>
      </c>
      <c r="K13026" s="1" t="str">
        <f t="shared" si="4"/>
        <v/>
      </c>
    </row>
    <row r="13027">
      <c r="F13027" s="1" t="str">
        <f t="shared" si="1"/>
        <v/>
      </c>
      <c r="G13027" s="1" t="str">
        <f t="shared" si="2"/>
        <v/>
      </c>
      <c r="J13027" s="1" t="str">
        <f t="shared" si="3"/>
        <v/>
      </c>
      <c r="K13027" s="1" t="str">
        <f t="shared" si="4"/>
        <v/>
      </c>
    </row>
    <row r="13028">
      <c r="F13028" s="1" t="str">
        <f t="shared" si="1"/>
        <v/>
      </c>
      <c r="G13028" s="1" t="str">
        <f t="shared" si="2"/>
        <v/>
      </c>
      <c r="J13028" s="1" t="str">
        <f t="shared" si="3"/>
        <v/>
      </c>
      <c r="K13028" s="1" t="str">
        <f t="shared" si="4"/>
        <v/>
      </c>
    </row>
    <row r="13029">
      <c r="F13029" s="1" t="str">
        <f t="shared" si="1"/>
        <v/>
      </c>
      <c r="G13029" s="1" t="str">
        <f t="shared" si="2"/>
        <v/>
      </c>
      <c r="J13029" s="1" t="str">
        <f t="shared" si="3"/>
        <v/>
      </c>
      <c r="K13029" s="1" t="str">
        <f t="shared" si="4"/>
        <v/>
      </c>
    </row>
    <row r="13030">
      <c r="F13030" s="1" t="str">
        <f t="shared" si="1"/>
        <v/>
      </c>
      <c r="G13030" s="1" t="str">
        <f t="shared" si="2"/>
        <v/>
      </c>
      <c r="J13030" s="1" t="str">
        <f t="shared" si="3"/>
        <v/>
      </c>
      <c r="K13030" s="1" t="str">
        <f t="shared" si="4"/>
        <v/>
      </c>
    </row>
    <row r="13031">
      <c r="F13031" s="1" t="str">
        <f t="shared" si="1"/>
        <v/>
      </c>
      <c r="G13031" s="1" t="str">
        <f t="shared" si="2"/>
        <v/>
      </c>
      <c r="J13031" s="1" t="str">
        <f t="shared" si="3"/>
        <v/>
      </c>
      <c r="K13031" s="1" t="str">
        <f t="shared" si="4"/>
        <v/>
      </c>
    </row>
    <row r="13032">
      <c r="F13032" s="1" t="str">
        <f t="shared" si="1"/>
        <v/>
      </c>
      <c r="G13032" s="1" t="str">
        <f t="shared" si="2"/>
        <v/>
      </c>
      <c r="J13032" s="1" t="str">
        <f t="shared" si="3"/>
        <v/>
      </c>
      <c r="K13032" s="1" t="str">
        <f t="shared" si="4"/>
        <v/>
      </c>
    </row>
    <row r="13033">
      <c r="F13033" s="1" t="str">
        <f t="shared" si="1"/>
        <v/>
      </c>
      <c r="G13033" s="1" t="str">
        <f t="shared" si="2"/>
        <v/>
      </c>
      <c r="J13033" s="1" t="str">
        <f t="shared" si="3"/>
        <v/>
      </c>
      <c r="K13033" s="1" t="str">
        <f t="shared" si="4"/>
        <v/>
      </c>
    </row>
    <row r="13034">
      <c r="F13034" s="1" t="str">
        <f t="shared" si="1"/>
        <v/>
      </c>
      <c r="G13034" s="1" t="str">
        <f t="shared" si="2"/>
        <v/>
      </c>
      <c r="J13034" s="1" t="str">
        <f t="shared" si="3"/>
        <v/>
      </c>
      <c r="K13034" s="1" t="str">
        <f t="shared" si="4"/>
        <v/>
      </c>
    </row>
    <row r="13035">
      <c r="F13035" s="1" t="str">
        <f t="shared" si="1"/>
        <v/>
      </c>
      <c r="G13035" s="1" t="str">
        <f t="shared" si="2"/>
        <v/>
      </c>
      <c r="J13035" s="1" t="str">
        <f t="shared" si="3"/>
        <v/>
      </c>
      <c r="K13035" s="1" t="str">
        <f t="shared" si="4"/>
        <v/>
      </c>
    </row>
    <row r="13036">
      <c r="F13036" s="1" t="str">
        <f t="shared" si="1"/>
        <v/>
      </c>
      <c r="G13036" s="1" t="str">
        <f t="shared" si="2"/>
        <v/>
      </c>
      <c r="J13036" s="1" t="str">
        <f t="shared" si="3"/>
        <v/>
      </c>
      <c r="K13036" s="1" t="str">
        <f t="shared" si="4"/>
        <v/>
      </c>
    </row>
    <row r="13037">
      <c r="F13037" s="1" t="str">
        <f t="shared" si="1"/>
        <v/>
      </c>
      <c r="G13037" s="1" t="str">
        <f t="shared" si="2"/>
        <v/>
      </c>
      <c r="J13037" s="1" t="str">
        <f t="shared" si="3"/>
        <v/>
      </c>
      <c r="K13037" s="1" t="str">
        <f t="shared" si="4"/>
        <v/>
      </c>
    </row>
    <row r="13038">
      <c r="F13038" s="1" t="str">
        <f t="shared" si="1"/>
        <v/>
      </c>
      <c r="G13038" s="1" t="str">
        <f t="shared" si="2"/>
        <v/>
      </c>
      <c r="J13038" s="1" t="str">
        <f t="shared" si="3"/>
        <v/>
      </c>
      <c r="K13038" s="1" t="str">
        <f t="shared" si="4"/>
        <v/>
      </c>
    </row>
    <row r="13039">
      <c r="F13039" s="1" t="str">
        <f t="shared" si="1"/>
        <v/>
      </c>
      <c r="G13039" s="1" t="str">
        <f t="shared" si="2"/>
        <v/>
      </c>
      <c r="J13039" s="1" t="str">
        <f t="shared" si="3"/>
        <v/>
      </c>
      <c r="K13039" s="1" t="str">
        <f t="shared" si="4"/>
        <v/>
      </c>
    </row>
    <row r="13040">
      <c r="F13040" s="1" t="str">
        <f t="shared" si="1"/>
        <v/>
      </c>
      <c r="G13040" s="1" t="str">
        <f t="shared" si="2"/>
        <v/>
      </c>
      <c r="J13040" s="1" t="str">
        <f t="shared" si="3"/>
        <v/>
      </c>
      <c r="K13040" s="1" t="str">
        <f t="shared" si="4"/>
        <v/>
      </c>
    </row>
    <row r="13041">
      <c r="F13041" s="1" t="str">
        <f t="shared" si="1"/>
        <v/>
      </c>
      <c r="G13041" s="1" t="str">
        <f t="shared" si="2"/>
        <v/>
      </c>
      <c r="J13041" s="1" t="str">
        <f t="shared" si="3"/>
        <v/>
      </c>
      <c r="K13041" s="1" t="str">
        <f t="shared" si="4"/>
        <v/>
      </c>
    </row>
    <row r="13042">
      <c r="F13042" s="1" t="str">
        <f t="shared" si="1"/>
        <v/>
      </c>
      <c r="G13042" s="1" t="str">
        <f t="shared" si="2"/>
        <v/>
      </c>
      <c r="J13042" s="1" t="str">
        <f t="shared" si="3"/>
        <v/>
      </c>
      <c r="K13042" s="1" t="str">
        <f t="shared" si="4"/>
        <v/>
      </c>
    </row>
    <row r="13043">
      <c r="F13043" s="1" t="str">
        <f t="shared" si="1"/>
        <v/>
      </c>
      <c r="G13043" s="1" t="str">
        <f t="shared" si="2"/>
        <v/>
      </c>
      <c r="J13043" s="1" t="str">
        <f t="shared" si="3"/>
        <v/>
      </c>
      <c r="K13043" s="1" t="str">
        <f t="shared" si="4"/>
        <v/>
      </c>
    </row>
    <row r="13044">
      <c r="F13044" s="1" t="str">
        <f t="shared" si="1"/>
        <v/>
      </c>
      <c r="G13044" s="1" t="str">
        <f t="shared" si="2"/>
        <v/>
      </c>
      <c r="J13044" s="1" t="str">
        <f t="shared" si="3"/>
        <v/>
      </c>
      <c r="K13044" s="1" t="str">
        <f t="shared" si="4"/>
        <v/>
      </c>
    </row>
    <row r="13045">
      <c r="F13045" s="1" t="str">
        <f t="shared" si="1"/>
        <v/>
      </c>
      <c r="G13045" s="1" t="str">
        <f t="shared" si="2"/>
        <v/>
      </c>
      <c r="J13045" s="1" t="str">
        <f t="shared" si="3"/>
        <v/>
      </c>
      <c r="K13045" s="1" t="str">
        <f t="shared" si="4"/>
        <v/>
      </c>
    </row>
    <row r="13046">
      <c r="F13046" s="1" t="str">
        <f t="shared" si="1"/>
        <v/>
      </c>
      <c r="G13046" s="1" t="str">
        <f t="shared" si="2"/>
        <v/>
      </c>
      <c r="J13046" s="1" t="str">
        <f t="shared" si="3"/>
        <v/>
      </c>
      <c r="K13046" s="1" t="str">
        <f t="shared" si="4"/>
        <v/>
      </c>
    </row>
    <row r="13047">
      <c r="F13047" s="1" t="str">
        <f t="shared" si="1"/>
        <v/>
      </c>
      <c r="G13047" s="1" t="str">
        <f t="shared" si="2"/>
        <v/>
      </c>
      <c r="J13047" s="1" t="str">
        <f t="shared" si="3"/>
        <v/>
      </c>
      <c r="K13047" s="1" t="str">
        <f t="shared" si="4"/>
        <v/>
      </c>
    </row>
    <row r="13048">
      <c r="F13048" s="1" t="str">
        <f t="shared" si="1"/>
        <v/>
      </c>
      <c r="G13048" s="1" t="str">
        <f t="shared" si="2"/>
        <v/>
      </c>
      <c r="J13048" s="1" t="str">
        <f t="shared" si="3"/>
        <v/>
      </c>
      <c r="K13048" s="1" t="str">
        <f t="shared" si="4"/>
        <v/>
      </c>
    </row>
    <row r="13049">
      <c r="F13049" s="1" t="str">
        <f t="shared" si="1"/>
        <v/>
      </c>
      <c r="G13049" s="1" t="str">
        <f t="shared" si="2"/>
        <v/>
      </c>
      <c r="J13049" s="1" t="str">
        <f t="shared" si="3"/>
        <v/>
      </c>
      <c r="K13049" s="1" t="str">
        <f t="shared" si="4"/>
        <v/>
      </c>
    </row>
    <row r="13050">
      <c r="F13050" s="1" t="str">
        <f t="shared" si="1"/>
        <v/>
      </c>
      <c r="G13050" s="1" t="str">
        <f t="shared" si="2"/>
        <v/>
      </c>
      <c r="J13050" s="1" t="str">
        <f t="shared" si="3"/>
        <v/>
      </c>
      <c r="K13050" s="1" t="str">
        <f t="shared" si="4"/>
        <v/>
      </c>
    </row>
    <row r="13051">
      <c r="F13051" s="1" t="str">
        <f t="shared" si="1"/>
        <v/>
      </c>
      <c r="G13051" s="1" t="str">
        <f t="shared" si="2"/>
        <v/>
      </c>
      <c r="J13051" s="1" t="str">
        <f t="shared" si="3"/>
        <v/>
      </c>
      <c r="K13051" s="1" t="str">
        <f t="shared" si="4"/>
        <v/>
      </c>
    </row>
    <row r="13052">
      <c r="F13052" s="1" t="str">
        <f t="shared" si="1"/>
        <v/>
      </c>
      <c r="G13052" s="1" t="str">
        <f t="shared" si="2"/>
        <v/>
      </c>
      <c r="J13052" s="1" t="str">
        <f t="shared" si="3"/>
        <v/>
      </c>
      <c r="K13052" s="1" t="str">
        <f t="shared" si="4"/>
        <v/>
      </c>
    </row>
    <row r="13053">
      <c r="F13053" s="1" t="str">
        <f t="shared" si="1"/>
        <v/>
      </c>
      <c r="G13053" s="1" t="str">
        <f t="shared" si="2"/>
        <v/>
      </c>
      <c r="J13053" s="1" t="str">
        <f t="shared" si="3"/>
        <v/>
      </c>
      <c r="K13053" s="1" t="str">
        <f t="shared" si="4"/>
        <v/>
      </c>
    </row>
    <row r="13054">
      <c r="F13054" s="1" t="str">
        <f t="shared" si="1"/>
        <v/>
      </c>
      <c r="G13054" s="1" t="str">
        <f t="shared" si="2"/>
        <v/>
      </c>
      <c r="J13054" s="1" t="str">
        <f t="shared" si="3"/>
        <v/>
      </c>
      <c r="K13054" s="1" t="str">
        <f t="shared" si="4"/>
        <v/>
      </c>
    </row>
    <row r="13055">
      <c r="F13055" s="1" t="str">
        <f t="shared" si="1"/>
        <v/>
      </c>
      <c r="G13055" s="1" t="str">
        <f t="shared" si="2"/>
        <v/>
      </c>
      <c r="J13055" s="1" t="str">
        <f t="shared" si="3"/>
        <v/>
      </c>
      <c r="K13055" s="1" t="str">
        <f t="shared" si="4"/>
        <v/>
      </c>
    </row>
    <row r="13056">
      <c r="F13056" s="1" t="str">
        <f t="shared" si="1"/>
        <v/>
      </c>
      <c r="G13056" s="1" t="str">
        <f t="shared" si="2"/>
        <v/>
      </c>
      <c r="J13056" s="1" t="str">
        <f t="shared" si="3"/>
        <v/>
      </c>
      <c r="K13056" s="1" t="str">
        <f t="shared" si="4"/>
        <v/>
      </c>
    </row>
    <row r="13057">
      <c r="F13057" s="1" t="str">
        <f t="shared" si="1"/>
        <v/>
      </c>
      <c r="G13057" s="1" t="str">
        <f t="shared" si="2"/>
        <v/>
      </c>
      <c r="J13057" s="1" t="str">
        <f t="shared" si="3"/>
        <v/>
      </c>
      <c r="K13057" s="1" t="str">
        <f t="shared" si="4"/>
        <v/>
      </c>
    </row>
    <row r="13058">
      <c r="F13058" s="1" t="str">
        <f t="shared" si="1"/>
        <v/>
      </c>
      <c r="G13058" s="1" t="str">
        <f t="shared" si="2"/>
        <v/>
      </c>
      <c r="J13058" s="1" t="str">
        <f t="shared" si="3"/>
        <v/>
      </c>
      <c r="K13058" s="1" t="str">
        <f t="shared" si="4"/>
        <v/>
      </c>
    </row>
    <row r="13059">
      <c r="F13059" s="1" t="str">
        <f t="shared" si="1"/>
        <v/>
      </c>
      <c r="G13059" s="1" t="str">
        <f t="shared" si="2"/>
        <v/>
      </c>
      <c r="J13059" s="1" t="str">
        <f t="shared" si="3"/>
        <v/>
      </c>
      <c r="K13059" s="1" t="str">
        <f t="shared" si="4"/>
        <v/>
      </c>
    </row>
    <row r="13060">
      <c r="F13060" s="1" t="str">
        <f t="shared" si="1"/>
        <v/>
      </c>
      <c r="G13060" s="1" t="str">
        <f t="shared" si="2"/>
        <v/>
      </c>
      <c r="J13060" s="1" t="str">
        <f t="shared" si="3"/>
        <v/>
      </c>
      <c r="K13060" s="1" t="str">
        <f t="shared" si="4"/>
        <v/>
      </c>
    </row>
    <row r="13061">
      <c r="F13061" s="1" t="str">
        <f t="shared" si="1"/>
        <v/>
      </c>
      <c r="G13061" s="1" t="str">
        <f t="shared" si="2"/>
        <v/>
      </c>
      <c r="J13061" s="1" t="str">
        <f t="shared" si="3"/>
        <v/>
      </c>
      <c r="K13061" s="1" t="str">
        <f t="shared" si="4"/>
        <v/>
      </c>
    </row>
    <row r="13062">
      <c r="F13062" s="1" t="str">
        <f t="shared" si="1"/>
        <v/>
      </c>
      <c r="G13062" s="1" t="str">
        <f t="shared" si="2"/>
        <v/>
      </c>
      <c r="J13062" s="1" t="str">
        <f t="shared" si="3"/>
        <v/>
      </c>
      <c r="K13062" s="1" t="str">
        <f t="shared" si="4"/>
        <v/>
      </c>
    </row>
    <row r="13063">
      <c r="F13063" s="1" t="str">
        <f t="shared" si="1"/>
        <v/>
      </c>
      <c r="G13063" s="1" t="str">
        <f t="shared" si="2"/>
        <v/>
      </c>
      <c r="J13063" s="1" t="str">
        <f t="shared" si="3"/>
        <v/>
      </c>
      <c r="K13063" s="1" t="str">
        <f t="shared" si="4"/>
        <v/>
      </c>
    </row>
    <row r="13064">
      <c r="F13064" s="1" t="str">
        <f t="shared" si="1"/>
        <v/>
      </c>
      <c r="G13064" s="1" t="str">
        <f t="shared" si="2"/>
        <v/>
      </c>
      <c r="J13064" s="1" t="str">
        <f t="shared" si="3"/>
        <v/>
      </c>
      <c r="K13064" s="1" t="str">
        <f t="shared" si="4"/>
        <v/>
      </c>
    </row>
    <row r="13065">
      <c r="F13065" s="1" t="str">
        <f t="shared" si="1"/>
        <v/>
      </c>
      <c r="G13065" s="1" t="str">
        <f t="shared" si="2"/>
        <v/>
      </c>
      <c r="J13065" s="1" t="str">
        <f t="shared" si="3"/>
        <v/>
      </c>
      <c r="K13065" s="1" t="str">
        <f t="shared" si="4"/>
        <v/>
      </c>
    </row>
    <row r="13066">
      <c r="F13066" s="1" t="str">
        <f t="shared" si="1"/>
        <v/>
      </c>
      <c r="G13066" s="1" t="str">
        <f t="shared" si="2"/>
        <v/>
      </c>
      <c r="J13066" s="1" t="str">
        <f t="shared" si="3"/>
        <v/>
      </c>
      <c r="K13066" s="1" t="str">
        <f t="shared" si="4"/>
        <v/>
      </c>
    </row>
    <row r="13067">
      <c r="F13067" s="1" t="str">
        <f t="shared" si="1"/>
        <v/>
      </c>
      <c r="G13067" s="1" t="str">
        <f t="shared" si="2"/>
        <v/>
      </c>
      <c r="J13067" s="1" t="str">
        <f t="shared" si="3"/>
        <v/>
      </c>
      <c r="K13067" s="1" t="str">
        <f t="shared" si="4"/>
        <v/>
      </c>
    </row>
    <row r="13068">
      <c r="F13068" s="1" t="str">
        <f t="shared" si="1"/>
        <v/>
      </c>
      <c r="G13068" s="1" t="str">
        <f t="shared" si="2"/>
        <v/>
      </c>
      <c r="J13068" s="1" t="str">
        <f t="shared" si="3"/>
        <v/>
      </c>
      <c r="K13068" s="1" t="str">
        <f t="shared" si="4"/>
        <v/>
      </c>
    </row>
    <row r="13069">
      <c r="F13069" s="1" t="str">
        <f t="shared" si="1"/>
        <v/>
      </c>
      <c r="G13069" s="1" t="str">
        <f t="shared" si="2"/>
        <v/>
      </c>
      <c r="J13069" s="1" t="str">
        <f t="shared" si="3"/>
        <v/>
      </c>
      <c r="K13069" s="1" t="str">
        <f t="shared" si="4"/>
        <v/>
      </c>
    </row>
    <row r="13070">
      <c r="F13070" s="1" t="str">
        <f t="shared" si="1"/>
        <v/>
      </c>
      <c r="G13070" s="1" t="str">
        <f t="shared" si="2"/>
        <v/>
      </c>
      <c r="J13070" s="1" t="str">
        <f t="shared" si="3"/>
        <v/>
      </c>
      <c r="K13070" s="1" t="str">
        <f t="shared" si="4"/>
        <v/>
      </c>
    </row>
    <row r="13071">
      <c r="F13071" s="1" t="str">
        <f t="shared" si="1"/>
        <v/>
      </c>
      <c r="G13071" s="1" t="str">
        <f t="shared" si="2"/>
        <v/>
      </c>
      <c r="J13071" s="1" t="str">
        <f t="shared" si="3"/>
        <v/>
      </c>
      <c r="K13071" s="1" t="str">
        <f t="shared" si="4"/>
        <v/>
      </c>
    </row>
    <row r="13072">
      <c r="F13072" s="1" t="str">
        <f t="shared" si="1"/>
        <v/>
      </c>
      <c r="G13072" s="1" t="str">
        <f t="shared" si="2"/>
        <v/>
      </c>
      <c r="J13072" s="1" t="str">
        <f t="shared" si="3"/>
        <v/>
      </c>
      <c r="K13072" s="1" t="str">
        <f t="shared" si="4"/>
        <v/>
      </c>
    </row>
    <row r="13073">
      <c r="F13073" s="1" t="str">
        <f t="shared" si="1"/>
        <v/>
      </c>
      <c r="G13073" s="1" t="str">
        <f t="shared" si="2"/>
        <v/>
      </c>
      <c r="J13073" s="1" t="str">
        <f t="shared" si="3"/>
        <v/>
      </c>
      <c r="K13073" s="1" t="str">
        <f t="shared" si="4"/>
        <v/>
      </c>
    </row>
    <row r="13074">
      <c r="F13074" s="1" t="str">
        <f t="shared" si="1"/>
        <v/>
      </c>
      <c r="G13074" s="1" t="str">
        <f t="shared" si="2"/>
        <v/>
      </c>
      <c r="J13074" s="1" t="str">
        <f t="shared" si="3"/>
        <v/>
      </c>
      <c r="K13074" s="1" t="str">
        <f t="shared" si="4"/>
        <v/>
      </c>
    </row>
    <row r="13075">
      <c r="F13075" s="1" t="str">
        <f t="shared" si="1"/>
        <v/>
      </c>
      <c r="G13075" s="1" t="str">
        <f t="shared" si="2"/>
        <v/>
      </c>
      <c r="J13075" s="1" t="str">
        <f t="shared" si="3"/>
        <v/>
      </c>
      <c r="K13075" s="1" t="str">
        <f t="shared" si="4"/>
        <v/>
      </c>
    </row>
    <row r="13076">
      <c r="F13076" s="1" t="str">
        <f t="shared" si="1"/>
        <v/>
      </c>
      <c r="G13076" s="1" t="str">
        <f t="shared" si="2"/>
        <v/>
      </c>
      <c r="J13076" s="1" t="str">
        <f t="shared" si="3"/>
        <v/>
      </c>
      <c r="K13076" s="1" t="str">
        <f t="shared" si="4"/>
        <v/>
      </c>
    </row>
    <row r="13077">
      <c r="F13077" s="1" t="str">
        <f t="shared" si="1"/>
        <v/>
      </c>
      <c r="G13077" s="1" t="str">
        <f t="shared" si="2"/>
        <v/>
      </c>
      <c r="J13077" s="1" t="str">
        <f t="shared" si="3"/>
        <v/>
      </c>
      <c r="K13077" s="1" t="str">
        <f t="shared" si="4"/>
        <v/>
      </c>
    </row>
    <row r="13078">
      <c r="F13078" s="1" t="str">
        <f t="shared" si="1"/>
        <v/>
      </c>
      <c r="G13078" s="1" t="str">
        <f t="shared" si="2"/>
        <v/>
      </c>
      <c r="J13078" s="1" t="str">
        <f t="shared" si="3"/>
        <v/>
      </c>
      <c r="K13078" s="1" t="str">
        <f t="shared" si="4"/>
        <v/>
      </c>
    </row>
    <row r="13079">
      <c r="F13079" s="1" t="str">
        <f t="shared" si="1"/>
        <v/>
      </c>
      <c r="G13079" s="1" t="str">
        <f t="shared" si="2"/>
        <v/>
      </c>
      <c r="J13079" s="1" t="str">
        <f t="shared" si="3"/>
        <v/>
      </c>
      <c r="K13079" s="1" t="str">
        <f t="shared" si="4"/>
        <v/>
      </c>
    </row>
    <row r="13080">
      <c r="F13080" s="1" t="str">
        <f t="shared" si="1"/>
        <v/>
      </c>
      <c r="G13080" s="1" t="str">
        <f t="shared" si="2"/>
        <v/>
      </c>
      <c r="J13080" s="1" t="str">
        <f t="shared" si="3"/>
        <v/>
      </c>
      <c r="K13080" s="1" t="str">
        <f t="shared" si="4"/>
        <v/>
      </c>
    </row>
    <row r="13081">
      <c r="F13081" s="1" t="str">
        <f t="shared" si="1"/>
        <v/>
      </c>
      <c r="G13081" s="1" t="str">
        <f t="shared" si="2"/>
        <v/>
      </c>
      <c r="J13081" s="1" t="str">
        <f t="shared" si="3"/>
        <v/>
      </c>
      <c r="K13081" s="1" t="str">
        <f t="shared" si="4"/>
        <v/>
      </c>
    </row>
    <row r="13082">
      <c r="F13082" s="1" t="str">
        <f t="shared" si="1"/>
        <v/>
      </c>
      <c r="G13082" s="1" t="str">
        <f t="shared" si="2"/>
        <v/>
      </c>
      <c r="J13082" s="1" t="str">
        <f t="shared" si="3"/>
        <v/>
      </c>
      <c r="K13082" s="1" t="str">
        <f t="shared" si="4"/>
        <v/>
      </c>
    </row>
    <row r="13083">
      <c r="F13083" s="1" t="str">
        <f t="shared" si="1"/>
        <v/>
      </c>
      <c r="G13083" s="1" t="str">
        <f t="shared" si="2"/>
        <v/>
      </c>
      <c r="J13083" s="1" t="str">
        <f t="shared" si="3"/>
        <v/>
      </c>
      <c r="K13083" s="1" t="str">
        <f t="shared" si="4"/>
        <v/>
      </c>
    </row>
    <row r="13084">
      <c r="F13084" s="1" t="str">
        <f t="shared" si="1"/>
        <v/>
      </c>
      <c r="G13084" s="1" t="str">
        <f t="shared" si="2"/>
        <v/>
      </c>
      <c r="J13084" s="1" t="str">
        <f t="shared" si="3"/>
        <v/>
      </c>
      <c r="K13084" s="1" t="str">
        <f t="shared" si="4"/>
        <v/>
      </c>
    </row>
    <row r="13085">
      <c r="F13085" s="1" t="str">
        <f t="shared" si="1"/>
        <v/>
      </c>
      <c r="G13085" s="1" t="str">
        <f t="shared" si="2"/>
        <v/>
      </c>
      <c r="J13085" s="1" t="str">
        <f t="shared" si="3"/>
        <v/>
      </c>
      <c r="K13085" s="1" t="str">
        <f t="shared" si="4"/>
        <v/>
      </c>
    </row>
    <row r="13086">
      <c r="F13086" s="1" t="str">
        <f t="shared" si="1"/>
        <v/>
      </c>
      <c r="G13086" s="1" t="str">
        <f t="shared" si="2"/>
        <v/>
      </c>
      <c r="J13086" s="1" t="str">
        <f t="shared" si="3"/>
        <v/>
      </c>
      <c r="K13086" s="1" t="str">
        <f t="shared" si="4"/>
        <v/>
      </c>
    </row>
    <row r="13087">
      <c r="F13087" s="1" t="str">
        <f t="shared" si="1"/>
        <v/>
      </c>
      <c r="G13087" s="1" t="str">
        <f t="shared" si="2"/>
        <v/>
      </c>
      <c r="J13087" s="1" t="str">
        <f t="shared" si="3"/>
        <v/>
      </c>
      <c r="K13087" s="1" t="str">
        <f t="shared" si="4"/>
        <v/>
      </c>
    </row>
    <row r="13088">
      <c r="F13088" s="1" t="str">
        <f t="shared" si="1"/>
        <v/>
      </c>
      <c r="G13088" s="1" t="str">
        <f t="shared" si="2"/>
        <v/>
      </c>
      <c r="J13088" s="1" t="str">
        <f t="shared" si="3"/>
        <v/>
      </c>
      <c r="K13088" s="1" t="str">
        <f t="shared" si="4"/>
        <v/>
      </c>
    </row>
    <row r="13089">
      <c r="F13089" s="1" t="str">
        <f t="shared" si="1"/>
        <v/>
      </c>
      <c r="G13089" s="1" t="str">
        <f t="shared" si="2"/>
        <v/>
      </c>
      <c r="J13089" s="1" t="str">
        <f t="shared" si="3"/>
        <v/>
      </c>
      <c r="K13089" s="1" t="str">
        <f t="shared" si="4"/>
        <v/>
      </c>
    </row>
    <row r="13090">
      <c r="F13090" s="1" t="str">
        <f t="shared" si="1"/>
        <v/>
      </c>
      <c r="G13090" s="1" t="str">
        <f t="shared" si="2"/>
        <v/>
      </c>
      <c r="J13090" s="1" t="str">
        <f t="shared" si="3"/>
        <v/>
      </c>
      <c r="K13090" s="1" t="str">
        <f t="shared" si="4"/>
        <v/>
      </c>
    </row>
    <row r="13091">
      <c r="F13091" s="1" t="str">
        <f t="shared" si="1"/>
        <v/>
      </c>
      <c r="G13091" s="1" t="str">
        <f t="shared" si="2"/>
        <v/>
      </c>
      <c r="J13091" s="1" t="str">
        <f t="shared" si="3"/>
        <v/>
      </c>
      <c r="K13091" s="1" t="str">
        <f t="shared" si="4"/>
        <v/>
      </c>
    </row>
    <row r="13092">
      <c r="F13092" s="1" t="str">
        <f t="shared" si="1"/>
        <v/>
      </c>
      <c r="G13092" s="1" t="str">
        <f t="shared" si="2"/>
        <v/>
      </c>
      <c r="J13092" s="1" t="str">
        <f t="shared" si="3"/>
        <v/>
      </c>
      <c r="K13092" s="1" t="str">
        <f t="shared" si="4"/>
        <v/>
      </c>
    </row>
    <row r="13093">
      <c r="F13093" s="1" t="str">
        <f t="shared" si="1"/>
        <v/>
      </c>
      <c r="G13093" s="1" t="str">
        <f t="shared" si="2"/>
        <v/>
      </c>
      <c r="J13093" s="1" t="str">
        <f t="shared" si="3"/>
        <v/>
      </c>
      <c r="K13093" s="1" t="str">
        <f t="shared" si="4"/>
        <v/>
      </c>
    </row>
    <row r="13094">
      <c r="F13094" s="1" t="str">
        <f t="shared" si="1"/>
        <v/>
      </c>
      <c r="G13094" s="1" t="str">
        <f t="shared" si="2"/>
        <v/>
      </c>
      <c r="J13094" s="1" t="str">
        <f t="shared" si="3"/>
        <v/>
      </c>
      <c r="K13094" s="1" t="str">
        <f t="shared" si="4"/>
        <v/>
      </c>
    </row>
    <row r="13095">
      <c r="F13095" s="1" t="str">
        <f t="shared" si="1"/>
        <v/>
      </c>
      <c r="G13095" s="1" t="str">
        <f t="shared" si="2"/>
        <v/>
      </c>
      <c r="J13095" s="1" t="str">
        <f t="shared" si="3"/>
        <v/>
      </c>
      <c r="K13095" s="1" t="str">
        <f t="shared" si="4"/>
        <v/>
      </c>
    </row>
    <row r="13096">
      <c r="F13096" s="1" t="str">
        <f t="shared" si="1"/>
        <v/>
      </c>
      <c r="G13096" s="1" t="str">
        <f t="shared" si="2"/>
        <v/>
      </c>
      <c r="J13096" s="1" t="str">
        <f t="shared" si="3"/>
        <v/>
      </c>
      <c r="K13096" s="1" t="str">
        <f t="shared" si="4"/>
        <v/>
      </c>
    </row>
    <row r="13097">
      <c r="F13097" s="1" t="str">
        <f t="shared" si="1"/>
        <v/>
      </c>
      <c r="G13097" s="1" t="str">
        <f t="shared" si="2"/>
        <v/>
      </c>
      <c r="J13097" s="1" t="str">
        <f t="shared" si="3"/>
        <v/>
      </c>
      <c r="K13097" s="1" t="str">
        <f t="shared" si="4"/>
        <v/>
      </c>
    </row>
    <row r="13098">
      <c r="F13098" s="1" t="str">
        <f t="shared" si="1"/>
        <v/>
      </c>
      <c r="G13098" s="1" t="str">
        <f t="shared" si="2"/>
        <v/>
      </c>
      <c r="J13098" s="1" t="str">
        <f t="shared" si="3"/>
        <v/>
      </c>
      <c r="K13098" s="1" t="str">
        <f t="shared" si="4"/>
        <v/>
      </c>
    </row>
    <row r="13099">
      <c r="F13099" s="1" t="str">
        <f t="shared" si="1"/>
        <v/>
      </c>
      <c r="G13099" s="1" t="str">
        <f t="shared" si="2"/>
        <v/>
      </c>
      <c r="J13099" s="1" t="str">
        <f t="shared" si="3"/>
        <v/>
      </c>
      <c r="K13099" s="1" t="str">
        <f t="shared" si="4"/>
        <v/>
      </c>
    </row>
    <row r="13100">
      <c r="F13100" s="1" t="str">
        <f t="shared" si="1"/>
        <v/>
      </c>
      <c r="G13100" s="1" t="str">
        <f t="shared" si="2"/>
        <v/>
      </c>
      <c r="J13100" s="1" t="str">
        <f t="shared" si="3"/>
        <v/>
      </c>
      <c r="K13100" s="1" t="str">
        <f t="shared" si="4"/>
        <v/>
      </c>
    </row>
    <row r="13101">
      <c r="F13101" s="1" t="str">
        <f t="shared" si="1"/>
        <v/>
      </c>
      <c r="G13101" s="1" t="str">
        <f t="shared" si="2"/>
        <v/>
      </c>
      <c r="J13101" s="1" t="str">
        <f t="shared" si="3"/>
        <v/>
      </c>
      <c r="K13101" s="1" t="str">
        <f t="shared" si="4"/>
        <v/>
      </c>
    </row>
    <row r="13102">
      <c r="F13102" s="1" t="str">
        <f t="shared" si="1"/>
        <v/>
      </c>
      <c r="G13102" s="1" t="str">
        <f t="shared" si="2"/>
        <v/>
      </c>
      <c r="J13102" s="1" t="str">
        <f t="shared" si="3"/>
        <v/>
      </c>
      <c r="K13102" s="1" t="str">
        <f t="shared" si="4"/>
        <v/>
      </c>
    </row>
    <row r="13103">
      <c r="F13103" s="1" t="str">
        <f t="shared" si="1"/>
        <v/>
      </c>
      <c r="G13103" s="1" t="str">
        <f t="shared" si="2"/>
        <v/>
      </c>
      <c r="J13103" s="1" t="str">
        <f t="shared" si="3"/>
        <v/>
      </c>
      <c r="K13103" s="1" t="str">
        <f t="shared" si="4"/>
        <v/>
      </c>
    </row>
    <row r="13104">
      <c r="F13104" s="1" t="str">
        <f t="shared" si="1"/>
        <v/>
      </c>
      <c r="G13104" s="1" t="str">
        <f t="shared" si="2"/>
        <v/>
      </c>
      <c r="J13104" s="1" t="str">
        <f t="shared" si="3"/>
        <v/>
      </c>
      <c r="K13104" s="1" t="str">
        <f t="shared" si="4"/>
        <v/>
      </c>
    </row>
    <row r="13105">
      <c r="F13105" s="1" t="str">
        <f t="shared" si="1"/>
        <v/>
      </c>
      <c r="G13105" s="1" t="str">
        <f t="shared" si="2"/>
        <v/>
      </c>
      <c r="J13105" s="1" t="str">
        <f t="shared" si="3"/>
        <v/>
      </c>
      <c r="K13105" s="1" t="str">
        <f t="shared" si="4"/>
        <v/>
      </c>
    </row>
    <row r="13106">
      <c r="F13106" s="1" t="str">
        <f t="shared" si="1"/>
        <v/>
      </c>
      <c r="G13106" s="1" t="str">
        <f t="shared" si="2"/>
        <v/>
      </c>
      <c r="J13106" s="1" t="str">
        <f t="shared" si="3"/>
        <v/>
      </c>
      <c r="K13106" s="1" t="str">
        <f t="shared" si="4"/>
        <v/>
      </c>
    </row>
    <row r="13107">
      <c r="F13107" s="1" t="str">
        <f t="shared" si="1"/>
        <v/>
      </c>
      <c r="G13107" s="1" t="str">
        <f t="shared" si="2"/>
        <v/>
      </c>
      <c r="J13107" s="1" t="str">
        <f t="shared" si="3"/>
        <v/>
      </c>
      <c r="K13107" s="1" t="str">
        <f t="shared" si="4"/>
        <v/>
      </c>
    </row>
    <row r="13108">
      <c r="F13108" s="1" t="str">
        <f t="shared" si="1"/>
        <v/>
      </c>
      <c r="G13108" s="1" t="str">
        <f t="shared" si="2"/>
        <v/>
      </c>
      <c r="J13108" s="1" t="str">
        <f t="shared" si="3"/>
        <v/>
      </c>
      <c r="K13108" s="1" t="str">
        <f t="shared" si="4"/>
        <v/>
      </c>
    </row>
    <row r="13109">
      <c r="F13109" s="1" t="str">
        <f t="shared" si="1"/>
        <v/>
      </c>
      <c r="G13109" s="1" t="str">
        <f t="shared" si="2"/>
        <v/>
      </c>
      <c r="J13109" s="1" t="str">
        <f t="shared" si="3"/>
        <v/>
      </c>
      <c r="K13109" s="1" t="str">
        <f t="shared" si="4"/>
        <v/>
      </c>
    </row>
    <row r="13110">
      <c r="F13110" s="1" t="str">
        <f t="shared" si="1"/>
        <v/>
      </c>
      <c r="G13110" s="1" t="str">
        <f t="shared" si="2"/>
        <v/>
      </c>
      <c r="J13110" s="1" t="str">
        <f t="shared" si="3"/>
        <v/>
      </c>
      <c r="K13110" s="1" t="str">
        <f t="shared" si="4"/>
        <v/>
      </c>
    </row>
    <row r="13111">
      <c r="F13111" s="1" t="str">
        <f t="shared" si="1"/>
        <v/>
      </c>
      <c r="G13111" s="1" t="str">
        <f t="shared" si="2"/>
        <v/>
      </c>
      <c r="J13111" s="1" t="str">
        <f t="shared" si="3"/>
        <v/>
      </c>
      <c r="K13111" s="1" t="str">
        <f t="shared" si="4"/>
        <v/>
      </c>
    </row>
    <row r="13112">
      <c r="F13112" s="1" t="str">
        <f t="shared" si="1"/>
        <v/>
      </c>
      <c r="G13112" s="1" t="str">
        <f t="shared" si="2"/>
        <v/>
      </c>
      <c r="J13112" s="1" t="str">
        <f t="shared" si="3"/>
        <v/>
      </c>
      <c r="K13112" s="1" t="str">
        <f t="shared" si="4"/>
        <v/>
      </c>
    </row>
    <row r="13113">
      <c r="F13113" s="1" t="str">
        <f t="shared" si="1"/>
        <v/>
      </c>
      <c r="G13113" s="1" t="str">
        <f t="shared" si="2"/>
        <v/>
      </c>
      <c r="J13113" s="1" t="str">
        <f t="shared" si="3"/>
        <v/>
      </c>
      <c r="K13113" s="1" t="str">
        <f t="shared" si="4"/>
        <v/>
      </c>
    </row>
    <row r="13114">
      <c r="F13114" s="1" t="str">
        <f t="shared" si="1"/>
        <v/>
      </c>
      <c r="G13114" s="1" t="str">
        <f t="shared" si="2"/>
        <v/>
      </c>
      <c r="J13114" s="1" t="str">
        <f t="shared" si="3"/>
        <v/>
      </c>
      <c r="K13114" s="1" t="str">
        <f t="shared" si="4"/>
        <v/>
      </c>
    </row>
    <row r="13115">
      <c r="F13115" s="1" t="str">
        <f t="shared" si="1"/>
        <v/>
      </c>
      <c r="G13115" s="1" t="str">
        <f t="shared" si="2"/>
        <v/>
      </c>
      <c r="J13115" s="1" t="str">
        <f t="shared" si="3"/>
        <v/>
      </c>
      <c r="K13115" s="1" t="str">
        <f t="shared" si="4"/>
        <v/>
      </c>
    </row>
    <row r="13116">
      <c r="F13116" s="1" t="str">
        <f t="shared" si="1"/>
        <v/>
      </c>
      <c r="G13116" s="1" t="str">
        <f t="shared" si="2"/>
        <v/>
      </c>
      <c r="J13116" s="1" t="str">
        <f t="shared" si="3"/>
        <v/>
      </c>
      <c r="K13116" s="1" t="str">
        <f t="shared" si="4"/>
        <v/>
      </c>
    </row>
    <row r="13117">
      <c r="F13117" s="1" t="str">
        <f t="shared" si="1"/>
        <v/>
      </c>
      <c r="G13117" s="1" t="str">
        <f t="shared" si="2"/>
        <v/>
      </c>
      <c r="J13117" s="1" t="str">
        <f t="shared" si="3"/>
        <v/>
      </c>
      <c r="K13117" s="1" t="str">
        <f t="shared" si="4"/>
        <v/>
      </c>
    </row>
    <row r="13118">
      <c r="F13118" s="1" t="str">
        <f t="shared" si="1"/>
        <v/>
      </c>
      <c r="G13118" s="1" t="str">
        <f t="shared" si="2"/>
        <v/>
      </c>
      <c r="J13118" s="1" t="str">
        <f t="shared" si="3"/>
        <v/>
      </c>
      <c r="K13118" s="1" t="str">
        <f t="shared" si="4"/>
        <v/>
      </c>
    </row>
    <row r="13119">
      <c r="F13119" s="1" t="str">
        <f t="shared" si="1"/>
        <v/>
      </c>
      <c r="G13119" s="1" t="str">
        <f t="shared" si="2"/>
        <v/>
      </c>
      <c r="J13119" s="1" t="str">
        <f t="shared" si="3"/>
        <v/>
      </c>
      <c r="K13119" s="1" t="str">
        <f t="shared" si="4"/>
        <v/>
      </c>
    </row>
    <row r="13120">
      <c r="F13120" s="1" t="str">
        <f t="shared" si="1"/>
        <v/>
      </c>
      <c r="G13120" s="1" t="str">
        <f t="shared" si="2"/>
        <v/>
      </c>
      <c r="J13120" s="1" t="str">
        <f t="shared" si="3"/>
        <v/>
      </c>
      <c r="K13120" s="1" t="str">
        <f t="shared" si="4"/>
        <v/>
      </c>
    </row>
    <row r="13121">
      <c r="F13121" s="1" t="str">
        <f t="shared" si="1"/>
        <v/>
      </c>
      <c r="G13121" s="1" t="str">
        <f t="shared" si="2"/>
        <v/>
      </c>
      <c r="J13121" s="1" t="str">
        <f t="shared" si="3"/>
        <v/>
      </c>
      <c r="K13121" s="1" t="str">
        <f t="shared" si="4"/>
        <v/>
      </c>
    </row>
    <row r="13122">
      <c r="F13122" s="1" t="str">
        <f t="shared" si="1"/>
        <v/>
      </c>
      <c r="G13122" s="1" t="str">
        <f t="shared" si="2"/>
        <v/>
      </c>
      <c r="J13122" s="1" t="str">
        <f t="shared" si="3"/>
        <v/>
      </c>
      <c r="K13122" s="1" t="str">
        <f t="shared" si="4"/>
        <v/>
      </c>
    </row>
    <row r="13123">
      <c r="F13123" s="1" t="str">
        <f t="shared" si="1"/>
        <v/>
      </c>
      <c r="G13123" s="1" t="str">
        <f t="shared" si="2"/>
        <v/>
      </c>
      <c r="J13123" s="1" t="str">
        <f t="shared" si="3"/>
        <v/>
      </c>
      <c r="K13123" s="1" t="str">
        <f t="shared" si="4"/>
        <v/>
      </c>
    </row>
    <row r="13124">
      <c r="F13124" s="1" t="str">
        <f t="shared" si="1"/>
        <v/>
      </c>
      <c r="G13124" s="1" t="str">
        <f t="shared" si="2"/>
        <v/>
      </c>
      <c r="J13124" s="1" t="str">
        <f t="shared" si="3"/>
        <v/>
      </c>
      <c r="K13124" s="1" t="str">
        <f t="shared" si="4"/>
        <v/>
      </c>
    </row>
    <row r="13125">
      <c r="F13125" s="1" t="str">
        <f t="shared" si="1"/>
        <v/>
      </c>
      <c r="G13125" s="1" t="str">
        <f t="shared" si="2"/>
        <v/>
      </c>
      <c r="J13125" s="1" t="str">
        <f t="shared" si="3"/>
        <v/>
      </c>
      <c r="K13125" s="1" t="str">
        <f t="shared" si="4"/>
        <v/>
      </c>
    </row>
    <row r="13126">
      <c r="F13126" s="1" t="str">
        <f t="shared" si="1"/>
        <v/>
      </c>
      <c r="G13126" s="1" t="str">
        <f t="shared" si="2"/>
        <v/>
      </c>
      <c r="J13126" s="1" t="str">
        <f t="shared" si="3"/>
        <v/>
      </c>
      <c r="K13126" s="1" t="str">
        <f t="shared" si="4"/>
        <v/>
      </c>
    </row>
    <row r="13127">
      <c r="F13127" s="1" t="str">
        <f t="shared" si="1"/>
        <v/>
      </c>
      <c r="G13127" s="1" t="str">
        <f t="shared" si="2"/>
        <v/>
      </c>
      <c r="J13127" s="1" t="str">
        <f t="shared" si="3"/>
        <v/>
      </c>
      <c r="K13127" s="1" t="str">
        <f t="shared" si="4"/>
        <v/>
      </c>
    </row>
    <row r="13128">
      <c r="F13128" s="1" t="str">
        <f t="shared" si="1"/>
        <v/>
      </c>
      <c r="G13128" s="1" t="str">
        <f t="shared" si="2"/>
        <v/>
      </c>
      <c r="J13128" s="1" t="str">
        <f t="shared" si="3"/>
        <v/>
      </c>
      <c r="K13128" s="1" t="str">
        <f t="shared" si="4"/>
        <v/>
      </c>
    </row>
    <row r="13129">
      <c r="F13129" s="1" t="str">
        <f t="shared" si="1"/>
        <v/>
      </c>
      <c r="G13129" s="1" t="str">
        <f t="shared" si="2"/>
        <v/>
      </c>
      <c r="J13129" s="1" t="str">
        <f t="shared" si="3"/>
        <v/>
      </c>
      <c r="K13129" s="1" t="str">
        <f t="shared" si="4"/>
        <v/>
      </c>
    </row>
    <row r="13130">
      <c r="F13130" s="1" t="str">
        <f t="shared" si="1"/>
        <v/>
      </c>
      <c r="G13130" s="1" t="str">
        <f t="shared" si="2"/>
        <v/>
      </c>
      <c r="J13130" s="1" t="str">
        <f t="shared" si="3"/>
        <v/>
      </c>
      <c r="K13130" s="1" t="str">
        <f t="shared" si="4"/>
        <v/>
      </c>
    </row>
    <row r="13131">
      <c r="F13131" s="1" t="str">
        <f t="shared" si="1"/>
        <v/>
      </c>
      <c r="G13131" s="1" t="str">
        <f t="shared" si="2"/>
        <v/>
      </c>
      <c r="J13131" s="1" t="str">
        <f t="shared" si="3"/>
        <v/>
      </c>
      <c r="K13131" s="1" t="str">
        <f t="shared" si="4"/>
        <v/>
      </c>
    </row>
    <row r="13132">
      <c r="F13132" s="1" t="str">
        <f t="shared" si="1"/>
        <v/>
      </c>
      <c r="G13132" s="1" t="str">
        <f t="shared" si="2"/>
        <v/>
      </c>
      <c r="J13132" s="1" t="str">
        <f t="shared" si="3"/>
        <v/>
      </c>
      <c r="K13132" s="1" t="str">
        <f t="shared" si="4"/>
        <v/>
      </c>
    </row>
    <row r="13133">
      <c r="F13133" s="1" t="str">
        <f t="shared" si="1"/>
        <v/>
      </c>
      <c r="G13133" s="1" t="str">
        <f t="shared" si="2"/>
        <v/>
      </c>
      <c r="J13133" s="1" t="str">
        <f t="shared" si="3"/>
        <v/>
      </c>
      <c r="K13133" s="1" t="str">
        <f t="shared" si="4"/>
        <v/>
      </c>
    </row>
    <row r="13134">
      <c r="F13134" s="1" t="str">
        <f t="shared" si="1"/>
        <v/>
      </c>
      <c r="G13134" s="1" t="str">
        <f t="shared" si="2"/>
        <v/>
      </c>
      <c r="J13134" s="1" t="str">
        <f t="shared" si="3"/>
        <v/>
      </c>
      <c r="K13134" s="1" t="str">
        <f t="shared" si="4"/>
        <v/>
      </c>
    </row>
    <row r="13135">
      <c r="F13135" s="1" t="str">
        <f t="shared" si="1"/>
        <v/>
      </c>
      <c r="G13135" s="1" t="str">
        <f t="shared" si="2"/>
        <v/>
      </c>
      <c r="J13135" s="1" t="str">
        <f t="shared" si="3"/>
        <v/>
      </c>
      <c r="K13135" s="1" t="str">
        <f t="shared" si="4"/>
        <v/>
      </c>
    </row>
    <row r="13136">
      <c r="F13136" s="1" t="str">
        <f t="shared" si="1"/>
        <v/>
      </c>
      <c r="G13136" s="1" t="str">
        <f t="shared" si="2"/>
        <v/>
      </c>
      <c r="J13136" s="1" t="str">
        <f t="shared" si="3"/>
        <v/>
      </c>
      <c r="K13136" s="1" t="str">
        <f t="shared" si="4"/>
        <v/>
      </c>
    </row>
    <row r="13137">
      <c r="F13137" s="1" t="str">
        <f t="shared" si="1"/>
        <v/>
      </c>
      <c r="G13137" s="1" t="str">
        <f t="shared" si="2"/>
        <v/>
      </c>
      <c r="J13137" s="1" t="str">
        <f t="shared" si="3"/>
        <v/>
      </c>
      <c r="K13137" s="1" t="str">
        <f t="shared" si="4"/>
        <v/>
      </c>
    </row>
    <row r="13138">
      <c r="F13138" s="1" t="str">
        <f t="shared" si="1"/>
        <v/>
      </c>
      <c r="G13138" s="1" t="str">
        <f t="shared" si="2"/>
        <v/>
      </c>
      <c r="J13138" s="1" t="str">
        <f t="shared" si="3"/>
        <v/>
      </c>
      <c r="K13138" s="1" t="str">
        <f t="shared" si="4"/>
        <v/>
      </c>
    </row>
    <row r="13139">
      <c r="F13139" s="1" t="str">
        <f t="shared" si="1"/>
        <v/>
      </c>
      <c r="G13139" s="1" t="str">
        <f t="shared" si="2"/>
        <v/>
      </c>
      <c r="J13139" s="1" t="str">
        <f t="shared" si="3"/>
        <v/>
      </c>
      <c r="K13139" s="1" t="str">
        <f t="shared" si="4"/>
        <v/>
      </c>
    </row>
    <row r="13140">
      <c r="F13140" s="1" t="str">
        <f t="shared" si="1"/>
        <v/>
      </c>
      <c r="G13140" s="1" t="str">
        <f t="shared" si="2"/>
        <v/>
      </c>
      <c r="J13140" s="1" t="str">
        <f t="shared" si="3"/>
        <v/>
      </c>
      <c r="K13140" s="1" t="str">
        <f t="shared" si="4"/>
        <v/>
      </c>
    </row>
    <row r="13141">
      <c r="F13141" s="1" t="str">
        <f t="shared" si="1"/>
        <v/>
      </c>
      <c r="G13141" s="1" t="str">
        <f t="shared" si="2"/>
        <v/>
      </c>
      <c r="J13141" s="1" t="str">
        <f t="shared" si="3"/>
        <v/>
      </c>
      <c r="K13141" s="1" t="str">
        <f t="shared" si="4"/>
        <v/>
      </c>
    </row>
    <row r="13142">
      <c r="F13142" s="1" t="str">
        <f t="shared" si="1"/>
        <v/>
      </c>
      <c r="G13142" s="1" t="str">
        <f t="shared" si="2"/>
        <v/>
      </c>
      <c r="J13142" s="1" t="str">
        <f t="shared" si="3"/>
        <v/>
      </c>
      <c r="K13142" s="1" t="str">
        <f t="shared" si="4"/>
        <v/>
      </c>
    </row>
    <row r="13143">
      <c r="F13143" s="1" t="str">
        <f t="shared" si="1"/>
        <v/>
      </c>
      <c r="G13143" s="1" t="str">
        <f t="shared" si="2"/>
        <v/>
      </c>
      <c r="J13143" s="1" t="str">
        <f t="shared" si="3"/>
        <v/>
      </c>
      <c r="K13143" s="1" t="str">
        <f t="shared" si="4"/>
        <v/>
      </c>
    </row>
    <row r="13144">
      <c r="F13144" s="1" t="str">
        <f t="shared" si="1"/>
        <v/>
      </c>
      <c r="G13144" s="1" t="str">
        <f t="shared" si="2"/>
        <v/>
      </c>
      <c r="J13144" s="1" t="str">
        <f t="shared" si="3"/>
        <v/>
      </c>
      <c r="K13144" s="1" t="str">
        <f t="shared" si="4"/>
        <v/>
      </c>
    </row>
    <row r="13145">
      <c r="F13145" s="1" t="str">
        <f t="shared" si="1"/>
        <v/>
      </c>
      <c r="G13145" s="1" t="str">
        <f t="shared" si="2"/>
        <v/>
      </c>
      <c r="J13145" s="1" t="str">
        <f t="shared" si="3"/>
        <v/>
      </c>
      <c r="K13145" s="1" t="str">
        <f t="shared" si="4"/>
        <v/>
      </c>
    </row>
    <row r="13146">
      <c r="F13146" s="1" t="str">
        <f t="shared" si="1"/>
        <v/>
      </c>
      <c r="G13146" s="1" t="str">
        <f t="shared" si="2"/>
        <v/>
      </c>
      <c r="J13146" s="1" t="str">
        <f t="shared" si="3"/>
        <v/>
      </c>
      <c r="K13146" s="1" t="str">
        <f t="shared" si="4"/>
        <v/>
      </c>
    </row>
    <row r="13147">
      <c r="F13147" s="1" t="str">
        <f t="shared" si="1"/>
        <v/>
      </c>
      <c r="G13147" s="1" t="str">
        <f t="shared" si="2"/>
        <v/>
      </c>
      <c r="J13147" s="1" t="str">
        <f t="shared" si="3"/>
        <v/>
      </c>
      <c r="K13147" s="1" t="str">
        <f t="shared" si="4"/>
        <v/>
      </c>
    </row>
    <row r="13148">
      <c r="F13148" s="1" t="str">
        <f t="shared" si="1"/>
        <v/>
      </c>
      <c r="G13148" s="1" t="str">
        <f t="shared" si="2"/>
        <v/>
      </c>
      <c r="J13148" s="1" t="str">
        <f t="shared" si="3"/>
        <v/>
      </c>
      <c r="K13148" s="1" t="str">
        <f t="shared" si="4"/>
        <v/>
      </c>
    </row>
    <row r="13149">
      <c r="F13149" s="1" t="str">
        <f t="shared" si="1"/>
        <v/>
      </c>
      <c r="G13149" s="1" t="str">
        <f t="shared" si="2"/>
        <v/>
      </c>
      <c r="J13149" s="1" t="str">
        <f t="shared" si="3"/>
        <v/>
      </c>
      <c r="K13149" s="1" t="str">
        <f t="shared" si="4"/>
        <v/>
      </c>
    </row>
    <row r="13150">
      <c r="F13150" s="1" t="str">
        <f t="shared" si="1"/>
        <v/>
      </c>
      <c r="G13150" s="1" t="str">
        <f t="shared" si="2"/>
        <v/>
      </c>
      <c r="J13150" s="1" t="str">
        <f t="shared" si="3"/>
        <v/>
      </c>
      <c r="K13150" s="1" t="str">
        <f t="shared" si="4"/>
        <v/>
      </c>
    </row>
    <row r="13151">
      <c r="F13151" s="1" t="str">
        <f t="shared" si="1"/>
        <v/>
      </c>
      <c r="G13151" s="1" t="str">
        <f t="shared" si="2"/>
        <v/>
      </c>
      <c r="J13151" s="1" t="str">
        <f t="shared" si="3"/>
        <v/>
      </c>
      <c r="K13151" s="1" t="str">
        <f t="shared" si="4"/>
        <v/>
      </c>
    </row>
    <row r="13152">
      <c r="F13152" s="1" t="str">
        <f t="shared" si="1"/>
        <v/>
      </c>
      <c r="G13152" s="1" t="str">
        <f t="shared" si="2"/>
        <v/>
      </c>
      <c r="J13152" s="1" t="str">
        <f t="shared" si="3"/>
        <v/>
      </c>
      <c r="K13152" s="1" t="str">
        <f t="shared" si="4"/>
        <v/>
      </c>
    </row>
    <row r="13153">
      <c r="F13153" s="1" t="str">
        <f t="shared" si="1"/>
        <v/>
      </c>
      <c r="G13153" s="1" t="str">
        <f t="shared" si="2"/>
        <v/>
      </c>
      <c r="J13153" s="1" t="str">
        <f t="shared" si="3"/>
        <v/>
      </c>
      <c r="K13153" s="1" t="str">
        <f t="shared" si="4"/>
        <v/>
      </c>
    </row>
    <row r="13154">
      <c r="F13154" s="1" t="str">
        <f t="shared" si="1"/>
        <v/>
      </c>
      <c r="G13154" s="1" t="str">
        <f t="shared" si="2"/>
        <v/>
      </c>
      <c r="J13154" s="1" t="str">
        <f t="shared" si="3"/>
        <v/>
      </c>
      <c r="K13154" s="1" t="str">
        <f t="shared" si="4"/>
        <v/>
      </c>
    </row>
    <row r="13155">
      <c r="F13155" s="1" t="str">
        <f t="shared" si="1"/>
        <v/>
      </c>
      <c r="G13155" s="1" t="str">
        <f t="shared" si="2"/>
        <v/>
      </c>
      <c r="J13155" s="1" t="str">
        <f t="shared" si="3"/>
        <v/>
      </c>
      <c r="K13155" s="1" t="str">
        <f t="shared" si="4"/>
        <v/>
      </c>
    </row>
    <row r="13156">
      <c r="F13156" s="1" t="str">
        <f t="shared" si="1"/>
        <v/>
      </c>
      <c r="G13156" s="1" t="str">
        <f t="shared" si="2"/>
        <v/>
      </c>
      <c r="J13156" s="1" t="str">
        <f t="shared" si="3"/>
        <v/>
      </c>
      <c r="K13156" s="1" t="str">
        <f t="shared" si="4"/>
        <v/>
      </c>
    </row>
    <row r="13157">
      <c r="F13157" s="1" t="str">
        <f t="shared" si="1"/>
        <v/>
      </c>
      <c r="G13157" s="1" t="str">
        <f t="shared" si="2"/>
        <v/>
      </c>
      <c r="J13157" s="1" t="str">
        <f t="shared" si="3"/>
        <v/>
      </c>
      <c r="K13157" s="1" t="str">
        <f t="shared" si="4"/>
        <v/>
      </c>
    </row>
    <row r="13158">
      <c r="F13158" s="1" t="str">
        <f t="shared" si="1"/>
        <v/>
      </c>
      <c r="G13158" s="1" t="str">
        <f t="shared" si="2"/>
        <v/>
      </c>
      <c r="J13158" s="1" t="str">
        <f t="shared" si="3"/>
        <v/>
      </c>
      <c r="K13158" s="1" t="str">
        <f t="shared" si="4"/>
        <v/>
      </c>
    </row>
    <row r="13159">
      <c r="F13159" s="1" t="str">
        <f t="shared" si="1"/>
        <v/>
      </c>
      <c r="G13159" s="1" t="str">
        <f t="shared" si="2"/>
        <v/>
      </c>
      <c r="J13159" s="1" t="str">
        <f t="shared" si="3"/>
        <v/>
      </c>
      <c r="K13159" s="1" t="str">
        <f t="shared" si="4"/>
        <v/>
      </c>
    </row>
    <row r="13160">
      <c r="F13160" s="1" t="str">
        <f t="shared" si="1"/>
        <v/>
      </c>
      <c r="G13160" s="1" t="str">
        <f t="shared" si="2"/>
        <v/>
      </c>
      <c r="J13160" s="1" t="str">
        <f t="shared" si="3"/>
        <v/>
      </c>
      <c r="K13160" s="1" t="str">
        <f t="shared" si="4"/>
        <v/>
      </c>
    </row>
    <row r="13161">
      <c r="F13161" s="1" t="str">
        <f t="shared" si="1"/>
        <v/>
      </c>
      <c r="G13161" s="1" t="str">
        <f t="shared" si="2"/>
        <v/>
      </c>
      <c r="J13161" s="1" t="str">
        <f t="shared" si="3"/>
        <v/>
      </c>
      <c r="K13161" s="1" t="str">
        <f t="shared" si="4"/>
        <v/>
      </c>
    </row>
    <row r="13162">
      <c r="F13162" s="1" t="str">
        <f t="shared" si="1"/>
        <v/>
      </c>
      <c r="G13162" s="1" t="str">
        <f t="shared" si="2"/>
        <v/>
      </c>
      <c r="J13162" s="1" t="str">
        <f t="shared" si="3"/>
        <v/>
      </c>
      <c r="K13162" s="1" t="str">
        <f t="shared" si="4"/>
        <v/>
      </c>
    </row>
    <row r="13163">
      <c r="F13163" s="1" t="str">
        <f t="shared" si="1"/>
        <v/>
      </c>
      <c r="G13163" s="1" t="str">
        <f t="shared" si="2"/>
        <v/>
      </c>
      <c r="J13163" s="1" t="str">
        <f t="shared" si="3"/>
        <v/>
      </c>
      <c r="K13163" s="1" t="str">
        <f t="shared" si="4"/>
        <v/>
      </c>
    </row>
    <row r="13164">
      <c r="F13164" s="1" t="str">
        <f t="shared" si="1"/>
        <v/>
      </c>
      <c r="G13164" s="1" t="str">
        <f t="shared" si="2"/>
        <v/>
      </c>
      <c r="J13164" s="1" t="str">
        <f t="shared" si="3"/>
        <v/>
      </c>
      <c r="K13164" s="1" t="str">
        <f t="shared" si="4"/>
        <v/>
      </c>
    </row>
    <row r="13165">
      <c r="F13165" s="1" t="str">
        <f t="shared" si="1"/>
        <v/>
      </c>
      <c r="G13165" s="1" t="str">
        <f t="shared" si="2"/>
        <v/>
      </c>
      <c r="J13165" s="1" t="str">
        <f t="shared" si="3"/>
        <v/>
      </c>
      <c r="K13165" s="1" t="str">
        <f t="shared" si="4"/>
        <v/>
      </c>
    </row>
    <row r="13166">
      <c r="F13166" s="1" t="str">
        <f t="shared" si="1"/>
        <v/>
      </c>
      <c r="G13166" s="1" t="str">
        <f t="shared" si="2"/>
        <v/>
      </c>
      <c r="J13166" s="1" t="str">
        <f t="shared" si="3"/>
        <v/>
      </c>
      <c r="K13166" s="1" t="str">
        <f t="shared" si="4"/>
        <v/>
      </c>
    </row>
    <row r="13167">
      <c r="F13167" s="1" t="str">
        <f t="shared" si="1"/>
        <v/>
      </c>
      <c r="G13167" s="1" t="str">
        <f t="shared" si="2"/>
        <v/>
      </c>
      <c r="J13167" s="1" t="str">
        <f t="shared" si="3"/>
        <v/>
      </c>
      <c r="K13167" s="1" t="str">
        <f t="shared" si="4"/>
        <v/>
      </c>
    </row>
    <row r="13168">
      <c r="F13168" s="1" t="str">
        <f t="shared" si="1"/>
        <v/>
      </c>
      <c r="G13168" s="1" t="str">
        <f t="shared" si="2"/>
        <v/>
      </c>
      <c r="J13168" s="1" t="str">
        <f t="shared" si="3"/>
        <v/>
      </c>
      <c r="K13168" s="1" t="str">
        <f t="shared" si="4"/>
        <v/>
      </c>
    </row>
    <row r="13169">
      <c r="F13169" s="1" t="str">
        <f t="shared" si="1"/>
        <v/>
      </c>
      <c r="G13169" s="1" t="str">
        <f t="shared" si="2"/>
        <v/>
      </c>
      <c r="J13169" s="1" t="str">
        <f t="shared" si="3"/>
        <v/>
      </c>
      <c r="K13169" s="1" t="str">
        <f t="shared" si="4"/>
        <v/>
      </c>
    </row>
    <row r="13170">
      <c r="F13170" s="1" t="str">
        <f t="shared" si="1"/>
        <v/>
      </c>
      <c r="G13170" s="1" t="str">
        <f t="shared" si="2"/>
        <v/>
      </c>
      <c r="J13170" s="1" t="str">
        <f t="shared" si="3"/>
        <v/>
      </c>
      <c r="K13170" s="1" t="str">
        <f t="shared" si="4"/>
        <v/>
      </c>
    </row>
    <row r="13171">
      <c r="F13171" s="1" t="str">
        <f t="shared" si="1"/>
        <v/>
      </c>
      <c r="G13171" s="1" t="str">
        <f t="shared" si="2"/>
        <v/>
      </c>
      <c r="J13171" s="1" t="str">
        <f t="shared" si="3"/>
        <v/>
      </c>
      <c r="K13171" s="1" t="str">
        <f t="shared" si="4"/>
        <v/>
      </c>
    </row>
    <row r="13172">
      <c r="F13172" s="1" t="str">
        <f t="shared" si="1"/>
        <v/>
      </c>
      <c r="G13172" s="1" t="str">
        <f t="shared" si="2"/>
        <v/>
      </c>
      <c r="J13172" s="1" t="str">
        <f t="shared" si="3"/>
        <v/>
      </c>
      <c r="K13172" s="1" t="str">
        <f t="shared" si="4"/>
        <v/>
      </c>
    </row>
    <row r="13173">
      <c r="F13173" s="1" t="str">
        <f t="shared" si="1"/>
        <v/>
      </c>
      <c r="G13173" s="1" t="str">
        <f t="shared" si="2"/>
        <v/>
      </c>
      <c r="J13173" s="1" t="str">
        <f t="shared" si="3"/>
        <v/>
      </c>
      <c r="K13173" s="1" t="str">
        <f t="shared" si="4"/>
        <v/>
      </c>
    </row>
    <row r="13174">
      <c r="F13174" s="1" t="str">
        <f t="shared" si="1"/>
        <v/>
      </c>
      <c r="G13174" s="1" t="str">
        <f t="shared" si="2"/>
        <v/>
      </c>
      <c r="J13174" s="1" t="str">
        <f t="shared" si="3"/>
        <v/>
      </c>
      <c r="K13174" s="1" t="str">
        <f t="shared" si="4"/>
        <v/>
      </c>
    </row>
    <row r="13175">
      <c r="F13175" s="1" t="str">
        <f t="shared" si="1"/>
        <v/>
      </c>
      <c r="G13175" s="1" t="str">
        <f t="shared" si="2"/>
        <v/>
      </c>
      <c r="J13175" s="1" t="str">
        <f t="shared" si="3"/>
        <v/>
      </c>
      <c r="K13175" s="1" t="str">
        <f t="shared" si="4"/>
        <v/>
      </c>
    </row>
    <row r="13176">
      <c r="F13176" s="1" t="str">
        <f t="shared" si="1"/>
        <v/>
      </c>
      <c r="G13176" s="1" t="str">
        <f t="shared" si="2"/>
        <v/>
      </c>
      <c r="J13176" s="1" t="str">
        <f t="shared" si="3"/>
        <v/>
      </c>
      <c r="K13176" s="1" t="str">
        <f t="shared" si="4"/>
        <v/>
      </c>
    </row>
    <row r="13177">
      <c r="F13177" s="1" t="str">
        <f t="shared" si="1"/>
        <v/>
      </c>
      <c r="G13177" s="1" t="str">
        <f t="shared" si="2"/>
        <v/>
      </c>
      <c r="J13177" s="1" t="str">
        <f t="shared" si="3"/>
        <v/>
      </c>
      <c r="K13177" s="1" t="str">
        <f t="shared" si="4"/>
        <v/>
      </c>
    </row>
    <row r="13178">
      <c r="F13178" s="1" t="str">
        <f t="shared" si="1"/>
        <v/>
      </c>
      <c r="G13178" s="1" t="str">
        <f t="shared" si="2"/>
        <v/>
      </c>
      <c r="J13178" s="1" t="str">
        <f t="shared" si="3"/>
        <v/>
      </c>
      <c r="K13178" s="1" t="str">
        <f t="shared" si="4"/>
        <v/>
      </c>
    </row>
    <row r="13179">
      <c r="F13179" s="1" t="str">
        <f t="shared" si="1"/>
        <v/>
      </c>
      <c r="G13179" s="1" t="str">
        <f t="shared" si="2"/>
        <v/>
      </c>
      <c r="J13179" s="1" t="str">
        <f t="shared" si="3"/>
        <v/>
      </c>
      <c r="K13179" s="1" t="str">
        <f t="shared" si="4"/>
        <v/>
      </c>
    </row>
    <row r="13180">
      <c r="F13180" s="1" t="str">
        <f t="shared" si="1"/>
        <v/>
      </c>
      <c r="G13180" s="1" t="str">
        <f t="shared" si="2"/>
        <v/>
      </c>
      <c r="J13180" s="1" t="str">
        <f t="shared" si="3"/>
        <v/>
      </c>
      <c r="K13180" s="1" t="str">
        <f t="shared" si="4"/>
        <v/>
      </c>
    </row>
    <row r="13181">
      <c r="F13181" s="1" t="str">
        <f t="shared" si="1"/>
        <v/>
      </c>
      <c r="G13181" s="1" t="str">
        <f t="shared" si="2"/>
        <v/>
      </c>
      <c r="J13181" s="1" t="str">
        <f t="shared" si="3"/>
        <v/>
      </c>
      <c r="K13181" s="1" t="str">
        <f t="shared" si="4"/>
        <v/>
      </c>
    </row>
    <row r="13182">
      <c r="F13182" s="1" t="str">
        <f t="shared" si="1"/>
        <v/>
      </c>
      <c r="G13182" s="1" t="str">
        <f t="shared" si="2"/>
        <v/>
      </c>
      <c r="J13182" s="1" t="str">
        <f t="shared" si="3"/>
        <v/>
      </c>
      <c r="K13182" s="1" t="str">
        <f t="shared" si="4"/>
        <v/>
      </c>
    </row>
    <row r="13183">
      <c r="F13183" s="1" t="str">
        <f t="shared" si="1"/>
        <v/>
      </c>
      <c r="G13183" s="1" t="str">
        <f t="shared" si="2"/>
        <v/>
      </c>
      <c r="J13183" s="1" t="str">
        <f t="shared" si="3"/>
        <v/>
      </c>
      <c r="K13183" s="1" t="str">
        <f t="shared" si="4"/>
        <v/>
      </c>
    </row>
    <row r="13184">
      <c r="F13184" s="1" t="str">
        <f t="shared" si="1"/>
        <v/>
      </c>
      <c r="G13184" s="1" t="str">
        <f t="shared" si="2"/>
        <v/>
      </c>
      <c r="J13184" s="1" t="str">
        <f t="shared" si="3"/>
        <v/>
      </c>
      <c r="K13184" s="1" t="str">
        <f t="shared" si="4"/>
        <v/>
      </c>
    </row>
    <row r="13185">
      <c r="F13185" s="1" t="str">
        <f t="shared" si="1"/>
        <v/>
      </c>
      <c r="G13185" s="1" t="str">
        <f t="shared" si="2"/>
        <v/>
      </c>
      <c r="J13185" s="1" t="str">
        <f t="shared" si="3"/>
        <v/>
      </c>
      <c r="K13185" s="1" t="str">
        <f t="shared" si="4"/>
        <v/>
      </c>
    </row>
    <row r="13186">
      <c r="F13186" s="1" t="str">
        <f t="shared" si="1"/>
        <v/>
      </c>
      <c r="G13186" s="1" t="str">
        <f t="shared" si="2"/>
        <v/>
      </c>
      <c r="J13186" s="1" t="str">
        <f t="shared" si="3"/>
        <v/>
      </c>
      <c r="K13186" s="1" t="str">
        <f t="shared" si="4"/>
        <v/>
      </c>
    </row>
    <row r="13187">
      <c r="F13187" s="1" t="str">
        <f t="shared" si="1"/>
        <v/>
      </c>
      <c r="G13187" s="1" t="str">
        <f t="shared" si="2"/>
        <v/>
      </c>
      <c r="J13187" s="1" t="str">
        <f t="shared" si="3"/>
        <v/>
      </c>
      <c r="K13187" s="1" t="str">
        <f t="shared" si="4"/>
        <v/>
      </c>
    </row>
    <row r="13188">
      <c r="F13188" s="1" t="str">
        <f t="shared" si="1"/>
        <v/>
      </c>
      <c r="G13188" s="1" t="str">
        <f t="shared" si="2"/>
        <v/>
      </c>
      <c r="J13188" s="1" t="str">
        <f t="shared" si="3"/>
        <v/>
      </c>
      <c r="K13188" s="1" t="str">
        <f t="shared" si="4"/>
        <v/>
      </c>
    </row>
    <row r="13189">
      <c r="F13189" s="1" t="str">
        <f t="shared" si="1"/>
        <v/>
      </c>
      <c r="G13189" s="1" t="str">
        <f t="shared" si="2"/>
        <v/>
      </c>
      <c r="J13189" s="1" t="str">
        <f t="shared" si="3"/>
        <v/>
      </c>
      <c r="K13189" s="1" t="str">
        <f t="shared" si="4"/>
        <v/>
      </c>
    </row>
    <row r="13190">
      <c r="F13190" s="1" t="str">
        <f t="shared" si="1"/>
        <v/>
      </c>
      <c r="G13190" s="1" t="str">
        <f t="shared" si="2"/>
        <v/>
      </c>
      <c r="J13190" s="1" t="str">
        <f t="shared" si="3"/>
        <v/>
      </c>
      <c r="K13190" s="1" t="str">
        <f t="shared" si="4"/>
        <v/>
      </c>
    </row>
    <row r="13191">
      <c r="F13191" s="1" t="str">
        <f t="shared" si="1"/>
        <v/>
      </c>
      <c r="G13191" s="1" t="str">
        <f t="shared" si="2"/>
        <v/>
      </c>
      <c r="J13191" s="1" t="str">
        <f t="shared" si="3"/>
        <v/>
      </c>
      <c r="K13191" s="1" t="str">
        <f t="shared" si="4"/>
        <v/>
      </c>
    </row>
    <row r="13192">
      <c r="F13192" s="1" t="str">
        <f t="shared" si="1"/>
        <v/>
      </c>
      <c r="G13192" s="1" t="str">
        <f t="shared" si="2"/>
        <v/>
      </c>
      <c r="J13192" s="1" t="str">
        <f t="shared" si="3"/>
        <v/>
      </c>
      <c r="K13192" s="1" t="str">
        <f t="shared" si="4"/>
        <v/>
      </c>
    </row>
    <row r="13193">
      <c r="F13193" s="1" t="str">
        <f t="shared" si="1"/>
        <v/>
      </c>
      <c r="G13193" s="1" t="str">
        <f t="shared" si="2"/>
        <v/>
      </c>
      <c r="J13193" s="1" t="str">
        <f t="shared" si="3"/>
        <v/>
      </c>
      <c r="K13193" s="1" t="str">
        <f t="shared" si="4"/>
        <v/>
      </c>
    </row>
    <row r="13194">
      <c r="F13194" s="1" t="str">
        <f t="shared" si="1"/>
        <v/>
      </c>
      <c r="G13194" s="1" t="str">
        <f t="shared" si="2"/>
        <v/>
      </c>
      <c r="J13194" s="1" t="str">
        <f t="shared" si="3"/>
        <v/>
      </c>
      <c r="K13194" s="1" t="str">
        <f t="shared" si="4"/>
        <v/>
      </c>
    </row>
    <row r="13195">
      <c r="F13195" s="1" t="str">
        <f t="shared" si="1"/>
        <v/>
      </c>
      <c r="G13195" s="1" t="str">
        <f t="shared" si="2"/>
        <v/>
      </c>
      <c r="J13195" s="1" t="str">
        <f t="shared" si="3"/>
        <v/>
      </c>
      <c r="K13195" s="1" t="str">
        <f t="shared" si="4"/>
        <v/>
      </c>
    </row>
    <row r="13196">
      <c r="F13196" s="1" t="str">
        <f t="shared" si="1"/>
        <v/>
      </c>
      <c r="G13196" s="1" t="str">
        <f t="shared" si="2"/>
        <v/>
      </c>
      <c r="J13196" s="1" t="str">
        <f t="shared" si="3"/>
        <v/>
      </c>
      <c r="K13196" s="1" t="str">
        <f t="shared" si="4"/>
        <v/>
      </c>
    </row>
    <row r="13197">
      <c r="F13197" s="1" t="str">
        <f t="shared" si="1"/>
        <v/>
      </c>
      <c r="G13197" s="1" t="str">
        <f t="shared" si="2"/>
        <v/>
      </c>
      <c r="J13197" s="1" t="str">
        <f t="shared" si="3"/>
        <v/>
      </c>
      <c r="K13197" s="1" t="str">
        <f t="shared" si="4"/>
        <v/>
      </c>
    </row>
    <row r="13198">
      <c r="F13198" s="1" t="str">
        <f t="shared" si="1"/>
        <v/>
      </c>
      <c r="G13198" s="1" t="str">
        <f t="shared" si="2"/>
        <v/>
      </c>
      <c r="J13198" s="1" t="str">
        <f t="shared" si="3"/>
        <v/>
      </c>
      <c r="K13198" s="1" t="str">
        <f t="shared" si="4"/>
        <v/>
      </c>
    </row>
    <row r="13199">
      <c r="F13199" s="1" t="str">
        <f t="shared" si="1"/>
        <v/>
      </c>
      <c r="G13199" s="1" t="str">
        <f t="shared" si="2"/>
        <v/>
      </c>
      <c r="J13199" s="1" t="str">
        <f t="shared" si="3"/>
        <v/>
      </c>
      <c r="K13199" s="1" t="str">
        <f t="shared" si="4"/>
        <v/>
      </c>
    </row>
    <row r="13200">
      <c r="F13200" s="1" t="str">
        <f t="shared" si="1"/>
        <v/>
      </c>
      <c r="G13200" s="1" t="str">
        <f t="shared" si="2"/>
        <v/>
      </c>
      <c r="J13200" s="1" t="str">
        <f t="shared" si="3"/>
        <v/>
      </c>
      <c r="K13200" s="1" t="str">
        <f t="shared" si="4"/>
        <v/>
      </c>
    </row>
    <row r="13201">
      <c r="F13201" s="1" t="str">
        <f t="shared" si="1"/>
        <v/>
      </c>
      <c r="G13201" s="1" t="str">
        <f t="shared" si="2"/>
        <v/>
      </c>
      <c r="J13201" s="1" t="str">
        <f t="shared" si="3"/>
        <v/>
      </c>
      <c r="K13201" s="1" t="str">
        <f t="shared" si="4"/>
        <v/>
      </c>
    </row>
    <row r="13202">
      <c r="F13202" s="1" t="str">
        <f t="shared" si="1"/>
        <v/>
      </c>
      <c r="G13202" s="1" t="str">
        <f t="shared" si="2"/>
        <v/>
      </c>
      <c r="J13202" s="1" t="str">
        <f t="shared" si="3"/>
        <v/>
      </c>
      <c r="K13202" s="1" t="str">
        <f t="shared" si="4"/>
        <v/>
      </c>
    </row>
    <row r="13203">
      <c r="F13203" s="1" t="str">
        <f t="shared" si="1"/>
        <v/>
      </c>
      <c r="G13203" s="1" t="str">
        <f t="shared" si="2"/>
        <v/>
      </c>
      <c r="J13203" s="1" t="str">
        <f t="shared" si="3"/>
        <v/>
      </c>
      <c r="K13203" s="1" t="str">
        <f t="shared" si="4"/>
        <v/>
      </c>
    </row>
    <row r="13204">
      <c r="F13204" s="1" t="str">
        <f t="shared" si="1"/>
        <v/>
      </c>
      <c r="G13204" s="1" t="str">
        <f t="shared" si="2"/>
        <v/>
      </c>
      <c r="J13204" s="1" t="str">
        <f t="shared" si="3"/>
        <v/>
      </c>
      <c r="K13204" s="1" t="str">
        <f t="shared" si="4"/>
        <v/>
      </c>
    </row>
    <row r="13205">
      <c r="F13205" s="1" t="str">
        <f t="shared" si="1"/>
        <v/>
      </c>
      <c r="G13205" s="1" t="str">
        <f t="shared" si="2"/>
        <v/>
      </c>
      <c r="J13205" s="1" t="str">
        <f t="shared" si="3"/>
        <v/>
      </c>
      <c r="K13205" s="1" t="str">
        <f t="shared" si="4"/>
        <v/>
      </c>
    </row>
    <row r="13206">
      <c r="F13206" s="1" t="str">
        <f t="shared" si="1"/>
        <v/>
      </c>
      <c r="G13206" s="1" t="str">
        <f t="shared" si="2"/>
        <v/>
      </c>
      <c r="J13206" s="1" t="str">
        <f t="shared" si="3"/>
        <v/>
      </c>
      <c r="K13206" s="1" t="str">
        <f t="shared" si="4"/>
        <v/>
      </c>
    </row>
    <row r="13207">
      <c r="F13207" s="1" t="str">
        <f t="shared" si="1"/>
        <v/>
      </c>
      <c r="G13207" s="1" t="str">
        <f t="shared" si="2"/>
        <v/>
      </c>
      <c r="J13207" s="1" t="str">
        <f t="shared" si="3"/>
        <v/>
      </c>
      <c r="K13207" s="1" t="str">
        <f t="shared" si="4"/>
        <v/>
      </c>
    </row>
    <row r="13208">
      <c r="F13208" s="1" t="str">
        <f t="shared" si="1"/>
        <v/>
      </c>
      <c r="G13208" s="1" t="str">
        <f t="shared" si="2"/>
        <v/>
      </c>
      <c r="J13208" s="1" t="str">
        <f t="shared" si="3"/>
        <v/>
      </c>
      <c r="K13208" s="1" t="str">
        <f t="shared" si="4"/>
        <v/>
      </c>
    </row>
    <row r="13209">
      <c r="F13209" s="1" t="str">
        <f t="shared" si="1"/>
        <v/>
      </c>
      <c r="G13209" s="1" t="str">
        <f t="shared" si="2"/>
        <v/>
      </c>
      <c r="J13209" s="1" t="str">
        <f t="shared" si="3"/>
        <v/>
      </c>
      <c r="K13209" s="1" t="str">
        <f t="shared" si="4"/>
        <v/>
      </c>
    </row>
    <row r="13210">
      <c r="F13210" s="1" t="str">
        <f t="shared" si="1"/>
        <v/>
      </c>
      <c r="G13210" s="1" t="str">
        <f t="shared" si="2"/>
        <v/>
      </c>
      <c r="J13210" s="1" t="str">
        <f t="shared" si="3"/>
        <v/>
      </c>
      <c r="K13210" s="1" t="str">
        <f t="shared" si="4"/>
        <v/>
      </c>
    </row>
    <row r="13211">
      <c r="F13211" s="1" t="str">
        <f t="shared" si="1"/>
        <v/>
      </c>
      <c r="G13211" s="1" t="str">
        <f t="shared" si="2"/>
        <v/>
      </c>
      <c r="J13211" s="1" t="str">
        <f t="shared" si="3"/>
        <v/>
      </c>
      <c r="K13211" s="1" t="str">
        <f t="shared" si="4"/>
        <v/>
      </c>
    </row>
    <row r="13212">
      <c r="F13212" s="1" t="str">
        <f t="shared" si="1"/>
        <v/>
      </c>
      <c r="G13212" s="1" t="str">
        <f t="shared" si="2"/>
        <v/>
      </c>
      <c r="J13212" s="1" t="str">
        <f t="shared" si="3"/>
        <v/>
      </c>
      <c r="K13212" s="1" t="str">
        <f t="shared" si="4"/>
        <v/>
      </c>
    </row>
    <row r="13213">
      <c r="F13213" s="1" t="str">
        <f t="shared" si="1"/>
        <v/>
      </c>
      <c r="G13213" s="1" t="str">
        <f t="shared" si="2"/>
        <v/>
      </c>
      <c r="J13213" s="1" t="str">
        <f t="shared" si="3"/>
        <v/>
      </c>
      <c r="K13213" s="1" t="str">
        <f t="shared" si="4"/>
        <v/>
      </c>
    </row>
    <row r="13214">
      <c r="F13214" s="1" t="str">
        <f t="shared" si="1"/>
        <v/>
      </c>
      <c r="G13214" s="1" t="str">
        <f t="shared" si="2"/>
        <v/>
      </c>
      <c r="J13214" s="1" t="str">
        <f t="shared" si="3"/>
        <v/>
      </c>
      <c r="K13214" s="1" t="str">
        <f t="shared" si="4"/>
        <v/>
      </c>
    </row>
    <row r="13215">
      <c r="F13215" s="1" t="str">
        <f t="shared" si="1"/>
        <v/>
      </c>
      <c r="G13215" s="1" t="str">
        <f t="shared" si="2"/>
        <v/>
      </c>
      <c r="J13215" s="1" t="str">
        <f t="shared" si="3"/>
        <v/>
      </c>
      <c r="K13215" s="1" t="str">
        <f t="shared" si="4"/>
        <v/>
      </c>
    </row>
    <row r="13216">
      <c r="F13216" s="1" t="str">
        <f t="shared" si="1"/>
        <v/>
      </c>
      <c r="G13216" s="1" t="str">
        <f t="shared" si="2"/>
        <v/>
      </c>
      <c r="J13216" s="1" t="str">
        <f t="shared" si="3"/>
        <v/>
      </c>
      <c r="K13216" s="1" t="str">
        <f t="shared" si="4"/>
        <v/>
      </c>
    </row>
    <row r="13217">
      <c r="F13217" s="1" t="str">
        <f t="shared" si="1"/>
        <v/>
      </c>
      <c r="G13217" s="1" t="str">
        <f t="shared" si="2"/>
        <v/>
      </c>
      <c r="J13217" s="1" t="str">
        <f t="shared" si="3"/>
        <v/>
      </c>
      <c r="K13217" s="1" t="str">
        <f t="shared" si="4"/>
        <v/>
      </c>
    </row>
    <row r="13218">
      <c r="F13218" s="1" t="str">
        <f t="shared" si="1"/>
        <v/>
      </c>
      <c r="G13218" s="1" t="str">
        <f t="shared" si="2"/>
        <v/>
      </c>
      <c r="J13218" s="1" t="str">
        <f t="shared" si="3"/>
        <v/>
      </c>
      <c r="K13218" s="1" t="str">
        <f t="shared" si="4"/>
        <v/>
      </c>
    </row>
    <row r="13219">
      <c r="F13219" s="1" t="str">
        <f t="shared" si="1"/>
        <v/>
      </c>
      <c r="G13219" s="1" t="str">
        <f t="shared" si="2"/>
        <v/>
      </c>
      <c r="J13219" s="1" t="str">
        <f t="shared" si="3"/>
        <v/>
      </c>
      <c r="K13219" s="1" t="str">
        <f t="shared" si="4"/>
        <v/>
      </c>
    </row>
    <row r="13220">
      <c r="F13220" s="1" t="str">
        <f t="shared" si="1"/>
        <v/>
      </c>
      <c r="G13220" s="1" t="str">
        <f t="shared" si="2"/>
        <v/>
      </c>
      <c r="J13220" s="1" t="str">
        <f t="shared" si="3"/>
        <v/>
      </c>
      <c r="K13220" s="1" t="str">
        <f t="shared" si="4"/>
        <v/>
      </c>
    </row>
    <row r="13221">
      <c r="F13221" s="1" t="str">
        <f t="shared" si="1"/>
        <v/>
      </c>
      <c r="G13221" s="1" t="str">
        <f t="shared" si="2"/>
        <v/>
      </c>
      <c r="J13221" s="1" t="str">
        <f t="shared" si="3"/>
        <v/>
      </c>
      <c r="K13221" s="1" t="str">
        <f t="shared" si="4"/>
        <v/>
      </c>
    </row>
    <row r="13222">
      <c r="F13222" s="1" t="str">
        <f t="shared" si="1"/>
        <v/>
      </c>
      <c r="G13222" s="1" t="str">
        <f t="shared" si="2"/>
        <v/>
      </c>
      <c r="J13222" s="1" t="str">
        <f t="shared" si="3"/>
        <v/>
      </c>
      <c r="K13222" s="1" t="str">
        <f t="shared" si="4"/>
        <v/>
      </c>
    </row>
    <row r="13223">
      <c r="F13223" s="1" t="str">
        <f t="shared" si="1"/>
        <v/>
      </c>
      <c r="G13223" s="1" t="str">
        <f t="shared" si="2"/>
        <v/>
      </c>
      <c r="J13223" s="1" t="str">
        <f t="shared" si="3"/>
        <v/>
      </c>
      <c r="K13223" s="1" t="str">
        <f t="shared" si="4"/>
        <v/>
      </c>
    </row>
    <row r="13224">
      <c r="F13224" s="1" t="str">
        <f t="shared" si="1"/>
        <v/>
      </c>
      <c r="G13224" s="1" t="str">
        <f t="shared" si="2"/>
        <v/>
      </c>
      <c r="J13224" s="1" t="str">
        <f t="shared" si="3"/>
        <v/>
      </c>
      <c r="K13224" s="1" t="str">
        <f t="shared" si="4"/>
        <v/>
      </c>
    </row>
    <row r="13225">
      <c r="F13225" s="1" t="str">
        <f t="shared" si="1"/>
        <v/>
      </c>
      <c r="G13225" s="1" t="str">
        <f t="shared" si="2"/>
        <v/>
      </c>
      <c r="J13225" s="1" t="str">
        <f t="shared" si="3"/>
        <v/>
      </c>
      <c r="K13225" s="1" t="str">
        <f t="shared" si="4"/>
        <v/>
      </c>
    </row>
    <row r="13226">
      <c r="F13226" s="1" t="str">
        <f t="shared" si="1"/>
        <v/>
      </c>
      <c r="G13226" s="1" t="str">
        <f t="shared" si="2"/>
        <v/>
      </c>
      <c r="J13226" s="1" t="str">
        <f t="shared" si="3"/>
        <v/>
      </c>
      <c r="K13226" s="1" t="str">
        <f t="shared" si="4"/>
        <v/>
      </c>
    </row>
    <row r="13227">
      <c r="F13227" s="1" t="str">
        <f t="shared" si="1"/>
        <v/>
      </c>
      <c r="G13227" s="1" t="str">
        <f t="shared" si="2"/>
        <v/>
      </c>
      <c r="J13227" s="1" t="str">
        <f t="shared" si="3"/>
        <v/>
      </c>
      <c r="K13227" s="1" t="str">
        <f t="shared" si="4"/>
        <v/>
      </c>
    </row>
    <row r="13228">
      <c r="F13228" s="1" t="str">
        <f t="shared" si="1"/>
        <v/>
      </c>
      <c r="G13228" s="1" t="str">
        <f t="shared" si="2"/>
        <v/>
      </c>
      <c r="J13228" s="1" t="str">
        <f t="shared" si="3"/>
        <v/>
      </c>
      <c r="K13228" s="1" t="str">
        <f t="shared" si="4"/>
        <v/>
      </c>
    </row>
    <row r="13229">
      <c r="F13229" s="1" t="str">
        <f t="shared" si="1"/>
        <v/>
      </c>
      <c r="G13229" s="1" t="str">
        <f t="shared" si="2"/>
        <v/>
      </c>
      <c r="J13229" s="1" t="str">
        <f t="shared" si="3"/>
        <v/>
      </c>
      <c r="K13229" s="1" t="str">
        <f t="shared" si="4"/>
        <v/>
      </c>
    </row>
    <row r="13230">
      <c r="F13230" s="1" t="str">
        <f t="shared" si="1"/>
        <v/>
      </c>
      <c r="G13230" s="1" t="str">
        <f t="shared" si="2"/>
        <v/>
      </c>
      <c r="J13230" s="1" t="str">
        <f t="shared" si="3"/>
        <v/>
      </c>
      <c r="K13230" s="1" t="str">
        <f t="shared" si="4"/>
        <v/>
      </c>
    </row>
    <row r="13231">
      <c r="F13231" s="1" t="str">
        <f t="shared" si="1"/>
        <v/>
      </c>
      <c r="G13231" s="1" t="str">
        <f t="shared" si="2"/>
        <v/>
      </c>
      <c r="J13231" s="1" t="str">
        <f t="shared" si="3"/>
        <v/>
      </c>
      <c r="K13231" s="1" t="str">
        <f t="shared" si="4"/>
        <v/>
      </c>
    </row>
    <row r="13232">
      <c r="F13232" s="1" t="str">
        <f t="shared" si="1"/>
        <v/>
      </c>
      <c r="G13232" s="1" t="str">
        <f t="shared" si="2"/>
        <v/>
      </c>
      <c r="J13232" s="1" t="str">
        <f t="shared" si="3"/>
        <v/>
      </c>
      <c r="K13232" s="1" t="str">
        <f t="shared" si="4"/>
        <v/>
      </c>
    </row>
    <row r="13233">
      <c r="F13233" s="1" t="str">
        <f t="shared" si="1"/>
        <v/>
      </c>
      <c r="G13233" s="1" t="str">
        <f t="shared" si="2"/>
        <v/>
      </c>
      <c r="J13233" s="1" t="str">
        <f t="shared" si="3"/>
        <v/>
      </c>
      <c r="K13233" s="1" t="str">
        <f t="shared" si="4"/>
        <v/>
      </c>
    </row>
    <row r="13234">
      <c r="F13234" s="1" t="str">
        <f t="shared" si="1"/>
        <v/>
      </c>
      <c r="G13234" s="1" t="str">
        <f t="shared" si="2"/>
        <v/>
      </c>
      <c r="J13234" s="1" t="str">
        <f t="shared" si="3"/>
        <v/>
      </c>
      <c r="K13234" s="1" t="str">
        <f t="shared" si="4"/>
        <v/>
      </c>
    </row>
    <row r="13235">
      <c r="F13235" s="1" t="str">
        <f t="shared" si="1"/>
        <v/>
      </c>
      <c r="G13235" s="1" t="str">
        <f t="shared" si="2"/>
        <v/>
      </c>
      <c r="J13235" s="1" t="str">
        <f t="shared" si="3"/>
        <v/>
      </c>
      <c r="K13235" s="1" t="str">
        <f t="shared" si="4"/>
        <v/>
      </c>
    </row>
    <row r="13236">
      <c r="F13236" s="1" t="str">
        <f t="shared" si="1"/>
        <v/>
      </c>
      <c r="G13236" s="1" t="str">
        <f t="shared" si="2"/>
        <v/>
      </c>
      <c r="J13236" s="1" t="str">
        <f t="shared" si="3"/>
        <v/>
      </c>
      <c r="K13236" s="1" t="str">
        <f t="shared" si="4"/>
        <v/>
      </c>
    </row>
    <row r="13237">
      <c r="F13237" s="1" t="str">
        <f t="shared" si="1"/>
        <v/>
      </c>
      <c r="G13237" s="1" t="str">
        <f t="shared" si="2"/>
        <v/>
      </c>
      <c r="J13237" s="1" t="str">
        <f t="shared" si="3"/>
        <v/>
      </c>
      <c r="K13237" s="1" t="str">
        <f t="shared" si="4"/>
        <v/>
      </c>
    </row>
    <row r="13238">
      <c r="F13238" s="1" t="str">
        <f t="shared" si="1"/>
        <v/>
      </c>
      <c r="G13238" s="1" t="str">
        <f t="shared" si="2"/>
        <v/>
      </c>
      <c r="J13238" s="1" t="str">
        <f t="shared" si="3"/>
        <v/>
      </c>
      <c r="K13238" s="1" t="str">
        <f t="shared" si="4"/>
        <v/>
      </c>
    </row>
    <row r="13239">
      <c r="F13239" s="1" t="str">
        <f t="shared" si="1"/>
        <v/>
      </c>
      <c r="G13239" s="1" t="str">
        <f t="shared" si="2"/>
        <v/>
      </c>
      <c r="J13239" s="1" t="str">
        <f t="shared" si="3"/>
        <v/>
      </c>
      <c r="K13239" s="1" t="str">
        <f t="shared" si="4"/>
        <v/>
      </c>
    </row>
    <row r="13240">
      <c r="F13240" s="1" t="str">
        <f t="shared" si="1"/>
        <v/>
      </c>
      <c r="G13240" s="1" t="str">
        <f t="shared" si="2"/>
        <v/>
      </c>
      <c r="J13240" s="1" t="str">
        <f t="shared" si="3"/>
        <v/>
      </c>
      <c r="K13240" s="1" t="str">
        <f t="shared" si="4"/>
        <v/>
      </c>
    </row>
    <row r="13241">
      <c r="F13241" s="1" t="str">
        <f t="shared" si="1"/>
        <v/>
      </c>
      <c r="G13241" s="1" t="str">
        <f t="shared" si="2"/>
        <v/>
      </c>
      <c r="J13241" s="1" t="str">
        <f t="shared" si="3"/>
        <v/>
      </c>
      <c r="K13241" s="1" t="str">
        <f t="shared" si="4"/>
        <v/>
      </c>
    </row>
    <row r="13242">
      <c r="F13242" s="1" t="str">
        <f t="shared" si="1"/>
        <v/>
      </c>
      <c r="G13242" s="1" t="str">
        <f t="shared" si="2"/>
        <v/>
      </c>
      <c r="J13242" s="1" t="str">
        <f t="shared" si="3"/>
        <v/>
      </c>
      <c r="K13242" s="1" t="str">
        <f t="shared" si="4"/>
        <v/>
      </c>
    </row>
    <row r="13243">
      <c r="F13243" s="1" t="str">
        <f t="shared" si="1"/>
        <v/>
      </c>
      <c r="G13243" s="1" t="str">
        <f t="shared" si="2"/>
        <v/>
      </c>
      <c r="J13243" s="1" t="str">
        <f t="shared" si="3"/>
        <v/>
      </c>
      <c r="K13243" s="1" t="str">
        <f t="shared" si="4"/>
        <v/>
      </c>
    </row>
    <row r="13244">
      <c r="F13244" s="1" t="str">
        <f t="shared" si="1"/>
        <v/>
      </c>
      <c r="G13244" s="1" t="str">
        <f t="shared" si="2"/>
        <v/>
      </c>
      <c r="J13244" s="1" t="str">
        <f t="shared" si="3"/>
        <v/>
      </c>
      <c r="K13244" s="1" t="str">
        <f t="shared" si="4"/>
        <v/>
      </c>
    </row>
    <row r="13245">
      <c r="F13245" s="1" t="str">
        <f t="shared" si="1"/>
        <v/>
      </c>
      <c r="G13245" s="1" t="str">
        <f t="shared" si="2"/>
        <v/>
      </c>
      <c r="J13245" s="1" t="str">
        <f t="shared" si="3"/>
        <v/>
      </c>
      <c r="K13245" s="1" t="str">
        <f t="shared" si="4"/>
        <v/>
      </c>
    </row>
    <row r="13246">
      <c r="F13246" s="1" t="str">
        <f t="shared" si="1"/>
        <v/>
      </c>
      <c r="G13246" s="1" t="str">
        <f t="shared" si="2"/>
        <v/>
      </c>
      <c r="J13246" s="1" t="str">
        <f t="shared" si="3"/>
        <v/>
      </c>
      <c r="K13246" s="1" t="str">
        <f t="shared" si="4"/>
        <v/>
      </c>
    </row>
    <row r="13247">
      <c r="F13247" s="1" t="str">
        <f t="shared" si="1"/>
        <v/>
      </c>
      <c r="G13247" s="1" t="str">
        <f t="shared" si="2"/>
        <v/>
      </c>
      <c r="J13247" s="1" t="str">
        <f t="shared" si="3"/>
        <v/>
      </c>
      <c r="K13247" s="1" t="str">
        <f t="shared" si="4"/>
        <v/>
      </c>
    </row>
    <row r="13248">
      <c r="F13248" s="1" t="str">
        <f t="shared" si="1"/>
        <v/>
      </c>
      <c r="G13248" s="1" t="str">
        <f t="shared" si="2"/>
        <v/>
      </c>
      <c r="J13248" s="1" t="str">
        <f t="shared" si="3"/>
        <v/>
      </c>
      <c r="K13248" s="1" t="str">
        <f t="shared" si="4"/>
        <v/>
      </c>
    </row>
    <row r="13249">
      <c r="F13249" s="1" t="str">
        <f t="shared" si="1"/>
        <v/>
      </c>
      <c r="G13249" s="1" t="str">
        <f t="shared" si="2"/>
        <v/>
      </c>
      <c r="J13249" s="1" t="str">
        <f t="shared" si="3"/>
        <v/>
      </c>
      <c r="K13249" s="1" t="str">
        <f t="shared" si="4"/>
        <v/>
      </c>
    </row>
    <row r="13250">
      <c r="F13250" s="1" t="str">
        <f t="shared" si="1"/>
        <v/>
      </c>
      <c r="G13250" s="1" t="str">
        <f t="shared" si="2"/>
        <v/>
      </c>
      <c r="J13250" s="1" t="str">
        <f t="shared" si="3"/>
        <v/>
      </c>
      <c r="K13250" s="1" t="str">
        <f t="shared" si="4"/>
        <v/>
      </c>
    </row>
    <row r="13251">
      <c r="F13251" s="1" t="str">
        <f t="shared" si="1"/>
        <v/>
      </c>
      <c r="G13251" s="1" t="str">
        <f t="shared" si="2"/>
        <v/>
      </c>
      <c r="J13251" s="1" t="str">
        <f t="shared" si="3"/>
        <v/>
      </c>
      <c r="K13251" s="1" t="str">
        <f t="shared" si="4"/>
        <v/>
      </c>
    </row>
    <row r="13252">
      <c r="F13252" s="1" t="str">
        <f t="shared" si="1"/>
        <v/>
      </c>
      <c r="G13252" s="1" t="str">
        <f t="shared" si="2"/>
        <v/>
      </c>
      <c r="J13252" s="1" t="str">
        <f t="shared" si="3"/>
        <v/>
      </c>
      <c r="K13252" s="1" t="str">
        <f t="shared" si="4"/>
        <v/>
      </c>
    </row>
    <row r="13253">
      <c r="F13253" s="1" t="str">
        <f t="shared" si="1"/>
        <v/>
      </c>
      <c r="G13253" s="1" t="str">
        <f t="shared" si="2"/>
        <v/>
      </c>
      <c r="J13253" s="1" t="str">
        <f t="shared" si="3"/>
        <v/>
      </c>
      <c r="K13253" s="1" t="str">
        <f t="shared" si="4"/>
        <v/>
      </c>
    </row>
    <row r="13254">
      <c r="F13254" s="1" t="str">
        <f t="shared" si="1"/>
        <v/>
      </c>
      <c r="G13254" s="1" t="str">
        <f t="shared" si="2"/>
        <v/>
      </c>
      <c r="J13254" s="1" t="str">
        <f t="shared" si="3"/>
        <v/>
      </c>
      <c r="K13254" s="1" t="str">
        <f t="shared" si="4"/>
        <v/>
      </c>
    </row>
    <row r="13255">
      <c r="F13255" s="1" t="str">
        <f t="shared" si="1"/>
        <v/>
      </c>
      <c r="G13255" s="1" t="str">
        <f t="shared" si="2"/>
        <v/>
      </c>
      <c r="J13255" s="1" t="str">
        <f t="shared" si="3"/>
        <v/>
      </c>
      <c r="K13255" s="1" t="str">
        <f t="shared" si="4"/>
        <v/>
      </c>
    </row>
    <row r="13256">
      <c r="F13256" s="1" t="str">
        <f t="shared" si="1"/>
        <v/>
      </c>
      <c r="G13256" s="1" t="str">
        <f t="shared" si="2"/>
        <v/>
      </c>
      <c r="J13256" s="1" t="str">
        <f t="shared" si="3"/>
        <v/>
      </c>
      <c r="K13256" s="1" t="str">
        <f t="shared" si="4"/>
        <v/>
      </c>
    </row>
    <row r="13257">
      <c r="F13257" s="1" t="str">
        <f t="shared" si="1"/>
        <v/>
      </c>
      <c r="G13257" s="1" t="str">
        <f t="shared" si="2"/>
        <v/>
      </c>
      <c r="J13257" s="1" t="str">
        <f t="shared" si="3"/>
        <v/>
      </c>
      <c r="K13257" s="1" t="str">
        <f t="shared" si="4"/>
        <v/>
      </c>
    </row>
    <row r="13258">
      <c r="F13258" s="1" t="str">
        <f t="shared" si="1"/>
        <v/>
      </c>
      <c r="G13258" s="1" t="str">
        <f t="shared" si="2"/>
        <v/>
      </c>
      <c r="J13258" s="1" t="str">
        <f t="shared" si="3"/>
        <v/>
      </c>
      <c r="K13258" s="1" t="str">
        <f t="shared" si="4"/>
        <v/>
      </c>
    </row>
    <row r="13259">
      <c r="F13259" s="1" t="str">
        <f t="shared" si="1"/>
        <v/>
      </c>
      <c r="G13259" s="1" t="str">
        <f t="shared" si="2"/>
        <v/>
      </c>
      <c r="J13259" s="1" t="str">
        <f t="shared" si="3"/>
        <v/>
      </c>
      <c r="K13259" s="1" t="str">
        <f t="shared" si="4"/>
        <v/>
      </c>
    </row>
    <row r="13260">
      <c r="F13260" s="1" t="str">
        <f t="shared" si="1"/>
        <v/>
      </c>
      <c r="G13260" s="1" t="str">
        <f t="shared" si="2"/>
        <v/>
      </c>
      <c r="J13260" s="1" t="str">
        <f t="shared" si="3"/>
        <v/>
      </c>
      <c r="K13260" s="1" t="str">
        <f t="shared" si="4"/>
        <v/>
      </c>
    </row>
    <row r="13261">
      <c r="F13261" s="1" t="str">
        <f t="shared" si="1"/>
        <v/>
      </c>
      <c r="G13261" s="1" t="str">
        <f t="shared" si="2"/>
        <v/>
      </c>
      <c r="J13261" s="1" t="str">
        <f t="shared" si="3"/>
        <v/>
      </c>
      <c r="K13261" s="1" t="str">
        <f t="shared" si="4"/>
        <v/>
      </c>
    </row>
    <row r="13262">
      <c r="F13262" s="1" t="str">
        <f t="shared" si="1"/>
        <v/>
      </c>
      <c r="G13262" s="1" t="str">
        <f t="shared" si="2"/>
        <v/>
      </c>
      <c r="J13262" s="1" t="str">
        <f t="shared" si="3"/>
        <v/>
      </c>
      <c r="K13262" s="1" t="str">
        <f t="shared" si="4"/>
        <v/>
      </c>
    </row>
    <row r="13263">
      <c r="F13263" s="1" t="str">
        <f t="shared" si="1"/>
        <v/>
      </c>
      <c r="G13263" s="1" t="str">
        <f t="shared" si="2"/>
        <v/>
      </c>
      <c r="J13263" s="1" t="str">
        <f t="shared" si="3"/>
        <v/>
      </c>
      <c r="K13263" s="1" t="str">
        <f t="shared" si="4"/>
        <v/>
      </c>
    </row>
    <row r="13264">
      <c r="F13264" s="1" t="str">
        <f t="shared" si="1"/>
        <v/>
      </c>
      <c r="G13264" s="1" t="str">
        <f t="shared" si="2"/>
        <v/>
      </c>
      <c r="J13264" s="1" t="str">
        <f t="shared" si="3"/>
        <v/>
      </c>
      <c r="K13264" s="1" t="str">
        <f t="shared" si="4"/>
        <v/>
      </c>
    </row>
    <row r="13265">
      <c r="F13265" s="1" t="str">
        <f t="shared" si="1"/>
        <v/>
      </c>
      <c r="G13265" s="1" t="str">
        <f t="shared" si="2"/>
        <v/>
      </c>
      <c r="J13265" s="1" t="str">
        <f t="shared" si="3"/>
        <v/>
      </c>
      <c r="K13265" s="1" t="str">
        <f t="shared" si="4"/>
        <v/>
      </c>
    </row>
    <row r="13266">
      <c r="F13266" s="1" t="str">
        <f t="shared" si="1"/>
        <v/>
      </c>
      <c r="G13266" s="1" t="str">
        <f t="shared" si="2"/>
        <v/>
      </c>
      <c r="J13266" s="1" t="str">
        <f t="shared" si="3"/>
        <v/>
      </c>
      <c r="K13266" s="1" t="str">
        <f t="shared" si="4"/>
        <v/>
      </c>
    </row>
    <row r="13267">
      <c r="F13267" s="1" t="str">
        <f t="shared" si="1"/>
        <v/>
      </c>
      <c r="G13267" s="1" t="str">
        <f t="shared" si="2"/>
        <v/>
      </c>
      <c r="J13267" s="1" t="str">
        <f t="shared" si="3"/>
        <v/>
      </c>
      <c r="K13267" s="1" t="str">
        <f t="shared" si="4"/>
        <v/>
      </c>
    </row>
    <row r="13268">
      <c r="F13268" s="1" t="str">
        <f t="shared" si="1"/>
        <v/>
      </c>
      <c r="G13268" s="1" t="str">
        <f t="shared" si="2"/>
        <v/>
      </c>
      <c r="J13268" s="1" t="str">
        <f t="shared" si="3"/>
        <v/>
      </c>
      <c r="K13268" s="1" t="str">
        <f t="shared" si="4"/>
        <v/>
      </c>
    </row>
    <row r="13269">
      <c r="F13269" s="1" t="str">
        <f t="shared" si="1"/>
        <v/>
      </c>
      <c r="G13269" s="1" t="str">
        <f t="shared" si="2"/>
        <v/>
      </c>
      <c r="J13269" s="1" t="str">
        <f t="shared" si="3"/>
        <v/>
      </c>
      <c r="K13269" s="1" t="str">
        <f t="shared" si="4"/>
        <v/>
      </c>
    </row>
    <row r="13270">
      <c r="F13270" s="1" t="str">
        <f t="shared" si="1"/>
        <v/>
      </c>
      <c r="G13270" s="1" t="str">
        <f t="shared" si="2"/>
        <v/>
      </c>
      <c r="J13270" s="1" t="str">
        <f t="shared" si="3"/>
        <v/>
      </c>
      <c r="K13270" s="1" t="str">
        <f t="shared" si="4"/>
        <v/>
      </c>
    </row>
    <row r="13271">
      <c r="F13271" s="1" t="str">
        <f t="shared" si="1"/>
        <v/>
      </c>
      <c r="G13271" s="1" t="str">
        <f t="shared" si="2"/>
        <v/>
      </c>
      <c r="J13271" s="1" t="str">
        <f t="shared" si="3"/>
        <v/>
      </c>
      <c r="K13271" s="1" t="str">
        <f t="shared" si="4"/>
        <v/>
      </c>
    </row>
    <row r="13272">
      <c r="F13272" s="1" t="str">
        <f t="shared" si="1"/>
        <v/>
      </c>
      <c r="G13272" s="1" t="str">
        <f t="shared" si="2"/>
        <v/>
      </c>
      <c r="J13272" s="1" t="str">
        <f t="shared" si="3"/>
        <v/>
      </c>
      <c r="K13272" s="1" t="str">
        <f t="shared" si="4"/>
        <v/>
      </c>
    </row>
    <row r="13273">
      <c r="F13273" s="1" t="str">
        <f t="shared" si="1"/>
        <v/>
      </c>
      <c r="G13273" s="1" t="str">
        <f t="shared" si="2"/>
        <v/>
      </c>
      <c r="J13273" s="1" t="str">
        <f t="shared" si="3"/>
        <v/>
      </c>
      <c r="K13273" s="1" t="str">
        <f t="shared" si="4"/>
        <v/>
      </c>
    </row>
    <row r="13274">
      <c r="F13274" s="1" t="str">
        <f t="shared" si="1"/>
        <v/>
      </c>
      <c r="G13274" s="1" t="str">
        <f t="shared" si="2"/>
        <v/>
      </c>
      <c r="J13274" s="1" t="str">
        <f t="shared" si="3"/>
        <v/>
      </c>
      <c r="K13274" s="1" t="str">
        <f t="shared" si="4"/>
        <v/>
      </c>
    </row>
    <row r="13275">
      <c r="F13275" s="1" t="str">
        <f t="shared" si="1"/>
        <v/>
      </c>
      <c r="G13275" s="1" t="str">
        <f t="shared" si="2"/>
        <v/>
      </c>
      <c r="J13275" s="1" t="str">
        <f t="shared" si="3"/>
        <v/>
      </c>
      <c r="K13275" s="1" t="str">
        <f t="shared" si="4"/>
        <v/>
      </c>
    </row>
    <row r="13276">
      <c r="F13276" s="1" t="str">
        <f t="shared" si="1"/>
        <v/>
      </c>
      <c r="G13276" s="1" t="str">
        <f t="shared" si="2"/>
        <v/>
      </c>
      <c r="J13276" s="1" t="str">
        <f t="shared" si="3"/>
        <v/>
      </c>
      <c r="K13276" s="1" t="str">
        <f t="shared" si="4"/>
        <v/>
      </c>
    </row>
    <row r="13277">
      <c r="F13277" s="1" t="str">
        <f t="shared" si="1"/>
        <v/>
      </c>
      <c r="G13277" s="1" t="str">
        <f t="shared" si="2"/>
        <v/>
      </c>
      <c r="J13277" s="1" t="str">
        <f t="shared" si="3"/>
        <v/>
      </c>
      <c r="K13277" s="1" t="str">
        <f t="shared" si="4"/>
        <v/>
      </c>
    </row>
    <row r="13278">
      <c r="F13278" s="1" t="str">
        <f t="shared" si="1"/>
        <v/>
      </c>
      <c r="G13278" s="1" t="str">
        <f t="shared" si="2"/>
        <v/>
      </c>
      <c r="J13278" s="1" t="str">
        <f t="shared" si="3"/>
        <v/>
      </c>
      <c r="K13278" s="1" t="str">
        <f t="shared" si="4"/>
        <v/>
      </c>
    </row>
    <row r="13279">
      <c r="F13279" s="1" t="str">
        <f t="shared" si="1"/>
        <v/>
      </c>
      <c r="G13279" s="1" t="str">
        <f t="shared" si="2"/>
        <v/>
      </c>
      <c r="J13279" s="1" t="str">
        <f t="shared" si="3"/>
        <v/>
      </c>
      <c r="K13279" s="1" t="str">
        <f t="shared" si="4"/>
        <v/>
      </c>
    </row>
    <row r="13280">
      <c r="F13280" s="1" t="str">
        <f t="shared" si="1"/>
        <v/>
      </c>
      <c r="G13280" s="1" t="str">
        <f t="shared" si="2"/>
        <v/>
      </c>
      <c r="J13280" s="1" t="str">
        <f t="shared" si="3"/>
        <v/>
      </c>
      <c r="K13280" s="1" t="str">
        <f t="shared" si="4"/>
        <v/>
      </c>
    </row>
    <row r="13281">
      <c r="F13281" s="1" t="str">
        <f t="shared" si="1"/>
        <v/>
      </c>
      <c r="G13281" s="1" t="str">
        <f t="shared" si="2"/>
        <v/>
      </c>
      <c r="J13281" s="1" t="str">
        <f t="shared" si="3"/>
        <v/>
      </c>
      <c r="K13281" s="1" t="str">
        <f t="shared" si="4"/>
        <v/>
      </c>
    </row>
    <row r="13282">
      <c r="F13282" s="1" t="str">
        <f t="shared" si="1"/>
        <v/>
      </c>
      <c r="G13282" s="1" t="str">
        <f t="shared" si="2"/>
        <v/>
      </c>
      <c r="J13282" s="1" t="str">
        <f t="shared" si="3"/>
        <v/>
      </c>
      <c r="K13282" s="1" t="str">
        <f t="shared" si="4"/>
        <v/>
      </c>
    </row>
    <row r="13283">
      <c r="F13283" s="1" t="str">
        <f t="shared" si="1"/>
        <v/>
      </c>
      <c r="G13283" s="1" t="str">
        <f t="shared" si="2"/>
        <v/>
      </c>
      <c r="J13283" s="1" t="str">
        <f t="shared" si="3"/>
        <v/>
      </c>
      <c r="K13283" s="1" t="str">
        <f t="shared" si="4"/>
        <v/>
      </c>
    </row>
    <row r="13284">
      <c r="F13284" s="1" t="str">
        <f t="shared" si="1"/>
        <v/>
      </c>
      <c r="G13284" s="1" t="str">
        <f t="shared" si="2"/>
        <v/>
      </c>
      <c r="J13284" s="1" t="str">
        <f t="shared" si="3"/>
        <v/>
      </c>
      <c r="K13284" s="1" t="str">
        <f t="shared" si="4"/>
        <v/>
      </c>
    </row>
    <row r="13285">
      <c r="F13285" s="1" t="str">
        <f t="shared" si="1"/>
        <v/>
      </c>
      <c r="G13285" s="1" t="str">
        <f t="shared" si="2"/>
        <v/>
      </c>
      <c r="J13285" s="1" t="str">
        <f t="shared" si="3"/>
        <v/>
      </c>
      <c r="K13285" s="1" t="str">
        <f t="shared" si="4"/>
        <v/>
      </c>
    </row>
    <row r="13286">
      <c r="F13286" s="1" t="str">
        <f t="shared" si="1"/>
        <v/>
      </c>
      <c r="G13286" s="1" t="str">
        <f t="shared" si="2"/>
        <v/>
      </c>
      <c r="J13286" s="1" t="str">
        <f t="shared" si="3"/>
        <v/>
      </c>
      <c r="K13286" s="1" t="str">
        <f t="shared" si="4"/>
        <v/>
      </c>
    </row>
    <row r="13287">
      <c r="F13287" s="1" t="str">
        <f t="shared" si="1"/>
        <v/>
      </c>
      <c r="G13287" s="1" t="str">
        <f t="shared" si="2"/>
        <v/>
      </c>
      <c r="J13287" s="1" t="str">
        <f t="shared" si="3"/>
        <v/>
      </c>
      <c r="K13287" s="1" t="str">
        <f t="shared" si="4"/>
        <v/>
      </c>
    </row>
    <row r="13288">
      <c r="F13288" s="1" t="str">
        <f t="shared" si="1"/>
        <v/>
      </c>
      <c r="G13288" s="1" t="str">
        <f t="shared" si="2"/>
        <v/>
      </c>
      <c r="J13288" s="1" t="str">
        <f t="shared" si="3"/>
        <v/>
      </c>
      <c r="K13288" s="1" t="str">
        <f t="shared" si="4"/>
        <v/>
      </c>
    </row>
    <row r="13289">
      <c r="F13289" s="1" t="str">
        <f t="shared" si="1"/>
        <v/>
      </c>
      <c r="G13289" s="1" t="str">
        <f t="shared" si="2"/>
        <v/>
      </c>
      <c r="J13289" s="1" t="str">
        <f t="shared" si="3"/>
        <v/>
      </c>
      <c r="K13289" s="1" t="str">
        <f t="shared" si="4"/>
        <v/>
      </c>
    </row>
    <row r="13290">
      <c r="F13290" s="1" t="str">
        <f t="shared" si="1"/>
        <v/>
      </c>
      <c r="G13290" s="1" t="str">
        <f t="shared" si="2"/>
        <v/>
      </c>
      <c r="J13290" s="1" t="str">
        <f t="shared" si="3"/>
        <v/>
      </c>
      <c r="K13290" s="1" t="str">
        <f t="shared" si="4"/>
        <v/>
      </c>
    </row>
    <row r="13291">
      <c r="F13291" s="1" t="str">
        <f t="shared" si="1"/>
        <v/>
      </c>
      <c r="G13291" s="1" t="str">
        <f t="shared" si="2"/>
        <v/>
      </c>
      <c r="J13291" s="1" t="str">
        <f t="shared" si="3"/>
        <v/>
      </c>
      <c r="K13291" s="1" t="str">
        <f t="shared" si="4"/>
        <v/>
      </c>
    </row>
    <row r="13292">
      <c r="F13292" s="1" t="str">
        <f t="shared" si="1"/>
        <v/>
      </c>
      <c r="G13292" s="1" t="str">
        <f t="shared" si="2"/>
        <v/>
      </c>
      <c r="J13292" s="1" t="str">
        <f t="shared" si="3"/>
        <v/>
      </c>
      <c r="K13292" s="1" t="str">
        <f t="shared" si="4"/>
        <v/>
      </c>
    </row>
    <row r="13293">
      <c r="F13293" s="1" t="str">
        <f t="shared" si="1"/>
        <v/>
      </c>
      <c r="G13293" s="1" t="str">
        <f t="shared" si="2"/>
        <v/>
      </c>
      <c r="J13293" s="1" t="str">
        <f t="shared" si="3"/>
        <v/>
      </c>
      <c r="K13293" s="1" t="str">
        <f t="shared" si="4"/>
        <v/>
      </c>
    </row>
    <row r="13294">
      <c r="F13294" s="1" t="str">
        <f t="shared" si="1"/>
        <v/>
      </c>
      <c r="G13294" s="1" t="str">
        <f t="shared" si="2"/>
        <v/>
      </c>
      <c r="J13294" s="1" t="str">
        <f t="shared" si="3"/>
        <v/>
      </c>
      <c r="K13294" s="1" t="str">
        <f t="shared" si="4"/>
        <v/>
      </c>
    </row>
    <row r="13295">
      <c r="F13295" s="1" t="str">
        <f t="shared" si="1"/>
        <v/>
      </c>
      <c r="G13295" s="1" t="str">
        <f t="shared" si="2"/>
        <v/>
      </c>
      <c r="J13295" s="1" t="str">
        <f t="shared" si="3"/>
        <v/>
      </c>
      <c r="K13295" s="1" t="str">
        <f t="shared" si="4"/>
        <v/>
      </c>
    </row>
    <row r="13296">
      <c r="F13296" s="1" t="str">
        <f t="shared" si="1"/>
        <v/>
      </c>
      <c r="G13296" s="1" t="str">
        <f t="shared" si="2"/>
        <v/>
      </c>
      <c r="J13296" s="1" t="str">
        <f t="shared" si="3"/>
        <v/>
      </c>
      <c r="K13296" s="1" t="str">
        <f t="shared" si="4"/>
        <v/>
      </c>
    </row>
    <row r="13297">
      <c r="F13297" s="1" t="str">
        <f t="shared" si="1"/>
        <v/>
      </c>
      <c r="G13297" s="1" t="str">
        <f t="shared" si="2"/>
        <v/>
      </c>
      <c r="J13297" s="1" t="str">
        <f t="shared" si="3"/>
        <v/>
      </c>
      <c r="K13297" s="1" t="str">
        <f t="shared" si="4"/>
        <v/>
      </c>
    </row>
    <row r="13298">
      <c r="F13298" s="1" t="str">
        <f t="shared" si="1"/>
        <v/>
      </c>
      <c r="G13298" s="1" t="str">
        <f t="shared" si="2"/>
        <v/>
      </c>
      <c r="J13298" s="1" t="str">
        <f t="shared" si="3"/>
        <v/>
      </c>
      <c r="K13298" s="1" t="str">
        <f t="shared" si="4"/>
        <v/>
      </c>
    </row>
    <row r="13299">
      <c r="F13299" s="1" t="str">
        <f t="shared" si="1"/>
        <v/>
      </c>
      <c r="G13299" s="1" t="str">
        <f t="shared" si="2"/>
        <v/>
      </c>
      <c r="J13299" s="1" t="str">
        <f t="shared" si="3"/>
        <v/>
      </c>
      <c r="K13299" s="1" t="str">
        <f t="shared" si="4"/>
        <v/>
      </c>
    </row>
    <row r="13300">
      <c r="F13300" s="1" t="str">
        <f t="shared" si="1"/>
        <v/>
      </c>
      <c r="G13300" s="1" t="str">
        <f t="shared" si="2"/>
        <v/>
      </c>
      <c r="J13300" s="1" t="str">
        <f t="shared" si="3"/>
        <v/>
      </c>
      <c r="K13300" s="1" t="str">
        <f t="shared" si="4"/>
        <v/>
      </c>
    </row>
    <row r="13301">
      <c r="F13301" s="1" t="str">
        <f t="shared" si="1"/>
        <v/>
      </c>
      <c r="G13301" s="1" t="str">
        <f t="shared" si="2"/>
        <v/>
      </c>
      <c r="J13301" s="1" t="str">
        <f t="shared" si="3"/>
        <v/>
      </c>
      <c r="K13301" s="1" t="str">
        <f t="shared" si="4"/>
        <v/>
      </c>
    </row>
    <row r="13302">
      <c r="F13302" s="1" t="str">
        <f t="shared" si="1"/>
        <v/>
      </c>
      <c r="G13302" s="1" t="str">
        <f t="shared" si="2"/>
        <v/>
      </c>
      <c r="J13302" s="1" t="str">
        <f t="shared" si="3"/>
        <v/>
      </c>
      <c r="K13302" s="1" t="str">
        <f t="shared" si="4"/>
        <v/>
      </c>
    </row>
    <row r="13303">
      <c r="F13303" s="1" t="str">
        <f t="shared" si="1"/>
        <v/>
      </c>
      <c r="G13303" s="1" t="str">
        <f t="shared" si="2"/>
        <v/>
      </c>
      <c r="J13303" s="1" t="str">
        <f t="shared" si="3"/>
        <v/>
      </c>
      <c r="K13303" s="1" t="str">
        <f t="shared" si="4"/>
        <v/>
      </c>
    </row>
    <row r="13304">
      <c r="F13304" s="1" t="str">
        <f t="shared" si="1"/>
        <v/>
      </c>
      <c r="G13304" s="1" t="str">
        <f t="shared" si="2"/>
        <v/>
      </c>
      <c r="J13304" s="1" t="str">
        <f t="shared" si="3"/>
        <v/>
      </c>
      <c r="K13304" s="1" t="str">
        <f t="shared" si="4"/>
        <v/>
      </c>
    </row>
    <row r="13305">
      <c r="F13305" s="1" t="str">
        <f t="shared" si="1"/>
        <v/>
      </c>
      <c r="G13305" s="1" t="str">
        <f t="shared" si="2"/>
        <v/>
      </c>
      <c r="J13305" s="1" t="str">
        <f t="shared" si="3"/>
        <v/>
      </c>
      <c r="K13305" s="1" t="str">
        <f t="shared" si="4"/>
        <v/>
      </c>
    </row>
    <row r="13306">
      <c r="F13306" s="1" t="str">
        <f t="shared" si="1"/>
        <v/>
      </c>
      <c r="G13306" s="1" t="str">
        <f t="shared" si="2"/>
        <v/>
      </c>
      <c r="J13306" s="1" t="str">
        <f t="shared" si="3"/>
        <v/>
      </c>
      <c r="K13306" s="1" t="str">
        <f t="shared" si="4"/>
        <v/>
      </c>
    </row>
    <row r="13307">
      <c r="F13307" s="1" t="str">
        <f t="shared" si="1"/>
        <v/>
      </c>
      <c r="G13307" s="1" t="str">
        <f t="shared" si="2"/>
        <v/>
      </c>
      <c r="J13307" s="1" t="str">
        <f t="shared" si="3"/>
        <v/>
      </c>
      <c r="K13307" s="1" t="str">
        <f t="shared" si="4"/>
        <v/>
      </c>
    </row>
    <row r="13308">
      <c r="F13308" s="1" t="str">
        <f t="shared" si="1"/>
        <v/>
      </c>
      <c r="G13308" s="1" t="str">
        <f t="shared" si="2"/>
        <v/>
      </c>
      <c r="J13308" s="1" t="str">
        <f t="shared" si="3"/>
        <v/>
      </c>
      <c r="K13308" s="1" t="str">
        <f t="shared" si="4"/>
        <v/>
      </c>
    </row>
    <row r="13309">
      <c r="F13309" s="1" t="str">
        <f t="shared" si="1"/>
        <v/>
      </c>
      <c r="G13309" s="1" t="str">
        <f t="shared" si="2"/>
        <v/>
      </c>
      <c r="J13309" s="1" t="str">
        <f t="shared" si="3"/>
        <v/>
      </c>
      <c r="K13309" s="1" t="str">
        <f t="shared" si="4"/>
        <v/>
      </c>
    </row>
    <row r="13310">
      <c r="F13310" s="1" t="str">
        <f t="shared" si="1"/>
        <v/>
      </c>
      <c r="G13310" s="1" t="str">
        <f t="shared" si="2"/>
        <v/>
      </c>
      <c r="J13310" s="1" t="str">
        <f t="shared" si="3"/>
        <v/>
      </c>
      <c r="K13310" s="1" t="str">
        <f t="shared" si="4"/>
        <v/>
      </c>
    </row>
    <row r="13311">
      <c r="F13311" s="1" t="str">
        <f t="shared" si="1"/>
        <v/>
      </c>
      <c r="G13311" s="1" t="str">
        <f t="shared" si="2"/>
        <v/>
      </c>
      <c r="J13311" s="1" t="str">
        <f t="shared" si="3"/>
        <v/>
      </c>
      <c r="K13311" s="1" t="str">
        <f t="shared" si="4"/>
        <v/>
      </c>
    </row>
    <row r="13312">
      <c r="F13312" s="1" t="str">
        <f t="shared" si="1"/>
        <v/>
      </c>
      <c r="G13312" s="1" t="str">
        <f t="shared" si="2"/>
        <v/>
      </c>
      <c r="J13312" s="1" t="str">
        <f t="shared" si="3"/>
        <v/>
      </c>
      <c r="K13312" s="1" t="str">
        <f t="shared" si="4"/>
        <v/>
      </c>
    </row>
    <row r="13313">
      <c r="F13313" s="1" t="str">
        <f t="shared" si="1"/>
        <v/>
      </c>
      <c r="G13313" s="1" t="str">
        <f t="shared" si="2"/>
        <v/>
      </c>
      <c r="J13313" s="1" t="str">
        <f t="shared" si="3"/>
        <v/>
      </c>
      <c r="K13313" s="1" t="str">
        <f t="shared" si="4"/>
        <v/>
      </c>
    </row>
    <row r="13314">
      <c r="F13314" s="1" t="str">
        <f t="shared" si="1"/>
        <v/>
      </c>
      <c r="G13314" s="1" t="str">
        <f t="shared" si="2"/>
        <v/>
      </c>
      <c r="J13314" s="1" t="str">
        <f t="shared" si="3"/>
        <v/>
      </c>
      <c r="K13314" s="1" t="str">
        <f t="shared" si="4"/>
        <v/>
      </c>
    </row>
    <row r="13315">
      <c r="F13315" s="1" t="str">
        <f t="shared" si="1"/>
        <v/>
      </c>
      <c r="G13315" s="1" t="str">
        <f t="shared" si="2"/>
        <v/>
      </c>
      <c r="J13315" s="1" t="str">
        <f t="shared" si="3"/>
        <v/>
      </c>
      <c r="K13315" s="1" t="str">
        <f t="shared" si="4"/>
        <v/>
      </c>
    </row>
    <row r="13316">
      <c r="F13316" s="1" t="str">
        <f t="shared" si="1"/>
        <v/>
      </c>
      <c r="G13316" s="1" t="str">
        <f t="shared" si="2"/>
        <v/>
      </c>
      <c r="J13316" s="1" t="str">
        <f t="shared" si="3"/>
        <v/>
      </c>
      <c r="K13316" s="1" t="str">
        <f t="shared" si="4"/>
        <v/>
      </c>
    </row>
    <row r="13317">
      <c r="F13317" s="1" t="str">
        <f t="shared" si="1"/>
        <v/>
      </c>
      <c r="G13317" s="1" t="str">
        <f t="shared" si="2"/>
        <v/>
      </c>
      <c r="J13317" s="1" t="str">
        <f t="shared" si="3"/>
        <v/>
      </c>
      <c r="K13317" s="1" t="str">
        <f t="shared" si="4"/>
        <v/>
      </c>
    </row>
    <row r="13318">
      <c r="F13318" s="1" t="str">
        <f t="shared" si="1"/>
        <v/>
      </c>
      <c r="G13318" s="1" t="str">
        <f t="shared" si="2"/>
        <v/>
      </c>
      <c r="J13318" s="1" t="str">
        <f t="shared" si="3"/>
        <v/>
      </c>
      <c r="K13318" s="1" t="str">
        <f t="shared" si="4"/>
        <v/>
      </c>
    </row>
    <row r="13319">
      <c r="F13319" s="1" t="str">
        <f t="shared" si="1"/>
        <v/>
      </c>
      <c r="G13319" s="1" t="str">
        <f t="shared" si="2"/>
        <v/>
      </c>
      <c r="J13319" s="1" t="str">
        <f t="shared" si="3"/>
        <v/>
      </c>
      <c r="K13319" s="1" t="str">
        <f t="shared" si="4"/>
        <v/>
      </c>
    </row>
    <row r="13320">
      <c r="F13320" s="1" t="str">
        <f t="shared" si="1"/>
        <v/>
      </c>
      <c r="G13320" s="1" t="str">
        <f t="shared" si="2"/>
        <v/>
      </c>
      <c r="J13320" s="1" t="str">
        <f t="shared" si="3"/>
        <v/>
      </c>
      <c r="K13320" s="1" t="str">
        <f t="shared" si="4"/>
        <v/>
      </c>
    </row>
    <row r="13321">
      <c r="F13321" s="1" t="str">
        <f t="shared" si="1"/>
        <v/>
      </c>
      <c r="G13321" s="1" t="str">
        <f t="shared" si="2"/>
        <v/>
      </c>
      <c r="J13321" s="1" t="str">
        <f t="shared" si="3"/>
        <v/>
      </c>
      <c r="K13321" s="1" t="str">
        <f t="shared" si="4"/>
        <v/>
      </c>
    </row>
    <row r="13322">
      <c r="F13322" s="1" t="str">
        <f t="shared" si="1"/>
        <v/>
      </c>
      <c r="G13322" s="1" t="str">
        <f t="shared" si="2"/>
        <v/>
      </c>
      <c r="J13322" s="1" t="str">
        <f t="shared" si="3"/>
        <v/>
      </c>
      <c r="K13322" s="1" t="str">
        <f t="shared" si="4"/>
        <v/>
      </c>
    </row>
    <row r="13323">
      <c r="F13323" s="1" t="str">
        <f t="shared" si="1"/>
        <v/>
      </c>
      <c r="G13323" s="1" t="str">
        <f t="shared" si="2"/>
        <v/>
      </c>
      <c r="J13323" s="1" t="str">
        <f t="shared" si="3"/>
        <v/>
      </c>
      <c r="K13323" s="1" t="str">
        <f t="shared" si="4"/>
        <v/>
      </c>
    </row>
    <row r="13324">
      <c r="F13324" s="1" t="str">
        <f t="shared" si="1"/>
        <v/>
      </c>
      <c r="G13324" s="1" t="str">
        <f t="shared" si="2"/>
        <v/>
      </c>
      <c r="J13324" s="1" t="str">
        <f t="shared" si="3"/>
        <v/>
      </c>
      <c r="K13324" s="1" t="str">
        <f t="shared" si="4"/>
        <v/>
      </c>
    </row>
    <row r="13325">
      <c r="F13325" s="1" t="str">
        <f t="shared" si="1"/>
        <v/>
      </c>
      <c r="G13325" s="1" t="str">
        <f t="shared" si="2"/>
        <v/>
      </c>
      <c r="J13325" s="1" t="str">
        <f t="shared" si="3"/>
        <v/>
      </c>
      <c r="K13325" s="1" t="str">
        <f t="shared" si="4"/>
        <v/>
      </c>
    </row>
    <row r="13326">
      <c r="F13326" s="1" t="str">
        <f t="shared" si="1"/>
        <v/>
      </c>
      <c r="G13326" s="1" t="str">
        <f t="shared" si="2"/>
        <v/>
      </c>
      <c r="J13326" s="1" t="str">
        <f t="shared" si="3"/>
        <v/>
      </c>
      <c r="K13326" s="1" t="str">
        <f t="shared" si="4"/>
        <v/>
      </c>
    </row>
    <row r="13327">
      <c r="F13327" s="1" t="str">
        <f t="shared" si="1"/>
        <v/>
      </c>
      <c r="G13327" s="1" t="str">
        <f t="shared" si="2"/>
        <v/>
      </c>
      <c r="J13327" s="1" t="str">
        <f t="shared" si="3"/>
        <v/>
      </c>
      <c r="K13327" s="1" t="str">
        <f t="shared" si="4"/>
        <v/>
      </c>
    </row>
    <row r="13328">
      <c r="F13328" s="1" t="str">
        <f t="shared" si="1"/>
        <v/>
      </c>
      <c r="G13328" s="1" t="str">
        <f t="shared" si="2"/>
        <v/>
      </c>
      <c r="J13328" s="1" t="str">
        <f t="shared" si="3"/>
        <v/>
      </c>
      <c r="K13328" s="1" t="str">
        <f t="shared" si="4"/>
        <v/>
      </c>
    </row>
    <row r="13329">
      <c r="F13329" s="1" t="str">
        <f t="shared" si="1"/>
        <v/>
      </c>
      <c r="G13329" s="1" t="str">
        <f t="shared" si="2"/>
        <v/>
      </c>
      <c r="J13329" s="1" t="str">
        <f t="shared" si="3"/>
        <v/>
      </c>
      <c r="K13329" s="1" t="str">
        <f t="shared" si="4"/>
        <v/>
      </c>
    </row>
    <row r="13330">
      <c r="F13330" s="1" t="str">
        <f t="shared" si="1"/>
        <v/>
      </c>
      <c r="G13330" s="1" t="str">
        <f t="shared" si="2"/>
        <v/>
      </c>
      <c r="J13330" s="1" t="str">
        <f t="shared" si="3"/>
        <v/>
      </c>
      <c r="K13330" s="1" t="str">
        <f t="shared" si="4"/>
        <v/>
      </c>
    </row>
    <row r="13331">
      <c r="F13331" s="1" t="str">
        <f t="shared" si="1"/>
        <v/>
      </c>
      <c r="G13331" s="1" t="str">
        <f t="shared" si="2"/>
        <v/>
      </c>
      <c r="J13331" s="1" t="str">
        <f t="shared" si="3"/>
        <v/>
      </c>
      <c r="K13331" s="1" t="str">
        <f t="shared" si="4"/>
        <v/>
      </c>
    </row>
    <row r="13332">
      <c r="F13332" s="1" t="str">
        <f t="shared" si="1"/>
        <v/>
      </c>
      <c r="G13332" s="1" t="str">
        <f t="shared" si="2"/>
        <v/>
      </c>
      <c r="J13332" s="1" t="str">
        <f t="shared" si="3"/>
        <v/>
      </c>
      <c r="K13332" s="1" t="str">
        <f t="shared" si="4"/>
        <v/>
      </c>
    </row>
    <row r="13333">
      <c r="F13333" s="1" t="str">
        <f t="shared" si="1"/>
        <v/>
      </c>
      <c r="G13333" s="1" t="str">
        <f t="shared" si="2"/>
        <v/>
      </c>
      <c r="J13333" s="1" t="str">
        <f t="shared" si="3"/>
        <v/>
      </c>
      <c r="K13333" s="1" t="str">
        <f t="shared" si="4"/>
        <v/>
      </c>
    </row>
    <row r="13334">
      <c r="F13334" s="1" t="str">
        <f t="shared" si="1"/>
        <v/>
      </c>
      <c r="G13334" s="1" t="str">
        <f t="shared" si="2"/>
        <v/>
      </c>
      <c r="J13334" s="1" t="str">
        <f t="shared" si="3"/>
        <v/>
      </c>
      <c r="K13334" s="1" t="str">
        <f t="shared" si="4"/>
        <v/>
      </c>
    </row>
    <row r="13335">
      <c r="F13335" s="1" t="str">
        <f t="shared" si="1"/>
        <v/>
      </c>
      <c r="G13335" s="1" t="str">
        <f t="shared" si="2"/>
        <v/>
      </c>
      <c r="J13335" s="1" t="str">
        <f t="shared" si="3"/>
        <v/>
      </c>
      <c r="K13335" s="1" t="str">
        <f t="shared" si="4"/>
        <v/>
      </c>
    </row>
    <row r="13336">
      <c r="F13336" s="1" t="str">
        <f t="shared" si="1"/>
        <v/>
      </c>
      <c r="G13336" s="1" t="str">
        <f t="shared" si="2"/>
        <v/>
      </c>
      <c r="J13336" s="1" t="str">
        <f t="shared" si="3"/>
        <v/>
      </c>
      <c r="K13336" s="1" t="str">
        <f t="shared" si="4"/>
        <v/>
      </c>
    </row>
    <row r="13337">
      <c r="F13337" s="1" t="str">
        <f t="shared" si="1"/>
        <v/>
      </c>
      <c r="G13337" s="1" t="str">
        <f t="shared" si="2"/>
        <v/>
      </c>
      <c r="J13337" s="1" t="str">
        <f t="shared" si="3"/>
        <v/>
      </c>
      <c r="K13337" s="1" t="str">
        <f t="shared" si="4"/>
        <v/>
      </c>
    </row>
    <row r="13338">
      <c r="F13338" s="1" t="str">
        <f t="shared" si="1"/>
        <v/>
      </c>
      <c r="G13338" s="1" t="str">
        <f t="shared" si="2"/>
        <v/>
      </c>
      <c r="J13338" s="1" t="str">
        <f t="shared" si="3"/>
        <v/>
      </c>
      <c r="K13338" s="1" t="str">
        <f t="shared" si="4"/>
        <v/>
      </c>
    </row>
    <row r="13339">
      <c r="F13339" s="1" t="str">
        <f t="shared" si="1"/>
        <v/>
      </c>
      <c r="G13339" s="1" t="str">
        <f t="shared" si="2"/>
        <v/>
      </c>
      <c r="J13339" s="1" t="str">
        <f t="shared" si="3"/>
        <v/>
      </c>
      <c r="K13339" s="1" t="str">
        <f t="shared" si="4"/>
        <v/>
      </c>
    </row>
    <row r="13340">
      <c r="F13340" s="1" t="str">
        <f t="shared" si="1"/>
        <v/>
      </c>
      <c r="G13340" s="1" t="str">
        <f t="shared" si="2"/>
        <v/>
      </c>
      <c r="J13340" s="1" t="str">
        <f t="shared" si="3"/>
        <v/>
      </c>
      <c r="K13340" s="1" t="str">
        <f t="shared" si="4"/>
        <v/>
      </c>
    </row>
    <row r="13341">
      <c r="F13341" s="1" t="str">
        <f t="shared" si="1"/>
        <v/>
      </c>
      <c r="G13341" s="1" t="str">
        <f t="shared" si="2"/>
        <v/>
      </c>
      <c r="J13341" s="1" t="str">
        <f t="shared" si="3"/>
        <v/>
      </c>
      <c r="K13341" s="1" t="str">
        <f t="shared" si="4"/>
        <v/>
      </c>
    </row>
    <row r="13342">
      <c r="F13342" s="1" t="str">
        <f t="shared" si="1"/>
        <v/>
      </c>
      <c r="G13342" s="1" t="str">
        <f t="shared" si="2"/>
        <v/>
      </c>
      <c r="J13342" s="1" t="str">
        <f t="shared" si="3"/>
        <v/>
      </c>
      <c r="K13342" s="1" t="str">
        <f t="shared" si="4"/>
        <v/>
      </c>
    </row>
    <row r="13343">
      <c r="F13343" s="1" t="str">
        <f t="shared" si="1"/>
        <v/>
      </c>
      <c r="G13343" s="1" t="str">
        <f t="shared" si="2"/>
        <v/>
      </c>
      <c r="J13343" s="1" t="str">
        <f t="shared" si="3"/>
        <v/>
      </c>
      <c r="K13343" s="1" t="str">
        <f t="shared" si="4"/>
        <v/>
      </c>
    </row>
    <row r="13344">
      <c r="F13344" s="1" t="str">
        <f t="shared" si="1"/>
        <v/>
      </c>
      <c r="G13344" s="1" t="str">
        <f t="shared" si="2"/>
        <v/>
      </c>
      <c r="J13344" s="1" t="str">
        <f t="shared" si="3"/>
        <v/>
      </c>
      <c r="K13344" s="1" t="str">
        <f t="shared" si="4"/>
        <v/>
      </c>
    </row>
    <row r="13345">
      <c r="F13345" s="1" t="str">
        <f t="shared" si="1"/>
        <v/>
      </c>
      <c r="G13345" s="1" t="str">
        <f t="shared" si="2"/>
        <v/>
      </c>
      <c r="J13345" s="1" t="str">
        <f t="shared" si="3"/>
        <v/>
      </c>
      <c r="K13345" s="1" t="str">
        <f t="shared" si="4"/>
        <v/>
      </c>
    </row>
    <row r="13346">
      <c r="F13346" s="1" t="str">
        <f t="shared" si="1"/>
        <v/>
      </c>
      <c r="G13346" s="1" t="str">
        <f t="shared" si="2"/>
        <v/>
      </c>
      <c r="J13346" s="1" t="str">
        <f t="shared" si="3"/>
        <v/>
      </c>
      <c r="K13346" s="1" t="str">
        <f t="shared" si="4"/>
        <v/>
      </c>
    </row>
    <row r="13347">
      <c r="F13347" s="1" t="str">
        <f t="shared" si="1"/>
        <v/>
      </c>
      <c r="G13347" s="1" t="str">
        <f t="shared" si="2"/>
        <v/>
      </c>
      <c r="J13347" s="1" t="str">
        <f t="shared" si="3"/>
        <v/>
      </c>
      <c r="K13347" s="1" t="str">
        <f t="shared" si="4"/>
        <v/>
      </c>
    </row>
    <row r="13348">
      <c r="F13348" s="1" t="str">
        <f t="shared" si="1"/>
        <v/>
      </c>
      <c r="G13348" s="1" t="str">
        <f t="shared" si="2"/>
        <v/>
      </c>
      <c r="J13348" s="1" t="str">
        <f t="shared" si="3"/>
        <v/>
      </c>
      <c r="K13348" s="1" t="str">
        <f t="shared" si="4"/>
        <v/>
      </c>
    </row>
    <row r="13349">
      <c r="F13349" s="1" t="str">
        <f t="shared" si="1"/>
        <v/>
      </c>
      <c r="G13349" s="1" t="str">
        <f t="shared" si="2"/>
        <v/>
      </c>
      <c r="J13349" s="1" t="str">
        <f t="shared" si="3"/>
        <v/>
      </c>
      <c r="K13349" s="1" t="str">
        <f t="shared" si="4"/>
        <v/>
      </c>
    </row>
    <row r="13350">
      <c r="F13350" s="1" t="str">
        <f t="shared" si="1"/>
        <v/>
      </c>
      <c r="G13350" s="1" t="str">
        <f t="shared" si="2"/>
        <v/>
      </c>
      <c r="J13350" s="1" t="str">
        <f t="shared" si="3"/>
        <v/>
      </c>
      <c r="K13350" s="1" t="str">
        <f t="shared" si="4"/>
        <v/>
      </c>
    </row>
    <row r="13351">
      <c r="F13351" s="1" t="str">
        <f t="shared" si="1"/>
        <v/>
      </c>
      <c r="G13351" s="1" t="str">
        <f t="shared" si="2"/>
        <v/>
      </c>
      <c r="J13351" s="1" t="str">
        <f t="shared" si="3"/>
        <v/>
      </c>
      <c r="K13351" s="1" t="str">
        <f t="shared" si="4"/>
        <v/>
      </c>
    </row>
    <row r="13352">
      <c r="F13352" s="1" t="str">
        <f t="shared" si="1"/>
        <v/>
      </c>
      <c r="G13352" s="1" t="str">
        <f t="shared" si="2"/>
        <v/>
      </c>
      <c r="J13352" s="1" t="str">
        <f t="shared" si="3"/>
        <v/>
      </c>
      <c r="K13352" s="1" t="str">
        <f t="shared" si="4"/>
        <v/>
      </c>
    </row>
    <row r="13353">
      <c r="F13353" s="1" t="str">
        <f t="shared" si="1"/>
        <v/>
      </c>
      <c r="G13353" s="1" t="str">
        <f t="shared" si="2"/>
        <v/>
      </c>
      <c r="J13353" s="1" t="str">
        <f t="shared" si="3"/>
        <v/>
      </c>
      <c r="K13353" s="1" t="str">
        <f t="shared" si="4"/>
        <v/>
      </c>
    </row>
    <row r="13354">
      <c r="F13354" s="1" t="str">
        <f t="shared" si="1"/>
        <v/>
      </c>
      <c r="G13354" s="1" t="str">
        <f t="shared" si="2"/>
        <v/>
      </c>
      <c r="J13354" s="1" t="str">
        <f t="shared" si="3"/>
        <v/>
      </c>
      <c r="K13354" s="1" t="str">
        <f t="shared" si="4"/>
        <v/>
      </c>
    </row>
    <row r="13355">
      <c r="F13355" s="1" t="str">
        <f t="shared" si="1"/>
        <v/>
      </c>
      <c r="G13355" s="1" t="str">
        <f t="shared" si="2"/>
        <v/>
      </c>
      <c r="J13355" s="1" t="str">
        <f t="shared" si="3"/>
        <v/>
      </c>
      <c r="K13355" s="1" t="str">
        <f t="shared" si="4"/>
        <v/>
      </c>
    </row>
    <row r="13356">
      <c r="F13356" s="1" t="str">
        <f t="shared" si="1"/>
        <v/>
      </c>
      <c r="G13356" s="1" t="str">
        <f t="shared" si="2"/>
        <v/>
      </c>
      <c r="J13356" s="1" t="str">
        <f t="shared" si="3"/>
        <v/>
      </c>
      <c r="K13356" s="1" t="str">
        <f t="shared" si="4"/>
        <v/>
      </c>
    </row>
    <row r="13357">
      <c r="F13357" s="1" t="str">
        <f t="shared" si="1"/>
        <v/>
      </c>
      <c r="G13357" s="1" t="str">
        <f t="shared" si="2"/>
        <v/>
      </c>
      <c r="J13357" s="1" t="str">
        <f t="shared" si="3"/>
        <v/>
      </c>
      <c r="K13357" s="1" t="str">
        <f t="shared" si="4"/>
        <v/>
      </c>
    </row>
    <row r="13358">
      <c r="F13358" s="1" t="str">
        <f t="shared" si="1"/>
        <v/>
      </c>
      <c r="G13358" s="1" t="str">
        <f t="shared" si="2"/>
        <v/>
      </c>
      <c r="J13358" s="1" t="str">
        <f t="shared" si="3"/>
        <v/>
      </c>
      <c r="K13358" s="1" t="str">
        <f t="shared" si="4"/>
        <v/>
      </c>
    </row>
    <row r="13359">
      <c r="F13359" s="1" t="str">
        <f t="shared" si="1"/>
        <v/>
      </c>
      <c r="G13359" s="1" t="str">
        <f t="shared" si="2"/>
        <v/>
      </c>
      <c r="J13359" s="1" t="str">
        <f t="shared" si="3"/>
        <v/>
      </c>
      <c r="K13359" s="1" t="str">
        <f t="shared" si="4"/>
        <v/>
      </c>
    </row>
    <row r="13360">
      <c r="F13360" s="1" t="str">
        <f t="shared" si="1"/>
        <v/>
      </c>
      <c r="G13360" s="1" t="str">
        <f t="shared" si="2"/>
        <v/>
      </c>
      <c r="J13360" s="1" t="str">
        <f t="shared" si="3"/>
        <v/>
      </c>
      <c r="K13360" s="1" t="str">
        <f t="shared" si="4"/>
        <v/>
      </c>
    </row>
    <row r="13361">
      <c r="F13361" s="1" t="str">
        <f t="shared" si="1"/>
        <v/>
      </c>
      <c r="G13361" s="1" t="str">
        <f t="shared" si="2"/>
        <v/>
      </c>
      <c r="J13361" s="1" t="str">
        <f t="shared" si="3"/>
        <v/>
      </c>
      <c r="K13361" s="1" t="str">
        <f t="shared" si="4"/>
        <v/>
      </c>
    </row>
    <row r="13362">
      <c r="F13362" s="1" t="str">
        <f t="shared" si="1"/>
        <v/>
      </c>
      <c r="G13362" s="1" t="str">
        <f t="shared" si="2"/>
        <v/>
      </c>
      <c r="J13362" s="1" t="str">
        <f t="shared" si="3"/>
        <v/>
      </c>
      <c r="K13362" s="1" t="str">
        <f t="shared" si="4"/>
        <v/>
      </c>
    </row>
    <row r="13363">
      <c r="F13363" s="1" t="str">
        <f t="shared" si="1"/>
        <v/>
      </c>
      <c r="G13363" s="1" t="str">
        <f t="shared" si="2"/>
        <v/>
      </c>
      <c r="J13363" s="1" t="str">
        <f t="shared" si="3"/>
        <v/>
      </c>
      <c r="K13363" s="1" t="str">
        <f t="shared" si="4"/>
        <v/>
      </c>
    </row>
    <row r="13364">
      <c r="F13364" s="1" t="str">
        <f t="shared" si="1"/>
        <v/>
      </c>
      <c r="G13364" s="1" t="str">
        <f t="shared" si="2"/>
        <v/>
      </c>
      <c r="J13364" s="1" t="str">
        <f t="shared" si="3"/>
        <v/>
      </c>
      <c r="K13364" s="1" t="str">
        <f t="shared" si="4"/>
        <v/>
      </c>
    </row>
    <row r="13365">
      <c r="F13365" s="1" t="str">
        <f t="shared" si="1"/>
        <v/>
      </c>
      <c r="G13365" s="1" t="str">
        <f t="shared" si="2"/>
        <v/>
      </c>
      <c r="J13365" s="1" t="str">
        <f t="shared" si="3"/>
        <v/>
      </c>
      <c r="K13365" s="1" t="str">
        <f t="shared" si="4"/>
        <v/>
      </c>
    </row>
    <row r="13366">
      <c r="F13366" s="1" t="str">
        <f t="shared" si="1"/>
        <v/>
      </c>
      <c r="G13366" s="1" t="str">
        <f t="shared" si="2"/>
        <v/>
      </c>
      <c r="J13366" s="1" t="str">
        <f t="shared" si="3"/>
        <v/>
      </c>
      <c r="K13366" s="1" t="str">
        <f t="shared" si="4"/>
        <v/>
      </c>
    </row>
    <row r="13367">
      <c r="F13367" s="1" t="str">
        <f t="shared" si="1"/>
        <v/>
      </c>
      <c r="G13367" s="1" t="str">
        <f t="shared" si="2"/>
        <v/>
      </c>
      <c r="J13367" s="1" t="str">
        <f t="shared" si="3"/>
        <v/>
      </c>
      <c r="K13367" s="1" t="str">
        <f t="shared" si="4"/>
        <v/>
      </c>
    </row>
    <row r="13368">
      <c r="F13368" s="1" t="str">
        <f t="shared" si="1"/>
        <v/>
      </c>
      <c r="G13368" s="1" t="str">
        <f t="shared" si="2"/>
        <v/>
      </c>
      <c r="J13368" s="1" t="str">
        <f t="shared" si="3"/>
        <v/>
      </c>
      <c r="K13368" s="1" t="str">
        <f t="shared" si="4"/>
        <v/>
      </c>
    </row>
    <row r="13369">
      <c r="F13369" s="1" t="str">
        <f t="shared" si="1"/>
        <v/>
      </c>
      <c r="G13369" s="1" t="str">
        <f t="shared" si="2"/>
        <v/>
      </c>
      <c r="J13369" s="1" t="str">
        <f t="shared" si="3"/>
        <v/>
      </c>
      <c r="K13369" s="1" t="str">
        <f t="shared" si="4"/>
        <v/>
      </c>
    </row>
    <row r="13370">
      <c r="F13370" s="1" t="str">
        <f t="shared" si="1"/>
        <v/>
      </c>
      <c r="G13370" s="1" t="str">
        <f t="shared" si="2"/>
        <v/>
      </c>
      <c r="J13370" s="1" t="str">
        <f t="shared" si="3"/>
        <v/>
      </c>
      <c r="K13370" s="1" t="str">
        <f t="shared" si="4"/>
        <v/>
      </c>
    </row>
    <row r="13371">
      <c r="F13371" s="1" t="str">
        <f t="shared" si="1"/>
        <v/>
      </c>
      <c r="G13371" s="1" t="str">
        <f t="shared" si="2"/>
        <v/>
      </c>
      <c r="J13371" s="1" t="str">
        <f t="shared" si="3"/>
        <v/>
      </c>
      <c r="K13371" s="1" t="str">
        <f t="shared" si="4"/>
        <v/>
      </c>
    </row>
    <row r="13372">
      <c r="F13372" s="1" t="str">
        <f t="shared" si="1"/>
        <v/>
      </c>
      <c r="G13372" s="1" t="str">
        <f t="shared" si="2"/>
        <v/>
      </c>
      <c r="J13372" s="1" t="str">
        <f t="shared" si="3"/>
        <v/>
      </c>
      <c r="K13372" s="1" t="str">
        <f t="shared" si="4"/>
        <v/>
      </c>
    </row>
    <row r="13373">
      <c r="F13373" s="1" t="str">
        <f t="shared" si="1"/>
        <v/>
      </c>
      <c r="G13373" s="1" t="str">
        <f t="shared" si="2"/>
        <v/>
      </c>
      <c r="J13373" s="1" t="str">
        <f t="shared" si="3"/>
        <v/>
      </c>
      <c r="K13373" s="1" t="str">
        <f t="shared" si="4"/>
        <v/>
      </c>
    </row>
    <row r="13374">
      <c r="F13374" s="1" t="str">
        <f t="shared" si="1"/>
        <v/>
      </c>
      <c r="G13374" s="1" t="str">
        <f t="shared" si="2"/>
        <v/>
      </c>
      <c r="J13374" s="1" t="str">
        <f t="shared" si="3"/>
        <v/>
      </c>
      <c r="K13374" s="1" t="str">
        <f t="shared" si="4"/>
        <v/>
      </c>
    </row>
    <row r="13375">
      <c r="F13375" s="1" t="str">
        <f t="shared" si="1"/>
        <v/>
      </c>
      <c r="G13375" s="1" t="str">
        <f t="shared" si="2"/>
        <v/>
      </c>
      <c r="J13375" s="1" t="str">
        <f t="shared" si="3"/>
        <v/>
      </c>
      <c r="K13375" s="1" t="str">
        <f t="shared" si="4"/>
        <v/>
      </c>
    </row>
    <row r="13376">
      <c r="F13376" s="1" t="str">
        <f t="shared" si="1"/>
        <v/>
      </c>
      <c r="G13376" s="1" t="str">
        <f t="shared" si="2"/>
        <v/>
      </c>
      <c r="J13376" s="1" t="str">
        <f t="shared" si="3"/>
        <v/>
      </c>
      <c r="K13376" s="1" t="str">
        <f t="shared" si="4"/>
        <v/>
      </c>
    </row>
    <row r="13377">
      <c r="F13377" s="1" t="str">
        <f t="shared" si="1"/>
        <v/>
      </c>
      <c r="G13377" s="1" t="str">
        <f t="shared" si="2"/>
        <v/>
      </c>
      <c r="J13377" s="1" t="str">
        <f t="shared" si="3"/>
        <v/>
      </c>
      <c r="K13377" s="1" t="str">
        <f t="shared" si="4"/>
        <v/>
      </c>
    </row>
    <row r="13378">
      <c r="F13378" s="1" t="str">
        <f t="shared" si="1"/>
        <v/>
      </c>
      <c r="G13378" s="1" t="str">
        <f t="shared" si="2"/>
        <v/>
      </c>
      <c r="J13378" s="1" t="str">
        <f t="shared" si="3"/>
        <v/>
      </c>
      <c r="K13378" s="1" t="str">
        <f t="shared" si="4"/>
        <v/>
      </c>
    </row>
    <row r="13379">
      <c r="F13379" s="1" t="str">
        <f t="shared" si="1"/>
        <v/>
      </c>
      <c r="G13379" s="1" t="str">
        <f t="shared" si="2"/>
        <v/>
      </c>
      <c r="J13379" s="1" t="str">
        <f t="shared" si="3"/>
        <v/>
      </c>
      <c r="K13379" s="1" t="str">
        <f t="shared" si="4"/>
        <v/>
      </c>
    </row>
    <row r="13380">
      <c r="F13380" s="1" t="str">
        <f t="shared" si="1"/>
        <v/>
      </c>
      <c r="G13380" s="1" t="str">
        <f t="shared" si="2"/>
        <v/>
      </c>
      <c r="J13380" s="1" t="str">
        <f t="shared" si="3"/>
        <v/>
      </c>
      <c r="K13380" s="1" t="str">
        <f t="shared" si="4"/>
        <v/>
      </c>
    </row>
    <row r="13381">
      <c r="F13381" s="1" t="str">
        <f t="shared" si="1"/>
        <v/>
      </c>
      <c r="G13381" s="1" t="str">
        <f t="shared" si="2"/>
        <v/>
      </c>
      <c r="J13381" s="1" t="str">
        <f t="shared" si="3"/>
        <v/>
      </c>
      <c r="K13381" s="1" t="str">
        <f t="shared" si="4"/>
        <v/>
      </c>
    </row>
    <row r="13382">
      <c r="F13382" s="1" t="str">
        <f t="shared" si="1"/>
        <v/>
      </c>
      <c r="G13382" s="1" t="str">
        <f t="shared" si="2"/>
        <v/>
      </c>
      <c r="J13382" s="1" t="str">
        <f t="shared" si="3"/>
        <v/>
      </c>
      <c r="K13382" s="1" t="str">
        <f t="shared" si="4"/>
        <v/>
      </c>
    </row>
    <row r="13383">
      <c r="F13383" s="1" t="str">
        <f t="shared" si="1"/>
        <v/>
      </c>
      <c r="G13383" s="1" t="str">
        <f t="shared" si="2"/>
        <v/>
      </c>
      <c r="J13383" s="1" t="str">
        <f t="shared" si="3"/>
        <v/>
      </c>
      <c r="K13383" s="1" t="str">
        <f t="shared" si="4"/>
        <v/>
      </c>
    </row>
    <row r="13384">
      <c r="F13384" s="1" t="str">
        <f t="shared" si="1"/>
        <v/>
      </c>
      <c r="G13384" s="1" t="str">
        <f t="shared" si="2"/>
        <v/>
      </c>
      <c r="J13384" s="1" t="str">
        <f t="shared" si="3"/>
        <v/>
      </c>
      <c r="K13384" s="1" t="str">
        <f t="shared" si="4"/>
        <v/>
      </c>
    </row>
    <row r="13385">
      <c r="F13385" s="1" t="str">
        <f t="shared" si="1"/>
        <v/>
      </c>
      <c r="G13385" s="1" t="str">
        <f t="shared" si="2"/>
        <v/>
      </c>
      <c r="J13385" s="1" t="str">
        <f t="shared" si="3"/>
        <v/>
      </c>
      <c r="K13385" s="1" t="str">
        <f t="shared" si="4"/>
        <v/>
      </c>
    </row>
    <row r="13386">
      <c r="F13386" s="1" t="str">
        <f t="shared" si="1"/>
        <v/>
      </c>
      <c r="G13386" s="1" t="str">
        <f t="shared" si="2"/>
        <v/>
      </c>
      <c r="J13386" s="1" t="str">
        <f t="shared" si="3"/>
        <v/>
      </c>
      <c r="K13386" s="1" t="str">
        <f t="shared" si="4"/>
        <v/>
      </c>
    </row>
    <row r="13387">
      <c r="F13387" s="1" t="str">
        <f t="shared" si="1"/>
        <v/>
      </c>
      <c r="G13387" s="1" t="str">
        <f t="shared" si="2"/>
        <v/>
      </c>
      <c r="J13387" s="1" t="str">
        <f t="shared" si="3"/>
        <v/>
      </c>
      <c r="K13387" s="1" t="str">
        <f t="shared" si="4"/>
        <v/>
      </c>
    </row>
    <row r="13388">
      <c r="F13388" s="1" t="str">
        <f t="shared" si="1"/>
        <v/>
      </c>
      <c r="G13388" s="1" t="str">
        <f t="shared" si="2"/>
        <v/>
      </c>
      <c r="J13388" s="1" t="str">
        <f t="shared" si="3"/>
        <v/>
      </c>
      <c r="K13388" s="1" t="str">
        <f t="shared" si="4"/>
        <v/>
      </c>
    </row>
    <row r="13389">
      <c r="F13389" s="1" t="str">
        <f t="shared" si="1"/>
        <v/>
      </c>
      <c r="G13389" s="1" t="str">
        <f t="shared" si="2"/>
        <v/>
      </c>
      <c r="J13389" s="1" t="str">
        <f t="shared" si="3"/>
        <v/>
      </c>
      <c r="K13389" s="1" t="str">
        <f t="shared" si="4"/>
        <v/>
      </c>
    </row>
    <row r="13390">
      <c r="F13390" s="1" t="str">
        <f t="shared" si="1"/>
        <v/>
      </c>
      <c r="G13390" s="1" t="str">
        <f t="shared" si="2"/>
        <v/>
      </c>
      <c r="J13390" s="1" t="str">
        <f t="shared" si="3"/>
        <v/>
      </c>
      <c r="K13390" s="1" t="str">
        <f t="shared" si="4"/>
        <v/>
      </c>
    </row>
    <row r="13391">
      <c r="F13391" s="1" t="str">
        <f t="shared" si="1"/>
        <v/>
      </c>
      <c r="G13391" s="1" t="str">
        <f t="shared" si="2"/>
        <v/>
      </c>
      <c r="J13391" s="1" t="str">
        <f t="shared" si="3"/>
        <v/>
      </c>
      <c r="K13391" s="1" t="str">
        <f t="shared" si="4"/>
        <v/>
      </c>
    </row>
    <row r="13392">
      <c r="F13392" s="1" t="str">
        <f t="shared" si="1"/>
        <v/>
      </c>
      <c r="G13392" s="1" t="str">
        <f t="shared" si="2"/>
        <v/>
      </c>
      <c r="J13392" s="1" t="str">
        <f t="shared" si="3"/>
        <v/>
      </c>
      <c r="K13392" s="1" t="str">
        <f t="shared" si="4"/>
        <v/>
      </c>
    </row>
    <row r="13393">
      <c r="F13393" s="1" t="str">
        <f t="shared" si="1"/>
        <v/>
      </c>
      <c r="G13393" s="1" t="str">
        <f t="shared" si="2"/>
        <v/>
      </c>
      <c r="J13393" s="1" t="str">
        <f t="shared" si="3"/>
        <v/>
      </c>
      <c r="K13393" s="1" t="str">
        <f t="shared" si="4"/>
        <v/>
      </c>
    </row>
    <row r="13394">
      <c r="F13394" s="1" t="str">
        <f t="shared" si="1"/>
        <v/>
      </c>
      <c r="G13394" s="1" t="str">
        <f t="shared" si="2"/>
        <v/>
      </c>
      <c r="J13394" s="1" t="str">
        <f t="shared" si="3"/>
        <v/>
      </c>
      <c r="K13394" s="1" t="str">
        <f t="shared" si="4"/>
        <v/>
      </c>
    </row>
    <row r="13395">
      <c r="F13395" s="1" t="str">
        <f t="shared" si="1"/>
        <v/>
      </c>
      <c r="G13395" s="1" t="str">
        <f t="shared" si="2"/>
        <v/>
      </c>
      <c r="J13395" s="1" t="str">
        <f t="shared" si="3"/>
        <v/>
      </c>
      <c r="K13395" s="1" t="str">
        <f t="shared" si="4"/>
        <v/>
      </c>
    </row>
    <row r="13396">
      <c r="F13396" s="1" t="str">
        <f t="shared" si="1"/>
        <v/>
      </c>
      <c r="G13396" s="1" t="str">
        <f t="shared" si="2"/>
        <v/>
      </c>
      <c r="J13396" s="1" t="str">
        <f t="shared" si="3"/>
        <v/>
      </c>
      <c r="K13396" s="1" t="str">
        <f t="shared" si="4"/>
        <v/>
      </c>
    </row>
    <row r="13397">
      <c r="F13397" s="1" t="str">
        <f t="shared" si="1"/>
        <v/>
      </c>
      <c r="G13397" s="1" t="str">
        <f t="shared" si="2"/>
        <v/>
      </c>
      <c r="J13397" s="1" t="str">
        <f t="shared" si="3"/>
        <v/>
      </c>
      <c r="K13397" s="1" t="str">
        <f t="shared" si="4"/>
        <v/>
      </c>
    </row>
    <row r="13398">
      <c r="F13398" s="1" t="str">
        <f t="shared" si="1"/>
        <v/>
      </c>
      <c r="G13398" s="1" t="str">
        <f t="shared" si="2"/>
        <v/>
      </c>
      <c r="J13398" s="1" t="str">
        <f t="shared" si="3"/>
        <v/>
      </c>
      <c r="K13398" s="1" t="str">
        <f t="shared" si="4"/>
        <v/>
      </c>
    </row>
    <row r="13399">
      <c r="F13399" s="1" t="str">
        <f t="shared" si="1"/>
        <v/>
      </c>
      <c r="G13399" s="1" t="str">
        <f t="shared" si="2"/>
        <v/>
      </c>
      <c r="J13399" s="1" t="str">
        <f t="shared" si="3"/>
        <v/>
      </c>
      <c r="K13399" s="1" t="str">
        <f t="shared" si="4"/>
        <v/>
      </c>
    </row>
    <row r="13400">
      <c r="F13400" s="1" t="str">
        <f t="shared" si="1"/>
        <v/>
      </c>
      <c r="G13400" s="1" t="str">
        <f t="shared" si="2"/>
        <v/>
      </c>
      <c r="J13400" s="1" t="str">
        <f t="shared" si="3"/>
        <v/>
      </c>
      <c r="K13400" s="1" t="str">
        <f t="shared" si="4"/>
        <v/>
      </c>
    </row>
    <row r="13401">
      <c r="F13401" s="1" t="str">
        <f t="shared" si="1"/>
        <v/>
      </c>
      <c r="G13401" s="1" t="str">
        <f t="shared" si="2"/>
        <v/>
      </c>
      <c r="J13401" s="1" t="str">
        <f t="shared" si="3"/>
        <v/>
      </c>
      <c r="K13401" s="1" t="str">
        <f t="shared" si="4"/>
        <v/>
      </c>
    </row>
    <row r="13402">
      <c r="F13402" s="1" t="str">
        <f t="shared" si="1"/>
        <v/>
      </c>
      <c r="G13402" s="1" t="str">
        <f t="shared" si="2"/>
        <v/>
      </c>
      <c r="J13402" s="1" t="str">
        <f t="shared" si="3"/>
        <v/>
      </c>
      <c r="K13402" s="1" t="str">
        <f t="shared" si="4"/>
        <v/>
      </c>
    </row>
    <row r="13403">
      <c r="F13403" s="1" t="str">
        <f t="shared" si="1"/>
        <v/>
      </c>
      <c r="G13403" s="1" t="str">
        <f t="shared" si="2"/>
        <v/>
      </c>
      <c r="J13403" s="1" t="str">
        <f t="shared" si="3"/>
        <v/>
      </c>
      <c r="K13403" s="1" t="str">
        <f t="shared" si="4"/>
        <v/>
      </c>
    </row>
    <row r="13404">
      <c r="F13404" s="1" t="str">
        <f t="shared" si="1"/>
        <v/>
      </c>
      <c r="G13404" s="1" t="str">
        <f t="shared" si="2"/>
        <v/>
      </c>
      <c r="J13404" s="1" t="str">
        <f t="shared" si="3"/>
        <v/>
      </c>
      <c r="K13404" s="1" t="str">
        <f t="shared" si="4"/>
        <v/>
      </c>
    </row>
    <row r="13405">
      <c r="F13405" s="1" t="str">
        <f t="shared" si="1"/>
        <v/>
      </c>
      <c r="G13405" s="1" t="str">
        <f t="shared" si="2"/>
        <v/>
      </c>
      <c r="J13405" s="1" t="str">
        <f t="shared" si="3"/>
        <v/>
      </c>
      <c r="K13405" s="1" t="str">
        <f t="shared" si="4"/>
        <v/>
      </c>
    </row>
    <row r="13406">
      <c r="F13406" s="1" t="str">
        <f t="shared" si="1"/>
        <v/>
      </c>
      <c r="G13406" s="1" t="str">
        <f t="shared" si="2"/>
        <v/>
      </c>
      <c r="J13406" s="1" t="str">
        <f t="shared" si="3"/>
        <v/>
      </c>
      <c r="K13406" s="1" t="str">
        <f t="shared" si="4"/>
        <v/>
      </c>
    </row>
    <row r="13407">
      <c r="F13407" s="1" t="str">
        <f t="shared" si="1"/>
        <v/>
      </c>
      <c r="G13407" s="1" t="str">
        <f t="shared" si="2"/>
        <v/>
      </c>
      <c r="J13407" s="1" t="str">
        <f t="shared" si="3"/>
        <v/>
      </c>
      <c r="K13407" s="1" t="str">
        <f t="shared" si="4"/>
        <v/>
      </c>
    </row>
    <row r="13408">
      <c r="F13408" s="1" t="str">
        <f t="shared" si="1"/>
        <v/>
      </c>
      <c r="G13408" s="1" t="str">
        <f t="shared" si="2"/>
        <v/>
      </c>
      <c r="J13408" s="1" t="str">
        <f t="shared" si="3"/>
        <v/>
      </c>
      <c r="K13408" s="1" t="str">
        <f t="shared" si="4"/>
        <v/>
      </c>
    </row>
    <row r="13409">
      <c r="F13409" s="1" t="str">
        <f t="shared" si="1"/>
        <v/>
      </c>
      <c r="G13409" s="1" t="str">
        <f t="shared" si="2"/>
        <v/>
      </c>
      <c r="J13409" s="1" t="str">
        <f t="shared" si="3"/>
        <v/>
      </c>
      <c r="K13409" s="1" t="str">
        <f t="shared" si="4"/>
        <v/>
      </c>
    </row>
    <row r="13410">
      <c r="F13410" s="1" t="str">
        <f t="shared" si="1"/>
        <v/>
      </c>
      <c r="G13410" s="1" t="str">
        <f t="shared" si="2"/>
        <v/>
      </c>
      <c r="J13410" s="1" t="str">
        <f t="shared" si="3"/>
        <v/>
      </c>
      <c r="K13410" s="1" t="str">
        <f t="shared" si="4"/>
        <v/>
      </c>
    </row>
    <row r="13411">
      <c r="F13411" s="1" t="str">
        <f t="shared" si="1"/>
        <v/>
      </c>
      <c r="G13411" s="1" t="str">
        <f t="shared" si="2"/>
        <v/>
      </c>
      <c r="J13411" s="1" t="str">
        <f t="shared" si="3"/>
        <v/>
      </c>
      <c r="K13411" s="1" t="str">
        <f t="shared" si="4"/>
        <v/>
      </c>
    </row>
    <row r="13412">
      <c r="F13412" s="1" t="str">
        <f t="shared" si="1"/>
        <v/>
      </c>
      <c r="G13412" s="1" t="str">
        <f t="shared" si="2"/>
        <v/>
      </c>
      <c r="J13412" s="1" t="str">
        <f t="shared" si="3"/>
        <v/>
      </c>
      <c r="K13412" s="1" t="str">
        <f t="shared" si="4"/>
        <v/>
      </c>
    </row>
    <row r="13413">
      <c r="F13413" s="1" t="str">
        <f t="shared" si="1"/>
        <v/>
      </c>
      <c r="G13413" s="1" t="str">
        <f t="shared" si="2"/>
        <v/>
      </c>
      <c r="J13413" s="1" t="str">
        <f t="shared" si="3"/>
        <v/>
      </c>
      <c r="K13413" s="1" t="str">
        <f t="shared" si="4"/>
        <v/>
      </c>
    </row>
    <row r="13414">
      <c r="F13414" s="1" t="str">
        <f t="shared" si="1"/>
        <v/>
      </c>
      <c r="G13414" s="1" t="str">
        <f t="shared" si="2"/>
        <v/>
      </c>
      <c r="J13414" s="1" t="str">
        <f t="shared" si="3"/>
        <v/>
      </c>
      <c r="K13414" s="1" t="str">
        <f t="shared" si="4"/>
        <v/>
      </c>
    </row>
    <row r="13415">
      <c r="F13415" s="1" t="str">
        <f t="shared" si="1"/>
        <v/>
      </c>
      <c r="G13415" s="1" t="str">
        <f t="shared" si="2"/>
        <v/>
      </c>
      <c r="J13415" s="1" t="str">
        <f t="shared" si="3"/>
        <v/>
      </c>
      <c r="K13415" s="1" t="str">
        <f t="shared" si="4"/>
        <v/>
      </c>
    </row>
    <row r="13416">
      <c r="F13416" s="1" t="str">
        <f t="shared" si="1"/>
        <v/>
      </c>
      <c r="G13416" s="1" t="str">
        <f t="shared" si="2"/>
        <v/>
      </c>
      <c r="J13416" s="1" t="str">
        <f t="shared" si="3"/>
        <v/>
      </c>
      <c r="K13416" s="1" t="str">
        <f t="shared" si="4"/>
        <v/>
      </c>
    </row>
    <row r="13417">
      <c r="F13417" s="1" t="str">
        <f t="shared" si="1"/>
        <v/>
      </c>
      <c r="G13417" s="1" t="str">
        <f t="shared" si="2"/>
        <v/>
      </c>
      <c r="J13417" s="1" t="str">
        <f t="shared" si="3"/>
        <v/>
      </c>
      <c r="K13417" s="1" t="str">
        <f t="shared" si="4"/>
        <v/>
      </c>
    </row>
    <row r="13418">
      <c r="F13418" s="1" t="str">
        <f t="shared" si="1"/>
        <v/>
      </c>
      <c r="G13418" s="1" t="str">
        <f t="shared" si="2"/>
        <v/>
      </c>
      <c r="J13418" s="1" t="str">
        <f t="shared" si="3"/>
        <v/>
      </c>
      <c r="K13418" s="1" t="str">
        <f t="shared" si="4"/>
        <v/>
      </c>
    </row>
    <row r="13419">
      <c r="F13419" s="1" t="str">
        <f t="shared" si="1"/>
        <v/>
      </c>
      <c r="G13419" s="1" t="str">
        <f t="shared" si="2"/>
        <v/>
      </c>
      <c r="J13419" s="1" t="str">
        <f t="shared" si="3"/>
        <v/>
      </c>
      <c r="K13419" s="1" t="str">
        <f t="shared" si="4"/>
        <v/>
      </c>
    </row>
    <row r="13420">
      <c r="F13420" s="1" t="str">
        <f t="shared" si="1"/>
        <v/>
      </c>
      <c r="G13420" s="1" t="str">
        <f t="shared" si="2"/>
        <v/>
      </c>
      <c r="J13420" s="1" t="str">
        <f t="shared" si="3"/>
        <v/>
      </c>
      <c r="K13420" s="1" t="str">
        <f t="shared" si="4"/>
        <v/>
      </c>
    </row>
    <row r="13421">
      <c r="F13421" s="1" t="str">
        <f t="shared" si="1"/>
        <v/>
      </c>
      <c r="G13421" s="1" t="str">
        <f t="shared" si="2"/>
        <v/>
      </c>
      <c r="J13421" s="1" t="str">
        <f t="shared" si="3"/>
        <v/>
      </c>
      <c r="K13421" s="1" t="str">
        <f t="shared" si="4"/>
        <v/>
      </c>
    </row>
    <row r="13422">
      <c r="F13422" s="1" t="str">
        <f t="shared" si="1"/>
        <v/>
      </c>
      <c r="G13422" s="1" t="str">
        <f t="shared" si="2"/>
        <v/>
      </c>
      <c r="J13422" s="1" t="str">
        <f t="shared" si="3"/>
        <v/>
      </c>
      <c r="K13422" s="1" t="str">
        <f t="shared" si="4"/>
        <v/>
      </c>
    </row>
    <row r="13423">
      <c r="F13423" s="1" t="str">
        <f t="shared" si="1"/>
        <v/>
      </c>
      <c r="G13423" s="1" t="str">
        <f t="shared" si="2"/>
        <v/>
      </c>
      <c r="J13423" s="1" t="str">
        <f t="shared" si="3"/>
        <v/>
      </c>
      <c r="K13423" s="1" t="str">
        <f t="shared" si="4"/>
        <v/>
      </c>
    </row>
    <row r="13424">
      <c r="F13424" s="1" t="str">
        <f t="shared" si="1"/>
        <v/>
      </c>
      <c r="G13424" s="1" t="str">
        <f t="shared" si="2"/>
        <v/>
      </c>
      <c r="J13424" s="1" t="str">
        <f t="shared" si="3"/>
        <v/>
      </c>
      <c r="K13424" s="1" t="str">
        <f t="shared" si="4"/>
        <v/>
      </c>
    </row>
    <row r="13425">
      <c r="F13425" s="1" t="str">
        <f t="shared" si="1"/>
        <v/>
      </c>
      <c r="G13425" s="1" t="str">
        <f t="shared" si="2"/>
        <v/>
      </c>
      <c r="J13425" s="1" t="str">
        <f t="shared" si="3"/>
        <v/>
      </c>
      <c r="K13425" s="1" t="str">
        <f t="shared" si="4"/>
        <v/>
      </c>
    </row>
    <row r="13426">
      <c r="F13426" s="1" t="str">
        <f t="shared" si="1"/>
        <v/>
      </c>
      <c r="G13426" s="1" t="str">
        <f t="shared" si="2"/>
        <v/>
      </c>
      <c r="J13426" s="1" t="str">
        <f t="shared" si="3"/>
        <v/>
      </c>
      <c r="K13426" s="1" t="str">
        <f t="shared" si="4"/>
        <v/>
      </c>
    </row>
    <row r="13427">
      <c r="F13427" s="1" t="str">
        <f t="shared" si="1"/>
        <v/>
      </c>
      <c r="G13427" s="1" t="str">
        <f t="shared" si="2"/>
        <v/>
      </c>
      <c r="J13427" s="1" t="str">
        <f t="shared" si="3"/>
        <v/>
      </c>
      <c r="K13427" s="1" t="str">
        <f t="shared" si="4"/>
        <v/>
      </c>
    </row>
    <row r="13428">
      <c r="F13428" s="1" t="str">
        <f t="shared" si="1"/>
        <v/>
      </c>
      <c r="G13428" s="1" t="str">
        <f t="shared" si="2"/>
        <v/>
      </c>
      <c r="J13428" s="1" t="str">
        <f t="shared" si="3"/>
        <v/>
      </c>
      <c r="K13428" s="1" t="str">
        <f t="shared" si="4"/>
        <v/>
      </c>
    </row>
    <row r="13429">
      <c r="F13429" s="1" t="str">
        <f t="shared" si="1"/>
        <v/>
      </c>
      <c r="G13429" s="1" t="str">
        <f t="shared" si="2"/>
        <v/>
      </c>
      <c r="J13429" s="1" t="str">
        <f t="shared" si="3"/>
        <v/>
      </c>
      <c r="K13429" s="1" t="str">
        <f t="shared" si="4"/>
        <v/>
      </c>
    </row>
    <row r="13430">
      <c r="F13430" s="1" t="str">
        <f t="shared" si="1"/>
        <v/>
      </c>
      <c r="G13430" s="1" t="str">
        <f t="shared" si="2"/>
        <v/>
      </c>
      <c r="J13430" s="1" t="str">
        <f t="shared" si="3"/>
        <v/>
      </c>
      <c r="K13430" s="1" t="str">
        <f t="shared" si="4"/>
        <v/>
      </c>
    </row>
    <row r="13431">
      <c r="F13431" s="1" t="str">
        <f t="shared" si="1"/>
        <v/>
      </c>
      <c r="G13431" s="1" t="str">
        <f t="shared" si="2"/>
        <v/>
      </c>
      <c r="J13431" s="1" t="str">
        <f t="shared" si="3"/>
        <v/>
      </c>
      <c r="K13431" s="1" t="str">
        <f t="shared" si="4"/>
        <v/>
      </c>
    </row>
    <row r="13432">
      <c r="F13432" s="1" t="str">
        <f t="shared" si="1"/>
        <v/>
      </c>
      <c r="G13432" s="1" t="str">
        <f t="shared" si="2"/>
        <v/>
      </c>
      <c r="J13432" s="1" t="str">
        <f t="shared" si="3"/>
        <v/>
      </c>
      <c r="K13432" s="1" t="str">
        <f t="shared" si="4"/>
        <v/>
      </c>
    </row>
    <row r="13433">
      <c r="F13433" s="1" t="str">
        <f t="shared" si="1"/>
        <v/>
      </c>
      <c r="G13433" s="1" t="str">
        <f t="shared" si="2"/>
        <v/>
      </c>
      <c r="J13433" s="1" t="str">
        <f t="shared" si="3"/>
        <v/>
      </c>
      <c r="K13433" s="1" t="str">
        <f t="shared" si="4"/>
        <v/>
      </c>
    </row>
    <row r="13434">
      <c r="F13434" s="1" t="str">
        <f t="shared" si="1"/>
        <v/>
      </c>
      <c r="G13434" s="1" t="str">
        <f t="shared" si="2"/>
        <v/>
      </c>
      <c r="J13434" s="1" t="str">
        <f t="shared" si="3"/>
        <v/>
      </c>
      <c r="K13434" s="1" t="str">
        <f t="shared" si="4"/>
        <v/>
      </c>
    </row>
    <row r="13435">
      <c r="F13435" s="1" t="str">
        <f t="shared" si="1"/>
        <v/>
      </c>
      <c r="G13435" s="1" t="str">
        <f t="shared" si="2"/>
        <v/>
      </c>
      <c r="J13435" s="1" t="str">
        <f t="shared" si="3"/>
        <v/>
      </c>
      <c r="K13435" s="1" t="str">
        <f t="shared" si="4"/>
        <v/>
      </c>
    </row>
    <row r="13436">
      <c r="F13436" s="1" t="str">
        <f t="shared" si="1"/>
        <v/>
      </c>
      <c r="G13436" s="1" t="str">
        <f t="shared" si="2"/>
        <v/>
      </c>
      <c r="J13436" s="1" t="str">
        <f t="shared" si="3"/>
        <v/>
      </c>
      <c r="K13436" s="1" t="str">
        <f t="shared" si="4"/>
        <v/>
      </c>
    </row>
    <row r="13437">
      <c r="F13437" s="1" t="str">
        <f t="shared" si="1"/>
        <v/>
      </c>
      <c r="G13437" s="1" t="str">
        <f t="shared" si="2"/>
        <v/>
      </c>
      <c r="J13437" s="1" t="str">
        <f t="shared" si="3"/>
        <v/>
      </c>
      <c r="K13437" s="1" t="str">
        <f t="shared" si="4"/>
        <v/>
      </c>
    </row>
    <row r="13438">
      <c r="F13438" s="1" t="str">
        <f t="shared" si="1"/>
        <v/>
      </c>
      <c r="G13438" s="1" t="str">
        <f t="shared" si="2"/>
        <v/>
      </c>
      <c r="J13438" s="1" t="str">
        <f t="shared" si="3"/>
        <v/>
      </c>
      <c r="K13438" s="1" t="str">
        <f t="shared" si="4"/>
        <v/>
      </c>
    </row>
    <row r="13439">
      <c r="F13439" s="1" t="str">
        <f t="shared" si="1"/>
        <v/>
      </c>
      <c r="G13439" s="1" t="str">
        <f t="shared" si="2"/>
        <v/>
      </c>
      <c r="J13439" s="1" t="str">
        <f t="shared" si="3"/>
        <v/>
      </c>
      <c r="K13439" s="1" t="str">
        <f t="shared" si="4"/>
        <v/>
      </c>
    </row>
    <row r="13440">
      <c r="F13440" s="1" t="str">
        <f t="shared" si="1"/>
        <v/>
      </c>
      <c r="G13440" s="1" t="str">
        <f t="shared" si="2"/>
        <v/>
      </c>
      <c r="J13440" s="1" t="str">
        <f t="shared" si="3"/>
        <v/>
      </c>
      <c r="K13440" s="1" t="str">
        <f t="shared" si="4"/>
        <v/>
      </c>
    </row>
    <row r="13441">
      <c r="F13441" s="1" t="str">
        <f t="shared" si="1"/>
        <v/>
      </c>
      <c r="G13441" s="1" t="str">
        <f t="shared" si="2"/>
        <v/>
      </c>
      <c r="J13441" s="1" t="str">
        <f t="shared" si="3"/>
        <v/>
      </c>
      <c r="K13441" s="1" t="str">
        <f t="shared" si="4"/>
        <v/>
      </c>
    </row>
    <row r="13442">
      <c r="F13442" s="1" t="str">
        <f t="shared" si="1"/>
        <v/>
      </c>
      <c r="G13442" s="1" t="str">
        <f t="shared" si="2"/>
        <v/>
      </c>
      <c r="J13442" s="1" t="str">
        <f t="shared" si="3"/>
        <v/>
      </c>
      <c r="K13442" s="1" t="str">
        <f t="shared" si="4"/>
        <v/>
      </c>
    </row>
    <row r="13443">
      <c r="F13443" s="1" t="str">
        <f t="shared" si="1"/>
        <v/>
      </c>
      <c r="G13443" s="1" t="str">
        <f t="shared" si="2"/>
        <v/>
      </c>
      <c r="J13443" s="1" t="str">
        <f t="shared" si="3"/>
        <v/>
      </c>
      <c r="K13443" s="1" t="str">
        <f t="shared" si="4"/>
        <v/>
      </c>
    </row>
    <row r="13444">
      <c r="F13444" s="1" t="str">
        <f t="shared" si="1"/>
        <v/>
      </c>
      <c r="G13444" s="1" t="str">
        <f t="shared" si="2"/>
        <v/>
      </c>
      <c r="J13444" s="1" t="str">
        <f t="shared" si="3"/>
        <v/>
      </c>
      <c r="K13444" s="1" t="str">
        <f t="shared" si="4"/>
        <v/>
      </c>
    </row>
    <row r="13445">
      <c r="F13445" s="1" t="str">
        <f t="shared" si="1"/>
        <v/>
      </c>
      <c r="G13445" s="1" t="str">
        <f t="shared" si="2"/>
        <v/>
      </c>
      <c r="J13445" s="1" t="str">
        <f t="shared" si="3"/>
        <v/>
      </c>
      <c r="K13445" s="1" t="str">
        <f t="shared" si="4"/>
        <v/>
      </c>
    </row>
    <row r="13446">
      <c r="F13446" s="1" t="str">
        <f t="shared" si="1"/>
        <v/>
      </c>
      <c r="G13446" s="1" t="str">
        <f t="shared" si="2"/>
        <v/>
      </c>
      <c r="J13446" s="1" t="str">
        <f t="shared" si="3"/>
        <v/>
      </c>
      <c r="K13446" s="1" t="str">
        <f t="shared" si="4"/>
        <v/>
      </c>
    </row>
    <row r="13447">
      <c r="F13447" s="1" t="str">
        <f t="shared" si="1"/>
        <v/>
      </c>
      <c r="G13447" s="1" t="str">
        <f t="shared" si="2"/>
        <v/>
      </c>
      <c r="J13447" s="1" t="str">
        <f t="shared" si="3"/>
        <v/>
      </c>
      <c r="K13447" s="1" t="str">
        <f t="shared" si="4"/>
        <v/>
      </c>
    </row>
    <row r="13448">
      <c r="F13448" s="1" t="str">
        <f t="shared" si="1"/>
        <v/>
      </c>
      <c r="G13448" s="1" t="str">
        <f t="shared" si="2"/>
        <v/>
      </c>
      <c r="J13448" s="1" t="str">
        <f t="shared" si="3"/>
        <v/>
      </c>
      <c r="K13448" s="1" t="str">
        <f t="shared" si="4"/>
        <v/>
      </c>
    </row>
    <row r="13449">
      <c r="F13449" s="1" t="str">
        <f t="shared" si="1"/>
        <v/>
      </c>
      <c r="G13449" s="1" t="str">
        <f t="shared" si="2"/>
        <v/>
      </c>
      <c r="J13449" s="1" t="str">
        <f t="shared" si="3"/>
        <v/>
      </c>
      <c r="K13449" s="1" t="str">
        <f t="shared" si="4"/>
        <v/>
      </c>
    </row>
    <row r="13450">
      <c r="F13450" s="1" t="str">
        <f t="shared" si="1"/>
        <v/>
      </c>
      <c r="G13450" s="1" t="str">
        <f t="shared" si="2"/>
        <v/>
      </c>
      <c r="J13450" s="1" t="str">
        <f t="shared" si="3"/>
        <v/>
      </c>
      <c r="K13450" s="1" t="str">
        <f t="shared" si="4"/>
        <v/>
      </c>
    </row>
    <row r="13451">
      <c r="F13451" s="1" t="str">
        <f t="shared" si="1"/>
        <v/>
      </c>
      <c r="G13451" s="1" t="str">
        <f t="shared" si="2"/>
        <v/>
      </c>
      <c r="J13451" s="1" t="str">
        <f t="shared" si="3"/>
        <v/>
      </c>
      <c r="K13451" s="1" t="str">
        <f t="shared" si="4"/>
        <v/>
      </c>
    </row>
    <row r="13452">
      <c r="F13452" s="1" t="str">
        <f t="shared" si="1"/>
        <v/>
      </c>
      <c r="G13452" s="1" t="str">
        <f t="shared" si="2"/>
        <v/>
      </c>
      <c r="J13452" s="1" t="str">
        <f t="shared" si="3"/>
        <v/>
      </c>
      <c r="K13452" s="1" t="str">
        <f t="shared" si="4"/>
        <v/>
      </c>
    </row>
    <row r="13453">
      <c r="F13453" s="1" t="str">
        <f t="shared" si="1"/>
        <v/>
      </c>
      <c r="G13453" s="1" t="str">
        <f t="shared" si="2"/>
        <v/>
      </c>
      <c r="J13453" s="1" t="str">
        <f t="shared" si="3"/>
        <v/>
      </c>
      <c r="K13453" s="1" t="str">
        <f t="shared" si="4"/>
        <v/>
      </c>
    </row>
    <row r="13454">
      <c r="F13454" s="1" t="str">
        <f t="shared" si="1"/>
        <v/>
      </c>
      <c r="G13454" s="1" t="str">
        <f t="shared" si="2"/>
        <v/>
      </c>
      <c r="J13454" s="1" t="str">
        <f t="shared" si="3"/>
        <v/>
      </c>
      <c r="K13454" s="1" t="str">
        <f t="shared" si="4"/>
        <v/>
      </c>
    </row>
    <row r="13455">
      <c r="F13455" s="1" t="str">
        <f t="shared" si="1"/>
        <v/>
      </c>
      <c r="G13455" s="1" t="str">
        <f t="shared" si="2"/>
        <v/>
      </c>
      <c r="J13455" s="1" t="str">
        <f t="shared" si="3"/>
        <v/>
      </c>
      <c r="K13455" s="1" t="str">
        <f t="shared" si="4"/>
        <v/>
      </c>
    </row>
    <row r="13456">
      <c r="F13456" s="1" t="str">
        <f t="shared" si="1"/>
        <v/>
      </c>
      <c r="G13456" s="1" t="str">
        <f t="shared" si="2"/>
        <v/>
      </c>
      <c r="J13456" s="1" t="str">
        <f t="shared" si="3"/>
        <v/>
      </c>
      <c r="K13456" s="1" t="str">
        <f t="shared" si="4"/>
        <v/>
      </c>
    </row>
    <row r="13457">
      <c r="F13457" s="1" t="str">
        <f t="shared" si="1"/>
        <v/>
      </c>
      <c r="G13457" s="1" t="str">
        <f t="shared" si="2"/>
        <v/>
      </c>
      <c r="J13457" s="1" t="str">
        <f t="shared" si="3"/>
        <v/>
      </c>
      <c r="K13457" s="1" t="str">
        <f t="shared" si="4"/>
        <v/>
      </c>
    </row>
    <row r="13458">
      <c r="F13458" s="1" t="str">
        <f t="shared" si="1"/>
        <v/>
      </c>
      <c r="G13458" s="1" t="str">
        <f t="shared" si="2"/>
        <v/>
      </c>
      <c r="J13458" s="1" t="str">
        <f t="shared" si="3"/>
        <v/>
      </c>
      <c r="K13458" s="1" t="str">
        <f t="shared" si="4"/>
        <v/>
      </c>
    </row>
    <row r="13459">
      <c r="F13459" s="1" t="str">
        <f t="shared" si="1"/>
        <v/>
      </c>
      <c r="G13459" s="1" t="str">
        <f t="shared" si="2"/>
        <v/>
      </c>
      <c r="J13459" s="1" t="str">
        <f t="shared" si="3"/>
        <v/>
      </c>
      <c r="K13459" s="1" t="str">
        <f t="shared" si="4"/>
        <v/>
      </c>
    </row>
    <row r="13460">
      <c r="F13460" s="1" t="str">
        <f t="shared" si="1"/>
        <v/>
      </c>
      <c r="G13460" s="1" t="str">
        <f t="shared" si="2"/>
        <v/>
      </c>
      <c r="J13460" s="1" t="str">
        <f t="shared" si="3"/>
        <v/>
      </c>
      <c r="K13460" s="1" t="str">
        <f t="shared" si="4"/>
        <v/>
      </c>
    </row>
    <row r="13461">
      <c r="F13461" s="1" t="str">
        <f t="shared" si="1"/>
        <v/>
      </c>
      <c r="G13461" s="1" t="str">
        <f t="shared" si="2"/>
        <v/>
      </c>
      <c r="J13461" s="1" t="str">
        <f t="shared" si="3"/>
        <v/>
      </c>
      <c r="K13461" s="1" t="str">
        <f t="shared" si="4"/>
        <v/>
      </c>
    </row>
    <row r="13462">
      <c r="F13462" s="1" t="str">
        <f t="shared" si="1"/>
        <v/>
      </c>
      <c r="G13462" s="1" t="str">
        <f t="shared" si="2"/>
        <v/>
      </c>
      <c r="J13462" s="1" t="str">
        <f t="shared" si="3"/>
        <v/>
      </c>
      <c r="K13462" s="1" t="str">
        <f t="shared" si="4"/>
        <v/>
      </c>
    </row>
    <row r="13463">
      <c r="F13463" s="1" t="str">
        <f t="shared" si="1"/>
        <v/>
      </c>
      <c r="G13463" s="1" t="str">
        <f t="shared" si="2"/>
        <v/>
      </c>
      <c r="J13463" s="1" t="str">
        <f t="shared" si="3"/>
        <v/>
      </c>
      <c r="K13463" s="1" t="str">
        <f t="shared" si="4"/>
        <v/>
      </c>
    </row>
    <row r="13464">
      <c r="F13464" s="1" t="str">
        <f t="shared" si="1"/>
        <v/>
      </c>
      <c r="G13464" s="1" t="str">
        <f t="shared" si="2"/>
        <v/>
      </c>
      <c r="J13464" s="1" t="str">
        <f t="shared" si="3"/>
        <v/>
      </c>
      <c r="K13464" s="1" t="str">
        <f t="shared" si="4"/>
        <v/>
      </c>
    </row>
    <row r="13465">
      <c r="F13465" s="1" t="str">
        <f t="shared" si="1"/>
        <v/>
      </c>
      <c r="G13465" s="1" t="str">
        <f t="shared" si="2"/>
        <v/>
      </c>
      <c r="J13465" s="1" t="str">
        <f t="shared" si="3"/>
        <v/>
      </c>
      <c r="K13465" s="1" t="str">
        <f t="shared" si="4"/>
        <v/>
      </c>
    </row>
    <row r="13466">
      <c r="F13466" s="1" t="str">
        <f t="shared" si="1"/>
        <v/>
      </c>
      <c r="G13466" s="1" t="str">
        <f t="shared" si="2"/>
        <v/>
      </c>
      <c r="J13466" s="1" t="str">
        <f t="shared" si="3"/>
        <v/>
      </c>
      <c r="K13466" s="1" t="str">
        <f t="shared" si="4"/>
        <v/>
      </c>
    </row>
    <row r="13467">
      <c r="F13467" s="1" t="str">
        <f t="shared" si="1"/>
        <v/>
      </c>
      <c r="G13467" s="1" t="str">
        <f t="shared" si="2"/>
        <v/>
      </c>
      <c r="J13467" s="1" t="str">
        <f t="shared" si="3"/>
        <v/>
      </c>
      <c r="K13467" s="1" t="str">
        <f t="shared" si="4"/>
        <v/>
      </c>
    </row>
    <row r="13468">
      <c r="F13468" s="1" t="str">
        <f t="shared" si="1"/>
        <v/>
      </c>
      <c r="G13468" s="1" t="str">
        <f t="shared" si="2"/>
        <v/>
      </c>
      <c r="J13468" s="1" t="str">
        <f t="shared" si="3"/>
        <v/>
      </c>
      <c r="K13468" s="1" t="str">
        <f t="shared" si="4"/>
        <v/>
      </c>
    </row>
    <row r="13469">
      <c r="F13469" s="1" t="str">
        <f t="shared" si="1"/>
        <v/>
      </c>
      <c r="G13469" s="1" t="str">
        <f t="shared" si="2"/>
        <v/>
      </c>
      <c r="J13469" s="1" t="str">
        <f t="shared" si="3"/>
        <v/>
      </c>
      <c r="K13469" s="1" t="str">
        <f t="shared" si="4"/>
        <v/>
      </c>
    </row>
    <row r="13470">
      <c r="F13470" s="1" t="str">
        <f t="shared" si="1"/>
        <v/>
      </c>
      <c r="G13470" s="1" t="str">
        <f t="shared" si="2"/>
        <v/>
      </c>
      <c r="J13470" s="1" t="str">
        <f t="shared" si="3"/>
        <v/>
      </c>
      <c r="K13470" s="1" t="str">
        <f t="shared" si="4"/>
        <v/>
      </c>
    </row>
    <row r="13471">
      <c r="F13471" s="1" t="str">
        <f t="shared" si="1"/>
        <v/>
      </c>
      <c r="G13471" s="1" t="str">
        <f t="shared" si="2"/>
        <v/>
      </c>
      <c r="J13471" s="1" t="str">
        <f t="shared" si="3"/>
        <v/>
      </c>
      <c r="K13471" s="1" t="str">
        <f t="shared" si="4"/>
        <v/>
      </c>
    </row>
    <row r="13472">
      <c r="F13472" s="1" t="str">
        <f t="shared" si="1"/>
        <v/>
      </c>
      <c r="G13472" s="1" t="str">
        <f t="shared" si="2"/>
        <v/>
      </c>
      <c r="J13472" s="1" t="str">
        <f t="shared" si="3"/>
        <v/>
      </c>
      <c r="K13472" s="1" t="str">
        <f t="shared" si="4"/>
        <v/>
      </c>
    </row>
    <row r="13473">
      <c r="F13473" s="1" t="str">
        <f t="shared" si="1"/>
        <v/>
      </c>
      <c r="G13473" s="1" t="str">
        <f t="shared" si="2"/>
        <v/>
      </c>
      <c r="J13473" s="1" t="str">
        <f t="shared" si="3"/>
        <v/>
      </c>
      <c r="K13473" s="1" t="str">
        <f t="shared" si="4"/>
        <v/>
      </c>
    </row>
    <row r="13474">
      <c r="F13474" s="1" t="str">
        <f t="shared" si="1"/>
        <v/>
      </c>
      <c r="G13474" s="1" t="str">
        <f t="shared" si="2"/>
        <v/>
      </c>
      <c r="J13474" s="1" t="str">
        <f t="shared" si="3"/>
        <v/>
      </c>
      <c r="K13474" s="1" t="str">
        <f t="shared" si="4"/>
        <v/>
      </c>
    </row>
    <row r="13475">
      <c r="F13475" s="1" t="str">
        <f t="shared" si="1"/>
        <v/>
      </c>
      <c r="G13475" s="1" t="str">
        <f t="shared" si="2"/>
        <v/>
      </c>
      <c r="J13475" s="1" t="str">
        <f t="shared" si="3"/>
        <v/>
      </c>
      <c r="K13475" s="1" t="str">
        <f t="shared" si="4"/>
        <v/>
      </c>
    </row>
    <row r="13476">
      <c r="F13476" s="1" t="str">
        <f t="shared" si="1"/>
        <v/>
      </c>
      <c r="G13476" s="1" t="str">
        <f t="shared" si="2"/>
        <v/>
      </c>
      <c r="J13476" s="1" t="str">
        <f t="shared" si="3"/>
        <v/>
      </c>
      <c r="K13476" s="1" t="str">
        <f t="shared" si="4"/>
        <v/>
      </c>
    </row>
    <row r="13477">
      <c r="F13477" s="1" t="str">
        <f t="shared" si="1"/>
        <v/>
      </c>
      <c r="G13477" s="1" t="str">
        <f t="shared" si="2"/>
        <v/>
      </c>
      <c r="J13477" s="1" t="str">
        <f t="shared" si="3"/>
        <v/>
      </c>
      <c r="K13477" s="1" t="str">
        <f t="shared" si="4"/>
        <v/>
      </c>
    </row>
    <row r="13478">
      <c r="F13478" s="1" t="str">
        <f t="shared" si="1"/>
        <v/>
      </c>
      <c r="G13478" s="1" t="str">
        <f t="shared" si="2"/>
        <v/>
      </c>
      <c r="J13478" s="1" t="str">
        <f t="shared" si="3"/>
        <v/>
      </c>
      <c r="K13478" s="1" t="str">
        <f t="shared" si="4"/>
        <v/>
      </c>
    </row>
    <row r="13479">
      <c r="F13479" s="1" t="str">
        <f t="shared" si="1"/>
        <v/>
      </c>
      <c r="G13479" s="1" t="str">
        <f t="shared" si="2"/>
        <v/>
      </c>
      <c r="J13479" s="1" t="str">
        <f t="shared" si="3"/>
        <v/>
      </c>
      <c r="K13479" s="1" t="str">
        <f t="shared" si="4"/>
        <v/>
      </c>
    </row>
    <row r="13480">
      <c r="F13480" s="1" t="str">
        <f t="shared" si="1"/>
        <v/>
      </c>
      <c r="G13480" s="1" t="str">
        <f t="shared" si="2"/>
        <v/>
      </c>
      <c r="J13480" s="1" t="str">
        <f t="shared" si="3"/>
        <v/>
      </c>
      <c r="K13480" s="1" t="str">
        <f t="shared" si="4"/>
        <v/>
      </c>
    </row>
    <row r="13481">
      <c r="F13481" s="1" t="str">
        <f t="shared" si="1"/>
        <v/>
      </c>
      <c r="G13481" s="1" t="str">
        <f t="shared" si="2"/>
        <v/>
      </c>
      <c r="J13481" s="1" t="str">
        <f t="shared" si="3"/>
        <v/>
      </c>
      <c r="K13481" s="1" t="str">
        <f t="shared" si="4"/>
        <v/>
      </c>
    </row>
    <row r="13482">
      <c r="F13482" s="1" t="str">
        <f t="shared" si="1"/>
        <v/>
      </c>
      <c r="G13482" s="1" t="str">
        <f t="shared" si="2"/>
        <v/>
      </c>
      <c r="J13482" s="1" t="str">
        <f t="shared" si="3"/>
        <v/>
      </c>
      <c r="K13482" s="1" t="str">
        <f t="shared" si="4"/>
        <v/>
      </c>
    </row>
    <row r="13483">
      <c r="F13483" s="1" t="str">
        <f t="shared" si="1"/>
        <v/>
      </c>
      <c r="G13483" s="1" t="str">
        <f t="shared" si="2"/>
        <v/>
      </c>
      <c r="J13483" s="1" t="str">
        <f t="shared" si="3"/>
        <v/>
      </c>
      <c r="K13483" s="1" t="str">
        <f t="shared" si="4"/>
        <v/>
      </c>
    </row>
    <row r="13484">
      <c r="F13484" s="1" t="str">
        <f t="shared" si="1"/>
        <v/>
      </c>
      <c r="G13484" s="1" t="str">
        <f t="shared" si="2"/>
        <v/>
      </c>
      <c r="J13484" s="1" t="str">
        <f t="shared" si="3"/>
        <v/>
      </c>
      <c r="K13484" s="1" t="str">
        <f t="shared" si="4"/>
        <v/>
      </c>
    </row>
    <row r="13485">
      <c r="F13485" s="1" t="str">
        <f t="shared" si="1"/>
        <v/>
      </c>
      <c r="G13485" s="1" t="str">
        <f t="shared" si="2"/>
        <v/>
      </c>
      <c r="J13485" s="1" t="str">
        <f t="shared" si="3"/>
        <v/>
      </c>
      <c r="K13485" s="1" t="str">
        <f t="shared" si="4"/>
        <v/>
      </c>
    </row>
    <row r="13486">
      <c r="F13486" s="1" t="str">
        <f t="shared" si="1"/>
        <v/>
      </c>
      <c r="G13486" s="1" t="str">
        <f t="shared" si="2"/>
        <v/>
      </c>
      <c r="J13486" s="1" t="str">
        <f t="shared" si="3"/>
        <v/>
      </c>
      <c r="K13486" s="1" t="str">
        <f t="shared" si="4"/>
        <v/>
      </c>
    </row>
    <row r="13487">
      <c r="F13487" s="1" t="str">
        <f t="shared" si="1"/>
        <v/>
      </c>
      <c r="G13487" s="1" t="str">
        <f t="shared" si="2"/>
        <v/>
      </c>
      <c r="J13487" s="1" t="str">
        <f t="shared" si="3"/>
        <v/>
      </c>
      <c r="K13487" s="1" t="str">
        <f t="shared" si="4"/>
        <v/>
      </c>
    </row>
    <row r="13488">
      <c r="F13488" s="1" t="str">
        <f t="shared" si="1"/>
        <v/>
      </c>
      <c r="G13488" s="1" t="str">
        <f t="shared" si="2"/>
        <v/>
      </c>
      <c r="J13488" s="1" t="str">
        <f t="shared" si="3"/>
        <v/>
      </c>
      <c r="K13488" s="1" t="str">
        <f t="shared" si="4"/>
        <v/>
      </c>
    </row>
    <row r="13489">
      <c r="F13489" s="1" t="str">
        <f t="shared" si="1"/>
        <v/>
      </c>
      <c r="G13489" s="1" t="str">
        <f t="shared" si="2"/>
        <v/>
      </c>
      <c r="J13489" s="1" t="str">
        <f t="shared" si="3"/>
        <v/>
      </c>
      <c r="K13489" s="1" t="str">
        <f t="shared" si="4"/>
        <v/>
      </c>
    </row>
    <row r="13490">
      <c r="F13490" s="1" t="str">
        <f t="shared" si="1"/>
        <v/>
      </c>
      <c r="G13490" s="1" t="str">
        <f t="shared" si="2"/>
        <v/>
      </c>
      <c r="J13490" s="1" t="str">
        <f t="shared" si="3"/>
        <v/>
      </c>
      <c r="K13490" s="1" t="str">
        <f t="shared" si="4"/>
        <v/>
      </c>
    </row>
    <row r="13491">
      <c r="F13491" s="1" t="str">
        <f t="shared" si="1"/>
        <v/>
      </c>
      <c r="G13491" s="1" t="str">
        <f t="shared" si="2"/>
        <v/>
      </c>
      <c r="J13491" s="1" t="str">
        <f t="shared" si="3"/>
        <v/>
      </c>
      <c r="K13491" s="1" t="str">
        <f t="shared" si="4"/>
        <v/>
      </c>
    </row>
    <row r="13492">
      <c r="F13492" s="1" t="str">
        <f t="shared" si="1"/>
        <v/>
      </c>
      <c r="G13492" s="1" t="str">
        <f t="shared" si="2"/>
        <v/>
      </c>
      <c r="J13492" s="1" t="str">
        <f t="shared" si="3"/>
        <v/>
      </c>
      <c r="K13492" s="1" t="str">
        <f t="shared" si="4"/>
        <v/>
      </c>
    </row>
    <row r="13493">
      <c r="F13493" s="1" t="str">
        <f t="shared" si="1"/>
        <v/>
      </c>
      <c r="G13493" s="1" t="str">
        <f t="shared" si="2"/>
        <v/>
      </c>
      <c r="J13493" s="1" t="str">
        <f t="shared" si="3"/>
        <v/>
      </c>
      <c r="K13493" s="1" t="str">
        <f t="shared" si="4"/>
        <v/>
      </c>
    </row>
    <row r="13494">
      <c r="F13494" s="1" t="str">
        <f t="shared" si="1"/>
        <v/>
      </c>
      <c r="G13494" s="1" t="str">
        <f t="shared" si="2"/>
        <v/>
      </c>
      <c r="J13494" s="1" t="str">
        <f t="shared" si="3"/>
        <v/>
      </c>
      <c r="K13494" s="1" t="str">
        <f t="shared" si="4"/>
        <v/>
      </c>
    </row>
    <row r="13495">
      <c r="F13495" s="1" t="str">
        <f t="shared" si="1"/>
        <v/>
      </c>
      <c r="G13495" s="1" t="str">
        <f t="shared" si="2"/>
        <v/>
      </c>
      <c r="J13495" s="1" t="str">
        <f t="shared" si="3"/>
        <v/>
      </c>
      <c r="K13495" s="1" t="str">
        <f t="shared" si="4"/>
        <v/>
      </c>
    </row>
    <row r="13496">
      <c r="F13496" s="1" t="str">
        <f t="shared" si="1"/>
        <v/>
      </c>
      <c r="G13496" s="1" t="str">
        <f t="shared" si="2"/>
        <v/>
      </c>
      <c r="J13496" s="1" t="str">
        <f t="shared" si="3"/>
        <v/>
      </c>
      <c r="K13496" s="1" t="str">
        <f t="shared" si="4"/>
        <v/>
      </c>
    </row>
    <row r="13497">
      <c r="F13497" s="1" t="str">
        <f t="shared" si="1"/>
        <v/>
      </c>
      <c r="G13497" s="1" t="str">
        <f t="shared" si="2"/>
        <v/>
      </c>
      <c r="J13497" s="1" t="str">
        <f t="shared" si="3"/>
        <v/>
      </c>
      <c r="K13497" s="1" t="str">
        <f t="shared" si="4"/>
        <v/>
      </c>
    </row>
    <row r="13498">
      <c r="F13498" s="1" t="str">
        <f t="shared" si="1"/>
        <v/>
      </c>
      <c r="G13498" s="1" t="str">
        <f t="shared" si="2"/>
        <v/>
      </c>
      <c r="J13498" s="1" t="str">
        <f t="shared" si="3"/>
        <v/>
      </c>
      <c r="K13498" s="1" t="str">
        <f t="shared" si="4"/>
        <v/>
      </c>
    </row>
    <row r="13499">
      <c r="F13499" s="1" t="str">
        <f t="shared" si="1"/>
        <v/>
      </c>
      <c r="G13499" s="1" t="str">
        <f t="shared" si="2"/>
        <v/>
      </c>
      <c r="J13499" s="1" t="str">
        <f t="shared" si="3"/>
        <v/>
      </c>
      <c r="K13499" s="1" t="str">
        <f t="shared" si="4"/>
        <v/>
      </c>
    </row>
    <row r="13500">
      <c r="F13500" s="1" t="str">
        <f t="shared" si="1"/>
        <v/>
      </c>
      <c r="G13500" s="1" t="str">
        <f t="shared" si="2"/>
        <v/>
      </c>
      <c r="J13500" s="1" t="str">
        <f t="shared" si="3"/>
        <v/>
      </c>
      <c r="K13500" s="1" t="str">
        <f t="shared" si="4"/>
        <v/>
      </c>
    </row>
    <row r="13501">
      <c r="F13501" s="1" t="str">
        <f t="shared" si="1"/>
        <v/>
      </c>
      <c r="G13501" s="1" t="str">
        <f t="shared" si="2"/>
        <v/>
      </c>
      <c r="J13501" s="1" t="str">
        <f t="shared" si="3"/>
        <v/>
      </c>
      <c r="K13501" s="1" t="str">
        <f t="shared" si="4"/>
        <v/>
      </c>
    </row>
    <row r="13502">
      <c r="F13502" s="1" t="str">
        <f t="shared" si="1"/>
        <v/>
      </c>
      <c r="G13502" s="1" t="str">
        <f t="shared" si="2"/>
        <v/>
      </c>
      <c r="J13502" s="1" t="str">
        <f t="shared" si="3"/>
        <v/>
      </c>
      <c r="K13502" s="1" t="str">
        <f t="shared" si="4"/>
        <v/>
      </c>
    </row>
    <row r="13503">
      <c r="F13503" s="1" t="str">
        <f t="shared" si="1"/>
        <v/>
      </c>
      <c r="G13503" s="1" t="str">
        <f t="shared" si="2"/>
        <v/>
      </c>
      <c r="J13503" s="1" t="str">
        <f t="shared" si="3"/>
        <v/>
      </c>
      <c r="K13503" s="1" t="str">
        <f t="shared" si="4"/>
        <v/>
      </c>
    </row>
    <row r="13504">
      <c r="F13504" s="1" t="str">
        <f t="shared" si="1"/>
        <v/>
      </c>
      <c r="G13504" s="1" t="str">
        <f t="shared" si="2"/>
        <v/>
      </c>
      <c r="J13504" s="1" t="str">
        <f t="shared" si="3"/>
        <v/>
      </c>
      <c r="K13504" s="1" t="str">
        <f t="shared" si="4"/>
        <v/>
      </c>
    </row>
    <row r="13505">
      <c r="F13505" s="1" t="str">
        <f t="shared" si="1"/>
        <v/>
      </c>
      <c r="G13505" s="1" t="str">
        <f t="shared" si="2"/>
        <v/>
      </c>
      <c r="J13505" s="1" t="str">
        <f t="shared" si="3"/>
        <v/>
      </c>
      <c r="K13505" s="1" t="str">
        <f t="shared" si="4"/>
        <v/>
      </c>
    </row>
    <row r="13506">
      <c r="F13506" s="1" t="str">
        <f t="shared" si="1"/>
        <v/>
      </c>
      <c r="G13506" s="1" t="str">
        <f t="shared" si="2"/>
        <v/>
      </c>
      <c r="J13506" s="1" t="str">
        <f t="shared" si="3"/>
        <v/>
      </c>
      <c r="K13506" s="1" t="str">
        <f t="shared" si="4"/>
        <v/>
      </c>
    </row>
    <row r="13507">
      <c r="F13507" s="1" t="str">
        <f t="shared" si="1"/>
        <v/>
      </c>
      <c r="G13507" s="1" t="str">
        <f t="shared" si="2"/>
        <v/>
      </c>
      <c r="J13507" s="1" t="str">
        <f t="shared" si="3"/>
        <v/>
      </c>
      <c r="K13507" s="1" t="str">
        <f t="shared" si="4"/>
        <v/>
      </c>
    </row>
    <row r="13508">
      <c r="F13508" s="1" t="str">
        <f t="shared" si="1"/>
        <v/>
      </c>
      <c r="G13508" s="1" t="str">
        <f t="shared" si="2"/>
        <v/>
      </c>
      <c r="J13508" s="1" t="str">
        <f t="shared" si="3"/>
        <v/>
      </c>
      <c r="K13508" s="1" t="str">
        <f t="shared" si="4"/>
        <v/>
      </c>
    </row>
    <row r="13509">
      <c r="F13509" s="1" t="str">
        <f t="shared" si="1"/>
        <v/>
      </c>
      <c r="G13509" s="1" t="str">
        <f t="shared" si="2"/>
        <v/>
      </c>
      <c r="J13509" s="1" t="str">
        <f t="shared" si="3"/>
        <v/>
      </c>
      <c r="K13509" s="1" t="str">
        <f t="shared" si="4"/>
        <v/>
      </c>
    </row>
    <row r="13510">
      <c r="F13510" s="1" t="str">
        <f t="shared" si="1"/>
        <v/>
      </c>
      <c r="G13510" s="1" t="str">
        <f t="shared" si="2"/>
        <v/>
      </c>
      <c r="J13510" s="1" t="str">
        <f t="shared" si="3"/>
        <v/>
      </c>
      <c r="K13510" s="1" t="str">
        <f t="shared" si="4"/>
        <v/>
      </c>
    </row>
    <row r="13511">
      <c r="F13511" s="1" t="str">
        <f t="shared" si="1"/>
        <v/>
      </c>
      <c r="G13511" s="1" t="str">
        <f t="shared" si="2"/>
        <v/>
      </c>
      <c r="J13511" s="1" t="str">
        <f t="shared" si="3"/>
        <v/>
      </c>
      <c r="K13511" s="1" t="str">
        <f t="shared" si="4"/>
        <v/>
      </c>
    </row>
    <row r="13512">
      <c r="F13512" s="1" t="str">
        <f t="shared" si="1"/>
        <v/>
      </c>
      <c r="G13512" s="1" t="str">
        <f t="shared" si="2"/>
        <v/>
      </c>
      <c r="J13512" s="1" t="str">
        <f t="shared" si="3"/>
        <v/>
      </c>
      <c r="K13512" s="1" t="str">
        <f t="shared" si="4"/>
        <v/>
      </c>
    </row>
    <row r="13513">
      <c r="F13513" s="1" t="str">
        <f t="shared" si="1"/>
        <v/>
      </c>
      <c r="G13513" s="1" t="str">
        <f t="shared" si="2"/>
        <v/>
      </c>
      <c r="J13513" s="1" t="str">
        <f t="shared" si="3"/>
        <v/>
      </c>
      <c r="K13513" s="1" t="str">
        <f t="shared" si="4"/>
        <v/>
      </c>
    </row>
    <row r="13514">
      <c r="F13514" s="1" t="str">
        <f t="shared" si="1"/>
        <v/>
      </c>
      <c r="G13514" s="1" t="str">
        <f t="shared" si="2"/>
        <v/>
      </c>
      <c r="J13514" s="1" t="str">
        <f t="shared" si="3"/>
        <v/>
      </c>
      <c r="K13514" s="1" t="str">
        <f t="shared" si="4"/>
        <v/>
      </c>
    </row>
    <row r="13515">
      <c r="F13515" s="1" t="str">
        <f t="shared" si="1"/>
        <v/>
      </c>
      <c r="G13515" s="1" t="str">
        <f t="shared" si="2"/>
        <v/>
      </c>
      <c r="J13515" s="1" t="str">
        <f t="shared" si="3"/>
        <v/>
      </c>
      <c r="K13515" s="1" t="str">
        <f t="shared" si="4"/>
        <v/>
      </c>
    </row>
    <row r="13516">
      <c r="F13516" s="1" t="str">
        <f t="shared" si="1"/>
        <v/>
      </c>
      <c r="G13516" s="1" t="str">
        <f t="shared" si="2"/>
        <v/>
      </c>
      <c r="J13516" s="1" t="str">
        <f t="shared" si="3"/>
        <v/>
      </c>
      <c r="K13516" s="1" t="str">
        <f t="shared" si="4"/>
        <v/>
      </c>
    </row>
    <row r="13517">
      <c r="F13517" s="1" t="str">
        <f t="shared" si="1"/>
        <v/>
      </c>
      <c r="G13517" s="1" t="str">
        <f t="shared" si="2"/>
        <v/>
      </c>
      <c r="J13517" s="1" t="str">
        <f t="shared" si="3"/>
        <v/>
      </c>
      <c r="K13517" s="1" t="str">
        <f t="shared" si="4"/>
        <v/>
      </c>
    </row>
    <row r="13518">
      <c r="F13518" s="1" t="str">
        <f t="shared" si="1"/>
        <v/>
      </c>
      <c r="G13518" s="1" t="str">
        <f t="shared" si="2"/>
        <v/>
      </c>
      <c r="J13518" s="1" t="str">
        <f t="shared" si="3"/>
        <v/>
      </c>
      <c r="K13518" s="1" t="str">
        <f t="shared" si="4"/>
        <v/>
      </c>
    </row>
    <row r="13519">
      <c r="F13519" s="1" t="str">
        <f t="shared" si="1"/>
        <v/>
      </c>
      <c r="G13519" s="1" t="str">
        <f t="shared" si="2"/>
        <v/>
      </c>
      <c r="J13519" s="1" t="str">
        <f t="shared" si="3"/>
        <v/>
      </c>
      <c r="K13519" s="1" t="str">
        <f t="shared" si="4"/>
        <v/>
      </c>
    </row>
    <row r="13520">
      <c r="F13520" s="1" t="str">
        <f t="shared" si="1"/>
        <v/>
      </c>
      <c r="G13520" s="1" t="str">
        <f t="shared" si="2"/>
        <v/>
      </c>
      <c r="J13520" s="1" t="str">
        <f t="shared" si="3"/>
        <v/>
      </c>
      <c r="K13520" s="1" t="str">
        <f t="shared" si="4"/>
        <v/>
      </c>
    </row>
    <row r="13521">
      <c r="F13521" s="1" t="str">
        <f t="shared" si="1"/>
        <v/>
      </c>
      <c r="G13521" s="1" t="str">
        <f t="shared" si="2"/>
        <v/>
      </c>
      <c r="J13521" s="1" t="str">
        <f t="shared" si="3"/>
        <v/>
      </c>
      <c r="K13521" s="1" t="str">
        <f t="shared" si="4"/>
        <v/>
      </c>
    </row>
    <row r="13522">
      <c r="F13522" s="1" t="str">
        <f t="shared" si="1"/>
        <v/>
      </c>
      <c r="G13522" s="1" t="str">
        <f t="shared" si="2"/>
        <v/>
      </c>
      <c r="J13522" s="1" t="str">
        <f t="shared" si="3"/>
        <v/>
      </c>
      <c r="K13522" s="1" t="str">
        <f t="shared" si="4"/>
        <v/>
      </c>
    </row>
    <row r="13523">
      <c r="F13523" s="1" t="str">
        <f t="shared" si="1"/>
        <v/>
      </c>
      <c r="G13523" s="1" t="str">
        <f t="shared" si="2"/>
        <v/>
      </c>
      <c r="J13523" s="1" t="str">
        <f t="shared" si="3"/>
        <v/>
      </c>
      <c r="K13523" s="1" t="str">
        <f t="shared" si="4"/>
        <v/>
      </c>
    </row>
    <row r="13524">
      <c r="F13524" s="1" t="str">
        <f t="shared" si="1"/>
        <v/>
      </c>
      <c r="G13524" s="1" t="str">
        <f t="shared" si="2"/>
        <v/>
      </c>
      <c r="J13524" s="1" t="str">
        <f t="shared" si="3"/>
        <v/>
      </c>
      <c r="K13524" s="1" t="str">
        <f t="shared" si="4"/>
        <v/>
      </c>
    </row>
    <row r="13525">
      <c r="F13525" s="1" t="str">
        <f t="shared" si="1"/>
        <v/>
      </c>
      <c r="G13525" s="1" t="str">
        <f t="shared" si="2"/>
        <v/>
      </c>
      <c r="J13525" s="1" t="str">
        <f t="shared" si="3"/>
        <v/>
      </c>
      <c r="K13525" s="1" t="str">
        <f t="shared" si="4"/>
        <v/>
      </c>
    </row>
    <row r="13526">
      <c r="F13526" s="1" t="str">
        <f t="shared" si="1"/>
        <v/>
      </c>
      <c r="G13526" s="1" t="str">
        <f t="shared" si="2"/>
        <v/>
      </c>
      <c r="J13526" s="1" t="str">
        <f t="shared" si="3"/>
        <v/>
      </c>
      <c r="K13526" s="1" t="str">
        <f t="shared" si="4"/>
        <v/>
      </c>
    </row>
    <row r="13527">
      <c r="F13527" s="1" t="str">
        <f t="shared" si="1"/>
        <v/>
      </c>
      <c r="G13527" s="1" t="str">
        <f t="shared" si="2"/>
        <v/>
      </c>
      <c r="J13527" s="1" t="str">
        <f t="shared" si="3"/>
        <v/>
      </c>
      <c r="K13527" s="1" t="str">
        <f t="shared" si="4"/>
        <v/>
      </c>
    </row>
    <row r="13528">
      <c r="F13528" s="1" t="str">
        <f t="shared" si="1"/>
        <v/>
      </c>
      <c r="G13528" s="1" t="str">
        <f t="shared" si="2"/>
        <v/>
      </c>
      <c r="J13528" s="1" t="str">
        <f t="shared" si="3"/>
        <v/>
      </c>
      <c r="K13528" s="1" t="str">
        <f t="shared" si="4"/>
        <v/>
      </c>
    </row>
    <row r="13529">
      <c r="F13529" s="1" t="str">
        <f t="shared" si="1"/>
        <v/>
      </c>
      <c r="G13529" s="1" t="str">
        <f t="shared" si="2"/>
        <v/>
      </c>
      <c r="J13529" s="1" t="str">
        <f t="shared" si="3"/>
        <v/>
      </c>
      <c r="K13529" s="1" t="str">
        <f t="shared" si="4"/>
        <v/>
      </c>
    </row>
    <row r="13530">
      <c r="F13530" s="1" t="str">
        <f t="shared" si="1"/>
        <v/>
      </c>
      <c r="G13530" s="1" t="str">
        <f t="shared" si="2"/>
        <v/>
      </c>
      <c r="J13530" s="1" t="str">
        <f t="shared" si="3"/>
        <v/>
      </c>
      <c r="K13530" s="1" t="str">
        <f t="shared" si="4"/>
        <v/>
      </c>
    </row>
    <row r="13531">
      <c r="F13531" s="1" t="str">
        <f t="shared" si="1"/>
        <v/>
      </c>
      <c r="G13531" s="1" t="str">
        <f t="shared" si="2"/>
        <v/>
      </c>
      <c r="J13531" s="1" t="str">
        <f t="shared" si="3"/>
        <v/>
      </c>
      <c r="K13531" s="1" t="str">
        <f t="shared" si="4"/>
        <v/>
      </c>
    </row>
    <row r="13532">
      <c r="F13532" s="1" t="str">
        <f t="shared" si="1"/>
        <v/>
      </c>
      <c r="G13532" s="1" t="str">
        <f t="shared" si="2"/>
        <v/>
      </c>
      <c r="J13532" s="1" t="str">
        <f t="shared" si="3"/>
        <v/>
      </c>
      <c r="K13532" s="1" t="str">
        <f t="shared" si="4"/>
        <v/>
      </c>
    </row>
    <row r="13533">
      <c r="F13533" s="1" t="str">
        <f t="shared" si="1"/>
        <v/>
      </c>
      <c r="G13533" s="1" t="str">
        <f t="shared" si="2"/>
        <v/>
      </c>
      <c r="J13533" s="1" t="str">
        <f t="shared" si="3"/>
        <v/>
      </c>
      <c r="K13533" s="1" t="str">
        <f t="shared" si="4"/>
        <v/>
      </c>
    </row>
    <row r="13534">
      <c r="F13534" s="1" t="str">
        <f t="shared" si="1"/>
        <v/>
      </c>
      <c r="G13534" s="1" t="str">
        <f t="shared" si="2"/>
        <v/>
      </c>
      <c r="J13534" s="1" t="str">
        <f t="shared" si="3"/>
        <v/>
      </c>
      <c r="K13534" s="1" t="str">
        <f t="shared" si="4"/>
        <v/>
      </c>
    </row>
    <row r="13535">
      <c r="F13535" s="1" t="str">
        <f t="shared" si="1"/>
        <v/>
      </c>
      <c r="G13535" s="1" t="str">
        <f t="shared" si="2"/>
        <v/>
      </c>
      <c r="J13535" s="1" t="str">
        <f t="shared" si="3"/>
        <v/>
      </c>
      <c r="K13535" s="1" t="str">
        <f t="shared" si="4"/>
        <v/>
      </c>
    </row>
    <row r="13536">
      <c r="F13536" s="1" t="str">
        <f t="shared" si="1"/>
        <v/>
      </c>
      <c r="G13536" s="1" t="str">
        <f t="shared" si="2"/>
        <v/>
      </c>
      <c r="J13536" s="1" t="str">
        <f t="shared" si="3"/>
        <v/>
      </c>
      <c r="K13536" s="1" t="str">
        <f t="shared" si="4"/>
        <v/>
      </c>
    </row>
    <row r="13537">
      <c r="F13537" s="1" t="str">
        <f t="shared" si="1"/>
        <v/>
      </c>
      <c r="G13537" s="1" t="str">
        <f t="shared" si="2"/>
        <v/>
      </c>
      <c r="J13537" s="1" t="str">
        <f t="shared" si="3"/>
        <v/>
      </c>
      <c r="K13537" s="1" t="str">
        <f t="shared" si="4"/>
        <v/>
      </c>
    </row>
    <row r="13538">
      <c r="F13538" s="1" t="str">
        <f t="shared" si="1"/>
        <v/>
      </c>
      <c r="G13538" s="1" t="str">
        <f t="shared" si="2"/>
        <v/>
      </c>
      <c r="J13538" s="1" t="str">
        <f t="shared" si="3"/>
        <v/>
      </c>
      <c r="K13538" s="1" t="str">
        <f t="shared" si="4"/>
        <v/>
      </c>
    </row>
    <row r="13539">
      <c r="F13539" s="1" t="str">
        <f t="shared" si="1"/>
        <v/>
      </c>
      <c r="G13539" s="1" t="str">
        <f t="shared" si="2"/>
        <v/>
      </c>
      <c r="J13539" s="1" t="str">
        <f t="shared" si="3"/>
        <v/>
      </c>
      <c r="K13539" s="1" t="str">
        <f t="shared" si="4"/>
        <v/>
      </c>
    </row>
    <row r="13540">
      <c r="F13540" s="1" t="str">
        <f t="shared" si="1"/>
        <v/>
      </c>
      <c r="G13540" s="1" t="str">
        <f t="shared" si="2"/>
        <v/>
      </c>
      <c r="J13540" s="1" t="str">
        <f t="shared" si="3"/>
        <v/>
      </c>
      <c r="K13540" s="1" t="str">
        <f t="shared" si="4"/>
        <v/>
      </c>
    </row>
    <row r="13541">
      <c r="F13541" s="1" t="str">
        <f t="shared" si="1"/>
        <v/>
      </c>
      <c r="G13541" s="1" t="str">
        <f t="shared" si="2"/>
        <v/>
      </c>
      <c r="J13541" s="1" t="str">
        <f t="shared" si="3"/>
        <v/>
      </c>
      <c r="K13541" s="1" t="str">
        <f t="shared" si="4"/>
        <v/>
      </c>
    </row>
    <row r="13542">
      <c r="F13542" s="1" t="str">
        <f t="shared" si="1"/>
        <v/>
      </c>
      <c r="G13542" s="1" t="str">
        <f t="shared" si="2"/>
        <v/>
      </c>
      <c r="J13542" s="1" t="str">
        <f t="shared" si="3"/>
        <v/>
      </c>
      <c r="K13542" s="1" t="str">
        <f t="shared" si="4"/>
        <v/>
      </c>
    </row>
    <row r="13543">
      <c r="F13543" s="1" t="str">
        <f t="shared" si="1"/>
        <v/>
      </c>
      <c r="G13543" s="1" t="str">
        <f t="shared" si="2"/>
        <v/>
      </c>
      <c r="J13543" s="1" t="str">
        <f t="shared" si="3"/>
        <v/>
      </c>
      <c r="K13543" s="1" t="str">
        <f t="shared" si="4"/>
        <v/>
      </c>
    </row>
    <row r="13544">
      <c r="F13544" s="1" t="str">
        <f t="shared" si="1"/>
        <v/>
      </c>
      <c r="G13544" s="1" t="str">
        <f t="shared" si="2"/>
        <v/>
      </c>
      <c r="J13544" s="1" t="str">
        <f t="shared" si="3"/>
        <v/>
      </c>
      <c r="K13544" s="1" t="str">
        <f t="shared" si="4"/>
        <v/>
      </c>
    </row>
    <row r="13545">
      <c r="F13545" s="1" t="str">
        <f t="shared" si="1"/>
        <v/>
      </c>
      <c r="G13545" s="1" t="str">
        <f t="shared" si="2"/>
        <v/>
      </c>
      <c r="J13545" s="1" t="str">
        <f t="shared" si="3"/>
        <v/>
      </c>
      <c r="K13545" s="1" t="str">
        <f t="shared" si="4"/>
        <v/>
      </c>
    </row>
    <row r="13546">
      <c r="F13546" s="1" t="str">
        <f t="shared" si="1"/>
        <v/>
      </c>
      <c r="G13546" s="1" t="str">
        <f t="shared" si="2"/>
        <v/>
      </c>
      <c r="J13546" s="1" t="str">
        <f t="shared" si="3"/>
        <v/>
      </c>
      <c r="K13546" s="1" t="str">
        <f t="shared" si="4"/>
        <v/>
      </c>
    </row>
    <row r="13547">
      <c r="F13547" s="1" t="str">
        <f t="shared" si="1"/>
        <v/>
      </c>
      <c r="G13547" s="1" t="str">
        <f t="shared" si="2"/>
        <v/>
      </c>
      <c r="J13547" s="1" t="str">
        <f t="shared" si="3"/>
        <v/>
      </c>
      <c r="K13547" s="1" t="str">
        <f t="shared" si="4"/>
        <v/>
      </c>
    </row>
    <row r="13548">
      <c r="F13548" s="1" t="str">
        <f t="shared" si="1"/>
        <v/>
      </c>
      <c r="G13548" s="1" t="str">
        <f t="shared" si="2"/>
        <v/>
      </c>
      <c r="J13548" s="1" t="str">
        <f t="shared" si="3"/>
        <v/>
      </c>
      <c r="K13548" s="1" t="str">
        <f t="shared" si="4"/>
        <v/>
      </c>
    </row>
    <row r="13549">
      <c r="F13549" s="1" t="str">
        <f t="shared" si="1"/>
        <v/>
      </c>
      <c r="G13549" s="1" t="str">
        <f t="shared" si="2"/>
        <v/>
      </c>
      <c r="J13549" s="1" t="str">
        <f t="shared" si="3"/>
        <v/>
      </c>
      <c r="K13549" s="1" t="str">
        <f t="shared" si="4"/>
        <v/>
      </c>
    </row>
    <row r="13550">
      <c r="F13550" s="1" t="str">
        <f t="shared" si="1"/>
        <v/>
      </c>
      <c r="G13550" s="1" t="str">
        <f t="shared" si="2"/>
        <v/>
      </c>
      <c r="J13550" s="1" t="str">
        <f t="shared" si="3"/>
        <v/>
      </c>
      <c r="K13550" s="1" t="str">
        <f t="shared" si="4"/>
        <v/>
      </c>
    </row>
    <row r="13551">
      <c r="F13551" s="1" t="str">
        <f t="shared" si="1"/>
        <v/>
      </c>
      <c r="G13551" s="1" t="str">
        <f t="shared" si="2"/>
        <v/>
      </c>
      <c r="J13551" s="1" t="str">
        <f t="shared" si="3"/>
        <v/>
      </c>
      <c r="K13551" s="1" t="str">
        <f t="shared" si="4"/>
        <v/>
      </c>
    </row>
    <row r="13552">
      <c r="F13552" s="1" t="str">
        <f t="shared" si="1"/>
        <v/>
      </c>
      <c r="G13552" s="1" t="str">
        <f t="shared" si="2"/>
        <v/>
      </c>
      <c r="J13552" s="1" t="str">
        <f t="shared" si="3"/>
        <v/>
      </c>
      <c r="K13552" s="1" t="str">
        <f t="shared" si="4"/>
        <v/>
      </c>
    </row>
    <row r="13553">
      <c r="F13553" s="1" t="str">
        <f t="shared" si="1"/>
        <v/>
      </c>
      <c r="G13553" s="1" t="str">
        <f t="shared" si="2"/>
        <v/>
      </c>
      <c r="J13553" s="1" t="str">
        <f t="shared" si="3"/>
        <v/>
      </c>
      <c r="K13553" s="1" t="str">
        <f t="shared" si="4"/>
        <v/>
      </c>
    </row>
    <row r="13554">
      <c r="F13554" s="1" t="str">
        <f t="shared" si="1"/>
        <v/>
      </c>
      <c r="G13554" s="1" t="str">
        <f t="shared" si="2"/>
        <v/>
      </c>
      <c r="J13554" s="1" t="str">
        <f t="shared" si="3"/>
        <v/>
      </c>
      <c r="K13554" s="1" t="str">
        <f t="shared" si="4"/>
        <v/>
      </c>
    </row>
    <row r="13555">
      <c r="F13555" s="1" t="str">
        <f t="shared" si="1"/>
        <v/>
      </c>
      <c r="G13555" s="1" t="str">
        <f t="shared" si="2"/>
        <v/>
      </c>
      <c r="J13555" s="1" t="str">
        <f t="shared" si="3"/>
        <v/>
      </c>
      <c r="K13555" s="1" t="str">
        <f t="shared" si="4"/>
        <v/>
      </c>
    </row>
    <row r="13556">
      <c r="F13556" s="1" t="str">
        <f t="shared" si="1"/>
        <v/>
      </c>
      <c r="G13556" s="1" t="str">
        <f t="shared" si="2"/>
        <v/>
      </c>
      <c r="J13556" s="1" t="str">
        <f t="shared" si="3"/>
        <v/>
      </c>
      <c r="K13556" s="1" t="str">
        <f t="shared" si="4"/>
        <v/>
      </c>
    </row>
    <row r="13557">
      <c r="F13557" s="1" t="str">
        <f t="shared" si="1"/>
        <v/>
      </c>
      <c r="G13557" s="1" t="str">
        <f t="shared" si="2"/>
        <v/>
      </c>
      <c r="J13557" s="1" t="str">
        <f t="shared" si="3"/>
        <v/>
      </c>
      <c r="K13557" s="1" t="str">
        <f t="shared" si="4"/>
        <v/>
      </c>
    </row>
    <row r="13558">
      <c r="F13558" s="1" t="str">
        <f t="shared" si="1"/>
        <v/>
      </c>
      <c r="G13558" s="1" t="str">
        <f t="shared" si="2"/>
        <v/>
      </c>
      <c r="J13558" s="1" t="str">
        <f t="shared" si="3"/>
        <v/>
      </c>
      <c r="K13558" s="1" t="str">
        <f t="shared" si="4"/>
        <v/>
      </c>
    </row>
    <row r="13559">
      <c r="F13559" s="1" t="str">
        <f t="shared" si="1"/>
        <v/>
      </c>
      <c r="G13559" s="1" t="str">
        <f t="shared" si="2"/>
        <v/>
      </c>
      <c r="J13559" s="1" t="str">
        <f t="shared" si="3"/>
        <v/>
      </c>
      <c r="K13559" s="1" t="str">
        <f t="shared" si="4"/>
        <v/>
      </c>
    </row>
    <row r="13560">
      <c r="F13560" s="1" t="str">
        <f t="shared" si="1"/>
        <v/>
      </c>
      <c r="G13560" s="1" t="str">
        <f t="shared" si="2"/>
        <v/>
      </c>
      <c r="J13560" s="1" t="str">
        <f t="shared" si="3"/>
        <v/>
      </c>
      <c r="K13560" s="1" t="str">
        <f t="shared" si="4"/>
        <v/>
      </c>
    </row>
    <row r="13561">
      <c r="F13561" s="1" t="str">
        <f t="shared" si="1"/>
        <v/>
      </c>
      <c r="G13561" s="1" t="str">
        <f t="shared" si="2"/>
        <v/>
      </c>
      <c r="J13561" s="1" t="str">
        <f t="shared" si="3"/>
        <v/>
      </c>
      <c r="K13561" s="1" t="str">
        <f t="shared" si="4"/>
        <v/>
      </c>
    </row>
    <row r="13562">
      <c r="F13562" s="1" t="str">
        <f t="shared" si="1"/>
        <v/>
      </c>
      <c r="G13562" s="1" t="str">
        <f t="shared" si="2"/>
        <v/>
      </c>
      <c r="J13562" s="1" t="str">
        <f t="shared" si="3"/>
        <v/>
      </c>
      <c r="K13562" s="1" t="str">
        <f t="shared" si="4"/>
        <v/>
      </c>
    </row>
    <row r="13563">
      <c r="F13563" s="1" t="str">
        <f t="shared" si="1"/>
        <v/>
      </c>
      <c r="G13563" s="1" t="str">
        <f t="shared" si="2"/>
        <v/>
      </c>
      <c r="J13563" s="1" t="str">
        <f t="shared" si="3"/>
        <v/>
      </c>
      <c r="K13563" s="1" t="str">
        <f t="shared" si="4"/>
        <v/>
      </c>
    </row>
    <row r="13564">
      <c r="F13564" s="1" t="str">
        <f t="shared" si="1"/>
        <v/>
      </c>
      <c r="G13564" s="1" t="str">
        <f t="shared" si="2"/>
        <v/>
      </c>
      <c r="J13564" s="1" t="str">
        <f t="shared" si="3"/>
        <v/>
      </c>
      <c r="K13564" s="1" t="str">
        <f t="shared" si="4"/>
        <v/>
      </c>
    </row>
    <row r="13565">
      <c r="F13565" s="1" t="str">
        <f t="shared" si="1"/>
        <v/>
      </c>
      <c r="G13565" s="1" t="str">
        <f t="shared" si="2"/>
        <v/>
      </c>
      <c r="J13565" s="1" t="str">
        <f t="shared" si="3"/>
        <v/>
      </c>
      <c r="K13565" s="1" t="str">
        <f t="shared" si="4"/>
        <v/>
      </c>
    </row>
    <row r="13566">
      <c r="F13566" s="1" t="str">
        <f t="shared" si="1"/>
        <v/>
      </c>
      <c r="G13566" s="1" t="str">
        <f t="shared" si="2"/>
        <v/>
      </c>
      <c r="J13566" s="1" t="str">
        <f t="shared" si="3"/>
        <v/>
      </c>
      <c r="K13566" s="1" t="str">
        <f t="shared" si="4"/>
        <v/>
      </c>
    </row>
    <row r="13567">
      <c r="F13567" s="1" t="str">
        <f t="shared" si="1"/>
        <v/>
      </c>
      <c r="G13567" s="1" t="str">
        <f t="shared" si="2"/>
        <v/>
      </c>
      <c r="J13567" s="1" t="str">
        <f t="shared" si="3"/>
        <v/>
      </c>
      <c r="K13567" s="1" t="str">
        <f t="shared" si="4"/>
        <v/>
      </c>
    </row>
    <row r="13568">
      <c r="F13568" s="1" t="str">
        <f t="shared" si="1"/>
        <v/>
      </c>
      <c r="G13568" s="1" t="str">
        <f t="shared" si="2"/>
        <v/>
      </c>
      <c r="J13568" s="1" t="str">
        <f t="shared" si="3"/>
        <v/>
      </c>
      <c r="K13568" s="1" t="str">
        <f t="shared" si="4"/>
        <v/>
      </c>
    </row>
    <row r="13569">
      <c r="F13569" s="1" t="str">
        <f t="shared" si="1"/>
        <v/>
      </c>
      <c r="G13569" s="1" t="str">
        <f t="shared" si="2"/>
        <v/>
      </c>
      <c r="J13569" s="1" t="str">
        <f t="shared" si="3"/>
        <v/>
      </c>
      <c r="K13569" s="1" t="str">
        <f t="shared" si="4"/>
        <v/>
      </c>
    </row>
    <row r="13570">
      <c r="F13570" s="1" t="str">
        <f t="shared" si="1"/>
        <v/>
      </c>
      <c r="G13570" s="1" t="str">
        <f t="shared" si="2"/>
        <v/>
      </c>
      <c r="J13570" s="1" t="str">
        <f t="shared" si="3"/>
        <v/>
      </c>
      <c r="K13570" s="1" t="str">
        <f t="shared" si="4"/>
        <v/>
      </c>
    </row>
    <row r="13571">
      <c r="F13571" s="1" t="str">
        <f t="shared" si="1"/>
        <v/>
      </c>
      <c r="G13571" s="1" t="str">
        <f t="shared" si="2"/>
        <v/>
      </c>
      <c r="J13571" s="1" t="str">
        <f t="shared" si="3"/>
        <v/>
      </c>
      <c r="K13571" s="1" t="str">
        <f t="shared" si="4"/>
        <v/>
      </c>
    </row>
    <row r="13572">
      <c r="F13572" s="1" t="str">
        <f t="shared" si="1"/>
        <v/>
      </c>
      <c r="G13572" s="1" t="str">
        <f t="shared" si="2"/>
        <v/>
      </c>
      <c r="J13572" s="1" t="str">
        <f t="shared" si="3"/>
        <v/>
      </c>
      <c r="K13572" s="1" t="str">
        <f t="shared" si="4"/>
        <v/>
      </c>
    </row>
    <row r="13573">
      <c r="F13573" s="1" t="str">
        <f t="shared" si="1"/>
        <v/>
      </c>
      <c r="G13573" s="1" t="str">
        <f t="shared" si="2"/>
        <v/>
      </c>
      <c r="J13573" s="1" t="str">
        <f t="shared" si="3"/>
        <v/>
      </c>
      <c r="K13573" s="1" t="str">
        <f t="shared" si="4"/>
        <v/>
      </c>
    </row>
    <row r="13574">
      <c r="F13574" s="1" t="str">
        <f t="shared" si="1"/>
        <v/>
      </c>
      <c r="G13574" s="1" t="str">
        <f t="shared" si="2"/>
        <v/>
      </c>
      <c r="J13574" s="1" t="str">
        <f t="shared" si="3"/>
        <v/>
      </c>
      <c r="K13574" s="1" t="str">
        <f t="shared" si="4"/>
        <v/>
      </c>
    </row>
    <row r="13575">
      <c r="F13575" s="1" t="str">
        <f t="shared" si="1"/>
        <v/>
      </c>
      <c r="G13575" s="1" t="str">
        <f t="shared" si="2"/>
        <v/>
      </c>
      <c r="J13575" s="1" t="str">
        <f t="shared" si="3"/>
        <v/>
      </c>
      <c r="K13575" s="1" t="str">
        <f t="shared" si="4"/>
        <v/>
      </c>
    </row>
    <row r="13576">
      <c r="F13576" s="1" t="str">
        <f t="shared" si="1"/>
        <v/>
      </c>
      <c r="G13576" s="1" t="str">
        <f t="shared" si="2"/>
        <v/>
      </c>
      <c r="J13576" s="1" t="str">
        <f t="shared" si="3"/>
        <v/>
      </c>
      <c r="K13576" s="1" t="str">
        <f t="shared" si="4"/>
        <v/>
      </c>
    </row>
    <row r="13577">
      <c r="F13577" s="1" t="str">
        <f t="shared" si="1"/>
        <v/>
      </c>
      <c r="G13577" s="1" t="str">
        <f t="shared" si="2"/>
        <v/>
      </c>
      <c r="J13577" s="1" t="str">
        <f t="shared" si="3"/>
        <v/>
      </c>
      <c r="K13577" s="1" t="str">
        <f t="shared" si="4"/>
        <v/>
      </c>
    </row>
    <row r="13578">
      <c r="F13578" s="1" t="str">
        <f t="shared" si="1"/>
        <v/>
      </c>
      <c r="G13578" s="1" t="str">
        <f t="shared" si="2"/>
        <v/>
      </c>
      <c r="J13578" s="1" t="str">
        <f t="shared" si="3"/>
        <v/>
      </c>
      <c r="K13578" s="1" t="str">
        <f t="shared" si="4"/>
        <v/>
      </c>
    </row>
    <row r="13579">
      <c r="F13579" s="1" t="str">
        <f t="shared" si="1"/>
        <v/>
      </c>
      <c r="G13579" s="1" t="str">
        <f t="shared" si="2"/>
        <v/>
      </c>
      <c r="J13579" s="1" t="str">
        <f t="shared" si="3"/>
        <v/>
      </c>
      <c r="K13579" s="1" t="str">
        <f t="shared" si="4"/>
        <v/>
      </c>
    </row>
    <row r="13580">
      <c r="F13580" s="1" t="str">
        <f t="shared" si="1"/>
        <v/>
      </c>
      <c r="G13580" s="1" t="str">
        <f t="shared" si="2"/>
        <v/>
      </c>
      <c r="J13580" s="1" t="str">
        <f t="shared" si="3"/>
        <v/>
      </c>
      <c r="K13580" s="1" t="str">
        <f t="shared" si="4"/>
        <v/>
      </c>
    </row>
    <row r="13581">
      <c r="F13581" s="1" t="str">
        <f t="shared" si="1"/>
        <v/>
      </c>
      <c r="G13581" s="1" t="str">
        <f t="shared" si="2"/>
        <v/>
      </c>
      <c r="J13581" s="1" t="str">
        <f t="shared" si="3"/>
        <v/>
      </c>
      <c r="K13581" s="1" t="str">
        <f t="shared" si="4"/>
        <v/>
      </c>
    </row>
    <row r="13582">
      <c r="F13582" s="1" t="str">
        <f t="shared" si="1"/>
        <v/>
      </c>
      <c r="G13582" s="1" t="str">
        <f t="shared" si="2"/>
        <v/>
      </c>
      <c r="J13582" s="1" t="str">
        <f t="shared" si="3"/>
        <v/>
      </c>
      <c r="K13582" s="1" t="str">
        <f t="shared" si="4"/>
        <v/>
      </c>
    </row>
    <row r="13583">
      <c r="F13583" s="1" t="str">
        <f t="shared" si="1"/>
        <v/>
      </c>
      <c r="G13583" s="1" t="str">
        <f t="shared" si="2"/>
        <v/>
      </c>
      <c r="J13583" s="1" t="str">
        <f t="shared" si="3"/>
        <v/>
      </c>
      <c r="K13583" s="1" t="str">
        <f t="shared" si="4"/>
        <v/>
      </c>
    </row>
    <row r="13584">
      <c r="F13584" s="1" t="str">
        <f t="shared" si="1"/>
        <v/>
      </c>
      <c r="G13584" s="1" t="str">
        <f t="shared" si="2"/>
        <v/>
      </c>
      <c r="J13584" s="1" t="str">
        <f t="shared" si="3"/>
        <v/>
      </c>
      <c r="K13584" s="1" t="str">
        <f t="shared" si="4"/>
        <v/>
      </c>
    </row>
    <row r="13585">
      <c r="F13585" s="1" t="str">
        <f t="shared" si="1"/>
        <v/>
      </c>
      <c r="G13585" s="1" t="str">
        <f t="shared" si="2"/>
        <v/>
      </c>
      <c r="J13585" s="1" t="str">
        <f t="shared" si="3"/>
        <v/>
      </c>
      <c r="K13585" s="1" t="str">
        <f t="shared" si="4"/>
        <v/>
      </c>
    </row>
    <row r="13586">
      <c r="F13586" s="1" t="str">
        <f t="shared" si="1"/>
        <v/>
      </c>
      <c r="G13586" s="1" t="str">
        <f t="shared" si="2"/>
        <v/>
      </c>
      <c r="J13586" s="1" t="str">
        <f t="shared" si="3"/>
        <v/>
      </c>
      <c r="K13586" s="1" t="str">
        <f t="shared" si="4"/>
        <v/>
      </c>
    </row>
    <row r="13587">
      <c r="F13587" s="1" t="str">
        <f t="shared" si="1"/>
        <v/>
      </c>
      <c r="G13587" s="1" t="str">
        <f t="shared" si="2"/>
        <v/>
      </c>
      <c r="J13587" s="1" t="str">
        <f t="shared" si="3"/>
        <v/>
      </c>
      <c r="K13587" s="1" t="str">
        <f t="shared" si="4"/>
        <v/>
      </c>
    </row>
    <row r="13588">
      <c r="F13588" s="1" t="str">
        <f t="shared" si="1"/>
        <v/>
      </c>
      <c r="G13588" s="1" t="str">
        <f t="shared" si="2"/>
        <v/>
      </c>
      <c r="J13588" s="1" t="str">
        <f t="shared" si="3"/>
        <v/>
      </c>
      <c r="K13588" s="1" t="str">
        <f t="shared" si="4"/>
        <v/>
      </c>
    </row>
    <row r="13589">
      <c r="F13589" s="1" t="str">
        <f t="shared" si="1"/>
        <v/>
      </c>
      <c r="G13589" s="1" t="str">
        <f t="shared" si="2"/>
        <v/>
      </c>
      <c r="J13589" s="1" t="str">
        <f t="shared" si="3"/>
        <v/>
      </c>
      <c r="K13589" s="1" t="str">
        <f t="shared" si="4"/>
        <v/>
      </c>
    </row>
    <row r="13590">
      <c r="F13590" s="1" t="str">
        <f t="shared" si="1"/>
        <v/>
      </c>
      <c r="G13590" s="1" t="str">
        <f t="shared" si="2"/>
        <v/>
      </c>
      <c r="J13590" s="1" t="str">
        <f t="shared" si="3"/>
        <v/>
      </c>
      <c r="K13590" s="1" t="str">
        <f t="shared" si="4"/>
        <v/>
      </c>
    </row>
    <row r="13591">
      <c r="F13591" s="1" t="str">
        <f t="shared" si="1"/>
        <v/>
      </c>
      <c r="G13591" s="1" t="str">
        <f t="shared" si="2"/>
        <v/>
      </c>
      <c r="J13591" s="1" t="str">
        <f t="shared" si="3"/>
        <v/>
      </c>
      <c r="K13591" s="1" t="str">
        <f t="shared" si="4"/>
        <v/>
      </c>
    </row>
    <row r="13592">
      <c r="F13592" s="1" t="str">
        <f t="shared" si="1"/>
        <v/>
      </c>
      <c r="G13592" s="1" t="str">
        <f t="shared" si="2"/>
        <v/>
      </c>
      <c r="J13592" s="1" t="str">
        <f t="shared" si="3"/>
        <v/>
      </c>
      <c r="K13592" s="1" t="str">
        <f t="shared" si="4"/>
        <v/>
      </c>
    </row>
    <row r="13593">
      <c r="F13593" s="1" t="str">
        <f t="shared" si="1"/>
        <v/>
      </c>
      <c r="G13593" s="1" t="str">
        <f t="shared" si="2"/>
        <v/>
      </c>
      <c r="J13593" s="1" t="str">
        <f t="shared" si="3"/>
        <v/>
      </c>
      <c r="K13593" s="1" t="str">
        <f t="shared" si="4"/>
        <v/>
      </c>
    </row>
    <row r="13594">
      <c r="F13594" s="1" t="str">
        <f t="shared" si="1"/>
        <v/>
      </c>
      <c r="G13594" s="1" t="str">
        <f t="shared" si="2"/>
        <v/>
      </c>
      <c r="J13594" s="1" t="str">
        <f t="shared" si="3"/>
        <v/>
      </c>
      <c r="K13594" s="1" t="str">
        <f t="shared" si="4"/>
        <v/>
      </c>
    </row>
    <row r="13595">
      <c r="F13595" s="1" t="str">
        <f t="shared" si="1"/>
        <v/>
      </c>
      <c r="G13595" s="1" t="str">
        <f t="shared" si="2"/>
        <v/>
      </c>
      <c r="J13595" s="1" t="str">
        <f t="shared" si="3"/>
        <v/>
      </c>
      <c r="K13595" s="1" t="str">
        <f t="shared" si="4"/>
        <v/>
      </c>
    </row>
    <row r="13596">
      <c r="F13596" s="1" t="str">
        <f t="shared" si="1"/>
        <v/>
      </c>
      <c r="G13596" s="1" t="str">
        <f t="shared" si="2"/>
        <v/>
      </c>
      <c r="J13596" s="1" t="str">
        <f t="shared" si="3"/>
        <v/>
      </c>
      <c r="K13596" s="1" t="str">
        <f t="shared" si="4"/>
        <v/>
      </c>
    </row>
    <row r="13597">
      <c r="F13597" s="1" t="str">
        <f t="shared" si="1"/>
        <v/>
      </c>
      <c r="G13597" s="1" t="str">
        <f t="shared" si="2"/>
        <v/>
      </c>
      <c r="J13597" s="1" t="str">
        <f t="shared" si="3"/>
        <v/>
      </c>
      <c r="K13597" s="1" t="str">
        <f t="shared" si="4"/>
        <v/>
      </c>
    </row>
    <row r="13598">
      <c r="F13598" s="1" t="str">
        <f t="shared" si="1"/>
        <v/>
      </c>
      <c r="G13598" s="1" t="str">
        <f t="shared" si="2"/>
        <v/>
      </c>
      <c r="J13598" s="1" t="str">
        <f t="shared" si="3"/>
        <v/>
      </c>
      <c r="K13598" s="1" t="str">
        <f t="shared" si="4"/>
        <v/>
      </c>
    </row>
    <row r="13599">
      <c r="F13599" s="1" t="str">
        <f t="shared" si="1"/>
        <v/>
      </c>
      <c r="G13599" s="1" t="str">
        <f t="shared" si="2"/>
        <v/>
      </c>
      <c r="J13599" s="1" t="str">
        <f t="shared" si="3"/>
        <v/>
      </c>
      <c r="K13599" s="1" t="str">
        <f t="shared" si="4"/>
        <v/>
      </c>
    </row>
    <row r="13600">
      <c r="F13600" s="1" t="str">
        <f t="shared" si="1"/>
        <v/>
      </c>
      <c r="G13600" s="1" t="str">
        <f t="shared" si="2"/>
        <v/>
      </c>
      <c r="J13600" s="1" t="str">
        <f t="shared" si="3"/>
        <v/>
      </c>
      <c r="K13600" s="1" t="str">
        <f t="shared" si="4"/>
        <v/>
      </c>
    </row>
    <row r="13601">
      <c r="F13601" s="1" t="str">
        <f t="shared" si="1"/>
        <v/>
      </c>
      <c r="G13601" s="1" t="str">
        <f t="shared" si="2"/>
        <v/>
      </c>
      <c r="J13601" s="1" t="str">
        <f t="shared" si="3"/>
        <v/>
      </c>
      <c r="K13601" s="1" t="str">
        <f t="shared" si="4"/>
        <v/>
      </c>
    </row>
    <row r="13602">
      <c r="F13602" s="1" t="str">
        <f t="shared" si="1"/>
        <v/>
      </c>
      <c r="G13602" s="1" t="str">
        <f t="shared" si="2"/>
        <v/>
      </c>
      <c r="J13602" s="1" t="str">
        <f t="shared" si="3"/>
        <v/>
      </c>
      <c r="K13602" s="1" t="str">
        <f t="shared" si="4"/>
        <v/>
      </c>
    </row>
    <row r="13603">
      <c r="F13603" s="1" t="str">
        <f t="shared" si="1"/>
        <v/>
      </c>
      <c r="G13603" s="1" t="str">
        <f t="shared" si="2"/>
        <v/>
      </c>
      <c r="J13603" s="1" t="str">
        <f t="shared" si="3"/>
        <v/>
      </c>
      <c r="K13603" s="1" t="str">
        <f t="shared" si="4"/>
        <v/>
      </c>
    </row>
    <row r="13604">
      <c r="F13604" s="1" t="str">
        <f t="shared" si="1"/>
        <v/>
      </c>
      <c r="G13604" s="1" t="str">
        <f t="shared" si="2"/>
        <v/>
      </c>
      <c r="J13604" s="1" t="str">
        <f t="shared" si="3"/>
        <v/>
      </c>
      <c r="K13604" s="1" t="str">
        <f t="shared" si="4"/>
        <v/>
      </c>
    </row>
    <row r="13605">
      <c r="F13605" s="1" t="str">
        <f t="shared" si="1"/>
        <v/>
      </c>
      <c r="G13605" s="1" t="str">
        <f t="shared" si="2"/>
        <v/>
      </c>
      <c r="J13605" s="1" t="str">
        <f t="shared" si="3"/>
        <v/>
      </c>
      <c r="K13605" s="1" t="str">
        <f t="shared" si="4"/>
        <v/>
      </c>
    </row>
    <row r="13606">
      <c r="F13606" s="1" t="str">
        <f t="shared" si="1"/>
        <v/>
      </c>
      <c r="G13606" s="1" t="str">
        <f t="shared" si="2"/>
        <v/>
      </c>
      <c r="J13606" s="1" t="str">
        <f t="shared" si="3"/>
        <v/>
      </c>
      <c r="K13606" s="1" t="str">
        <f t="shared" si="4"/>
        <v/>
      </c>
    </row>
    <row r="13607">
      <c r="F13607" s="1" t="str">
        <f t="shared" si="1"/>
        <v/>
      </c>
      <c r="G13607" s="1" t="str">
        <f t="shared" si="2"/>
        <v/>
      </c>
      <c r="J13607" s="1" t="str">
        <f t="shared" si="3"/>
        <v/>
      </c>
      <c r="K13607" s="1" t="str">
        <f t="shared" si="4"/>
        <v/>
      </c>
    </row>
    <row r="13608">
      <c r="F13608" s="1" t="str">
        <f t="shared" si="1"/>
        <v/>
      </c>
      <c r="G13608" s="1" t="str">
        <f t="shared" si="2"/>
        <v/>
      </c>
      <c r="J13608" s="1" t="str">
        <f t="shared" si="3"/>
        <v/>
      </c>
      <c r="K13608" s="1" t="str">
        <f t="shared" si="4"/>
        <v/>
      </c>
    </row>
    <row r="13609">
      <c r="F13609" s="1" t="str">
        <f t="shared" si="1"/>
        <v/>
      </c>
      <c r="G13609" s="1" t="str">
        <f t="shared" si="2"/>
        <v/>
      </c>
      <c r="J13609" s="1" t="str">
        <f t="shared" si="3"/>
        <v/>
      </c>
      <c r="K13609" s="1" t="str">
        <f t="shared" si="4"/>
        <v/>
      </c>
    </row>
    <row r="13610">
      <c r="F13610" s="1" t="str">
        <f t="shared" si="1"/>
        <v/>
      </c>
      <c r="G13610" s="1" t="str">
        <f t="shared" si="2"/>
        <v/>
      </c>
      <c r="J13610" s="1" t="str">
        <f t="shared" si="3"/>
        <v/>
      </c>
      <c r="K13610" s="1" t="str">
        <f t="shared" si="4"/>
        <v/>
      </c>
    </row>
    <row r="13611">
      <c r="F13611" s="1" t="str">
        <f t="shared" si="1"/>
        <v/>
      </c>
      <c r="G13611" s="1" t="str">
        <f t="shared" si="2"/>
        <v/>
      </c>
      <c r="J13611" s="1" t="str">
        <f t="shared" si="3"/>
        <v/>
      </c>
      <c r="K13611" s="1" t="str">
        <f t="shared" si="4"/>
        <v/>
      </c>
    </row>
    <row r="13612">
      <c r="F13612" s="1" t="str">
        <f t="shared" si="1"/>
        <v/>
      </c>
      <c r="G13612" s="1" t="str">
        <f t="shared" si="2"/>
        <v/>
      </c>
      <c r="J13612" s="1" t="str">
        <f t="shared" si="3"/>
        <v/>
      </c>
      <c r="K13612" s="1" t="str">
        <f t="shared" si="4"/>
        <v/>
      </c>
    </row>
    <row r="13613">
      <c r="F13613" s="1" t="str">
        <f t="shared" si="1"/>
        <v/>
      </c>
      <c r="G13613" s="1" t="str">
        <f t="shared" si="2"/>
        <v/>
      </c>
      <c r="J13613" s="1" t="str">
        <f t="shared" si="3"/>
        <v/>
      </c>
      <c r="K13613" s="1" t="str">
        <f t="shared" si="4"/>
        <v/>
      </c>
    </row>
    <row r="13614">
      <c r="F13614" s="1" t="str">
        <f t="shared" si="1"/>
        <v/>
      </c>
      <c r="G13614" s="1" t="str">
        <f t="shared" si="2"/>
        <v/>
      </c>
      <c r="J13614" s="1" t="str">
        <f t="shared" si="3"/>
        <v/>
      </c>
      <c r="K13614" s="1" t="str">
        <f t="shared" si="4"/>
        <v/>
      </c>
    </row>
    <row r="13615">
      <c r="F13615" s="1" t="str">
        <f t="shared" si="1"/>
        <v/>
      </c>
      <c r="G13615" s="1" t="str">
        <f t="shared" si="2"/>
        <v/>
      </c>
      <c r="J13615" s="1" t="str">
        <f t="shared" si="3"/>
        <v/>
      </c>
      <c r="K13615" s="1" t="str">
        <f t="shared" si="4"/>
        <v/>
      </c>
    </row>
    <row r="13616">
      <c r="F13616" s="1" t="str">
        <f t="shared" si="1"/>
        <v/>
      </c>
      <c r="G13616" s="1" t="str">
        <f t="shared" si="2"/>
        <v/>
      </c>
      <c r="J13616" s="1" t="str">
        <f t="shared" si="3"/>
        <v/>
      </c>
      <c r="K13616" s="1" t="str">
        <f t="shared" si="4"/>
        <v/>
      </c>
    </row>
    <row r="13617">
      <c r="F13617" s="1" t="str">
        <f t="shared" si="1"/>
        <v/>
      </c>
      <c r="G13617" s="1" t="str">
        <f t="shared" si="2"/>
        <v/>
      </c>
      <c r="J13617" s="1" t="str">
        <f t="shared" si="3"/>
        <v/>
      </c>
      <c r="K13617" s="1" t="str">
        <f t="shared" si="4"/>
        <v/>
      </c>
    </row>
    <row r="13618">
      <c r="F13618" s="1" t="str">
        <f t="shared" si="1"/>
        <v/>
      </c>
      <c r="G13618" s="1" t="str">
        <f t="shared" si="2"/>
        <v/>
      </c>
      <c r="J13618" s="1" t="str">
        <f t="shared" si="3"/>
        <v/>
      </c>
      <c r="K13618" s="1" t="str">
        <f t="shared" si="4"/>
        <v/>
      </c>
    </row>
    <row r="13619">
      <c r="F13619" s="1" t="str">
        <f t="shared" si="1"/>
        <v/>
      </c>
      <c r="G13619" s="1" t="str">
        <f t="shared" si="2"/>
        <v/>
      </c>
      <c r="J13619" s="1" t="str">
        <f t="shared" si="3"/>
        <v/>
      </c>
      <c r="K13619" s="1" t="str">
        <f t="shared" si="4"/>
        <v/>
      </c>
    </row>
    <row r="13620">
      <c r="F13620" s="1" t="str">
        <f t="shared" si="1"/>
        <v/>
      </c>
      <c r="G13620" s="1" t="str">
        <f t="shared" si="2"/>
        <v/>
      </c>
      <c r="J13620" s="1" t="str">
        <f t="shared" si="3"/>
        <v/>
      </c>
      <c r="K13620" s="1" t="str">
        <f t="shared" si="4"/>
        <v/>
      </c>
    </row>
    <row r="13621">
      <c r="F13621" s="1" t="str">
        <f t="shared" si="1"/>
        <v/>
      </c>
      <c r="G13621" s="1" t="str">
        <f t="shared" si="2"/>
        <v/>
      </c>
      <c r="J13621" s="1" t="str">
        <f t="shared" si="3"/>
        <v/>
      </c>
      <c r="K13621" s="1" t="str">
        <f t="shared" si="4"/>
        <v/>
      </c>
    </row>
    <row r="13622">
      <c r="F13622" s="1" t="str">
        <f t="shared" si="1"/>
        <v/>
      </c>
      <c r="G13622" s="1" t="str">
        <f t="shared" si="2"/>
        <v/>
      </c>
      <c r="J13622" s="1" t="str">
        <f t="shared" si="3"/>
        <v/>
      </c>
      <c r="K13622" s="1" t="str">
        <f t="shared" si="4"/>
        <v/>
      </c>
    </row>
    <row r="13623">
      <c r="F13623" s="1" t="str">
        <f t="shared" si="1"/>
        <v/>
      </c>
      <c r="G13623" s="1" t="str">
        <f t="shared" si="2"/>
        <v/>
      </c>
      <c r="J13623" s="1" t="str">
        <f t="shared" si="3"/>
        <v/>
      </c>
      <c r="K13623" s="1" t="str">
        <f t="shared" si="4"/>
        <v/>
      </c>
    </row>
    <row r="13624">
      <c r="F13624" s="1" t="str">
        <f t="shared" si="1"/>
        <v/>
      </c>
      <c r="G13624" s="1" t="str">
        <f t="shared" si="2"/>
        <v/>
      </c>
      <c r="J13624" s="1" t="str">
        <f t="shared" si="3"/>
        <v/>
      </c>
      <c r="K13624" s="1" t="str">
        <f t="shared" si="4"/>
        <v/>
      </c>
    </row>
    <row r="13625">
      <c r="F13625" s="1" t="str">
        <f t="shared" si="1"/>
        <v/>
      </c>
      <c r="G13625" s="1" t="str">
        <f t="shared" si="2"/>
        <v/>
      </c>
      <c r="J13625" s="1" t="str">
        <f t="shared" si="3"/>
        <v/>
      </c>
      <c r="K13625" s="1" t="str">
        <f t="shared" si="4"/>
        <v/>
      </c>
    </row>
    <row r="13626">
      <c r="F13626" s="1" t="str">
        <f t="shared" si="1"/>
        <v/>
      </c>
      <c r="G13626" s="1" t="str">
        <f t="shared" si="2"/>
        <v/>
      </c>
      <c r="J13626" s="1" t="str">
        <f t="shared" si="3"/>
        <v/>
      </c>
      <c r="K13626" s="1" t="str">
        <f t="shared" si="4"/>
        <v/>
      </c>
    </row>
    <row r="13627">
      <c r="F13627" s="1" t="str">
        <f t="shared" si="1"/>
        <v/>
      </c>
      <c r="G13627" s="1" t="str">
        <f t="shared" si="2"/>
        <v/>
      </c>
      <c r="J13627" s="1" t="str">
        <f t="shared" si="3"/>
        <v/>
      </c>
      <c r="K13627" s="1" t="str">
        <f t="shared" si="4"/>
        <v/>
      </c>
    </row>
    <row r="13628">
      <c r="F13628" s="1" t="str">
        <f t="shared" si="1"/>
        <v/>
      </c>
      <c r="G13628" s="1" t="str">
        <f t="shared" si="2"/>
        <v/>
      </c>
      <c r="J13628" s="1" t="str">
        <f t="shared" si="3"/>
        <v/>
      </c>
      <c r="K13628" s="1" t="str">
        <f t="shared" si="4"/>
        <v/>
      </c>
    </row>
    <row r="13629">
      <c r="F13629" s="1" t="str">
        <f t="shared" si="1"/>
        <v/>
      </c>
      <c r="G13629" s="1" t="str">
        <f t="shared" si="2"/>
        <v/>
      </c>
      <c r="J13629" s="1" t="str">
        <f t="shared" si="3"/>
        <v/>
      </c>
      <c r="K13629" s="1" t="str">
        <f t="shared" si="4"/>
        <v/>
      </c>
    </row>
    <row r="13630">
      <c r="F13630" s="1" t="str">
        <f t="shared" si="1"/>
        <v/>
      </c>
      <c r="G13630" s="1" t="str">
        <f t="shared" si="2"/>
        <v/>
      </c>
      <c r="J13630" s="1" t="str">
        <f t="shared" si="3"/>
        <v/>
      </c>
      <c r="K13630" s="1" t="str">
        <f t="shared" si="4"/>
        <v/>
      </c>
    </row>
    <row r="13631">
      <c r="F13631" s="1" t="str">
        <f t="shared" si="1"/>
        <v/>
      </c>
      <c r="G13631" s="1" t="str">
        <f t="shared" si="2"/>
        <v/>
      </c>
      <c r="J13631" s="1" t="str">
        <f t="shared" si="3"/>
        <v/>
      </c>
      <c r="K13631" s="1" t="str">
        <f t="shared" si="4"/>
        <v/>
      </c>
    </row>
    <row r="13632">
      <c r="F13632" s="1" t="str">
        <f t="shared" si="1"/>
        <v/>
      </c>
      <c r="G13632" s="1" t="str">
        <f t="shared" si="2"/>
        <v/>
      </c>
      <c r="J13632" s="1" t="str">
        <f t="shared" si="3"/>
        <v/>
      </c>
      <c r="K13632" s="1" t="str">
        <f t="shared" si="4"/>
        <v/>
      </c>
    </row>
    <row r="13633">
      <c r="F13633" s="1" t="str">
        <f t="shared" si="1"/>
        <v/>
      </c>
      <c r="G13633" s="1" t="str">
        <f t="shared" si="2"/>
        <v/>
      </c>
      <c r="J13633" s="1" t="str">
        <f t="shared" si="3"/>
        <v/>
      </c>
      <c r="K13633" s="1" t="str">
        <f t="shared" si="4"/>
        <v/>
      </c>
    </row>
    <row r="13634">
      <c r="F13634" s="1" t="str">
        <f t="shared" si="1"/>
        <v/>
      </c>
      <c r="G13634" s="1" t="str">
        <f t="shared" si="2"/>
        <v/>
      </c>
      <c r="J13634" s="1" t="str">
        <f t="shared" si="3"/>
        <v/>
      </c>
      <c r="K13634" s="1" t="str">
        <f t="shared" si="4"/>
        <v/>
      </c>
    </row>
    <row r="13635">
      <c r="F13635" s="1" t="str">
        <f t="shared" si="1"/>
        <v/>
      </c>
      <c r="G13635" s="1" t="str">
        <f t="shared" si="2"/>
        <v/>
      </c>
      <c r="J13635" s="1" t="str">
        <f t="shared" si="3"/>
        <v/>
      </c>
      <c r="K13635" s="1" t="str">
        <f t="shared" si="4"/>
        <v/>
      </c>
    </row>
    <row r="13636">
      <c r="F13636" s="1" t="str">
        <f t="shared" si="1"/>
        <v/>
      </c>
      <c r="G13636" s="1" t="str">
        <f t="shared" si="2"/>
        <v/>
      </c>
      <c r="J13636" s="1" t="str">
        <f t="shared" si="3"/>
        <v/>
      </c>
      <c r="K13636" s="1" t="str">
        <f t="shared" si="4"/>
        <v/>
      </c>
    </row>
    <row r="13637">
      <c r="F13637" s="1" t="str">
        <f t="shared" si="1"/>
        <v/>
      </c>
      <c r="G13637" s="1" t="str">
        <f t="shared" si="2"/>
        <v/>
      </c>
      <c r="J13637" s="1" t="str">
        <f t="shared" si="3"/>
        <v/>
      </c>
      <c r="K13637" s="1" t="str">
        <f t="shared" si="4"/>
        <v/>
      </c>
    </row>
    <row r="13638">
      <c r="F13638" s="1" t="str">
        <f t="shared" si="1"/>
        <v/>
      </c>
      <c r="G13638" s="1" t="str">
        <f t="shared" si="2"/>
        <v/>
      </c>
      <c r="J13638" s="1" t="str">
        <f t="shared" si="3"/>
        <v/>
      </c>
      <c r="K13638" s="1" t="str">
        <f t="shared" si="4"/>
        <v/>
      </c>
    </row>
    <row r="13639">
      <c r="F13639" s="1" t="str">
        <f t="shared" si="1"/>
        <v/>
      </c>
      <c r="G13639" s="1" t="str">
        <f t="shared" si="2"/>
        <v/>
      </c>
      <c r="J13639" s="1" t="str">
        <f t="shared" si="3"/>
        <v/>
      </c>
      <c r="K13639" s="1" t="str">
        <f t="shared" si="4"/>
        <v/>
      </c>
    </row>
    <row r="13640">
      <c r="F13640" s="1" t="str">
        <f t="shared" si="1"/>
        <v/>
      </c>
      <c r="G13640" s="1" t="str">
        <f t="shared" si="2"/>
        <v/>
      </c>
      <c r="J13640" s="1" t="str">
        <f t="shared" si="3"/>
        <v/>
      </c>
      <c r="K13640" s="1" t="str">
        <f t="shared" si="4"/>
        <v/>
      </c>
    </row>
    <row r="13641">
      <c r="F13641" s="1" t="str">
        <f t="shared" si="1"/>
        <v/>
      </c>
      <c r="G13641" s="1" t="str">
        <f t="shared" si="2"/>
        <v/>
      </c>
      <c r="J13641" s="1" t="str">
        <f t="shared" si="3"/>
        <v/>
      </c>
      <c r="K13641" s="1" t="str">
        <f t="shared" si="4"/>
        <v/>
      </c>
    </row>
    <row r="13642">
      <c r="F13642" s="1" t="str">
        <f t="shared" si="1"/>
        <v/>
      </c>
      <c r="G13642" s="1" t="str">
        <f t="shared" si="2"/>
        <v/>
      </c>
      <c r="J13642" s="1" t="str">
        <f t="shared" si="3"/>
        <v/>
      </c>
      <c r="K13642" s="1" t="str">
        <f t="shared" si="4"/>
        <v/>
      </c>
    </row>
    <row r="13643">
      <c r="F13643" s="1" t="str">
        <f t="shared" si="1"/>
        <v/>
      </c>
      <c r="G13643" s="1" t="str">
        <f t="shared" si="2"/>
        <v/>
      </c>
      <c r="J13643" s="1" t="str">
        <f t="shared" si="3"/>
        <v/>
      </c>
      <c r="K13643" s="1" t="str">
        <f t="shared" si="4"/>
        <v/>
      </c>
    </row>
    <row r="13644">
      <c r="F13644" s="1" t="str">
        <f t="shared" si="1"/>
        <v/>
      </c>
      <c r="G13644" s="1" t="str">
        <f t="shared" si="2"/>
        <v/>
      </c>
      <c r="J13644" s="1" t="str">
        <f t="shared" si="3"/>
        <v/>
      </c>
      <c r="K13644" s="1" t="str">
        <f t="shared" si="4"/>
        <v/>
      </c>
    </row>
    <row r="13645">
      <c r="F13645" s="1" t="str">
        <f t="shared" si="1"/>
        <v/>
      </c>
      <c r="G13645" s="1" t="str">
        <f t="shared" si="2"/>
        <v/>
      </c>
      <c r="J13645" s="1" t="str">
        <f t="shared" si="3"/>
        <v/>
      </c>
      <c r="K13645" s="1" t="str">
        <f t="shared" si="4"/>
        <v/>
      </c>
    </row>
    <row r="13646">
      <c r="F13646" s="1" t="str">
        <f t="shared" si="1"/>
        <v/>
      </c>
      <c r="G13646" s="1" t="str">
        <f t="shared" si="2"/>
        <v/>
      </c>
      <c r="J13646" s="1" t="str">
        <f t="shared" si="3"/>
        <v/>
      </c>
      <c r="K13646" s="1" t="str">
        <f t="shared" si="4"/>
        <v/>
      </c>
    </row>
    <row r="13647">
      <c r="F13647" s="1" t="str">
        <f t="shared" si="1"/>
        <v/>
      </c>
      <c r="G13647" s="1" t="str">
        <f t="shared" si="2"/>
        <v/>
      </c>
      <c r="J13647" s="1" t="str">
        <f t="shared" si="3"/>
        <v/>
      </c>
      <c r="K13647" s="1" t="str">
        <f t="shared" si="4"/>
        <v/>
      </c>
    </row>
    <row r="13648">
      <c r="F13648" s="1" t="str">
        <f t="shared" si="1"/>
        <v/>
      </c>
      <c r="G13648" s="1" t="str">
        <f t="shared" si="2"/>
        <v/>
      </c>
      <c r="J13648" s="1" t="str">
        <f t="shared" si="3"/>
        <v/>
      </c>
      <c r="K13648" s="1" t="str">
        <f t="shared" si="4"/>
        <v/>
      </c>
    </row>
    <row r="13649">
      <c r="F13649" s="1" t="str">
        <f t="shared" si="1"/>
        <v/>
      </c>
      <c r="G13649" s="1" t="str">
        <f t="shared" si="2"/>
        <v/>
      </c>
      <c r="J13649" s="1" t="str">
        <f t="shared" si="3"/>
        <v/>
      </c>
      <c r="K13649" s="1" t="str">
        <f t="shared" si="4"/>
        <v/>
      </c>
    </row>
    <row r="13650">
      <c r="F13650" s="1" t="str">
        <f t="shared" si="1"/>
        <v/>
      </c>
      <c r="G13650" s="1" t="str">
        <f t="shared" si="2"/>
        <v/>
      </c>
      <c r="J13650" s="1" t="str">
        <f t="shared" si="3"/>
        <v/>
      </c>
      <c r="K13650" s="1" t="str">
        <f t="shared" si="4"/>
        <v/>
      </c>
    </row>
    <row r="13651">
      <c r="F13651" s="1" t="str">
        <f t="shared" si="1"/>
        <v/>
      </c>
      <c r="G13651" s="1" t="str">
        <f t="shared" si="2"/>
        <v/>
      </c>
      <c r="J13651" s="1" t="str">
        <f t="shared" si="3"/>
        <v/>
      </c>
      <c r="K13651" s="1" t="str">
        <f t="shared" si="4"/>
        <v/>
      </c>
    </row>
    <row r="13652">
      <c r="F13652" s="1" t="str">
        <f t="shared" si="1"/>
        <v/>
      </c>
      <c r="G13652" s="1" t="str">
        <f t="shared" si="2"/>
        <v/>
      </c>
      <c r="J13652" s="1" t="str">
        <f t="shared" si="3"/>
        <v/>
      </c>
      <c r="K13652" s="1" t="str">
        <f t="shared" si="4"/>
        <v/>
      </c>
    </row>
    <row r="13653">
      <c r="F13653" s="1" t="str">
        <f t="shared" si="1"/>
        <v/>
      </c>
      <c r="G13653" s="1" t="str">
        <f t="shared" si="2"/>
        <v/>
      </c>
      <c r="J13653" s="1" t="str">
        <f t="shared" si="3"/>
        <v/>
      </c>
      <c r="K13653" s="1" t="str">
        <f t="shared" si="4"/>
        <v/>
      </c>
    </row>
    <row r="13654">
      <c r="F13654" s="1" t="str">
        <f t="shared" si="1"/>
        <v/>
      </c>
      <c r="G13654" s="1" t="str">
        <f t="shared" si="2"/>
        <v/>
      </c>
      <c r="J13654" s="1" t="str">
        <f t="shared" si="3"/>
        <v/>
      </c>
      <c r="K13654" s="1" t="str">
        <f t="shared" si="4"/>
        <v/>
      </c>
    </row>
    <row r="13655">
      <c r="F13655" s="1" t="str">
        <f t="shared" si="1"/>
        <v/>
      </c>
      <c r="G13655" s="1" t="str">
        <f t="shared" si="2"/>
        <v/>
      </c>
      <c r="J13655" s="1" t="str">
        <f t="shared" si="3"/>
        <v/>
      </c>
      <c r="K13655" s="1" t="str">
        <f t="shared" si="4"/>
        <v/>
      </c>
    </row>
    <row r="13656">
      <c r="F13656" s="1" t="str">
        <f t="shared" si="1"/>
        <v/>
      </c>
      <c r="G13656" s="1" t="str">
        <f t="shared" si="2"/>
        <v/>
      </c>
      <c r="J13656" s="1" t="str">
        <f t="shared" si="3"/>
        <v/>
      </c>
      <c r="K13656" s="1" t="str">
        <f t="shared" si="4"/>
        <v/>
      </c>
    </row>
    <row r="13657">
      <c r="F13657" s="1" t="str">
        <f t="shared" si="1"/>
        <v/>
      </c>
      <c r="G13657" s="1" t="str">
        <f t="shared" si="2"/>
        <v/>
      </c>
      <c r="J13657" s="1" t="str">
        <f t="shared" si="3"/>
        <v/>
      </c>
      <c r="K13657" s="1" t="str">
        <f t="shared" si="4"/>
        <v/>
      </c>
    </row>
    <row r="13658">
      <c r="F13658" s="1" t="str">
        <f t="shared" si="1"/>
        <v/>
      </c>
      <c r="G13658" s="1" t="str">
        <f t="shared" si="2"/>
        <v/>
      </c>
      <c r="J13658" s="1" t="str">
        <f t="shared" si="3"/>
        <v/>
      </c>
      <c r="K13658" s="1" t="str">
        <f t="shared" si="4"/>
        <v/>
      </c>
    </row>
    <row r="13659">
      <c r="F13659" s="1" t="str">
        <f t="shared" si="1"/>
        <v/>
      </c>
      <c r="G13659" s="1" t="str">
        <f t="shared" si="2"/>
        <v/>
      </c>
      <c r="J13659" s="1" t="str">
        <f t="shared" si="3"/>
        <v/>
      </c>
      <c r="K13659" s="1" t="str">
        <f t="shared" si="4"/>
        <v/>
      </c>
    </row>
    <row r="13660">
      <c r="F13660" s="1" t="str">
        <f t="shared" si="1"/>
        <v/>
      </c>
      <c r="G13660" s="1" t="str">
        <f t="shared" si="2"/>
        <v/>
      </c>
      <c r="J13660" s="1" t="str">
        <f t="shared" si="3"/>
        <v/>
      </c>
      <c r="K13660" s="1" t="str">
        <f t="shared" si="4"/>
        <v/>
      </c>
    </row>
    <row r="13661">
      <c r="F13661" s="1" t="str">
        <f t="shared" si="1"/>
        <v/>
      </c>
      <c r="G13661" s="1" t="str">
        <f t="shared" si="2"/>
        <v/>
      </c>
      <c r="J13661" s="1" t="str">
        <f t="shared" si="3"/>
        <v/>
      </c>
      <c r="K13661" s="1" t="str">
        <f t="shared" si="4"/>
        <v/>
      </c>
    </row>
    <row r="13662">
      <c r="F13662" s="1" t="str">
        <f t="shared" si="1"/>
        <v/>
      </c>
      <c r="G13662" s="1" t="str">
        <f t="shared" si="2"/>
        <v/>
      </c>
      <c r="J13662" s="1" t="str">
        <f t="shared" si="3"/>
        <v/>
      </c>
      <c r="K13662" s="1" t="str">
        <f t="shared" si="4"/>
        <v/>
      </c>
    </row>
    <row r="13663">
      <c r="F13663" s="1" t="str">
        <f t="shared" si="1"/>
        <v/>
      </c>
      <c r="G13663" s="1" t="str">
        <f t="shared" si="2"/>
        <v/>
      </c>
      <c r="J13663" s="1" t="str">
        <f t="shared" si="3"/>
        <v/>
      </c>
      <c r="K13663" s="1" t="str">
        <f t="shared" si="4"/>
        <v/>
      </c>
    </row>
    <row r="13664">
      <c r="F13664" s="1" t="str">
        <f t="shared" si="1"/>
        <v/>
      </c>
      <c r="G13664" s="1" t="str">
        <f t="shared" si="2"/>
        <v/>
      </c>
      <c r="J13664" s="1" t="str">
        <f t="shared" si="3"/>
        <v/>
      </c>
      <c r="K13664" s="1" t="str">
        <f t="shared" si="4"/>
        <v/>
      </c>
    </row>
    <row r="13665">
      <c r="F13665" s="1" t="str">
        <f t="shared" si="1"/>
        <v/>
      </c>
      <c r="G13665" s="1" t="str">
        <f t="shared" si="2"/>
        <v/>
      </c>
      <c r="J13665" s="1" t="str">
        <f t="shared" si="3"/>
        <v/>
      </c>
      <c r="K13665" s="1" t="str">
        <f t="shared" si="4"/>
        <v/>
      </c>
    </row>
    <row r="13666">
      <c r="F13666" s="1" t="str">
        <f t="shared" si="1"/>
        <v/>
      </c>
      <c r="G13666" s="1" t="str">
        <f t="shared" si="2"/>
        <v/>
      </c>
      <c r="J13666" s="1" t="str">
        <f t="shared" si="3"/>
        <v/>
      </c>
      <c r="K13666" s="1" t="str">
        <f t="shared" si="4"/>
        <v/>
      </c>
    </row>
    <row r="13667">
      <c r="F13667" s="1" t="str">
        <f t="shared" si="1"/>
        <v/>
      </c>
      <c r="G13667" s="1" t="str">
        <f t="shared" si="2"/>
        <v/>
      </c>
      <c r="J13667" s="1" t="str">
        <f t="shared" si="3"/>
        <v/>
      </c>
      <c r="K13667" s="1" t="str">
        <f t="shared" si="4"/>
        <v/>
      </c>
    </row>
    <row r="13668">
      <c r="F13668" s="1" t="str">
        <f t="shared" si="1"/>
        <v/>
      </c>
      <c r="G13668" s="1" t="str">
        <f t="shared" si="2"/>
        <v/>
      </c>
      <c r="J13668" s="1" t="str">
        <f t="shared" si="3"/>
        <v/>
      </c>
      <c r="K13668" s="1" t="str">
        <f t="shared" si="4"/>
        <v/>
      </c>
    </row>
    <row r="13669">
      <c r="F13669" s="1" t="str">
        <f t="shared" si="1"/>
        <v/>
      </c>
      <c r="G13669" s="1" t="str">
        <f t="shared" si="2"/>
        <v/>
      </c>
      <c r="J13669" s="1" t="str">
        <f t="shared" si="3"/>
        <v/>
      </c>
      <c r="K13669" s="1" t="str">
        <f t="shared" si="4"/>
        <v/>
      </c>
    </row>
    <row r="13670">
      <c r="F13670" s="1" t="str">
        <f t="shared" si="1"/>
        <v/>
      </c>
      <c r="G13670" s="1" t="str">
        <f t="shared" si="2"/>
        <v/>
      </c>
      <c r="J13670" s="1" t="str">
        <f t="shared" si="3"/>
        <v/>
      </c>
      <c r="K13670" s="1" t="str">
        <f t="shared" si="4"/>
        <v/>
      </c>
    </row>
    <row r="13671">
      <c r="F13671" s="1" t="str">
        <f t="shared" si="1"/>
        <v/>
      </c>
      <c r="G13671" s="1" t="str">
        <f t="shared" si="2"/>
        <v/>
      </c>
      <c r="J13671" s="1" t="str">
        <f t="shared" si="3"/>
        <v/>
      </c>
      <c r="K13671" s="1" t="str">
        <f t="shared" si="4"/>
        <v/>
      </c>
    </row>
    <row r="13672">
      <c r="F13672" s="1" t="str">
        <f t="shared" si="1"/>
        <v/>
      </c>
      <c r="G13672" s="1" t="str">
        <f t="shared" si="2"/>
        <v/>
      </c>
      <c r="J13672" s="1" t="str">
        <f t="shared" si="3"/>
        <v/>
      </c>
      <c r="K13672" s="1" t="str">
        <f t="shared" si="4"/>
        <v/>
      </c>
    </row>
    <row r="13673">
      <c r="F13673" s="1" t="str">
        <f t="shared" si="1"/>
        <v/>
      </c>
      <c r="G13673" s="1" t="str">
        <f t="shared" si="2"/>
        <v/>
      </c>
      <c r="J13673" s="1" t="str">
        <f t="shared" si="3"/>
        <v/>
      </c>
      <c r="K13673" s="1" t="str">
        <f t="shared" si="4"/>
        <v/>
      </c>
    </row>
    <row r="13674">
      <c r="F13674" s="1" t="str">
        <f t="shared" si="1"/>
        <v/>
      </c>
      <c r="G13674" s="1" t="str">
        <f t="shared" si="2"/>
        <v/>
      </c>
      <c r="J13674" s="1" t="str">
        <f t="shared" si="3"/>
        <v/>
      </c>
      <c r="K13674" s="1" t="str">
        <f t="shared" si="4"/>
        <v/>
      </c>
    </row>
    <row r="13675">
      <c r="F13675" s="1" t="str">
        <f t="shared" si="1"/>
        <v/>
      </c>
      <c r="G13675" s="1" t="str">
        <f t="shared" si="2"/>
        <v/>
      </c>
      <c r="J13675" s="1" t="str">
        <f t="shared" si="3"/>
        <v/>
      </c>
      <c r="K13675" s="1" t="str">
        <f t="shared" si="4"/>
        <v/>
      </c>
    </row>
    <row r="13676">
      <c r="F13676" s="1" t="str">
        <f t="shared" si="1"/>
        <v/>
      </c>
      <c r="G13676" s="1" t="str">
        <f t="shared" si="2"/>
        <v/>
      </c>
      <c r="J13676" s="1" t="str">
        <f t="shared" si="3"/>
        <v/>
      </c>
      <c r="K13676" s="1" t="str">
        <f t="shared" si="4"/>
        <v/>
      </c>
    </row>
    <row r="13677">
      <c r="F13677" s="1" t="str">
        <f t="shared" si="1"/>
        <v/>
      </c>
      <c r="G13677" s="1" t="str">
        <f t="shared" si="2"/>
        <v/>
      </c>
      <c r="J13677" s="1" t="str">
        <f t="shared" si="3"/>
        <v/>
      </c>
      <c r="K13677" s="1" t="str">
        <f t="shared" si="4"/>
        <v/>
      </c>
    </row>
    <row r="13678">
      <c r="F13678" s="1" t="str">
        <f t="shared" si="1"/>
        <v/>
      </c>
      <c r="G13678" s="1" t="str">
        <f t="shared" si="2"/>
        <v/>
      </c>
      <c r="J13678" s="1" t="str">
        <f t="shared" si="3"/>
        <v/>
      </c>
      <c r="K13678" s="1" t="str">
        <f t="shared" si="4"/>
        <v/>
      </c>
    </row>
    <row r="13679">
      <c r="F13679" s="1" t="str">
        <f t="shared" si="1"/>
        <v/>
      </c>
      <c r="G13679" s="1" t="str">
        <f t="shared" si="2"/>
        <v/>
      </c>
      <c r="J13679" s="1" t="str">
        <f t="shared" si="3"/>
        <v/>
      </c>
      <c r="K13679" s="1" t="str">
        <f t="shared" si="4"/>
        <v/>
      </c>
    </row>
    <row r="13680">
      <c r="F13680" s="1" t="str">
        <f t="shared" si="1"/>
        <v/>
      </c>
      <c r="G13680" s="1" t="str">
        <f t="shared" si="2"/>
        <v/>
      </c>
      <c r="J13680" s="1" t="str">
        <f t="shared" si="3"/>
        <v/>
      </c>
      <c r="K13680" s="1" t="str">
        <f t="shared" si="4"/>
        <v/>
      </c>
    </row>
    <row r="13681">
      <c r="F13681" s="1" t="str">
        <f t="shared" si="1"/>
        <v/>
      </c>
      <c r="G13681" s="1" t="str">
        <f t="shared" si="2"/>
        <v/>
      </c>
      <c r="J13681" s="1" t="str">
        <f t="shared" si="3"/>
        <v/>
      </c>
      <c r="K13681" s="1" t="str">
        <f t="shared" si="4"/>
        <v/>
      </c>
    </row>
    <row r="13682">
      <c r="F13682" s="1" t="str">
        <f t="shared" si="1"/>
        <v/>
      </c>
      <c r="G13682" s="1" t="str">
        <f t="shared" si="2"/>
        <v/>
      </c>
      <c r="J13682" s="1" t="str">
        <f t="shared" si="3"/>
        <v/>
      </c>
      <c r="K13682" s="1" t="str">
        <f t="shared" si="4"/>
        <v/>
      </c>
    </row>
    <row r="13683">
      <c r="F13683" s="1" t="str">
        <f t="shared" si="1"/>
        <v/>
      </c>
      <c r="G13683" s="1" t="str">
        <f t="shared" si="2"/>
        <v/>
      </c>
      <c r="J13683" s="1" t="str">
        <f t="shared" si="3"/>
        <v/>
      </c>
      <c r="K13683" s="1" t="str">
        <f t="shared" si="4"/>
        <v/>
      </c>
    </row>
    <row r="13684">
      <c r="F13684" s="1" t="str">
        <f t="shared" si="1"/>
        <v/>
      </c>
      <c r="G13684" s="1" t="str">
        <f t="shared" si="2"/>
        <v/>
      </c>
      <c r="J13684" s="1" t="str">
        <f t="shared" si="3"/>
        <v/>
      </c>
      <c r="K13684" s="1" t="str">
        <f t="shared" si="4"/>
        <v/>
      </c>
    </row>
    <row r="13685">
      <c r="F13685" s="1" t="str">
        <f t="shared" si="1"/>
        <v/>
      </c>
      <c r="G13685" s="1" t="str">
        <f t="shared" si="2"/>
        <v/>
      </c>
      <c r="J13685" s="1" t="str">
        <f t="shared" si="3"/>
        <v/>
      </c>
      <c r="K13685" s="1" t="str">
        <f t="shared" si="4"/>
        <v/>
      </c>
    </row>
    <row r="13686">
      <c r="F13686" s="1" t="str">
        <f t="shared" si="1"/>
        <v/>
      </c>
      <c r="G13686" s="1" t="str">
        <f t="shared" si="2"/>
        <v/>
      </c>
      <c r="J13686" s="1" t="str">
        <f t="shared" si="3"/>
        <v/>
      </c>
      <c r="K13686" s="1" t="str">
        <f t="shared" si="4"/>
        <v/>
      </c>
    </row>
    <row r="13687">
      <c r="F13687" s="1" t="str">
        <f t="shared" si="1"/>
        <v/>
      </c>
      <c r="G13687" s="1" t="str">
        <f t="shared" si="2"/>
        <v/>
      </c>
      <c r="J13687" s="1" t="str">
        <f t="shared" si="3"/>
        <v/>
      </c>
      <c r="K13687" s="1" t="str">
        <f t="shared" si="4"/>
        <v/>
      </c>
    </row>
    <row r="13688">
      <c r="F13688" s="1" t="str">
        <f t="shared" si="1"/>
        <v/>
      </c>
      <c r="G13688" s="1" t="str">
        <f t="shared" si="2"/>
        <v/>
      </c>
      <c r="J13688" s="1" t="str">
        <f t="shared" si="3"/>
        <v/>
      </c>
      <c r="K13688" s="1" t="str">
        <f t="shared" si="4"/>
        <v/>
      </c>
    </row>
    <row r="13689">
      <c r="F13689" s="1" t="str">
        <f t="shared" si="1"/>
        <v/>
      </c>
      <c r="G13689" s="1" t="str">
        <f t="shared" si="2"/>
        <v/>
      </c>
      <c r="J13689" s="1" t="str">
        <f t="shared" si="3"/>
        <v/>
      </c>
      <c r="K13689" s="1" t="str">
        <f t="shared" si="4"/>
        <v/>
      </c>
    </row>
    <row r="13690">
      <c r="F13690" s="1" t="str">
        <f t="shared" si="1"/>
        <v/>
      </c>
      <c r="G13690" s="1" t="str">
        <f t="shared" si="2"/>
        <v/>
      </c>
      <c r="J13690" s="1" t="str">
        <f t="shared" si="3"/>
        <v/>
      </c>
      <c r="K13690" s="1" t="str">
        <f t="shared" si="4"/>
        <v/>
      </c>
    </row>
    <row r="13691">
      <c r="F13691" s="1" t="str">
        <f t="shared" si="1"/>
        <v/>
      </c>
      <c r="G13691" s="1" t="str">
        <f t="shared" si="2"/>
        <v/>
      </c>
      <c r="J13691" s="1" t="str">
        <f t="shared" si="3"/>
        <v/>
      </c>
      <c r="K13691" s="1" t="str">
        <f t="shared" si="4"/>
        <v/>
      </c>
    </row>
    <row r="13692">
      <c r="F13692" s="1" t="str">
        <f t="shared" si="1"/>
        <v/>
      </c>
      <c r="G13692" s="1" t="str">
        <f t="shared" si="2"/>
        <v/>
      </c>
      <c r="J13692" s="1" t="str">
        <f t="shared" si="3"/>
        <v/>
      </c>
      <c r="K13692" s="1" t="str">
        <f t="shared" si="4"/>
        <v/>
      </c>
    </row>
    <row r="13693">
      <c r="F13693" s="1" t="str">
        <f t="shared" si="1"/>
        <v/>
      </c>
      <c r="G13693" s="1" t="str">
        <f t="shared" si="2"/>
        <v/>
      </c>
      <c r="J13693" s="1" t="str">
        <f t="shared" si="3"/>
        <v/>
      </c>
      <c r="K13693" s="1" t="str">
        <f t="shared" si="4"/>
        <v/>
      </c>
    </row>
    <row r="13694">
      <c r="F13694" s="1" t="str">
        <f t="shared" si="1"/>
        <v/>
      </c>
      <c r="G13694" s="1" t="str">
        <f t="shared" si="2"/>
        <v/>
      </c>
      <c r="J13694" s="1" t="str">
        <f t="shared" si="3"/>
        <v/>
      </c>
      <c r="K13694" s="1" t="str">
        <f t="shared" si="4"/>
        <v/>
      </c>
    </row>
    <row r="13695">
      <c r="F13695" s="1" t="str">
        <f t="shared" si="1"/>
        <v/>
      </c>
      <c r="G13695" s="1" t="str">
        <f t="shared" si="2"/>
        <v/>
      </c>
      <c r="J13695" s="1" t="str">
        <f t="shared" si="3"/>
        <v/>
      </c>
      <c r="K13695" s="1" t="str">
        <f t="shared" si="4"/>
        <v/>
      </c>
    </row>
    <row r="13696">
      <c r="F13696" s="1" t="str">
        <f t="shared" si="1"/>
        <v/>
      </c>
      <c r="G13696" s="1" t="str">
        <f t="shared" si="2"/>
        <v/>
      </c>
      <c r="J13696" s="1" t="str">
        <f t="shared" si="3"/>
        <v/>
      </c>
      <c r="K13696" s="1" t="str">
        <f t="shared" si="4"/>
        <v/>
      </c>
    </row>
    <row r="13697">
      <c r="F13697" s="1" t="str">
        <f t="shared" si="1"/>
        <v/>
      </c>
      <c r="G13697" s="1" t="str">
        <f t="shared" si="2"/>
        <v/>
      </c>
      <c r="J13697" s="1" t="str">
        <f t="shared" si="3"/>
        <v/>
      </c>
      <c r="K13697" s="1" t="str">
        <f t="shared" si="4"/>
        <v/>
      </c>
    </row>
    <row r="13698">
      <c r="F13698" s="1" t="str">
        <f t="shared" si="1"/>
        <v/>
      </c>
      <c r="G13698" s="1" t="str">
        <f t="shared" si="2"/>
        <v/>
      </c>
      <c r="J13698" s="1" t="str">
        <f t="shared" si="3"/>
        <v/>
      </c>
      <c r="K13698" s="1" t="str">
        <f t="shared" si="4"/>
        <v/>
      </c>
    </row>
    <row r="13699">
      <c r="F13699" s="1" t="str">
        <f t="shared" si="1"/>
        <v/>
      </c>
      <c r="G13699" s="1" t="str">
        <f t="shared" si="2"/>
        <v/>
      </c>
      <c r="J13699" s="1" t="str">
        <f t="shared" si="3"/>
        <v/>
      </c>
      <c r="K13699" s="1" t="str">
        <f t="shared" si="4"/>
        <v/>
      </c>
    </row>
    <row r="13700">
      <c r="F13700" s="1" t="str">
        <f t="shared" si="1"/>
        <v/>
      </c>
      <c r="G13700" s="1" t="str">
        <f t="shared" si="2"/>
        <v/>
      </c>
      <c r="J13700" s="1" t="str">
        <f t="shared" si="3"/>
        <v/>
      </c>
      <c r="K13700" s="1" t="str">
        <f t="shared" si="4"/>
        <v/>
      </c>
    </row>
    <row r="13701">
      <c r="F13701" s="1" t="str">
        <f t="shared" si="1"/>
        <v/>
      </c>
      <c r="G13701" s="1" t="str">
        <f t="shared" si="2"/>
        <v/>
      </c>
      <c r="J13701" s="1" t="str">
        <f t="shared" si="3"/>
        <v/>
      </c>
      <c r="K13701" s="1" t="str">
        <f t="shared" si="4"/>
        <v/>
      </c>
    </row>
    <row r="13702">
      <c r="F13702" s="1" t="str">
        <f t="shared" si="1"/>
        <v/>
      </c>
      <c r="G13702" s="1" t="str">
        <f t="shared" si="2"/>
        <v/>
      </c>
      <c r="J13702" s="1" t="str">
        <f t="shared" si="3"/>
        <v/>
      </c>
      <c r="K13702" s="1" t="str">
        <f t="shared" si="4"/>
        <v/>
      </c>
    </row>
    <row r="13703">
      <c r="F13703" s="1" t="str">
        <f t="shared" si="1"/>
        <v/>
      </c>
      <c r="G13703" s="1" t="str">
        <f t="shared" si="2"/>
        <v/>
      </c>
      <c r="J13703" s="1" t="str">
        <f t="shared" si="3"/>
        <v/>
      </c>
      <c r="K13703" s="1" t="str">
        <f t="shared" si="4"/>
        <v/>
      </c>
    </row>
    <row r="13704">
      <c r="F13704" s="1" t="str">
        <f t="shared" si="1"/>
        <v/>
      </c>
      <c r="G13704" s="1" t="str">
        <f t="shared" si="2"/>
        <v/>
      </c>
      <c r="J13704" s="1" t="str">
        <f t="shared" si="3"/>
        <v/>
      </c>
      <c r="K13704" s="1" t="str">
        <f t="shared" si="4"/>
        <v/>
      </c>
    </row>
    <row r="13705">
      <c r="F13705" s="1" t="str">
        <f t="shared" si="1"/>
        <v/>
      </c>
      <c r="G13705" s="1" t="str">
        <f t="shared" si="2"/>
        <v/>
      </c>
      <c r="J13705" s="1" t="str">
        <f t="shared" si="3"/>
        <v/>
      </c>
      <c r="K13705" s="1" t="str">
        <f t="shared" si="4"/>
        <v/>
      </c>
    </row>
    <row r="13706">
      <c r="F13706" s="1" t="str">
        <f t="shared" si="1"/>
        <v/>
      </c>
      <c r="G13706" s="1" t="str">
        <f t="shared" si="2"/>
        <v/>
      </c>
      <c r="J13706" s="1" t="str">
        <f t="shared" si="3"/>
        <v/>
      </c>
      <c r="K13706" s="1" t="str">
        <f t="shared" si="4"/>
        <v/>
      </c>
    </row>
    <row r="13707">
      <c r="F13707" s="1" t="str">
        <f t="shared" si="1"/>
        <v/>
      </c>
      <c r="G13707" s="1" t="str">
        <f t="shared" si="2"/>
        <v/>
      </c>
      <c r="J13707" s="1" t="str">
        <f t="shared" si="3"/>
        <v/>
      </c>
      <c r="K13707" s="1" t="str">
        <f t="shared" si="4"/>
        <v/>
      </c>
    </row>
    <row r="13708">
      <c r="F13708" s="1" t="str">
        <f t="shared" si="1"/>
        <v/>
      </c>
      <c r="G13708" s="1" t="str">
        <f t="shared" si="2"/>
        <v/>
      </c>
      <c r="J13708" s="1" t="str">
        <f t="shared" si="3"/>
        <v/>
      </c>
      <c r="K13708" s="1" t="str">
        <f t="shared" si="4"/>
        <v/>
      </c>
    </row>
    <row r="13709">
      <c r="F13709" s="1" t="str">
        <f t="shared" si="1"/>
        <v/>
      </c>
      <c r="G13709" s="1" t="str">
        <f t="shared" si="2"/>
        <v/>
      </c>
      <c r="J13709" s="1" t="str">
        <f t="shared" si="3"/>
        <v/>
      </c>
      <c r="K13709" s="1" t="str">
        <f t="shared" si="4"/>
        <v/>
      </c>
    </row>
    <row r="13710">
      <c r="F13710" s="1" t="str">
        <f t="shared" si="1"/>
        <v/>
      </c>
      <c r="G13710" s="1" t="str">
        <f t="shared" si="2"/>
        <v/>
      </c>
      <c r="J13710" s="1" t="str">
        <f t="shared" si="3"/>
        <v/>
      </c>
      <c r="K13710" s="1" t="str">
        <f t="shared" si="4"/>
        <v/>
      </c>
    </row>
    <row r="13711">
      <c r="F13711" s="1" t="str">
        <f t="shared" si="1"/>
        <v/>
      </c>
      <c r="G13711" s="1" t="str">
        <f t="shared" si="2"/>
        <v/>
      </c>
      <c r="J13711" s="1" t="str">
        <f t="shared" si="3"/>
        <v/>
      </c>
      <c r="K13711" s="1" t="str">
        <f t="shared" si="4"/>
        <v/>
      </c>
    </row>
    <row r="13712">
      <c r="F13712" s="1" t="str">
        <f t="shared" si="1"/>
        <v/>
      </c>
      <c r="G13712" s="1" t="str">
        <f t="shared" si="2"/>
        <v/>
      </c>
      <c r="J13712" s="1" t="str">
        <f t="shared" si="3"/>
        <v/>
      </c>
      <c r="K13712" s="1" t="str">
        <f t="shared" si="4"/>
        <v/>
      </c>
    </row>
    <row r="13713">
      <c r="F13713" s="1" t="str">
        <f t="shared" si="1"/>
        <v/>
      </c>
      <c r="G13713" s="1" t="str">
        <f t="shared" si="2"/>
        <v/>
      </c>
      <c r="J13713" s="1" t="str">
        <f t="shared" si="3"/>
        <v/>
      </c>
      <c r="K13713" s="1" t="str">
        <f t="shared" si="4"/>
        <v/>
      </c>
    </row>
    <row r="13714">
      <c r="F13714" s="1" t="str">
        <f t="shared" si="1"/>
        <v/>
      </c>
      <c r="G13714" s="1" t="str">
        <f t="shared" si="2"/>
        <v/>
      </c>
      <c r="J13714" s="1" t="str">
        <f t="shared" si="3"/>
        <v/>
      </c>
      <c r="K13714" s="1" t="str">
        <f t="shared" si="4"/>
        <v/>
      </c>
    </row>
    <row r="13715">
      <c r="F13715" s="1" t="str">
        <f t="shared" si="1"/>
        <v/>
      </c>
      <c r="G13715" s="1" t="str">
        <f t="shared" si="2"/>
        <v/>
      </c>
      <c r="J13715" s="1" t="str">
        <f t="shared" si="3"/>
        <v/>
      </c>
      <c r="K13715" s="1" t="str">
        <f t="shared" si="4"/>
        <v/>
      </c>
    </row>
    <row r="13716">
      <c r="F13716" s="1" t="str">
        <f t="shared" si="1"/>
        <v/>
      </c>
      <c r="G13716" s="1" t="str">
        <f t="shared" si="2"/>
        <v/>
      </c>
      <c r="J13716" s="1" t="str">
        <f t="shared" si="3"/>
        <v/>
      </c>
      <c r="K13716" s="1" t="str">
        <f t="shared" si="4"/>
        <v/>
      </c>
    </row>
    <row r="13717">
      <c r="F13717" s="1" t="str">
        <f t="shared" si="1"/>
        <v/>
      </c>
      <c r="G13717" s="1" t="str">
        <f t="shared" si="2"/>
        <v/>
      </c>
      <c r="J13717" s="1" t="str">
        <f t="shared" si="3"/>
        <v/>
      </c>
      <c r="K13717" s="1" t="str">
        <f t="shared" si="4"/>
        <v/>
      </c>
    </row>
    <row r="13718">
      <c r="F13718" s="1" t="str">
        <f t="shared" si="1"/>
        <v/>
      </c>
      <c r="G13718" s="1" t="str">
        <f t="shared" si="2"/>
        <v/>
      </c>
      <c r="J13718" s="1" t="str">
        <f t="shared" si="3"/>
        <v/>
      </c>
      <c r="K13718" s="1" t="str">
        <f t="shared" si="4"/>
        <v/>
      </c>
    </row>
    <row r="13719">
      <c r="F13719" s="1" t="str">
        <f t="shared" si="1"/>
        <v/>
      </c>
      <c r="G13719" s="1" t="str">
        <f t="shared" si="2"/>
        <v/>
      </c>
      <c r="J13719" s="1" t="str">
        <f t="shared" si="3"/>
        <v/>
      </c>
      <c r="K13719" s="1" t="str">
        <f t="shared" si="4"/>
        <v/>
      </c>
    </row>
    <row r="13720">
      <c r="F13720" s="1" t="str">
        <f t="shared" si="1"/>
        <v/>
      </c>
      <c r="G13720" s="1" t="str">
        <f t="shared" si="2"/>
        <v/>
      </c>
      <c r="J13720" s="1" t="str">
        <f t="shared" si="3"/>
        <v/>
      </c>
      <c r="K13720" s="1" t="str">
        <f t="shared" si="4"/>
        <v/>
      </c>
    </row>
    <row r="13721">
      <c r="F13721" s="1" t="str">
        <f t="shared" si="1"/>
        <v/>
      </c>
      <c r="G13721" s="1" t="str">
        <f t="shared" si="2"/>
        <v/>
      </c>
      <c r="J13721" s="1" t="str">
        <f t="shared" si="3"/>
        <v/>
      </c>
      <c r="K13721" s="1" t="str">
        <f t="shared" si="4"/>
        <v/>
      </c>
    </row>
    <row r="13722">
      <c r="F13722" s="1" t="str">
        <f t="shared" si="1"/>
        <v/>
      </c>
      <c r="G13722" s="1" t="str">
        <f t="shared" si="2"/>
        <v/>
      </c>
      <c r="J13722" s="1" t="str">
        <f t="shared" si="3"/>
        <v/>
      </c>
      <c r="K13722" s="1" t="str">
        <f t="shared" si="4"/>
        <v/>
      </c>
    </row>
    <row r="13723">
      <c r="F13723" s="1" t="str">
        <f t="shared" si="1"/>
        <v/>
      </c>
      <c r="G13723" s="1" t="str">
        <f t="shared" si="2"/>
        <v/>
      </c>
      <c r="J13723" s="1" t="str">
        <f t="shared" si="3"/>
        <v/>
      </c>
      <c r="K13723" s="1" t="str">
        <f t="shared" si="4"/>
        <v/>
      </c>
    </row>
    <row r="13724">
      <c r="F13724" s="1" t="str">
        <f t="shared" si="1"/>
        <v/>
      </c>
      <c r="G13724" s="1" t="str">
        <f t="shared" si="2"/>
        <v/>
      </c>
      <c r="J13724" s="1" t="str">
        <f t="shared" si="3"/>
        <v/>
      </c>
      <c r="K13724" s="1" t="str">
        <f t="shared" si="4"/>
        <v/>
      </c>
    </row>
    <row r="13725">
      <c r="F13725" s="1" t="str">
        <f t="shared" si="1"/>
        <v/>
      </c>
      <c r="G13725" s="1" t="str">
        <f t="shared" si="2"/>
        <v/>
      </c>
      <c r="J13725" s="1" t="str">
        <f t="shared" si="3"/>
        <v/>
      </c>
      <c r="K13725" s="1" t="str">
        <f t="shared" si="4"/>
        <v/>
      </c>
    </row>
    <row r="13726">
      <c r="F13726" s="1" t="str">
        <f t="shared" si="1"/>
        <v/>
      </c>
      <c r="G13726" s="1" t="str">
        <f t="shared" si="2"/>
        <v/>
      </c>
      <c r="J13726" s="1" t="str">
        <f t="shared" si="3"/>
        <v/>
      </c>
      <c r="K13726" s="1" t="str">
        <f t="shared" si="4"/>
        <v/>
      </c>
    </row>
    <row r="13727">
      <c r="F13727" s="1" t="str">
        <f t="shared" si="1"/>
        <v/>
      </c>
      <c r="G13727" s="1" t="str">
        <f t="shared" si="2"/>
        <v/>
      </c>
      <c r="J13727" s="1" t="str">
        <f t="shared" si="3"/>
        <v/>
      </c>
      <c r="K13727" s="1" t="str">
        <f t="shared" si="4"/>
        <v/>
      </c>
    </row>
    <row r="13728">
      <c r="F13728" s="1" t="str">
        <f t="shared" si="1"/>
        <v/>
      </c>
      <c r="G13728" s="1" t="str">
        <f t="shared" si="2"/>
        <v/>
      </c>
      <c r="J13728" s="1" t="str">
        <f t="shared" si="3"/>
        <v/>
      </c>
      <c r="K13728" s="1" t="str">
        <f t="shared" si="4"/>
        <v/>
      </c>
    </row>
    <row r="13729">
      <c r="F13729" s="1" t="str">
        <f t="shared" si="1"/>
        <v/>
      </c>
      <c r="G13729" s="1" t="str">
        <f t="shared" si="2"/>
        <v/>
      </c>
      <c r="J13729" s="1" t="str">
        <f t="shared" si="3"/>
        <v/>
      </c>
      <c r="K13729" s="1" t="str">
        <f t="shared" si="4"/>
        <v/>
      </c>
    </row>
    <row r="13730">
      <c r="F13730" s="1" t="str">
        <f t="shared" si="1"/>
        <v/>
      </c>
      <c r="G13730" s="1" t="str">
        <f t="shared" si="2"/>
        <v/>
      </c>
      <c r="J13730" s="1" t="str">
        <f t="shared" si="3"/>
        <v/>
      </c>
      <c r="K13730" s="1" t="str">
        <f t="shared" si="4"/>
        <v/>
      </c>
    </row>
    <row r="13731">
      <c r="F13731" s="1" t="str">
        <f t="shared" si="1"/>
        <v/>
      </c>
      <c r="G13731" s="1" t="str">
        <f t="shared" si="2"/>
        <v/>
      </c>
      <c r="J13731" s="1" t="str">
        <f t="shared" si="3"/>
        <v/>
      </c>
      <c r="K13731" s="1" t="str">
        <f t="shared" si="4"/>
        <v/>
      </c>
    </row>
    <row r="13732">
      <c r="F13732" s="1" t="str">
        <f t="shared" si="1"/>
        <v/>
      </c>
      <c r="G13732" s="1" t="str">
        <f t="shared" si="2"/>
        <v/>
      </c>
      <c r="J13732" s="1" t="str">
        <f t="shared" si="3"/>
        <v/>
      </c>
      <c r="K13732" s="1" t="str">
        <f t="shared" si="4"/>
        <v/>
      </c>
    </row>
    <row r="13733">
      <c r="F13733" s="1" t="str">
        <f t="shared" si="1"/>
        <v/>
      </c>
      <c r="G13733" s="1" t="str">
        <f t="shared" si="2"/>
        <v/>
      </c>
      <c r="J13733" s="1" t="str">
        <f t="shared" si="3"/>
        <v/>
      </c>
      <c r="K13733" s="1" t="str">
        <f t="shared" si="4"/>
        <v/>
      </c>
    </row>
    <row r="13734">
      <c r="F13734" s="1" t="str">
        <f t="shared" si="1"/>
        <v/>
      </c>
      <c r="G13734" s="1" t="str">
        <f t="shared" si="2"/>
        <v/>
      </c>
      <c r="J13734" s="1" t="str">
        <f t="shared" si="3"/>
        <v/>
      </c>
      <c r="K13734" s="1" t="str">
        <f t="shared" si="4"/>
        <v/>
      </c>
    </row>
    <row r="13735">
      <c r="F13735" s="1" t="str">
        <f t="shared" si="1"/>
        <v/>
      </c>
      <c r="G13735" s="1" t="str">
        <f t="shared" si="2"/>
        <v/>
      </c>
      <c r="J13735" s="1" t="str">
        <f t="shared" si="3"/>
        <v/>
      </c>
      <c r="K13735" s="1" t="str">
        <f t="shared" si="4"/>
        <v/>
      </c>
    </row>
    <row r="13736">
      <c r="F13736" s="1" t="str">
        <f t="shared" si="1"/>
        <v/>
      </c>
      <c r="G13736" s="1" t="str">
        <f t="shared" si="2"/>
        <v/>
      </c>
      <c r="J13736" s="1" t="str">
        <f t="shared" si="3"/>
        <v/>
      </c>
      <c r="K13736" s="1" t="str">
        <f t="shared" si="4"/>
        <v/>
      </c>
    </row>
    <row r="13737">
      <c r="F13737" s="1" t="str">
        <f t="shared" si="1"/>
        <v/>
      </c>
      <c r="G13737" s="1" t="str">
        <f t="shared" si="2"/>
        <v/>
      </c>
      <c r="J13737" s="1" t="str">
        <f t="shared" si="3"/>
        <v/>
      </c>
      <c r="K13737" s="1" t="str">
        <f t="shared" si="4"/>
        <v/>
      </c>
    </row>
    <row r="13738">
      <c r="F13738" s="1" t="str">
        <f t="shared" si="1"/>
        <v/>
      </c>
      <c r="G13738" s="1" t="str">
        <f t="shared" si="2"/>
        <v/>
      </c>
      <c r="J13738" s="1" t="str">
        <f t="shared" si="3"/>
        <v/>
      </c>
      <c r="K13738" s="1" t="str">
        <f t="shared" si="4"/>
        <v/>
      </c>
    </row>
    <row r="13739">
      <c r="F13739" s="1" t="str">
        <f t="shared" si="1"/>
        <v/>
      </c>
      <c r="G13739" s="1" t="str">
        <f t="shared" si="2"/>
        <v/>
      </c>
      <c r="J13739" s="1" t="str">
        <f t="shared" si="3"/>
        <v/>
      </c>
      <c r="K13739" s="1" t="str">
        <f t="shared" si="4"/>
        <v/>
      </c>
    </row>
    <row r="13740">
      <c r="F13740" s="1" t="str">
        <f t="shared" si="1"/>
        <v/>
      </c>
      <c r="G13740" s="1" t="str">
        <f t="shared" si="2"/>
        <v/>
      </c>
      <c r="J13740" s="1" t="str">
        <f t="shared" si="3"/>
        <v/>
      </c>
      <c r="K13740" s="1" t="str">
        <f t="shared" si="4"/>
        <v/>
      </c>
    </row>
    <row r="13741">
      <c r="F13741" s="1" t="str">
        <f t="shared" si="1"/>
        <v/>
      </c>
      <c r="G13741" s="1" t="str">
        <f t="shared" si="2"/>
        <v/>
      </c>
      <c r="J13741" s="1" t="str">
        <f t="shared" si="3"/>
        <v/>
      </c>
      <c r="K13741" s="1" t="str">
        <f t="shared" si="4"/>
        <v/>
      </c>
    </row>
    <row r="13742">
      <c r="F13742" s="1" t="str">
        <f t="shared" si="1"/>
        <v/>
      </c>
      <c r="G13742" s="1" t="str">
        <f t="shared" si="2"/>
        <v/>
      </c>
      <c r="J13742" s="1" t="str">
        <f t="shared" si="3"/>
        <v/>
      </c>
      <c r="K13742" s="1" t="str">
        <f t="shared" si="4"/>
        <v/>
      </c>
    </row>
    <row r="13743">
      <c r="F13743" s="1" t="str">
        <f t="shared" si="1"/>
        <v/>
      </c>
      <c r="G13743" s="1" t="str">
        <f t="shared" si="2"/>
        <v/>
      </c>
      <c r="J13743" s="1" t="str">
        <f t="shared" si="3"/>
        <v/>
      </c>
      <c r="K13743" s="1" t="str">
        <f t="shared" si="4"/>
        <v/>
      </c>
    </row>
    <row r="13744">
      <c r="F13744" s="1" t="str">
        <f t="shared" si="1"/>
        <v/>
      </c>
      <c r="G13744" s="1" t="str">
        <f t="shared" si="2"/>
        <v/>
      </c>
      <c r="J13744" s="1" t="str">
        <f t="shared" si="3"/>
        <v/>
      </c>
      <c r="K13744" s="1" t="str">
        <f t="shared" si="4"/>
        <v/>
      </c>
    </row>
    <row r="13745">
      <c r="F13745" s="1" t="str">
        <f t="shared" si="1"/>
        <v/>
      </c>
      <c r="G13745" s="1" t="str">
        <f t="shared" si="2"/>
        <v/>
      </c>
      <c r="J13745" s="1" t="str">
        <f t="shared" si="3"/>
        <v/>
      </c>
      <c r="K13745" s="1" t="str">
        <f t="shared" si="4"/>
        <v/>
      </c>
    </row>
    <row r="13746">
      <c r="F13746" s="1" t="str">
        <f t="shared" si="1"/>
        <v/>
      </c>
      <c r="G13746" s="1" t="str">
        <f t="shared" si="2"/>
        <v/>
      </c>
      <c r="J13746" s="1" t="str">
        <f t="shared" si="3"/>
        <v/>
      </c>
      <c r="K13746" s="1" t="str">
        <f t="shared" si="4"/>
        <v/>
      </c>
    </row>
    <row r="13747">
      <c r="F13747" s="1" t="str">
        <f t="shared" si="1"/>
        <v/>
      </c>
      <c r="G13747" s="1" t="str">
        <f t="shared" si="2"/>
        <v/>
      </c>
      <c r="J13747" s="1" t="str">
        <f t="shared" si="3"/>
        <v/>
      </c>
      <c r="K13747" s="1" t="str">
        <f t="shared" si="4"/>
        <v/>
      </c>
    </row>
    <row r="13748">
      <c r="F13748" s="1" t="str">
        <f t="shared" si="1"/>
        <v/>
      </c>
      <c r="G13748" s="1" t="str">
        <f t="shared" si="2"/>
        <v/>
      </c>
      <c r="J13748" s="1" t="str">
        <f t="shared" si="3"/>
        <v/>
      </c>
      <c r="K13748" s="1" t="str">
        <f t="shared" si="4"/>
        <v/>
      </c>
    </row>
    <row r="13749">
      <c r="F13749" s="1" t="str">
        <f t="shared" si="1"/>
        <v/>
      </c>
      <c r="G13749" s="1" t="str">
        <f t="shared" si="2"/>
        <v/>
      </c>
      <c r="J13749" s="1" t="str">
        <f t="shared" si="3"/>
        <v/>
      </c>
      <c r="K13749" s="1" t="str">
        <f t="shared" si="4"/>
        <v/>
      </c>
    </row>
    <row r="13750">
      <c r="F13750" s="1" t="str">
        <f t="shared" si="1"/>
        <v/>
      </c>
      <c r="G13750" s="1" t="str">
        <f t="shared" si="2"/>
        <v/>
      </c>
      <c r="J13750" s="1" t="str">
        <f t="shared" si="3"/>
        <v/>
      </c>
      <c r="K13750" s="1" t="str">
        <f t="shared" si="4"/>
        <v/>
      </c>
    </row>
    <row r="13751">
      <c r="F13751" s="1" t="str">
        <f t="shared" si="1"/>
        <v/>
      </c>
      <c r="G13751" s="1" t="str">
        <f t="shared" si="2"/>
        <v/>
      </c>
      <c r="J13751" s="1" t="str">
        <f t="shared" si="3"/>
        <v/>
      </c>
      <c r="K13751" s="1" t="str">
        <f t="shared" si="4"/>
        <v/>
      </c>
    </row>
    <row r="13752">
      <c r="F13752" s="1" t="str">
        <f t="shared" si="1"/>
        <v/>
      </c>
      <c r="G13752" s="1" t="str">
        <f t="shared" si="2"/>
        <v/>
      </c>
      <c r="J13752" s="1" t="str">
        <f t="shared" si="3"/>
        <v/>
      </c>
      <c r="K13752" s="1" t="str">
        <f t="shared" si="4"/>
        <v/>
      </c>
    </row>
    <row r="13753">
      <c r="F13753" s="1" t="str">
        <f t="shared" si="1"/>
        <v/>
      </c>
      <c r="G13753" s="1" t="str">
        <f t="shared" si="2"/>
        <v/>
      </c>
      <c r="J13753" s="1" t="str">
        <f t="shared" si="3"/>
        <v/>
      </c>
      <c r="K13753" s="1" t="str">
        <f t="shared" si="4"/>
        <v/>
      </c>
    </row>
    <row r="13754">
      <c r="F13754" s="1" t="str">
        <f t="shared" si="1"/>
        <v/>
      </c>
      <c r="G13754" s="1" t="str">
        <f t="shared" si="2"/>
        <v/>
      </c>
      <c r="J13754" s="1" t="str">
        <f t="shared" si="3"/>
        <v/>
      </c>
      <c r="K13754" s="1" t="str">
        <f t="shared" si="4"/>
        <v/>
      </c>
    </row>
    <row r="13755">
      <c r="F13755" s="1" t="str">
        <f t="shared" si="1"/>
        <v/>
      </c>
      <c r="G13755" s="1" t="str">
        <f t="shared" si="2"/>
        <v/>
      </c>
      <c r="J13755" s="1" t="str">
        <f t="shared" si="3"/>
        <v/>
      </c>
      <c r="K13755" s="1" t="str">
        <f t="shared" si="4"/>
        <v/>
      </c>
    </row>
    <row r="13756">
      <c r="F13756" s="1" t="str">
        <f t="shared" si="1"/>
        <v/>
      </c>
      <c r="G13756" s="1" t="str">
        <f t="shared" si="2"/>
        <v/>
      </c>
      <c r="J13756" s="1" t="str">
        <f t="shared" si="3"/>
        <v/>
      </c>
      <c r="K13756" s="1" t="str">
        <f t="shared" si="4"/>
        <v/>
      </c>
    </row>
    <row r="13757">
      <c r="F13757" s="1" t="str">
        <f t="shared" si="1"/>
        <v/>
      </c>
      <c r="G13757" s="1" t="str">
        <f t="shared" si="2"/>
        <v/>
      </c>
      <c r="J13757" s="1" t="str">
        <f t="shared" si="3"/>
        <v/>
      </c>
      <c r="K13757" s="1" t="str">
        <f t="shared" si="4"/>
        <v/>
      </c>
    </row>
    <row r="13758">
      <c r="F13758" s="1" t="str">
        <f t="shared" si="1"/>
        <v/>
      </c>
      <c r="G13758" s="1" t="str">
        <f t="shared" si="2"/>
        <v/>
      </c>
      <c r="J13758" s="1" t="str">
        <f t="shared" si="3"/>
        <v/>
      </c>
      <c r="K13758" s="1" t="str">
        <f t="shared" si="4"/>
        <v/>
      </c>
    </row>
    <row r="13759">
      <c r="F13759" s="1" t="str">
        <f t="shared" si="1"/>
        <v/>
      </c>
      <c r="G13759" s="1" t="str">
        <f t="shared" si="2"/>
        <v/>
      </c>
      <c r="J13759" s="1" t="str">
        <f t="shared" si="3"/>
        <v/>
      </c>
      <c r="K13759" s="1" t="str">
        <f t="shared" si="4"/>
        <v/>
      </c>
    </row>
    <row r="13760">
      <c r="F13760" s="1" t="str">
        <f t="shared" si="1"/>
        <v/>
      </c>
      <c r="G13760" s="1" t="str">
        <f t="shared" si="2"/>
        <v/>
      </c>
      <c r="J13760" s="1" t="str">
        <f t="shared" si="3"/>
        <v/>
      </c>
      <c r="K13760" s="1" t="str">
        <f t="shared" si="4"/>
        <v/>
      </c>
    </row>
    <row r="13761">
      <c r="F13761" s="1" t="str">
        <f t="shared" si="1"/>
        <v/>
      </c>
      <c r="G13761" s="1" t="str">
        <f t="shared" si="2"/>
        <v/>
      </c>
      <c r="J13761" s="1" t="str">
        <f t="shared" si="3"/>
        <v/>
      </c>
      <c r="K13761" s="1" t="str">
        <f t="shared" si="4"/>
        <v/>
      </c>
    </row>
    <row r="13762">
      <c r="F13762" s="1" t="str">
        <f t="shared" si="1"/>
        <v/>
      </c>
      <c r="G13762" s="1" t="str">
        <f t="shared" si="2"/>
        <v/>
      </c>
      <c r="J13762" s="1" t="str">
        <f t="shared" si="3"/>
        <v/>
      </c>
      <c r="K13762" s="1" t="str">
        <f t="shared" si="4"/>
        <v/>
      </c>
    </row>
    <row r="13763">
      <c r="F13763" s="1" t="str">
        <f t="shared" si="1"/>
        <v/>
      </c>
      <c r="G13763" s="1" t="str">
        <f t="shared" si="2"/>
        <v/>
      </c>
      <c r="J13763" s="1" t="str">
        <f t="shared" si="3"/>
        <v/>
      </c>
      <c r="K13763" s="1" t="str">
        <f t="shared" si="4"/>
        <v/>
      </c>
    </row>
    <row r="13764">
      <c r="F13764" s="1" t="str">
        <f t="shared" si="1"/>
        <v/>
      </c>
      <c r="G13764" s="1" t="str">
        <f t="shared" si="2"/>
        <v/>
      </c>
      <c r="J13764" s="1" t="str">
        <f t="shared" si="3"/>
        <v/>
      </c>
      <c r="K13764" s="1" t="str">
        <f t="shared" si="4"/>
        <v/>
      </c>
    </row>
    <row r="13765">
      <c r="F13765" s="1" t="str">
        <f t="shared" si="1"/>
        <v/>
      </c>
      <c r="G13765" s="1" t="str">
        <f t="shared" si="2"/>
        <v/>
      </c>
      <c r="J13765" s="1" t="str">
        <f t="shared" si="3"/>
        <v/>
      </c>
      <c r="K13765" s="1" t="str">
        <f t="shared" si="4"/>
        <v/>
      </c>
    </row>
    <row r="13766">
      <c r="F13766" s="1" t="str">
        <f t="shared" si="1"/>
        <v/>
      </c>
      <c r="G13766" s="1" t="str">
        <f t="shared" si="2"/>
        <v/>
      </c>
      <c r="J13766" s="1" t="str">
        <f t="shared" si="3"/>
        <v/>
      </c>
      <c r="K13766" s="1" t="str">
        <f t="shared" si="4"/>
        <v/>
      </c>
    </row>
    <row r="13767">
      <c r="F13767" s="1" t="str">
        <f t="shared" si="1"/>
        <v/>
      </c>
      <c r="G13767" s="1" t="str">
        <f t="shared" si="2"/>
        <v/>
      </c>
      <c r="J13767" s="1" t="str">
        <f t="shared" si="3"/>
        <v/>
      </c>
      <c r="K13767" s="1" t="str">
        <f t="shared" si="4"/>
        <v/>
      </c>
    </row>
    <row r="13768">
      <c r="F13768" s="1" t="str">
        <f t="shared" si="1"/>
        <v/>
      </c>
      <c r="G13768" s="1" t="str">
        <f t="shared" si="2"/>
        <v/>
      </c>
      <c r="J13768" s="1" t="str">
        <f t="shared" si="3"/>
        <v/>
      </c>
      <c r="K13768" s="1" t="str">
        <f t="shared" si="4"/>
        <v/>
      </c>
    </row>
    <row r="13769">
      <c r="F13769" s="1" t="str">
        <f t="shared" si="1"/>
        <v/>
      </c>
      <c r="G13769" s="1" t="str">
        <f t="shared" si="2"/>
        <v/>
      </c>
      <c r="J13769" s="1" t="str">
        <f t="shared" si="3"/>
        <v/>
      </c>
      <c r="K13769" s="1" t="str">
        <f t="shared" si="4"/>
        <v/>
      </c>
    </row>
    <row r="13770">
      <c r="F13770" s="1" t="str">
        <f t="shared" si="1"/>
        <v/>
      </c>
      <c r="G13770" s="1" t="str">
        <f t="shared" si="2"/>
        <v/>
      </c>
      <c r="J13770" s="1" t="str">
        <f t="shared" si="3"/>
        <v/>
      </c>
      <c r="K13770" s="1" t="str">
        <f t="shared" si="4"/>
        <v/>
      </c>
    </row>
    <row r="13771">
      <c r="F13771" s="1" t="str">
        <f t="shared" si="1"/>
        <v/>
      </c>
      <c r="G13771" s="1" t="str">
        <f t="shared" si="2"/>
        <v/>
      </c>
      <c r="J13771" s="1" t="str">
        <f t="shared" si="3"/>
        <v/>
      </c>
      <c r="K13771" s="1" t="str">
        <f t="shared" si="4"/>
        <v/>
      </c>
    </row>
    <row r="13772">
      <c r="F13772" s="1" t="str">
        <f t="shared" si="1"/>
        <v/>
      </c>
      <c r="G13772" s="1" t="str">
        <f t="shared" si="2"/>
        <v/>
      </c>
      <c r="J13772" s="1" t="str">
        <f t="shared" si="3"/>
        <v/>
      </c>
      <c r="K13772" s="1" t="str">
        <f t="shared" si="4"/>
        <v/>
      </c>
    </row>
    <row r="13773">
      <c r="F13773" s="1" t="str">
        <f t="shared" si="1"/>
        <v/>
      </c>
      <c r="G13773" s="1" t="str">
        <f t="shared" si="2"/>
        <v/>
      </c>
      <c r="J13773" s="1" t="str">
        <f t="shared" si="3"/>
        <v/>
      </c>
      <c r="K13773" s="1" t="str">
        <f t="shared" si="4"/>
        <v/>
      </c>
    </row>
    <row r="13774">
      <c r="F13774" s="1" t="str">
        <f t="shared" si="1"/>
        <v/>
      </c>
      <c r="G13774" s="1" t="str">
        <f t="shared" si="2"/>
        <v/>
      </c>
      <c r="J13774" s="1" t="str">
        <f t="shared" si="3"/>
        <v/>
      </c>
      <c r="K13774" s="1" t="str">
        <f t="shared" si="4"/>
        <v/>
      </c>
    </row>
    <row r="13775">
      <c r="F13775" s="1" t="str">
        <f t="shared" si="1"/>
        <v/>
      </c>
      <c r="G13775" s="1" t="str">
        <f t="shared" si="2"/>
        <v/>
      </c>
      <c r="J13775" s="1" t="str">
        <f t="shared" si="3"/>
        <v/>
      </c>
      <c r="K13775" s="1" t="str">
        <f t="shared" si="4"/>
        <v/>
      </c>
    </row>
    <row r="13776">
      <c r="F13776" s="1" t="str">
        <f t="shared" si="1"/>
        <v/>
      </c>
      <c r="G13776" s="1" t="str">
        <f t="shared" si="2"/>
        <v/>
      </c>
      <c r="J13776" s="1" t="str">
        <f t="shared" si="3"/>
        <v/>
      </c>
      <c r="K13776" s="1" t="str">
        <f t="shared" si="4"/>
        <v/>
      </c>
    </row>
    <row r="13777">
      <c r="F13777" s="1" t="str">
        <f t="shared" si="1"/>
        <v/>
      </c>
      <c r="G13777" s="1" t="str">
        <f t="shared" si="2"/>
        <v/>
      </c>
      <c r="J13777" s="1" t="str">
        <f t="shared" si="3"/>
        <v/>
      </c>
      <c r="K13777" s="1" t="str">
        <f t="shared" si="4"/>
        <v/>
      </c>
    </row>
    <row r="13778">
      <c r="F13778" s="1" t="str">
        <f t="shared" si="1"/>
        <v/>
      </c>
      <c r="G13778" s="1" t="str">
        <f t="shared" si="2"/>
        <v/>
      </c>
      <c r="J13778" s="1" t="str">
        <f t="shared" si="3"/>
        <v/>
      </c>
      <c r="K13778" s="1" t="str">
        <f t="shared" si="4"/>
        <v/>
      </c>
    </row>
    <row r="13779">
      <c r="F13779" s="1" t="str">
        <f t="shared" si="1"/>
        <v/>
      </c>
      <c r="G13779" s="1" t="str">
        <f t="shared" si="2"/>
        <v/>
      </c>
      <c r="J13779" s="1" t="str">
        <f t="shared" si="3"/>
        <v/>
      </c>
      <c r="K13779" s="1" t="str">
        <f t="shared" si="4"/>
        <v/>
      </c>
    </row>
    <row r="13780">
      <c r="F13780" s="1" t="str">
        <f t="shared" si="1"/>
        <v/>
      </c>
      <c r="G13780" s="1" t="str">
        <f t="shared" si="2"/>
        <v/>
      </c>
      <c r="J13780" s="1" t="str">
        <f t="shared" si="3"/>
        <v/>
      </c>
      <c r="K13780" s="1" t="str">
        <f t="shared" si="4"/>
        <v/>
      </c>
    </row>
    <row r="13781">
      <c r="F13781" s="1" t="str">
        <f t="shared" si="1"/>
        <v/>
      </c>
      <c r="G13781" s="1" t="str">
        <f t="shared" si="2"/>
        <v/>
      </c>
      <c r="J13781" s="1" t="str">
        <f t="shared" si="3"/>
        <v/>
      </c>
      <c r="K13781" s="1" t="str">
        <f t="shared" si="4"/>
        <v/>
      </c>
    </row>
    <row r="13782">
      <c r="F13782" s="1" t="str">
        <f t="shared" si="1"/>
        <v/>
      </c>
      <c r="G13782" s="1" t="str">
        <f t="shared" si="2"/>
        <v/>
      </c>
      <c r="J13782" s="1" t="str">
        <f t="shared" si="3"/>
        <v/>
      </c>
      <c r="K13782" s="1" t="str">
        <f t="shared" si="4"/>
        <v/>
      </c>
    </row>
    <row r="13783">
      <c r="F13783" s="1" t="str">
        <f t="shared" si="1"/>
        <v/>
      </c>
      <c r="G13783" s="1" t="str">
        <f t="shared" si="2"/>
        <v/>
      </c>
      <c r="J13783" s="1" t="str">
        <f t="shared" si="3"/>
        <v/>
      </c>
      <c r="K13783" s="1" t="str">
        <f t="shared" si="4"/>
        <v/>
      </c>
    </row>
    <row r="13784">
      <c r="F13784" s="1" t="str">
        <f t="shared" si="1"/>
        <v/>
      </c>
      <c r="G13784" s="1" t="str">
        <f t="shared" si="2"/>
        <v/>
      </c>
      <c r="J13784" s="1" t="str">
        <f t="shared" si="3"/>
        <v/>
      </c>
      <c r="K13784" s="1" t="str">
        <f t="shared" si="4"/>
        <v/>
      </c>
    </row>
    <row r="13785">
      <c r="F13785" s="1" t="str">
        <f t="shared" si="1"/>
        <v/>
      </c>
      <c r="G13785" s="1" t="str">
        <f t="shared" si="2"/>
        <v/>
      </c>
      <c r="J13785" s="1" t="str">
        <f t="shared" si="3"/>
        <v/>
      </c>
      <c r="K13785" s="1" t="str">
        <f t="shared" si="4"/>
        <v/>
      </c>
    </row>
    <row r="13786">
      <c r="F13786" s="1" t="str">
        <f t="shared" si="1"/>
        <v/>
      </c>
      <c r="G13786" s="1" t="str">
        <f t="shared" si="2"/>
        <v/>
      </c>
      <c r="J13786" s="1" t="str">
        <f t="shared" si="3"/>
        <v/>
      </c>
      <c r="K13786" s="1" t="str">
        <f t="shared" si="4"/>
        <v/>
      </c>
    </row>
    <row r="13787">
      <c r="F13787" s="1" t="str">
        <f t="shared" si="1"/>
        <v/>
      </c>
      <c r="G13787" s="1" t="str">
        <f t="shared" si="2"/>
        <v/>
      </c>
      <c r="J13787" s="1" t="str">
        <f t="shared" si="3"/>
        <v/>
      </c>
      <c r="K13787" s="1" t="str">
        <f t="shared" si="4"/>
        <v/>
      </c>
    </row>
    <row r="13788">
      <c r="F13788" s="1" t="str">
        <f t="shared" si="1"/>
        <v/>
      </c>
      <c r="G13788" s="1" t="str">
        <f t="shared" si="2"/>
        <v/>
      </c>
      <c r="J13788" s="1" t="str">
        <f t="shared" si="3"/>
        <v/>
      </c>
      <c r="K13788" s="1" t="str">
        <f t="shared" si="4"/>
        <v/>
      </c>
    </row>
    <row r="13789">
      <c r="F13789" s="1" t="str">
        <f t="shared" si="1"/>
        <v/>
      </c>
      <c r="G13789" s="1" t="str">
        <f t="shared" si="2"/>
        <v/>
      </c>
      <c r="J13789" s="1" t="str">
        <f t="shared" si="3"/>
        <v/>
      </c>
      <c r="K13789" s="1" t="str">
        <f t="shared" si="4"/>
        <v/>
      </c>
    </row>
    <row r="13790">
      <c r="F13790" s="1" t="str">
        <f t="shared" si="1"/>
        <v/>
      </c>
      <c r="G13790" s="1" t="str">
        <f t="shared" si="2"/>
        <v/>
      </c>
      <c r="J13790" s="1" t="str">
        <f t="shared" si="3"/>
        <v/>
      </c>
      <c r="K13790" s="1" t="str">
        <f t="shared" si="4"/>
        <v/>
      </c>
    </row>
    <row r="13791">
      <c r="F13791" s="1" t="str">
        <f t="shared" si="1"/>
        <v/>
      </c>
      <c r="G13791" s="1" t="str">
        <f t="shared" si="2"/>
        <v/>
      </c>
      <c r="J13791" s="1" t="str">
        <f t="shared" si="3"/>
        <v/>
      </c>
      <c r="K13791" s="1" t="str">
        <f t="shared" si="4"/>
        <v/>
      </c>
    </row>
    <row r="13792">
      <c r="F13792" s="1" t="str">
        <f t="shared" si="1"/>
        <v/>
      </c>
      <c r="G13792" s="1" t="str">
        <f t="shared" si="2"/>
        <v/>
      </c>
      <c r="J13792" s="1" t="str">
        <f t="shared" si="3"/>
        <v/>
      </c>
      <c r="K13792" s="1" t="str">
        <f t="shared" si="4"/>
        <v/>
      </c>
    </row>
    <row r="13793">
      <c r="F13793" s="1" t="str">
        <f t="shared" si="1"/>
        <v/>
      </c>
      <c r="G13793" s="1" t="str">
        <f t="shared" si="2"/>
        <v/>
      </c>
      <c r="J13793" s="1" t="str">
        <f t="shared" si="3"/>
        <v/>
      </c>
      <c r="K13793" s="1" t="str">
        <f t="shared" si="4"/>
        <v/>
      </c>
    </row>
    <row r="13794">
      <c r="F13794" s="1" t="str">
        <f t="shared" si="1"/>
        <v/>
      </c>
      <c r="G13794" s="1" t="str">
        <f t="shared" si="2"/>
        <v/>
      </c>
      <c r="J13794" s="1" t="str">
        <f t="shared" si="3"/>
        <v/>
      </c>
      <c r="K13794" s="1" t="str">
        <f t="shared" si="4"/>
        <v/>
      </c>
    </row>
    <row r="13795">
      <c r="F13795" s="1" t="str">
        <f t="shared" si="1"/>
        <v/>
      </c>
      <c r="G13795" s="1" t="str">
        <f t="shared" si="2"/>
        <v/>
      </c>
      <c r="J13795" s="1" t="str">
        <f t="shared" si="3"/>
        <v/>
      </c>
      <c r="K13795" s="1" t="str">
        <f t="shared" si="4"/>
        <v/>
      </c>
    </row>
    <row r="13796">
      <c r="F13796" s="1" t="str">
        <f t="shared" si="1"/>
        <v/>
      </c>
      <c r="G13796" s="1" t="str">
        <f t="shared" si="2"/>
        <v/>
      </c>
      <c r="J13796" s="1" t="str">
        <f t="shared" si="3"/>
        <v/>
      </c>
      <c r="K13796" s="1" t="str">
        <f t="shared" si="4"/>
        <v/>
      </c>
    </row>
    <row r="13797">
      <c r="F13797" s="1" t="str">
        <f t="shared" si="1"/>
        <v/>
      </c>
      <c r="G13797" s="1" t="str">
        <f t="shared" si="2"/>
        <v/>
      </c>
      <c r="J13797" s="1" t="str">
        <f t="shared" si="3"/>
        <v/>
      </c>
      <c r="K13797" s="1" t="str">
        <f t="shared" si="4"/>
        <v/>
      </c>
    </row>
    <row r="13798">
      <c r="F13798" s="1" t="str">
        <f t="shared" si="1"/>
        <v/>
      </c>
      <c r="G13798" s="1" t="str">
        <f t="shared" si="2"/>
        <v/>
      </c>
      <c r="J13798" s="1" t="str">
        <f t="shared" si="3"/>
        <v/>
      </c>
      <c r="K13798" s="1" t="str">
        <f t="shared" si="4"/>
        <v/>
      </c>
    </row>
    <row r="13799">
      <c r="F13799" s="1" t="str">
        <f t="shared" si="1"/>
        <v/>
      </c>
      <c r="G13799" s="1" t="str">
        <f t="shared" si="2"/>
        <v/>
      </c>
      <c r="J13799" s="1" t="str">
        <f t="shared" si="3"/>
        <v/>
      </c>
      <c r="K13799" s="1" t="str">
        <f t="shared" si="4"/>
        <v/>
      </c>
    </row>
    <row r="13800">
      <c r="F13800" s="1" t="str">
        <f t="shared" si="1"/>
        <v/>
      </c>
      <c r="G13800" s="1" t="str">
        <f t="shared" si="2"/>
        <v/>
      </c>
      <c r="J13800" s="1" t="str">
        <f t="shared" si="3"/>
        <v/>
      </c>
      <c r="K13800" s="1" t="str">
        <f t="shared" si="4"/>
        <v/>
      </c>
    </row>
    <row r="13801">
      <c r="F13801" s="1" t="str">
        <f t="shared" si="1"/>
        <v/>
      </c>
      <c r="G13801" s="1" t="str">
        <f t="shared" si="2"/>
        <v/>
      </c>
      <c r="J13801" s="1" t="str">
        <f t="shared" si="3"/>
        <v/>
      </c>
      <c r="K13801" s="1" t="str">
        <f t="shared" si="4"/>
        <v/>
      </c>
    </row>
    <row r="13802">
      <c r="F13802" s="1" t="str">
        <f t="shared" si="1"/>
        <v/>
      </c>
      <c r="G13802" s="1" t="str">
        <f t="shared" si="2"/>
        <v/>
      </c>
      <c r="J13802" s="1" t="str">
        <f t="shared" si="3"/>
        <v/>
      </c>
      <c r="K13802" s="1" t="str">
        <f t="shared" si="4"/>
        <v/>
      </c>
    </row>
    <row r="13803">
      <c r="F13803" s="1" t="str">
        <f t="shared" si="1"/>
        <v/>
      </c>
      <c r="G13803" s="1" t="str">
        <f t="shared" si="2"/>
        <v/>
      </c>
      <c r="J13803" s="1" t="str">
        <f t="shared" si="3"/>
        <v/>
      </c>
      <c r="K13803" s="1" t="str">
        <f t="shared" si="4"/>
        <v/>
      </c>
    </row>
    <row r="13804">
      <c r="F13804" s="1" t="str">
        <f t="shared" si="1"/>
        <v/>
      </c>
      <c r="G13804" s="1" t="str">
        <f t="shared" si="2"/>
        <v/>
      </c>
      <c r="J13804" s="1" t="str">
        <f t="shared" si="3"/>
        <v/>
      </c>
      <c r="K13804" s="1" t="str">
        <f t="shared" si="4"/>
        <v/>
      </c>
    </row>
    <row r="13805">
      <c r="F13805" s="1" t="str">
        <f t="shared" si="1"/>
        <v/>
      </c>
      <c r="G13805" s="1" t="str">
        <f t="shared" si="2"/>
        <v/>
      </c>
      <c r="J13805" s="1" t="str">
        <f t="shared" si="3"/>
        <v/>
      </c>
      <c r="K13805" s="1" t="str">
        <f t="shared" si="4"/>
        <v/>
      </c>
    </row>
    <row r="13806">
      <c r="F13806" s="1" t="str">
        <f t="shared" si="1"/>
        <v/>
      </c>
      <c r="G13806" s="1" t="str">
        <f t="shared" si="2"/>
        <v/>
      </c>
      <c r="J13806" s="1" t="str">
        <f t="shared" si="3"/>
        <v/>
      </c>
      <c r="K13806" s="1" t="str">
        <f t="shared" si="4"/>
        <v/>
      </c>
    </row>
    <row r="13807">
      <c r="F13807" s="1" t="str">
        <f t="shared" si="1"/>
        <v/>
      </c>
      <c r="G13807" s="1" t="str">
        <f t="shared" si="2"/>
        <v/>
      </c>
      <c r="J13807" s="1" t="str">
        <f t="shared" si="3"/>
        <v/>
      </c>
      <c r="K13807" s="1" t="str">
        <f t="shared" si="4"/>
        <v/>
      </c>
    </row>
    <row r="13808">
      <c r="F13808" s="1" t="str">
        <f t="shared" si="1"/>
        <v/>
      </c>
      <c r="G13808" s="1" t="str">
        <f t="shared" si="2"/>
        <v/>
      </c>
      <c r="J13808" s="1" t="str">
        <f t="shared" si="3"/>
        <v/>
      </c>
      <c r="K13808" s="1" t="str">
        <f t="shared" si="4"/>
        <v/>
      </c>
    </row>
    <row r="13809">
      <c r="F13809" s="1" t="str">
        <f t="shared" si="1"/>
        <v/>
      </c>
      <c r="G13809" s="1" t="str">
        <f t="shared" si="2"/>
        <v/>
      </c>
      <c r="J13809" s="1" t="str">
        <f t="shared" si="3"/>
        <v/>
      </c>
      <c r="K13809" s="1" t="str">
        <f t="shared" si="4"/>
        <v/>
      </c>
    </row>
    <row r="13810">
      <c r="F13810" s="1" t="str">
        <f t="shared" si="1"/>
        <v/>
      </c>
      <c r="G13810" s="1" t="str">
        <f t="shared" si="2"/>
        <v/>
      </c>
      <c r="J13810" s="1" t="str">
        <f t="shared" si="3"/>
        <v/>
      </c>
      <c r="K13810" s="1" t="str">
        <f t="shared" si="4"/>
        <v/>
      </c>
    </row>
    <row r="13811">
      <c r="F13811" s="1" t="str">
        <f t="shared" si="1"/>
        <v/>
      </c>
      <c r="G13811" s="1" t="str">
        <f t="shared" si="2"/>
        <v/>
      </c>
      <c r="J13811" s="1" t="str">
        <f t="shared" si="3"/>
        <v/>
      </c>
      <c r="K13811" s="1" t="str">
        <f t="shared" si="4"/>
        <v/>
      </c>
    </row>
    <row r="13812">
      <c r="F13812" s="1" t="str">
        <f t="shared" si="1"/>
        <v/>
      </c>
      <c r="G13812" s="1" t="str">
        <f t="shared" si="2"/>
        <v/>
      </c>
      <c r="J13812" s="1" t="str">
        <f t="shared" si="3"/>
        <v/>
      </c>
      <c r="K13812" s="1" t="str">
        <f t="shared" si="4"/>
        <v/>
      </c>
    </row>
    <row r="13813">
      <c r="F13813" s="1" t="str">
        <f t="shared" si="1"/>
        <v/>
      </c>
      <c r="G13813" s="1" t="str">
        <f t="shared" si="2"/>
        <v/>
      </c>
      <c r="J13813" s="1" t="str">
        <f t="shared" si="3"/>
        <v/>
      </c>
      <c r="K13813" s="1" t="str">
        <f t="shared" si="4"/>
        <v/>
      </c>
    </row>
    <row r="13814">
      <c r="F13814" s="1" t="str">
        <f t="shared" si="1"/>
        <v/>
      </c>
      <c r="G13814" s="1" t="str">
        <f t="shared" si="2"/>
        <v/>
      </c>
      <c r="J13814" s="1" t="str">
        <f t="shared" si="3"/>
        <v/>
      </c>
      <c r="K13814" s="1" t="str">
        <f t="shared" si="4"/>
        <v/>
      </c>
    </row>
    <row r="13815">
      <c r="F13815" s="1" t="str">
        <f t="shared" si="1"/>
        <v/>
      </c>
      <c r="G13815" s="1" t="str">
        <f t="shared" si="2"/>
        <v/>
      </c>
      <c r="J13815" s="1" t="str">
        <f t="shared" si="3"/>
        <v/>
      </c>
      <c r="K13815" s="1" t="str">
        <f t="shared" si="4"/>
        <v/>
      </c>
    </row>
    <row r="13816">
      <c r="F13816" s="1" t="str">
        <f t="shared" si="1"/>
        <v/>
      </c>
      <c r="G13816" s="1" t="str">
        <f t="shared" si="2"/>
        <v/>
      </c>
      <c r="J13816" s="1" t="str">
        <f t="shared" si="3"/>
        <v/>
      </c>
      <c r="K13816" s="1" t="str">
        <f t="shared" si="4"/>
        <v/>
      </c>
    </row>
    <row r="13817">
      <c r="F13817" s="1" t="str">
        <f t="shared" si="1"/>
        <v/>
      </c>
      <c r="G13817" s="1" t="str">
        <f t="shared" si="2"/>
        <v/>
      </c>
      <c r="J13817" s="1" t="str">
        <f t="shared" si="3"/>
        <v/>
      </c>
      <c r="K13817" s="1" t="str">
        <f t="shared" si="4"/>
        <v/>
      </c>
    </row>
    <row r="13818">
      <c r="F13818" s="1" t="str">
        <f t="shared" si="1"/>
        <v/>
      </c>
      <c r="G13818" s="1" t="str">
        <f t="shared" si="2"/>
        <v/>
      </c>
      <c r="J13818" s="1" t="str">
        <f t="shared" si="3"/>
        <v/>
      </c>
      <c r="K13818" s="1" t="str">
        <f t="shared" si="4"/>
        <v/>
      </c>
    </row>
    <row r="13819">
      <c r="F13819" s="1" t="str">
        <f t="shared" si="1"/>
        <v/>
      </c>
      <c r="G13819" s="1" t="str">
        <f t="shared" si="2"/>
        <v/>
      </c>
      <c r="J13819" s="1" t="str">
        <f t="shared" si="3"/>
        <v/>
      </c>
      <c r="K13819" s="1" t="str">
        <f t="shared" si="4"/>
        <v/>
      </c>
    </row>
    <row r="13820">
      <c r="F13820" s="1" t="str">
        <f t="shared" si="1"/>
        <v/>
      </c>
      <c r="G13820" s="1" t="str">
        <f t="shared" si="2"/>
        <v/>
      </c>
      <c r="J13820" s="1" t="str">
        <f t="shared" si="3"/>
        <v/>
      </c>
      <c r="K13820" s="1" t="str">
        <f t="shared" si="4"/>
        <v/>
      </c>
    </row>
    <row r="13821">
      <c r="F13821" s="1" t="str">
        <f t="shared" si="1"/>
        <v/>
      </c>
      <c r="G13821" s="1" t="str">
        <f t="shared" si="2"/>
        <v/>
      </c>
      <c r="J13821" s="1" t="str">
        <f t="shared" si="3"/>
        <v/>
      </c>
      <c r="K13821" s="1" t="str">
        <f t="shared" si="4"/>
        <v/>
      </c>
    </row>
    <row r="13822">
      <c r="F13822" s="1" t="str">
        <f t="shared" si="1"/>
        <v/>
      </c>
      <c r="G13822" s="1" t="str">
        <f t="shared" si="2"/>
        <v/>
      </c>
      <c r="J13822" s="1" t="str">
        <f t="shared" si="3"/>
        <v/>
      </c>
      <c r="K13822" s="1" t="str">
        <f t="shared" si="4"/>
        <v/>
      </c>
    </row>
    <row r="13823">
      <c r="F13823" s="1" t="str">
        <f t="shared" si="1"/>
        <v/>
      </c>
      <c r="G13823" s="1" t="str">
        <f t="shared" si="2"/>
        <v/>
      </c>
      <c r="J13823" s="1" t="str">
        <f t="shared" si="3"/>
        <v/>
      </c>
      <c r="K13823" s="1" t="str">
        <f t="shared" si="4"/>
        <v/>
      </c>
    </row>
    <row r="13824">
      <c r="F13824" s="1" t="str">
        <f t="shared" si="1"/>
        <v/>
      </c>
      <c r="G13824" s="1" t="str">
        <f t="shared" si="2"/>
        <v/>
      </c>
      <c r="J13824" s="1" t="str">
        <f t="shared" si="3"/>
        <v/>
      </c>
      <c r="K13824" s="1" t="str">
        <f t="shared" si="4"/>
        <v/>
      </c>
    </row>
    <row r="13825">
      <c r="F13825" s="1" t="str">
        <f t="shared" si="1"/>
        <v/>
      </c>
      <c r="G13825" s="1" t="str">
        <f t="shared" si="2"/>
        <v/>
      </c>
      <c r="J13825" s="1" t="str">
        <f t="shared" si="3"/>
        <v/>
      </c>
      <c r="K13825" s="1" t="str">
        <f t="shared" si="4"/>
        <v/>
      </c>
    </row>
    <row r="13826">
      <c r="F13826" s="1" t="str">
        <f t="shared" si="1"/>
        <v/>
      </c>
      <c r="G13826" s="1" t="str">
        <f t="shared" si="2"/>
        <v/>
      </c>
      <c r="J13826" s="1" t="str">
        <f t="shared" si="3"/>
        <v/>
      </c>
      <c r="K13826" s="1" t="str">
        <f t="shared" si="4"/>
        <v/>
      </c>
    </row>
    <row r="13827">
      <c r="F13827" s="1" t="str">
        <f t="shared" si="1"/>
        <v/>
      </c>
      <c r="G13827" s="1" t="str">
        <f t="shared" si="2"/>
        <v/>
      </c>
      <c r="J13827" s="1" t="str">
        <f t="shared" si="3"/>
        <v/>
      </c>
      <c r="K13827" s="1" t="str">
        <f t="shared" si="4"/>
        <v/>
      </c>
    </row>
    <row r="13828">
      <c r="F13828" s="1" t="str">
        <f t="shared" si="1"/>
        <v/>
      </c>
      <c r="G13828" s="1" t="str">
        <f t="shared" si="2"/>
        <v/>
      </c>
      <c r="J13828" s="1" t="str">
        <f t="shared" si="3"/>
        <v/>
      </c>
      <c r="K13828" s="1" t="str">
        <f t="shared" si="4"/>
        <v/>
      </c>
    </row>
    <row r="13829">
      <c r="F13829" s="1" t="str">
        <f t="shared" si="1"/>
        <v/>
      </c>
      <c r="G13829" s="1" t="str">
        <f t="shared" si="2"/>
        <v/>
      </c>
      <c r="J13829" s="1" t="str">
        <f t="shared" si="3"/>
        <v/>
      </c>
      <c r="K13829" s="1" t="str">
        <f t="shared" si="4"/>
        <v/>
      </c>
    </row>
    <row r="13830">
      <c r="F13830" s="1" t="str">
        <f t="shared" si="1"/>
        <v/>
      </c>
      <c r="G13830" s="1" t="str">
        <f t="shared" si="2"/>
        <v/>
      </c>
      <c r="J13830" s="1" t="str">
        <f t="shared" si="3"/>
        <v/>
      </c>
      <c r="K13830" s="1" t="str">
        <f t="shared" si="4"/>
        <v/>
      </c>
    </row>
    <row r="13831">
      <c r="F13831" s="1" t="str">
        <f t="shared" si="1"/>
        <v/>
      </c>
      <c r="G13831" s="1" t="str">
        <f t="shared" si="2"/>
        <v/>
      </c>
      <c r="J13831" s="1" t="str">
        <f t="shared" si="3"/>
        <v/>
      </c>
      <c r="K13831" s="1" t="str">
        <f t="shared" si="4"/>
        <v/>
      </c>
    </row>
    <row r="13832">
      <c r="F13832" s="1" t="str">
        <f t="shared" si="1"/>
        <v/>
      </c>
      <c r="G13832" s="1" t="str">
        <f t="shared" si="2"/>
        <v/>
      </c>
      <c r="J13832" s="1" t="str">
        <f t="shared" si="3"/>
        <v/>
      </c>
      <c r="K13832" s="1" t="str">
        <f t="shared" si="4"/>
        <v/>
      </c>
    </row>
    <row r="13833">
      <c r="F13833" s="1" t="str">
        <f t="shared" si="1"/>
        <v/>
      </c>
      <c r="G13833" s="1" t="str">
        <f t="shared" si="2"/>
        <v/>
      </c>
      <c r="J13833" s="1" t="str">
        <f t="shared" si="3"/>
        <v/>
      </c>
      <c r="K13833" s="1" t="str">
        <f t="shared" si="4"/>
        <v/>
      </c>
    </row>
    <row r="13834">
      <c r="F13834" s="1" t="str">
        <f t="shared" si="1"/>
        <v/>
      </c>
      <c r="G13834" s="1" t="str">
        <f t="shared" si="2"/>
        <v/>
      </c>
      <c r="J13834" s="1" t="str">
        <f t="shared" si="3"/>
        <v/>
      </c>
      <c r="K13834" s="1" t="str">
        <f t="shared" si="4"/>
        <v/>
      </c>
    </row>
    <row r="13835">
      <c r="F13835" s="1" t="str">
        <f t="shared" si="1"/>
        <v/>
      </c>
      <c r="G13835" s="1" t="str">
        <f t="shared" si="2"/>
        <v/>
      </c>
      <c r="J13835" s="1" t="str">
        <f t="shared" si="3"/>
        <v/>
      </c>
      <c r="K13835" s="1" t="str">
        <f t="shared" si="4"/>
        <v/>
      </c>
    </row>
    <row r="13836">
      <c r="F13836" s="1" t="str">
        <f t="shared" si="1"/>
        <v/>
      </c>
      <c r="G13836" s="1" t="str">
        <f t="shared" si="2"/>
        <v/>
      </c>
      <c r="J13836" s="1" t="str">
        <f t="shared" si="3"/>
        <v/>
      </c>
      <c r="K13836" s="1" t="str">
        <f t="shared" si="4"/>
        <v/>
      </c>
    </row>
    <row r="13837">
      <c r="F13837" s="1" t="str">
        <f t="shared" si="1"/>
        <v/>
      </c>
      <c r="G13837" s="1" t="str">
        <f t="shared" si="2"/>
        <v/>
      </c>
      <c r="J13837" s="1" t="str">
        <f t="shared" si="3"/>
        <v/>
      </c>
      <c r="K13837" s="1" t="str">
        <f t="shared" si="4"/>
        <v/>
      </c>
    </row>
    <row r="13838">
      <c r="F13838" s="1" t="str">
        <f t="shared" si="1"/>
        <v/>
      </c>
      <c r="G13838" s="1" t="str">
        <f t="shared" si="2"/>
        <v/>
      </c>
      <c r="J13838" s="1" t="str">
        <f t="shared" si="3"/>
        <v/>
      </c>
      <c r="K13838" s="1" t="str">
        <f t="shared" si="4"/>
        <v/>
      </c>
    </row>
    <row r="13839">
      <c r="F13839" s="1" t="str">
        <f t="shared" si="1"/>
        <v/>
      </c>
      <c r="G13839" s="1" t="str">
        <f t="shared" si="2"/>
        <v/>
      </c>
      <c r="J13839" s="1" t="str">
        <f t="shared" si="3"/>
        <v/>
      </c>
      <c r="K13839" s="1" t="str">
        <f t="shared" si="4"/>
        <v/>
      </c>
    </row>
    <row r="13840">
      <c r="F13840" s="1" t="str">
        <f t="shared" si="1"/>
        <v/>
      </c>
      <c r="G13840" s="1" t="str">
        <f t="shared" si="2"/>
        <v/>
      </c>
      <c r="J13840" s="1" t="str">
        <f t="shared" si="3"/>
        <v/>
      </c>
      <c r="K13840" s="1" t="str">
        <f t="shared" si="4"/>
        <v/>
      </c>
    </row>
    <row r="13841">
      <c r="F13841" s="1" t="str">
        <f t="shared" si="1"/>
        <v/>
      </c>
      <c r="G13841" s="1" t="str">
        <f t="shared" si="2"/>
        <v/>
      </c>
      <c r="J13841" s="1" t="str">
        <f t="shared" si="3"/>
        <v/>
      </c>
      <c r="K13841" s="1" t="str">
        <f t="shared" si="4"/>
        <v/>
      </c>
    </row>
    <row r="13842">
      <c r="F13842" s="1" t="str">
        <f t="shared" si="1"/>
        <v/>
      </c>
      <c r="G13842" s="1" t="str">
        <f t="shared" si="2"/>
        <v/>
      </c>
      <c r="J13842" s="1" t="str">
        <f t="shared" si="3"/>
        <v/>
      </c>
      <c r="K13842" s="1" t="str">
        <f t="shared" si="4"/>
        <v/>
      </c>
    </row>
    <row r="13843">
      <c r="F13843" s="1" t="str">
        <f t="shared" si="1"/>
        <v/>
      </c>
      <c r="G13843" s="1" t="str">
        <f t="shared" si="2"/>
        <v/>
      </c>
      <c r="J13843" s="1" t="str">
        <f t="shared" si="3"/>
        <v/>
      </c>
      <c r="K13843" s="1" t="str">
        <f t="shared" si="4"/>
        <v/>
      </c>
    </row>
    <row r="13844">
      <c r="F13844" s="1" t="str">
        <f t="shared" si="1"/>
        <v/>
      </c>
      <c r="G13844" s="1" t="str">
        <f t="shared" si="2"/>
        <v/>
      </c>
      <c r="J13844" s="1" t="str">
        <f t="shared" si="3"/>
        <v/>
      </c>
      <c r="K13844" s="1" t="str">
        <f t="shared" si="4"/>
        <v/>
      </c>
    </row>
    <row r="13845">
      <c r="F13845" s="1" t="str">
        <f t="shared" si="1"/>
        <v/>
      </c>
      <c r="G13845" s="1" t="str">
        <f t="shared" si="2"/>
        <v/>
      </c>
      <c r="J13845" s="1" t="str">
        <f t="shared" si="3"/>
        <v/>
      </c>
      <c r="K13845" s="1" t="str">
        <f t="shared" si="4"/>
        <v/>
      </c>
    </row>
    <row r="13846">
      <c r="F13846" s="1" t="str">
        <f t="shared" si="1"/>
        <v/>
      </c>
      <c r="G13846" s="1" t="str">
        <f t="shared" si="2"/>
        <v/>
      </c>
      <c r="J13846" s="1" t="str">
        <f t="shared" si="3"/>
        <v/>
      </c>
      <c r="K13846" s="1" t="str">
        <f t="shared" si="4"/>
        <v/>
      </c>
    </row>
    <row r="13847">
      <c r="F13847" s="1" t="str">
        <f t="shared" si="1"/>
        <v/>
      </c>
      <c r="G13847" s="1" t="str">
        <f t="shared" si="2"/>
        <v/>
      </c>
      <c r="J13847" s="1" t="str">
        <f t="shared" si="3"/>
        <v/>
      </c>
      <c r="K13847" s="1" t="str">
        <f t="shared" si="4"/>
        <v/>
      </c>
    </row>
    <row r="13848">
      <c r="F13848" s="1" t="str">
        <f t="shared" si="1"/>
        <v/>
      </c>
      <c r="G13848" s="1" t="str">
        <f t="shared" si="2"/>
        <v/>
      </c>
      <c r="J13848" s="1" t="str">
        <f t="shared" si="3"/>
        <v/>
      </c>
      <c r="K13848" s="1" t="str">
        <f t="shared" si="4"/>
        <v/>
      </c>
    </row>
    <row r="13849">
      <c r="F13849" s="1" t="str">
        <f t="shared" si="1"/>
        <v/>
      </c>
      <c r="G13849" s="1" t="str">
        <f t="shared" si="2"/>
        <v/>
      </c>
      <c r="J13849" s="1" t="str">
        <f t="shared" si="3"/>
        <v/>
      </c>
      <c r="K13849" s="1" t="str">
        <f t="shared" si="4"/>
        <v/>
      </c>
    </row>
    <row r="13850">
      <c r="F13850" s="1" t="str">
        <f t="shared" si="1"/>
        <v/>
      </c>
      <c r="G13850" s="1" t="str">
        <f t="shared" si="2"/>
        <v/>
      </c>
      <c r="J13850" s="1" t="str">
        <f t="shared" si="3"/>
        <v/>
      </c>
      <c r="K13850" s="1" t="str">
        <f t="shared" si="4"/>
        <v/>
      </c>
    </row>
    <row r="13851">
      <c r="F13851" s="1" t="str">
        <f t="shared" si="1"/>
        <v/>
      </c>
      <c r="G13851" s="1" t="str">
        <f t="shared" si="2"/>
        <v/>
      </c>
      <c r="J13851" s="1" t="str">
        <f t="shared" si="3"/>
        <v/>
      </c>
      <c r="K13851" s="1" t="str">
        <f t="shared" si="4"/>
        <v/>
      </c>
    </row>
    <row r="13852">
      <c r="F13852" s="1" t="str">
        <f t="shared" si="1"/>
        <v/>
      </c>
      <c r="G13852" s="1" t="str">
        <f t="shared" si="2"/>
        <v/>
      </c>
      <c r="J13852" s="1" t="str">
        <f t="shared" si="3"/>
        <v/>
      </c>
      <c r="K13852" s="1" t="str">
        <f t="shared" si="4"/>
        <v/>
      </c>
    </row>
    <row r="13853">
      <c r="F13853" s="1" t="str">
        <f t="shared" si="1"/>
        <v/>
      </c>
      <c r="G13853" s="1" t="str">
        <f t="shared" si="2"/>
        <v/>
      </c>
      <c r="J13853" s="1" t="str">
        <f t="shared" si="3"/>
        <v/>
      </c>
      <c r="K13853" s="1" t="str">
        <f t="shared" si="4"/>
        <v/>
      </c>
    </row>
    <row r="13854">
      <c r="F13854" s="1" t="str">
        <f t="shared" si="1"/>
        <v/>
      </c>
      <c r="G13854" s="1" t="str">
        <f t="shared" si="2"/>
        <v/>
      </c>
      <c r="J13854" s="1" t="str">
        <f t="shared" si="3"/>
        <v/>
      </c>
      <c r="K13854" s="1" t="str">
        <f t="shared" si="4"/>
        <v/>
      </c>
    </row>
    <row r="13855">
      <c r="F13855" s="1" t="str">
        <f t="shared" si="1"/>
        <v/>
      </c>
      <c r="G13855" s="1" t="str">
        <f t="shared" si="2"/>
        <v/>
      </c>
      <c r="J13855" s="1" t="str">
        <f t="shared" si="3"/>
        <v/>
      </c>
      <c r="K13855" s="1" t="str">
        <f t="shared" si="4"/>
        <v/>
      </c>
    </row>
    <row r="13856">
      <c r="F13856" s="1" t="str">
        <f t="shared" si="1"/>
        <v/>
      </c>
      <c r="G13856" s="1" t="str">
        <f t="shared" si="2"/>
        <v/>
      </c>
      <c r="J13856" s="1" t="str">
        <f t="shared" si="3"/>
        <v/>
      </c>
      <c r="K13856" s="1" t="str">
        <f t="shared" si="4"/>
        <v/>
      </c>
    </row>
    <row r="13857">
      <c r="F13857" s="1" t="str">
        <f t="shared" si="1"/>
        <v/>
      </c>
      <c r="G13857" s="1" t="str">
        <f t="shared" si="2"/>
        <v/>
      </c>
      <c r="J13857" s="1" t="str">
        <f t="shared" si="3"/>
        <v/>
      </c>
      <c r="K13857" s="1" t="str">
        <f t="shared" si="4"/>
        <v/>
      </c>
    </row>
    <row r="13858">
      <c r="F13858" s="1" t="str">
        <f t="shared" si="1"/>
        <v/>
      </c>
      <c r="G13858" s="1" t="str">
        <f t="shared" si="2"/>
        <v/>
      </c>
      <c r="J13858" s="1" t="str">
        <f t="shared" si="3"/>
        <v/>
      </c>
      <c r="K13858" s="1" t="str">
        <f t="shared" si="4"/>
        <v/>
      </c>
    </row>
    <row r="13859">
      <c r="F13859" s="1" t="str">
        <f t="shared" si="1"/>
        <v/>
      </c>
      <c r="G13859" s="1" t="str">
        <f t="shared" si="2"/>
        <v/>
      </c>
      <c r="J13859" s="1" t="str">
        <f t="shared" si="3"/>
        <v/>
      </c>
      <c r="K13859" s="1" t="str">
        <f t="shared" si="4"/>
        <v/>
      </c>
    </row>
    <row r="13860">
      <c r="F13860" s="1" t="str">
        <f t="shared" si="1"/>
        <v/>
      </c>
      <c r="G13860" s="1" t="str">
        <f t="shared" si="2"/>
        <v/>
      </c>
      <c r="J13860" s="1" t="str">
        <f t="shared" si="3"/>
        <v/>
      </c>
      <c r="K13860" s="1" t="str">
        <f t="shared" si="4"/>
        <v/>
      </c>
    </row>
    <row r="13861">
      <c r="F13861" s="1" t="str">
        <f t="shared" si="1"/>
        <v/>
      </c>
      <c r="G13861" s="1" t="str">
        <f t="shared" si="2"/>
        <v/>
      </c>
      <c r="J13861" s="1" t="str">
        <f t="shared" si="3"/>
        <v/>
      </c>
      <c r="K13861" s="1" t="str">
        <f t="shared" si="4"/>
        <v/>
      </c>
    </row>
    <row r="13862">
      <c r="F13862" s="1" t="str">
        <f t="shared" si="1"/>
        <v/>
      </c>
      <c r="G13862" s="1" t="str">
        <f t="shared" si="2"/>
        <v/>
      </c>
      <c r="J13862" s="1" t="str">
        <f t="shared" si="3"/>
        <v/>
      </c>
      <c r="K13862" s="1" t="str">
        <f t="shared" si="4"/>
        <v/>
      </c>
    </row>
    <row r="13863">
      <c r="F13863" s="1" t="str">
        <f t="shared" si="1"/>
        <v/>
      </c>
      <c r="G13863" s="1" t="str">
        <f t="shared" si="2"/>
        <v/>
      </c>
      <c r="J13863" s="1" t="str">
        <f t="shared" si="3"/>
        <v/>
      </c>
      <c r="K13863" s="1" t="str">
        <f t="shared" si="4"/>
        <v/>
      </c>
    </row>
    <row r="13864">
      <c r="F13864" s="1" t="str">
        <f t="shared" si="1"/>
        <v/>
      </c>
      <c r="G13864" s="1" t="str">
        <f t="shared" si="2"/>
        <v/>
      </c>
      <c r="J13864" s="1" t="str">
        <f t="shared" si="3"/>
        <v/>
      </c>
      <c r="K13864" s="1" t="str">
        <f t="shared" si="4"/>
        <v/>
      </c>
    </row>
    <row r="13865">
      <c r="F13865" s="1" t="str">
        <f t="shared" si="1"/>
        <v/>
      </c>
      <c r="G13865" s="1" t="str">
        <f t="shared" si="2"/>
        <v/>
      </c>
      <c r="J13865" s="1" t="str">
        <f t="shared" si="3"/>
        <v/>
      </c>
      <c r="K13865" s="1" t="str">
        <f t="shared" si="4"/>
        <v/>
      </c>
    </row>
    <row r="13866">
      <c r="F13866" s="1" t="str">
        <f t="shared" si="1"/>
        <v/>
      </c>
      <c r="G13866" s="1" t="str">
        <f t="shared" si="2"/>
        <v/>
      </c>
      <c r="J13866" s="1" t="str">
        <f t="shared" si="3"/>
        <v/>
      </c>
      <c r="K13866" s="1" t="str">
        <f t="shared" si="4"/>
        <v/>
      </c>
    </row>
    <row r="13867">
      <c r="F13867" s="1" t="str">
        <f t="shared" si="1"/>
        <v/>
      </c>
      <c r="G13867" s="1" t="str">
        <f t="shared" si="2"/>
        <v/>
      </c>
      <c r="J13867" s="1" t="str">
        <f t="shared" si="3"/>
        <v/>
      </c>
      <c r="K13867" s="1" t="str">
        <f t="shared" si="4"/>
        <v/>
      </c>
    </row>
    <row r="13868">
      <c r="F13868" s="1" t="str">
        <f t="shared" si="1"/>
        <v/>
      </c>
      <c r="G13868" s="1" t="str">
        <f t="shared" si="2"/>
        <v/>
      </c>
      <c r="J13868" s="1" t="str">
        <f t="shared" si="3"/>
        <v/>
      </c>
      <c r="K13868" s="1" t="str">
        <f t="shared" si="4"/>
        <v/>
      </c>
    </row>
    <row r="13869">
      <c r="F13869" s="1" t="str">
        <f t="shared" si="1"/>
        <v/>
      </c>
      <c r="G13869" s="1" t="str">
        <f t="shared" si="2"/>
        <v/>
      </c>
      <c r="J13869" s="1" t="str">
        <f t="shared" si="3"/>
        <v/>
      </c>
      <c r="K13869" s="1" t="str">
        <f t="shared" si="4"/>
        <v/>
      </c>
    </row>
    <row r="13870">
      <c r="F13870" s="1" t="str">
        <f t="shared" si="1"/>
        <v/>
      </c>
      <c r="G13870" s="1" t="str">
        <f t="shared" si="2"/>
        <v/>
      </c>
      <c r="J13870" s="1" t="str">
        <f t="shared" si="3"/>
        <v/>
      </c>
      <c r="K13870" s="1" t="str">
        <f t="shared" si="4"/>
        <v/>
      </c>
    </row>
    <row r="13871">
      <c r="F13871" s="1" t="str">
        <f t="shared" si="1"/>
        <v/>
      </c>
      <c r="G13871" s="1" t="str">
        <f t="shared" si="2"/>
        <v/>
      </c>
      <c r="J13871" s="1" t="str">
        <f t="shared" si="3"/>
        <v/>
      </c>
      <c r="K13871" s="1" t="str">
        <f t="shared" si="4"/>
        <v/>
      </c>
    </row>
    <row r="13872">
      <c r="F13872" s="1" t="str">
        <f t="shared" si="1"/>
        <v/>
      </c>
      <c r="G13872" s="1" t="str">
        <f t="shared" si="2"/>
        <v/>
      </c>
      <c r="J13872" s="1" t="str">
        <f t="shared" si="3"/>
        <v/>
      </c>
      <c r="K13872" s="1" t="str">
        <f t="shared" si="4"/>
        <v/>
      </c>
    </row>
    <row r="13873">
      <c r="F13873" s="1" t="str">
        <f t="shared" si="1"/>
        <v/>
      </c>
      <c r="G13873" s="1" t="str">
        <f t="shared" si="2"/>
        <v/>
      </c>
      <c r="J13873" s="1" t="str">
        <f t="shared" si="3"/>
        <v/>
      </c>
      <c r="K13873" s="1" t="str">
        <f t="shared" si="4"/>
        <v/>
      </c>
    </row>
    <row r="13874">
      <c r="F13874" s="1" t="str">
        <f t="shared" si="1"/>
        <v/>
      </c>
      <c r="G13874" s="1" t="str">
        <f t="shared" si="2"/>
        <v/>
      </c>
      <c r="J13874" s="1" t="str">
        <f t="shared" si="3"/>
        <v/>
      </c>
      <c r="K13874" s="1" t="str">
        <f t="shared" si="4"/>
        <v/>
      </c>
    </row>
    <row r="13875">
      <c r="F13875" s="1" t="str">
        <f t="shared" si="1"/>
        <v/>
      </c>
      <c r="G13875" s="1" t="str">
        <f t="shared" si="2"/>
        <v/>
      </c>
      <c r="J13875" s="1" t="str">
        <f t="shared" si="3"/>
        <v/>
      </c>
      <c r="K13875" s="1" t="str">
        <f t="shared" si="4"/>
        <v/>
      </c>
    </row>
    <row r="13876">
      <c r="F13876" s="1" t="str">
        <f t="shared" si="1"/>
        <v/>
      </c>
      <c r="G13876" s="1" t="str">
        <f t="shared" si="2"/>
        <v/>
      </c>
      <c r="J13876" s="1" t="str">
        <f t="shared" si="3"/>
        <v/>
      </c>
      <c r="K13876" s="1" t="str">
        <f t="shared" si="4"/>
        <v/>
      </c>
    </row>
    <row r="13877">
      <c r="F13877" s="1" t="str">
        <f t="shared" si="1"/>
        <v/>
      </c>
      <c r="G13877" s="1" t="str">
        <f t="shared" si="2"/>
        <v/>
      </c>
      <c r="J13877" s="1" t="str">
        <f t="shared" si="3"/>
        <v/>
      </c>
      <c r="K13877" s="1" t="str">
        <f t="shared" si="4"/>
        <v/>
      </c>
    </row>
    <row r="13878">
      <c r="F13878" s="1" t="str">
        <f t="shared" si="1"/>
        <v/>
      </c>
      <c r="G13878" s="1" t="str">
        <f t="shared" si="2"/>
        <v/>
      </c>
      <c r="J13878" s="1" t="str">
        <f t="shared" si="3"/>
        <v/>
      </c>
      <c r="K13878" s="1" t="str">
        <f t="shared" si="4"/>
        <v/>
      </c>
    </row>
    <row r="13879">
      <c r="F13879" s="1" t="str">
        <f t="shared" si="1"/>
        <v/>
      </c>
      <c r="G13879" s="1" t="str">
        <f t="shared" si="2"/>
        <v/>
      </c>
      <c r="J13879" s="1" t="str">
        <f t="shared" si="3"/>
        <v/>
      </c>
      <c r="K13879" s="1" t="str">
        <f t="shared" si="4"/>
        <v/>
      </c>
    </row>
    <row r="13880">
      <c r="F13880" s="1" t="str">
        <f t="shared" si="1"/>
        <v/>
      </c>
      <c r="G13880" s="1" t="str">
        <f t="shared" si="2"/>
        <v/>
      </c>
      <c r="J13880" s="1" t="str">
        <f t="shared" si="3"/>
        <v/>
      </c>
      <c r="K13880" s="1" t="str">
        <f t="shared" si="4"/>
        <v/>
      </c>
    </row>
    <row r="13881">
      <c r="F13881" s="1" t="str">
        <f t="shared" si="1"/>
        <v/>
      </c>
      <c r="G13881" s="1" t="str">
        <f t="shared" si="2"/>
        <v/>
      </c>
      <c r="J13881" s="1" t="str">
        <f t="shared" si="3"/>
        <v/>
      </c>
      <c r="K13881" s="1" t="str">
        <f t="shared" si="4"/>
        <v/>
      </c>
    </row>
    <row r="13882">
      <c r="F13882" s="1" t="str">
        <f t="shared" si="1"/>
        <v/>
      </c>
      <c r="G13882" s="1" t="str">
        <f t="shared" si="2"/>
        <v/>
      </c>
      <c r="J13882" s="1" t="str">
        <f t="shared" si="3"/>
        <v/>
      </c>
      <c r="K13882" s="1" t="str">
        <f t="shared" si="4"/>
        <v/>
      </c>
    </row>
    <row r="13883">
      <c r="F13883" s="1" t="str">
        <f t="shared" si="1"/>
        <v/>
      </c>
      <c r="G13883" s="1" t="str">
        <f t="shared" si="2"/>
        <v/>
      </c>
      <c r="J13883" s="1" t="str">
        <f t="shared" si="3"/>
        <v/>
      </c>
      <c r="K13883" s="1" t="str">
        <f t="shared" si="4"/>
        <v/>
      </c>
    </row>
    <row r="13884">
      <c r="F13884" s="1" t="str">
        <f t="shared" si="1"/>
        <v/>
      </c>
      <c r="G13884" s="1" t="str">
        <f t="shared" si="2"/>
        <v/>
      </c>
      <c r="J13884" s="1" t="str">
        <f t="shared" si="3"/>
        <v/>
      </c>
      <c r="K13884" s="1" t="str">
        <f t="shared" si="4"/>
        <v/>
      </c>
    </row>
    <row r="13885">
      <c r="F13885" s="1" t="str">
        <f t="shared" si="1"/>
        <v/>
      </c>
      <c r="G13885" s="1" t="str">
        <f t="shared" si="2"/>
        <v/>
      </c>
      <c r="J13885" s="1" t="str">
        <f t="shared" si="3"/>
        <v/>
      </c>
      <c r="K13885" s="1" t="str">
        <f t="shared" si="4"/>
        <v/>
      </c>
    </row>
    <row r="13886">
      <c r="F13886" s="1" t="str">
        <f t="shared" si="1"/>
        <v/>
      </c>
      <c r="G13886" s="1" t="str">
        <f t="shared" si="2"/>
        <v/>
      </c>
      <c r="J13886" s="1" t="str">
        <f t="shared" si="3"/>
        <v/>
      </c>
      <c r="K13886" s="1" t="str">
        <f t="shared" si="4"/>
        <v/>
      </c>
    </row>
    <row r="13887">
      <c r="F13887" s="1" t="str">
        <f t="shared" si="1"/>
        <v/>
      </c>
      <c r="G13887" s="1" t="str">
        <f t="shared" si="2"/>
        <v/>
      </c>
      <c r="J13887" s="1" t="str">
        <f t="shared" si="3"/>
        <v/>
      </c>
      <c r="K13887" s="1" t="str">
        <f t="shared" si="4"/>
        <v/>
      </c>
    </row>
    <row r="13888">
      <c r="F13888" s="1" t="str">
        <f t="shared" si="1"/>
        <v/>
      </c>
      <c r="G13888" s="1" t="str">
        <f t="shared" si="2"/>
        <v/>
      </c>
      <c r="J13888" s="1" t="str">
        <f t="shared" si="3"/>
        <v/>
      </c>
      <c r="K13888" s="1" t="str">
        <f t="shared" si="4"/>
        <v/>
      </c>
    </row>
    <row r="13889">
      <c r="F13889" s="1" t="str">
        <f t="shared" si="1"/>
        <v/>
      </c>
      <c r="G13889" s="1" t="str">
        <f t="shared" si="2"/>
        <v/>
      </c>
      <c r="J13889" s="1" t="str">
        <f t="shared" si="3"/>
        <v/>
      </c>
      <c r="K13889" s="1" t="str">
        <f t="shared" si="4"/>
        <v/>
      </c>
    </row>
    <row r="13890">
      <c r="F13890" s="1" t="str">
        <f t="shared" si="1"/>
        <v/>
      </c>
      <c r="G13890" s="1" t="str">
        <f t="shared" si="2"/>
        <v/>
      </c>
      <c r="J13890" s="1" t="str">
        <f t="shared" si="3"/>
        <v/>
      </c>
      <c r="K13890" s="1" t="str">
        <f t="shared" si="4"/>
        <v/>
      </c>
    </row>
    <row r="13891">
      <c r="F13891" s="1" t="str">
        <f t="shared" si="1"/>
        <v/>
      </c>
      <c r="G13891" s="1" t="str">
        <f t="shared" si="2"/>
        <v/>
      </c>
      <c r="J13891" s="1" t="str">
        <f t="shared" si="3"/>
        <v/>
      </c>
      <c r="K13891" s="1" t="str">
        <f t="shared" si="4"/>
        <v/>
      </c>
    </row>
    <row r="13892">
      <c r="F13892" s="1" t="str">
        <f t="shared" si="1"/>
        <v/>
      </c>
      <c r="G13892" s="1" t="str">
        <f t="shared" si="2"/>
        <v/>
      </c>
      <c r="J13892" s="1" t="str">
        <f t="shared" si="3"/>
        <v/>
      </c>
      <c r="K13892" s="1" t="str">
        <f t="shared" si="4"/>
        <v/>
      </c>
    </row>
    <row r="13893">
      <c r="F13893" s="1" t="str">
        <f t="shared" si="1"/>
        <v/>
      </c>
      <c r="G13893" s="1" t="str">
        <f t="shared" si="2"/>
        <v/>
      </c>
      <c r="J13893" s="1" t="str">
        <f t="shared" si="3"/>
        <v/>
      </c>
      <c r="K13893" s="1" t="str">
        <f t="shared" si="4"/>
        <v/>
      </c>
    </row>
    <row r="13894">
      <c r="F13894" s="1" t="str">
        <f t="shared" si="1"/>
        <v/>
      </c>
      <c r="G13894" s="1" t="str">
        <f t="shared" si="2"/>
        <v/>
      </c>
      <c r="J13894" s="1" t="str">
        <f t="shared" si="3"/>
        <v/>
      </c>
      <c r="K13894" s="1" t="str">
        <f t="shared" si="4"/>
        <v/>
      </c>
    </row>
    <row r="13895">
      <c r="F13895" s="1" t="str">
        <f t="shared" si="1"/>
        <v/>
      </c>
      <c r="G13895" s="1" t="str">
        <f t="shared" si="2"/>
        <v/>
      </c>
      <c r="J13895" s="1" t="str">
        <f t="shared" si="3"/>
        <v/>
      </c>
      <c r="K13895" s="1" t="str">
        <f t="shared" si="4"/>
        <v/>
      </c>
    </row>
    <row r="13896">
      <c r="F13896" s="1" t="str">
        <f t="shared" si="1"/>
        <v/>
      </c>
      <c r="G13896" s="1" t="str">
        <f t="shared" si="2"/>
        <v/>
      </c>
      <c r="J13896" s="1" t="str">
        <f t="shared" si="3"/>
        <v/>
      </c>
      <c r="K13896" s="1" t="str">
        <f t="shared" si="4"/>
        <v/>
      </c>
    </row>
    <row r="13897">
      <c r="F13897" s="1" t="str">
        <f t="shared" si="1"/>
        <v/>
      </c>
      <c r="G13897" s="1" t="str">
        <f t="shared" si="2"/>
        <v/>
      </c>
      <c r="J13897" s="1" t="str">
        <f t="shared" si="3"/>
        <v/>
      </c>
      <c r="K13897" s="1" t="str">
        <f t="shared" si="4"/>
        <v/>
      </c>
    </row>
    <row r="13898">
      <c r="F13898" s="1" t="str">
        <f t="shared" si="1"/>
        <v/>
      </c>
      <c r="G13898" s="1" t="str">
        <f t="shared" si="2"/>
        <v/>
      </c>
      <c r="J13898" s="1" t="str">
        <f t="shared" si="3"/>
        <v/>
      </c>
      <c r="K13898" s="1" t="str">
        <f t="shared" si="4"/>
        <v/>
      </c>
    </row>
    <row r="13899">
      <c r="F13899" s="1" t="str">
        <f t="shared" si="1"/>
        <v/>
      </c>
      <c r="G13899" s="1" t="str">
        <f t="shared" si="2"/>
        <v/>
      </c>
      <c r="J13899" s="1" t="str">
        <f t="shared" si="3"/>
        <v/>
      </c>
      <c r="K13899" s="1" t="str">
        <f t="shared" si="4"/>
        <v/>
      </c>
    </row>
    <row r="13900">
      <c r="F13900" s="1" t="str">
        <f t="shared" si="1"/>
        <v/>
      </c>
      <c r="G13900" s="1" t="str">
        <f t="shared" si="2"/>
        <v/>
      </c>
      <c r="J13900" s="1" t="str">
        <f t="shared" si="3"/>
        <v/>
      </c>
      <c r="K13900" s="1" t="str">
        <f t="shared" si="4"/>
        <v/>
      </c>
    </row>
    <row r="13901">
      <c r="F13901" s="1" t="str">
        <f t="shared" si="1"/>
        <v/>
      </c>
      <c r="G13901" s="1" t="str">
        <f t="shared" si="2"/>
        <v/>
      </c>
      <c r="J13901" s="1" t="str">
        <f t="shared" si="3"/>
        <v/>
      </c>
      <c r="K13901" s="1" t="str">
        <f t="shared" si="4"/>
        <v/>
      </c>
    </row>
    <row r="13902">
      <c r="F13902" s="1" t="str">
        <f t="shared" si="1"/>
        <v/>
      </c>
      <c r="G13902" s="1" t="str">
        <f t="shared" si="2"/>
        <v/>
      </c>
      <c r="J13902" s="1" t="str">
        <f t="shared" si="3"/>
        <v/>
      </c>
      <c r="K13902" s="1" t="str">
        <f t="shared" si="4"/>
        <v/>
      </c>
    </row>
    <row r="13903">
      <c r="F13903" s="1" t="str">
        <f t="shared" si="1"/>
        <v/>
      </c>
      <c r="G13903" s="1" t="str">
        <f t="shared" si="2"/>
        <v/>
      </c>
      <c r="J13903" s="1" t="str">
        <f t="shared" si="3"/>
        <v/>
      </c>
      <c r="K13903" s="1" t="str">
        <f t="shared" si="4"/>
        <v/>
      </c>
    </row>
    <row r="13904">
      <c r="F13904" s="1" t="str">
        <f t="shared" si="1"/>
        <v/>
      </c>
      <c r="G13904" s="1" t="str">
        <f t="shared" si="2"/>
        <v/>
      </c>
      <c r="J13904" s="1" t="str">
        <f t="shared" si="3"/>
        <v/>
      </c>
      <c r="K13904" s="1" t="str">
        <f t="shared" si="4"/>
        <v/>
      </c>
    </row>
    <row r="13905">
      <c r="F13905" s="1" t="str">
        <f t="shared" si="1"/>
        <v/>
      </c>
      <c r="G13905" s="1" t="str">
        <f t="shared" si="2"/>
        <v/>
      </c>
      <c r="J13905" s="1" t="str">
        <f t="shared" si="3"/>
        <v/>
      </c>
      <c r="K13905" s="1" t="str">
        <f t="shared" si="4"/>
        <v/>
      </c>
    </row>
    <row r="13906">
      <c r="F13906" s="1" t="str">
        <f t="shared" si="1"/>
        <v/>
      </c>
      <c r="G13906" s="1" t="str">
        <f t="shared" si="2"/>
        <v/>
      </c>
      <c r="J13906" s="1" t="str">
        <f t="shared" si="3"/>
        <v/>
      </c>
      <c r="K13906" s="1" t="str">
        <f t="shared" si="4"/>
        <v/>
      </c>
    </row>
    <row r="13907">
      <c r="F13907" s="1" t="str">
        <f t="shared" si="1"/>
        <v/>
      </c>
      <c r="G13907" s="1" t="str">
        <f t="shared" si="2"/>
        <v/>
      </c>
      <c r="J13907" s="1" t="str">
        <f t="shared" si="3"/>
        <v/>
      </c>
      <c r="K13907" s="1" t="str">
        <f t="shared" si="4"/>
        <v/>
      </c>
    </row>
    <row r="13908">
      <c r="F13908" s="1" t="str">
        <f t="shared" si="1"/>
        <v/>
      </c>
      <c r="G13908" s="1" t="str">
        <f t="shared" si="2"/>
        <v/>
      </c>
      <c r="J13908" s="1" t="str">
        <f t="shared" si="3"/>
        <v/>
      </c>
      <c r="K13908" s="1" t="str">
        <f t="shared" si="4"/>
        <v/>
      </c>
    </row>
    <row r="13909">
      <c r="F13909" s="1" t="str">
        <f t="shared" si="1"/>
        <v/>
      </c>
      <c r="G13909" s="1" t="str">
        <f t="shared" si="2"/>
        <v/>
      </c>
      <c r="J13909" s="1" t="str">
        <f t="shared" si="3"/>
        <v/>
      </c>
      <c r="K13909" s="1" t="str">
        <f t="shared" si="4"/>
        <v/>
      </c>
    </row>
    <row r="13910">
      <c r="F13910" s="1" t="str">
        <f t="shared" si="1"/>
        <v/>
      </c>
      <c r="G13910" s="1" t="str">
        <f t="shared" si="2"/>
        <v/>
      </c>
      <c r="J13910" s="1" t="str">
        <f t="shared" si="3"/>
        <v/>
      </c>
      <c r="K13910" s="1" t="str">
        <f t="shared" si="4"/>
        <v/>
      </c>
    </row>
    <row r="13911">
      <c r="F13911" s="1" t="str">
        <f t="shared" si="1"/>
        <v/>
      </c>
      <c r="G13911" s="1" t="str">
        <f t="shared" si="2"/>
        <v/>
      </c>
      <c r="J13911" s="1" t="str">
        <f t="shared" si="3"/>
        <v/>
      </c>
      <c r="K13911" s="1" t="str">
        <f t="shared" si="4"/>
        <v/>
      </c>
    </row>
    <row r="13912">
      <c r="F13912" s="1" t="str">
        <f t="shared" si="1"/>
        <v/>
      </c>
      <c r="G13912" s="1" t="str">
        <f t="shared" si="2"/>
        <v/>
      </c>
      <c r="J13912" s="1" t="str">
        <f t="shared" si="3"/>
        <v/>
      </c>
      <c r="K13912" s="1" t="str">
        <f t="shared" si="4"/>
        <v/>
      </c>
    </row>
    <row r="13913">
      <c r="F13913" s="1" t="str">
        <f t="shared" si="1"/>
        <v/>
      </c>
      <c r="G13913" s="1" t="str">
        <f t="shared" si="2"/>
        <v/>
      </c>
      <c r="J13913" s="1" t="str">
        <f t="shared" si="3"/>
        <v/>
      </c>
      <c r="K13913" s="1" t="str">
        <f t="shared" si="4"/>
        <v/>
      </c>
    </row>
    <row r="13914">
      <c r="F13914" s="1" t="str">
        <f t="shared" si="1"/>
        <v/>
      </c>
      <c r="G13914" s="1" t="str">
        <f t="shared" si="2"/>
        <v/>
      </c>
      <c r="J13914" s="1" t="str">
        <f t="shared" si="3"/>
        <v/>
      </c>
      <c r="K13914" s="1" t="str">
        <f t="shared" si="4"/>
        <v/>
      </c>
    </row>
    <row r="13915">
      <c r="F13915" s="1" t="str">
        <f t="shared" si="1"/>
        <v/>
      </c>
      <c r="G13915" s="1" t="str">
        <f t="shared" si="2"/>
        <v/>
      </c>
      <c r="J13915" s="1" t="str">
        <f t="shared" si="3"/>
        <v/>
      </c>
      <c r="K13915" s="1" t="str">
        <f t="shared" si="4"/>
        <v/>
      </c>
    </row>
    <row r="13916">
      <c r="F13916" s="1" t="str">
        <f t="shared" si="1"/>
        <v/>
      </c>
      <c r="G13916" s="1" t="str">
        <f t="shared" si="2"/>
        <v/>
      </c>
      <c r="J13916" s="1" t="str">
        <f t="shared" si="3"/>
        <v/>
      </c>
      <c r="K13916" s="1" t="str">
        <f t="shared" si="4"/>
        <v/>
      </c>
    </row>
    <row r="13917">
      <c r="F13917" s="1" t="str">
        <f t="shared" si="1"/>
        <v/>
      </c>
      <c r="G13917" s="1" t="str">
        <f t="shared" si="2"/>
        <v/>
      </c>
      <c r="J13917" s="1" t="str">
        <f t="shared" si="3"/>
        <v/>
      </c>
      <c r="K13917" s="1" t="str">
        <f t="shared" si="4"/>
        <v/>
      </c>
    </row>
    <row r="13918">
      <c r="F13918" s="1" t="str">
        <f t="shared" si="1"/>
        <v/>
      </c>
      <c r="G13918" s="1" t="str">
        <f t="shared" si="2"/>
        <v/>
      </c>
      <c r="J13918" s="1" t="str">
        <f t="shared" si="3"/>
        <v/>
      </c>
      <c r="K13918" s="1" t="str">
        <f t="shared" si="4"/>
        <v/>
      </c>
    </row>
    <row r="13919">
      <c r="F13919" s="1" t="str">
        <f t="shared" si="1"/>
        <v/>
      </c>
      <c r="G13919" s="1" t="str">
        <f t="shared" si="2"/>
        <v/>
      </c>
      <c r="J13919" s="1" t="str">
        <f t="shared" si="3"/>
        <v/>
      </c>
      <c r="K13919" s="1" t="str">
        <f t="shared" si="4"/>
        <v/>
      </c>
    </row>
    <row r="13920">
      <c r="F13920" s="1" t="str">
        <f t="shared" si="1"/>
        <v/>
      </c>
      <c r="G13920" s="1" t="str">
        <f t="shared" si="2"/>
        <v/>
      </c>
      <c r="J13920" s="1" t="str">
        <f t="shared" si="3"/>
        <v/>
      </c>
      <c r="K13920" s="1" t="str">
        <f t="shared" si="4"/>
        <v/>
      </c>
    </row>
    <row r="13921">
      <c r="F13921" s="1" t="str">
        <f t="shared" si="1"/>
        <v/>
      </c>
      <c r="G13921" s="1" t="str">
        <f t="shared" si="2"/>
        <v/>
      </c>
      <c r="J13921" s="1" t="str">
        <f t="shared" si="3"/>
        <v/>
      </c>
      <c r="K13921" s="1" t="str">
        <f t="shared" si="4"/>
        <v/>
      </c>
    </row>
    <row r="13922">
      <c r="F13922" s="1" t="str">
        <f t="shared" si="1"/>
        <v/>
      </c>
      <c r="G13922" s="1" t="str">
        <f t="shared" si="2"/>
        <v/>
      </c>
      <c r="J13922" s="1" t="str">
        <f t="shared" si="3"/>
        <v/>
      </c>
      <c r="K13922" s="1" t="str">
        <f t="shared" si="4"/>
        <v/>
      </c>
    </row>
    <row r="13923">
      <c r="F13923" s="1" t="str">
        <f t="shared" si="1"/>
        <v/>
      </c>
      <c r="G13923" s="1" t="str">
        <f t="shared" si="2"/>
        <v/>
      </c>
      <c r="J13923" s="1" t="str">
        <f t="shared" si="3"/>
        <v/>
      </c>
      <c r="K13923" s="1" t="str">
        <f t="shared" si="4"/>
        <v/>
      </c>
    </row>
    <row r="13924">
      <c r="F13924" s="1" t="str">
        <f t="shared" si="1"/>
        <v/>
      </c>
      <c r="G13924" s="1" t="str">
        <f t="shared" si="2"/>
        <v/>
      </c>
      <c r="J13924" s="1" t="str">
        <f t="shared" si="3"/>
        <v/>
      </c>
      <c r="K13924" s="1" t="str">
        <f t="shared" si="4"/>
        <v/>
      </c>
    </row>
    <row r="13925">
      <c r="F13925" s="1" t="str">
        <f t="shared" si="1"/>
        <v/>
      </c>
      <c r="G13925" s="1" t="str">
        <f t="shared" si="2"/>
        <v/>
      </c>
      <c r="J13925" s="1" t="str">
        <f t="shared" si="3"/>
        <v/>
      </c>
      <c r="K13925" s="1" t="str">
        <f t="shared" si="4"/>
        <v/>
      </c>
    </row>
    <row r="13926">
      <c r="F13926" s="1" t="str">
        <f t="shared" si="1"/>
        <v/>
      </c>
      <c r="G13926" s="1" t="str">
        <f t="shared" si="2"/>
        <v/>
      </c>
      <c r="J13926" s="1" t="str">
        <f t="shared" si="3"/>
        <v/>
      </c>
      <c r="K13926" s="1" t="str">
        <f t="shared" si="4"/>
        <v/>
      </c>
    </row>
    <row r="13927">
      <c r="F13927" s="1" t="str">
        <f t="shared" si="1"/>
        <v/>
      </c>
      <c r="G13927" s="1" t="str">
        <f t="shared" si="2"/>
        <v/>
      </c>
      <c r="J13927" s="1" t="str">
        <f t="shared" si="3"/>
        <v/>
      </c>
      <c r="K13927" s="1" t="str">
        <f t="shared" si="4"/>
        <v/>
      </c>
    </row>
    <row r="13928">
      <c r="F13928" s="1" t="str">
        <f t="shared" si="1"/>
        <v/>
      </c>
      <c r="G13928" s="1" t="str">
        <f t="shared" si="2"/>
        <v/>
      </c>
      <c r="J13928" s="1" t="str">
        <f t="shared" si="3"/>
        <v/>
      </c>
      <c r="K13928" s="1" t="str">
        <f t="shared" si="4"/>
        <v/>
      </c>
    </row>
    <row r="13929">
      <c r="F13929" s="1" t="str">
        <f t="shared" si="1"/>
        <v/>
      </c>
      <c r="G13929" s="1" t="str">
        <f t="shared" si="2"/>
        <v/>
      </c>
      <c r="J13929" s="1" t="str">
        <f t="shared" si="3"/>
        <v/>
      </c>
      <c r="K13929" s="1" t="str">
        <f t="shared" si="4"/>
        <v/>
      </c>
    </row>
    <row r="13930">
      <c r="F13930" s="1" t="str">
        <f t="shared" si="1"/>
        <v/>
      </c>
      <c r="G13930" s="1" t="str">
        <f t="shared" si="2"/>
        <v/>
      </c>
      <c r="J13930" s="1" t="str">
        <f t="shared" si="3"/>
        <v/>
      </c>
      <c r="K13930" s="1" t="str">
        <f t="shared" si="4"/>
        <v/>
      </c>
    </row>
    <row r="13931">
      <c r="F13931" s="1" t="str">
        <f t="shared" si="1"/>
        <v/>
      </c>
      <c r="G13931" s="1" t="str">
        <f t="shared" si="2"/>
        <v/>
      </c>
      <c r="J13931" s="1" t="str">
        <f t="shared" si="3"/>
        <v/>
      </c>
      <c r="K13931" s="1" t="str">
        <f t="shared" si="4"/>
        <v/>
      </c>
    </row>
    <row r="13932">
      <c r="F13932" s="1" t="str">
        <f t="shared" si="1"/>
        <v/>
      </c>
      <c r="G13932" s="1" t="str">
        <f t="shared" si="2"/>
        <v/>
      </c>
      <c r="J13932" s="1" t="str">
        <f t="shared" si="3"/>
        <v/>
      </c>
      <c r="K13932" s="1" t="str">
        <f t="shared" si="4"/>
        <v/>
      </c>
    </row>
    <row r="13933">
      <c r="F13933" s="1" t="str">
        <f t="shared" si="1"/>
        <v/>
      </c>
      <c r="G13933" s="1" t="str">
        <f t="shared" si="2"/>
        <v/>
      </c>
      <c r="J13933" s="1" t="str">
        <f t="shared" si="3"/>
        <v/>
      </c>
      <c r="K13933" s="1" t="str">
        <f t="shared" si="4"/>
        <v/>
      </c>
    </row>
    <row r="13934">
      <c r="F13934" s="1" t="str">
        <f t="shared" si="1"/>
        <v/>
      </c>
      <c r="G13934" s="1" t="str">
        <f t="shared" si="2"/>
        <v/>
      </c>
      <c r="J13934" s="1" t="str">
        <f t="shared" si="3"/>
        <v/>
      </c>
      <c r="K13934" s="1" t="str">
        <f t="shared" si="4"/>
        <v/>
      </c>
    </row>
    <row r="13935">
      <c r="F13935" s="1" t="str">
        <f t="shared" si="1"/>
        <v/>
      </c>
      <c r="G13935" s="1" t="str">
        <f t="shared" si="2"/>
        <v/>
      </c>
      <c r="J13935" s="1" t="str">
        <f t="shared" si="3"/>
        <v/>
      </c>
      <c r="K13935" s="1" t="str">
        <f t="shared" si="4"/>
        <v/>
      </c>
    </row>
    <row r="13936">
      <c r="F13936" s="1" t="str">
        <f t="shared" si="1"/>
        <v/>
      </c>
      <c r="G13936" s="1" t="str">
        <f t="shared" si="2"/>
        <v/>
      </c>
      <c r="J13936" s="1" t="str">
        <f t="shared" si="3"/>
        <v/>
      </c>
      <c r="K13936" s="1" t="str">
        <f t="shared" si="4"/>
        <v/>
      </c>
    </row>
    <row r="13937">
      <c r="F13937" s="1" t="str">
        <f t="shared" si="1"/>
        <v/>
      </c>
      <c r="G13937" s="1" t="str">
        <f t="shared" si="2"/>
        <v/>
      </c>
      <c r="J13937" s="1" t="str">
        <f t="shared" si="3"/>
        <v/>
      </c>
      <c r="K13937" s="1" t="str">
        <f t="shared" si="4"/>
        <v/>
      </c>
    </row>
    <row r="13938">
      <c r="F13938" s="1" t="str">
        <f t="shared" si="1"/>
        <v/>
      </c>
      <c r="G13938" s="1" t="str">
        <f t="shared" si="2"/>
        <v/>
      </c>
      <c r="J13938" s="1" t="str">
        <f t="shared" si="3"/>
        <v/>
      </c>
      <c r="K13938" s="1" t="str">
        <f t="shared" si="4"/>
        <v/>
      </c>
    </row>
    <row r="13939">
      <c r="F13939" s="1" t="str">
        <f t="shared" si="1"/>
        <v/>
      </c>
      <c r="G13939" s="1" t="str">
        <f t="shared" si="2"/>
        <v/>
      </c>
      <c r="J13939" s="1" t="str">
        <f t="shared" si="3"/>
        <v/>
      </c>
      <c r="K13939" s="1" t="str">
        <f t="shared" si="4"/>
        <v/>
      </c>
    </row>
    <row r="13940">
      <c r="F13940" s="1" t="str">
        <f t="shared" si="1"/>
        <v/>
      </c>
      <c r="G13940" s="1" t="str">
        <f t="shared" si="2"/>
        <v/>
      </c>
      <c r="J13940" s="1" t="str">
        <f t="shared" si="3"/>
        <v/>
      </c>
      <c r="K13940" s="1" t="str">
        <f t="shared" si="4"/>
        <v/>
      </c>
    </row>
    <row r="13941">
      <c r="F13941" s="1" t="str">
        <f t="shared" si="1"/>
        <v/>
      </c>
      <c r="G13941" s="1" t="str">
        <f t="shared" si="2"/>
        <v/>
      </c>
      <c r="J13941" s="1" t="str">
        <f t="shared" si="3"/>
        <v/>
      </c>
      <c r="K13941" s="1" t="str">
        <f t="shared" si="4"/>
        <v/>
      </c>
    </row>
    <row r="13942">
      <c r="F13942" s="1" t="str">
        <f t="shared" si="1"/>
        <v/>
      </c>
      <c r="G13942" s="1" t="str">
        <f t="shared" si="2"/>
        <v/>
      </c>
      <c r="J13942" s="1" t="str">
        <f t="shared" si="3"/>
        <v/>
      </c>
      <c r="K13942" s="1" t="str">
        <f t="shared" si="4"/>
        <v/>
      </c>
    </row>
    <row r="13943">
      <c r="F13943" s="1" t="str">
        <f t="shared" si="1"/>
        <v/>
      </c>
      <c r="G13943" s="1" t="str">
        <f t="shared" si="2"/>
        <v/>
      </c>
      <c r="J13943" s="1" t="str">
        <f t="shared" si="3"/>
        <v/>
      </c>
      <c r="K13943" s="1" t="str">
        <f t="shared" si="4"/>
        <v/>
      </c>
    </row>
    <row r="13944">
      <c r="F13944" s="1" t="str">
        <f t="shared" si="1"/>
        <v/>
      </c>
      <c r="G13944" s="1" t="str">
        <f t="shared" si="2"/>
        <v/>
      </c>
      <c r="J13944" s="1" t="str">
        <f t="shared" si="3"/>
        <v/>
      </c>
      <c r="K13944" s="1" t="str">
        <f t="shared" si="4"/>
        <v/>
      </c>
    </row>
    <row r="13945">
      <c r="F13945" s="1" t="str">
        <f t="shared" si="1"/>
        <v/>
      </c>
      <c r="G13945" s="1" t="str">
        <f t="shared" si="2"/>
        <v/>
      </c>
      <c r="J13945" s="1" t="str">
        <f t="shared" si="3"/>
        <v/>
      </c>
      <c r="K13945" s="1" t="str">
        <f t="shared" si="4"/>
        <v/>
      </c>
    </row>
    <row r="13946">
      <c r="F13946" s="1" t="str">
        <f t="shared" si="1"/>
        <v/>
      </c>
      <c r="G13946" s="1" t="str">
        <f t="shared" si="2"/>
        <v/>
      </c>
      <c r="J13946" s="1" t="str">
        <f t="shared" si="3"/>
        <v/>
      </c>
      <c r="K13946" s="1" t="str">
        <f t="shared" si="4"/>
        <v/>
      </c>
    </row>
    <row r="13947">
      <c r="F13947" s="1" t="str">
        <f t="shared" si="1"/>
        <v/>
      </c>
      <c r="G13947" s="1" t="str">
        <f t="shared" si="2"/>
        <v/>
      </c>
      <c r="J13947" s="1" t="str">
        <f t="shared" si="3"/>
        <v/>
      </c>
      <c r="K13947" s="1" t="str">
        <f t="shared" si="4"/>
        <v/>
      </c>
    </row>
    <row r="13948">
      <c r="F13948" s="1" t="str">
        <f t="shared" si="1"/>
        <v/>
      </c>
      <c r="G13948" s="1" t="str">
        <f t="shared" si="2"/>
        <v/>
      </c>
      <c r="J13948" s="1" t="str">
        <f t="shared" si="3"/>
        <v/>
      </c>
      <c r="K13948" s="1" t="str">
        <f t="shared" si="4"/>
        <v/>
      </c>
    </row>
    <row r="13949">
      <c r="F13949" s="1" t="str">
        <f t="shared" si="1"/>
        <v/>
      </c>
      <c r="G13949" s="1" t="str">
        <f t="shared" si="2"/>
        <v/>
      </c>
      <c r="J13949" s="1" t="str">
        <f t="shared" si="3"/>
        <v/>
      </c>
      <c r="K13949" s="1" t="str">
        <f t="shared" si="4"/>
        <v/>
      </c>
    </row>
    <row r="13950">
      <c r="F13950" s="1" t="str">
        <f t="shared" si="1"/>
        <v/>
      </c>
      <c r="G13950" s="1" t="str">
        <f t="shared" si="2"/>
        <v/>
      </c>
      <c r="J13950" s="1" t="str">
        <f t="shared" si="3"/>
        <v/>
      </c>
      <c r="K13950" s="1" t="str">
        <f t="shared" si="4"/>
        <v/>
      </c>
    </row>
    <row r="13951">
      <c r="F13951" s="1" t="str">
        <f t="shared" si="1"/>
        <v/>
      </c>
      <c r="G13951" s="1" t="str">
        <f t="shared" si="2"/>
        <v/>
      </c>
      <c r="J13951" s="1" t="str">
        <f t="shared" si="3"/>
        <v/>
      </c>
      <c r="K13951" s="1" t="str">
        <f t="shared" si="4"/>
        <v/>
      </c>
    </row>
    <row r="13952">
      <c r="F13952" s="1" t="str">
        <f t="shared" si="1"/>
        <v/>
      </c>
      <c r="G13952" s="1" t="str">
        <f t="shared" si="2"/>
        <v/>
      </c>
      <c r="J13952" s="1" t="str">
        <f t="shared" si="3"/>
        <v/>
      </c>
      <c r="K13952" s="1" t="str">
        <f t="shared" si="4"/>
        <v/>
      </c>
    </row>
    <row r="13953">
      <c r="F13953" s="1" t="str">
        <f t="shared" si="1"/>
        <v/>
      </c>
      <c r="G13953" s="1" t="str">
        <f t="shared" si="2"/>
        <v/>
      </c>
      <c r="J13953" s="1" t="str">
        <f t="shared" si="3"/>
        <v/>
      </c>
      <c r="K13953" s="1" t="str">
        <f t="shared" si="4"/>
        <v/>
      </c>
    </row>
    <row r="13954">
      <c r="F13954" s="1" t="str">
        <f t="shared" si="1"/>
        <v/>
      </c>
      <c r="G13954" s="1" t="str">
        <f t="shared" si="2"/>
        <v/>
      </c>
      <c r="J13954" s="1" t="str">
        <f t="shared" si="3"/>
        <v/>
      </c>
      <c r="K13954" s="1" t="str">
        <f t="shared" si="4"/>
        <v/>
      </c>
    </row>
    <row r="13955">
      <c r="F13955" s="1" t="str">
        <f t="shared" si="1"/>
        <v/>
      </c>
      <c r="G13955" s="1" t="str">
        <f t="shared" si="2"/>
        <v/>
      </c>
      <c r="J13955" s="1" t="str">
        <f t="shared" si="3"/>
        <v/>
      </c>
      <c r="K13955" s="1" t="str">
        <f t="shared" si="4"/>
        <v/>
      </c>
    </row>
    <row r="13956">
      <c r="F13956" s="1" t="str">
        <f t="shared" si="1"/>
        <v/>
      </c>
      <c r="G13956" s="1" t="str">
        <f t="shared" si="2"/>
        <v/>
      </c>
      <c r="J13956" s="1" t="str">
        <f t="shared" si="3"/>
        <v/>
      </c>
      <c r="K13956" s="1" t="str">
        <f t="shared" si="4"/>
        <v/>
      </c>
    </row>
    <row r="13957">
      <c r="F13957" s="1" t="str">
        <f t="shared" si="1"/>
        <v/>
      </c>
      <c r="G13957" s="1" t="str">
        <f t="shared" si="2"/>
        <v/>
      </c>
      <c r="J13957" s="1" t="str">
        <f t="shared" si="3"/>
        <v/>
      </c>
      <c r="K13957" s="1" t="str">
        <f t="shared" si="4"/>
        <v/>
      </c>
    </row>
    <row r="13958">
      <c r="F13958" s="1" t="str">
        <f t="shared" si="1"/>
        <v/>
      </c>
      <c r="G13958" s="1" t="str">
        <f t="shared" si="2"/>
        <v/>
      </c>
      <c r="J13958" s="1" t="str">
        <f t="shared" si="3"/>
        <v/>
      </c>
      <c r="K13958" s="1" t="str">
        <f t="shared" si="4"/>
        <v/>
      </c>
    </row>
    <row r="13959">
      <c r="F13959" s="1" t="str">
        <f t="shared" si="1"/>
        <v/>
      </c>
      <c r="G13959" s="1" t="str">
        <f t="shared" si="2"/>
        <v/>
      </c>
      <c r="J13959" s="1" t="str">
        <f t="shared" si="3"/>
        <v/>
      </c>
      <c r="K13959" s="1" t="str">
        <f t="shared" si="4"/>
        <v/>
      </c>
    </row>
    <row r="13960">
      <c r="F13960" s="1" t="str">
        <f t="shared" si="1"/>
        <v/>
      </c>
      <c r="G13960" s="1" t="str">
        <f t="shared" si="2"/>
        <v/>
      </c>
      <c r="J13960" s="1" t="str">
        <f t="shared" si="3"/>
        <v/>
      </c>
      <c r="K13960" s="1" t="str">
        <f t="shared" si="4"/>
        <v/>
      </c>
    </row>
    <row r="13961">
      <c r="F13961" s="1" t="str">
        <f t="shared" si="1"/>
        <v/>
      </c>
      <c r="G13961" s="1" t="str">
        <f t="shared" si="2"/>
        <v/>
      </c>
      <c r="J13961" s="1" t="str">
        <f t="shared" si="3"/>
        <v/>
      </c>
      <c r="K13961" s="1" t="str">
        <f t="shared" si="4"/>
        <v/>
      </c>
    </row>
    <row r="13962">
      <c r="F13962" s="1" t="str">
        <f t="shared" si="1"/>
        <v/>
      </c>
      <c r="G13962" s="1" t="str">
        <f t="shared" si="2"/>
        <v/>
      </c>
      <c r="J13962" s="1" t="str">
        <f t="shared" si="3"/>
        <v/>
      </c>
      <c r="K13962" s="1" t="str">
        <f t="shared" si="4"/>
        <v/>
      </c>
    </row>
    <row r="13963">
      <c r="F13963" s="1" t="str">
        <f t="shared" si="1"/>
        <v/>
      </c>
      <c r="G13963" s="1" t="str">
        <f t="shared" si="2"/>
        <v/>
      </c>
      <c r="J13963" s="1" t="str">
        <f t="shared" si="3"/>
        <v/>
      </c>
      <c r="K13963" s="1" t="str">
        <f t="shared" si="4"/>
        <v/>
      </c>
    </row>
    <row r="13964">
      <c r="F13964" s="1" t="str">
        <f t="shared" si="1"/>
        <v/>
      </c>
      <c r="G13964" s="1" t="str">
        <f t="shared" si="2"/>
        <v/>
      </c>
      <c r="J13964" s="1" t="str">
        <f t="shared" si="3"/>
        <v/>
      </c>
      <c r="K13964" s="1" t="str">
        <f t="shared" si="4"/>
        <v/>
      </c>
    </row>
    <row r="13965">
      <c r="F13965" s="1" t="str">
        <f t="shared" si="1"/>
        <v/>
      </c>
      <c r="G13965" s="1" t="str">
        <f t="shared" si="2"/>
        <v/>
      </c>
      <c r="J13965" s="1" t="str">
        <f t="shared" si="3"/>
        <v/>
      </c>
      <c r="K13965" s="1" t="str">
        <f t="shared" si="4"/>
        <v/>
      </c>
    </row>
    <row r="13966">
      <c r="F13966" s="1" t="str">
        <f t="shared" si="1"/>
        <v/>
      </c>
      <c r="G13966" s="1" t="str">
        <f t="shared" si="2"/>
        <v/>
      </c>
      <c r="J13966" s="1" t="str">
        <f t="shared" si="3"/>
        <v/>
      </c>
      <c r="K13966" s="1" t="str">
        <f t="shared" si="4"/>
        <v/>
      </c>
    </row>
    <row r="13967">
      <c r="F13967" s="1" t="str">
        <f t="shared" si="1"/>
        <v/>
      </c>
      <c r="G13967" s="1" t="str">
        <f t="shared" si="2"/>
        <v/>
      </c>
      <c r="J13967" s="1" t="str">
        <f t="shared" si="3"/>
        <v/>
      </c>
      <c r="K13967" s="1" t="str">
        <f t="shared" si="4"/>
        <v/>
      </c>
    </row>
    <row r="13968">
      <c r="F13968" s="1" t="str">
        <f t="shared" si="1"/>
        <v/>
      </c>
      <c r="G13968" s="1" t="str">
        <f t="shared" si="2"/>
        <v/>
      </c>
      <c r="J13968" s="1" t="str">
        <f t="shared" si="3"/>
        <v/>
      </c>
      <c r="K13968" s="1" t="str">
        <f t="shared" si="4"/>
        <v/>
      </c>
    </row>
    <row r="13969">
      <c r="F13969" s="1" t="str">
        <f t="shared" si="1"/>
        <v/>
      </c>
      <c r="G13969" s="1" t="str">
        <f t="shared" si="2"/>
        <v/>
      </c>
      <c r="J13969" s="1" t="str">
        <f t="shared" si="3"/>
        <v/>
      </c>
      <c r="K13969" s="1" t="str">
        <f t="shared" si="4"/>
        <v/>
      </c>
    </row>
    <row r="13970">
      <c r="F13970" s="1" t="str">
        <f t="shared" si="1"/>
        <v/>
      </c>
      <c r="G13970" s="1" t="str">
        <f t="shared" si="2"/>
        <v/>
      </c>
      <c r="J13970" s="1" t="str">
        <f t="shared" si="3"/>
        <v/>
      </c>
      <c r="K13970" s="1" t="str">
        <f t="shared" si="4"/>
        <v/>
      </c>
    </row>
    <row r="13971">
      <c r="F13971" s="1" t="str">
        <f t="shared" si="1"/>
        <v/>
      </c>
      <c r="G13971" s="1" t="str">
        <f t="shared" si="2"/>
        <v/>
      </c>
      <c r="J13971" s="1" t="str">
        <f t="shared" si="3"/>
        <v/>
      </c>
      <c r="K13971" s="1" t="str">
        <f t="shared" si="4"/>
        <v/>
      </c>
    </row>
    <row r="13972">
      <c r="F13972" s="1" t="str">
        <f t="shared" si="1"/>
        <v/>
      </c>
      <c r="G13972" s="1" t="str">
        <f t="shared" si="2"/>
        <v/>
      </c>
      <c r="J13972" s="1" t="str">
        <f t="shared" si="3"/>
        <v/>
      </c>
      <c r="K13972" s="1" t="str">
        <f t="shared" si="4"/>
        <v/>
      </c>
    </row>
    <row r="13973">
      <c r="F13973" s="1" t="str">
        <f t="shared" si="1"/>
        <v/>
      </c>
      <c r="G13973" s="1" t="str">
        <f t="shared" si="2"/>
        <v/>
      </c>
      <c r="J13973" s="1" t="str">
        <f t="shared" si="3"/>
        <v/>
      </c>
      <c r="K13973" s="1" t="str">
        <f t="shared" si="4"/>
        <v/>
      </c>
    </row>
    <row r="13974">
      <c r="F13974" s="1" t="str">
        <f t="shared" si="1"/>
        <v/>
      </c>
      <c r="G13974" s="1" t="str">
        <f t="shared" si="2"/>
        <v/>
      </c>
      <c r="J13974" s="1" t="str">
        <f t="shared" si="3"/>
        <v/>
      </c>
      <c r="K13974" s="1" t="str">
        <f t="shared" si="4"/>
        <v/>
      </c>
    </row>
    <row r="13975">
      <c r="F13975" s="1" t="str">
        <f t="shared" si="1"/>
        <v/>
      </c>
      <c r="G13975" s="1" t="str">
        <f t="shared" si="2"/>
        <v/>
      </c>
      <c r="J13975" s="1" t="str">
        <f t="shared" si="3"/>
        <v/>
      </c>
      <c r="K13975" s="1" t="str">
        <f t="shared" si="4"/>
        <v/>
      </c>
    </row>
    <row r="13976">
      <c r="F13976" s="1" t="str">
        <f t="shared" si="1"/>
        <v/>
      </c>
      <c r="G13976" s="1" t="str">
        <f t="shared" si="2"/>
        <v/>
      </c>
      <c r="J13976" s="1" t="str">
        <f t="shared" si="3"/>
        <v/>
      </c>
      <c r="K13976" s="1" t="str">
        <f t="shared" si="4"/>
        <v/>
      </c>
    </row>
    <row r="13977">
      <c r="F13977" s="1" t="str">
        <f t="shared" si="1"/>
        <v/>
      </c>
      <c r="G13977" s="1" t="str">
        <f t="shared" si="2"/>
        <v/>
      </c>
      <c r="J13977" s="1" t="str">
        <f t="shared" si="3"/>
        <v/>
      </c>
      <c r="K13977" s="1" t="str">
        <f t="shared" si="4"/>
        <v/>
      </c>
    </row>
    <row r="13978">
      <c r="F13978" s="1" t="str">
        <f t="shared" si="1"/>
        <v/>
      </c>
      <c r="G13978" s="1" t="str">
        <f t="shared" si="2"/>
        <v/>
      </c>
      <c r="J13978" s="1" t="str">
        <f t="shared" si="3"/>
        <v/>
      </c>
      <c r="K13978" s="1" t="str">
        <f t="shared" si="4"/>
        <v/>
      </c>
    </row>
    <row r="13979">
      <c r="F13979" s="1" t="str">
        <f t="shared" si="1"/>
        <v/>
      </c>
      <c r="G13979" s="1" t="str">
        <f t="shared" si="2"/>
        <v/>
      </c>
      <c r="J13979" s="1" t="str">
        <f t="shared" si="3"/>
        <v/>
      </c>
      <c r="K13979" s="1" t="str">
        <f t="shared" si="4"/>
        <v/>
      </c>
    </row>
    <row r="13980">
      <c r="F13980" s="1" t="str">
        <f t="shared" si="1"/>
        <v/>
      </c>
      <c r="G13980" s="1" t="str">
        <f t="shared" si="2"/>
        <v/>
      </c>
      <c r="J13980" s="1" t="str">
        <f t="shared" si="3"/>
        <v/>
      </c>
      <c r="K13980" s="1" t="str">
        <f t="shared" si="4"/>
        <v/>
      </c>
    </row>
    <row r="13981">
      <c r="F13981" s="1" t="str">
        <f t="shared" si="1"/>
        <v/>
      </c>
      <c r="G13981" s="1" t="str">
        <f t="shared" si="2"/>
        <v/>
      </c>
      <c r="J13981" s="1" t="str">
        <f t="shared" si="3"/>
        <v/>
      </c>
      <c r="K13981" s="1" t="str">
        <f t="shared" si="4"/>
        <v/>
      </c>
    </row>
    <row r="13982">
      <c r="F13982" s="1" t="str">
        <f t="shared" si="1"/>
        <v/>
      </c>
      <c r="G13982" s="1" t="str">
        <f t="shared" si="2"/>
        <v/>
      </c>
      <c r="J13982" s="1" t="str">
        <f t="shared" si="3"/>
        <v/>
      </c>
      <c r="K13982" s="1" t="str">
        <f t="shared" si="4"/>
        <v/>
      </c>
    </row>
    <row r="13983">
      <c r="F13983" s="1" t="str">
        <f t="shared" si="1"/>
        <v/>
      </c>
      <c r="G13983" s="1" t="str">
        <f t="shared" si="2"/>
        <v/>
      </c>
      <c r="J13983" s="1" t="str">
        <f t="shared" si="3"/>
        <v/>
      </c>
      <c r="K13983" s="1" t="str">
        <f t="shared" si="4"/>
        <v/>
      </c>
    </row>
    <row r="13984">
      <c r="F13984" s="1" t="str">
        <f t="shared" si="1"/>
        <v/>
      </c>
      <c r="G13984" s="1" t="str">
        <f t="shared" si="2"/>
        <v/>
      </c>
      <c r="J13984" s="1" t="str">
        <f t="shared" si="3"/>
        <v/>
      </c>
      <c r="K13984" s="1" t="str">
        <f t="shared" si="4"/>
        <v/>
      </c>
    </row>
    <row r="13985">
      <c r="F13985" s="1" t="str">
        <f t="shared" si="1"/>
        <v/>
      </c>
      <c r="G13985" s="1" t="str">
        <f t="shared" si="2"/>
        <v/>
      </c>
      <c r="J13985" s="1" t="str">
        <f t="shared" si="3"/>
        <v/>
      </c>
      <c r="K13985" s="1" t="str">
        <f t="shared" si="4"/>
        <v/>
      </c>
    </row>
    <row r="13986">
      <c r="F13986" s="1" t="str">
        <f t="shared" si="1"/>
        <v/>
      </c>
      <c r="G13986" s="1" t="str">
        <f t="shared" si="2"/>
        <v/>
      </c>
      <c r="J13986" s="1" t="str">
        <f t="shared" si="3"/>
        <v/>
      </c>
      <c r="K13986" s="1" t="str">
        <f t="shared" si="4"/>
        <v/>
      </c>
    </row>
    <row r="13987">
      <c r="F13987" s="1" t="str">
        <f t="shared" si="1"/>
        <v/>
      </c>
      <c r="G13987" s="1" t="str">
        <f t="shared" si="2"/>
        <v/>
      </c>
      <c r="J13987" s="1" t="str">
        <f t="shared" si="3"/>
        <v/>
      </c>
      <c r="K13987" s="1" t="str">
        <f t="shared" si="4"/>
        <v/>
      </c>
    </row>
    <row r="13988">
      <c r="F13988" s="1" t="str">
        <f t="shared" si="1"/>
        <v/>
      </c>
      <c r="G13988" s="1" t="str">
        <f t="shared" si="2"/>
        <v/>
      </c>
      <c r="J13988" s="1" t="str">
        <f t="shared" si="3"/>
        <v/>
      </c>
      <c r="K13988" s="1" t="str">
        <f t="shared" si="4"/>
        <v/>
      </c>
    </row>
    <row r="13989">
      <c r="F13989" s="1" t="str">
        <f t="shared" si="1"/>
        <v/>
      </c>
      <c r="G13989" s="1" t="str">
        <f t="shared" si="2"/>
        <v/>
      </c>
      <c r="J13989" s="1" t="str">
        <f t="shared" si="3"/>
        <v/>
      </c>
      <c r="K13989" s="1" t="str">
        <f t="shared" si="4"/>
        <v/>
      </c>
    </row>
    <row r="13990">
      <c r="F13990" s="1" t="str">
        <f t="shared" si="1"/>
        <v/>
      </c>
      <c r="G13990" s="1" t="str">
        <f t="shared" si="2"/>
        <v/>
      </c>
      <c r="J13990" s="1" t="str">
        <f t="shared" si="3"/>
        <v/>
      </c>
      <c r="K13990" s="1" t="str">
        <f t="shared" si="4"/>
        <v/>
      </c>
    </row>
    <row r="13991">
      <c r="F13991" s="1" t="str">
        <f t="shared" si="1"/>
        <v/>
      </c>
      <c r="G13991" s="1" t="str">
        <f t="shared" si="2"/>
        <v/>
      </c>
      <c r="J13991" s="1" t="str">
        <f t="shared" si="3"/>
        <v/>
      </c>
      <c r="K13991" s="1" t="str">
        <f t="shared" si="4"/>
        <v/>
      </c>
    </row>
    <row r="13992">
      <c r="F13992" s="1" t="str">
        <f t="shared" si="1"/>
        <v/>
      </c>
      <c r="G13992" s="1" t="str">
        <f t="shared" si="2"/>
        <v/>
      </c>
      <c r="J13992" s="1" t="str">
        <f t="shared" si="3"/>
        <v/>
      </c>
      <c r="K13992" s="1" t="str">
        <f t="shared" si="4"/>
        <v/>
      </c>
    </row>
    <row r="13993">
      <c r="F13993" s="1" t="str">
        <f t="shared" si="1"/>
        <v/>
      </c>
      <c r="G13993" s="1" t="str">
        <f t="shared" si="2"/>
        <v/>
      </c>
      <c r="J13993" s="1" t="str">
        <f t="shared" si="3"/>
        <v/>
      </c>
      <c r="K13993" s="1" t="str">
        <f t="shared" si="4"/>
        <v/>
      </c>
    </row>
    <row r="13994">
      <c r="F13994" s="1" t="str">
        <f t="shared" si="1"/>
        <v/>
      </c>
      <c r="G13994" s="1" t="str">
        <f t="shared" si="2"/>
        <v/>
      </c>
      <c r="J13994" s="1" t="str">
        <f t="shared" si="3"/>
        <v/>
      </c>
      <c r="K13994" s="1" t="str">
        <f t="shared" si="4"/>
        <v/>
      </c>
    </row>
    <row r="13995">
      <c r="F13995" s="1" t="str">
        <f t="shared" si="1"/>
        <v/>
      </c>
      <c r="G13995" s="1" t="str">
        <f t="shared" si="2"/>
        <v/>
      </c>
      <c r="J13995" s="1" t="str">
        <f t="shared" si="3"/>
        <v/>
      </c>
      <c r="K13995" s="1" t="str">
        <f t="shared" si="4"/>
        <v/>
      </c>
    </row>
    <row r="13996">
      <c r="F13996" s="1" t="str">
        <f t="shared" si="1"/>
        <v/>
      </c>
      <c r="G13996" s="1" t="str">
        <f t="shared" si="2"/>
        <v/>
      </c>
      <c r="J13996" s="1" t="str">
        <f t="shared" si="3"/>
        <v/>
      </c>
      <c r="K13996" s="1" t="str">
        <f t="shared" si="4"/>
        <v/>
      </c>
    </row>
    <row r="13997">
      <c r="F13997" s="1" t="str">
        <f t="shared" si="1"/>
        <v/>
      </c>
      <c r="G13997" s="1" t="str">
        <f t="shared" si="2"/>
        <v/>
      </c>
      <c r="J13997" s="1" t="str">
        <f t="shared" si="3"/>
        <v/>
      </c>
      <c r="K13997" s="1" t="str">
        <f t="shared" si="4"/>
        <v/>
      </c>
    </row>
    <row r="13998">
      <c r="F13998" s="1" t="str">
        <f t="shared" si="1"/>
        <v/>
      </c>
      <c r="G13998" s="1" t="str">
        <f t="shared" si="2"/>
        <v/>
      </c>
      <c r="J13998" s="1" t="str">
        <f t="shared" si="3"/>
        <v/>
      </c>
      <c r="K13998" s="1" t="str">
        <f t="shared" si="4"/>
        <v/>
      </c>
    </row>
    <row r="13999">
      <c r="F13999" s="1" t="str">
        <f t="shared" si="1"/>
        <v/>
      </c>
      <c r="G13999" s="1" t="str">
        <f t="shared" si="2"/>
        <v/>
      </c>
      <c r="J13999" s="1" t="str">
        <f t="shared" si="3"/>
        <v/>
      </c>
      <c r="K13999" s="1" t="str">
        <f t="shared" si="4"/>
        <v/>
      </c>
    </row>
    <row r="14000">
      <c r="F14000" s="1" t="str">
        <f t="shared" si="1"/>
        <v/>
      </c>
      <c r="G14000" s="1" t="str">
        <f t="shared" si="2"/>
        <v/>
      </c>
      <c r="J14000" s="1" t="str">
        <f t="shared" si="3"/>
        <v/>
      </c>
      <c r="K14000" s="1" t="str">
        <f t="shared" si="4"/>
        <v/>
      </c>
    </row>
    <row r="14001">
      <c r="F14001" s="1" t="str">
        <f t="shared" si="1"/>
        <v/>
      </c>
      <c r="G14001" s="1" t="str">
        <f t="shared" si="2"/>
        <v/>
      </c>
      <c r="J14001" s="1" t="str">
        <f t="shared" si="3"/>
        <v/>
      </c>
      <c r="K14001" s="1" t="str">
        <f t="shared" si="4"/>
        <v/>
      </c>
    </row>
    <row r="14002">
      <c r="F14002" s="1" t="str">
        <f t="shared" si="1"/>
        <v/>
      </c>
      <c r="G14002" s="1" t="str">
        <f t="shared" si="2"/>
        <v/>
      </c>
      <c r="J14002" s="1" t="str">
        <f t="shared" si="3"/>
        <v/>
      </c>
      <c r="K14002" s="1" t="str">
        <f t="shared" si="4"/>
        <v/>
      </c>
    </row>
    <row r="14003">
      <c r="F14003" s="1" t="str">
        <f t="shared" si="1"/>
        <v/>
      </c>
      <c r="G14003" s="1" t="str">
        <f t="shared" si="2"/>
        <v/>
      </c>
      <c r="J14003" s="1" t="str">
        <f t="shared" si="3"/>
        <v/>
      </c>
      <c r="K14003" s="1" t="str">
        <f t="shared" si="4"/>
        <v/>
      </c>
    </row>
    <row r="14004">
      <c r="F14004" s="1" t="str">
        <f t="shared" si="1"/>
        <v/>
      </c>
      <c r="G14004" s="1" t="str">
        <f t="shared" si="2"/>
        <v/>
      </c>
      <c r="J14004" s="1" t="str">
        <f t="shared" si="3"/>
        <v/>
      </c>
      <c r="K14004" s="1" t="str">
        <f t="shared" si="4"/>
        <v/>
      </c>
    </row>
    <row r="14005">
      <c r="F14005" s="1" t="str">
        <f t="shared" si="1"/>
        <v/>
      </c>
      <c r="G14005" s="1" t="str">
        <f t="shared" si="2"/>
        <v/>
      </c>
      <c r="J14005" s="1" t="str">
        <f t="shared" si="3"/>
        <v/>
      </c>
      <c r="K14005" s="1" t="str">
        <f t="shared" si="4"/>
        <v/>
      </c>
    </row>
    <row r="14006">
      <c r="F14006" s="1" t="str">
        <f t="shared" si="1"/>
        <v/>
      </c>
      <c r="G14006" s="1" t="str">
        <f t="shared" si="2"/>
        <v/>
      </c>
      <c r="J14006" s="1" t="str">
        <f t="shared" si="3"/>
        <v/>
      </c>
      <c r="K14006" s="1" t="str">
        <f t="shared" si="4"/>
        <v/>
      </c>
    </row>
    <row r="14007">
      <c r="F14007" s="1" t="str">
        <f t="shared" si="1"/>
        <v/>
      </c>
      <c r="G14007" s="1" t="str">
        <f t="shared" si="2"/>
        <v/>
      </c>
      <c r="J14007" s="1" t="str">
        <f t="shared" si="3"/>
        <v/>
      </c>
      <c r="K14007" s="1" t="str">
        <f t="shared" si="4"/>
        <v/>
      </c>
    </row>
    <row r="14008">
      <c r="F14008" s="1" t="str">
        <f t="shared" si="1"/>
        <v/>
      </c>
      <c r="G14008" s="1" t="str">
        <f t="shared" si="2"/>
        <v/>
      </c>
      <c r="J14008" s="1" t="str">
        <f t="shared" si="3"/>
        <v/>
      </c>
      <c r="K14008" s="1" t="str">
        <f t="shared" si="4"/>
        <v/>
      </c>
    </row>
    <row r="14009">
      <c r="F14009" s="1" t="str">
        <f t="shared" si="1"/>
        <v/>
      </c>
      <c r="G14009" s="1" t="str">
        <f t="shared" si="2"/>
        <v/>
      </c>
      <c r="J14009" s="1" t="str">
        <f t="shared" si="3"/>
        <v/>
      </c>
      <c r="K14009" s="1" t="str">
        <f t="shared" si="4"/>
        <v/>
      </c>
    </row>
    <row r="14010">
      <c r="F14010" s="1" t="str">
        <f t="shared" si="1"/>
        <v/>
      </c>
      <c r="G14010" s="1" t="str">
        <f t="shared" si="2"/>
        <v/>
      </c>
      <c r="J14010" s="1" t="str">
        <f t="shared" si="3"/>
        <v/>
      </c>
      <c r="K14010" s="1" t="str">
        <f t="shared" si="4"/>
        <v/>
      </c>
    </row>
    <row r="14011">
      <c r="F14011" s="1" t="str">
        <f t="shared" si="1"/>
        <v/>
      </c>
      <c r="G14011" s="1" t="str">
        <f t="shared" si="2"/>
        <v/>
      </c>
      <c r="J14011" s="1" t="str">
        <f t="shared" si="3"/>
        <v/>
      </c>
      <c r="K14011" s="1" t="str">
        <f t="shared" si="4"/>
        <v/>
      </c>
    </row>
    <row r="14012">
      <c r="F14012" s="1" t="str">
        <f t="shared" si="1"/>
        <v/>
      </c>
      <c r="G14012" s="1" t="str">
        <f t="shared" si="2"/>
        <v/>
      </c>
      <c r="J14012" s="1" t="str">
        <f t="shared" si="3"/>
        <v/>
      </c>
      <c r="K14012" s="1" t="str">
        <f t="shared" si="4"/>
        <v/>
      </c>
    </row>
    <row r="14013">
      <c r="F14013" s="1" t="str">
        <f t="shared" si="1"/>
        <v/>
      </c>
      <c r="G14013" s="1" t="str">
        <f t="shared" si="2"/>
        <v/>
      </c>
      <c r="J14013" s="1" t="str">
        <f t="shared" si="3"/>
        <v/>
      </c>
      <c r="K14013" s="1" t="str">
        <f t="shared" si="4"/>
        <v/>
      </c>
    </row>
    <row r="14014">
      <c r="F14014" s="1" t="str">
        <f t="shared" si="1"/>
        <v/>
      </c>
      <c r="G14014" s="1" t="str">
        <f t="shared" si="2"/>
        <v/>
      </c>
      <c r="J14014" s="1" t="str">
        <f t="shared" si="3"/>
        <v/>
      </c>
      <c r="K14014" s="1" t="str">
        <f t="shared" si="4"/>
        <v/>
      </c>
    </row>
    <row r="14015">
      <c r="F14015" s="1" t="str">
        <f t="shared" si="1"/>
        <v/>
      </c>
      <c r="G14015" s="1" t="str">
        <f t="shared" si="2"/>
        <v/>
      </c>
      <c r="J14015" s="1" t="str">
        <f t="shared" si="3"/>
        <v/>
      </c>
      <c r="K14015" s="1" t="str">
        <f t="shared" si="4"/>
        <v/>
      </c>
    </row>
    <row r="14016">
      <c r="F14016" s="1" t="str">
        <f t="shared" si="1"/>
        <v/>
      </c>
      <c r="G14016" s="1" t="str">
        <f t="shared" si="2"/>
        <v/>
      </c>
      <c r="J14016" s="1" t="str">
        <f t="shared" si="3"/>
        <v/>
      </c>
      <c r="K14016" s="1" t="str">
        <f t="shared" si="4"/>
        <v/>
      </c>
    </row>
    <row r="14017">
      <c r="F14017" s="1" t="str">
        <f t="shared" si="1"/>
        <v/>
      </c>
      <c r="G14017" s="1" t="str">
        <f t="shared" si="2"/>
        <v/>
      </c>
      <c r="J14017" s="1" t="str">
        <f t="shared" si="3"/>
        <v/>
      </c>
      <c r="K14017" s="1" t="str">
        <f t="shared" si="4"/>
        <v/>
      </c>
    </row>
    <row r="14018">
      <c r="F14018" s="1" t="str">
        <f t="shared" si="1"/>
        <v/>
      </c>
      <c r="G14018" s="1" t="str">
        <f t="shared" si="2"/>
        <v/>
      </c>
      <c r="J14018" s="1" t="str">
        <f t="shared" si="3"/>
        <v/>
      </c>
      <c r="K14018" s="1" t="str">
        <f t="shared" si="4"/>
        <v/>
      </c>
    </row>
    <row r="14019">
      <c r="F14019" s="1" t="str">
        <f t="shared" si="1"/>
        <v/>
      </c>
      <c r="G14019" s="1" t="str">
        <f t="shared" si="2"/>
        <v/>
      </c>
      <c r="J14019" s="1" t="str">
        <f t="shared" si="3"/>
        <v/>
      </c>
      <c r="K14019" s="1" t="str">
        <f t="shared" si="4"/>
        <v/>
      </c>
    </row>
    <row r="14020">
      <c r="F14020" s="1" t="str">
        <f t="shared" si="1"/>
        <v/>
      </c>
      <c r="G14020" s="1" t="str">
        <f t="shared" si="2"/>
        <v/>
      </c>
      <c r="J14020" s="1" t="str">
        <f t="shared" si="3"/>
        <v/>
      </c>
      <c r="K14020" s="1" t="str">
        <f t="shared" si="4"/>
        <v/>
      </c>
    </row>
    <row r="14021">
      <c r="F14021" s="1" t="str">
        <f t="shared" si="1"/>
        <v/>
      </c>
      <c r="G14021" s="1" t="str">
        <f t="shared" si="2"/>
        <v/>
      </c>
      <c r="J14021" s="1" t="str">
        <f t="shared" si="3"/>
        <v/>
      </c>
      <c r="K14021" s="1" t="str">
        <f t="shared" si="4"/>
        <v/>
      </c>
    </row>
    <row r="14022">
      <c r="F14022" s="1" t="str">
        <f t="shared" si="1"/>
        <v/>
      </c>
      <c r="G14022" s="1" t="str">
        <f t="shared" si="2"/>
        <v/>
      </c>
      <c r="J14022" s="1" t="str">
        <f t="shared" si="3"/>
        <v/>
      </c>
      <c r="K14022" s="1" t="str">
        <f t="shared" si="4"/>
        <v/>
      </c>
    </row>
    <row r="14023">
      <c r="F14023" s="1" t="str">
        <f t="shared" si="1"/>
        <v/>
      </c>
      <c r="G14023" s="1" t="str">
        <f t="shared" si="2"/>
        <v/>
      </c>
      <c r="J14023" s="1" t="str">
        <f t="shared" si="3"/>
        <v/>
      </c>
      <c r="K14023" s="1" t="str">
        <f t="shared" si="4"/>
        <v/>
      </c>
    </row>
    <row r="14024">
      <c r="F14024" s="1" t="str">
        <f t="shared" si="1"/>
        <v/>
      </c>
      <c r="G14024" s="1" t="str">
        <f t="shared" si="2"/>
        <v/>
      </c>
      <c r="J14024" s="1" t="str">
        <f t="shared" si="3"/>
        <v/>
      </c>
      <c r="K14024" s="1" t="str">
        <f t="shared" si="4"/>
        <v/>
      </c>
    </row>
    <row r="14025">
      <c r="F14025" s="1" t="str">
        <f t="shared" si="1"/>
        <v/>
      </c>
      <c r="G14025" s="1" t="str">
        <f t="shared" si="2"/>
        <v/>
      </c>
      <c r="J14025" s="1" t="str">
        <f t="shared" si="3"/>
        <v/>
      </c>
      <c r="K14025" s="1" t="str">
        <f t="shared" si="4"/>
        <v/>
      </c>
    </row>
    <row r="14026">
      <c r="F14026" s="1" t="str">
        <f t="shared" si="1"/>
        <v/>
      </c>
      <c r="G14026" s="1" t="str">
        <f t="shared" si="2"/>
        <v/>
      </c>
      <c r="J14026" s="1" t="str">
        <f t="shared" si="3"/>
        <v/>
      </c>
      <c r="K14026" s="1" t="str">
        <f t="shared" si="4"/>
        <v/>
      </c>
    </row>
    <row r="14027">
      <c r="F14027" s="1" t="str">
        <f t="shared" si="1"/>
        <v/>
      </c>
      <c r="G14027" s="1" t="str">
        <f t="shared" si="2"/>
        <v/>
      </c>
      <c r="J14027" s="1" t="str">
        <f t="shared" si="3"/>
        <v/>
      </c>
      <c r="K14027" s="1" t="str">
        <f t="shared" si="4"/>
        <v/>
      </c>
    </row>
    <row r="14028">
      <c r="F14028" s="1" t="str">
        <f t="shared" si="1"/>
        <v/>
      </c>
      <c r="G14028" s="1" t="str">
        <f t="shared" si="2"/>
        <v/>
      </c>
      <c r="J14028" s="1" t="str">
        <f t="shared" si="3"/>
        <v/>
      </c>
      <c r="K14028" s="1" t="str">
        <f t="shared" si="4"/>
        <v/>
      </c>
    </row>
    <row r="14029">
      <c r="F14029" s="1" t="str">
        <f t="shared" si="1"/>
        <v/>
      </c>
      <c r="G14029" s="1" t="str">
        <f t="shared" si="2"/>
        <v/>
      </c>
      <c r="J14029" s="1" t="str">
        <f t="shared" si="3"/>
        <v/>
      </c>
      <c r="K14029" s="1" t="str">
        <f t="shared" si="4"/>
        <v/>
      </c>
    </row>
    <row r="14030">
      <c r="F14030" s="1" t="str">
        <f t="shared" si="1"/>
        <v/>
      </c>
      <c r="G14030" s="1" t="str">
        <f t="shared" si="2"/>
        <v/>
      </c>
      <c r="J14030" s="1" t="str">
        <f t="shared" si="3"/>
        <v/>
      </c>
      <c r="K14030" s="1" t="str">
        <f t="shared" si="4"/>
        <v/>
      </c>
    </row>
    <row r="14031">
      <c r="F14031" s="1" t="str">
        <f t="shared" si="1"/>
        <v/>
      </c>
      <c r="G14031" s="1" t="str">
        <f t="shared" si="2"/>
        <v/>
      </c>
      <c r="J14031" s="1" t="str">
        <f t="shared" si="3"/>
        <v/>
      </c>
      <c r="K14031" s="1" t="str">
        <f t="shared" si="4"/>
        <v/>
      </c>
    </row>
    <row r="14032">
      <c r="F14032" s="1" t="str">
        <f t="shared" si="1"/>
        <v/>
      </c>
      <c r="G14032" s="1" t="str">
        <f t="shared" si="2"/>
        <v/>
      </c>
      <c r="J14032" s="1" t="str">
        <f t="shared" si="3"/>
        <v/>
      </c>
      <c r="K14032" s="1" t="str">
        <f t="shared" si="4"/>
        <v/>
      </c>
    </row>
    <row r="14033">
      <c r="F14033" s="1" t="str">
        <f t="shared" si="1"/>
        <v/>
      </c>
      <c r="G14033" s="1" t="str">
        <f t="shared" si="2"/>
        <v/>
      </c>
      <c r="J14033" s="1" t="str">
        <f t="shared" si="3"/>
        <v/>
      </c>
      <c r="K14033" s="1" t="str">
        <f t="shared" si="4"/>
        <v/>
      </c>
    </row>
    <row r="14034">
      <c r="F14034" s="1" t="str">
        <f t="shared" si="1"/>
        <v/>
      </c>
      <c r="G14034" s="1" t="str">
        <f t="shared" si="2"/>
        <v/>
      </c>
      <c r="J14034" s="1" t="str">
        <f t="shared" si="3"/>
        <v/>
      </c>
      <c r="K14034" s="1" t="str">
        <f t="shared" si="4"/>
        <v/>
      </c>
    </row>
    <row r="14035">
      <c r="F14035" s="1" t="str">
        <f t="shared" si="1"/>
        <v/>
      </c>
      <c r="G14035" s="1" t="str">
        <f t="shared" si="2"/>
        <v/>
      </c>
      <c r="J14035" s="1" t="str">
        <f t="shared" si="3"/>
        <v/>
      </c>
      <c r="K14035" s="1" t="str">
        <f t="shared" si="4"/>
        <v/>
      </c>
    </row>
    <row r="14036">
      <c r="F14036" s="1" t="str">
        <f t="shared" si="1"/>
        <v/>
      </c>
      <c r="G14036" s="1" t="str">
        <f t="shared" si="2"/>
        <v/>
      </c>
      <c r="J14036" s="1" t="str">
        <f t="shared" si="3"/>
        <v/>
      </c>
      <c r="K14036" s="1" t="str">
        <f t="shared" si="4"/>
        <v/>
      </c>
    </row>
    <row r="14037">
      <c r="F14037" s="1" t="str">
        <f t="shared" si="1"/>
        <v/>
      </c>
      <c r="G14037" s="1" t="str">
        <f t="shared" si="2"/>
        <v/>
      </c>
      <c r="J14037" s="1" t="str">
        <f t="shared" si="3"/>
        <v/>
      </c>
      <c r="K14037" s="1" t="str">
        <f t="shared" si="4"/>
        <v/>
      </c>
    </row>
    <row r="14038">
      <c r="F14038" s="1" t="str">
        <f t="shared" si="1"/>
        <v/>
      </c>
      <c r="G14038" s="1" t="str">
        <f t="shared" si="2"/>
        <v/>
      </c>
      <c r="J14038" s="1" t="str">
        <f t="shared" si="3"/>
        <v/>
      </c>
      <c r="K14038" s="1" t="str">
        <f t="shared" si="4"/>
        <v/>
      </c>
    </row>
    <row r="14039">
      <c r="F14039" s="1" t="str">
        <f t="shared" si="1"/>
        <v/>
      </c>
      <c r="G14039" s="1" t="str">
        <f t="shared" si="2"/>
        <v/>
      </c>
      <c r="J14039" s="1" t="str">
        <f t="shared" si="3"/>
        <v/>
      </c>
      <c r="K14039" s="1" t="str">
        <f t="shared" si="4"/>
        <v/>
      </c>
    </row>
    <row r="14040">
      <c r="F14040" s="1" t="str">
        <f t="shared" si="1"/>
        <v/>
      </c>
      <c r="G14040" s="1" t="str">
        <f t="shared" si="2"/>
        <v/>
      </c>
      <c r="J14040" s="1" t="str">
        <f t="shared" si="3"/>
        <v/>
      </c>
      <c r="K14040" s="1" t="str">
        <f t="shared" si="4"/>
        <v/>
      </c>
    </row>
    <row r="14041">
      <c r="F14041" s="1" t="str">
        <f t="shared" si="1"/>
        <v/>
      </c>
      <c r="G14041" s="1" t="str">
        <f t="shared" si="2"/>
        <v/>
      </c>
      <c r="J14041" s="1" t="str">
        <f t="shared" si="3"/>
        <v/>
      </c>
      <c r="K14041" s="1" t="str">
        <f t="shared" si="4"/>
        <v/>
      </c>
    </row>
    <row r="14042">
      <c r="F14042" s="1" t="str">
        <f t="shared" si="1"/>
        <v/>
      </c>
      <c r="G14042" s="1" t="str">
        <f t="shared" si="2"/>
        <v/>
      </c>
      <c r="J14042" s="1" t="str">
        <f t="shared" si="3"/>
        <v/>
      </c>
      <c r="K14042" s="1" t="str">
        <f t="shared" si="4"/>
        <v/>
      </c>
    </row>
    <row r="14043">
      <c r="F14043" s="1" t="str">
        <f t="shared" si="1"/>
        <v/>
      </c>
      <c r="G14043" s="1" t="str">
        <f t="shared" si="2"/>
        <v/>
      </c>
      <c r="J14043" s="1" t="str">
        <f t="shared" si="3"/>
        <v/>
      </c>
      <c r="K14043" s="1" t="str">
        <f t="shared" si="4"/>
        <v/>
      </c>
    </row>
    <row r="14044">
      <c r="F14044" s="1" t="str">
        <f t="shared" si="1"/>
        <v/>
      </c>
      <c r="G14044" s="1" t="str">
        <f t="shared" si="2"/>
        <v/>
      </c>
      <c r="J14044" s="1" t="str">
        <f t="shared" si="3"/>
        <v/>
      </c>
      <c r="K14044" s="1" t="str">
        <f t="shared" si="4"/>
        <v/>
      </c>
    </row>
    <row r="14045">
      <c r="F14045" s="1" t="str">
        <f t="shared" si="1"/>
        <v/>
      </c>
      <c r="G14045" s="1" t="str">
        <f t="shared" si="2"/>
        <v/>
      </c>
      <c r="J14045" s="1" t="str">
        <f t="shared" si="3"/>
        <v/>
      </c>
      <c r="K14045" s="1" t="str">
        <f t="shared" si="4"/>
        <v/>
      </c>
    </row>
    <row r="14046">
      <c r="F14046" s="1" t="str">
        <f t="shared" si="1"/>
        <v/>
      </c>
      <c r="G14046" s="1" t="str">
        <f t="shared" si="2"/>
        <v/>
      </c>
      <c r="J14046" s="1" t="str">
        <f t="shared" si="3"/>
        <v/>
      </c>
      <c r="K14046" s="1" t="str">
        <f t="shared" si="4"/>
        <v/>
      </c>
    </row>
    <row r="14047">
      <c r="F14047" s="1" t="str">
        <f t="shared" si="1"/>
        <v/>
      </c>
      <c r="G14047" s="1" t="str">
        <f t="shared" si="2"/>
        <v/>
      </c>
      <c r="J14047" s="1" t="str">
        <f t="shared" si="3"/>
        <v/>
      </c>
      <c r="K14047" s="1" t="str">
        <f t="shared" si="4"/>
        <v/>
      </c>
    </row>
    <row r="14048">
      <c r="F14048" s="1" t="str">
        <f t="shared" si="1"/>
        <v/>
      </c>
      <c r="G14048" s="1" t="str">
        <f t="shared" si="2"/>
        <v/>
      </c>
      <c r="J14048" s="1" t="str">
        <f t="shared" si="3"/>
        <v/>
      </c>
      <c r="K14048" s="1" t="str">
        <f t="shared" si="4"/>
        <v/>
      </c>
    </row>
    <row r="14049">
      <c r="F14049" s="1" t="str">
        <f t="shared" si="1"/>
        <v/>
      </c>
      <c r="G14049" s="1" t="str">
        <f t="shared" si="2"/>
        <v/>
      </c>
      <c r="J14049" s="1" t="str">
        <f t="shared" si="3"/>
        <v/>
      </c>
      <c r="K14049" s="1" t="str">
        <f t="shared" si="4"/>
        <v/>
      </c>
    </row>
    <row r="14050">
      <c r="F14050" s="1" t="str">
        <f t="shared" si="1"/>
        <v/>
      </c>
      <c r="G14050" s="1" t="str">
        <f t="shared" si="2"/>
        <v/>
      </c>
      <c r="J14050" s="1" t="str">
        <f t="shared" si="3"/>
        <v/>
      </c>
      <c r="K14050" s="1" t="str">
        <f t="shared" si="4"/>
        <v/>
      </c>
    </row>
    <row r="14051">
      <c r="F14051" s="1" t="str">
        <f t="shared" si="1"/>
        <v/>
      </c>
      <c r="G14051" s="1" t="str">
        <f t="shared" si="2"/>
        <v/>
      </c>
      <c r="J14051" s="1" t="str">
        <f t="shared" si="3"/>
        <v/>
      </c>
      <c r="K14051" s="1" t="str">
        <f t="shared" si="4"/>
        <v/>
      </c>
    </row>
    <row r="14052">
      <c r="F14052" s="1" t="str">
        <f t="shared" si="1"/>
        <v/>
      </c>
      <c r="G14052" s="1" t="str">
        <f t="shared" si="2"/>
        <v/>
      </c>
      <c r="J14052" s="1" t="str">
        <f t="shared" si="3"/>
        <v/>
      </c>
      <c r="K14052" s="1" t="str">
        <f t="shared" si="4"/>
        <v/>
      </c>
    </row>
    <row r="14053">
      <c r="F14053" s="1" t="str">
        <f t="shared" si="1"/>
        <v/>
      </c>
      <c r="G14053" s="1" t="str">
        <f t="shared" si="2"/>
        <v/>
      </c>
      <c r="J14053" s="1" t="str">
        <f t="shared" si="3"/>
        <v/>
      </c>
      <c r="K14053" s="1" t="str">
        <f t="shared" si="4"/>
        <v/>
      </c>
    </row>
    <row r="14054">
      <c r="F14054" s="1" t="str">
        <f t="shared" si="1"/>
        <v/>
      </c>
      <c r="G14054" s="1" t="str">
        <f t="shared" si="2"/>
        <v/>
      </c>
      <c r="J14054" s="1" t="str">
        <f t="shared" si="3"/>
        <v/>
      </c>
      <c r="K14054" s="1" t="str">
        <f t="shared" si="4"/>
        <v/>
      </c>
    </row>
    <row r="14055">
      <c r="F14055" s="1" t="str">
        <f t="shared" si="1"/>
        <v/>
      </c>
      <c r="G14055" s="1" t="str">
        <f t="shared" si="2"/>
        <v/>
      </c>
      <c r="J14055" s="1" t="str">
        <f t="shared" si="3"/>
        <v/>
      </c>
      <c r="K14055" s="1" t="str">
        <f t="shared" si="4"/>
        <v/>
      </c>
    </row>
    <row r="14056">
      <c r="F14056" s="1" t="str">
        <f t="shared" si="1"/>
        <v/>
      </c>
      <c r="G14056" s="1" t="str">
        <f t="shared" si="2"/>
        <v/>
      </c>
      <c r="J14056" s="1" t="str">
        <f t="shared" si="3"/>
        <v/>
      </c>
      <c r="K14056" s="1" t="str">
        <f t="shared" si="4"/>
        <v/>
      </c>
    </row>
    <row r="14057">
      <c r="F14057" s="1" t="str">
        <f t="shared" si="1"/>
        <v/>
      </c>
      <c r="G14057" s="1" t="str">
        <f t="shared" si="2"/>
        <v/>
      </c>
      <c r="J14057" s="1" t="str">
        <f t="shared" si="3"/>
        <v/>
      </c>
      <c r="K14057" s="1" t="str">
        <f t="shared" si="4"/>
        <v/>
      </c>
    </row>
    <row r="14058">
      <c r="F14058" s="1" t="str">
        <f t="shared" si="1"/>
        <v/>
      </c>
      <c r="G14058" s="1" t="str">
        <f t="shared" si="2"/>
        <v/>
      </c>
      <c r="J14058" s="1" t="str">
        <f t="shared" si="3"/>
        <v/>
      </c>
      <c r="K14058" s="1" t="str">
        <f t="shared" si="4"/>
        <v/>
      </c>
    </row>
    <row r="14059">
      <c r="F14059" s="1" t="str">
        <f t="shared" si="1"/>
        <v/>
      </c>
      <c r="G14059" s="1" t="str">
        <f t="shared" si="2"/>
        <v/>
      </c>
      <c r="J14059" s="1" t="str">
        <f t="shared" si="3"/>
        <v/>
      </c>
      <c r="K14059" s="1" t="str">
        <f t="shared" si="4"/>
        <v/>
      </c>
    </row>
    <row r="14060">
      <c r="F14060" s="1" t="str">
        <f t="shared" si="1"/>
        <v/>
      </c>
      <c r="G14060" s="1" t="str">
        <f t="shared" si="2"/>
        <v/>
      </c>
      <c r="J14060" s="1" t="str">
        <f t="shared" si="3"/>
        <v/>
      </c>
      <c r="K14060" s="1" t="str">
        <f t="shared" si="4"/>
        <v/>
      </c>
    </row>
    <row r="14061">
      <c r="F14061" s="1" t="str">
        <f t="shared" si="1"/>
        <v/>
      </c>
      <c r="G14061" s="1" t="str">
        <f t="shared" si="2"/>
        <v/>
      </c>
      <c r="J14061" s="1" t="str">
        <f t="shared" si="3"/>
        <v/>
      </c>
      <c r="K14061" s="1" t="str">
        <f t="shared" si="4"/>
        <v/>
      </c>
    </row>
    <row r="14062">
      <c r="F14062" s="1" t="str">
        <f t="shared" si="1"/>
        <v/>
      </c>
      <c r="G14062" s="1" t="str">
        <f t="shared" si="2"/>
        <v/>
      </c>
      <c r="J14062" s="1" t="str">
        <f t="shared" si="3"/>
        <v/>
      </c>
      <c r="K14062" s="1" t="str">
        <f t="shared" si="4"/>
        <v/>
      </c>
    </row>
    <row r="14063">
      <c r="F14063" s="1" t="str">
        <f t="shared" si="1"/>
        <v/>
      </c>
      <c r="G14063" s="1" t="str">
        <f t="shared" si="2"/>
        <v/>
      </c>
      <c r="J14063" s="1" t="str">
        <f t="shared" si="3"/>
        <v/>
      </c>
      <c r="K14063" s="1" t="str">
        <f t="shared" si="4"/>
        <v/>
      </c>
    </row>
    <row r="14064">
      <c r="F14064" s="1" t="str">
        <f t="shared" si="1"/>
        <v/>
      </c>
      <c r="G14064" s="1" t="str">
        <f t="shared" si="2"/>
        <v/>
      </c>
      <c r="J14064" s="1" t="str">
        <f t="shared" si="3"/>
        <v/>
      </c>
      <c r="K14064" s="1" t="str">
        <f t="shared" si="4"/>
        <v/>
      </c>
    </row>
    <row r="14065">
      <c r="F14065" s="1" t="str">
        <f t="shared" si="1"/>
        <v/>
      </c>
      <c r="G14065" s="1" t="str">
        <f t="shared" si="2"/>
        <v/>
      </c>
      <c r="J14065" s="1" t="str">
        <f t="shared" si="3"/>
        <v/>
      </c>
      <c r="K14065" s="1" t="str">
        <f t="shared" si="4"/>
        <v/>
      </c>
    </row>
    <row r="14066">
      <c r="F14066" s="1" t="str">
        <f t="shared" si="1"/>
        <v/>
      </c>
      <c r="G14066" s="1" t="str">
        <f t="shared" si="2"/>
        <v/>
      </c>
      <c r="J14066" s="1" t="str">
        <f t="shared" si="3"/>
        <v/>
      </c>
      <c r="K14066" s="1" t="str">
        <f t="shared" si="4"/>
        <v/>
      </c>
    </row>
    <row r="14067">
      <c r="F14067" s="1" t="str">
        <f t="shared" si="1"/>
        <v/>
      </c>
      <c r="G14067" s="1" t="str">
        <f t="shared" si="2"/>
        <v/>
      </c>
      <c r="J14067" s="1" t="str">
        <f t="shared" si="3"/>
        <v/>
      </c>
      <c r="K14067" s="1" t="str">
        <f t="shared" si="4"/>
        <v/>
      </c>
    </row>
    <row r="14068">
      <c r="F14068" s="1" t="str">
        <f t="shared" si="1"/>
        <v/>
      </c>
      <c r="G14068" s="1" t="str">
        <f t="shared" si="2"/>
        <v/>
      </c>
      <c r="J14068" s="1" t="str">
        <f t="shared" si="3"/>
        <v/>
      </c>
      <c r="K14068" s="1" t="str">
        <f t="shared" si="4"/>
        <v/>
      </c>
    </row>
    <row r="14069">
      <c r="F14069" s="1" t="str">
        <f t="shared" si="1"/>
        <v/>
      </c>
      <c r="G14069" s="1" t="str">
        <f t="shared" si="2"/>
        <v/>
      </c>
      <c r="J14069" s="1" t="str">
        <f t="shared" si="3"/>
        <v/>
      </c>
      <c r="K14069" s="1" t="str">
        <f t="shared" si="4"/>
        <v/>
      </c>
    </row>
    <row r="14070">
      <c r="F14070" s="1" t="str">
        <f t="shared" si="1"/>
        <v/>
      </c>
      <c r="G14070" s="1" t="str">
        <f t="shared" si="2"/>
        <v/>
      </c>
      <c r="J14070" s="1" t="str">
        <f t="shared" si="3"/>
        <v/>
      </c>
      <c r="K14070" s="1" t="str">
        <f t="shared" si="4"/>
        <v/>
      </c>
    </row>
    <row r="14071">
      <c r="F14071" s="1" t="str">
        <f t="shared" si="1"/>
        <v/>
      </c>
      <c r="G14071" s="1" t="str">
        <f t="shared" si="2"/>
        <v/>
      </c>
      <c r="J14071" s="1" t="str">
        <f t="shared" si="3"/>
        <v/>
      </c>
      <c r="K14071" s="1" t="str">
        <f t="shared" si="4"/>
        <v/>
      </c>
    </row>
    <row r="14072">
      <c r="F14072" s="1" t="str">
        <f t="shared" si="1"/>
        <v/>
      </c>
      <c r="G14072" s="1" t="str">
        <f t="shared" si="2"/>
        <v/>
      </c>
      <c r="J14072" s="1" t="str">
        <f t="shared" si="3"/>
        <v/>
      </c>
      <c r="K14072" s="1" t="str">
        <f t="shared" si="4"/>
        <v/>
      </c>
    </row>
    <row r="14073">
      <c r="F14073" s="1" t="str">
        <f t="shared" si="1"/>
        <v/>
      </c>
      <c r="G14073" s="1" t="str">
        <f t="shared" si="2"/>
        <v/>
      </c>
      <c r="J14073" s="1" t="str">
        <f t="shared" si="3"/>
        <v/>
      </c>
      <c r="K14073" s="1" t="str">
        <f t="shared" si="4"/>
        <v/>
      </c>
    </row>
    <row r="14074">
      <c r="F14074" s="1" t="str">
        <f t="shared" si="1"/>
        <v/>
      </c>
      <c r="G14074" s="1" t="str">
        <f t="shared" si="2"/>
        <v/>
      </c>
      <c r="J14074" s="1" t="str">
        <f t="shared" si="3"/>
        <v/>
      </c>
      <c r="K14074" s="1" t="str">
        <f t="shared" si="4"/>
        <v/>
      </c>
    </row>
    <row r="14075">
      <c r="F14075" s="1" t="str">
        <f t="shared" si="1"/>
        <v/>
      </c>
      <c r="G14075" s="1" t="str">
        <f t="shared" si="2"/>
        <v/>
      </c>
      <c r="J14075" s="1" t="str">
        <f t="shared" si="3"/>
        <v/>
      </c>
      <c r="K14075" s="1" t="str">
        <f t="shared" si="4"/>
        <v/>
      </c>
    </row>
    <row r="14076">
      <c r="F14076" s="1" t="str">
        <f t="shared" si="1"/>
        <v/>
      </c>
      <c r="G14076" s="1" t="str">
        <f t="shared" si="2"/>
        <v/>
      </c>
      <c r="J14076" s="1" t="str">
        <f t="shared" si="3"/>
        <v/>
      </c>
      <c r="K14076" s="1" t="str">
        <f t="shared" si="4"/>
        <v/>
      </c>
    </row>
    <row r="14077">
      <c r="F14077" s="1" t="str">
        <f t="shared" si="1"/>
        <v/>
      </c>
      <c r="G14077" s="1" t="str">
        <f t="shared" si="2"/>
        <v/>
      </c>
      <c r="J14077" s="1" t="str">
        <f t="shared" si="3"/>
        <v/>
      </c>
      <c r="K14077" s="1" t="str">
        <f t="shared" si="4"/>
        <v/>
      </c>
    </row>
    <row r="14078">
      <c r="F14078" s="1" t="str">
        <f t="shared" si="1"/>
        <v/>
      </c>
      <c r="G14078" s="1" t="str">
        <f t="shared" si="2"/>
        <v/>
      </c>
      <c r="J14078" s="1" t="str">
        <f t="shared" si="3"/>
        <v/>
      </c>
      <c r="K14078" s="1" t="str">
        <f t="shared" si="4"/>
        <v/>
      </c>
    </row>
    <row r="14079">
      <c r="F14079" s="1" t="str">
        <f t="shared" si="1"/>
        <v/>
      </c>
      <c r="G14079" s="1" t="str">
        <f t="shared" si="2"/>
        <v/>
      </c>
      <c r="J14079" s="1" t="str">
        <f t="shared" si="3"/>
        <v/>
      </c>
      <c r="K14079" s="1" t="str">
        <f t="shared" si="4"/>
        <v/>
      </c>
    </row>
    <row r="14080">
      <c r="F14080" s="1" t="str">
        <f t="shared" si="1"/>
        <v/>
      </c>
      <c r="G14080" s="1" t="str">
        <f t="shared" si="2"/>
        <v/>
      </c>
      <c r="J14080" s="1" t="str">
        <f t="shared" si="3"/>
        <v/>
      </c>
      <c r="K14080" s="1" t="str">
        <f t="shared" si="4"/>
        <v/>
      </c>
    </row>
    <row r="14081">
      <c r="F14081" s="1" t="str">
        <f t="shared" si="1"/>
        <v/>
      </c>
      <c r="G14081" s="1" t="str">
        <f t="shared" si="2"/>
        <v/>
      </c>
      <c r="J14081" s="1" t="str">
        <f t="shared" si="3"/>
        <v/>
      </c>
      <c r="K14081" s="1" t="str">
        <f t="shared" si="4"/>
        <v/>
      </c>
    </row>
    <row r="14082">
      <c r="F14082" s="1" t="str">
        <f t="shared" si="1"/>
        <v/>
      </c>
      <c r="G14082" s="1" t="str">
        <f t="shared" si="2"/>
        <v/>
      </c>
      <c r="J14082" s="1" t="str">
        <f t="shared" si="3"/>
        <v/>
      </c>
      <c r="K14082" s="1" t="str">
        <f t="shared" si="4"/>
        <v/>
      </c>
    </row>
    <row r="14083">
      <c r="F14083" s="1" t="str">
        <f t="shared" si="1"/>
        <v/>
      </c>
      <c r="G14083" s="1" t="str">
        <f t="shared" si="2"/>
        <v/>
      </c>
      <c r="J14083" s="1" t="str">
        <f t="shared" si="3"/>
        <v/>
      </c>
      <c r="K14083" s="1" t="str">
        <f t="shared" si="4"/>
        <v/>
      </c>
    </row>
    <row r="14084">
      <c r="F14084" s="1" t="str">
        <f t="shared" si="1"/>
        <v/>
      </c>
      <c r="G14084" s="1" t="str">
        <f t="shared" si="2"/>
        <v/>
      </c>
      <c r="J14084" s="1" t="str">
        <f t="shared" si="3"/>
        <v/>
      </c>
      <c r="K14084" s="1" t="str">
        <f t="shared" si="4"/>
        <v/>
      </c>
    </row>
    <row r="14085">
      <c r="F14085" s="1" t="str">
        <f t="shared" si="1"/>
        <v/>
      </c>
      <c r="G14085" s="1" t="str">
        <f t="shared" si="2"/>
        <v/>
      </c>
      <c r="J14085" s="1" t="str">
        <f t="shared" si="3"/>
        <v/>
      </c>
      <c r="K14085" s="1" t="str">
        <f t="shared" si="4"/>
        <v/>
      </c>
    </row>
    <row r="14086">
      <c r="F14086" s="1" t="str">
        <f t="shared" si="1"/>
        <v/>
      </c>
      <c r="G14086" s="1" t="str">
        <f t="shared" si="2"/>
        <v/>
      </c>
      <c r="J14086" s="1" t="str">
        <f t="shared" si="3"/>
        <v/>
      </c>
      <c r="K14086" s="1" t="str">
        <f t="shared" si="4"/>
        <v/>
      </c>
    </row>
    <row r="14087">
      <c r="F14087" s="1" t="str">
        <f t="shared" si="1"/>
        <v/>
      </c>
      <c r="G14087" s="1" t="str">
        <f t="shared" si="2"/>
        <v/>
      </c>
      <c r="J14087" s="1" t="str">
        <f t="shared" si="3"/>
        <v/>
      </c>
      <c r="K14087" s="1" t="str">
        <f t="shared" si="4"/>
        <v/>
      </c>
    </row>
    <row r="14088">
      <c r="F14088" s="1" t="str">
        <f t="shared" si="1"/>
        <v/>
      </c>
      <c r="G14088" s="1" t="str">
        <f t="shared" si="2"/>
        <v/>
      </c>
      <c r="J14088" s="1" t="str">
        <f t="shared" si="3"/>
        <v/>
      </c>
      <c r="K14088" s="1" t="str">
        <f t="shared" si="4"/>
        <v/>
      </c>
    </row>
    <row r="14089">
      <c r="F14089" s="1" t="str">
        <f t="shared" si="1"/>
        <v/>
      </c>
      <c r="G14089" s="1" t="str">
        <f t="shared" si="2"/>
        <v/>
      </c>
      <c r="J14089" s="1" t="str">
        <f t="shared" si="3"/>
        <v/>
      </c>
      <c r="K14089" s="1" t="str">
        <f t="shared" si="4"/>
        <v/>
      </c>
    </row>
    <row r="14090">
      <c r="F14090" s="1" t="str">
        <f t="shared" si="1"/>
        <v/>
      </c>
      <c r="G14090" s="1" t="str">
        <f t="shared" si="2"/>
        <v/>
      </c>
      <c r="J14090" s="1" t="str">
        <f t="shared" si="3"/>
        <v/>
      </c>
      <c r="K14090" s="1" t="str">
        <f t="shared" si="4"/>
        <v/>
      </c>
    </row>
    <row r="14091">
      <c r="F14091" s="1" t="str">
        <f t="shared" si="1"/>
        <v/>
      </c>
      <c r="G14091" s="1" t="str">
        <f t="shared" si="2"/>
        <v/>
      </c>
      <c r="J14091" s="1" t="str">
        <f t="shared" si="3"/>
        <v/>
      </c>
      <c r="K14091" s="1" t="str">
        <f t="shared" si="4"/>
        <v/>
      </c>
    </row>
    <row r="14092">
      <c r="F14092" s="1" t="str">
        <f t="shared" si="1"/>
        <v/>
      </c>
      <c r="G14092" s="1" t="str">
        <f t="shared" si="2"/>
        <v/>
      </c>
      <c r="J14092" s="1" t="str">
        <f t="shared" si="3"/>
        <v/>
      </c>
      <c r="K14092" s="1" t="str">
        <f t="shared" si="4"/>
        <v/>
      </c>
    </row>
    <row r="14093">
      <c r="F14093" s="1" t="str">
        <f t="shared" si="1"/>
        <v/>
      </c>
      <c r="G14093" s="1" t="str">
        <f t="shared" si="2"/>
        <v/>
      </c>
      <c r="J14093" s="1" t="str">
        <f t="shared" si="3"/>
        <v/>
      </c>
      <c r="K14093" s="1" t="str">
        <f t="shared" si="4"/>
        <v/>
      </c>
    </row>
    <row r="14094">
      <c r="F14094" s="1" t="str">
        <f t="shared" si="1"/>
        <v/>
      </c>
      <c r="G14094" s="1" t="str">
        <f t="shared" si="2"/>
        <v/>
      </c>
      <c r="J14094" s="1" t="str">
        <f t="shared" si="3"/>
        <v/>
      </c>
      <c r="K14094" s="1" t="str">
        <f t="shared" si="4"/>
        <v/>
      </c>
    </row>
    <row r="14095">
      <c r="F14095" s="1" t="str">
        <f t="shared" si="1"/>
        <v/>
      </c>
      <c r="G14095" s="1" t="str">
        <f t="shared" si="2"/>
        <v/>
      </c>
      <c r="J14095" s="1" t="str">
        <f t="shared" si="3"/>
        <v/>
      </c>
      <c r="K14095" s="1" t="str">
        <f t="shared" si="4"/>
        <v/>
      </c>
    </row>
    <row r="14096">
      <c r="F14096" s="1" t="str">
        <f t="shared" si="1"/>
        <v/>
      </c>
      <c r="G14096" s="1" t="str">
        <f t="shared" si="2"/>
        <v/>
      </c>
      <c r="J14096" s="1" t="str">
        <f t="shared" si="3"/>
        <v/>
      </c>
      <c r="K14096" s="1" t="str">
        <f t="shared" si="4"/>
        <v/>
      </c>
    </row>
    <row r="14097">
      <c r="F14097" s="1" t="str">
        <f t="shared" si="1"/>
        <v/>
      </c>
      <c r="G14097" s="1" t="str">
        <f t="shared" si="2"/>
        <v/>
      </c>
      <c r="J14097" s="1" t="str">
        <f t="shared" si="3"/>
        <v/>
      </c>
      <c r="K14097" s="1" t="str">
        <f t="shared" si="4"/>
        <v/>
      </c>
    </row>
    <row r="14098">
      <c r="F14098" s="1" t="str">
        <f t="shared" si="1"/>
        <v/>
      </c>
      <c r="G14098" s="1" t="str">
        <f t="shared" si="2"/>
        <v/>
      </c>
      <c r="J14098" s="1" t="str">
        <f t="shared" si="3"/>
        <v/>
      </c>
      <c r="K14098" s="1" t="str">
        <f t="shared" si="4"/>
        <v/>
      </c>
    </row>
    <row r="14099">
      <c r="F14099" s="1" t="str">
        <f t="shared" si="1"/>
        <v/>
      </c>
      <c r="G14099" s="1" t="str">
        <f t="shared" si="2"/>
        <v/>
      </c>
      <c r="J14099" s="1" t="str">
        <f t="shared" si="3"/>
        <v/>
      </c>
      <c r="K14099" s="1" t="str">
        <f t="shared" si="4"/>
        <v/>
      </c>
    </row>
    <row r="14100">
      <c r="F14100" s="1" t="str">
        <f t="shared" si="1"/>
        <v/>
      </c>
      <c r="G14100" s="1" t="str">
        <f t="shared" si="2"/>
        <v/>
      </c>
      <c r="J14100" s="1" t="str">
        <f t="shared" si="3"/>
        <v/>
      </c>
      <c r="K14100" s="1" t="str">
        <f t="shared" si="4"/>
        <v/>
      </c>
    </row>
    <row r="14101">
      <c r="F14101" s="1" t="str">
        <f t="shared" si="1"/>
        <v/>
      </c>
      <c r="G14101" s="1" t="str">
        <f t="shared" si="2"/>
        <v/>
      </c>
      <c r="J14101" s="1" t="str">
        <f t="shared" si="3"/>
        <v/>
      </c>
      <c r="K14101" s="1" t="str">
        <f t="shared" si="4"/>
        <v/>
      </c>
    </row>
    <row r="14102">
      <c r="F14102" s="1" t="str">
        <f t="shared" si="1"/>
        <v/>
      </c>
      <c r="G14102" s="1" t="str">
        <f t="shared" si="2"/>
        <v/>
      </c>
      <c r="J14102" s="1" t="str">
        <f t="shared" si="3"/>
        <v/>
      </c>
      <c r="K14102" s="1" t="str">
        <f t="shared" si="4"/>
        <v/>
      </c>
    </row>
    <row r="14103">
      <c r="F14103" s="1" t="str">
        <f t="shared" si="1"/>
        <v/>
      </c>
      <c r="G14103" s="1" t="str">
        <f t="shared" si="2"/>
        <v/>
      </c>
      <c r="J14103" s="1" t="str">
        <f t="shared" si="3"/>
        <v/>
      </c>
      <c r="K14103" s="1" t="str">
        <f t="shared" si="4"/>
        <v/>
      </c>
    </row>
    <row r="14104">
      <c r="F14104" s="1" t="str">
        <f t="shared" si="1"/>
        <v/>
      </c>
      <c r="G14104" s="1" t="str">
        <f t="shared" si="2"/>
        <v/>
      </c>
      <c r="J14104" s="1" t="str">
        <f t="shared" si="3"/>
        <v/>
      </c>
      <c r="K14104" s="1" t="str">
        <f t="shared" si="4"/>
        <v/>
      </c>
    </row>
    <row r="14105">
      <c r="F14105" s="1" t="str">
        <f t="shared" si="1"/>
        <v/>
      </c>
      <c r="G14105" s="1" t="str">
        <f t="shared" si="2"/>
        <v/>
      </c>
      <c r="J14105" s="1" t="str">
        <f t="shared" si="3"/>
        <v/>
      </c>
      <c r="K14105" s="1" t="str">
        <f t="shared" si="4"/>
        <v/>
      </c>
    </row>
    <row r="14106">
      <c r="F14106" s="1" t="str">
        <f t="shared" si="1"/>
        <v/>
      </c>
      <c r="G14106" s="1" t="str">
        <f t="shared" si="2"/>
        <v/>
      </c>
      <c r="J14106" s="1" t="str">
        <f t="shared" si="3"/>
        <v/>
      </c>
      <c r="K14106" s="1" t="str">
        <f t="shared" si="4"/>
        <v/>
      </c>
    </row>
    <row r="14107">
      <c r="F14107" s="1" t="str">
        <f t="shared" si="1"/>
        <v/>
      </c>
      <c r="G14107" s="1" t="str">
        <f t="shared" si="2"/>
        <v/>
      </c>
      <c r="J14107" s="1" t="str">
        <f t="shared" si="3"/>
        <v/>
      </c>
      <c r="K14107" s="1" t="str">
        <f t="shared" si="4"/>
        <v/>
      </c>
    </row>
    <row r="14108">
      <c r="F14108" s="1" t="str">
        <f t="shared" si="1"/>
        <v/>
      </c>
      <c r="G14108" s="1" t="str">
        <f t="shared" si="2"/>
        <v/>
      </c>
      <c r="J14108" s="1" t="str">
        <f t="shared" si="3"/>
        <v/>
      </c>
      <c r="K14108" s="1" t="str">
        <f t="shared" si="4"/>
        <v/>
      </c>
    </row>
    <row r="14109">
      <c r="F14109" s="1" t="str">
        <f t="shared" si="1"/>
        <v/>
      </c>
      <c r="G14109" s="1" t="str">
        <f t="shared" si="2"/>
        <v/>
      </c>
      <c r="J14109" s="1" t="str">
        <f t="shared" si="3"/>
        <v/>
      </c>
      <c r="K14109" s="1" t="str">
        <f t="shared" si="4"/>
        <v/>
      </c>
    </row>
    <row r="14110">
      <c r="F14110" s="1" t="str">
        <f t="shared" si="1"/>
        <v/>
      </c>
      <c r="G14110" s="1" t="str">
        <f t="shared" si="2"/>
        <v/>
      </c>
      <c r="J14110" s="1" t="str">
        <f t="shared" si="3"/>
        <v/>
      </c>
      <c r="K14110" s="1" t="str">
        <f t="shared" si="4"/>
        <v/>
      </c>
    </row>
    <row r="14111">
      <c r="F14111" s="1" t="str">
        <f t="shared" si="1"/>
        <v/>
      </c>
      <c r="G14111" s="1" t="str">
        <f t="shared" si="2"/>
        <v/>
      </c>
      <c r="J14111" s="1" t="str">
        <f t="shared" si="3"/>
        <v/>
      </c>
      <c r="K14111" s="1" t="str">
        <f t="shared" si="4"/>
        <v/>
      </c>
    </row>
    <row r="14112">
      <c r="F14112" s="1" t="str">
        <f t="shared" si="1"/>
        <v/>
      </c>
      <c r="G14112" s="1" t="str">
        <f t="shared" si="2"/>
        <v/>
      </c>
      <c r="J14112" s="1" t="str">
        <f t="shared" si="3"/>
        <v/>
      </c>
      <c r="K14112" s="1" t="str">
        <f t="shared" si="4"/>
        <v/>
      </c>
    </row>
    <row r="14113">
      <c r="F14113" s="1" t="str">
        <f t="shared" si="1"/>
        <v/>
      </c>
      <c r="G14113" s="1" t="str">
        <f t="shared" si="2"/>
        <v/>
      </c>
      <c r="J14113" s="1" t="str">
        <f t="shared" si="3"/>
        <v/>
      </c>
      <c r="K14113" s="1" t="str">
        <f t="shared" si="4"/>
        <v/>
      </c>
    </row>
    <row r="14114">
      <c r="F14114" s="1" t="str">
        <f t="shared" si="1"/>
        <v/>
      </c>
      <c r="G14114" s="1" t="str">
        <f t="shared" si="2"/>
        <v/>
      </c>
      <c r="J14114" s="1" t="str">
        <f t="shared" si="3"/>
        <v/>
      </c>
      <c r="K14114" s="1" t="str">
        <f t="shared" si="4"/>
        <v/>
      </c>
    </row>
    <row r="14115">
      <c r="F14115" s="1" t="str">
        <f t="shared" si="1"/>
        <v/>
      </c>
      <c r="G14115" s="1" t="str">
        <f t="shared" si="2"/>
        <v/>
      </c>
      <c r="J14115" s="1" t="str">
        <f t="shared" si="3"/>
        <v/>
      </c>
      <c r="K14115" s="1" t="str">
        <f t="shared" si="4"/>
        <v/>
      </c>
    </row>
    <row r="14116">
      <c r="F14116" s="1" t="str">
        <f t="shared" si="1"/>
        <v/>
      </c>
      <c r="G14116" s="1" t="str">
        <f t="shared" si="2"/>
        <v/>
      </c>
      <c r="J14116" s="1" t="str">
        <f t="shared" si="3"/>
        <v/>
      </c>
      <c r="K14116" s="1" t="str">
        <f t="shared" si="4"/>
        <v/>
      </c>
    </row>
    <row r="14117">
      <c r="F14117" s="1" t="str">
        <f t="shared" si="1"/>
        <v/>
      </c>
      <c r="G14117" s="1" t="str">
        <f t="shared" si="2"/>
        <v/>
      </c>
      <c r="J14117" s="1" t="str">
        <f t="shared" si="3"/>
        <v/>
      </c>
      <c r="K14117" s="1" t="str">
        <f t="shared" si="4"/>
        <v/>
      </c>
    </row>
    <row r="14118">
      <c r="F14118" s="1" t="str">
        <f t="shared" si="1"/>
        <v/>
      </c>
      <c r="G14118" s="1" t="str">
        <f t="shared" si="2"/>
        <v/>
      </c>
      <c r="J14118" s="1" t="str">
        <f t="shared" si="3"/>
        <v/>
      </c>
      <c r="K14118" s="1" t="str">
        <f t="shared" si="4"/>
        <v/>
      </c>
    </row>
    <row r="14119">
      <c r="F14119" s="1" t="str">
        <f t="shared" si="1"/>
        <v/>
      </c>
      <c r="G14119" s="1" t="str">
        <f t="shared" si="2"/>
        <v/>
      </c>
      <c r="J14119" s="1" t="str">
        <f t="shared" si="3"/>
        <v/>
      </c>
      <c r="K14119" s="1" t="str">
        <f t="shared" si="4"/>
        <v/>
      </c>
    </row>
    <row r="14120">
      <c r="F14120" s="1" t="str">
        <f t="shared" si="1"/>
        <v/>
      </c>
      <c r="G14120" s="1" t="str">
        <f t="shared" si="2"/>
        <v/>
      </c>
      <c r="J14120" s="1" t="str">
        <f t="shared" si="3"/>
        <v/>
      </c>
      <c r="K14120" s="1" t="str">
        <f t="shared" si="4"/>
        <v/>
      </c>
    </row>
    <row r="14121">
      <c r="F14121" s="1" t="str">
        <f t="shared" si="1"/>
        <v/>
      </c>
      <c r="G14121" s="1" t="str">
        <f t="shared" si="2"/>
        <v/>
      </c>
      <c r="J14121" s="1" t="str">
        <f t="shared" si="3"/>
        <v/>
      </c>
      <c r="K14121" s="1" t="str">
        <f t="shared" si="4"/>
        <v/>
      </c>
    </row>
    <row r="14122">
      <c r="F14122" s="1" t="str">
        <f t="shared" si="1"/>
        <v/>
      </c>
      <c r="G14122" s="1" t="str">
        <f t="shared" si="2"/>
        <v/>
      </c>
      <c r="J14122" s="1" t="str">
        <f t="shared" si="3"/>
        <v/>
      </c>
      <c r="K14122" s="1" t="str">
        <f t="shared" si="4"/>
        <v/>
      </c>
    </row>
    <row r="14123">
      <c r="F14123" s="1" t="str">
        <f t="shared" si="1"/>
        <v/>
      </c>
      <c r="G14123" s="1" t="str">
        <f t="shared" si="2"/>
        <v/>
      </c>
      <c r="J14123" s="1" t="str">
        <f t="shared" si="3"/>
        <v/>
      </c>
      <c r="K14123" s="1" t="str">
        <f t="shared" si="4"/>
        <v/>
      </c>
    </row>
    <row r="14124">
      <c r="F14124" s="1" t="str">
        <f t="shared" si="1"/>
        <v/>
      </c>
      <c r="G14124" s="1" t="str">
        <f t="shared" si="2"/>
        <v/>
      </c>
      <c r="J14124" s="1" t="str">
        <f t="shared" si="3"/>
        <v/>
      </c>
      <c r="K14124" s="1" t="str">
        <f t="shared" si="4"/>
        <v/>
      </c>
    </row>
    <row r="14125">
      <c r="F14125" s="1" t="str">
        <f t="shared" si="1"/>
        <v/>
      </c>
      <c r="G14125" s="1" t="str">
        <f t="shared" si="2"/>
        <v/>
      </c>
      <c r="J14125" s="1" t="str">
        <f t="shared" si="3"/>
        <v/>
      </c>
      <c r="K14125" s="1" t="str">
        <f t="shared" si="4"/>
        <v/>
      </c>
    </row>
    <row r="14126">
      <c r="F14126" s="1" t="str">
        <f t="shared" si="1"/>
        <v/>
      </c>
      <c r="G14126" s="1" t="str">
        <f t="shared" si="2"/>
        <v/>
      </c>
      <c r="J14126" s="1" t="str">
        <f t="shared" si="3"/>
        <v/>
      </c>
      <c r="K14126" s="1" t="str">
        <f t="shared" si="4"/>
        <v/>
      </c>
    </row>
    <row r="14127">
      <c r="F14127" s="1" t="str">
        <f t="shared" si="1"/>
        <v/>
      </c>
      <c r="G14127" s="1" t="str">
        <f t="shared" si="2"/>
        <v/>
      </c>
      <c r="J14127" s="1" t="str">
        <f t="shared" si="3"/>
        <v/>
      </c>
      <c r="K14127" s="1" t="str">
        <f t="shared" si="4"/>
        <v/>
      </c>
    </row>
    <row r="14128">
      <c r="F14128" s="1" t="str">
        <f t="shared" si="1"/>
        <v/>
      </c>
      <c r="G14128" s="1" t="str">
        <f t="shared" si="2"/>
        <v/>
      </c>
      <c r="J14128" s="1" t="str">
        <f t="shared" si="3"/>
        <v/>
      </c>
      <c r="K14128" s="1" t="str">
        <f t="shared" si="4"/>
        <v/>
      </c>
    </row>
    <row r="14129">
      <c r="F14129" s="1" t="str">
        <f t="shared" si="1"/>
        <v/>
      </c>
      <c r="G14129" s="1" t="str">
        <f t="shared" si="2"/>
        <v/>
      </c>
      <c r="J14129" s="1" t="str">
        <f t="shared" si="3"/>
        <v/>
      </c>
      <c r="K14129" s="1" t="str">
        <f t="shared" si="4"/>
        <v/>
      </c>
    </row>
    <row r="14130">
      <c r="F14130" s="1" t="str">
        <f t="shared" si="1"/>
        <v/>
      </c>
      <c r="G14130" s="1" t="str">
        <f t="shared" si="2"/>
        <v/>
      </c>
      <c r="J14130" s="1" t="str">
        <f t="shared" si="3"/>
        <v/>
      </c>
      <c r="K14130" s="1" t="str">
        <f t="shared" si="4"/>
        <v/>
      </c>
    </row>
    <row r="14131">
      <c r="F14131" s="1" t="str">
        <f t="shared" si="1"/>
        <v/>
      </c>
      <c r="G14131" s="1" t="str">
        <f t="shared" si="2"/>
        <v/>
      </c>
      <c r="J14131" s="1" t="str">
        <f t="shared" si="3"/>
        <v/>
      </c>
      <c r="K14131" s="1" t="str">
        <f t="shared" si="4"/>
        <v/>
      </c>
    </row>
    <row r="14132">
      <c r="F14132" s="1" t="str">
        <f t="shared" si="1"/>
        <v/>
      </c>
      <c r="G14132" s="1" t="str">
        <f t="shared" si="2"/>
        <v/>
      </c>
      <c r="J14132" s="1" t="str">
        <f t="shared" si="3"/>
        <v/>
      </c>
      <c r="K14132" s="1" t="str">
        <f t="shared" si="4"/>
        <v/>
      </c>
    </row>
    <row r="14133">
      <c r="F14133" s="1" t="str">
        <f t="shared" si="1"/>
        <v/>
      </c>
      <c r="G14133" s="1" t="str">
        <f t="shared" si="2"/>
        <v/>
      </c>
      <c r="J14133" s="1" t="str">
        <f t="shared" si="3"/>
        <v/>
      </c>
      <c r="K14133" s="1" t="str">
        <f t="shared" si="4"/>
        <v/>
      </c>
    </row>
    <row r="14134">
      <c r="F14134" s="1" t="str">
        <f t="shared" si="1"/>
        <v/>
      </c>
      <c r="G14134" s="1" t="str">
        <f t="shared" si="2"/>
        <v/>
      </c>
      <c r="J14134" s="1" t="str">
        <f t="shared" si="3"/>
        <v/>
      </c>
      <c r="K14134" s="1" t="str">
        <f t="shared" si="4"/>
        <v/>
      </c>
    </row>
    <row r="14135">
      <c r="F14135" s="1" t="str">
        <f t="shared" si="1"/>
        <v/>
      </c>
      <c r="G14135" s="1" t="str">
        <f t="shared" si="2"/>
        <v/>
      </c>
      <c r="J14135" s="1" t="str">
        <f t="shared" si="3"/>
        <v/>
      </c>
      <c r="K14135" s="1" t="str">
        <f t="shared" si="4"/>
        <v/>
      </c>
    </row>
    <row r="14136">
      <c r="F14136" s="1" t="str">
        <f t="shared" si="1"/>
        <v/>
      </c>
      <c r="G14136" s="1" t="str">
        <f t="shared" si="2"/>
        <v/>
      </c>
      <c r="J14136" s="1" t="str">
        <f t="shared" si="3"/>
        <v/>
      </c>
      <c r="K14136" s="1" t="str">
        <f t="shared" si="4"/>
        <v/>
      </c>
    </row>
    <row r="14137">
      <c r="F14137" s="1" t="str">
        <f t="shared" si="1"/>
        <v/>
      </c>
      <c r="G14137" s="1" t="str">
        <f t="shared" si="2"/>
        <v/>
      </c>
      <c r="J14137" s="1" t="str">
        <f t="shared" si="3"/>
        <v/>
      </c>
      <c r="K14137" s="1" t="str">
        <f t="shared" si="4"/>
        <v/>
      </c>
    </row>
    <row r="14138">
      <c r="F14138" s="1" t="str">
        <f t="shared" si="1"/>
        <v/>
      </c>
      <c r="G14138" s="1" t="str">
        <f t="shared" si="2"/>
        <v/>
      </c>
      <c r="J14138" s="1" t="str">
        <f t="shared" si="3"/>
        <v/>
      </c>
      <c r="K14138" s="1" t="str">
        <f t="shared" si="4"/>
        <v/>
      </c>
    </row>
    <row r="14139">
      <c r="F14139" s="1" t="str">
        <f t="shared" si="1"/>
        <v/>
      </c>
      <c r="G14139" s="1" t="str">
        <f t="shared" si="2"/>
        <v/>
      </c>
      <c r="J14139" s="1" t="str">
        <f t="shared" si="3"/>
        <v/>
      </c>
      <c r="K14139" s="1" t="str">
        <f t="shared" si="4"/>
        <v/>
      </c>
    </row>
    <row r="14140">
      <c r="F14140" s="1" t="str">
        <f t="shared" si="1"/>
        <v/>
      </c>
      <c r="G14140" s="1" t="str">
        <f t="shared" si="2"/>
        <v/>
      </c>
      <c r="J14140" s="1" t="str">
        <f t="shared" si="3"/>
        <v/>
      </c>
      <c r="K14140" s="1" t="str">
        <f t="shared" si="4"/>
        <v/>
      </c>
    </row>
    <row r="14141">
      <c r="F14141" s="1" t="str">
        <f t="shared" si="1"/>
        <v/>
      </c>
      <c r="G14141" s="1" t="str">
        <f t="shared" si="2"/>
        <v/>
      </c>
      <c r="J14141" s="1" t="str">
        <f t="shared" si="3"/>
        <v/>
      </c>
      <c r="K14141" s="1" t="str">
        <f t="shared" si="4"/>
        <v/>
      </c>
    </row>
    <row r="14142">
      <c r="F14142" s="1" t="str">
        <f t="shared" si="1"/>
        <v/>
      </c>
      <c r="G14142" s="1" t="str">
        <f t="shared" si="2"/>
        <v/>
      </c>
      <c r="J14142" s="1" t="str">
        <f t="shared" si="3"/>
        <v/>
      </c>
      <c r="K14142" s="1" t="str">
        <f t="shared" si="4"/>
        <v/>
      </c>
    </row>
    <row r="14143">
      <c r="F14143" s="1" t="str">
        <f t="shared" si="1"/>
        <v/>
      </c>
      <c r="G14143" s="1" t="str">
        <f t="shared" si="2"/>
        <v/>
      </c>
      <c r="J14143" s="1" t="str">
        <f t="shared" si="3"/>
        <v/>
      </c>
      <c r="K14143" s="1" t="str">
        <f t="shared" si="4"/>
        <v/>
      </c>
    </row>
    <row r="14144">
      <c r="F14144" s="1" t="str">
        <f t="shared" si="1"/>
        <v/>
      </c>
      <c r="G14144" s="1" t="str">
        <f t="shared" si="2"/>
        <v/>
      </c>
      <c r="J14144" s="1" t="str">
        <f t="shared" si="3"/>
        <v/>
      </c>
      <c r="K14144" s="1" t="str">
        <f t="shared" si="4"/>
        <v/>
      </c>
    </row>
    <row r="14145">
      <c r="F14145" s="1" t="str">
        <f t="shared" si="1"/>
        <v/>
      </c>
      <c r="G14145" s="1" t="str">
        <f t="shared" si="2"/>
        <v/>
      </c>
      <c r="J14145" s="1" t="str">
        <f t="shared" si="3"/>
        <v/>
      </c>
      <c r="K14145" s="1" t="str">
        <f t="shared" si="4"/>
        <v/>
      </c>
    </row>
    <row r="14146">
      <c r="F14146" s="1" t="str">
        <f t="shared" si="1"/>
        <v/>
      </c>
      <c r="G14146" s="1" t="str">
        <f t="shared" si="2"/>
        <v/>
      </c>
      <c r="J14146" s="1" t="str">
        <f t="shared" si="3"/>
        <v/>
      </c>
      <c r="K14146" s="1" t="str">
        <f t="shared" si="4"/>
        <v/>
      </c>
    </row>
    <row r="14147">
      <c r="F14147" s="1" t="str">
        <f t="shared" si="1"/>
        <v/>
      </c>
      <c r="G14147" s="1" t="str">
        <f t="shared" si="2"/>
        <v/>
      </c>
      <c r="J14147" s="1" t="str">
        <f t="shared" si="3"/>
        <v/>
      </c>
      <c r="K14147" s="1" t="str">
        <f t="shared" si="4"/>
        <v/>
      </c>
    </row>
    <row r="14148">
      <c r="F14148" s="1" t="str">
        <f t="shared" si="1"/>
        <v/>
      </c>
      <c r="G14148" s="1" t="str">
        <f t="shared" si="2"/>
        <v/>
      </c>
      <c r="J14148" s="1" t="str">
        <f t="shared" si="3"/>
        <v/>
      </c>
      <c r="K14148" s="1" t="str">
        <f t="shared" si="4"/>
        <v/>
      </c>
    </row>
    <row r="14149">
      <c r="F14149" s="1" t="str">
        <f t="shared" si="1"/>
        <v/>
      </c>
      <c r="G14149" s="1" t="str">
        <f t="shared" si="2"/>
        <v/>
      </c>
      <c r="J14149" s="1" t="str">
        <f t="shared" si="3"/>
        <v/>
      </c>
      <c r="K14149" s="1" t="str">
        <f t="shared" si="4"/>
        <v/>
      </c>
    </row>
    <row r="14150">
      <c r="F14150" s="1" t="str">
        <f t="shared" si="1"/>
        <v/>
      </c>
      <c r="G14150" s="1" t="str">
        <f t="shared" si="2"/>
        <v/>
      </c>
      <c r="J14150" s="1" t="str">
        <f t="shared" si="3"/>
        <v/>
      </c>
      <c r="K14150" s="1" t="str">
        <f t="shared" si="4"/>
        <v/>
      </c>
    </row>
    <row r="14151">
      <c r="F14151" s="1" t="str">
        <f t="shared" si="1"/>
        <v/>
      </c>
      <c r="G14151" s="1" t="str">
        <f t="shared" si="2"/>
        <v/>
      </c>
      <c r="J14151" s="1" t="str">
        <f t="shared" si="3"/>
        <v/>
      </c>
      <c r="K14151" s="1" t="str">
        <f t="shared" si="4"/>
        <v/>
      </c>
    </row>
    <row r="14152">
      <c r="F14152" s="1" t="str">
        <f t="shared" si="1"/>
        <v/>
      </c>
      <c r="G14152" s="1" t="str">
        <f t="shared" si="2"/>
        <v/>
      </c>
      <c r="J14152" s="1" t="str">
        <f t="shared" si="3"/>
        <v/>
      </c>
      <c r="K14152" s="1" t="str">
        <f t="shared" si="4"/>
        <v/>
      </c>
    </row>
    <row r="14153">
      <c r="F14153" s="1" t="str">
        <f t="shared" si="1"/>
        <v/>
      </c>
      <c r="G14153" s="1" t="str">
        <f t="shared" si="2"/>
        <v/>
      </c>
      <c r="J14153" s="1" t="str">
        <f t="shared" si="3"/>
        <v/>
      </c>
      <c r="K14153" s="1" t="str">
        <f t="shared" si="4"/>
        <v/>
      </c>
    </row>
    <row r="14154">
      <c r="F14154" s="1" t="str">
        <f t="shared" si="1"/>
        <v/>
      </c>
      <c r="G14154" s="1" t="str">
        <f t="shared" si="2"/>
        <v/>
      </c>
      <c r="J14154" s="1" t="str">
        <f t="shared" si="3"/>
        <v/>
      </c>
      <c r="K14154" s="1" t="str">
        <f t="shared" si="4"/>
        <v/>
      </c>
    </row>
    <row r="14155">
      <c r="F14155" s="1" t="str">
        <f t="shared" si="1"/>
        <v/>
      </c>
      <c r="G14155" s="1" t="str">
        <f t="shared" si="2"/>
        <v/>
      </c>
      <c r="J14155" s="1" t="str">
        <f t="shared" si="3"/>
        <v/>
      </c>
      <c r="K14155" s="1" t="str">
        <f t="shared" si="4"/>
        <v/>
      </c>
    </row>
    <row r="14156">
      <c r="F14156" s="1" t="str">
        <f t="shared" si="1"/>
        <v/>
      </c>
      <c r="G14156" s="1" t="str">
        <f t="shared" si="2"/>
        <v/>
      </c>
      <c r="J14156" s="1" t="str">
        <f t="shared" si="3"/>
        <v/>
      </c>
      <c r="K14156" s="1" t="str">
        <f t="shared" si="4"/>
        <v/>
      </c>
    </row>
    <row r="14157">
      <c r="F14157" s="1" t="str">
        <f t="shared" si="1"/>
        <v/>
      </c>
      <c r="G14157" s="1" t="str">
        <f t="shared" si="2"/>
        <v/>
      </c>
      <c r="J14157" s="1" t="str">
        <f t="shared" si="3"/>
        <v/>
      </c>
      <c r="K14157" s="1" t="str">
        <f t="shared" si="4"/>
        <v/>
      </c>
    </row>
    <row r="14158">
      <c r="F14158" s="1" t="str">
        <f t="shared" si="1"/>
        <v/>
      </c>
      <c r="G14158" s="1" t="str">
        <f t="shared" si="2"/>
        <v/>
      </c>
      <c r="J14158" s="1" t="str">
        <f t="shared" si="3"/>
        <v/>
      </c>
      <c r="K14158" s="1" t="str">
        <f t="shared" si="4"/>
        <v/>
      </c>
    </row>
    <row r="14159">
      <c r="F14159" s="1" t="str">
        <f t="shared" si="1"/>
        <v/>
      </c>
      <c r="G14159" s="1" t="str">
        <f t="shared" si="2"/>
        <v/>
      </c>
      <c r="J14159" s="1" t="str">
        <f t="shared" si="3"/>
        <v/>
      </c>
      <c r="K14159" s="1" t="str">
        <f t="shared" si="4"/>
        <v/>
      </c>
    </row>
    <row r="14160">
      <c r="F14160" s="1" t="str">
        <f t="shared" si="1"/>
        <v/>
      </c>
      <c r="G14160" s="1" t="str">
        <f t="shared" si="2"/>
        <v/>
      </c>
      <c r="J14160" s="1" t="str">
        <f t="shared" si="3"/>
        <v/>
      </c>
      <c r="K14160" s="1" t="str">
        <f t="shared" si="4"/>
        <v/>
      </c>
    </row>
    <row r="14161">
      <c r="F14161" s="1" t="str">
        <f t="shared" si="1"/>
        <v/>
      </c>
      <c r="G14161" s="1" t="str">
        <f t="shared" si="2"/>
        <v/>
      </c>
      <c r="J14161" s="1" t="str">
        <f t="shared" si="3"/>
        <v/>
      </c>
      <c r="K14161" s="1" t="str">
        <f t="shared" si="4"/>
        <v/>
      </c>
    </row>
    <row r="14162">
      <c r="F14162" s="1" t="str">
        <f t="shared" si="1"/>
        <v/>
      </c>
      <c r="G14162" s="1" t="str">
        <f t="shared" si="2"/>
        <v/>
      </c>
      <c r="J14162" s="1" t="str">
        <f t="shared" si="3"/>
        <v/>
      </c>
      <c r="K14162" s="1" t="str">
        <f t="shared" si="4"/>
        <v/>
      </c>
    </row>
    <row r="14163">
      <c r="F14163" s="1" t="str">
        <f t="shared" si="1"/>
        <v/>
      </c>
      <c r="G14163" s="1" t="str">
        <f t="shared" si="2"/>
        <v/>
      </c>
      <c r="J14163" s="1" t="str">
        <f t="shared" si="3"/>
        <v/>
      </c>
      <c r="K14163" s="1" t="str">
        <f t="shared" si="4"/>
        <v/>
      </c>
    </row>
    <row r="14164">
      <c r="F14164" s="1" t="str">
        <f t="shared" si="1"/>
        <v/>
      </c>
      <c r="G14164" s="1" t="str">
        <f t="shared" si="2"/>
        <v/>
      </c>
      <c r="J14164" s="1" t="str">
        <f t="shared" si="3"/>
        <v/>
      </c>
      <c r="K14164" s="1" t="str">
        <f t="shared" si="4"/>
        <v/>
      </c>
    </row>
    <row r="14165">
      <c r="F14165" s="1" t="str">
        <f t="shared" si="1"/>
        <v/>
      </c>
      <c r="G14165" s="1" t="str">
        <f t="shared" si="2"/>
        <v/>
      </c>
      <c r="J14165" s="1" t="str">
        <f t="shared" si="3"/>
        <v/>
      </c>
      <c r="K14165" s="1" t="str">
        <f t="shared" si="4"/>
        <v/>
      </c>
    </row>
    <row r="14166">
      <c r="F14166" s="1" t="str">
        <f t="shared" si="1"/>
        <v/>
      </c>
      <c r="G14166" s="1" t="str">
        <f t="shared" si="2"/>
        <v/>
      </c>
      <c r="J14166" s="1" t="str">
        <f t="shared" si="3"/>
        <v/>
      </c>
      <c r="K14166" s="1" t="str">
        <f t="shared" si="4"/>
        <v/>
      </c>
    </row>
    <row r="14167">
      <c r="F14167" s="1" t="str">
        <f t="shared" si="1"/>
        <v/>
      </c>
      <c r="G14167" s="1" t="str">
        <f t="shared" si="2"/>
        <v/>
      </c>
      <c r="J14167" s="1" t="str">
        <f t="shared" si="3"/>
        <v/>
      </c>
      <c r="K14167" s="1" t="str">
        <f t="shared" si="4"/>
        <v/>
      </c>
    </row>
    <row r="14168">
      <c r="F14168" s="1" t="str">
        <f t="shared" si="1"/>
        <v/>
      </c>
      <c r="G14168" s="1" t="str">
        <f t="shared" si="2"/>
        <v/>
      </c>
      <c r="J14168" s="1" t="str">
        <f t="shared" si="3"/>
        <v/>
      </c>
      <c r="K14168" s="1" t="str">
        <f t="shared" si="4"/>
        <v/>
      </c>
    </row>
    <row r="14169">
      <c r="F14169" s="1" t="str">
        <f t="shared" si="1"/>
        <v/>
      </c>
      <c r="G14169" s="1" t="str">
        <f t="shared" si="2"/>
        <v/>
      </c>
      <c r="J14169" s="1" t="str">
        <f t="shared" si="3"/>
        <v/>
      </c>
      <c r="K14169" s="1" t="str">
        <f t="shared" si="4"/>
        <v/>
      </c>
    </row>
    <row r="14170">
      <c r="F14170" s="1" t="str">
        <f t="shared" si="1"/>
        <v/>
      </c>
      <c r="G14170" s="1" t="str">
        <f t="shared" si="2"/>
        <v/>
      </c>
      <c r="J14170" s="1" t="str">
        <f t="shared" si="3"/>
        <v/>
      </c>
      <c r="K14170" s="1" t="str">
        <f t="shared" si="4"/>
        <v/>
      </c>
    </row>
    <row r="14171">
      <c r="F14171" s="1" t="str">
        <f t="shared" si="1"/>
        <v/>
      </c>
      <c r="G14171" s="1" t="str">
        <f t="shared" si="2"/>
        <v/>
      </c>
      <c r="J14171" s="1" t="str">
        <f t="shared" si="3"/>
        <v/>
      </c>
      <c r="K14171" s="1" t="str">
        <f t="shared" si="4"/>
        <v/>
      </c>
    </row>
    <row r="14172">
      <c r="F14172" s="1" t="str">
        <f t="shared" si="1"/>
        <v/>
      </c>
      <c r="G14172" s="1" t="str">
        <f t="shared" si="2"/>
        <v/>
      </c>
      <c r="J14172" s="1" t="str">
        <f t="shared" si="3"/>
        <v/>
      </c>
      <c r="K14172" s="1" t="str">
        <f t="shared" si="4"/>
        <v/>
      </c>
    </row>
    <row r="14173">
      <c r="F14173" s="1" t="str">
        <f t="shared" si="1"/>
        <v/>
      </c>
      <c r="G14173" s="1" t="str">
        <f t="shared" si="2"/>
        <v/>
      </c>
      <c r="J14173" s="1" t="str">
        <f t="shared" si="3"/>
        <v/>
      </c>
      <c r="K14173" s="1" t="str">
        <f t="shared" si="4"/>
        <v/>
      </c>
    </row>
    <row r="14174">
      <c r="F14174" s="1" t="str">
        <f t="shared" si="1"/>
        <v/>
      </c>
      <c r="G14174" s="1" t="str">
        <f t="shared" si="2"/>
        <v/>
      </c>
      <c r="J14174" s="1" t="str">
        <f t="shared" si="3"/>
        <v/>
      </c>
      <c r="K14174" s="1" t="str">
        <f t="shared" si="4"/>
        <v/>
      </c>
    </row>
    <row r="14175">
      <c r="F14175" s="1" t="str">
        <f t="shared" si="1"/>
        <v/>
      </c>
      <c r="G14175" s="1" t="str">
        <f t="shared" si="2"/>
        <v/>
      </c>
      <c r="J14175" s="1" t="str">
        <f t="shared" si="3"/>
        <v/>
      </c>
      <c r="K14175" s="1" t="str">
        <f t="shared" si="4"/>
        <v/>
      </c>
    </row>
    <row r="14176">
      <c r="F14176" s="1" t="str">
        <f t="shared" si="1"/>
        <v/>
      </c>
      <c r="G14176" s="1" t="str">
        <f t="shared" si="2"/>
        <v/>
      </c>
      <c r="J14176" s="1" t="str">
        <f t="shared" si="3"/>
        <v/>
      </c>
      <c r="K14176" s="1" t="str">
        <f t="shared" si="4"/>
        <v/>
      </c>
    </row>
    <row r="14177">
      <c r="F14177" s="1" t="str">
        <f t="shared" si="1"/>
        <v/>
      </c>
      <c r="G14177" s="1" t="str">
        <f t="shared" si="2"/>
        <v/>
      </c>
      <c r="J14177" s="1" t="str">
        <f t="shared" si="3"/>
        <v/>
      </c>
      <c r="K14177" s="1" t="str">
        <f t="shared" si="4"/>
        <v/>
      </c>
    </row>
    <row r="14178">
      <c r="F14178" s="1" t="str">
        <f t="shared" si="1"/>
        <v/>
      </c>
      <c r="G14178" s="1" t="str">
        <f t="shared" si="2"/>
        <v/>
      </c>
      <c r="J14178" s="1" t="str">
        <f t="shared" si="3"/>
        <v/>
      </c>
      <c r="K14178" s="1" t="str">
        <f t="shared" si="4"/>
        <v/>
      </c>
    </row>
    <row r="14179">
      <c r="F14179" s="1" t="str">
        <f t="shared" si="1"/>
        <v/>
      </c>
      <c r="G14179" s="1" t="str">
        <f t="shared" si="2"/>
        <v/>
      </c>
      <c r="J14179" s="1" t="str">
        <f t="shared" si="3"/>
        <v/>
      </c>
      <c r="K14179" s="1" t="str">
        <f t="shared" si="4"/>
        <v/>
      </c>
    </row>
    <row r="14180">
      <c r="F14180" s="1" t="str">
        <f t="shared" si="1"/>
        <v/>
      </c>
      <c r="G14180" s="1" t="str">
        <f t="shared" si="2"/>
        <v/>
      </c>
      <c r="J14180" s="1" t="str">
        <f t="shared" si="3"/>
        <v/>
      </c>
      <c r="K14180" s="1" t="str">
        <f t="shared" si="4"/>
        <v/>
      </c>
    </row>
    <row r="14181">
      <c r="F14181" s="1" t="str">
        <f t="shared" si="1"/>
        <v/>
      </c>
      <c r="G14181" s="1" t="str">
        <f t="shared" si="2"/>
        <v/>
      </c>
      <c r="J14181" s="1" t="str">
        <f t="shared" si="3"/>
        <v/>
      </c>
      <c r="K14181" s="1" t="str">
        <f t="shared" si="4"/>
        <v/>
      </c>
    </row>
    <row r="14182">
      <c r="F14182" s="1" t="str">
        <f t="shared" si="1"/>
        <v/>
      </c>
      <c r="G14182" s="1" t="str">
        <f t="shared" si="2"/>
        <v/>
      </c>
      <c r="J14182" s="1" t="str">
        <f t="shared" si="3"/>
        <v/>
      </c>
      <c r="K14182" s="1" t="str">
        <f t="shared" si="4"/>
        <v/>
      </c>
    </row>
    <row r="14183">
      <c r="F14183" s="1" t="str">
        <f t="shared" si="1"/>
        <v/>
      </c>
      <c r="G14183" s="1" t="str">
        <f t="shared" si="2"/>
        <v/>
      </c>
      <c r="J14183" s="1" t="str">
        <f t="shared" si="3"/>
        <v/>
      </c>
      <c r="K14183" s="1" t="str">
        <f t="shared" si="4"/>
        <v/>
      </c>
    </row>
    <row r="14184">
      <c r="F14184" s="1" t="str">
        <f t="shared" si="1"/>
        <v/>
      </c>
      <c r="G14184" s="1" t="str">
        <f t="shared" si="2"/>
        <v/>
      </c>
      <c r="J14184" s="1" t="str">
        <f t="shared" si="3"/>
        <v/>
      </c>
      <c r="K14184" s="1" t="str">
        <f t="shared" si="4"/>
        <v/>
      </c>
    </row>
    <row r="14185">
      <c r="F14185" s="1" t="str">
        <f t="shared" si="1"/>
        <v/>
      </c>
      <c r="G14185" s="1" t="str">
        <f t="shared" si="2"/>
        <v/>
      </c>
      <c r="J14185" s="1" t="str">
        <f t="shared" si="3"/>
        <v/>
      </c>
      <c r="K14185" s="1" t="str">
        <f t="shared" si="4"/>
        <v/>
      </c>
    </row>
    <row r="14186">
      <c r="F14186" s="1" t="str">
        <f t="shared" si="1"/>
        <v/>
      </c>
      <c r="G14186" s="1" t="str">
        <f t="shared" si="2"/>
        <v/>
      </c>
      <c r="J14186" s="1" t="str">
        <f t="shared" si="3"/>
        <v/>
      </c>
      <c r="K14186" s="1" t="str">
        <f t="shared" si="4"/>
        <v/>
      </c>
    </row>
    <row r="14187">
      <c r="F14187" s="1" t="str">
        <f t="shared" si="1"/>
        <v/>
      </c>
      <c r="G14187" s="1" t="str">
        <f t="shared" si="2"/>
        <v/>
      </c>
      <c r="J14187" s="1" t="str">
        <f t="shared" si="3"/>
        <v/>
      </c>
      <c r="K14187" s="1" t="str">
        <f t="shared" si="4"/>
        <v/>
      </c>
    </row>
    <row r="14188">
      <c r="F14188" s="1" t="str">
        <f t="shared" si="1"/>
        <v/>
      </c>
      <c r="G14188" s="1" t="str">
        <f t="shared" si="2"/>
        <v/>
      </c>
      <c r="J14188" s="1" t="str">
        <f t="shared" si="3"/>
        <v/>
      </c>
      <c r="K14188" s="1" t="str">
        <f t="shared" si="4"/>
        <v/>
      </c>
    </row>
    <row r="14189">
      <c r="F14189" s="1" t="str">
        <f t="shared" si="1"/>
        <v/>
      </c>
      <c r="G14189" s="1" t="str">
        <f t="shared" si="2"/>
        <v/>
      </c>
      <c r="J14189" s="1" t="str">
        <f t="shared" si="3"/>
        <v/>
      </c>
      <c r="K14189" s="1" t="str">
        <f t="shared" si="4"/>
        <v/>
      </c>
    </row>
    <row r="14190">
      <c r="F14190" s="1" t="str">
        <f t="shared" si="1"/>
        <v/>
      </c>
      <c r="G14190" s="1" t="str">
        <f t="shared" si="2"/>
        <v/>
      </c>
      <c r="J14190" s="1" t="str">
        <f t="shared" si="3"/>
        <v/>
      </c>
      <c r="K14190" s="1" t="str">
        <f t="shared" si="4"/>
        <v/>
      </c>
    </row>
    <row r="14191">
      <c r="F14191" s="1" t="str">
        <f t="shared" si="1"/>
        <v/>
      </c>
      <c r="G14191" s="1" t="str">
        <f t="shared" si="2"/>
        <v/>
      </c>
      <c r="J14191" s="1" t="str">
        <f t="shared" si="3"/>
        <v/>
      </c>
      <c r="K14191" s="1" t="str">
        <f t="shared" si="4"/>
        <v/>
      </c>
    </row>
    <row r="14192">
      <c r="F14192" s="1" t="str">
        <f t="shared" si="1"/>
        <v/>
      </c>
      <c r="G14192" s="1" t="str">
        <f t="shared" si="2"/>
        <v/>
      </c>
      <c r="J14192" s="1" t="str">
        <f t="shared" si="3"/>
        <v/>
      </c>
      <c r="K14192" s="1" t="str">
        <f t="shared" si="4"/>
        <v/>
      </c>
    </row>
    <row r="14193">
      <c r="F14193" s="1" t="str">
        <f t="shared" si="1"/>
        <v/>
      </c>
      <c r="G14193" s="1" t="str">
        <f t="shared" si="2"/>
        <v/>
      </c>
      <c r="J14193" s="1" t="str">
        <f t="shared" si="3"/>
        <v/>
      </c>
      <c r="K14193" s="1" t="str">
        <f t="shared" si="4"/>
        <v/>
      </c>
    </row>
    <row r="14194">
      <c r="F14194" s="1" t="str">
        <f t="shared" si="1"/>
        <v/>
      </c>
      <c r="G14194" s="1" t="str">
        <f t="shared" si="2"/>
        <v/>
      </c>
      <c r="J14194" s="1" t="str">
        <f t="shared" si="3"/>
        <v/>
      </c>
      <c r="K14194" s="1" t="str">
        <f t="shared" si="4"/>
        <v/>
      </c>
    </row>
    <row r="14195">
      <c r="F14195" s="1" t="str">
        <f t="shared" si="1"/>
        <v/>
      </c>
      <c r="G14195" s="1" t="str">
        <f t="shared" si="2"/>
        <v/>
      </c>
      <c r="J14195" s="1" t="str">
        <f t="shared" si="3"/>
        <v/>
      </c>
      <c r="K14195" s="1" t="str">
        <f t="shared" si="4"/>
        <v/>
      </c>
    </row>
    <row r="14196">
      <c r="F14196" s="1" t="str">
        <f t="shared" si="1"/>
        <v/>
      </c>
      <c r="G14196" s="1" t="str">
        <f t="shared" si="2"/>
        <v/>
      </c>
      <c r="J14196" s="1" t="str">
        <f t="shared" si="3"/>
        <v/>
      </c>
      <c r="K14196" s="1" t="str">
        <f t="shared" si="4"/>
        <v/>
      </c>
    </row>
    <row r="14197">
      <c r="F14197" s="1" t="str">
        <f t="shared" si="1"/>
        <v/>
      </c>
      <c r="G14197" s="1" t="str">
        <f t="shared" si="2"/>
        <v/>
      </c>
      <c r="J14197" s="1" t="str">
        <f t="shared" si="3"/>
        <v/>
      </c>
      <c r="K14197" s="1" t="str">
        <f t="shared" si="4"/>
        <v/>
      </c>
    </row>
    <row r="14198">
      <c r="F14198" s="1" t="str">
        <f t="shared" si="1"/>
        <v/>
      </c>
      <c r="G14198" s="1" t="str">
        <f t="shared" si="2"/>
        <v/>
      </c>
      <c r="J14198" s="1" t="str">
        <f t="shared" si="3"/>
        <v/>
      </c>
      <c r="K14198" s="1" t="str">
        <f t="shared" si="4"/>
        <v/>
      </c>
    </row>
    <row r="14199">
      <c r="F14199" s="1" t="str">
        <f t="shared" si="1"/>
        <v/>
      </c>
      <c r="G14199" s="1" t="str">
        <f t="shared" si="2"/>
        <v/>
      </c>
      <c r="J14199" s="1" t="str">
        <f t="shared" si="3"/>
        <v/>
      </c>
      <c r="K14199" s="1" t="str">
        <f t="shared" si="4"/>
        <v/>
      </c>
    </row>
    <row r="14200">
      <c r="F14200" s="1" t="str">
        <f t="shared" si="1"/>
        <v/>
      </c>
      <c r="G14200" s="1" t="str">
        <f t="shared" si="2"/>
        <v/>
      </c>
      <c r="J14200" s="1" t="str">
        <f t="shared" si="3"/>
        <v/>
      </c>
      <c r="K14200" s="1" t="str">
        <f t="shared" si="4"/>
        <v/>
      </c>
    </row>
    <row r="14201">
      <c r="F14201" s="1" t="str">
        <f t="shared" si="1"/>
        <v/>
      </c>
      <c r="G14201" s="1" t="str">
        <f t="shared" si="2"/>
        <v/>
      </c>
      <c r="J14201" s="1" t="str">
        <f t="shared" si="3"/>
        <v/>
      </c>
      <c r="K14201" s="1" t="str">
        <f t="shared" si="4"/>
        <v/>
      </c>
    </row>
    <row r="14202">
      <c r="F14202" s="1" t="str">
        <f t="shared" si="1"/>
        <v/>
      </c>
      <c r="G14202" s="1" t="str">
        <f t="shared" si="2"/>
        <v/>
      </c>
      <c r="J14202" s="1" t="str">
        <f t="shared" si="3"/>
        <v/>
      </c>
      <c r="K14202" s="1" t="str">
        <f t="shared" si="4"/>
        <v/>
      </c>
    </row>
    <row r="14203">
      <c r="F14203" s="1" t="str">
        <f t="shared" si="1"/>
        <v/>
      </c>
      <c r="G14203" s="1" t="str">
        <f t="shared" si="2"/>
        <v/>
      </c>
      <c r="J14203" s="1" t="str">
        <f t="shared" si="3"/>
        <v/>
      </c>
      <c r="K14203" s="1" t="str">
        <f t="shared" si="4"/>
        <v/>
      </c>
    </row>
    <row r="14204">
      <c r="F14204" s="1" t="str">
        <f t="shared" si="1"/>
        <v/>
      </c>
      <c r="G14204" s="1" t="str">
        <f t="shared" si="2"/>
        <v/>
      </c>
      <c r="J14204" s="1" t="str">
        <f t="shared" si="3"/>
        <v/>
      </c>
      <c r="K14204" s="1" t="str">
        <f t="shared" si="4"/>
        <v/>
      </c>
    </row>
    <row r="14205">
      <c r="F14205" s="1" t="str">
        <f t="shared" si="1"/>
        <v/>
      </c>
      <c r="G14205" s="1" t="str">
        <f t="shared" si="2"/>
        <v/>
      </c>
      <c r="J14205" s="1" t="str">
        <f t="shared" si="3"/>
        <v/>
      </c>
      <c r="K14205" s="1" t="str">
        <f t="shared" si="4"/>
        <v/>
      </c>
    </row>
    <row r="14206">
      <c r="F14206" s="1" t="str">
        <f t="shared" si="1"/>
        <v/>
      </c>
      <c r="G14206" s="1" t="str">
        <f t="shared" si="2"/>
        <v/>
      </c>
      <c r="J14206" s="1" t="str">
        <f t="shared" si="3"/>
        <v/>
      </c>
      <c r="K14206" s="1" t="str">
        <f t="shared" si="4"/>
        <v/>
      </c>
    </row>
    <row r="14207">
      <c r="F14207" s="1" t="str">
        <f t="shared" si="1"/>
        <v/>
      </c>
      <c r="G14207" s="1" t="str">
        <f t="shared" si="2"/>
        <v/>
      </c>
      <c r="J14207" s="1" t="str">
        <f t="shared" si="3"/>
        <v/>
      </c>
      <c r="K14207" s="1" t="str">
        <f t="shared" si="4"/>
        <v/>
      </c>
    </row>
    <row r="14208">
      <c r="F14208" s="1" t="str">
        <f t="shared" si="1"/>
        <v/>
      </c>
      <c r="G14208" s="1" t="str">
        <f t="shared" si="2"/>
        <v/>
      </c>
      <c r="J14208" s="1" t="str">
        <f t="shared" si="3"/>
        <v/>
      </c>
      <c r="K14208" s="1" t="str">
        <f t="shared" si="4"/>
        <v/>
      </c>
    </row>
    <row r="14209">
      <c r="F14209" s="1" t="str">
        <f t="shared" si="1"/>
        <v/>
      </c>
      <c r="G14209" s="1" t="str">
        <f t="shared" si="2"/>
        <v/>
      </c>
      <c r="J14209" s="1" t="str">
        <f t="shared" si="3"/>
        <v/>
      </c>
      <c r="K14209" s="1" t="str">
        <f t="shared" si="4"/>
        <v/>
      </c>
    </row>
    <row r="14210">
      <c r="F14210" s="1" t="str">
        <f t="shared" si="1"/>
        <v/>
      </c>
      <c r="G14210" s="1" t="str">
        <f t="shared" si="2"/>
        <v/>
      </c>
      <c r="J14210" s="1" t="str">
        <f t="shared" si="3"/>
        <v/>
      </c>
      <c r="K14210" s="1" t="str">
        <f t="shared" si="4"/>
        <v/>
      </c>
    </row>
    <row r="14211">
      <c r="F14211" s="1" t="str">
        <f t="shared" si="1"/>
        <v/>
      </c>
      <c r="G14211" s="1" t="str">
        <f t="shared" si="2"/>
        <v/>
      </c>
      <c r="J14211" s="1" t="str">
        <f t="shared" si="3"/>
        <v/>
      </c>
      <c r="K14211" s="1" t="str">
        <f t="shared" si="4"/>
        <v/>
      </c>
    </row>
    <row r="14212">
      <c r="F14212" s="1" t="str">
        <f t="shared" si="1"/>
        <v/>
      </c>
      <c r="G14212" s="1" t="str">
        <f t="shared" si="2"/>
        <v/>
      </c>
      <c r="J14212" s="1" t="str">
        <f t="shared" si="3"/>
        <v/>
      </c>
      <c r="K14212" s="1" t="str">
        <f t="shared" si="4"/>
        <v/>
      </c>
    </row>
    <row r="14213">
      <c r="F14213" s="1" t="str">
        <f t="shared" si="1"/>
        <v/>
      </c>
      <c r="G14213" s="1" t="str">
        <f t="shared" si="2"/>
        <v/>
      </c>
      <c r="J14213" s="1" t="str">
        <f t="shared" si="3"/>
        <v/>
      </c>
      <c r="K14213" s="1" t="str">
        <f t="shared" si="4"/>
        <v/>
      </c>
    </row>
    <row r="14214">
      <c r="F14214" s="1" t="str">
        <f t="shared" si="1"/>
        <v/>
      </c>
      <c r="G14214" s="1" t="str">
        <f t="shared" si="2"/>
        <v/>
      </c>
      <c r="J14214" s="1" t="str">
        <f t="shared" si="3"/>
        <v/>
      </c>
      <c r="K14214" s="1" t="str">
        <f t="shared" si="4"/>
        <v/>
      </c>
    </row>
    <row r="14215">
      <c r="F14215" s="1" t="str">
        <f t="shared" si="1"/>
        <v/>
      </c>
      <c r="G14215" s="1" t="str">
        <f t="shared" si="2"/>
        <v/>
      </c>
      <c r="J14215" s="1" t="str">
        <f t="shared" si="3"/>
        <v/>
      </c>
      <c r="K14215" s="1" t="str">
        <f t="shared" si="4"/>
        <v/>
      </c>
    </row>
    <row r="14216">
      <c r="F14216" s="1" t="str">
        <f t="shared" si="1"/>
        <v/>
      </c>
      <c r="G14216" s="1" t="str">
        <f t="shared" si="2"/>
        <v/>
      </c>
      <c r="J14216" s="1" t="str">
        <f t="shared" si="3"/>
        <v/>
      </c>
      <c r="K14216" s="1" t="str">
        <f t="shared" si="4"/>
        <v/>
      </c>
    </row>
    <row r="14217">
      <c r="F14217" s="1" t="str">
        <f t="shared" si="1"/>
        <v/>
      </c>
      <c r="G14217" s="1" t="str">
        <f t="shared" si="2"/>
        <v/>
      </c>
      <c r="J14217" s="1" t="str">
        <f t="shared" si="3"/>
        <v/>
      </c>
      <c r="K14217" s="1" t="str">
        <f t="shared" si="4"/>
        <v/>
      </c>
    </row>
    <row r="14218">
      <c r="F14218" s="1" t="str">
        <f t="shared" si="1"/>
        <v/>
      </c>
      <c r="G14218" s="1" t="str">
        <f t="shared" si="2"/>
        <v/>
      </c>
      <c r="J14218" s="1" t="str">
        <f t="shared" si="3"/>
        <v/>
      </c>
      <c r="K14218" s="1" t="str">
        <f t="shared" si="4"/>
        <v/>
      </c>
    </row>
    <row r="14219">
      <c r="F14219" s="1" t="str">
        <f t="shared" si="1"/>
        <v/>
      </c>
      <c r="G14219" s="1" t="str">
        <f t="shared" si="2"/>
        <v/>
      </c>
      <c r="J14219" s="1" t="str">
        <f t="shared" si="3"/>
        <v/>
      </c>
      <c r="K14219" s="1" t="str">
        <f t="shared" si="4"/>
        <v/>
      </c>
    </row>
    <row r="14220">
      <c r="F14220" s="1" t="str">
        <f t="shared" si="1"/>
        <v/>
      </c>
      <c r="G14220" s="1" t="str">
        <f t="shared" si="2"/>
        <v/>
      </c>
      <c r="J14220" s="1" t="str">
        <f t="shared" si="3"/>
        <v/>
      </c>
      <c r="K14220" s="1" t="str">
        <f t="shared" si="4"/>
        <v/>
      </c>
    </row>
    <row r="14221">
      <c r="F14221" s="1" t="str">
        <f t="shared" si="1"/>
        <v/>
      </c>
      <c r="G14221" s="1" t="str">
        <f t="shared" si="2"/>
        <v/>
      </c>
      <c r="J14221" s="1" t="str">
        <f t="shared" si="3"/>
        <v/>
      </c>
      <c r="K14221" s="1" t="str">
        <f t="shared" si="4"/>
        <v/>
      </c>
    </row>
    <row r="14222">
      <c r="F14222" s="1" t="str">
        <f t="shared" si="1"/>
        <v/>
      </c>
      <c r="G14222" s="1" t="str">
        <f t="shared" si="2"/>
        <v/>
      </c>
      <c r="J14222" s="1" t="str">
        <f t="shared" si="3"/>
        <v/>
      </c>
      <c r="K14222" s="1" t="str">
        <f t="shared" si="4"/>
        <v/>
      </c>
    </row>
    <row r="14223">
      <c r="F14223" s="1" t="str">
        <f t="shared" si="1"/>
        <v/>
      </c>
      <c r="G14223" s="1" t="str">
        <f t="shared" si="2"/>
        <v/>
      </c>
      <c r="J14223" s="1" t="str">
        <f t="shared" si="3"/>
        <v/>
      </c>
      <c r="K14223" s="1" t="str">
        <f t="shared" si="4"/>
        <v/>
      </c>
    </row>
    <row r="14224">
      <c r="F14224" s="1" t="str">
        <f t="shared" si="1"/>
        <v/>
      </c>
      <c r="G14224" s="1" t="str">
        <f t="shared" si="2"/>
        <v/>
      </c>
      <c r="J14224" s="1" t="str">
        <f t="shared" si="3"/>
        <v/>
      </c>
      <c r="K14224" s="1" t="str">
        <f t="shared" si="4"/>
        <v/>
      </c>
    </row>
    <row r="14225">
      <c r="F14225" s="1" t="str">
        <f t="shared" si="1"/>
        <v/>
      </c>
      <c r="G14225" s="1" t="str">
        <f t="shared" si="2"/>
        <v/>
      </c>
      <c r="J14225" s="1" t="str">
        <f t="shared" si="3"/>
        <v/>
      </c>
      <c r="K14225" s="1" t="str">
        <f t="shared" si="4"/>
        <v/>
      </c>
    </row>
    <row r="14226">
      <c r="F14226" s="1" t="str">
        <f t="shared" si="1"/>
        <v/>
      </c>
      <c r="G14226" s="1" t="str">
        <f t="shared" si="2"/>
        <v/>
      </c>
      <c r="J14226" s="1" t="str">
        <f t="shared" si="3"/>
        <v/>
      </c>
      <c r="K14226" s="1" t="str">
        <f t="shared" si="4"/>
        <v/>
      </c>
    </row>
    <row r="14227">
      <c r="F14227" s="1" t="str">
        <f t="shared" si="1"/>
        <v/>
      </c>
      <c r="G14227" s="1" t="str">
        <f t="shared" si="2"/>
        <v/>
      </c>
      <c r="J14227" s="1" t="str">
        <f t="shared" si="3"/>
        <v/>
      </c>
      <c r="K14227" s="1" t="str">
        <f t="shared" si="4"/>
        <v/>
      </c>
    </row>
    <row r="14228">
      <c r="F14228" s="1" t="str">
        <f t="shared" si="1"/>
        <v/>
      </c>
      <c r="G14228" s="1" t="str">
        <f t="shared" si="2"/>
        <v/>
      </c>
      <c r="J14228" s="1" t="str">
        <f t="shared" si="3"/>
        <v/>
      </c>
      <c r="K14228" s="1" t="str">
        <f t="shared" si="4"/>
        <v/>
      </c>
    </row>
    <row r="14229">
      <c r="F14229" s="1" t="str">
        <f t="shared" si="1"/>
        <v/>
      </c>
      <c r="G14229" s="1" t="str">
        <f t="shared" si="2"/>
        <v/>
      </c>
      <c r="J14229" s="1" t="str">
        <f t="shared" si="3"/>
        <v/>
      </c>
      <c r="K14229" s="1" t="str">
        <f t="shared" si="4"/>
        <v/>
      </c>
    </row>
    <row r="14230">
      <c r="F14230" s="1" t="str">
        <f t="shared" si="1"/>
        <v/>
      </c>
      <c r="G14230" s="1" t="str">
        <f t="shared" si="2"/>
        <v/>
      </c>
      <c r="J14230" s="1" t="str">
        <f t="shared" si="3"/>
        <v/>
      </c>
      <c r="K14230" s="1" t="str">
        <f t="shared" si="4"/>
        <v/>
      </c>
    </row>
    <row r="14231">
      <c r="F14231" s="1" t="str">
        <f t="shared" si="1"/>
        <v/>
      </c>
      <c r="G14231" s="1" t="str">
        <f t="shared" si="2"/>
        <v/>
      </c>
      <c r="J14231" s="1" t="str">
        <f t="shared" si="3"/>
        <v/>
      </c>
      <c r="K14231" s="1" t="str">
        <f t="shared" si="4"/>
        <v/>
      </c>
    </row>
    <row r="14232">
      <c r="F14232" s="1" t="str">
        <f t="shared" si="1"/>
        <v/>
      </c>
      <c r="G14232" s="1" t="str">
        <f t="shared" si="2"/>
        <v/>
      </c>
      <c r="J14232" s="1" t="str">
        <f t="shared" si="3"/>
        <v/>
      </c>
      <c r="K14232" s="1" t="str">
        <f t="shared" si="4"/>
        <v/>
      </c>
    </row>
    <row r="14233">
      <c r="F14233" s="1" t="str">
        <f t="shared" si="1"/>
        <v/>
      </c>
      <c r="G14233" s="1" t="str">
        <f t="shared" si="2"/>
        <v/>
      </c>
      <c r="J14233" s="1" t="str">
        <f t="shared" si="3"/>
        <v/>
      </c>
      <c r="K14233" s="1" t="str">
        <f t="shared" si="4"/>
        <v/>
      </c>
    </row>
    <row r="14234">
      <c r="F14234" s="1" t="str">
        <f t="shared" si="1"/>
        <v/>
      </c>
      <c r="G14234" s="1" t="str">
        <f t="shared" si="2"/>
        <v/>
      </c>
      <c r="J14234" s="1" t="str">
        <f t="shared" si="3"/>
        <v/>
      </c>
      <c r="K14234" s="1" t="str">
        <f t="shared" si="4"/>
        <v/>
      </c>
    </row>
    <row r="14235">
      <c r="F14235" s="1" t="str">
        <f t="shared" si="1"/>
        <v/>
      </c>
      <c r="G14235" s="1" t="str">
        <f t="shared" si="2"/>
        <v/>
      </c>
      <c r="J14235" s="1" t="str">
        <f t="shared" si="3"/>
        <v/>
      </c>
      <c r="K14235" s="1" t="str">
        <f t="shared" si="4"/>
        <v/>
      </c>
    </row>
    <row r="14236">
      <c r="F14236" s="1" t="str">
        <f t="shared" si="1"/>
        <v/>
      </c>
      <c r="G14236" s="1" t="str">
        <f t="shared" si="2"/>
        <v/>
      </c>
      <c r="J14236" s="1" t="str">
        <f t="shared" si="3"/>
        <v/>
      </c>
      <c r="K14236" s="1" t="str">
        <f t="shared" si="4"/>
        <v/>
      </c>
    </row>
    <row r="14237">
      <c r="F14237" s="1" t="str">
        <f t="shared" si="1"/>
        <v/>
      </c>
      <c r="G14237" s="1" t="str">
        <f t="shared" si="2"/>
        <v/>
      </c>
      <c r="J14237" s="1" t="str">
        <f t="shared" si="3"/>
        <v/>
      </c>
      <c r="K14237" s="1" t="str">
        <f t="shared" si="4"/>
        <v/>
      </c>
    </row>
    <row r="14238">
      <c r="F14238" s="1" t="str">
        <f t="shared" si="1"/>
        <v/>
      </c>
      <c r="G14238" s="1" t="str">
        <f t="shared" si="2"/>
        <v/>
      </c>
      <c r="J14238" s="1" t="str">
        <f t="shared" si="3"/>
        <v/>
      </c>
      <c r="K14238" s="1" t="str">
        <f t="shared" si="4"/>
        <v/>
      </c>
    </row>
    <row r="14239">
      <c r="F14239" s="1" t="str">
        <f t="shared" si="1"/>
        <v/>
      </c>
      <c r="G14239" s="1" t="str">
        <f t="shared" si="2"/>
        <v/>
      </c>
      <c r="J14239" s="1" t="str">
        <f t="shared" si="3"/>
        <v/>
      </c>
      <c r="K14239" s="1" t="str">
        <f t="shared" si="4"/>
        <v/>
      </c>
    </row>
    <row r="14240">
      <c r="F14240" s="1" t="str">
        <f t="shared" si="1"/>
        <v/>
      </c>
      <c r="G14240" s="1" t="str">
        <f t="shared" si="2"/>
        <v/>
      </c>
      <c r="J14240" s="1" t="str">
        <f t="shared" si="3"/>
        <v/>
      </c>
      <c r="K14240" s="1" t="str">
        <f t="shared" si="4"/>
        <v/>
      </c>
    </row>
    <row r="14241">
      <c r="F14241" s="1" t="str">
        <f t="shared" si="1"/>
        <v/>
      </c>
      <c r="G14241" s="1" t="str">
        <f t="shared" si="2"/>
        <v/>
      </c>
      <c r="J14241" s="1" t="str">
        <f t="shared" si="3"/>
        <v/>
      </c>
      <c r="K14241" s="1" t="str">
        <f t="shared" si="4"/>
        <v/>
      </c>
    </row>
    <row r="14242">
      <c r="F14242" s="1" t="str">
        <f t="shared" si="1"/>
        <v/>
      </c>
      <c r="G14242" s="1" t="str">
        <f t="shared" si="2"/>
        <v/>
      </c>
      <c r="J14242" s="1" t="str">
        <f t="shared" si="3"/>
        <v/>
      </c>
      <c r="K14242" s="1" t="str">
        <f t="shared" si="4"/>
        <v/>
      </c>
    </row>
    <row r="14243">
      <c r="F14243" s="1" t="str">
        <f t="shared" si="1"/>
        <v/>
      </c>
      <c r="G14243" s="1" t="str">
        <f t="shared" si="2"/>
        <v/>
      </c>
      <c r="J14243" s="1" t="str">
        <f t="shared" si="3"/>
        <v/>
      </c>
      <c r="K14243" s="1" t="str">
        <f t="shared" si="4"/>
        <v/>
      </c>
    </row>
    <row r="14244">
      <c r="F14244" s="1" t="str">
        <f t="shared" si="1"/>
        <v/>
      </c>
      <c r="G14244" s="1" t="str">
        <f t="shared" si="2"/>
        <v/>
      </c>
      <c r="J14244" s="1" t="str">
        <f t="shared" si="3"/>
        <v/>
      </c>
      <c r="K14244" s="1" t="str">
        <f t="shared" si="4"/>
        <v/>
      </c>
    </row>
    <row r="14245">
      <c r="F14245" s="1" t="str">
        <f t="shared" si="1"/>
        <v/>
      </c>
      <c r="G14245" s="1" t="str">
        <f t="shared" si="2"/>
        <v/>
      </c>
      <c r="J14245" s="1" t="str">
        <f t="shared" si="3"/>
        <v/>
      </c>
      <c r="K14245" s="1" t="str">
        <f t="shared" si="4"/>
        <v/>
      </c>
    </row>
    <row r="14246">
      <c r="F14246" s="1" t="str">
        <f t="shared" si="1"/>
        <v/>
      </c>
      <c r="G14246" s="1" t="str">
        <f t="shared" si="2"/>
        <v/>
      </c>
      <c r="J14246" s="1" t="str">
        <f t="shared" si="3"/>
        <v/>
      </c>
      <c r="K14246" s="1" t="str">
        <f t="shared" si="4"/>
        <v/>
      </c>
    </row>
    <row r="14247">
      <c r="F14247" s="1" t="str">
        <f t="shared" si="1"/>
        <v/>
      </c>
      <c r="G14247" s="1" t="str">
        <f t="shared" si="2"/>
        <v/>
      </c>
      <c r="J14247" s="1" t="str">
        <f t="shared" si="3"/>
        <v/>
      </c>
      <c r="K14247" s="1" t="str">
        <f t="shared" si="4"/>
        <v/>
      </c>
    </row>
    <row r="14248">
      <c r="F14248" s="1" t="str">
        <f t="shared" si="1"/>
        <v/>
      </c>
      <c r="G14248" s="1" t="str">
        <f t="shared" si="2"/>
        <v/>
      </c>
      <c r="J14248" s="1" t="str">
        <f t="shared" si="3"/>
        <v/>
      </c>
      <c r="K14248" s="1" t="str">
        <f t="shared" si="4"/>
        <v/>
      </c>
    </row>
    <row r="14249">
      <c r="F14249" s="1" t="str">
        <f t="shared" si="1"/>
        <v/>
      </c>
      <c r="G14249" s="1" t="str">
        <f t="shared" si="2"/>
        <v/>
      </c>
      <c r="J14249" s="1" t="str">
        <f t="shared" si="3"/>
        <v/>
      </c>
      <c r="K14249" s="1" t="str">
        <f t="shared" si="4"/>
        <v/>
      </c>
    </row>
    <row r="14250">
      <c r="F14250" s="1" t="str">
        <f t="shared" si="1"/>
        <v/>
      </c>
      <c r="G14250" s="1" t="str">
        <f t="shared" si="2"/>
        <v/>
      </c>
      <c r="J14250" s="1" t="str">
        <f t="shared" si="3"/>
        <v/>
      </c>
      <c r="K14250" s="1" t="str">
        <f t="shared" si="4"/>
        <v/>
      </c>
    </row>
    <row r="14251">
      <c r="F14251" s="1" t="str">
        <f t="shared" si="1"/>
        <v/>
      </c>
      <c r="G14251" s="1" t="str">
        <f t="shared" si="2"/>
        <v/>
      </c>
      <c r="J14251" s="1" t="str">
        <f t="shared" si="3"/>
        <v/>
      </c>
      <c r="K14251" s="1" t="str">
        <f t="shared" si="4"/>
        <v/>
      </c>
    </row>
    <row r="14252">
      <c r="F14252" s="1" t="str">
        <f t="shared" si="1"/>
        <v/>
      </c>
      <c r="G14252" s="1" t="str">
        <f t="shared" si="2"/>
        <v/>
      </c>
      <c r="J14252" s="1" t="str">
        <f t="shared" si="3"/>
        <v/>
      </c>
      <c r="K14252" s="1" t="str">
        <f t="shared" si="4"/>
        <v/>
      </c>
    </row>
    <row r="14253">
      <c r="F14253" s="1" t="str">
        <f t="shared" si="1"/>
        <v/>
      </c>
      <c r="G14253" s="1" t="str">
        <f t="shared" si="2"/>
        <v/>
      </c>
      <c r="J14253" s="1" t="str">
        <f t="shared" si="3"/>
        <v/>
      </c>
      <c r="K14253" s="1" t="str">
        <f t="shared" si="4"/>
        <v/>
      </c>
    </row>
    <row r="14254">
      <c r="F14254" s="1" t="str">
        <f t="shared" si="1"/>
        <v/>
      </c>
      <c r="G14254" s="1" t="str">
        <f t="shared" si="2"/>
        <v/>
      </c>
      <c r="J14254" s="1" t="str">
        <f t="shared" si="3"/>
        <v/>
      </c>
      <c r="K14254" s="1" t="str">
        <f t="shared" si="4"/>
        <v/>
      </c>
    </row>
    <row r="14255">
      <c r="F14255" s="1" t="str">
        <f t="shared" si="1"/>
        <v/>
      </c>
      <c r="G14255" s="1" t="str">
        <f t="shared" si="2"/>
        <v/>
      </c>
      <c r="J14255" s="1" t="str">
        <f t="shared" si="3"/>
        <v/>
      </c>
      <c r="K14255" s="1" t="str">
        <f t="shared" si="4"/>
        <v/>
      </c>
    </row>
    <row r="14256">
      <c r="F14256" s="1" t="str">
        <f t="shared" si="1"/>
        <v/>
      </c>
      <c r="G14256" s="1" t="str">
        <f t="shared" si="2"/>
        <v/>
      </c>
      <c r="J14256" s="1" t="str">
        <f t="shared" si="3"/>
        <v/>
      </c>
      <c r="K14256" s="1" t="str">
        <f t="shared" si="4"/>
        <v/>
      </c>
    </row>
    <row r="14257">
      <c r="F14257" s="1" t="str">
        <f t="shared" si="1"/>
        <v/>
      </c>
      <c r="G14257" s="1" t="str">
        <f t="shared" si="2"/>
        <v/>
      </c>
      <c r="J14257" s="1" t="str">
        <f t="shared" si="3"/>
        <v/>
      </c>
      <c r="K14257" s="1" t="str">
        <f t="shared" si="4"/>
        <v/>
      </c>
    </row>
    <row r="14258">
      <c r="F14258" s="1" t="str">
        <f t="shared" si="1"/>
        <v/>
      </c>
      <c r="G14258" s="1" t="str">
        <f t="shared" si="2"/>
        <v/>
      </c>
      <c r="J14258" s="1" t="str">
        <f t="shared" si="3"/>
        <v/>
      </c>
      <c r="K14258" s="1" t="str">
        <f t="shared" si="4"/>
        <v/>
      </c>
    </row>
    <row r="14259">
      <c r="F14259" s="1" t="str">
        <f t="shared" si="1"/>
        <v/>
      </c>
      <c r="G14259" s="1" t="str">
        <f t="shared" si="2"/>
        <v/>
      </c>
      <c r="J14259" s="1" t="str">
        <f t="shared" si="3"/>
        <v/>
      </c>
      <c r="K14259" s="1" t="str">
        <f t="shared" si="4"/>
        <v/>
      </c>
    </row>
    <row r="14260">
      <c r="F14260" s="1" t="str">
        <f t="shared" si="1"/>
        <v/>
      </c>
      <c r="G14260" s="1" t="str">
        <f t="shared" si="2"/>
        <v/>
      </c>
      <c r="J14260" s="1" t="str">
        <f t="shared" si="3"/>
        <v/>
      </c>
      <c r="K14260" s="1" t="str">
        <f t="shared" si="4"/>
        <v/>
      </c>
    </row>
    <row r="14261">
      <c r="F14261" s="1" t="str">
        <f t="shared" si="1"/>
        <v/>
      </c>
      <c r="G14261" s="1" t="str">
        <f t="shared" si="2"/>
        <v/>
      </c>
      <c r="J14261" s="1" t="str">
        <f t="shared" si="3"/>
        <v/>
      </c>
      <c r="K14261" s="1" t="str">
        <f t="shared" si="4"/>
        <v/>
      </c>
    </row>
    <row r="14262">
      <c r="F14262" s="1" t="str">
        <f t="shared" si="1"/>
        <v/>
      </c>
      <c r="G14262" s="1" t="str">
        <f t="shared" si="2"/>
        <v/>
      </c>
      <c r="J14262" s="1" t="str">
        <f t="shared" si="3"/>
        <v/>
      </c>
      <c r="K14262" s="1" t="str">
        <f t="shared" si="4"/>
        <v/>
      </c>
    </row>
    <row r="14263">
      <c r="F14263" s="1" t="str">
        <f t="shared" si="1"/>
        <v/>
      </c>
      <c r="G14263" s="1" t="str">
        <f t="shared" si="2"/>
        <v/>
      </c>
      <c r="J14263" s="1" t="str">
        <f t="shared" si="3"/>
        <v/>
      </c>
      <c r="K14263" s="1" t="str">
        <f t="shared" si="4"/>
        <v/>
      </c>
    </row>
    <row r="14264">
      <c r="F14264" s="1" t="str">
        <f t="shared" si="1"/>
        <v/>
      </c>
      <c r="G14264" s="1" t="str">
        <f t="shared" si="2"/>
        <v/>
      </c>
      <c r="J14264" s="1" t="str">
        <f t="shared" si="3"/>
        <v/>
      </c>
      <c r="K14264" s="1" t="str">
        <f t="shared" si="4"/>
        <v/>
      </c>
    </row>
    <row r="14265">
      <c r="F14265" s="1" t="str">
        <f t="shared" si="1"/>
        <v/>
      </c>
      <c r="G14265" s="1" t="str">
        <f t="shared" si="2"/>
        <v/>
      </c>
      <c r="J14265" s="1" t="str">
        <f t="shared" si="3"/>
        <v/>
      </c>
      <c r="K14265" s="1" t="str">
        <f t="shared" si="4"/>
        <v/>
      </c>
    </row>
    <row r="14266">
      <c r="F14266" s="1" t="str">
        <f t="shared" si="1"/>
        <v/>
      </c>
      <c r="G14266" s="1" t="str">
        <f t="shared" si="2"/>
        <v/>
      </c>
      <c r="J14266" s="1" t="str">
        <f t="shared" si="3"/>
        <v/>
      </c>
      <c r="K14266" s="1" t="str">
        <f t="shared" si="4"/>
        <v/>
      </c>
    </row>
    <row r="14267">
      <c r="F14267" s="1" t="str">
        <f t="shared" si="1"/>
        <v/>
      </c>
      <c r="G14267" s="1" t="str">
        <f t="shared" si="2"/>
        <v/>
      </c>
      <c r="J14267" s="1" t="str">
        <f t="shared" si="3"/>
        <v/>
      </c>
      <c r="K14267" s="1" t="str">
        <f t="shared" si="4"/>
        <v/>
      </c>
    </row>
    <row r="14268">
      <c r="F14268" s="1" t="str">
        <f t="shared" si="1"/>
        <v/>
      </c>
      <c r="G14268" s="1" t="str">
        <f t="shared" si="2"/>
        <v/>
      </c>
      <c r="J14268" s="1" t="str">
        <f t="shared" si="3"/>
        <v/>
      </c>
      <c r="K14268" s="1" t="str">
        <f t="shared" si="4"/>
        <v/>
      </c>
    </row>
    <row r="14269">
      <c r="F14269" s="1" t="str">
        <f t="shared" si="1"/>
        <v/>
      </c>
      <c r="G14269" s="1" t="str">
        <f t="shared" si="2"/>
        <v/>
      </c>
      <c r="J14269" s="1" t="str">
        <f t="shared" si="3"/>
        <v/>
      </c>
      <c r="K14269" s="1" t="str">
        <f t="shared" si="4"/>
        <v/>
      </c>
    </row>
    <row r="14270">
      <c r="F14270" s="1" t="str">
        <f t="shared" si="1"/>
        <v/>
      </c>
      <c r="G14270" s="1" t="str">
        <f t="shared" si="2"/>
        <v/>
      </c>
      <c r="J14270" s="1" t="str">
        <f t="shared" si="3"/>
        <v/>
      </c>
      <c r="K14270" s="1" t="str">
        <f t="shared" si="4"/>
        <v/>
      </c>
    </row>
    <row r="14271">
      <c r="F14271" s="1" t="str">
        <f t="shared" si="1"/>
        <v/>
      </c>
      <c r="G14271" s="1" t="str">
        <f t="shared" si="2"/>
        <v/>
      </c>
      <c r="J14271" s="1" t="str">
        <f t="shared" si="3"/>
        <v/>
      </c>
      <c r="K14271" s="1" t="str">
        <f t="shared" si="4"/>
        <v/>
      </c>
    </row>
    <row r="14272">
      <c r="F14272" s="1" t="str">
        <f t="shared" si="1"/>
        <v/>
      </c>
      <c r="G14272" s="1" t="str">
        <f t="shared" si="2"/>
        <v/>
      </c>
      <c r="J14272" s="1" t="str">
        <f t="shared" si="3"/>
        <v/>
      </c>
      <c r="K14272" s="1" t="str">
        <f t="shared" si="4"/>
        <v/>
      </c>
    </row>
    <row r="14273">
      <c r="F14273" s="1" t="str">
        <f t="shared" si="1"/>
        <v/>
      </c>
      <c r="G14273" s="1" t="str">
        <f t="shared" si="2"/>
        <v/>
      </c>
      <c r="J14273" s="1" t="str">
        <f t="shared" si="3"/>
        <v/>
      </c>
      <c r="K14273" s="1" t="str">
        <f t="shared" si="4"/>
        <v/>
      </c>
    </row>
    <row r="14274">
      <c r="F14274" s="1" t="str">
        <f t="shared" si="1"/>
        <v/>
      </c>
      <c r="G14274" s="1" t="str">
        <f t="shared" si="2"/>
        <v/>
      </c>
      <c r="J14274" s="1" t="str">
        <f t="shared" si="3"/>
        <v/>
      </c>
      <c r="K14274" s="1" t="str">
        <f t="shared" si="4"/>
        <v/>
      </c>
    </row>
    <row r="14275">
      <c r="F14275" s="1" t="str">
        <f t="shared" si="1"/>
        <v/>
      </c>
      <c r="G14275" s="1" t="str">
        <f t="shared" si="2"/>
        <v/>
      </c>
      <c r="J14275" s="1" t="str">
        <f t="shared" si="3"/>
        <v/>
      </c>
      <c r="K14275" s="1" t="str">
        <f t="shared" si="4"/>
        <v/>
      </c>
    </row>
    <row r="14276">
      <c r="F14276" s="1" t="str">
        <f t="shared" si="1"/>
        <v/>
      </c>
      <c r="G14276" s="1" t="str">
        <f t="shared" si="2"/>
        <v/>
      </c>
      <c r="J14276" s="1" t="str">
        <f t="shared" si="3"/>
        <v/>
      </c>
      <c r="K14276" s="1" t="str">
        <f t="shared" si="4"/>
        <v/>
      </c>
    </row>
    <row r="14277">
      <c r="F14277" s="1" t="str">
        <f t="shared" si="1"/>
        <v/>
      </c>
      <c r="G14277" s="1" t="str">
        <f t="shared" si="2"/>
        <v/>
      </c>
      <c r="J14277" s="1" t="str">
        <f t="shared" si="3"/>
        <v/>
      </c>
      <c r="K14277" s="1" t="str">
        <f t="shared" si="4"/>
        <v/>
      </c>
    </row>
    <row r="14278">
      <c r="F14278" s="1" t="str">
        <f t="shared" si="1"/>
        <v/>
      </c>
      <c r="G14278" s="1" t="str">
        <f t="shared" si="2"/>
        <v/>
      </c>
      <c r="J14278" s="1" t="str">
        <f t="shared" si="3"/>
        <v/>
      </c>
      <c r="K14278" s="1" t="str">
        <f t="shared" si="4"/>
        <v/>
      </c>
    </row>
    <row r="14279">
      <c r="F14279" s="1" t="str">
        <f t="shared" si="1"/>
        <v/>
      </c>
      <c r="G14279" s="1" t="str">
        <f t="shared" si="2"/>
        <v/>
      </c>
      <c r="J14279" s="1" t="str">
        <f t="shared" si="3"/>
        <v/>
      </c>
      <c r="K14279" s="1" t="str">
        <f t="shared" si="4"/>
        <v/>
      </c>
    </row>
    <row r="14280">
      <c r="F14280" s="1" t="str">
        <f t="shared" si="1"/>
        <v/>
      </c>
      <c r="G14280" s="1" t="str">
        <f t="shared" si="2"/>
        <v/>
      </c>
      <c r="J14280" s="1" t="str">
        <f t="shared" si="3"/>
        <v/>
      </c>
      <c r="K14280" s="1" t="str">
        <f t="shared" si="4"/>
        <v/>
      </c>
    </row>
    <row r="14281">
      <c r="F14281" s="1" t="str">
        <f t="shared" si="1"/>
        <v/>
      </c>
      <c r="G14281" s="1" t="str">
        <f t="shared" si="2"/>
        <v/>
      </c>
      <c r="J14281" s="1" t="str">
        <f t="shared" si="3"/>
        <v/>
      </c>
      <c r="K14281" s="1" t="str">
        <f t="shared" si="4"/>
        <v/>
      </c>
    </row>
    <row r="14282">
      <c r="F14282" s="1" t="str">
        <f t="shared" si="1"/>
        <v/>
      </c>
      <c r="G14282" s="1" t="str">
        <f t="shared" si="2"/>
        <v/>
      </c>
      <c r="J14282" s="1" t="str">
        <f t="shared" si="3"/>
        <v/>
      </c>
      <c r="K14282" s="1" t="str">
        <f t="shared" si="4"/>
        <v/>
      </c>
    </row>
    <row r="14283">
      <c r="F14283" s="1" t="str">
        <f t="shared" si="1"/>
        <v/>
      </c>
      <c r="G14283" s="1" t="str">
        <f t="shared" si="2"/>
        <v/>
      </c>
      <c r="J14283" s="1" t="str">
        <f t="shared" si="3"/>
        <v/>
      </c>
      <c r="K14283" s="1" t="str">
        <f t="shared" si="4"/>
        <v/>
      </c>
    </row>
    <row r="14284">
      <c r="F14284" s="1" t="str">
        <f t="shared" si="1"/>
        <v/>
      </c>
      <c r="G14284" s="1" t="str">
        <f t="shared" si="2"/>
        <v/>
      </c>
      <c r="J14284" s="1" t="str">
        <f t="shared" si="3"/>
        <v/>
      </c>
      <c r="K14284" s="1" t="str">
        <f t="shared" si="4"/>
        <v/>
      </c>
    </row>
    <row r="14285">
      <c r="F14285" s="1" t="str">
        <f t="shared" si="1"/>
        <v/>
      </c>
      <c r="G14285" s="1" t="str">
        <f t="shared" si="2"/>
        <v/>
      </c>
      <c r="J14285" s="1" t="str">
        <f t="shared" si="3"/>
        <v/>
      </c>
      <c r="K14285" s="1" t="str">
        <f t="shared" si="4"/>
        <v/>
      </c>
    </row>
    <row r="14286">
      <c r="F14286" s="1" t="str">
        <f t="shared" si="1"/>
        <v/>
      </c>
      <c r="G14286" s="1" t="str">
        <f t="shared" si="2"/>
        <v/>
      </c>
      <c r="J14286" s="1" t="str">
        <f t="shared" si="3"/>
        <v/>
      </c>
      <c r="K14286" s="1" t="str">
        <f t="shared" si="4"/>
        <v/>
      </c>
    </row>
    <row r="14287">
      <c r="F14287" s="1" t="str">
        <f t="shared" si="1"/>
        <v/>
      </c>
      <c r="G14287" s="1" t="str">
        <f t="shared" si="2"/>
        <v/>
      </c>
      <c r="J14287" s="1" t="str">
        <f t="shared" si="3"/>
        <v/>
      </c>
      <c r="K14287" s="1" t="str">
        <f t="shared" si="4"/>
        <v/>
      </c>
    </row>
    <row r="14288">
      <c r="F14288" s="1" t="str">
        <f t="shared" si="1"/>
        <v/>
      </c>
      <c r="G14288" s="1" t="str">
        <f t="shared" si="2"/>
        <v/>
      </c>
      <c r="J14288" s="1" t="str">
        <f t="shared" si="3"/>
        <v/>
      </c>
      <c r="K14288" s="1" t="str">
        <f t="shared" si="4"/>
        <v/>
      </c>
    </row>
    <row r="14289">
      <c r="F14289" s="1" t="str">
        <f t="shared" si="1"/>
        <v/>
      </c>
      <c r="G14289" s="1" t="str">
        <f t="shared" si="2"/>
        <v/>
      </c>
      <c r="J14289" s="1" t="str">
        <f t="shared" si="3"/>
        <v/>
      </c>
      <c r="K14289" s="1" t="str">
        <f t="shared" si="4"/>
        <v/>
      </c>
    </row>
    <row r="14290">
      <c r="F14290" s="1" t="str">
        <f t="shared" si="1"/>
        <v/>
      </c>
      <c r="G14290" s="1" t="str">
        <f t="shared" si="2"/>
        <v/>
      </c>
      <c r="J14290" s="1" t="str">
        <f t="shared" si="3"/>
        <v/>
      </c>
      <c r="K14290" s="1" t="str">
        <f t="shared" si="4"/>
        <v/>
      </c>
    </row>
    <row r="14291">
      <c r="F14291" s="1" t="str">
        <f t="shared" si="1"/>
        <v/>
      </c>
      <c r="G14291" s="1" t="str">
        <f t="shared" si="2"/>
        <v/>
      </c>
      <c r="J14291" s="1" t="str">
        <f t="shared" si="3"/>
        <v/>
      </c>
      <c r="K14291" s="1" t="str">
        <f t="shared" si="4"/>
        <v/>
      </c>
    </row>
    <row r="14292">
      <c r="F14292" s="1" t="str">
        <f t="shared" si="1"/>
        <v/>
      </c>
      <c r="G14292" s="1" t="str">
        <f t="shared" si="2"/>
        <v/>
      </c>
      <c r="J14292" s="1" t="str">
        <f t="shared" si="3"/>
        <v/>
      </c>
      <c r="K14292" s="1" t="str">
        <f t="shared" si="4"/>
        <v/>
      </c>
    </row>
    <row r="14293">
      <c r="F14293" s="1" t="str">
        <f t="shared" si="1"/>
        <v/>
      </c>
      <c r="G14293" s="1" t="str">
        <f t="shared" si="2"/>
        <v/>
      </c>
      <c r="J14293" s="1" t="str">
        <f t="shared" si="3"/>
        <v/>
      </c>
      <c r="K14293" s="1" t="str">
        <f t="shared" si="4"/>
        <v/>
      </c>
    </row>
    <row r="14294">
      <c r="F14294" s="1" t="str">
        <f t="shared" si="1"/>
        <v/>
      </c>
      <c r="G14294" s="1" t="str">
        <f t="shared" si="2"/>
        <v/>
      </c>
      <c r="J14294" s="1" t="str">
        <f t="shared" si="3"/>
        <v/>
      </c>
      <c r="K14294" s="1" t="str">
        <f t="shared" si="4"/>
        <v/>
      </c>
    </row>
    <row r="14295">
      <c r="F14295" s="1" t="str">
        <f t="shared" si="1"/>
        <v/>
      </c>
      <c r="G14295" s="1" t="str">
        <f t="shared" si="2"/>
        <v/>
      </c>
      <c r="J14295" s="1" t="str">
        <f t="shared" si="3"/>
        <v/>
      </c>
      <c r="K14295" s="1" t="str">
        <f t="shared" si="4"/>
        <v/>
      </c>
    </row>
    <row r="14296">
      <c r="F14296" s="1" t="str">
        <f t="shared" si="1"/>
        <v/>
      </c>
      <c r="G14296" s="1" t="str">
        <f t="shared" si="2"/>
        <v/>
      </c>
      <c r="J14296" s="1" t="str">
        <f t="shared" si="3"/>
        <v/>
      </c>
      <c r="K14296" s="1" t="str">
        <f t="shared" si="4"/>
        <v/>
      </c>
    </row>
    <row r="14297">
      <c r="F14297" s="1" t="str">
        <f t="shared" si="1"/>
        <v/>
      </c>
      <c r="G14297" s="1" t="str">
        <f t="shared" si="2"/>
        <v/>
      </c>
      <c r="J14297" s="1" t="str">
        <f t="shared" si="3"/>
        <v/>
      </c>
      <c r="K14297" s="1" t="str">
        <f t="shared" si="4"/>
        <v/>
      </c>
    </row>
    <row r="14298">
      <c r="F14298" s="1" t="str">
        <f t="shared" si="1"/>
        <v/>
      </c>
      <c r="G14298" s="1" t="str">
        <f t="shared" si="2"/>
        <v/>
      </c>
      <c r="J14298" s="1" t="str">
        <f t="shared" si="3"/>
        <v/>
      </c>
      <c r="K14298" s="1" t="str">
        <f t="shared" si="4"/>
        <v/>
      </c>
    </row>
    <row r="14299">
      <c r="F14299" s="1" t="str">
        <f t="shared" si="1"/>
        <v/>
      </c>
      <c r="G14299" s="1" t="str">
        <f t="shared" si="2"/>
        <v/>
      </c>
      <c r="J14299" s="1" t="str">
        <f t="shared" si="3"/>
        <v/>
      </c>
      <c r="K14299" s="1" t="str">
        <f t="shared" si="4"/>
        <v/>
      </c>
    </row>
    <row r="14300">
      <c r="F14300" s="1" t="str">
        <f t="shared" si="1"/>
        <v/>
      </c>
      <c r="G14300" s="1" t="str">
        <f t="shared" si="2"/>
        <v/>
      </c>
      <c r="J14300" s="1" t="str">
        <f t="shared" si="3"/>
        <v/>
      </c>
      <c r="K14300" s="1" t="str">
        <f t="shared" si="4"/>
        <v/>
      </c>
    </row>
    <row r="14301">
      <c r="F14301" s="1" t="str">
        <f t="shared" si="1"/>
        <v/>
      </c>
      <c r="G14301" s="1" t="str">
        <f t="shared" si="2"/>
        <v/>
      </c>
      <c r="J14301" s="1" t="str">
        <f t="shared" si="3"/>
        <v/>
      </c>
      <c r="K14301" s="1" t="str">
        <f t="shared" si="4"/>
        <v/>
      </c>
    </row>
    <row r="14302">
      <c r="F14302" s="1" t="str">
        <f t="shared" si="1"/>
        <v/>
      </c>
      <c r="G14302" s="1" t="str">
        <f t="shared" si="2"/>
        <v/>
      </c>
      <c r="J14302" s="1" t="str">
        <f t="shared" si="3"/>
        <v/>
      </c>
      <c r="K14302" s="1" t="str">
        <f t="shared" si="4"/>
        <v/>
      </c>
    </row>
    <row r="14303">
      <c r="F14303" s="1" t="str">
        <f t="shared" si="1"/>
        <v/>
      </c>
      <c r="G14303" s="1" t="str">
        <f t="shared" si="2"/>
        <v/>
      </c>
      <c r="J14303" s="1" t="str">
        <f t="shared" si="3"/>
        <v/>
      </c>
      <c r="K14303" s="1" t="str">
        <f t="shared" si="4"/>
        <v/>
      </c>
    </row>
    <row r="14304">
      <c r="F14304" s="1" t="str">
        <f t="shared" si="1"/>
        <v/>
      </c>
      <c r="G14304" s="1" t="str">
        <f t="shared" si="2"/>
        <v/>
      </c>
      <c r="J14304" s="1" t="str">
        <f t="shared" si="3"/>
        <v/>
      </c>
      <c r="K14304" s="1" t="str">
        <f t="shared" si="4"/>
        <v/>
      </c>
    </row>
    <row r="14305">
      <c r="F14305" s="1" t="str">
        <f t="shared" si="1"/>
        <v/>
      </c>
      <c r="G14305" s="1" t="str">
        <f t="shared" si="2"/>
        <v/>
      </c>
      <c r="J14305" s="1" t="str">
        <f t="shared" si="3"/>
        <v/>
      </c>
      <c r="K14305" s="1" t="str">
        <f t="shared" si="4"/>
        <v/>
      </c>
    </row>
    <row r="14306">
      <c r="F14306" s="1" t="str">
        <f t="shared" si="1"/>
        <v/>
      </c>
      <c r="G14306" s="1" t="str">
        <f t="shared" si="2"/>
        <v/>
      </c>
      <c r="J14306" s="1" t="str">
        <f t="shared" si="3"/>
        <v/>
      </c>
      <c r="K14306" s="1" t="str">
        <f t="shared" si="4"/>
        <v/>
      </c>
    </row>
    <row r="14307">
      <c r="F14307" s="1" t="str">
        <f t="shared" si="1"/>
        <v/>
      </c>
      <c r="G14307" s="1" t="str">
        <f t="shared" si="2"/>
        <v/>
      </c>
      <c r="J14307" s="1" t="str">
        <f t="shared" si="3"/>
        <v/>
      </c>
      <c r="K14307" s="1" t="str">
        <f t="shared" si="4"/>
        <v/>
      </c>
    </row>
    <row r="14308">
      <c r="F14308" s="1" t="str">
        <f t="shared" si="1"/>
        <v/>
      </c>
      <c r="G14308" s="1" t="str">
        <f t="shared" si="2"/>
        <v/>
      </c>
      <c r="J14308" s="1" t="str">
        <f t="shared" si="3"/>
        <v/>
      </c>
      <c r="K14308" s="1" t="str">
        <f t="shared" si="4"/>
        <v/>
      </c>
    </row>
    <row r="14309">
      <c r="F14309" s="1" t="str">
        <f t="shared" si="1"/>
        <v/>
      </c>
      <c r="G14309" s="1" t="str">
        <f t="shared" si="2"/>
        <v/>
      </c>
      <c r="J14309" s="1" t="str">
        <f t="shared" si="3"/>
        <v/>
      </c>
      <c r="K14309" s="1" t="str">
        <f t="shared" si="4"/>
        <v/>
      </c>
    </row>
    <row r="14310">
      <c r="F14310" s="1" t="str">
        <f t="shared" si="1"/>
        <v/>
      </c>
      <c r="G14310" s="1" t="str">
        <f t="shared" si="2"/>
        <v/>
      </c>
      <c r="J14310" s="1" t="str">
        <f t="shared" si="3"/>
        <v/>
      </c>
      <c r="K14310" s="1" t="str">
        <f t="shared" si="4"/>
        <v/>
      </c>
    </row>
    <row r="14311">
      <c r="F14311" s="1" t="str">
        <f t="shared" si="1"/>
        <v/>
      </c>
      <c r="G14311" s="1" t="str">
        <f t="shared" si="2"/>
        <v/>
      </c>
      <c r="J14311" s="1" t="str">
        <f t="shared" si="3"/>
        <v/>
      </c>
      <c r="K14311" s="1" t="str">
        <f t="shared" si="4"/>
        <v/>
      </c>
    </row>
    <row r="14312">
      <c r="F14312" s="1" t="str">
        <f t="shared" si="1"/>
        <v/>
      </c>
      <c r="G14312" s="1" t="str">
        <f t="shared" si="2"/>
        <v/>
      </c>
      <c r="J14312" s="1" t="str">
        <f t="shared" si="3"/>
        <v/>
      </c>
      <c r="K14312" s="1" t="str">
        <f t="shared" si="4"/>
        <v/>
      </c>
    </row>
    <row r="14313">
      <c r="F14313" s="1" t="str">
        <f t="shared" si="1"/>
        <v/>
      </c>
      <c r="G14313" s="1" t="str">
        <f t="shared" si="2"/>
        <v/>
      </c>
      <c r="J14313" s="1" t="str">
        <f t="shared" si="3"/>
        <v/>
      </c>
      <c r="K14313" s="1" t="str">
        <f t="shared" si="4"/>
        <v/>
      </c>
    </row>
    <row r="14314">
      <c r="F14314" s="1" t="str">
        <f t="shared" si="1"/>
        <v/>
      </c>
      <c r="G14314" s="1" t="str">
        <f t="shared" si="2"/>
        <v/>
      </c>
      <c r="J14314" s="1" t="str">
        <f t="shared" si="3"/>
        <v/>
      </c>
      <c r="K14314" s="1" t="str">
        <f t="shared" si="4"/>
        <v/>
      </c>
    </row>
    <row r="14315">
      <c r="F14315" s="1" t="str">
        <f t="shared" si="1"/>
        <v/>
      </c>
      <c r="G14315" s="1" t="str">
        <f t="shared" si="2"/>
        <v/>
      </c>
      <c r="J14315" s="1" t="str">
        <f t="shared" si="3"/>
        <v/>
      </c>
      <c r="K14315" s="1" t="str">
        <f t="shared" si="4"/>
        <v/>
      </c>
    </row>
    <row r="14316">
      <c r="F14316" s="1" t="str">
        <f t="shared" si="1"/>
        <v/>
      </c>
      <c r="G14316" s="1" t="str">
        <f t="shared" si="2"/>
        <v/>
      </c>
      <c r="J14316" s="1" t="str">
        <f t="shared" si="3"/>
        <v/>
      </c>
      <c r="K14316" s="1" t="str">
        <f t="shared" si="4"/>
        <v/>
      </c>
    </row>
    <row r="14317">
      <c r="F14317" s="1" t="str">
        <f t="shared" si="1"/>
        <v/>
      </c>
      <c r="G14317" s="1" t="str">
        <f t="shared" si="2"/>
        <v/>
      </c>
      <c r="J14317" s="1" t="str">
        <f t="shared" si="3"/>
        <v/>
      </c>
      <c r="K14317" s="1" t="str">
        <f t="shared" si="4"/>
        <v/>
      </c>
    </row>
    <row r="14318">
      <c r="F14318" s="1" t="str">
        <f t="shared" si="1"/>
        <v/>
      </c>
      <c r="G14318" s="1" t="str">
        <f t="shared" si="2"/>
        <v/>
      </c>
      <c r="J14318" s="1" t="str">
        <f t="shared" si="3"/>
        <v/>
      </c>
      <c r="K14318" s="1" t="str">
        <f t="shared" si="4"/>
        <v/>
      </c>
    </row>
    <row r="14319">
      <c r="F14319" s="1" t="str">
        <f t="shared" si="1"/>
        <v/>
      </c>
      <c r="G14319" s="1" t="str">
        <f t="shared" si="2"/>
        <v/>
      </c>
      <c r="J14319" s="1" t="str">
        <f t="shared" si="3"/>
        <v/>
      </c>
      <c r="K14319" s="1" t="str">
        <f t="shared" si="4"/>
        <v/>
      </c>
    </row>
    <row r="14320">
      <c r="F14320" s="1" t="str">
        <f t="shared" si="1"/>
        <v/>
      </c>
      <c r="G14320" s="1" t="str">
        <f t="shared" si="2"/>
        <v/>
      </c>
      <c r="J14320" s="1" t="str">
        <f t="shared" si="3"/>
        <v/>
      </c>
      <c r="K14320" s="1" t="str">
        <f t="shared" si="4"/>
        <v/>
      </c>
    </row>
    <row r="14321">
      <c r="F14321" s="1" t="str">
        <f t="shared" si="1"/>
        <v/>
      </c>
      <c r="G14321" s="1" t="str">
        <f t="shared" si="2"/>
        <v/>
      </c>
      <c r="J14321" s="1" t="str">
        <f t="shared" si="3"/>
        <v/>
      </c>
      <c r="K14321" s="1" t="str">
        <f t="shared" si="4"/>
        <v/>
      </c>
    </row>
    <row r="14322">
      <c r="F14322" s="1" t="str">
        <f t="shared" si="1"/>
        <v/>
      </c>
      <c r="G14322" s="1" t="str">
        <f t="shared" si="2"/>
        <v/>
      </c>
      <c r="J14322" s="1" t="str">
        <f t="shared" si="3"/>
        <v/>
      </c>
      <c r="K14322" s="1" t="str">
        <f t="shared" si="4"/>
        <v/>
      </c>
    </row>
    <row r="14323">
      <c r="F14323" s="1" t="str">
        <f t="shared" si="1"/>
        <v/>
      </c>
      <c r="G14323" s="1" t="str">
        <f t="shared" si="2"/>
        <v/>
      </c>
      <c r="J14323" s="1" t="str">
        <f t="shared" si="3"/>
        <v/>
      </c>
      <c r="K14323" s="1" t="str">
        <f t="shared" si="4"/>
        <v/>
      </c>
    </row>
    <row r="14324">
      <c r="F14324" s="1" t="str">
        <f t="shared" si="1"/>
        <v/>
      </c>
      <c r="G14324" s="1" t="str">
        <f t="shared" si="2"/>
        <v/>
      </c>
      <c r="J14324" s="1" t="str">
        <f t="shared" si="3"/>
        <v/>
      </c>
      <c r="K14324" s="1" t="str">
        <f t="shared" si="4"/>
        <v/>
      </c>
    </row>
    <row r="14325">
      <c r="F14325" s="1" t="str">
        <f t="shared" si="1"/>
        <v/>
      </c>
      <c r="G14325" s="1" t="str">
        <f t="shared" si="2"/>
        <v/>
      </c>
      <c r="J14325" s="1" t="str">
        <f t="shared" si="3"/>
        <v/>
      </c>
      <c r="K14325" s="1" t="str">
        <f t="shared" si="4"/>
        <v/>
      </c>
    </row>
    <row r="14326">
      <c r="F14326" s="1" t="str">
        <f t="shared" si="1"/>
        <v/>
      </c>
      <c r="G14326" s="1" t="str">
        <f t="shared" si="2"/>
        <v/>
      </c>
      <c r="J14326" s="1" t="str">
        <f t="shared" si="3"/>
        <v/>
      </c>
      <c r="K14326" s="1" t="str">
        <f t="shared" si="4"/>
        <v/>
      </c>
    </row>
    <row r="14327">
      <c r="F14327" s="1" t="str">
        <f t="shared" si="1"/>
        <v/>
      </c>
      <c r="G14327" s="1" t="str">
        <f t="shared" si="2"/>
        <v/>
      </c>
      <c r="J14327" s="1" t="str">
        <f t="shared" si="3"/>
        <v/>
      </c>
      <c r="K14327" s="1" t="str">
        <f t="shared" si="4"/>
        <v/>
      </c>
    </row>
    <row r="14328">
      <c r="F14328" s="1" t="str">
        <f t="shared" si="1"/>
        <v/>
      </c>
      <c r="G14328" s="1" t="str">
        <f t="shared" si="2"/>
        <v/>
      </c>
      <c r="J14328" s="1" t="str">
        <f t="shared" si="3"/>
        <v/>
      </c>
      <c r="K14328" s="1" t="str">
        <f t="shared" si="4"/>
        <v/>
      </c>
    </row>
    <row r="14329">
      <c r="F14329" s="1" t="str">
        <f t="shared" si="1"/>
        <v/>
      </c>
      <c r="G14329" s="1" t="str">
        <f t="shared" si="2"/>
        <v/>
      </c>
      <c r="J14329" s="1" t="str">
        <f t="shared" si="3"/>
        <v/>
      </c>
      <c r="K14329" s="1" t="str">
        <f t="shared" si="4"/>
        <v/>
      </c>
    </row>
    <row r="14330">
      <c r="F14330" s="1" t="str">
        <f t="shared" si="1"/>
        <v/>
      </c>
      <c r="G14330" s="1" t="str">
        <f t="shared" si="2"/>
        <v/>
      </c>
      <c r="J14330" s="1" t="str">
        <f t="shared" si="3"/>
        <v/>
      </c>
      <c r="K14330" s="1" t="str">
        <f t="shared" si="4"/>
        <v/>
      </c>
    </row>
    <row r="14331">
      <c r="F14331" s="1" t="str">
        <f t="shared" si="1"/>
        <v/>
      </c>
      <c r="G14331" s="1" t="str">
        <f t="shared" si="2"/>
        <v/>
      </c>
      <c r="J14331" s="1" t="str">
        <f t="shared" si="3"/>
        <v/>
      </c>
      <c r="K14331" s="1" t="str">
        <f t="shared" si="4"/>
        <v/>
      </c>
    </row>
    <row r="14332">
      <c r="F14332" s="1" t="str">
        <f t="shared" si="1"/>
        <v/>
      </c>
      <c r="G14332" s="1" t="str">
        <f t="shared" si="2"/>
        <v/>
      </c>
      <c r="J14332" s="1" t="str">
        <f t="shared" si="3"/>
        <v/>
      </c>
      <c r="K14332" s="1" t="str">
        <f t="shared" si="4"/>
        <v/>
      </c>
    </row>
    <row r="14333">
      <c r="F14333" s="1" t="str">
        <f t="shared" si="1"/>
        <v/>
      </c>
      <c r="G14333" s="1" t="str">
        <f t="shared" si="2"/>
        <v/>
      </c>
      <c r="J14333" s="1" t="str">
        <f t="shared" si="3"/>
        <v/>
      </c>
      <c r="K14333" s="1" t="str">
        <f t="shared" si="4"/>
        <v/>
      </c>
    </row>
    <row r="14334">
      <c r="F14334" s="1" t="str">
        <f t="shared" si="1"/>
        <v/>
      </c>
      <c r="G14334" s="1" t="str">
        <f t="shared" si="2"/>
        <v/>
      </c>
      <c r="J14334" s="1" t="str">
        <f t="shared" si="3"/>
        <v/>
      </c>
      <c r="K14334" s="1" t="str">
        <f t="shared" si="4"/>
        <v/>
      </c>
    </row>
    <row r="14335">
      <c r="F14335" s="1" t="str">
        <f t="shared" si="1"/>
        <v/>
      </c>
      <c r="G14335" s="1" t="str">
        <f t="shared" si="2"/>
        <v/>
      </c>
      <c r="J14335" s="1" t="str">
        <f t="shared" si="3"/>
        <v/>
      </c>
      <c r="K14335" s="1" t="str">
        <f t="shared" si="4"/>
        <v/>
      </c>
    </row>
    <row r="14336">
      <c r="F14336" s="1" t="str">
        <f t="shared" si="1"/>
        <v/>
      </c>
      <c r="G14336" s="1" t="str">
        <f t="shared" si="2"/>
        <v/>
      </c>
      <c r="J14336" s="1" t="str">
        <f t="shared" si="3"/>
        <v/>
      </c>
      <c r="K14336" s="1" t="str">
        <f t="shared" si="4"/>
        <v/>
      </c>
    </row>
    <row r="14337">
      <c r="F14337" s="1" t="str">
        <f t="shared" si="1"/>
        <v/>
      </c>
      <c r="G14337" s="1" t="str">
        <f t="shared" si="2"/>
        <v/>
      </c>
      <c r="J14337" s="1" t="str">
        <f t="shared" si="3"/>
        <v/>
      </c>
      <c r="K14337" s="1" t="str">
        <f t="shared" si="4"/>
        <v/>
      </c>
    </row>
    <row r="14338">
      <c r="F14338" s="1" t="str">
        <f t="shared" si="1"/>
        <v/>
      </c>
      <c r="G14338" s="1" t="str">
        <f t="shared" si="2"/>
        <v/>
      </c>
      <c r="J14338" s="1" t="str">
        <f t="shared" si="3"/>
        <v/>
      </c>
      <c r="K14338" s="1" t="str">
        <f t="shared" si="4"/>
        <v/>
      </c>
    </row>
    <row r="14339">
      <c r="F14339" s="1" t="str">
        <f t="shared" si="1"/>
        <v/>
      </c>
      <c r="G14339" s="1" t="str">
        <f t="shared" si="2"/>
        <v/>
      </c>
      <c r="J14339" s="1" t="str">
        <f t="shared" si="3"/>
        <v/>
      </c>
      <c r="K14339" s="1" t="str">
        <f t="shared" si="4"/>
        <v/>
      </c>
    </row>
    <row r="14340">
      <c r="F14340" s="1" t="str">
        <f t="shared" si="1"/>
        <v/>
      </c>
      <c r="G14340" s="1" t="str">
        <f t="shared" si="2"/>
        <v/>
      </c>
      <c r="J14340" s="1" t="str">
        <f t="shared" si="3"/>
        <v/>
      </c>
      <c r="K14340" s="1" t="str">
        <f t="shared" si="4"/>
        <v/>
      </c>
    </row>
    <row r="14341">
      <c r="F14341" s="1" t="str">
        <f t="shared" si="1"/>
        <v/>
      </c>
      <c r="G14341" s="1" t="str">
        <f t="shared" si="2"/>
        <v/>
      </c>
      <c r="J14341" s="1" t="str">
        <f t="shared" si="3"/>
        <v/>
      </c>
      <c r="K14341" s="1" t="str">
        <f t="shared" si="4"/>
        <v/>
      </c>
    </row>
    <row r="14342">
      <c r="F14342" s="1" t="str">
        <f t="shared" si="1"/>
        <v/>
      </c>
      <c r="G14342" s="1" t="str">
        <f t="shared" si="2"/>
        <v/>
      </c>
      <c r="J14342" s="1" t="str">
        <f t="shared" si="3"/>
        <v/>
      </c>
      <c r="K14342" s="1" t="str">
        <f t="shared" si="4"/>
        <v/>
      </c>
    </row>
    <row r="14343">
      <c r="F14343" s="1" t="str">
        <f t="shared" si="1"/>
        <v/>
      </c>
      <c r="G14343" s="1" t="str">
        <f t="shared" si="2"/>
        <v/>
      </c>
      <c r="J14343" s="1" t="str">
        <f t="shared" si="3"/>
        <v/>
      </c>
      <c r="K14343" s="1" t="str">
        <f t="shared" si="4"/>
        <v/>
      </c>
    </row>
    <row r="14344">
      <c r="F14344" s="1" t="str">
        <f t="shared" si="1"/>
        <v/>
      </c>
      <c r="G14344" s="1" t="str">
        <f t="shared" si="2"/>
        <v/>
      </c>
      <c r="J14344" s="1" t="str">
        <f t="shared" si="3"/>
        <v/>
      </c>
      <c r="K14344" s="1" t="str">
        <f t="shared" si="4"/>
        <v/>
      </c>
    </row>
    <row r="14345">
      <c r="F14345" s="1" t="str">
        <f t="shared" si="1"/>
        <v/>
      </c>
      <c r="G14345" s="1" t="str">
        <f t="shared" si="2"/>
        <v/>
      </c>
      <c r="J14345" s="1" t="str">
        <f t="shared" si="3"/>
        <v/>
      </c>
      <c r="K14345" s="1" t="str">
        <f t="shared" si="4"/>
        <v/>
      </c>
    </row>
    <row r="14346">
      <c r="F14346" s="1" t="str">
        <f t="shared" si="1"/>
        <v/>
      </c>
      <c r="G14346" s="1" t="str">
        <f t="shared" si="2"/>
        <v/>
      </c>
      <c r="J14346" s="1" t="str">
        <f t="shared" si="3"/>
        <v/>
      </c>
      <c r="K14346" s="1" t="str">
        <f t="shared" si="4"/>
        <v/>
      </c>
    </row>
    <row r="14347">
      <c r="F14347" s="1" t="str">
        <f t="shared" si="1"/>
        <v/>
      </c>
      <c r="G14347" s="1" t="str">
        <f t="shared" si="2"/>
        <v/>
      </c>
      <c r="J14347" s="1" t="str">
        <f t="shared" si="3"/>
        <v/>
      </c>
      <c r="K14347" s="1" t="str">
        <f t="shared" si="4"/>
        <v/>
      </c>
    </row>
    <row r="14348">
      <c r="F14348" s="1" t="str">
        <f t="shared" si="1"/>
        <v/>
      </c>
      <c r="G14348" s="1" t="str">
        <f t="shared" si="2"/>
        <v/>
      </c>
      <c r="J14348" s="1" t="str">
        <f t="shared" si="3"/>
        <v/>
      </c>
      <c r="K14348" s="1" t="str">
        <f t="shared" si="4"/>
        <v/>
      </c>
    </row>
    <row r="14349">
      <c r="F14349" s="1" t="str">
        <f t="shared" si="1"/>
        <v/>
      </c>
      <c r="G14349" s="1" t="str">
        <f t="shared" si="2"/>
        <v/>
      </c>
      <c r="J14349" s="1" t="str">
        <f t="shared" si="3"/>
        <v/>
      </c>
      <c r="K14349" s="1" t="str">
        <f t="shared" si="4"/>
        <v/>
      </c>
    </row>
    <row r="14350">
      <c r="F14350" s="1" t="str">
        <f t="shared" si="1"/>
        <v/>
      </c>
      <c r="G14350" s="1" t="str">
        <f t="shared" si="2"/>
        <v/>
      </c>
      <c r="J14350" s="1" t="str">
        <f t="shared" si="3"/>
        <v/>
      </c>
      <c r="K14350" s="1" t="str">
        <f t="shared" si="4"/>
        <v/>
      </c>
    </row>
    <row r="14351">
      <c r="F14351" s="1" t="str">
        <f t="shared" si="1"/>
        <v/>
      </c>
      <c r="G14351" s="1" t="str">
        <f t="shared" si="2"/>
        <v/>
      </c>
      <c r="J14351" s="1" t="str">
        <f t="shared" si="3"/>
        <v/>
      </c>
      <c r="K14351" s="1" t="str">
        <f t="shared" si="4"/>
        <v/>
      </c>
    </row>
    <row r="14352">
      <c r="F14352" s="1" t="str">
        <f t="shared" si="1"/>
        <v/>
      </c>
      <c r="G14352" s="1" t="str">
        <f t="shared" si="2"/>
        <v/>
      </c>
      <c r="J14352" s="1" t="str">
        <f t="shared" si="3"/>
        <v/>
      </c>
      <c r="K14352" s="1" t="str">
        <f t="shared" si="4"/>
        <v/>
      </c>
    </row>
    <row r="14353">
      <c r="F14353" s="1" t="str">
        <f t="shared" si="1"/>
        <v/>
      </c>
      <c r="G14353" s="1" t="str">
        <f t="shared" si="2"/>
        <v/>
      </c>
      <c r="J14353" s="1" t="str">
        <f t="shared" si="3"/>
        <v/>
      </c>
      <c r="K14353" s="1" t="str">
        <f t="shared" si="4"/>
        <v/>
      </c>
    </row>
    <row r="14354">
      <c r="F14354" s="1" t="str">
        <f t="shared" si="1"/>
        <v/>
      </c>
      <c r="G14354" s="1" t="str">
        <f t="shared" si="2"/>
        <v/>
      </c>
      <c r="J14354" s="1" t="str">
        <f t="shared" si="3"/>
        <v/>
      </c>
      <c r="K14354" s="1" t="str">
        <f t="shared" si="4"/>
        <v/>
      </c>
    </row>
    <row r="14355">
      <c r="F14355" s="1" t="str">
        <f t="shared" si="1"/>
        <v/>
      </c>
      <c r="G14355" s="1" t="str">
        <f t="shared" si="2"/>
        <v/>
      </c>
      <c r="J14355" s="1" t="str">
        <f t="shared" si="3"/>
        <v/>
      </c>
      <c r="K14355" s="1" t="str">
        <f t="shared" si="4"/>
        <v/>
      </c>
    </row>
    <row r="14356">
      <c r="F14356" s="1" t="str">
        <f t="shared" si="1"/>
        <v/>
      </c>
      <c r="G14356" s="1" t="str">
        <f t="shared" si="2"/>
        <v/>
      </c>
      <c r="J14356" s="1" t="str">
        <f t="shared" si="3"/>
        <v/>
      </c>
      <c r="K14356" s="1" t="str">
        <f t="shared" si="4"/>
        <v/>
      </c>
    </row>
    <row r="14357">
      <c r="F14357" s="1" t="str">
        <f t="shared" si="1"/>
        <v/>
      </c>
      <c r="G14357" s="1" t="str">
        <f t="shared" si="2"/>
        <v/>
      </c>
      <c r="J14357" s="1" t="str">
        <f t="shared" si="3"/>
        <v/>
      </c>
      <c r="K14357" s="1" t="str">
        <f t="shared" si="4"/>
        <v/>
      </c>
    </row>
    <row r="14358">
      <c r="F14358" s="1" t="str">
        <f t="shared" si="1"/>
        <v/>
      </c>
      <c r="G14358" s="1" t="str">
        <f t="shared" si="2"/>
        <v/>
      </c>
      <c r="J14358" s="1" t="str">
        <f t="shared" si="3"/>
        <v/>
      </c>
      <c r="K14358" s="1" t="str">
        <f t="shared" si="4"/>
        <v/>
      </c>
    </row>
    <row r="14359">
      <c r="F14359" s="1" t="str">
        <f t="shared" si="1"/>
        <v/>
      </c>
      <c r="G14359" s="1" t="str">
        <f t="shared" si="2"/>
        <v/>
      </c>
      <c r="J14359" s="1" t="str">
        <f t="shared" si="3"/>
        <v/>
      </c>
      <c r="K14359" s="1" t="str">
        <f t="shared" si="4"/>
        <v/>
      </c>
    </row>
    <row r="14360">
      <c r="F14360" s="1" t="str">
        <f t="shared" si="1"/>
        <v/>
      </c>
      <c r="G14360" s="1" t="str">
        <f t="shared" si="2"/>
        <v/>
      </c>
      <c r="J14360" s="1" t="str">
        <f t="shared" si="3"/>
        <v/>
      </c>
      <c r="K14360" s="1" t="str">
        <f t="shared" si="4"/>
        <v/>
      </c>
    </row>
    <row r="14361">
      <c r="F14361" s="1" t="str">
        <f t="shared" si="1"/>
        <v/>
      </c>
      <c r="G14361" s="1" t="str">
        <f t="shared" si="2"/>
        <v/>
      </c>
      <c r="J14361" s="1" t="str">
        <f t="shared" si="3"/>
        <v/>
      </c>
      <c r="K14361" s="1" t="str">
        <f t="shared" si="4"/>
        <v/>
      </c>
    </row>
    <row r="14362">
      <c r="F14362" s="1" t="str">
        <f t="shared" si="1"/>
        <v/>
      </c>
      <c r="G14362" s="1" t="str">
        <f t="shared" si="2"/>
        <v/>
      </c>
      <c r="J14362" s="1" t="str">
        <f t="shared" si="3"/>
        <v/>
      </c>
      <c r="K14362" s="1" t="str">
        <f t="shared" si="4"/>
        <v/>
      </c>
    </row>
    <row r="14363">
      <c r="F14363" s="1" t="str">
        <f t="shared" si="1"/>
        <v/>
      </c>
      <c r="G14363" s="1" t="str">
        <f t="shared" si="2"/>
        <v/>
      </c>
      <c r="J14363" s="1" t="str">
        <f t="shared" si="3"/>
        <v/>
      </c>
      <c r="K14363" s="1" t="str">
        <f t="shared" si="4"/>
        <v/>
      </c>
    </row>
    <row r="14364">
      <c r="F14364" s="1" t="str">
        <f t="shared" si="1"/>
        <v/>
      </c>
      <c r="G14364" s="1" t="str">
        <f t="shared" si="2"/>
        <v/>
      </c>
      <c r="J14364" s="1" t="str">
        <f t="shared" si="3"/>
        <v/>
      </c>
      <c r="K14364" s="1" t="str">
        <f t="shared" si="4"/>
        <v/>
      </c>
    </row>
    <row r="14365">
      <c r="F14365" s="1" t="str">
        <f t="shared" si="1"/>
        <v/>
      </c>
      <c r="G14365" s="1" t="str">
        <f t="shared" si="2"/>
        <v/>
      </c>
      <c r="J14365" s="1" t="str">
        <f t="shared" si="3"/>
        <v/>
      </c>
      <c r="K14365" s="1" t="str">
        <f t="shared" si="4"/>
        <v/>
      </c>
    </row>
    <row r="14366">
      <c r="F14366" s="1" t="str">
        <f t="shared" si="1"/>
        <v/>
      </c>
      <c r="G14366" s="1" t="str">
        <f t="shared" si="2"/>
        <v/>
      </c>
      <c r="J14366" s="1" t="str">
        <f t="shared" si="3"/>
        <v/>
      </c>
      <c r="K14366" s="1" t="str">
        <f t="shared" si="4"/>
        <v/>
      </c>
    </row>
    <row r="14367">
      <c r="F14367" s="1" t="str">
        <f t="shared" si="1"/>
        <v/>
      </c>
      <c r="G14367" s="1" t="str">
        <f t="shared" si="2"/>
        <v/>
      </c>
      <c r="J14367" s="1" t="str">
        <f t="shared" si="3"/>
        <v/>
      </c>
      <c r="K14367" s="1" t="str">
        <f t="shared" si="4"/>
        <v/>
      </c>
    </row>
    <row r="14368">
      <c r="F14368" s="1" t="str">
        <f t="shared" si="1"/>
        <v/>
      </c>
      <c r="G14368" s="1" t="str">
        <f t="shared" si="2"/>
        <v/>
      </c>
      <c r="J14368" s="1" t="str">
        <f t="shared" si="3"/>
        <v/>
      </c>
      <c r="K14368" s="1" t="str">
        <f t="shared" si="4"/>
        <v/>
      </c>
    </row>
    <row r="14369">
      <c r="F14369" s="1" t="str">
        <f t="shared" si="1"/>
        <v/>
      </c>
      <c r="G14369" s="1" t="str">
        <f t="shared" si="2"/>
        <v/>
      </c>
      <c r="J14369" s="1" t="str">
        <f t="shared" si="3"/>
        <v/>
      </c>
      <c r="K14369" s="1" t="str">
        <f t="shared" si="4"/>
        <v/>
      </c>
    </row>
    <row r="14370">
      <c r="F14370" s="1" t="str">
        <f t="shared" si="1"/>
        <v/>
      </c>
      <c r="G14370" s="1" t="str">
        <f t="shared" si="2"/>
        <v/>
      </c>
      <c r="J14370" s="1" t="str">
        <f t="shared" si="3"/>
        <v/>
      </c>
      <c r="K14370" s="1" t="str">
        <f t="shared" si="4"/>
        <v/>
      </c>
    </row>
    <row r="14371">
      <c r="F14371" s="1" t="str">
        <f t="shared" si="1"/>
        <v/>
      </c>
      <c r="G14371" s="1" t="str">
        <f t="shared" si="2"/>
        <v/>
      </c>
      <c r="J14371" s="1" t="str">
        <f t="shared" si="3"/>
        <v/>
      </c>
      <c r="K14371" s="1" t="str">
        <f t="shared" si="4"/>
        <v/>
      </c>
    </row>
    <row r="14372">
      <c r="F14372" s="1" t="str">
        <f t="shared" si="1"/>
        <v/>
      </c>
      <c r="G14372" s="1" t="str">
        <f t="shared" si="2"/>
        <v/>
      </c>
      <c r="J14372" s="1" t="str">
        <f t="shared" si="3"/>
        <v/>
      </c>
      <c r="K14372" s="1" t="str">
        <f t="shared" si="4"/>
        <v/>
      </c>
    </row>
    <row r="14373">
      <c r="F14373" s="1" t="str">
        <f t="shared" si="1"/>
        <v/>
      </c>
      <c r="G14373" s="1" t="str">
        <f t="shared" si="2"/>
        <v/>
      </c>
      <c r="J14373" s="1" t="str">
        <f t="shared" si="3"/>
        <v/>
      </c>
      <c r="K14373" s="1" t="str">
        <f t="shared" si="4"/>
        <v/>
      </c>
    </row>
    <row r="14374">
      <c r="F14374" s="1" t="str">
        <f t="shared" si="1"/>
        <v/>
      </c>
      <c r="G14374" s="1" t="str">
        <f t="shared" si="2"/>
        <v/>
      </c>
      <c r="J14374" s="1" t="str">
        <f t="shared" si="3"/>
        <v/>
      </c>
      <c r="K14374" s="1" t="str">
        <f t="shared" si="4"/>
        <v/>
      </c>
    </row>
    <row r="14375">
      <c r="F14375" s="1" t="str">
        <f t="shared" si="1"/>
        <v/>
      </c>
      <c r="G14375" s="1" t="str">
        <f t="shared" si="2"/>
        <v/>
      </c>
      <c r="J14375" s="1" t="str">
        <f t="shared" si="3"/>
        <v/>
      </c>
      <c r="K14375" s="1" t="str">
        <f t="shared" si="4"/>
        <v/>
      </c>
    </row>
    <row r="14376">
      <c r="F14376" s="1" t="str">
        <f t="shared" si="1"/>
        <v/>
      </c>
      <c r="G14376" s="1" t="str">
        <f t="shared" si="2"/>
        <v/>
      </c>
      <c r="J14376" s="1" t="str">
        <f t="shared" si="3"/>
        <v/>
      </c>
      <c r="K14376" s="1" t="str">
        <f t="shared" si="4"/>
        <v/>
      </c>
    </row>
    <row r="14377">
      <c r="F14377" s="1" t="str">
        <f t="shared" si="1"/>
        <v/>
      </c>
      <c r="G14377" s="1" t="str">
        <f t="shared" si="2"/>
        <v/>
      </c>
      <c r="J14377" s="1" t="str">
        <f t="shared" si="3"/>
        <v/>
      </c>
      <c r="K14377" s="1" t="str">
        <f t="shared" si="4"/>
        <v/>
      </c>
    </row>
    <row r="14378">
      <c r="F14378" s="1" t="str">
        <f t="shared" si="1"/>
        <v/>
      </c>
      <c r="G14378" s="1" t="str">
        <f t="shared" si="2"/>
        <v/>
      </c>
      <c r="J14378" s="1" t="str">
        <f t="shared" si="3"/>
        <v/>
      </c>
      <c r="K14378" s="1" t="str">
        <f t="shared" si="4"/>
        <v/>
      </c>
    </row>
    <row r="14379">
      <c r="F14379" s="1" t="str">
        <f t="shared" si="1"/>
        <v/>
      </c>
      <c r="G14379" s="1" t="str">
        <f t="shared" si="2"/>
        <v/>
      </c>
      <c r="J14379" s="1" t="str">
        <f t="shared" si="3"/>
        <v/>
      </c>
      <c r="K14379" s="1" t="str">
        <f t="shared" si="4"/>
        <v/>
      </c>
    </row>
    <row r="14380">
      <c r="F14380" s="1" t="str">
        <f t="shared" si="1"/>
        <v/>
      </c>
      <c r="G14380" s="1" t="str">
        <f t="shared" si="2"/>
        <v/>
      </c>
      <c r="J14380" s="1" t="str">
        <f t="shared" si="3"/>
        <v/>
      </c>
      <c r="K14380" s="1" t="str">
        <f t="shared" si="4"/>
        <v/>
      </c>
    </row>
    <row r="14381">
      <c r="F14381" s="1" t="str">
        <f t="shared" si="1"/>
        <v/>
      </c>
      <c r="G14381" s="1" t="str">
        <f t="shared" si="2"/>
        <v/>
      </c>
      <c r="J14381" s="1" t="str">
        <f t="shared" si="3"/>
        <v/>
      </c>
      <c r="K14381" s="1" t="str">
        <f t="shared" si="4"/>
        <v/>
      </c>
    </row>
    <row r="14382">
      <c r="F14382" s="1" t="str">
        <f t="shared" si="1"/>
        <v/>
      </c>
      <c r="G14382" s="1" t="str">
        <f t="shared" si="2"/>
        <v/>
      </c>
      <c r="J14382" s="1" t="str">
        <f t="shared" si="3"/>
        <v/>
      </c>
      <c r="K14382" s="1" t="str">
        <f t="shared" si="4"/>
        <v/>
      </c>
    </row>
    <row r="14383">
      <c r="F14383" s="1" t="str">
        <f t="shared" si="1"/>
        <v/>
      </c>
      <c r="G14383" s="1" t="str">
        <f t="shared" si="2"/>
        <v/>
      </c>
      <c r="J14383" s="1" t="str">
        <f t="shared" si="3"/>
        <v/>
      </c>
      <c r="K14383" s="1" t="str">
        <f t="shared" si="4"/>
        <v/>
      </c>
    </row>
    <row r="14384">
      <c r="F14384" s="1" t="str">
        <f t="shared" si="1"/>
        <v/>
      </c>
      <c r="G14384" s="1" t="str">
        <f t="shared" si="2"/>
        <v/>
      </c>
      <c r="J14384" s="1" t="str">
        <f t="shared" si="3"/>
        <v/>
      </c>
      <c r="K14384" s="1" t="str">
        <f t="shared" si="4"/>
        <v/>
      </c>
    </row>
    <row r="14385">
      <c r="F14385" s="1" t="str">
        <f t="shared" si="1"/>
        <v/>
      </c>
      <c r="G14385" s="1" t="str">
        <f t="shared" si="2"/>
        <v/>
      </c>
      <c r="J14385" s="1" t="str">
        <f t="shared" si="3"/>
        <v/>
      </c>
      <c r="K14385" s="1" t="str">
        <f t="shared" si="4"/>
        <v/>
      </c>
    </row>
    <row r="14386">
      <c r="F14386" s="1" t="str">
        <f t="shared" si="1"/>
        <v/>
      </c>
      <c r="G14386" s="1" t="str">
        <f t="shared" si="2"/>
        <v/>
      </c>
      <c r="J14386" s="1" t="str">
        <f t="shared" si="3"/>
        <v/>
      </c>
      <c r="K14386" s="1" t="str">
        <f t="shared" si="4"/>
        <v/>
      </c>
    </row>
    <row r="14387">
      <c r="F14387" s="1" t="str">
        <f t="shared" si="1"/>
        <v/>
      </c>
      <c r="G14387" s="1" t="str">
        <f t="shared" si="2"/>
        <v/>
      </c>
      <c r="J14387" s="1" t="str">
        <f t="shared" si="3"/>
        <v/>
      </c>
      <c r="K14387" s="1" t="str">
        <f t="shared" si="4"/>
        <v/>
      </c>
    </row>
    <row r="14388">
      <c r="F14388" s="1" t="str">
        <f t="shared" si="1"/>
        <v/>
      </c>
      <c r="G14388" s="1" t="str">
        <f t="shared" si="2"/>
        <v/>
      </c>
      <c r="J14388" s="1" t="str">
        <f t="shared" si="3"/>
        <v/>
      </c>
      <c r="K14388" s="1" t="str">
        <f t="shared" si="4"/>
        <v/>
      </c>
    </row>
    <row r="14389">
      <c r="F14389" s="1" t="str">
        <f t="shared" si="1"/>
        <v/>
      </c>
      <c r="G14389" s="1" t="str">
        <f t="shared" si="2"/>
        <v/>
      </c>
      <c r="J14389" s="1" t="str">
        <f t="shared" si="3"/>
        <v/>
      </c>
      <c r="K14389" s="1" t="str">
        <f t="shared" si="4"/>
        <v/>
      </c>
    </row>
    <row r="14390">
      <c r="F14390" s="1" t="str">
        <f t="shared" si="1"/>
        <v/>
      </c>
      <c r="G14390" s="1" t="str">
        <f t="shared" si="2"/>
        <v/>
      </c>
      <c r="J14390" s="1" t="str">
        <f t="shared" si="3"/>
        <v/>
      </c>
      <c r="K14390" s="1" t="str">
        <f t="shared" si="4"/>
        <v/>
      </c>
    </row>
    <row r="14391">
      <c r="F14391" s="1" t="str">
        <f t="shared" si="1"/>
        <v/>
      </c>
      <c r="G14391" s="1" t="str">
        <f t="shared" si="2"/>
        <v/>
      </c>
      <c r="J14391" s="1" t="str">
        <f t="shared" si="3"/>
        <v/>
      </c>
      <c r="K14391" s="1" t="str">
        <f t="shared" si="4"/>
        <v/>
      </c>
    </row>
    <row r="14392">
      <c r="F14392" s="1" t="str">
        <f t="shared" si="1"/>
        <v/>
      </c>
      <c r="G14392" s="1" t="str">
        <f t="shared" si="2"/>
        <v/>
      </c>
      <c r="J14392" s="1" t="str">
        <f t="shared" si="3"/>
        <v/>
      </c>
      <c r="K14392" s="1" t="str">
        <f t="shared" si="4"/>
        <v/>
      </c>
    </row>
    <row r="14393">
      <c r="F14393" s="1" t="str">
        <f t="shared" si="1"/>
        <v/>
      </c>
      <c r="G14393" s="1" t="str">
        <f t="shared" si="2"/>
        <v/>
      </c>
      <c r="J14393" s="1" t="str">
        <f t="shared" si="3"/>
        <v/>
      </c>
      <c r="K14393" s="1" t="str">
        <f t="shared" si="4"/>
        <v/>
      </c>
    </row>
    <row r="14394">
      <c r="F14394" s="1" t="str">
        <f t="shared" si="1"/>
        <v/>
      </c>
      <c r="G14394" s="1" t="str">
        <f t="shared" si="2"/>
        <v/>
      </c>
      <c r="J14394" s="1" t="str">
        <f t="shared" si="3"/>
        <v/>
      </c>
      <c r="K14394" s="1" t="str">
        <f t="shared" si="4"/>
        <v/>
      </c>
    </row>
    <row r="14395">
      <c r="F14395" s="1" t="str">
        <f t="shared" si="1"/>
        <v/>
      </c>
      <c r="G14395" s="1" t="str">
        <f t="shared" si="2"/>
        <v/>
      </c>
      <c r="J14395" s="1" t="str">
        <f t="shared" si="3"/>
        <v/>
      </c>
      <c r="K14395" s="1" t="str">
        <f t="shared" si="4"/>
        <v/>
      </c>
    </row>
    <row r="14396">
      <c r="F14396" s="1" t="str">
        <f t="shared" si="1"/>
        <v/>
      </c>
      <c r="G14396" s="1" t="str">
        <f t="shared" si="2"/>
        <v/>
      </c>
      <c r="J14396" s="1" t="str">
        <f t="shared" si="3"/>
        <v/>
      </c>
      <c r="K14396" s="1" t="str">
        <f t="shared" si="4"/>
        <v/>
      </c>
    </row>
    <row r="14397">
      <c r="F14397" s="1" t="str">
        <f t="shared" si="1"/>
        <v/>
      </c>
      <c r="G14397" s="1" t="str">
        <f t="shared" si="2"/>
        <v/>
      </c>
      <c r="J14397" s="1" t="str">
        <f t="shared" si="3"/>
        <v/>
      </c>
      <c r="K14397" s="1" t="str">
        <f t="shared" si="4"/>
        <v/>
      </c>
    </row>
    <row r="14398">
      <c r="F14398" s="1" t="str">
        <f t="shared" si="1"/>
        <v/>
      </c>
      <c r="G14398" s="1" t="str">
        <f t="shared" si="2"/>
        <v/>
      </c>
      <c r="J14398" s="1" t="str">
        <f t="shared" si="3"/>
        <v/>
      </c>
      <c r="K14398" s="1" t="str">
        <f t="shared" si="4"/>
        <v/>
      </c>
    </row>
    <row r="14399">
      <c r="F14399" s="1" t="str">
        <f t="shared" si="1"/>
        <v/>
      </c>
      <c r="G14399" s="1" t="str">
        <f t="shared" si="2"/>
        <v/>
      </c>
      <c r="J14399" s="1" t="str">
        <f t="shared" si="3"/>
        <v/>
      </c>
      <c r="K14399" s="1" t="str">
        <f t="shared" si="4"/>
        <v/>
      </c>
    </row>
    <row r="14400">
      <c r="F14400" s="1" t="str">
        <f t="shared" si="1"/>
        <v/>
      </c>
      <c r="G14400" s="1" t="str">
        <f t="shared" si="2"/>
        <v/>
      </c>
      <c r="J14400" s="1" t="str">
        <f t="shared" si="3"/>
        <v/>
      </c>
      <c r="K14400" s="1" t="str">
        <f t="shared" si="4"/>
        <v/>
      </c>
    </row>
    <row r="14401">
      <c r="F14401" s="1" t="str">
        <f t="shared" si="1"/>
        <v/>
      </c>
      <c r="G14401" s="1" t="str">
        <f t="shared" si="2"/>
        <v/>
      </c>
      <c r="J14401" s="1" t="str">
        <f t="shared" si="3"/>
        <v/>
      </c>
      <c r="K14401" s="1" t="str">
        <f t="shared" si="4"/>
        <v/>
      </c>
    </row>
    <row r="14402">
      <c r="F14402" s="1" t="str">
        <f t="shared" si="1"/>
        <v/>
      </c>
      <c r="G14402" s="1" t="str">
        <f t="shared" si="2"/>
        <v/>
      </c>
      <c r="J14402" s="1" t="str">
        <f t="shared" si="3"/>
        <v/>
      </c>
      <c r="K14402" s="1" t="str">
        <f t="shared" si="4"/>
        <v/>
      </c>
    </row>
    <row r="14403">
      <c r="F14403" s="1" t="str">
        <f t="shared" si="1"/>
        <v/>
      </c>
      <c r="G14403" s="1" t="str">
        <f t="shared" si="2"/>
        <v/>
      </c>
      <c r="J14403" s="1" t="str">
        <f t="shared" si="3"/>
        <v/>
      </c>
      <c r="K14403" s="1" t="str">
        <f t="shared" si="4"/>
        <v/>
      </c>
    </row>
    <row r="14404">
      <c r="F14404" s="1" t="str">
        <f t="shared" si="1"/>
        <v/>
      </c>
      <c r="G14404" s="1" t="str">
        <f t="shared" si="2"/>
        <v/>
      </c>
      <c r="J14404" s="1" t="str">
        <f t="shared" si="3"/>
        <v/>
      </c>
      <c r="K14404" s="1" t="str">
        <f t="shared" si="4"/>
        <v/>
      </c>
    </row>
    <row r="14405">
      <c r="F14405" s="1" t="str">
        <f t="shared" si="1"/>
        <v/>
      </c>
      <c r="G14405" s="1" t="str">
        <f t="shared" si="2"/>
        <v/>
      </c>
      <c r="J14405" s="1" t="str">
        <f t="shared" si="3"/>
        <v/>
      </c>
      <c r="K14405" s="1" t="str">
        <f t="shared" si="4"/>
        <v/>
      </c>
    </row>
    <row r="14406">
      <c r="F14406" s="1" t="str">
        <f t="shared" si="1"/>
        <v/>
      </c>
      <c r="G14406" s="1" t="str">
        <f t="shared" si="2"/>
        <v/>
      </c>
      <c r="J14406" s="1" t="str">
        <f t="shared" si="3"/>
        <v/>
      </c>
      <c r="K14406" s="1" t="str">
        <f t="shared" si="4"/>
        <v/>
      </c>
    </row>
    <row r="14407">
      <c r="F14407" s="1" t="str">
        <f t="shared" si="1"/>
        <v/>
      </c>
      <c r="G14407" s="1" t="str">
        <f t="shared" si="2"/>
        <v/>
      </c>
      <c r="J14407" s="1" t="str">
        <f t="shared" si="3"/>
        <v/>
      </c>
      <c r="K14407" s="1" t="str">
        <f t="shared" si="4"/>
        <v/>
      </c>
    </row>
    <row r="14408">
      <c r="F14408" s="1" t="str">
        <f t="shared" si="1"/>
        <v/>
      </c>
      <c r="G14408" s="1" t="str">
        <f t="shared" si="2"/>
        <v/>
      </c>
      <c r="J14408" s="1" t="str">
        <f t="shared" si="3"/>
        <v/>
      </c>
      <c r="K14408" s="1" t="str">
        <f t="shared" si="4"/>
        <v/>
      </c>
    </row>
    <row r="14409">
      <c r="F14409" s="1" t="str">
        <f t="shared" si="1"/>
        <v/>
      </c>
      <c r="G14409" s="1" t="str">
        <f t="shared" si="2"/>
        <v/>
      </c>
      <c r="J14409" s="1" t="str">
        <f t="shared" si="3"/>
        <v/>
      </c>
      <c r="K14409" s="1" t="str">
        <f t="shared" si="4"/>
        <v/>
      </c>
    </row>
    <row r="14410">
      <c r="F14410" s="1" t="str">
        <f t="shared" si="1"/>
        <v/>
      </c>
      <c r="G14410" s="1" t="str">
        <f t="shared" si="2"/>
        <v/>
      </c>
      <c r="J14410" s="1" t="str">
        <f t="shared" si="3"/>
        <v/>
      </c>
      <c r="K14410" s="1" t="str">
        <f t="shared" si="4"/>
        <v/>
      </c>
    </row>
    <row r="14411">
      <c r="F14411" s="1" t="str">
        <f t="shared" si="1"/>
        <v/>
      </c>
      <c r="G14411" s="1" t="str">
        <f t="shared" si="2"/>
        <v/>
      </c>
      <c r="J14411" s="1" t="str">
        <f t="shared" si="3"/>
        <v/>
      </c>
      <c r="K14411" s="1" t="str">
        <f t="shared" si="4"/>
        <v/>
      </c>
    </row>
    <row r="14412">
      <c r="F14412" s="1" t="str">
        <f t="shared" si="1"/>
        <v/>
      </c>
      <c r="G14412" s="1" t="str">
        <f t="shared" si="2"/>
        <v/>
      </c>
      <c r="J14412" s="1" t="str">
        <f t="shared" si="3"/>
        <v/>
      </c>
      <c r="K14412" s="1" t="str">
        <f t="shared" si="4"/>
        <v/>
      </c>
    </row>
    <row r="14413">
      <c r="F14413" s="1" t="str">
        <f t="shared" si="1"/>
        <v/>
      </c>
      <c r="G14413" s="1" t="str">
        <f t="shared" si="2"/>
        <v/>
      </c>
      <c r="J14413" s="1" t="str">
        <f t="shared" si="3"/>
        <v/>
      </c>
      <c r="K14413" s="1" t="str">
        <f t="shared" si="4"/>
        <v/>
      </c>
    </row>
    <row r="14414">
      <c r="F14414" s="1" t="str">
        <f t="shared" si="1"/>
        <v/>
      </c>
      <c r="G14414" s="1" t="str">
        <f t="shared" si="2"/>
        <v/>
      </c>
      <c r="J14414" s="1" t="str">
        <f t="shared" si="3"/>
        <v/>
      </c>
      <c r="K14414" s="1" t="str">
        <f t="shared" si="4"/>
        <v/>
      </c>
    </row>
    <row r="14415">
      <c r="F14415" s="1" t="str">
        <f t="shared" si="1"/>
        <v/>
      </c>
      <c r="G14415" s="1" t="str">
        <f t="shared" si="2"/>
        <v/>
      </c>
      <c r="J14415" s="1" t="str">
        <f t="shared" si="3"/>
        <v/>
      </c>
      <c r="K14415" s="1" t="str">
        <f t="shared" si="4"/>
        <v/>
      </c>
    </row>
    <row r="14416">
      <c r="F14416" s="1" t="str">
        <f t="shared" si="1"/>
        <v/>
      </c>
      <c r="G14416" s="1" t="str">
        <f t="shared" si="2"/>
        <v/>
      </c>
      <c r="J14416" s="1" t="str">
        <f t="shared" si="3"/>
        <v/>
      </c>
      <c r="K14416" s="1" t="str">
        <f t="shared" si="4"/>
        <v/>
      </c>
    </row>
    <row r="14417">
      <c r="F14417" s="1" t="str">
        <f t="shared" si="1"/>
        <v/>
      </c>
      <c r="G14417" s="1" t="str">
        <f t="shared" si="2"/>
        <v/>
      </c>
      <c r="J14417" s="1" t="str">
        <f t="shared" si="3"/>
        <v/>
      </c>
      <c r="K14417" s="1" t="str">
        <f t="shared" si="4"/>
        <v/>
      </c>
    </row>
    <row r="14418">
      <c r="F14418" s="1" t="str">
        <f t="shared" si="1"/>
        <v/>
      </c>
      <c r="G14418" s="1" t="str">
        <f t="shared" si="2"/>
        <v/>
      </c>
      <c r="J14418" s="1" t="str">
        <f t="shared" si="3"/>
        <v/>
      </c>
      <c r="K14418" s="1" t="str">
        <f t="shared" si="4"/>
        <v/>
      </c>
    </row>
    <row r="14419">
      <c r="F14419" s="1" t="str">
        <f t="shared" si="1"/>
        <v/>
      </c>
      <c r="G14419" s="1" t="str">
        <f t="shared" si="2"/>
        <v/>
      </c>
      <c r="J14419" s="1" t="str">
        <f t="shared" si="3"/>
        <v/>
      </c>
      <c r="K14419" s="1" t="str">
        <f t="shared" si="4"/>
        <v/>
      </c>
    </row>
    <row r="14420">
      <c r="F14420" s="1" t="str">
        <f t="shared" si="1"/>
        <v/>
      </c>
      <c r="G14420" s="1" t="str">
        <f t="shared" si="2"/>
        <v/>
      </c>
      <c r="J14420" s="1" t="str">
        <f t="shared" si="3"/>
        <v/>
      </c>
      <c r="K14420" s="1" t="str">
        <f t="shared" si="4"/>
        <v/>
      </c>
    </row>
    <row r="14421">
      <c r="F14421" s="1" t="str">
        <f t="shared" si="1"/>
        <v/>
      </c>
      <c r="G14421" s="1" t="str">
        <f t="shared" si="2"/>
        <v/>
      </c>
      <c r="J14421" s="1" t="str">
        <f t="shared" si="3"/>
        <v/>
      </c>
      <c r="K14421" s="1" t="str">
        <f t="shared" si="4"/>
        <v/>
      </c>
    </row>
    <row r="14422">
      <c r="F14422" s="1" t="str">
        <f t="shared" si="1"/>
        <v/>
      </c>
      <c r="G14422" s="1" t="str">
        <f t="shared" si="2"/>
        <v/>
      </c>
      <c r="J14422" s="1" t="str">
        <f t="shared" si="3"/>
        <v/>
      </c>
      <c r="K14422" s="1" t="str">
        <f t="shared" si="4"/>
        <v/>
      </c>
    </row>
    <row r="14423">
      <c r="F14423" s="1" t="str">
        <f t="shared" si="1"/>
        <v/>
      </c>
      <c r="G14423" s="1" t="str">
        <f t="shared" si="2"/>
        <v/>
      </c>
      <c r="J14423" s="1" t="str">
        <f t="shared" si="3"/>
        <v/>
      </c>
      <c r="K14423" s="1" t="str">
        <f t="shared" si="4"/>
        <v/>
      </c>
    </row>
    <row r="14424">
      <c r="F14424" s="1" t="str">
        <f t="shared" si="1"/>
        <v/>
      </c>
      <c r="G14424" s="1" t="str">
        <f t="shared" si="2"/>
        <v/>
      </c>
      <c r="J14424" s="1" t="str">
        <f t="shared" si="3"/>
        <v/>
      </c>
      <c r="K14424" s="1" t="str">
        <f t="shared" si="4"/>
        <v/>
      </c>
    </row>
    <row r="14425">
      <c r="F14425" s="1" t="str">
        <f t="shared" si="1"/>
        <v/>
      </c>
      <c r="G14425" s="1" t="str">
        <f t="shared" si="2"/>
        <v/>
      </c>
      <c r="J14425" s="1" t="str">
        <f t="shared" si="3"/>
        <v/>
      </c>
      <c r="K14425" s="1" t="str">
        <f t="shared" si="4"/>
        <v/>
      </c>
    </row>
    <row r="14426">
      <c r="F14426" s="1" t="str">
        <f t="shared" si="1"/>
        <v/>
      </c>
      <c r="G14426" s="1" t="str">
        <f t="shared" si="2"/>
        <v/>
      </c>
      <c r="J14426" s="1" t="str">
        <f t="shared" si="3"/>
        <v/>
      </c>
      <c r="K14426" s="1" t="str">
        <f t="shared" si="4"/>
        <v/>
      </c>
    </row>
    <row r="14427">
      <c r="F14427" s="1" t="str">
        <f t="shared" si="1"/>
        <v/>
      </c>
      <c r="G14427" s="1" t="str">
        <f t="shared" si="2"/>
        <v/>
      </c>
      <c r="J14427" s="1" t="str">
        <f t="shared" si="3"/>
        <v/>
      </c>
      <c r="K14427" s="1" t="str">
        <f t="shared" si="4"/>
        <v/>
      </c>
    </row>
    <row r="14428">
      <c r="F14428" s="1" t="str">
        <f t="shared" si="1"/>
        <v/>
      </c>
      <c r="G14428" s="1" t="str">
        <f t="shared" si="2"/>
        <v/>
      </c>
      <c r="J14428" s="1" t="str">
        <f t="shared" si="3"/>
        <v/>
      </c>
      <c r="K14428" s="1" t="str">
        <f t="shared" si="4"/>
        <v/>
      </c>
    </row>
    <row r="14429">
      <c r="F14429" s="1" t="str">
        <f t="shared" si="1"/>
        <v/>
      </c>
      <c r="G14429" s="1" t="str">
        <f t="shared" si="2"/>
        <v/>
      </c>
      <c r="J14429" s="1" t="str">
        <f t="shared" si="3"/>
        <v/>
      </c>
      <c r="K14429" s="1" t="str">
        <f t="shared" si="4"/>
        <v/>
      </c>
    </row>
    <row r="14430">
      <c r="F14430" s="1" t="str">
        <f t="shared" si="1"/>
        <v/>
      </c>
      <c r="G14430" s="1" t="str">
        <f t="shared" si="2"/>
        <v/>
      </c>
      <c r="J14430" s="1" t="str">
        <f t="shared" si="3"/>
        <v/>
      </c>
      <c r="K14430" s="1" t="str">
        <f t="shared" si="4"/>
        <v/>
      </c>
    </row>
    <row r="14431">
      <c r="F14431" s="1" t="str">
        <f t="shared" si="1"/>
        <v/>
      </c>
      <c r="G14431" s="1" t="str">
        <f t="shared" si="2"/>
        <v/>
      </c>
      <c r="J14431" s="1" t="str">
        <f t="shared" si="3"/>
        <v/>
      </c>
      <c r="K14431" s="1" t="str">
        <f t="shared" si="4"/>
        <v/>
      </c>
    </row>
    <row r="14432">
      <c r="F14432" s="1" t="str">
        <f t="shared" si="1"/>
        <v/>
      </c>
      <c r="G14432" s="1" t="str">
        <f t="shared" si="2"/>
        <v/>
      </c>
      <c r="J14432" s="1" t="str">
        <f t="shared" si="3"/>
        <v/>
      </c>
      <c r="K14432" s="1" t="str">
        <f t="shared" si="4"/>
        <v/>
      </c>
    </row>
    <row r="14433">
      <c r="F14433" s="1" t="str">
        <f t="shared" si="1"/>
        <v/>
      </c>
      <c r="G14433" s="1" t="str">
        <f t="shared" si="2"/>
        <v/>
      </c>
      <c r="J14433" s="1" t="str">
        <f t="shared" si="3"/>
        <v/>
      </c>
      <c r="K14433" s="1" t="str">
        <f t="shared" si="4"/>
        <v/>
      </c>
    </row>
    <row r="14434">
      <c r="F14434" s="1" t="str">
        <f t="shared" si="1"/>
        <v/>
      </c>
      <c r="G14434" s="1" t="str">
        <f t="shared" si="2"/>
        <v/>
      </c>
      <c r="J14434" s="1" t="str">
        <f t="shared" si="3"/>
        <v/>
      </c>
      <c r="K14434" s="1" t="str">
        <f t="shared" si="4"/>
        <v/>
      </c>
    </row>
    <row r="14435">
      <c r="F14435" s="1" t="str">
        <f t="shared" si="1"/>
        <v/>
      </c>
      <c r="G14435" s="1" t="str">
        <f t="shared" si="2"/>
        <v/>
      </c>
      <c r="J14435" s="1" t="str">
        <f t="shared" si="3"/>
        <v/>
      </c>
      <c r="K14435" s="1" t="str">
        <f t="shared" si="4"/>
        <v/>
      </c>
    </row>
    <row r="14436">
      <c r="F14436" s="1" t="str">
        <f t="shared" si="1"/>
        <v/>
      </c>
      <c r="G14436" s="1" t="str">
        <f t="shared" si="2"/>
        <v/>
      </c>
      <c r="J14436" s="1" t="str">
        <f t="shared" si="3"/>
        <v/>
      </c>
      <c r="K14436" s="1" t="str">
        <f t="shared" si="4"/>
        <v/>
      </c>
    </row>
    <row r="14437">
      <c r="F14437" s="1" t="str">
        <f t="shared" si="1"/>
        <v/>
      </c>
      <c r="G14437" s="1" t="str">
        <f t="shared" si="2"/>
        <v/>
      </c>
      <c r="J14437" s="1" t="str">
        <f t="shared" si="3"/>
        <v/>
      </c>
      <c r="K14437" s="1" t="str">
        <f t="shared" si="4"/>
        <v/>
      </c>
    </row>
    <row r="14438">
      <c r="F14438" s="1" t="str">
        <f t="shared" si="1"/>
        <v/>
      </c>
      <c r="G14438" s="1" t="str">
        <f t="shared" si="2"/>
        <v/>
      </c>
      <c r="J14438" s="1" t="str">
        <f t="shared" si="3"/>
        <v/>
      </c>
      <c r="K14438" s="1" t="str">
        <f t="shared" si="4"/>
        <v/>
      </c>
    </row>
    <row r="14439">
      <c r="F14439" s="1" t="str">
        <f t="shared" si="1"/>
        <v/>
      </c>
      <c r="G14439" s="1" t="str">
        <f t="shared" si="2"/>
        <v/>
      </c>
      <c r="J14439" s="1" t="str">
        <f t="shared" si="3"/>
        <v/>
      </c>
      <c r="K14439" s="1" t="str">
        <f t="shared" si="4"/>
        <v/>
      </c>
    </row>
    <row r="14440">
      <c r="F14440" s="1" t="str">
        <f t="shared" si="1"/>
        <v/>
      </c>
      <c r="G14440" s="1" t="str">
        <f t="shared" si="2"/>
        <v/>
      </c>
      <c r="J14440" s="1" t="str">
        <f t="shared" si="3"/>
        <v/>
      </c>
      <c r="K14440" s="1" t="str">
        <f t="shared" si="4"/>
        <v/>
      </c>
    </row>
    <row r="14441">
      <c r="F14441" s="1" t="str">
        <f t="shared" si="1"/>
        <v/>
      </c>
      <c r="G14441" s="1" t="str">
        <f t="shared" si="2"/>
        <v/>
      </c>
      <c r="J14441" s="1" t="str">
        <f t="shared" si="3"/>
        <v/>
      </c>
      <c r="K14441" s="1" t="str">
        <f t="shared" si="4"/>
        <v/>
      </c>
    </row>
    <row r="14442">
      <c r="F14442" s="1" t="str">
        <f t="shared" si="1"/>
        <v/>
      </c>
      <c r="G14442" s="1" t="str">
        <f t="shared" si="2"/>
        <v/>
      </c>
      <c r="J14442" s="1" t="str">
        <f t="shared" si="3"/>
        <v/>
      </c>
      <c r="K14442" s="1" t="str">
        <f t="shared" si="4"/>
        <v/>
      </c>
    </row>
    <row r="14443">
      <c r="F14443" s="1" t="str">
        <f t="shared" si="1"/>
        <v/>
      </c>
      <c r="G14443" s="1" t="str">
        <f t="shared" si="2"/>
        <v/>
      </c>
      <c r="J14443" s="1" t="str">
        <f t="shared" si="3"/>
        <v/>
      </c>
      <c r="K14443" s="1" t="str">
        <f t="shared" si="4"/>
        <v/>
      </c>
    </row>
    <row r="14444">
      <c r="F14444" s="1" t="str">
        <f t="shared" si="1"/>
        <v/>
      </c>
      <c r="G14444" s="1" t="str">
        <f t="shared" si="2"/>
        <v/>
      </c>
      <c r="J14444" s="1" t="str">
        <f t="shared" si="3"/>
        <v/>
      </c>
      <c r="K14444" s="1" t="str">
        <f t="shared" si="4"/>
        <v/>
      </c>
    </row>
    <row r="14445">
      <c r="F14445" s="1" t="str">
        <f t="shared" si="1"/>
        <v/>
      </c>
      <c r="G14445" s="1" t="str">
        <f t="shared" si="2"/>
        <v/>
      </c>
      <c r="J14445" s="1" t="str">
        <f t="shared" si="3"/>
        <v/>
      </c>
      <c r="K14445" s="1" t="str">
        <f t="shared" si="4"/>
        <v/>
      </c>
    </row>
    <row r="14446">
      <c r="F14446" s="1" t="str">
        <f t="shared" si="1"/>
        <v/>
      </c>
      <c r="G14446" s="1" t="str">
        <f t="shared" si="2"/>
        <v/>
      </c>
      <c r="J14446" s="1" t="str">
        <f t="shared" si="3"/>
        <v/>
      </c>
      <c r="K14446" s="1" t="str">
        <f t="shared" si="4"/>
        <v/>
      </c>
    </row>
    <row r="14447">
      <c r="F14447" s="1" t="str">
        <f t="shared" si="1"/>
        <v/>
      </c>
      <c r="G14447" s="1" t="str">
        <f t="shared" si="2"/>
        <v/>
      </c>
      <c r="J14447" s="1" t="str">
        <f t="shared" si="3"/>
        <v/>
      </c>
      <c r="K14447" s="1" t="str">
        <f t="shared" si="4"/>
        <v/>
      </c>
    </row>
    <row r="14448">
      <c r="F14448" s="1" t="str">
        <f t="shared" si="1"/>
        <v/>
      </c>
      <c r="G14448" s="1" t="str">
        <f t="shared" si="2"/>
        <v/>
      </c>
      <c r="J14448" s="1" t="str">
        <f t="shared" si="3"/>
        <v/>
      </c>
      <c r="K14448" s="1" t="str">
        <f t="shared" si="4"/>
        <v/>
      </c>
    </row>
    <row r="14449">
      <c r="F14449" s="1" t="str">
        <f t="shared" si="1"/>
        <v/>
      </c>
      <c r="G14449" s="1" t="str">
        <f t="shared" si="2"/>
        <v/>
      </c>
      <c r="J14449" s="1" t="str">
        <f t="shared" si="3"/>
        <v/>
      </c>
      <c r="K14449" s="1" t="str">
        <f t="shared" si="4"/>
        <v/>
      </c>
    </row>
    <row r="14450">
      <c r="F14450" s="1" t="str">
        <f t="shared" si="1"/>
        <v/>
      </c>
      <c r="G14450" s="1" t="str">
        <f t="shared" si="2"/>
        <v/>
      </c>
      <c r="J14450" s="1" t="str">
        <f t="shared" si="3"/>
        <v/>
      </c>
      <c r="K14450" s="1" t="str">
        <f t="shared" si="4"/>
        <v/>
      </c>
    </row>
    <row r="14451">
      <c r="F14451" s="1" t="str">
        <f t="shared" si="1"/>
        <v/>
      </c>
      <c r="G14451" s="1" t="str">
        <f t="shared" si="2"/>
        <v/>
      </c>
      <c r="J14451" s="1" t="str">
        <f t="shared" si="3"/>
        <v/>
      </c>
      <c r="K14451" s="1" t="str">
        <f t="shared" si="4"/>
        <v/>
      </c>
    </row>
    <row r="14452">
      <c r="F14452" s="1" t="str">
        <f t="shared" si="1"/>
        <v/>
      </c>
      <c r="G14452" s="1" t="str">
        <f t="shared" si="2"/>
        <v/>
      </c>
      <c r="J14452" s="1" t="str">
        <f t="shared" si="3"/>
        <v/>
      </c>
      <c r="K14452" s="1" t="str">
        <f t="shared" si="4"/>
        <v/>
      </c>
    </row>
    <row r="14453">
      <c r="F14453" s="1" t="str">
        <f t="shared" si="1"/>
        <v/>
      </c>
      <c r="G14453" s="1" t="str">
        <f t="shared" si="2"/>
        <v/>
      </c>
      <c r="J14453" s="1" t="str">
        <f t="shared" si="3"/>
        <v/>
      </c>
      <c r="K14453" s="1" t="str">
        <f t="shared" si="4"/>
        <v/>
      </c>
    </row>
    <row r="14454">
      <c r="F14454" s="1" t="str">
        <f t="shared" si="1"/>
        <v/>
      </c>
      <c r="G14454" s="1" t="str">
        <f t="shared" si="2"/>
        <v/>
      </c>
      <c r="J14454" s="1" t="str">
        <f t="shared" si="3"/>
        <v/>
      </c>
      <c r="K14454" s="1" t="str">
        <f t="shared" si="4"/>
        <v/>
      </c>
    </row>
    <row r="14455">
      <c r="F14455" s="1" t="str">
        <f t="shared" si="1"/>
        <v/>
      </c>
      <c r="G14455" s="1" t="str">
        <f t="shared" si="2"/>
        <v/>
      </c>
      <c r="J14455" s="1" t="str">
        <f t="shared" si="3"/>
        <v/>
      </c>
      <c r="K14455" s="1" t="str">
        <f t="shared" si="4"/>
        <v/>
      </c>
    </row>
    <row r="14456">
      <c r="F14456" s="1" t="str">
        <f t="shared" si="1"/>
        <v/>
      </c>
      <c r="G14456" s="1" t="str">
        <f t="shared" si="2"/>
        <v/>
      </c>
      <c r="J14456" s="1" t="str">
        <f t="shared" si="3"/>
        <v/>
      </c>
      <c r="K14456" s="1" t="str">
        <f t="shared" si="4"/>
        <v/>
      </c>
    </row>
    <row r="14457">
      <c r="F14457" s="1" t="str">
        <f t="shared" si="1"/>
        <v/>
      </c>
      <c r="G14457" s="1" t="str">
        <f t="shared" si="2"/>
        <v/>
      </c>
      <c r="J14457" s="1" t="str">
        <f t="shared" si="3"/>
        <v/>
      </c>
      <c r="K14457" s="1" t="str">
        <f t="shared" si="4"/>
        <v/>
      </c>
    </row>
    <row r="14458">
      <c r="F14458" s="1" t="str">
        <f t="shared" si="1"/>
        <v/>
      </c>
      <c r="G14458" s="1" t="str">
        <f t="shared" si="2"/>
        <v/>
      </c>
      <c r="J14458" s="1" t="str">
        <f t="shared" si="3"/>
        <v/>
      </c>
      <c r="K14458" s="1" t="str">
        <f t="shared" si="4"/>
        <v/>
      </c>
    </row>
    <row r="14459">
      <c r="F14459" s="1" t="str">
        <f t="shared" si="1"/>
        <v/>
      </c>
      <c r="G14459" s="1" t="str">
        <f t="shared" si="2"/>
        <v/>
      </c>
      <c r="J14459" s="1" t="str">
        <f t="shared" si="3"/>
        <v/>
      </c>
      <c r="K14459" s="1" t="str">
        <f t="shared" si="4"/>
        <v/>
      </c>
    </row>
    <row r="14460">
      <c r="F14460" s="1" t="str">
        <f t="shared" si="1"/>
        <v/>
      </c>
      <c r="G14460" s="1" t="str">
        <f t="shared" si="2"/>
        <v/>
      </c>
      <c r="J14460" s="1" t="str">
        <f t="shared" si="3"/>
        <v/>
      </c>
      <c r="K14460" s="1" t="str">
        <f t="shared" si="4"/>
        <v/>
      </c>
    </row>
    <row r="14461">
      <c r="F14461" s="1" t="str">
        <f t="shared" si="1"/>
        <v/>
      </c>
      <c r="G14461" s="1" t="str">
        <f t="shared" si="2"/>
        <v/>
      </c>
      <c r="J14461" s="1" t="str">
        <f t="shared" si="3"/>
        <v/>
      </c>
      <c r="K14461" s="1" t="str">
        <f t="shared" si="4"/>
        <v/>
      </c>
    </row>
    <row r="14462">
      <c r="F14462" s="1" t="str">
        <f t="shared" si="1"/>
        <v/>
      </c>
      <c r="G14462" s="1" t="str">
        <f t="shared" si="2"/>
        <v/>
      </c>
      <c r="J14462" s="1" t="str">
        <f t="shared" si="3"/>
        <v/>
      </c>
      <c r="K14462" s="1" t="str">
        <f t="shared" si="4"/>
        <v/>
      </c>
    </row>
    <row r="14463">
      <c r="F14463" s="1" t="str">
        <f t="shared" si="1"/>
        <v/>
      </c>
      <c r="G14463" s="1" t="str">
        <f t="shared" si="2"/>
        <v/>
      </c>
      <c r="J14463" s="1" t="str">
        <f t="shared" si="3"/>
        <v/>
      </c>
      <c r="K14463" s="1" t="str">
        <f t="shared" si="4"/>
        <v/>
      </c>
    </row>
    <row r="14464">
      <c r="F14464" s="1" t="str">
        <f t="shared" si="1"/>
        <v/>
      </c>
      <c r="G14464" s="1" t="str">
        <f t="shared" si="2"/>
        <v/>
      </c>
      <c r="J14464" s="1" t="str">
        <f t="shared" si="3"/>
        <v/>
      </c>
      <c r="K14464" s="1" t="str">
        <f t="shared" si="4"/>
        <v/>
      </c>
    </row>
    <row r="14465">
      <c r="F14465" s="1" t="str">
        <f t="shared" si="1"/>
        <v/>
      </c>
      <c r="G14465" s="1" t="str">
        <f t="shared" si="2"/>
        <v/>
      </c>
      <c r="J14465" s="1" t="str">
        <f t="shared" si="3"/>
        <v/>
      </c>
      <c r="K14465" s="1" t="str">
        <f t="shared" si="4"/>
        <v/>
      </c>
    </row>
    <row r="14466">
      <c r="F14466" s="1" t="str">
        <f t="shared" si="1"/>
        <v/>
      </c>
      <c r="G14466" s="1" t="str">
        <f t="shared" si="2"/>
        <v/>
      </c>
      <c r="J14466" s="1" t="str">
        <f t="shared" si="3"/>
        <v/>
      </c>
      <c r="K14466" s="1" t="str">
        <f t="shared" si="4"/>
        <v/>
      </c>
    </row>
    <row r="14467">
      <c r="F14467" s="1" t="str">
        <f t="shared" si="1"/>
        <v/>
      </c>
      <c r="G14467" s="1" t="str">
        <f t="shared" si="2"/>
        <v/>
      </c>
      <c r="J14467" s="1" t="str">
        <f t="shared" si="3"/>
        <v/>
      </c>
      <c r="K14467" s="1" t="str">
        <f t="shared" si="4"/>
        <v/>
      </c>
    </row>
    <row r="14468">
      <c r="F14468" s="1" t="str">
        <f t="shared" si="1"/>
        <v/>
      </c>
      <c r="G14468" s="1" t="str">
        <f t="shared" si="2"/>
        <v/>
      </c>
      <c r="J14468" s="1" t="str">
        <f t="shared" si="3"/>
        <v/>
      </c>
      <c r="K14468" s="1" t="str">
        <f t="shared" si="4"/>
        <v/>
      </c>
    </row>
    <row r="14469">
      <c r="F14469" s="1" t="str">
        <f t="shared" si="1"/>
        <v/>
      </c>
      <c r="G14469" s="1" t="str">
        <f t="shared" si="2"/>
        <v/>
      </c>
      <c r="J14469" s="1" t="str">
        <f t="shared" si="3"/>
        <v/>
      </c>
      <c r="K14469" s="1" t="str">
        <f t="shared" si="4"/>
        <v/>
      </c>
    </row>
    <row r="14470">
      <c r="F14470" s="1" t="str">
        <f t="shared" si="1"/>
        <v/>
      </c>
      <c r="G14470" s="1" t="str">
        <f t="shared" si="2"/>
        <v/>
      </c>
      <c r="J14470" s="1" t="str">
        <f t="shared" si="3"/>
        <v/>
      </c>
      <c r="K14470" s="1" t="str">
        <f t="shared" si="4"/>
        <v/>
      </c>
    </row>
    <row r="14471">
      <c r="F14471" s="1" t="str">
        <f t="shared" si="1"/>
        <v/>
      </c>
      <c r="G14471" s="1" t="str">
        <f t="shared" si="2"/>
        <v/>
      </c>
      <c r="J14471" s="1" t="str">
        <f t="shared" si="3"/>
        <v/>
      </c>
      <c r="K14471" s="1" t="str">
        <f t="shared" si="4"/>
        <v/>
      </c>
    </row>
    <row r="14472">
      <c r="F14472" s="1" t="str">
        <f t="shared" si="1"/>
        <v/>
      </c>
      <c r="G14472" s="1" t="str">
        <f t="shared" si="2"/>
        <v/>
      </c>
      <c r="J14472" s="1" t="str">
        <f t="shared" si="3"/>
        <v/>
      </c>
      <c r="K14472" s="1" t="str">
        <f t="shared" si="4"/>
        <v/>
      </c>
    </row>
    <row r="14473">
      <c r="F14473" s="1" t="str">
        <f t="shared" si="1"/>
        <v/>
      </c>
      <c r="G14473" s="1" t="str">
        <f t="shared" si="2"/>
        <v/>
      </c>
      <c r="J14473" s="1" t="str">
        <f t="shared" si="3"/>
        <v/>
      </c>
      <c r="K14473" s="1" t="str">
        <f t="shared" si="4"/>
        <v/>
      </c>
    </row>
    <row r="14474">
      <c r="F14474" s="1" t="str">
        <f t="shared" si="1"/>
        <v/>
      </c>
      <c r="G14474" s="1" t="str">
        <f t="shared" si="2"/>
        <v/>
      </c>
      <c r="J14474" s="1" t="str">
        <f t="shared" si="3"/>
        <v/>
      </c>
      <c r="K14474" s="1" t="str">
        <f t="shared" si="4"/>
        <v/>
      </c>
    </row>
    <row r="14475">
      <c r="F14475" s="1" t="str">
        <f t="shared" si="1"/>
        <v/>
      </c>
      <c r="G14475" s="1" t="str">
        <f t="shared" si="2"/>
        <v/>
      </c>
      <c r="J14475" s="1" t="str">
        <f t="shared" si="3"/>
        <v/>
      </c>
      <c r="K14475" s="1" t="str">
        <f t="shared" si="4"/>
        <v/>
      </c>
    </row>
    <row r="14476">
      <c r="F14476" s="1" t="str">
        <f t="shared" si="1"/>
        <v/>
      </c>
      <c r="G14476" s="1" t="str">
        <f t="shared" si="2"/>
        <v/>
      </c>
      <c r="J14476" s="1" t="str">
        <f t="shared" si="3"/>
        <v/>
      </c>
      <c r="K14476" s="1" t="str">
        <f t="shared" si="4"/>
        <v/>
      </c>
    </row>
    <row r="14477">
      <c r="F14477" s="1" t="str">
        <f t="shared" si="1"/>
        <v/>
      </c>
      <c r="G14477" s="1" t="str">
        <f t="shared" si="2"/>
        <v/>
      </c>
      <c r="J14477" s="1" t="str">
        <f t="shared" si="3"/>
        <v/>
      </c>
      <c r="K14477" s="1" t="str">
        <f t="shared" si="4"/>
        <v/>
      </c>
    </row>
    <row r="14478">
      <c r="F14478" s="1" t="str">
        <f t="shared" si="1"/>
        <v/>
      </c>
      <c r="G14478" s="1" t="str">
        <f t="shared" si="2"/>
        <v/>
      </c>
      <c r="J14478" s="1" t="str">
        <f t="shared" si="3"/>
        <v/>
      </c>
      <c r="K14478" s="1" t="str">
        <f t="shared" si="4"/>
        <v/>
      </c>
    </row>
    <row r="14479">
      <c r="F14479" s="1" t="str">
        <f t="shared" si="1"/>
        <v/>
      </c>
      <c r="G14479" s="1" t="str">
        <f t="shared" si="2"/>
        <v/>
      </c>
      <c r="J14479" s="1" t="str">
        <f t="shared" si="3"/>
        <v/>
      </c>
      <c r="K14479" s="1" t="str">
        <f t="shared" si="4"/>
        <v/>
      </c>
    </row>
    <row r="14480">
      <c r="F14480" s="1" t="str">
        <f t="shared" si="1"/>
        <v/>
      </c>
      <c r="G14480" s="1" t="str">
        <f t="shared" si="2"/>
        <v/>
      </c>
      <c r="J14480" s="1" t="str">
        <f t="shared" si="3"/>
        <v/>
      </c>
      <c r="K14480" s="1" t="str">
        <f t="shared" si="4"/>
        <v/>
      </c>
    </row>
    <row r="14481">
      <c r="F14481" s="1" t="str">
        <f t="shared" si="1"/>
        <v/>
      </c>
      <c r="G14481" s="1" t="str">
        <f t="shared" si="2"/>
        <v/>
      </c>
      <c r="J14481" s="1" t="str">
        <f t="shared" si="3"/>
        <v/>
      </c>
      <c r="K14481" s="1" t="str">
        <f t="shared" si="4"/>
        <v/>
      </c>
    </row>
    <row r="14482">
      <c r="F14482" s="1" t="str">
        <f t="shared" si="1"/>
        <v/>
      </c>
      <c r="G14482" s="1" t="str">
        <f t="shared" si="2"/>
        <v/>
      </c>
      <c r="J14482" s="1" t="str">
        <f t="shared" si="3"/>
        <v/>
      </c>
      <c r="K14482" s="1" t="str">
        <f t="shared" si="4"/>
        <v/>
      </c>
    </row>
    <row r="14483">
      <c r="F14483" s="1" t="str">
        <f t="shared" si="1"/>
        <v/>
      </c>
      <c r="G14483" s="1" t="str">
        <f t="shared" si="2"/>
        <v/>
      </c>
      <c r="J14483" s="1" t="str">
        <f t="shared" si="3"/>
        <v/>
      </c>
      <c r="K14483" s="1" t="str">
        <f t="shared" si="4"/>
        <v/>
      </c>
    </row>
    <row r="14484">
      <c r="F14484" s="1" t="str">
        <f t="shared" si="1"/>
        <v/>
      </c>
      <c r="G14484" s="1" t="str">
        <f t="shared" si="2"/>
        <v/>
      </c>
      <c r="J14484" s="1" t="str">
        <f t="shared" si="3"/>
        <v/>
      </c>
      <c r="K14484" s="1" t="str">
        <f t="shared" si="4"/>
        <v/>
      </c>
    </row>
    <row r="14485">
      <c r="F14485" s="1" t="str">
        <f t="shared" si="1"/>
        <v/>
      </c>
      <c r="G14485" s="1" t="str">
        <f t="shared" si="2"/>
        <v/>
      </c>
      <c r="J14485" s="1" t="str">
        <f t="shared" si="3"/>
        <v/>
      </c>
      <c r="K14485" s="1" t="str">
        <f t="shared" si="4"/>
        <v/>
      </c>
    </row>
    <row r="14486">
      <c r="F14486" s="1" t="str">
        <f t="shared" si="1"/>
        <v/>
      </c>
      <c r="G14486" s="1" t="str">
        <f t="shared" si="2"/>
        <v/>
      </c>
      <c r="J14486" s="1" t="str">
        <f t="shared" si="3"/>
        <v/>
      </c>
      <c r="K14486" s="1" t="str">
        <f t="shared" si="4"/>
        <v/>
      </c>
    </row>
    <row r="14487">
      <c r="F14487" s="1" t="str">
        <f t="shared" si="1"/>
        <v/>
      </c>
      <c r="G14487" s="1" t="str">
        <f t="shared" si="2"/>
        <v/>
      </c>
      <c r="J14487" s="1" t="str">
        <f t="shared" si="3"/>
        <v/>
      </c>
      <c r="K14487" s="1" t="str">
        <f t="shared" si="4"/>
        <v/>
      </c>
    </row>
    <row r="14488">
      <c r="F14488" s="1" t="str">
        <f t="shared" si="1"/>
        <v/>
      </c>
      <c r="G14488" s="1" t="str">
        <f t="shared" si="2"/>
        <v/>
      </c>
      <c r="J14488" s="1" t="str">
        <f t="shared" si="3"/>
        <v/>
      </c>
      <c r="K14488" s="1" t="str">
        <f t="shared" si="4"/>
        <v/>
      </c>
    </row>
    <row r="14489">
      <c r="F14489" s="1" t="str">
        <f t="shared" si="1"/>
        <v/>
      </c>
      <c r="G14489" s="1" t="str">
        <f t="shared" si="2"/>
        <v/>
      </c>
      <c r="J14489" s="1" t="str">
        <f t="shared" si="3"/>
        <v/>
      </c>
      <c r="K14489" s="1" t="str">
        <f t="shared" si="4"/>
        <v/>
      </c>
    </row>
    <row r="14490">
      <c r="F14490" s="1" t="str">
        <f t="shared" si="1"/>
        <v/>
      </c>
      <c r="G14490" s="1" t="str">
        <f t="shared" si="2"/>
        <v/>
      </c>
      <c r="J14490" s="1" t="str">
        <f t="shared" si="3"/>
        <v/>
      </c>
      <c r="K14490" s="1" t="str">
        <f t="shared" si="4"/>
        <v/>
      </c>
    </row>
    <row r="14491">
      <c r="F14491" s="1" t="str">
        <f t="shared" si="1"/>
        <v/>
      </c>
      <c r="G14491" s="1" t="str">
        <f t="shared" si="2"/>
        <v/>
      </c>
      <c r="J14491" s="1" t="str">
        <f t="shared" si="3"/>
        <v/>
      </c>
      <c r="K14491" s="1" t="str">
        <f t="shared" si="4"/>
        <v/>
      </c>
    </row>
    <row r="14492">
      <c r="F14492" s="1" t="str">
        <f t="shared" si="1"/>
        <v/>
      </c>
      <c r="G14492" s="1" t="str">
        <f t="shared" si="2"/>
        <v/>
      </c>
      <c r="J14492" s="1" t="str">
        <f t="shared" si="3"/>
        <v/>
      </c>
      <c r="K14492" s="1" t="str">
        <f t="shared" si="4"/>
        <v/>
      </c>
    </row>
    <row r="14493">
      <c r="F14493" s="1" t="str">
        <f t="shared" si="1"/>
        <v/>
      </c>
      <c r="G14493" s="1" t="str">
        <f t="shared" si="2"/>
        <v/>
      </c>
      <c r="J14493" s="1" t="str">
        <f t="shared" si="3"/>
        <v/>
      </c>
      <c r="K14493" s="1" t="str">
        <f t="shared" si="4"/>
        <v/>
      </c>
    </row>
    <row r="14494">
      <c r="F14494" s="1" t="str">
        <f t="shared" si="1"/>
        <v/>
      </c>
      <c r="G14494" s="1" t="str">
        <f t="shared" si="2"/>
        <v/>
      </c>
      <c r="J14494" s="1" t="str">
        <f t="shared" si="3"/>
        <v/>
      </c>
      <c r="K14494" s="1" t="str">
        <f t="shared" si="4"/>
        <v/>
      </c>
    </row>
    <row r="14495">
      <c r="F14495" s="1" t="str">
        <f t="shared" si="1"/>
        <v/>
      </c>
      <c r="G14495" s="1" t="str">
        <f t="shared" si="2"/>
        <v/>
      </c>
      <c r="J14495" s="1" t="str">
        <f t="shared" si="3"/>
        <v/>
      </c>
      <c r="K14495" s="1" t="str">
        <f t="shared" si="4"/>
        <v/>
      </c>
    </row>
    <row r="14496">
      <c r="F14496" s="1" t="str">
        <f t="shared" si="1"/>
        <v/>
      </c>
      <c r="G14496" s="1" t="str">
        <f t="shared" si="2"/>
        <v/>
      </c>
      <c r="J14496" s="1" t="str">
        <f t="shared" si="3"/>
        <v/>
      </c>
      <c r="K14496" s="1" t="str">
        <f t="shared" si="4"/>
        <v/>
      </c>
    </row>
    <row r="14497">
      <c r="F14497" s="1" t="str">
        <f t="shared" si="1"/>
        <v/>
      </c>
      <c r="G14497" s="1" t="str">
        <f t="shared" si="2"/>
        <v/>
      </c>
      <c r="J14497" s="1" t="str">
        <f t="shared" si="3"/>
        <v/>
      </c>
      <c r="K14497" s="1" t="str">
        <f t="shared" si="4"/>
        <v/>
      </c>
    </row>
    <row r="14498">
      <c r="F14498" s="1" t="str">
        <f t="shared" si="1"/>
        <v/>
      </c>
      <c r="G14498" s="1" t="str">
        <f t="shared" si="2"/>
        <v/>
      </c>
      <c r="J14498" s="1" t="str">
        <f t="shared" si="3"/>
        <v/>
      </c>
      <c r="K14498" s="1" t="str">
        <f t="shared" si="4"/>
        <v/>
      </c>
    </row>
    <row r="14499">
      <c r="F14499" s="1" t="str">
        <f t="shared" si="1"/>
        <v/>
      </c>
      <c r="G14499" s="1" t="str">
        <f t="shared" si="2"/>
        <v/>
      </c>
      <c r="J14499" s="1" t="str">
        <f t="shared" si="3"/>
        <v/>
      </c>
      <c r="K14499" s="1" t="str">
        <f t="shared" si="4"/>
        <v/>
      </c>
    </row>
    <row r="14500">
      <c r="F14500" s="1" t="str">
        <f t="shared" si="1"/>
        <v/>
      </c>
      <c r="G14500" s="1" t="str">
        <f t="shared" si="2"/>
        <v/>
      </c>
      <c r="J14500" s="1" t="str">
        <f t="shared" si="3"/>
        <v/>
      </c>
      <c r="K14500" s="1" t="str">
        <f t="shared" si="4"/>
        <v/>
      </c>
    </row>
    <row r="14501">
      <c r="F14501" s="1" t="str">
        <f t="shared" si="1"/>
        <v/>
      </c>
      <c r="G14501" s="1" t="str">
        <f t="shared" si="2"/>
        <v/>
      </c>
      <c r="J14501" s="1" t="str">
        <f t="shared" si="3"/>
        <v/>
      </c>
      <c r="K14501" s="1" t="str">
        <f t="shared" si="4"/>
        <v/>
      </c>
    </row>
    <row r="14502">
      <c r="F14502" s="1" t="str">
        <f t="shared" si="1"/>
        <v/>
      </c>
      <c r="G14502" s="1" t="str">
        <f t="shared" si="2"/>
        <v/>
      </c>
      <c r="J14502" s="1" t="str">
        <f t="shared" si="3"/>
        <v/>
      </c>
      <c r="K14502" s="1" t="str">
        <f t="shared" si="4"/>
        <v/>
      </c>
    </row>
    <row r="14503">
      <c r="F14503" s="1" t="str">
        <f t="shared" si="1"/>
        <v/>
      </c>
      <c r="G14503" s="1" t="str">
        <f t="shared" si="2"/>
        <v/>
      </c>
      <c r="J14503" s="1" t="str">
        <f t="shared" si="3"/>
        <v/>
      </c>
      <c r="K14503" s="1" t="str">
        <f t="shared" si="4"/>
        <v/>
      </c>
    </row>
    <row r="14504">
      <c r="F14504" s="1" t="str">
        <f t="shared" si="1"/>
        <v/>
      </c>
      <c r="G14504" s="1" t="str">
        <f t="shared" si="2"/>
        <v/>
      </c>
      <c r="J14504" s="1" t="str">
        <f t="shared" si="3"/>
        <v/>
      </c>
      <c r="K14504" s="1" t="str">
        <f t="shared" si="4"/>
        <v/>
      </c>
    </row>
    <row r="14505">
      <c r="F14505" s="1" t="str">
        <f t="shared" si="1"/>
        <v/>
      </c>
      <c r="G14505" s="1" t="str">
        <f t="shared" si="2"/>
        <v/>
      </c>
      <c r="J14505" s="1" t="str">
        <f t="shared" si="3"/>
        <v/>
      </c>
      <c r="K14505" s="1" t="str">
        <f t="shared" si="4"/>
        <v/>
      </c>
    </row>
    <row r="14506">
      <c r="F14506" s="1" t="str">
        <f t="shared" si="1"/>
        <v/>
      </c>
      <c r="G14506" s="1" t="str">
        <f t="shared" si="2"/>
        <v/>
      </c>
      <c r="J14506" s="1" t="str">
        <f t="shared" si="3"/>
        <v/>
      </c>
      <c r="K14506" s="1" t="str">
        <f t="shared" si="4"/>
        <v/>
      </c>
    </row>
    <row r="14507">
      <c r="F14507" s="1" t="str">
        <f t="shared" si="1"/>
        <v/>
      </c>
      <c r="G14507" s="1" t="str">
        <f t="shared" si="2"/>
        <v/>
      </c>
      <c r="J14507" s="1" t="str">
        <f t="shared" si="3"/>
        <v/>
      </c>
      <c r="K14507" s="1" t="str">
        <f t="shared" si="4"/>
        <v/>
      </c>
    </row>
    <row r="14508">
      <c r="F14508" s="1" t="str">
        <f t="shared" si="1"/>
        <v/>
      </c>
      <c r="G14508" s="1" t="str">
        <f t="shared" si="2"/>
        <v/>
      </c>
      <c r="J14508" s="1" t="str">
        <f t="shared" si="3"/>
        <v/>
      </c>
      <c r="K14508" s="1" t="str">
        <f t="shared" si="4"/>
        <v/>
      </c>
    </row>
    <row r="14509">
      <c r="F14509" s="1" t="str">
        <f t="shared" si="1"/>
        <v/>
      </c>
      <c r="G14509" s="1" t="str">
        <f t="shared" si="2"/>
        <v/>
      </c>
      <c r="J14509" s="1" t="str">
        <f t="shared" si="3"/>
        <v/>
      </c>
      <c r="K14509" s="1" t="str">
        <f t="shared" si="4"/>
        <v/>
      </c>
    </row>
    <row r="14510">
      <c r="F14510" s="1" t="str">
        <f t="shared" si="1"/>
        <v/>
      </c>
      <c r="G14510" s="1" t="str">
        <f t="shared" si="2"/>
        <v/>
      </c>
      <c r="J14510" s="1" t="str">
        <f t="shared" si="3"/>
        <v/>
      </c>
      <c r="K14510" s="1" t="str">
        <f t="shared" si="4"/>
        <v/>
      </c>
    </row>
    <row r="14511">
      <c r="F14511" s="1" t="str">
        <f t="shared" si="1"/>
        <v/>
      </c>
      <c r="G14511" s="1" t="str">
        <f t="shared" si="2"/>
        <v/>
      </c>
      <c r="J14511" s="1" t="str">
        <f t="shared" si="3"/>
        <v/>
      </c>
      <c r="K14511" s="1" t="str">
        <f t="shared" si="4"/>
        <v/>
      </c>
    </row>
    <row r="14512">
      <c r="F14512" s="1" t="str">
        <f t="shared" si="1"/>
        <v/>
      </c>
      <c r="G14512" s="1" t="str">
        <f t="shared" si="2"/>
        <v/>
      </c>
      <c r="J14512" s="1" t="str">
        <f t="shared" si="3"/>
        <v/>
      </c>
      <c r="K14512" s="1" t="str">
        <f t="shared" si="4"/>
        <v/>
      </c>
    </row>
    <row r="14513">
      <c r="F14513" s="1" t="str">
        <f t="shared" si="1"/>
        <v/>
      </c>
      <c r="G14513" s="1" t="str">
        <f t="shared" si="2"/>
        <v/>
      </c>
      <c r="J14513" s="1" t="str">
        <f t="shared" si="3"/>
        <v/>
      </c>
      <c r="K14513" s="1" t="str">
        <f t="shared" si="4"/>
        <v/>
      </c>
    </row>
    <row r="14514">
      <c r="F14514" s="1" t="str">
        <f t="shared" si="1"/>
        <v/>
      </c>
      <c r="G14514" s="1" t="str">
        <f t="shared" si="2"/>
        <v/>
      </c>
      <c r="J14514" s="1" t="str">
        <f t="shared" si="3"/>
        <v/>
      </c>
      <c r="K14514" s="1" t="str">
        <f t="shared" si="4"/>
        <v/>
      </c>
    </row>
    <row r="14515">
      <c r="F14515" s="1" t="str">
        <f t="shared" si="1"/>
        <v/>
      </c>
      <c r="G14515" s="1" t="str">
        <f t="shared" si="2"/>
        <v/>
      </c>
      <c r="J14515" s="1" t="str">
        <f t="shared" si="3"/>
        <v/>
      </c>
      <c r="K14515" s="1" t="str">
        <f t="shared" si="4"/>
        <v/>
      </c>
    </row>
    <row r="14516">
      <c r="F14516" s="1" t="str">
        <f t="shared" si="1"/>
        <v/>
      </c>
      <c r="G14516" s="1" t="str">
        <f t="shared" si="2"/>
        <v/>
      </c>
      <c r="J14516" s="1" t="str">
        <f t="shared" si="3"/>
        <v/>
      </c>
      <c r="K14516" s="1" t="str">
        <f t="shared" si="4"/>
        <v/>
      </c>
    </row>
    <row r="14517">
      <c r="F14517" s="1" t="str">
        <f t="shared" si="1"/>
        <v/>
      </c>
      <c r="G14517" s="1" t="str">
        <f t="shared" si="2"/>
        <v/>
      </c>
      <c r="J14517" s="1" t="str">
        <f t="shared" si="3"/>
        <v/>
      </c>
      <c r="K14517" s="1" t="str">
        <f t="shared" si="4"/>
        <v/>
      </c>
    </row>
    <row r="14518">
      <c r="F14518" s="1" t="str">
        <f t="shared" si="1"/>
        <v/>
      </c>
      <c r="G14518" s="1" t="str">
        <f t="shared" si="2"/>
        <v/>
      </c>
      <c r="J14518" s="1" t="str">
        <f t="shared" si="3"/>
        <v/>
      </c>
      <c r="K14518" s="1" t="str">
        <f t="shared" si="4"/>
        <v/>
      </c>
    </row>
    <row r="14519">
      <c r="F14519" s="1" t="str">
        <f t="shared" si="1"/>
        <v/>
      </c>
      <c r="G14519" s="1" t="str">
        <f t="shared" si="2"/>
        <v/>
      </c>
      <c r="J14519" s="1" t="str">
        <f t="shared" si="3"/>
        <v/>
      </c>
      <c r="K14519" s="1" t="str">
        <f t="shared" si="4"/>
        <v/>
      </c>
    </row>
    <row r="14520">
      <c r="F14520" s="1" t="str">
        <f t="shared" si="1"/>
        <v/>
      </c>
      <c r="G14520" s="1" t="str">
        <f t="shared" si="2"/>
        <v/>
      </c>
      <c r="J14520" s="1" t="str">
        <f t="shared" si="3"/>
        <v/>
      </c>
      <c r="K14520" s="1" t="str">
        <f t="shared" si="4"/>
        <v/>
      </c>
    </row>
    <row r="14521">
      <c r="F14521" s="1" t="str">
        <f t="shared" si="1"/>
        <v/>
      </c>
      <c r="G14521" s="1" t="str">
        <f t="shared" si="2"/>
        <v/>
      </c>
      <c r="J14521" s="1" t="str">
        <f t="shared" si="3"/>
        <v/>
      </c>
      <c r="K14521" s="1" t="str">
        <f t="shared" si="4"/>
        <v/>
      </c>
    </row>
    <row r="14522">
      <c r="F14522" s="1" t="str">
        <f t="shared" si="1"/>
        <v/>
      </c>
      <c r="G14522" s="1" t="str">
        <f t="shared" si="2"/>
        <v/>
      </c>
      <c r="J14522" s="1" t="str">
        <f t="shared" si="3"/>
        <v/>
      </c>
      <c r="K14522" s="1" t="str">
        <f t="shared" si="4"/>
        <v/>
      </c>
    </row>
    <row r="14523">
      <c r="F14523" s="1" t="str">
        <f t="shared" si="1"/>
        <v/>
      </c>
      <c r="G14523" s="1" t="str">
        <f t="shared" si="2"/>
        <v/>
      </c>
      <c r="J14523" s="1" t="str">
        <f t="shared" si="3"/>
        <v/>
      </c>
      <c r="K14523" s="1" t="str">
        <f t="shared" si="4"/>
        <v/>
      </c>
    </row>
    <row r="14524">
      <c r="F14524" s="1" t="str">
        <f t="shared" si="1"/>
        <v/>
      </c>
      <c r="G14524" s="1" t="str">
        <f t="shared" si="2"/>
        <v/>
      </c>
      <c r="J14524" s="1" t="str">
        <f t="shared" si="3"/>
        <v/>
      </c>
      <c r="K14524" s="1" t="str">
        <f t="shared" si="4"/>
        <v/>
      </c>
    </row>
    <row r="14525">
      <c r="F14525" s="1" t="str">
        <f t="shared" si="1"/>
        <v/>
      </c>
      <c r="G14525" s="1" t="str">
        <f t="shared" si="2"/>
        <v/>
      </c>
      <c r="J14525" s="1" t="str">
        <f t="shared" si="3"/>
        <v/>
      </c>
      <c r="K14525" s="1" t="str">
        <f t="shared" si="4"/>
        <v/>
      </c>
    </row>
    <row r="14526">
      <c r="F14526" s="1" t="str">
        <f t="shared" si="1"/>
        <v/>
      </c>
      <c r="G14526" s="1" t="str">
        <f t="shared" si="2"/>
        <v/>
      </c>
      <c r="J14526" s="1" t="str">
        <f t="shared" si="3"/>
        <v/>
      </c>
      <c r="K14526" s="1" t="str">
        <f t="shared" si="4"/>
        <v/>
      </c>
    </row>
    <row r="14527">
      <c r="F14527" s="1" t="str">
        <f t="shared" si="1"/>
        <v/>
      </c>
      <c r="G14527" s="1" t="str">
        <f t="shared" si="2"/>
        <v/>
      </c>
      <c r="J14527" s="1" t="str">
        <f t="shared" si="3"/>
        <v/>
      </c>
      <c r="K14527" s="1" t="str">
        <f t="shared" si="4"/>
        <v/>
      </c>
    </row>
    <row r="14528">
      <c r="F14528" s="1" t="str">
        <f t="shared" si="1"/>
        <v/>
      </c>
      <c r="G14528" s="1" t="str">
        <f t="shared" si="2"/>
        <v/>
      </c>
      <c r="J14528" s="1" t="str">
        <f t="shared" si="3"/>
        <v/>
      </c>
      <c r="K14528" s="1" t="str">
        <f t="shared" si="4"/>
        <v/>
      </c>
    </row>
    <row r="14529">
      <c r="F14529" s="1" t="str">
        <f t="shared" si="1"/>
        <v/>
      </c>
      <c r="G14529" s="1" t="str">
        <f t="shared" si="2"/>
        <v/>
      </c>
      <c r="J14529" s="1" t="str">
        <f t="shared" si="3"/>
        <v/>
      </c>
      <c r="K14529" s="1" t="str">
        <f t="shared" si="4"/>
        <v/>
      </c>
    </row>
    <row r="14530">
      <c r="F14530" s="1" t="str">
        <f t="shared" si="1"/>
        <v/>
      </c>
      <c r="G14530" s="1" t="str">
        <f t="shared" si="2"/>
        <v/>
      </c>
      <c r="J14530" s="1" t="str">
        <f t="shared" si="3"/>
        <v/>
      </c>
      <c r="K14530" s="1" t="str">
        <f t="shared" si="4"/>
        <v/>
      </c>
    </row>
    <row r="14531">
      <c r="F14531" s="1" t="str">
        <f t="shared" si="1"/>
        <v/>
      </c>
      <c r="G14531" s="1" t="str">
        <f t="shared" si="2"/>
        <v/>
      </c>
      <c r="J14531" s="1" t="str">
        <f t="shared" si="3"/>
        <v/>
      </c>
      <c r="K14531" s="1" t="str">
        <f t="shared" si="4"/>
        <v/>
      </c>
    </row>
    <row r="14532">
      <c r="F14532" s="1" t="str">
        <f t="shared" si="1"/>
        <v/>
      </c>
      <c r="G14532" s="1" t="str">
        <f t="shared" si="2"/>
        <v/>
      </c>
      <c r="J14532" s="1" t="str">
        <f t="shared" si="3"/>
        <v/>
      </c>
      <c r="K14532" s="1" t="str">
        <f t="shared" si="4"/>
        <v/>
      </c>
    </row>
    <row r="14533">
      <c r="F14533" s="1" t="str">
        <f t="shared" si="1"/>
        <v/>
      </c>
      <c r="G14533" s="1" t="str">
        <f t="shared" si="2"/>
        <v/>
      </c>
      <c r="J14533" s="1" t="str">
        <f t="shared" si="3"/>
        <v/>
      </c>
      <c r="K14533" s="1" t="str">
        <f t="shared" si="4"/>
        <v/>
      </c>
    </row>
    <row r="14534">
      <c r="F14534" s="1" t="str">
        <f t="shared" si="1"/>
        <v/>
      </c>
      <c r="G14534" s="1" t="str">
        <f t="shared" si="2"/>
        <v/>
      </c>
      <c r="J14534" s="1" t="str">
        <f t="shared" si="3"/>
        <v/>
      </c>
      <c r="K14534" s="1" t="str">
        <f t="shared" si="4"/>
        <v/>
      </c>
    </row>
    <row r="14535">
      <c r="F14535" s="1" t="str">
        <f t="shared" si="1"/>
        <v/>
      </c>
      <c r="G14535" s="1" t="str">
        <f t="shared" si="2"/>
        <v/>
      </c>
      <c r="J14535" s="1" t="str">
        <f t="shared" si="3"/>
        <v/>
      </c>
      <c r="K14535" s="1" t="str">
        <f t="shared" si="4"/>
        <v/>
      </c>
    </row>
    <row r="14536">
      <c r="F14536" s="1" t="str">
        <f t="shared" si="1"/>
        <v/>
      </c>
      <c r="G14536" s="1" t="str">
        <f t="shared" si="2"/>
        <v/>
      </c>
      <c r="J14536" s="1" t="str">
        <f t="shared" si="3"/>
        <v/>
      </c>
      <c r="K14536" s="1" t="str">
        <f t="shared" si="4"/>
        <v/>
      </c>
    </row>
    <row r="14537">
      <c r="F14537" s="1" t="str">
        <f t="shared" si="1"/>
        <v/>
      </c>
      <c r="G14537" s="1" t="str">
        <f t="shared" si="2"/>
        <v/>
      </c>
      <c r="J14537" s="1" t="str">
        <f t="shared" si="3"/>
        <v/>
      </c>
      <c r="K14537" s="1" t="str">
        <f t="shared" si="4"/>
        <v/>
      </c>
    </row>
    <row r="14538">
      <c r="F14538" s="1" t="str">
        <f t="shared" si="1"/>
        <v/>
      </c>
      <c r="G14538" s="1" t="str">
        <f t="shared" si="2"/>
        <v/>
      </c>
      <c r="J14538" s="1" t="str">
        <f t="shared" si="3"/>
        <v/>
      </c>
      <c r="K14538" s="1" t="str">
        <f t="shared" si="4"/>
        <v/>
      </c>
    </row>
    <row r="14539">
      <c r="F14539" s="1" t="str">
        <f t="shared" si="1"/>
        <v/>
      </c>
      <c r="G14539" s="1" t="str">
        <f t="shared" si="2"/>
        <v/>
      </c>
      <c r="J14539" s="1" t="str">
        <f t="shared" si="3"/>
        <v/>
      </c>
      <c r="K14539" s="1" t="str">
        <f t="shared" si="4"/>
        <v/>
      </c>
    </row>
    <row r="14540">
      <c r="F14540" s="1" t="str">
        <f t="shared" si="1"/>
        <v/>
      </c>
      <c r="G14540" s="1" t="str">
        <f t="shared" si="2"/>
        <v/>
      </c>
      <c r="J14540" s="1" t="str">
        <f t="shared" si="3"/>
        <v/>
      </c>
      <c r="K14540" s="1" t="str">
        <f t="shared" si="4"/>
        <v/>
      </c>
    </row>
    <row r="14541">
      <c r="F14541" s="1" t="str">
        <f t="shared" si="1"/>
        <v/>
      </c>
      <c r="G14541" s="1" t="str">
        <f t="shared" si="2"/>
        <v/>
      </c>
      <c r="J14541" s="1" t="str">
        <f t="shared" si="3"/>
        <v/>
      </c>
      <c r="K14541" s="1" t="str">
        <f t="shared" si="4"/>
        <v/>
      </c>
    </row>
    <row r="14542">
      <c r="F14542" s="1" t="str">
        <f t="shared" si="1"/>
        <v/>
      </c>
      <c r="G14542" s="1" t="str">
        <f t="shared" si="2"/>
        <v/>
      </c>
      <c r="J14542" s="1" t="str">
        <f t="shared" si="3"/>
        <v/>
      </c>
      <c r="K14542" s="1" t="str">
        <f t="shared" si="4"/>
        <v/>
      </c>
    </row>
    <row r="14543">
      <c r="F14543" s="1" t="str">
        <f t="shared" si="1"/>
        <v/>
      </c>
      <c r="G14543" s="1" t="str">
        <f t="shared" si="2"/>
        <v/>
      </c>
      <c r="J14543" s="1" t="str">
        <f t="shared" si="3"/>
        <v/>
      </c>
      <c r="K14543" s="1" t="str">
        <f t="shared" si="4"/>
        <v/>
      </c>
    </row>
    <row r="14544">
      <c r="F14544" s="1" t="str">
        <f t="shared" si="1"/>
        <v/>
      </c>
      <c r="G14544" s="1" t="str">
        <f t="shared" si="2"/>
        <v/>
      </c>
      <c r="J14544" s="1" t="str">
        <f t="shared" si="3"/>
        <v/>
      </c>
      <c r="K14544" s="1" t="str">
        <f t="shared" si="4"/>
        <v/>
      </c>
    </row>
    <row r="14545">
      <c r="F14545" s="1" t="str">
        <f t="shared" si="1"/>
        <v/>
      </c>
      <c r="G14545" s="1" t="str">
        <f t="shared" si="2"/>
        <v/>
      </c>
      <c r="J14545" s="1" t="str">
        <f t="shared" si="3"/>
        <v/>
      </c>
      <c r="K14545" s="1" t="str">
        <f t="shared" si="4"/>
        <v/>
      </c>
    </row>
    <row r="14546">
      <c r="F14546" s="1" t="str">
        <f t="shared" si="1"/>
        <v/>
      </c>
      <c r="G14546" s="1" t="str">
        <f t="shared" si="2"/>
        <v/>
      </c>
      <c r="J14546" s="1" t="str">
        <f t="shared" si="3"/>
        <v/>
      </c>
      <c r="K14546" s="1" t="str">
        <f t="shared" si="4"/>
        <v/>
      </c>
    </row>
    <row r="14547">
      <c r="F14547" s="1" t="str">
        <f t="shared" si="1"/>
        <v/>
      </c>
      <c r="G14547" s="1" t="str">
        <f t="shared" si="2"/>
        <v/>
      </c>
      <c r="J14547" s="1" t="str">
        <f t="shared" si="3"/>
        <v/>
      </c>
      <c r="K14547" s="1" t="str">
        <f t="shared" si="4"/>
        <v/>
      </c>
    </row>
    <row r="14548">
      <c r="F14548" s="1" t="str">
        <f t="shared" si="1"/>
        <v/>
      </c>
      <c r="G14548" s="1" t="str">
        <f t="shared" si="2"/>
        <v/>
      </c>
      <c r="J14548" s="1" t="str">
        <f t="shared" si="3"/>
        <v/>
      </c>
      <c r="K14548" s="1" t="str">
        <f t="shared" si="4"/>
        <v/>
      </c>
    </row>
    <row r="14549">
      <c r="F14549" s="1" t="str">
        <f t="shared" si="1"/>
        <v/>
      </c>
      <c r="G14549" s="1" t="str">
        <f t="shared" si="2"/>
        <v/>
      </c>
      <c r="J14549" s="1" t="str">
        <f t="shared" si="3"/>
        <v/>
      </c>
      <c r="K14549" s="1" t="str">
        <f t="shared" si="4"/>
        <v/>
      </c>
    </row>
    <row r="14550">
      <c r="F14550" s="1" t="str">
        <f t="shared" si="1"/>
        <v/>
      </c>
      <c r="G14550" s="1" t="str">
        <f t="shared" si="2"/>
        <v/>
      </c>
      <c r="J14550" s="1" t="str">
        <f t="shared" si="3"/>
        <v/>
      </c>
      <c r="K14550" s="1" t="str">
        <f t="shared" si="4"/>
        <v/>
      </c>
    </row>
    <row r="14551">
      <c r="F14551" s="1" t="str">
        <f t="shared" si="1"/>
        <v/>
      </c>
      <c r="G14551" s="1" t="str">
        <f t="shared" si="2"/>
        <v/>
      </c>
      <c r="J14551" s="1" t="str">
        <f t="shared" si="3"/>
        <v/>
      </c>
      <c r="K14551" s="1" t="str">
        <f t="shared" si="4"/>
        <v/>
      </c>
    </row>
    <row r="14552">
      <c r="F14552" s="1" t="str">
        <f t="shared" si="1"/>
        <v/>
      </c>
      <c r="G14552" s="1" t="str">
        <f t="shared" si="2"/>
        <v/>
      </c>
      <c r="J14552" s="1" t="str">
        <f t="shared" si="3"/>
        <v/>
      </c>
      <c r="K14552" s="1" t="str">
        <f t="shared" si="4"/>
        <v/>
      </c>
    </row>
    <row r="14553">
      <c r="F14553" s="1" t="str">
        <f t="shared" si="1"/>
        <v/>
      </c>
      <c r="G14553" s="1" t="str">
        <f t="shared" si="2"/>
        <v/>
      </c>
      <c r="J14553" s="1" t="str">
        <f t="shared" si="3"/>
        <v/>
      </c>
      <c r="K14553" s="1" t="str">
        <f t="shared" si="4"/>
        <v/>
      </c>
    </row>
    <row r="14554">
      <c r="F14554" s="1" t="str">
        <f t="shared" si="1"/>
        <v/>
      </c>
      <c r="G14554" s="1" t="str">
        <f t="shared" si="2"/>
        <v/>
      </c>
      <c r="J14554" s="1" t="str">
        <f t="shared" si="3"/>
        <v/>
      </c>
      <c r="K14554" s="1" t="str">
        <f t="shared" si="4"/>
        <v/>
      </c>
    </row>
    <row r="14555">
      <c r="F14555" s="1" t="str">
        <f t="shared" si="1"/>
        <v/>
      </c>
      <c r="G14555" s="1" t="str">
        <f t="shared" si="2"/>
        <v/>
      </c>
      <c r="J14555" s="1" t="str">
        <f t="shared" si="3"/>
        <v/>
      </c>
      <c r="K14555" s="1" t="str">
        <f t="shared" si="4"/>
        <v/>
      </c>
    </row>
    <row r="14556">
      <c r="F14556" s="1" t="str">
        <f t="shared" si="1"/>
        <v/>
      </c>
      <c r="G14556" s="1" t="str">
        <f t="shared" si="2"/>
        <v/>
      </c>
      <c r="J14556" s="1" t="str">
        <f t="shared" si="3"/>
        <v/>
      </c>
      <c r="K14556" s="1" t="str">
        <f t="shared" si="4"/>
        <v/>
      </c>
    </row>
    <row r="14557">
      <c r="F14557" s="1" t="str">
        <f t="shared" si="1"/>
        <v/>
      </c>
      <c r="G14557" s="1" t="str">
        <f t="shared" si="2"/>
        <v/>
      </c>
      <c r="J14557" s="1" t="str">
        <f t="shared" si="3"/>
        <v/>
      </c>
      <c r="K14557" s="1" t="str">
        <f t="shared" si="4"/>
        <v/>
      </c>
    </row>
    <row r="14558">
      <c r="F14558" s="1" t="str">
        <f t="shared" si="1"/>
        <v/>
      </c>
      <c r="G14558" s="1" t="str">
        <f t="shared" si="2"/>
        <v/>
      </c>
      <c r="J14558" s="1" t="str">
        <f t="shared" si="3"/>
        <v/>
      </c>
      <c r="K14558" s="1" t="str">
        <f t="shared" si="4"/>
        <v/>
      </c>
    </row>
    <row r="14559">
      <c r="F14559" s="1" t="str">
        <f t="shared" si="1"/>
        <v/>
      </c>
      <c r="G14559" s="1" t="str">
        <f t="shared" si="2"/>
        <v/>
      </c>
      <c r="J14559" s="1" t="str">
        <f t="shared" si="3"/>
        <v/>
      </c>
      <c r="K14559" s="1" t="str">
        <f t="shared" si="4"/>
        <v/>
      </c>
    </row>
    <row r="14560">
      <c r="F14560" s="1" t="str">
        <f t="shared" si="1"/>
        <v/>
      </c>
      <c r="G14560" s="1" t="str">
        <f t="shared" si="2"/>
        <v/>
      </c>
      <c r="J14560" s="1" t="str">
        <f t="shared" si="3"/>
        <v/>
      </c>
      <c r="K14560" s="1" t="str">
        <f t="shared" si="4"/>
        <v/>
      </c>
    </row>
    <row r="14561">
      <c r="F14561" s="1" t="str">
        <f t="shared" si="1"/>
        <v/>
      </c>
      <c r="G14561" s="1" t="str">
        <f t="shared" si="2"/>
        <v/>
      </c>
      <c r="J14561" s="1" t="str">
        <f t="shared" si="3"/>
        <v/>
      </c>
      <c r="K14561" s="1" t="str">
        <f t="shared" si="4"/>
        <v/>
      </c>
    </row>
    <row r="14562">
      <c r="F14562" s="1" t="str">
        <f t="shared" si="1"/>
        <v/>
      </c>
      <c r="G14562" s="1" t="str">
        <f t="shared" si="2"/>
        <v/>
      </c>
      <c r="J14562" s="1" t="str">
        <f t="shared" si="3"/>
        <v/>
      </c>
      <c r="K14562" s="1" t="str">
        <f t="shared" si="4"/>
        <v/>
      </c>
    </row>
    <row r="14563">
      <c r="F14563" s="1" t="str">
        <f t="shared" si="1"/>
        <v/>
      </c>
      <c r="G14563" s="1" t="str">
        <f t="shared" si="2"/>
        <v/>
      </c>
      <c r="J14563" s="1" t="str">
        <f t="shared" si="3"/>
        <v/>
      </c>
      <c r="K14563" s="1" t="str">
        <f t="shared" si="4"/>
        <v/>
      </c>
    </row>
    <row r="14564">
      <c r="F14564" s="1" t="str">
        <f t="shared" si="1"/>
        <v/>
      </c>
      <c r="G14564" s="1" t="str">
        <f t="shared" si="2"/>
        <v/>
      </c>
      <c r="J14564" s="1" t="str">
        <f t="shared" si="3"/>
        <v/>
      </c>
      <c r="K14564" s="1" t="str">
        <f t="shared" si="4"/>
        <v/>
      </c>
    </row>
    <row r="14565">
      <c r="F14565" s="1" t="str">
        <f t="shared" si="1"/>
        <v/>
      </c>
      <c r="G14565" s="1" t="str">
        <f t="shared" si="2"/>
        <v/>
      </c>
      <c r="J14565" s="1" t="str">
        <f t="shared" si="3"/>
        <v/>
      </c>
      <c r="K14565" s="1" t="str">
        <f t="shared" si="4"/>
        <v/>
      </c>
    </row>
    <row r="14566">
      <c r="F14566" s="1" t="str">
        <f t="shared" si="1"/>
        <v/>
      </c>
      <c r="G14566" s="1" t="str">
        <f t="shared" si="2"/>
        <v/>
      </c>
      <c r="J14566" s="1" t="str">
        <f t="shared" si="3"/>
        <v/>
      </c>
      <c r="K14566" s="1" t="str">
        <f t="shared" si="4"/>
        <v/>
      </c>
    </row>
    <row r="14567">
      <c r="F14567" s="1" t="str">
        <f t="shared" si="1"/>
        <v/>
      </c>
      <c r="G14567" s="1" t="str">
        <f t="shared" si="2"/>
        <v/>
      </c>
      <c r="J14567" s="1" t="str">
        <f t="shared" si="3"/>
        <v/>
      </c>
      <c r="K14567" s="1" t="str">
        <f t="shared" si="4"/>
        <v/>
      </c>
    </row>
    <row r="14568">
      <c r="F14568" s="1" t="str">
        <f t="shared" si="1"/>
        <v/>
      </c>
      <c r="G14568" s="1" t="str">
        <f t="shared" si="2"/>
        <v/>
      </c>
      <c r="J14568" s="1" t="str">
        <f t="shared" si="3"/>
        <v/>
      </c>
      <c r="K14568" s="1" t="str">
        <f t="shared" si="4"/>
        <v/>
      </c>
    </row>
    <row r="14569">
      <c r="F14569" s="1" t="str">
        <f t="shared" si="1"/>
        <v/>
      </c>
      <c r="G14569" s="1" t="str">
        <f t="shared" si="2"/>
        <v/>
      </c>
      <c r="J14569" s="1" t="str">
        <f t="shared" si="3"/>
        <v/>
      </c>
      <c r="K14569" s="1" t="str">
        <f t="shared" si="4"/>
        <v/>
      </c>
    </row>
    <row r="14570">
      <c r="F14570" s="1" t="str">
        <f t="shared" si="1"/>
        <v/>
      </c>
      <c r="G14570" s="1" t="str">
        <f t="shared" si="2"/>
        <v/>
      </c>
      <c r="J14570" s="1" t="str">
        <f t="shared" si="3"/>
        <v/>
      </c>
      <c r="K14570" s="1" t="str">
        <f t="shared" si="4"/>
        <v/>
      </c>
    </row>
    <row r="14571">
      <c r="F14571" s="1" t="str">
        <f t="shared" si="1"/>
        <v/>
      </c>
      <c r="G14571" s="1" t="str">
        <f t="shared" si="2"/>
        <v/>
      </c>
      <c r="J14571" s="1" t="str">
        <f t="shared" si="3"/>
        <v/>
      </c>
      <c r="K14571" s="1" t="str">
        <f t="shared" si="4"/>
        <v/>
      </c>
    </row>
    <row r="14572">
      <c r="F14572" s="1" t="str">
        <f t="shared" si="1"/>
        <v/>
      </c>
      <c r="G14572" s="1" t="str">
        <f t="shared" si="2"/>
        <v/>
      </c>
      <c r="J14572" s="1" t="str">
        <f t="shared" si="3"/>
        <v/>
      </c>
      <c r="K14572" s="1" t="str">
        <f t="shared" si="4"/>
        <v/>
      </c>
    </row>
    <row r="14573">
      <c r="F14573" s="1" t="str">
        <f t="shared" si="1"/>
        <v/>
      </c>
      <c r="G14573" s="1" t="str">
        <f t="shared" si="2"/>
        <v/>
      </c>
      <c r="J14573" s="1" t="str">
        <f t="shared" si="3"/>
        <v/>
      </c>
      <c r="K14573" s="1" t="str">
        <f t="shared" si="4"/>
        <v/>
      </c>
    </row>
    <row r="14574">
      <c r="F14574" s="1" t="str">
        <f t="shared" si="1"/>
        <v/>
      </c>
      <c r="G14574" s="1" t="str">
        <f t="shared" si="2"/>
        <v/>
      </c>
      <c r="J14574" s="1" t="str">
        <f t="shared" si="3"/>
        <v/>
      </c>
      <c r="K14574" s="1" t="str">
        <f t="shared" si="4"/>
        <v/>
      </c>
    </row>
    <row r="14575">
      <c r="F14575" s="1" t="str">
        <f t="shared" si="1"/>
        <v/>
      </c>
      <c r="G14575" s="1" t="str">
        <f t="shared" si="2"/>
        <v/>
      </c>
      <c r="J14575" s="1" t="str">
        <f t="shared" si="3"/>
        <v/>
      </c>
      <c r="K14575" s="1" t="str">
        <f t="shared" si="4"/>
        <v/>
      </c>
    </row>
    <row r="14576">
      <c r="F14576" s="1" t="str">
        <f t="shared" si="1"/>
        <v/>
      </c>
      <c r="G14576" s="1" t="str">
        <f t="shared" si="2"/>
        <v/>
      </c>
      <c r="J14576" s="1" t="str">
        <f t="shared" si="3"/>
        <v/>
      </c>
      <c r="K14576" s="1" t="str">
        <f t="shared" si="4"/>
        <v/>
      </c>
    </row>
    <row r="14577">
      <c r="F14577" s="1" t="str">
        <f t="shared" si="1"/>
        <v/>
      </c>
      <c r="G14577" s="1" t="str">
        <f t="shared" si="2"/>
        <v/>
      </c>
      <c r="J14577" s="1" t="str">
        <f t="shared" si="3"/>
        <v/>
      </c>
      <c r="K14577" s="1" t="str">
        <f t="shared" si="4"/>
        <v/>
      </c>
    </row>
    <row r="14578">
      <c r="F14578" s="1" t="str">
        <f t="shared" si="1"/>
        <v/>
      </c>
      <c r="G14578" s="1" t="str">
        <f t="shared" si="2"/>
        <v/>
      </c>
      <c r="J14578" s="1" t="str">
        <f t="shared" si="3"/>
        <v/>
      </c>
      <c r="K14578" s="1" t="str">
        <f t="shared" si="4"/>
        <v/>
      </c>
    </row>
    <row r="14579">
      <c r="F14579" s="1" t="str">
        <f t="shared" si="1"/>
        <v/>
      </c>
      <c r="G14579" s="1" t="str">
        <f t="shared" si="2"/>
        <v/>
      </c>
      <c r="J14579" s="1" t="str">
        <f t="shared" si="3"/>
        <v/>
      </c>
      <c r="K14579" s="1" t="str">
        <f t="shared" si="4"/>
        <v/>
      </c>
    </row>
    <row r="14580">
      <c r="F14580" s="1" t="str">
        <f t="shared" si="1"/>
        <v/>
      </c>
      <c r="G14580" s="1" t="str">
        <f t="shared" si="2"/>
        <v/>
      </c>
      <c r="J14580" s="1" t="str">
        <f t="shared" si="3"/>
        <v/>
      </c>
      <c r="K14580" s="1" t="str">
        <f t="shared" si="4"/>
        <v/>
      </c>
    </row>
    <row r="14581">
      <c r="F14581" s="1" t="str">
        <f t="shared" si="1"/>
        <v/>
      </c>
      <c r="G14581" s="1" t="str">
        <f t="shared" si="2"/>
        <v/>
      </c>
      <c r="J14581" s="1" t="str">
        <f t="shared" si="3"/>
        <v/>
      </c>
      <c r="K14581" s="1" t="str">
        <f t="shared" si="4"/>
        <v/>
      </c>
    </row>
    <row r="14582">
      <c r="F14582" s="1" t="str">
        <f t="shared" si="1"/>
        <v/>
      </c>
      <c r="G14582" s="1" t="str">
        <f t="shared" si="2"/>
        <v/>
      </c>
      <c r="J14582" s="1" t="str">
        <f t="shared" si="3"/>
        <v/>
      </c>
      <c r="K14582" s="1" t="str">
        <f t="shared" si="4"/>
        <v/>
      </c>
    </row>
    <row r="14583">
      <c r="F14583" s="1" t="str">
        <f t="shared" si="1"/>
        <v/>
      </c>
      <c r="G14583" s="1" t="str">
        <f t="shared" si="2"/>
        <v/>
      </c>
      <c r="J14583" s="1" t="str">
        <f t="shared" si="3"/>
        <v/>
      </c>
      <c r="K14583" s="1" t="str">
        <f t="shared" si="4"/>
        <v/>
      </c>
    </row>
    <row r="14584">
      <c r="F14584" s="1" t="str">
        <f t="shared" si="1"/>
        <v/>
      </c>
      <c r="G14584" s="1" t="str">
        <f t="shared" si="2"/>
        <v/>
      </c>
      <c r="J14584" s="1" t="str">
        <f t="shared" si="3"/>
        <v/>
      </c>
      <c r="K14584" s="1" t="str">
        <f t="shared" si="4"/>
        <v/>
      </c>
    </row>
    <row r="14585">
      <c r="F14585" s="1" t="str">
        <f t="shared" si="1"/>
        <v/>
      </c>
      <c r="G14585" s="1" t="str">
        <f t="shared" si="2"/>
        <v/>
      </c>
      <c r="J14585" s="1" t="str">
        <f t="shared" si="3"/>
        <v/>
      </c>
      <c r="K14585" s="1" t="str">
        <f t="shared" si="4"/>
        <v/>
      </c>
    </row>
    <row r="14586">
      <c r="F14586" s="1" t="str">
        <f t="shared" si="1"/>
        <v/>
      </c>
      <c r="G14586" s="1" t="str">
        <f t="shared" si="2"/>
        <v/>
      </c>
      <c r="J14586" s="1" t="str">
        <f t="shared" si="3"/>
        <v/>
      </c>
      <c r="K14586" s="1" t="str">
        <f t="shared" si="4"/>
        <v/>
      </c>
    </row>
    <row r="14587">
      <c r="F14587" s="1" t="str">
        <f t="shared" si="1"/>
        <v/>
      </c>
      <c r="G14587" s="1" t="str">
        <f t="shared" si="2"/>
        <v/>
      </c>
      <c r="J14587" s="1" t="str">
        <f t="shared" si="3"/>
        <v/>
      </c>
      <c r="K14587" s="1" t="str">
        <f t="shared" si="4"/>
        <v/>
      </c>
    </row>
    <row r="14588">
      <c r="F14588" s="1" t="str">
        <f t="shared" si="1"/>
        <v/>
      </c>
      <c r="G14588" s="1" t="str">
        <f t="shared" si="2"/>
        <v/>
      </c>
      <c r="J14588" s="1" t="str">
        <f t="shared" si="3"/>
        <v/>
      </c>
      <c r="K14588" s="1" t="str">
        <f t="shared" si="4"/>
        <v/>
      </c>
    </row>
    <row r="14589">
      <c r="F14589" s="1" t="str">
        <f t="shared" si="1"/>
        <v/>
      </c>
      <c r="G14589" s="1" t="str">
        <f t="shared" si="2"/>
        <v/>
      </c>
      <c r="J14589" s="1" t="str">
        <f t="shared" si="3"/>
        <v/>
      </c>
      <c r="K14589" s="1" t="str">
        <f t="shared" si="4"/>
        <v/>
      </c>
    </row>
    <row r="14590">
      <c r="F14590" s="1" t="str">
        <f t="shared" si="1"/>
        <v/>
      </c>
      <c r="G14590" s="1" t="str">
        <f t="shared" si="2"/>
        <v/>
      </c>
      <c r="J14590" s="1" t="str">
        <f t="shared" si="3"/>
        <v/>
      </c>
      <c r="K14590" s="1" t="str">
        <f t="shared" si="4"/>
        <v/>
      </c>
    </row>
    <row r="14591">
      <c r="F14591" s="1" t="str">
        <f t="shared" si="1"/>
        <v/>
      </c>
      <c r="G14591" s="1" t="str">
        <f t="shared" si="2"/>
        <v/>
      </c>
      <c r="J14591" s="1" t="str">
        <f t="shared" si="3"/>
        <v/>
      </c>
      <c r="K14591" s="1" t="str">
        <f t="shared" si="4"/>
        <v/>
      </c>
    </row>
    <row r="14592">
      <c r="F14592" s="1" t="str">
        <f t="shared" si="1"/>
        <v/>
      </c>
      <c r="G14592" s="1" t="str">
        <f t="shared" si="2"/>
        <v/>
      </c>
      <c r="J14592" s="1" t="str">
        <f t="shared" si="3"/>
        <v/>
      </c>
      <c r="K14592" s="1" t="str">
        <f t="shared" si="4"/>
        <v/>
      </c>
    </row>
    <row r="14593">
      <c r="F14593" s="1" t="str">
        <f t="shared" si="1"/>
        <v/>
      </c>
      <c r="G14593" s="1" t="str">
        <f t="shared" si="2"/>
        <v/>
      </c>
      <c r="J14593" s="1" t="str">
        <f t="shared" si="3"/>
        <v/>
      </c>
      <c r="K14593" s="1" t="str">
        <f t="shared" si="4"/>
        <v/>
      </c>
    </row>
    <row r="14594">
      <c r="F14594" s="1" t="str">
        <f t="shared" si="1"/>
        <v/>
      </c>
      <c r="G14594" s="1" t="str">
        <f t="shared" si="2"/>
        <v/>
      </c>
      <c r="J14594" s="1" t="str">
        <f t="shared" si="3"/>
        <v/>
      </c>
      <c r="K14594" s="1" t="str">
        <f t="shared" si="4"/>
        <v/>
      </c>
    </row>
    <row r="14595">
      <c r="F14595" s="1" t="str">
        <f t="shared" si="1"/>
        <v/>
      </c>
      <c r="G14595" s="1" t="str">
        <f t="shared" si="2"/>
        <v/>
      </c>
      <c r="J14595" s="1" t="str">
        <f t="shared" si="3"/>
        <v/>
      </c>
      <c r="K14595" s="1" t="str">
        <f t="shared" si="4"/>
        <v/>
      </c>
    </row>
    <row r="14596">
      <c r="F14596" s="1" t="str">
        <f t="shared" si="1"/>
        <v/>
      </c>
      <c r="G14596" s="1" t="str">
        <f t="shared" si="2"/>
        <v/>
      </c>
      <c r="J14596" s="1" t="str">
        <f t="shared" si="3"/>
        <v/>
      </c>
      <c r="K14596" s="1" t="str">
        <f t="shared" si="4"/>
        <v/>
      </c>
    </row>
    <row r="14597">
      <c r="F14597" s="1" t="str">
        <f t="shared" si="1"/>
        <v/>
      </c>
      <c r="G14597" s="1" t="str">
        <f t="shared" si="2"/>
        <v/>
      </c>
      <c r="J14597" s="1" t="str">
        <f t="shared" si="3"/>
        <v/>
      </c>
      <c r="K14597" s="1" t="str">
        <f t="shared" si="4"/>
        <v/>
      </c>
    </row>
    <row r="14598">
      <c r="F14598" s="1" t="str">
        <f t="shared" si="1"/>
        <v/>
      </c>
      <c r="G14598" s="1" t="str">
        <f t="shared" si="2"/>
        <v/>
      </c>
      <c r="J14598" s="1" t="str">
        <f t="shared" si="3"/>
        <v/>
      </c>
      <c r="K14598" s="1" t="str">
        <f t="shared" si="4"/>
        <v/>
      </c>
    </row>
    <row r="14599">
      <c r="F14599" s="1" t="str">
        <f t="shared" si="1"/>
        <v/>
      </c>
      <c r="G14599" s="1" t="str">
        <f t="shared" si="2"/>
        <v/>
      </c>
      <c r="J14599" s="1" t="str">
        <f t="shared" si="3"/>
        <v/>
      </c>
      <c r="K14599" s="1" t="str">
        <f t="shared" si="4"/>
        <v/>
      </c>
    </row>
    <row r="14600">
      <c r="F14600" s="1" t="str">
        <f t="shared" si="1"/>
        <v/>
      </c>
      <c r="G14600" s="1" t="str">
        <f t="shared" si="2"/>
        <v/>
      </c>
      <c r="J14600" s="1" t="str">
        <f t="shared" si="3"/>
        <v/>
      </c>
      <c r="K14600" s="1" t="str">
        <f t="shared" si="4"/>
        <v/>
      </c>
    </row>
    <row r="14601">
      <c r="F14601" s="1" t="str">
        <f t="shared" si="1"/>
        <v/>
      </c>
      <c r="G14601" s="1" t="str">
        <f t="shared" si="2"/>
        <v/>
      </c>
      <c r="J14601" s="1" t="str">
        <f t="shared" si="3"/>
        <v/>
      </c>
      <c r="K14601" s="1" t="str">
        <f t="shared" si="4"/>
        <v/>
      </c>
    </row>
    <row r="14602">
      <c r="F14602" s="1" t="str">
        <f t="shared" si="1"/>
        <v/>
      </c>
      <c r="G14602" s="1" t="str">
        <f t="shared" si="2"/>
        <v/>
      </c>
      <c r="J14602" s="1" t="str">
        <f t="shared" si="3"/>
        <v/>
      </c>
      <c r="K14602" s="1" t="str">
        <f t="shared" si="4"/>
        <v/>
      </c>
    </row>
    <row r="14603">
      <c r="F14603" s="1" t="str">
        <f t="shared" si="1"/>
        <v/>
      </c>
      <c r="G14603" s="1" t="str">
        <f t="shared" si="2"/>
        <v/>
      </c>
      <c r="J14603" s="1" t="str">
        <f t="shared" si="3"/>
        <v/>
      </c>
      <c r="K14603" s="1" t="str">
        <f t="shared" si="4"/>
        <v/>
      </c>
    </row>
    <row r="14604">
      <c r="F14604" s="1" t="str">
        <f t="shared" si="1"/>
        <v/>
      </c>
      <c r="G14604" s="1" t="str">
        <f t="shared" si="2"/>
        <v/>
      </c>
      <c r="J14604" s="1" t="str">
        <f t="shared" si="3"/>
        <v/>
      </c>
      <c r="K14604" s="1" t="str">
        <f t="shared" si="4"/>
        <v/>
      </c>
    </row>
    <row r="14605">
      <c r="F14605" s="1" t="str">
        <f t="shared" si="1"/>
        <v/>
      </c>
      <c r="G14605" s="1" t="str">
        <f t="shared" si="2"/>
        <v/>
      </c>
      <c r="J14605" s="1" t="str">
        <f t="shared" si="3"/>
        <v/>
      </c>
      <c r="K14605" s="1" t="str">
        <f t="shared" si="4"/>
        <v/>
      </c>
    </row>
    <row r="14606">
      <c r="F14606" s="1" t="str">
        <f t="shared" si="1"/>
        <v/>
      </c>
      <c r="G14606" s="1" t="str">
        <f t="shared" si="2"/>
        <v/>
      </c>
      <c r="J14606" s="1" t="str">
        <f t="shared" si="3"/>
        <v/>
      </c>
      <c r="K14606" s="1" t="str">
        <f t="shared" si="4"/>
        <v/>
      </c>
    </row>
    <row r="14607">
      <c r="F14607" s="1" t="str">
        <f t="shared" si="1"/>
        <v/>
      </c>
      <c r="G14607" s="1" t="str">
        <f t="shared" si="2"/>
        <v/>
      </c>
      <c r="J14607" s="1" t="str">
        <f t="shared" si="3"/>
        <v/>
      </c>
      <c r="K14607" s="1" t="str">
        <f t="shared" si="4"/>
        <v/>
      </c>
    </row>
    <row r="14608">
      <c r="F14608" s="1" t="str">
        <f t="shared" si="1"/>
        <v/>
      </c>
      <c r="G14608" s="1" t="str">
        <f t="shared" si="2"/>
        <v/>
      </c>
      <c r="J14608" s="1" t="str">
        <f t="shared" si="3"/>
        <v/>
      </c>
      <c r="K14608" s="1" t="str">
        <f t="shared" si="4"/>
        <v/>
      </c>
    </row>
    <row r="14609">
      <c r="F14609" s="1" t="str">
        <f t="shared" si="1"/>
        <v/>
      </c>
      <c r="G14609" s="1" t="str">
        <f t="shared" si="2"/>
        <v/>
      </c>
      <c r="J14609" s="1" t="str">
        <f t="shared" si="3"/>
        <v/>
      </c>
      <c r="K14609" s="1" t="str">
        <f t="shared" si="4"/>
        <v/>
      </c>
    </row>
    <row r="14610">
      <c r="F14610" s="1" t="str">
        <f t="shared" si="1"/>
        <v/>
      </c>
      <c r="G14610" s="1" t="str">
        <f t="shared" si="2"/>
        <v/>
      </c>
      <c r="J14610" s="1" t="str">
        <f t="shared" si="3"/>
        <v/>
      </c>
      <c r="K14610" s="1" t="str">
        <f t="shared" si="4"/>
        <v/>
      </c>
    </row>
    <row r="14611">
      <c r="F14611" s="1" t="str">
        <f t="shared" si="1"/>
        <v/>
      </c>
      <c r="G14611" s="1" t="str">
        <f t="shared" si="2"/>
        <v/>
      </c>
      <c r="J14611" s="1" t="str">
        <f t="shared" si="3"/>
        <v/>
      </c>
      <c r="K14611" s="1" t="str">
        <f t="shared" si="4"/>
        <v/>
      </c>
    </row>
    <row r="14612">
      <c r="F14612" s="1" t="str">
        <f t="shared" si="1"/>
        <v/>
      </c>
      <c r="G14612" s="1" t="str">
        <f t="shared" si="2"/>
        <v/>
      </c>
      <c r="J14612" s="1" t="str">
        <f t="shared" si="3"/>
        <v/>
      </c>
      <c r="K14612" s="1" t="str">
        <f t="shared" si="4"/>
        <v/>
      </c>
    </row>
    <row r="14613">
      <c r="F14613" s="1" t="str">
        <f t="shared" si="1"/>
        <v/>
      </c>
      <c r="G14613" s="1" t="str">
        <f t="shared" si="2"/>
        <v/>
      </c>
      <c r="J14613" s="1" t="str">
        <f t="shared" si="3"/>
        <v/>
      </c>
      <c r="K14613" s="1" t="str">
        <f t="shared" si="4"/>
        <v/>
      </c>
    </row>
    <row r="14614">
      <c r="F14614" s="1" t="str">
        <f t="shared" si="1"/>
        <v/>
      </c>
      <c r="G14614" s="1" t="str">
        <f t="shared" si="2"/>
        <v/>
      </c>
      <c r="J14614" s="1" t="str">
        <f t="shared" si="3"/>
        <v/>
      </c>
      <c r="K14614" s="1" t="str">
        <f t="shared" si="4"/>
        <v/>
      </c>
    </row>
    <row r="14615">
      <c r="F14615" s="1" t="str">
        <f t="shared" si="1"/>
        <v/>
      </c>
      <c r="G14615" s="1" t="str">
        <f t="shared" si="2"/>
        <v/>
      </c>
      <c r="J14615" s="1" t="str">
        <f t="shared" si="3"/>
        <v/>
      </c>
      <c r="K14615" s="1" t="str">
        <f t="shared" si="4"/>
        <v/>
      </c>
    </row>
    <row r="14616">
      <c r="F14616" s="1" t="str">
        <f t="shared" si="1"/>
        <v/>
      </c>
      <c r="G14616" s="1" t="str">
        <f t="shared" si="2"/>
        <v/>
      </c>
      <c r="J14616" s="1" t="str">
        <f t="shared" si="3"/>
        <v/>
      </c>
      <c r="K14616" s="1" t="str">
        <f t="shared" si="4"/>
        <v/>
      </c>
    </row>
    <row r="14617">
      <c r="F14617" s="1" t="str">
        <f t="shared" si="1"/>
        <v/>
      </c>
      <c r="G14617" s="1" t="str">
        <f t="shared" si="2"/>
        <v/>
      </c>
      <c r="J14617" s="1" t="str">
        <f t="shared" si="3"/>
        <v/>
      </c>
      <c r="K14617" s="1" t="str">
        <f t="shared" si="4"/>
        <v/>
      </c>
    </row>
    <row r="14618">
      <c r="F14618" s="1" t="str">
        <f t="shared" si="1"/>
        <v/>
      </c>
      <c r="G14618" s="1" t="str">
        <f t="shared" si="2"/>
        <v/>
      </c>
      <c r="J14618" s="1" t="str">
        <f t="shared" si="3"/>
        <v/>
      </c>
      <c r="K14618" s="1" t="str">
        <f t="shared" si="4"/>
        <v/>
      </c>
    </row>
    <row r="14619">
      <c r="F14619" s="1" t="str">
        <f t="shared" si="1"/>
        <v/>
      </c>
      <c r="G14619" s="1" t="str">
        <f t="shared" si="2"/>
        <v/>
      </c>
      <c r="J14619" s="1" t="str">
        <f t="shared" si="3"/>
        <v/>
      </c>
      <c r="K14619" s="1" t="str">
        <f t="shared" si="4"/>
        <v/>
      </c>
    </row>
    <row r="14620">
      <c r="F14620" s="1" t="str">
        <f t="shared" si="1"/>
        <v/>
      </c>
      <c r="G14620" s="1" t="str">
        <f t="shared" si="2"/>
        <v/>
      </c>
      <c r="J14620" s="1" t="str">
        <f t="shared" si="3"/>
        <v/>
      </c>
      <c r="K14620" s="1" t="str">
        <f t="shared" si="4"/>
        <v/>
      </c>
    </row>
    <row r="14621">
      <c r="F14621" s="1" t="str">
        <f t="shared" si="1"/>
        <v/>
      </c>
      <c r="G14621" s="1" t="str">
        <f t="shared" si="2"/>
        <v/>
      </c>
      <c r="J14621" s="1" t="str">
        <f t="shared" si="3"/>
        <v/>
      </c>
      <c r="K14621" s="1" t="str">
        <f t="shared" si="4"/>
        <v/>
      </c>
    </row>
    <row r="14622">
      <c r="F14622" s="1" t="str">
        <f t="shared" si="1"/>
        <v/>
      </c>
      <c r="G14622" s="1" t="str">
        <f t="shared" si="2"/>
        <v/>
      </c>
      <c r="J14622" s="1" t="str">
        <f t="shared" si="3"/>
        <v/>
      </c>
      <c r="K14622" s="1" t="str">
        <f t="shared" si="4"/>
        <v/>
      </c>
    </row>
    <row r="14623">
      <c r="F14623" s="1" t="str">
        <f t="shared" si="1"/>
        <v/>
      </c>
      <c r="G14623" s="1" t="str">
        <f t="shared" si="2"/>
        <v/>
      </c>
      <c r="J14623" s="1" t="str">
        <f t="shared" si="3"/>
        <v/>
      </c>
      <c r="K14623" s="1" t="str">
        <f t="shared" si="4"/>
        <v/>
      </c>
    </row>
    <row r="14624">
      <c r="F14624" s="1" t="str">
        <f t="shared" si="1"/>
        <v/>
      </c>
      <c r="G14624" s="1" t="str">
        <f t="shared" si="2"/>
        <v/>
      </c>
      <c r="J14624" s="1" t="str">
        <f t="shared" si="3"/>
        <v/>
      </c>
      <c r="K14624" s="1" t="str">
        <f t="shared" si="4"/>
        <v/>
      </c>
    </row>
    <row r="14625">
      <c r="F14625" s="1" t="str">
        <f t="shared" si="1"/>
        <v/>
      </c>
      <c r="G14625" s="1" t="str">
        <f t="shared" si="2"/>
        <v/>
      </c>
      <c r="J14625" s="1" t="str">
        <f t="shared" si="3"/>
        <v/>
      </c>
      <c r="K14625" s="1" t="str">
        <f t="shared" si="4"/>
        <v/>
      </c>
    </row>
    <row r="14626">
      <c r="F14626" s="1" t="str">
        <f t="shared" si="1"/>
        <v/>
      </c>
      <c r="G14626" s="1" t="str">
        <f t="shared" si="2"/>
        <v/>
      </c>
      <c r="J14626" s="1" t="str">
        <f t="shared" si="3"/>
        <v/>
      </c>
      <c r="K14626" s="1" t="str">
        <f t="shared" si="4"/>
        <v/>
      </c>
    </row>
    <row r="14627">
      <c r="F14627" s="1" t="str">
        <f t="shared" si="1"/>
        <v/>
      </c>
      <c r="G14627" s="1" t="str">
        <f t="shared" si="2"/>
        <v/>
      </c>
      <c r="J14627" s="1" t="str">
        <f t="shared" si="3"/>
        <v/>
      </c>
      <c r="K14627" s="1" t="str">
        <f t="shared" si="4"/>
        <v/>
      </c>
    </row>
    <row r="14628">
      <c r="F14628" s="1" t="str">
        <f t="shared" si="1"/>
        <v/>
      </c>
      <c r="G14628" s="1" t="str">
        <f t="shared" si="2"/>
        <v/>
      </c>
      <c r="J14628" s="1" t="str">
        <f t="shared" si="3"/>
        <v/>
      </c>
      <c r="K14628" s="1" t="str">
        <f t="shared" si="4"/>
        <v/>
      </c>
    </row>
    <row r="14629">
      <c r="F14629" s="1" t="str">
        <f t="shared" si="1"/>
        <v/>
      </c>
      <c r="G14629" s="1" t="str">
        <f t="shared" si="2"/>
        <v/>
      </c>
      <c r="J14629" s="1" t="str">
        <f t="shared" si="3"/>
        <v/>
      </c>
      <c r="K14629" s="1" t="str">
        <f t="shared" si="4"/>
        <v/>
      </c>
    </row>
    <row r="14630">
      <c r="F14630" s="1" t="str">
        <f t="shared" si="1"/>
        <v/>
      </c>
      <c r="G14630" s="1" t="str">
        <f t="shared" si="2"/>
        <v/>
      </c>
      <c r="J14630" s="1" t="str">
        <f t="shared" si="3"/>
        <v/>
      </c>
      <c r="K14630" s="1" t="str">
        <f t="shared" si="4"/>
        <v/>
      </c>
    </row>
    <row r="14631">
      <c r="F14631" s="1" t="str">
        <f t="shared" si="1"/>
        <v/>
      </c>
      <c r="G14631" s="1" t="str">
        <f t="shared" si="2"/>
        <v/>
      </c>
      <c r="J14631" s="1" t="str">
        <f t="shared" si="3"/>
        <v/>
      </c>
      <c r="K14631" s="1" t="str">
        <f t="shared" si="4"/>
        <v/>
      </c>
    </row>
    <row r="14632">
      <c r="F14632" s="1" t="str">
        <f t="shared" si="1"/>
        <v/>
      </c>
      <c r="G14632" s="1" t="str">
        <f t="shared" si="2"/>
        <v/>
      </c>
      <c r="J14632" s="1" t="str">
        <f t="shared" si="3"/>
        <v/>
      </c>
      <c r="K14632" s="1" t="str">
        <f t="shared" si="4"/>
        <v/>
      </c>
    </row>
    <row r="14633">
      <c r="F14633" s="1" t="str">
        <f t="shared" si="1"/>
        <v/>
      </c>
      <c r="G14633" s="1" t="str">
        <f t="shared" si="2"/>
        <v/>
      </c>
      <c r="J14633" s="1" t="str">
        <f t="shared" si="3"/>
        <v/>
      </c>
      <c r="K14633" s="1" t="str">
        <f t="shared" si="4"/>
        <v/>
      </c>
    </row>
    <row r="14634">
      <c r="F14634" s="1" t="str">
        <f t="shared" si="1"/>
        <v/>
      </c>
      <c r="G14634" s="1" t="str">
        <f t="shared" si="2"/>
        <v/>
      </c>
      <c r="J14634" s="1" t="str">
        <f t="shared" si="3"/>
        <v/>
      </c>
      <c r="K14634" s="1" t="str">
        <f t="shared" si="4"/>
        <v/>
      </c>
    </row>
    <row r="14635">
      <c r="F14635" s="1" t="str">
        <f t="shared" si="1"/>
        <v/>
      </c>
      <c r="G14635" s="1" t="str">
        <f t="shared" si="2"/>
        <v/>
      </c>
      <c r="J14635" s="1" t="str">
        <f t="shared" si="3"/>
        <v/>
      </c>
      <c r="K14635" s="1" t="str">
        <f t="shared" si="4"/>
        <v/>
      </c>
    </row>
    <row r="14636">
      <c r="F14636" s="1" t="str">
        <f t="shared" si="1"/>
        <v/>
      </c>
      <c r="G14636" s="1" t="str">
        <f t="shared" si="2"/>
        <v/>
      </c>
      <c r="J14636" s="1" t="str">
        <f t="shared" si="3"/>
        <v/>
      </c>
      <c r="K14636" s="1" t="str">
        <f t="shared" si="4"/>
        <v/>
      </c>
    </row>
    <row r="14637">
      <c r="F14637" s="1" t="str">
        <f t="shared" si="1"/>
        <v/>
      </c>
      <c r="G14637" s="1" t="str">
        <f t="shared" si="2"/>
        <v/>
      </c>
      <c r="J14637" s="1" t="str">
        <f t="shared" si="3"/>
        <v/>
      </c>
      <c r="K14637" s="1" t="str">
        <f t="shared" si="4"/>
        <v/>
      </c>
    </row>
    <row r="14638">
      <c r="F14638" s="1" t="str">
        <f t="shared" si="1"/>
        <v/>
      </c>
      <c r="G14638" s="1" t="str">
        <f t="shared" si="2"/>
        <v/>
      </c>
      <c r="J14638" s="1" t="str">
        <f t="shared" si="3"/>
        <v/>
      </c>
      <c r="K14638" s="1" t="str">
        <f t="shared" si="4"/>
        <v/>
      </c>
    </row>
    <row r="14639">
      <c r="F14639" s="1" t="str">
        <f t="shared" si="1"/>
        <v/>
      </c>
      <c r="G14639" s="1" t="str">
        <f t="shared" si="2"/>
        <v/>
      </c>
      <c r="J14639" s="1" t="str">
        <f t="shared" si="3"/>
        <v/>
      </c>
      <c r="K14639" s="1" t="str">
        <f t="shared" si="4"/>
        <v/>
      </c>
    </row>
    <row r="14640">
      <c r="F14640" s="1" t="str">
        <f t="shared" si="1"/>
        <v/>
      </c>
      <c r="G14640" s="1" t="str">
        <f t="shared" si="2"/>
        <v/>
      </c>
      <c r="J14640" s="1" t="str">
        <f t="shared" si="3"/>
        <v/>
      </c>
      <c r="K14640" s="1" t="str">
        <f t="shared" si="4"/>
        <v/>
      </c>
    </row>
    <row r="14641">
      <c r="F14641" s="1" t="str">
        <f t="shared" si="1"/>
        <v/>
      </c>
      <c r="G14641" s="1" t="str">
        <f t="shared" si="2"/>
        <v/>
      </c>
      <c r="J14641" s="1" t="str">
        <f t="shared" si="3"/>
        <v/>
      </c>
      <c r="K14641" s="1" t="str">
        <f t="shared" si="4"/>
        <v/>
      </c>
    </row>
    <row r="14642">
      <c r="F14642" s="1" t="str">
        <f t="shared" si="1"/>
        <v/>
      </c>
      <c r="G14642" s="1" t="str">
        <f t="shared" si="2"/>
        <v/>
      </c>
      <c r="J14642" s="1" t="str">
        <f t="shared" si="3"/>
        <v/>
      </c>
      <c r="K14642" s="1" t="str">
        <f t="shared" si="4"/>
        <v/>
      </c>
    </row>
    <row r="14643">
      <c r="F14643" s="1" t="str">
        <f t="shared" si="1"/>
        <v/>
      </c>
      <c r="G14643" s="1" t="str">
        <f t="shared" si="2"/>
        <v/>
      </c>
      <c r="J14643" s="1" t="str">
        <f t="shared" si="3"/>
        <v/>
      </c>
      <c r="K14643" s="1" t="str">
        <f t="shared" si="4"/>
        <v/>
      </c>
    </row>
    <row r="14644">
      <c r="F14644" s="1" t="str">
        <f t="shared" si="1"/>
        <v/>
      </c>
      <c r="G14644" s="1" t="str">
        <f t="shared" si="2"/>
        <v/>
      </c>
      <c r="J14644" s="1" t="str">
        <f t="shared" si="3"/>
        <v/>
      </c>
      <c r="K14644" s="1" t="str">
        <f t="shared" si="4"/>
        <v/>
      </c>
    </row>
    <row r="14645">
      <c r="F14645" s="1" t="str">
        <f t="shared" si="1"/>
        <v/>
      </c>
      <c r="G14645" s="1" t="str">
        <f t="shared" si="2"/>
        <v/>
      </c>
      <c r="J14645" s="1" t="str">
        <f t="shared" si="3"/>
        <v/>
      </c>
      <c r="K14645" s="1" t="str">
        <f t="shared" si="4"/>
        <v/>
      </c>
    </row>
    <row r="14646">
      <c r="F14646" s="1" t="str">
        <f t="shared" si="1"/>
        <v/>
      </c>
      <c r="G14646" s="1" t="str">
        <f t="shared" si="2"/>
        <v/>
      </c>
      <c r="J14646" s="1" t="str">
        <f t="shared" si="3"/>
        <v/>
      </c>
      <c r="K14646" s="1" t="str">
        <f t="shared" si="4"/>
        <v/>
      </c>
    </row>
    <row r="14647">
      <c r="F14647" s="1" t="str">
        <f t="shared" si="1"/>
        <v/>
      </c>
      <c r="G14647" s="1" t="str">
        <f t="shared" si="2"/>
        <v/>
      </c>
      <c r="J14647" s="1" t="str">
        <f t="shared" si="3"/>
        <v/>
      </c>
      <c r="K14647" s="1" t="str">
        <f t="shared" si="4"/>
        <v/>
      </c>
    </row>
    <row r="14648">
      <c r="F14648" s="1" t="str">
        <f t="shared" si="1"/>
        <v/>
      </c>
      <c r="G14648" s="1" t="str">
        <f t="shared" si="2"/>
        <v/>
      </c>
      <c r="J14648" s="1" t="str">
        <f t="shared" si="3"/>
        <v/>
      </c>
      <c r="K14648" s="1" t="str">
        <f t="shared" si="4"/>
        <v/>
      </c>
    </row>
    <row r="14649">
      <c r="F14649" s="1" t="str">
        <f t="shared" si="1"/>
        <v/>
      </c>
      <c r="G14649" s="1" t="str">
        <f t="shared" si="2"/>
        <v/>
      </c>
      <c r="J14649" s="1" t="str">
        <f t="shared" si="3"/>
        <v/>
      </c>
      <c r="K14649" s="1" t="str">
        <f t="shared" si="4"/>
        <v/>
      </c>
    </row>
    <row r="14650">
      <c r="F14650" s="1" t="str">
        <f t="shared" si="1"/>
        <v/>
      </c>
      <c r="G14650" s="1" t="str">
        <f t="shared" si="2"/>
        <v/>
      </c>
      <c r="J14650" s="1" t="str">
        <f t="shared" si="3"/>
        <v/>
      </c>
      <c r="K14650" s="1" t="str">
        <f t="shared" si="4"/>
        <v/>
      </c>
    </row>
    <row r="14651">
      <c r="F14651" s="1" t="str">
        <f t="shared" si="1"/>
        <v/>
      </c>
      <c r="G14651" s="1" t="str">
        <f t="shared" si="2"/>
        <v/>
      </c>
      <c r="J14651" s="1" t="str">
        <f t="shared" si="3"/>
        <v/>
      </c>
      <c r="K14651" s="1" t="str">
        <f t="shared" si="4"/>
        <v/>
      </c>
    </row>
    <row r="14652">
      <c r="F14652" s="1" t="str">
        <f t="shared" si="1"/>
        <v/>
      </c>
      <c r="G14652" s="1" t="str">
        <f t="shared" si="2"/>
        <v/>
      </c>
      <c r="J14652" s="1" t="str">
        <f t="shared" si="3"/>
        <v/>
      </c>
      <c r="K14652" s="1" t="str">
        <f t="shared" si="4"/>
        <v/>
      </c>
    </row>
    <row r="14653">
      <c r="F14653" s="1" t="str">
        <f t="shared" si="1"/>
        <v/>
      </c>
      <c r="G14653" s="1" t="str">
        <f t="shared" si="2"/>
        <v/>
      </c>
      <c r="J14653" s="1" t="str">
        <f t="shared" si="3"/>
        <v/>
      </c>
      <c r="K14653" s="1" t="str">
        <f t="shared" si="4"/>
        <v/>
      </c>
    </row>
    <row r="14654">
      <c r="F14654" s="1" t="str">
        <f t="shared" si="1"/>
        <v/>
      </c>
      <c r="G14654" s="1" t="str">
        <f t="shared" si="2"/>
        <v/>
      </c>
      <c r="J14654" s="1" t="str">
        <f t="shared" si="3"/>
        <v/>
      </c>
      <c r="K14654" s="1" t="str">
        <f t="shared" si="4"/>
        <v/>
      </c>
    </row>
    <row r="14655">
      <c r="F14655" s="1" t="str">
        <f t="shared" si="1"/>
        <v/>
      </c>
      <c r="G14655" s="1" t="str">
        <f t="shared" si="2"/>
        <v/>
      </c>
      <c r="J14655" s="1" t="str">
        <f t="shared" si="3"/>
        <v/>
      </c>
      <c r="K14655" s="1" t="str">
        <f t="shared" si="4"/>
        <v/>
      </c>
    </row>
    <row r="14656">
      <c r="F14656" s="1" t="str">
        <f t="shared" si="1"/>
        <v/>
      </c>
      <c r="G14656" s="1" t="str">
        <f t="shared" si="2"/>
        <v/>
      </c>
      <c r="J14656" s="1" t="str">
        <f t="shared" si="3"/>
        <v/>
      </c>
      <c r="K14656" s="1" t="str">
        <f t="shared" si="4"/>
        <v/>
      </c>
    </row>
    <row r="14657">
      <c r="F14657" s="1" t="str">
        <f t="shared" si="1"/>
        <v/>
      </c>
      <c r="G14657" s="1" t="str">
        <f t="shared" si="2"/>
        <v/>
      </c>
      <c r="J14657" s="1" t="str">
        <f t="shared" si="3"/>
        <v/>
      </c>
      <c r="K14657" s="1" t="str">
        <f t="shared" si="4"/>
        <v/>
      </c>
    </row>
    <row r="14658">
      <c r="F14658" s="1" t="str">
        <f t="shared" si="1"/>
        <v/>
      </c>
      <c r="G14658" s="1" t="str">
        <f t="shared" si="2"/>
        <v/>
      </c>
      <c r="J14658" s="1" t="str">
        <f t="shared" si="3"/>
        <v/>
      </c>
      <c r="K14658" s="1" t="str">
        <f t="shared" si="4"/>
        <v/>
      </c>
    </row>
    <row r="14659">
      <c r="F14659" s="1" t="str">
        <f t="shared" si="1"/>
        <v/>
      </c>
      <c r="G14659" s="1" t="str">
        <f t="shared" si="2"/>
        <v/>
      </c>
      <c r="J14659" s="1" t="str">
        <f t="shared" si="3"/>
        <v/>
      </c>
      <c r="K14659" s="1" t="str">
        <f t="shared" si="4"/>
        <v/>
      </c>
    </row>
    <row r="14660">
      <c r="F14660" s="1" t="str">
        <f t="shared" si="1"/>
        <v/>
      </c>
      <c r="G14660" s="1" t="str">
        <f t="shared" si="2"/>
        <v/>
      </c>
      <c r="J14660" s="1" t="str">
        <f t="shared" si="3"/>
        <v/>
      </c>
      <c r="K14660" s="1" t="str">
        <f t="shared" si="4"/>
        <v/>
      </c>
    </row>
    <row r="14661">
      <c r="F14661" s="1" t="str">
        <f t="shared" si="1"/>
        <v/>
      </c>
      <c r="G14661" s="1" t="str">
        <f t="shared" si="2"/>
        <v/>
      </c>
      <c r="J14661" s="1" t="str">
        <f t="shared" si="3"/>
        <v/>
      </c>
      <c r="K14661" s="1" t="str">
        <f t="shared" si="4"/>
        <v/>
      </c>
    </row>
    <row r="14662">
      <c r="F14662" s="1" t="str">
        <f t="shared" si="1"/>
        <v/>
      </c>
      <c r="G14662" s="1" t="str">
        <f t="shared" si="2"/>
        <v/>
      </c>
      <c r="J14662" s="1" t="str">
        <f t="shared" si="3"/>
        <v/>
      </c>
      <c r="K14662" s="1" t="str">
        <f t="shared" si="4"/>
        <v/>
      </c>
    </row>
    <row r="14663">
      <c r="F14663" s="1" t="str">
        <f t="shared" si="1"/>
        <v/>
      </c>
      <c r="G14663" s="1" t="str">
        <f t="shared" si="2"/>
        <v/>
      </c>
      <c r="J14663" s="1" t="str">
        <f t="shared" si="3"/>
        <v/>
      </c>
      <c r="K14663" s="1" t="str">
        <f t="shared" si="4"/>
        <v/>
      </c>
    </row>
    <row r="14664">
      <c r="F14664" s="1" t="str">
        <f t="shared" si="1"/>
        <v/>
      </c>
      <c r="G14664" s="1" t="str">
        <f t="shared" si="2"/>
        <v/>
      </c>
      <c r="J14664" s="1" t="str">
        <f t="shared" si="3"/>
        <v/>
      </c>
      <c r="K14664" s="1" t="str">
        <f t="shared" si="4"/>
        <v/>
      </c>
    </row>
    <row r="14665">
      <c r="F14665" s="1" t="str">
        <f t="shared" si="1"/>
        <v/>
      </c>
      <c r="G14665" s="1" t="str">
        <f t="shared" si="2"/>
        <v/>
      </c>
      <c r="J14665" s="1" t="str">
        <f t="shared" si="3"/>
        <v/>
      </c>
      <c r="K14665" s="1" t="str">
        <f t="shared" si="4"/>
        <v/>
      </c>
    </row>
    <row r="14666">
      <c r="F14666" s="1" t="str">
        <f t="shared" si="1"/>
        <v/>
      </c>
      <c r="G14666" s="1" t="str">
        <f t="shared" si="2"/>
        <v/>
      </c>
      <c r="J14666" s="1" t="str">
        <f t="shared" si="3"/>
        <v/>
      </c>
      <c r="K14666" s="1" t="str">
        <f t="shared" si="4"/>
        <v/>
      </c>
    </row>
    <row r="14667">
      <c r="F14667" s="1" t="str">
        <f t="shared" si="1"/>
        <v/>
      </c>
      <c r="G14667" s="1" t="str">
        <f t="shared" si="2"/>
        <v/>
      </c>
      <c r="J14667" s="1" t="str">
        <f t="shared" si="3"/>
        <v/>
      </c>
      <c r="K14667" s="1" t="str">
        <f t="shared" si="4"/>
        <v/>
      </c>
    </row>
    <row r="14668">
      <c r="F14668" s="1" t="str">
        <f t="shared" si="1"/>
        <v/>
      </c>
      <c r="G14668" s="1" t="str">
        <f t="shared" si="2"/>
        <v/>
      </c>
      <c r="J14668" s="1" t="str">
        <f t="shared" si="3"/>
        <v/>
      </c>
      <c r="K14668" s="1" t="str">
        <f t="shared" si="4"/>
        <v/>
      </c>
    </row>
    <row r="14669">
      <c r="F14669" s="1" t="str">
        <f t="shared" si="1"/>
        <v/>
      </c>
      <c r="G14669" s="1" t="str">
        <f t="shared" si="2"/>
        <v/>
      </c>
      <c r="J14669" s="1" t="str">
        <f t="shared" si="3"/>
        <v/>
      </c>
      <c r="K14669" s="1" t="str">
        <f t="shared" si="4"/>
        <v/>
      </c>
    </row>
    <row r="14670">
      <c r="F14670" s="1" t="str">
        <f t="shared" si="1"/>
        <v/>
      </c>
      <c r="G14670" s="1" t="str">
        <f t="shared" si="2"/>
        <v/>
      </c>
      <c r="J14670" s="1" t="str">
        <f t="shared" si="3"/>
        <v/>
      </c>
      <c r="K14670" s="1" t="str">
        <f t="shared" si="4"/>
        <v/>
      </c>
    </row>
    <row r="14671">
      <c r="F14671" s="1" t="str">
        <f t="shared" si="1"/>
        <v/>
      </c>
      <c r="G14671" s="1" t="str">
        <f t="shared" si="2"/>
        <v/>
      </c>
      <c r="J14671" s="1" t="str">
        <f t="shared" si="3"/>
        <v/>
      </c>
      <c r="K14671" s="1" t="str">
        <f t="shared" si="4"/>
        <v/>
      </c>
    </row>
    <row r="14672">
      <c r="F14672" s="1" t="str">
        <f t="shared" si="1"/>
        <v/>
      </c>
      <c r="G14672" s="1" t="str">
        <f t="shared" si="2"/>
        <v/>
      </c>
      <c r="J14672" s="1" t="str">
        <f t="shared" si="3"/>
        <v/>
      </c>
      <c r="K14672" s="1" t="str">
        <f t="shared" si="4"/>
        <v/>
      </c>
    </row>
    <row r="14673">
      <c r="F14673" s="1" t="str">
        <f t="shared" si="1"/>
        <v/>
      </c>
      <c r="G14673" s="1" t="str">
        <f t="shared" si="2"/>
        <v/>
      </c>
      <c r="J14673" s="1" t="str">
        <f t="shared" si="3"/>
        <v/>
      </c>
      <c r="K14673" s="1" t="str">
        <f t="shared" si="4"/>
        <v/>
      </c>
    </row>
    <row r="14674">
      <c r="F14674" s="1" t="str">
        <f t="shared" si="1"/>
        <v/>
      </c>
      <c r="G14674" s="1" t="str">
        <f t="shared" si="2"/>
        <v/>
      </c>
      <c r="J14674" s="1" t="str">
        <f t="shared" si="3"/>
        <v/>
      </c>
      <c r="K14674" s="1" t="str">
        <f t="shared" si="4"/>
        <v/>
      </c>
    </row>
    <row r="14675">
      <c r="F14675" s="1" t="str">
        <f t="shared" si="1"/>
        <v/>
      </c>
      <c r="G14675" s="1" t="str">
        <f t="shared" si="2"/>
        <v/>
      </c>
      <c r="J14675" s="1" t="str">
        <f t="shared" si="3"/>
        <v/>
      </c>
      <c r="K14675" s="1" t="str">
        <f t="shared" si="4"/>
        <v/>
      </c>
    </row>
    <row r="14676">
      <c r="F14676" s="1" t="str">
        <f t="shared" si="1"/>
        <v/>
      </c>
      <c r="G14676" s="1" t="str">
        <f t="shared" si="2"/>
        <v/>
      </c>
      <c r="J14676" s="1" t="str">
        <f t="shared" si="3"/>
        <v/>
      </c>
      <c r="K14676" s="1" t="str">
        <f t="shared" si="4"/>
        <v/>
      </c>
    </row>
    <row r="14677">
      <c r="F14677" s="1" t="str">
        <f t="shared" si="1"/>
        <v/>
      </c>
      <c r="G14677" s="1" t="str">
        <f t="shared" si="2"/>
        <v/>
      </c>
      <c r="J14677" s="1" t="str">
        <f t="shared" si="3"/>
        <v/>
      </c>
      <c r="K14677" s="1" t="str">
        <f t="shared" si="4"/>
        <v/>
      </c>
    </row>
    <row r="14678">
      <c r="F14678" s="1" t="str">
        <f t="shared" si="1"/>
        <v/>
      </c>
      <c r="G14678" s="1" t="str">
        <f t="shared" si="2"/>
        <v/>
      </c>
      <c r="J14678" s="1" t="str">
        <f t="shared" si="3"/>
        <v/>
      </c>
      <c r="K14678" s="1" t="str">
        <f t="shared" si="4"/>
        <v/>
      </c>
    </row>
    <row r="14679">
      <c r="F14679" s="1" t="str">
        <f t="shared" si="1"/>
        <v/>
      </c>
      <c r="G14679" s="1" t="str">
        <f t="shared" si="2"/>
        <v/>
      </c>
      <c r="J14679" s="1" t="str">
        <f t="shared" si="3"/>
        <v/>
      </c>
      <c r="K14679" s="1" t="str">
        <f t="shared" si="4"/>
        <v/>
      </c>
    </row>
    <row r="14680">
      <c r="F14680" s="1" t="str">
        <f t="shared" si="1"/>
        <v/>
      </c>
      <c r="G14680" s="1" t="str">
        <f t="shared" si="2"/>
        <v/>
      </c>
      <c r="J14680" s="1" t="str">
        <f t="shared" si="3"/>
        <v/>
      </c>
      <c r="K14680" s="1" t="str">
        <f t="shared" si="4"/>
        <v/>
      </c>
    </row>
    <row r="14681">
      <c r="F14681" s="1" t="str">
        <f t="shared" si="1"/>
        <v/>
      </c>
      <c r="G14681" s="1" t="str">
        <f t="shared" si="2"/>
        <v/>
      </c>
      <c r="J14681" s="1" t="str">
        <f t="shared" si="3"/>
        <v/>
      </c>
      <c r="K14681" s="1" t="str">
        <f t="shared" si="4"/>
        <v/>
      </c>
    </row>
    <row r="14682">
      <c r="F14682" s="1" t="str">
        <f t="shared" si="1"/>
        <v/>
      </c>
      <c r="G14682" s="1" t="str">
        <f t="shared" si="2"/>
        <v/>
      </c>
      <c r="J14682" s="1" t="str">
        <f t="shared" si="3"/>
        <v/>
      </c>
      <c r="K14682" s="1" t="str">
        <f t="shared" si="4"/>
        <v/>
      </c>
    </row>
    <row r="14683">
      <c r="F14683" s="1" t="str">
        <f t="shared" si="1"/>
        <v/>
      </c>
      <c r="G14683" s="1" t="str">
        <f t="shared" si="2"/>
        <v/>
      </c>
      <c r="J14683" s="1" t="str">
        <f t="shared" si="3"/>
        <v/>
      </c>
      <c r="K14683" s="1" t="str">
        <f t="shared" si="4"/>
        <v/>
      </c>
    </row>
    <row r="14684">
      <c r="F14684" s="1" t="str">
        <f t="shared" si="1"/>
        <v/>
      </c>
      <c r="G14684" s="1" t="str">
        <f t="shared" si="2"/>
        <v/>
      </c>
      <c r="J14684" s="1" t="str">
        <f t="shared" si="3"/>
        <v/>
      </c>
      <c r="K14684" s="1" t="str">
        <f t="shared" si="4"/>
        <v/>
      </c>
    </row>
    <row r="14685">
      <c r="F14685" s="1" t="str">
        <f t="shared" si="1"/>
        <v/>
      </c>
      <c r="G14685" s="1" t="str">
        <f t="shared" si="2"/>
        <v/>
      </c>
      <c r="J14685" s="1" t="str">
        <f t="shared" si="3"/>
        <v/>
      </c>
      <c r="K14685" s="1" t="str">
        <f t="shared" si="4"/>
        <v/>
      </c>
    </row>
    <row r="14686">
      <c r="F14686" s="1" t="str">
        <f t="shared" si="1"/>
        <v/>
      </c>
      <c r="G14686" s="1" t="str">
        <f t="shared" si="2"/>
        <v/>
      </c>
      <c r="J14686" s="1" t="str">
        <f t="shared" si="3"/>
        <v/>
      </c>
      <c r="K14686" s="1" t="str">
        <f t="shared" si="4"/>
        <v/>
      </c>
    </row>
    <row r="14687">
      <c r="F14687" s="1" t="str">
        <f t="shared" si="1"/>
        <v/>
      </c>
      <c r="G14687" s="1" t="str">
        <f t="shared" si="2"/>
        <v/>
      </c>
      <c r="J14687" s="1" t="str">
        <f t="shared" si="3"/>
        <v/>
      </c>
      <c r="K14687" s="1" t="str">
        <f t="shared" si="4"/>
        <v/>
      </c>
    </row>
    <row r="14688">
      <c r="F14688" s="1" t="str">
        <f t="shared" si="1"/>
        <v/>
      </c>
      <c r="G14688" s="1" t="str">
        <f t="shared" si="2"/>
        <v/>
      </c>
      <c r="J14688" s="1" t="str">
        <f t="shared" si="3"/>
        <v/>
      </c>
      <c r="K14688" s="1" t="str">
        <f t="shared" si="4"/>
        <v/>
      </c>
    </row>
    <row r="14689">
      <c r="F14689" s="1" t="str">
        <f t="shared" si="1"/>
        <v/>
      </c>
      <c r="G14689" s="1" t="str">
        <f t="shared" si="2"/>
        <v/>
      </c>
      <c r="J14689" s="1" t="str">
        <f t="shared" si="3"/>
        <v/>
      </c>
      <c r="K14689" s="1" t="str">
        <f t="shared" si="4"/>
        <v/>
      </c>
    </row>
    <row r="14690">
      <c r="F14690" s="1" t="str">
        <f t="shared" si="1"/>
        <v/>
      </c>
      <c r="G14690" s="1" t="str">
        <f t="shared" si="2"/>
        <v/>
      </c>
      <c r="J14690" s="1" t="str">
        <f t="shared" si="3"/>
        <v/>
      </c>
      <c r="K14690" s="1" t="str">
        <f t="shared" si="4"/>
        <v/>
      </c>
    </row>
    <row r="14691">
      <c r="F14691" s="1" t="str">
        <f t="shared" si="1"/>
        <v/>
      </c>
      <c r="G14691" s="1" t="str">
        <f t="shared" si="2"/>
        <v/>
      </c>
      <c r="J14691" s="1" t="str">
        <f t="shared" si="3"/>
        <v/>
      </c>
      <c r="K14691" s="1" t="str">
        <f t="shared" si="4"/>
        <v/>
      </c>
    </row>
    <row r="14692">
      <c r="F14692" s="1" t="str">
        <f t="shared" si="1"/>
        <v/>
      </c>
      <c r="G14692" s="1" t="str">
        <f t="shared" si="2"/>
        <v/>
      </c>
      <c r="J14692" s="1" t="str">
        <f t="shared" si="3"/>
        <v/>
      </c>
      <c r="K14692" s="1" t="str">
        <f t="shared" si="4"/>
        <v/>
      </c>
    </row>
    <row r="14693">
      <c r="F14693" s="1" t="str">
        <f t="shared" si="1"/>
        <v/>
      </c>
      <c r="G14693" s="1" t="str">
        <f t="shared" si="2"/>
        <v/>
      </c>
      <c r="J14693" s="1" t="str">
        <f t="shared" si="3"/>
        <v/>
      </c>
      <c r="K14693" s="1" t="str">
        <f t="shared" si="4"/>
        <v/>
      </c>
    </row>
    <row r="14694">
      <c r="F14694" s="1" t="str">
        <f t="shared" si="1"/>
        <v/>
      </c>
      <c r="G14694" s="1" t="str">
        <f t="shared" si="2"/>
        <v/>
      </c>
      <c r="J14694" s="1" t="str">
        <f t="shared" si="3"/>
        <v/>
      </c>
      <c r="K14694" s="1" t="str">
        <f t="shared" si="4"/>
        <v/>
      </c>
    </row>
    <row r="14695">
      <c r="F14695" s="1" t="str">
        <f t="shared" si="1"/>
        <v/>
      </c>
      <c r="G14695" s="1" t="str">
        <f t="shared" si="2"/>
        <v/>
      </c>
      <c r="J14695" s="1" t="str">
        <f t="shared" si="3"/>
        <v/>
      </c>
      <c r="K14695" s="1" t="str">
        <f t="shared" si="4"/>
        <v/>
      </c>
    </row>
    <row r="14696">
      <c r="F14696" s="1" t="str">
        <f t="shared" si="1"/>
        <v/>
      </c>
      <c r="G14696" s="1" t="str">
        <f t="shared" si="2"/>
        <v/>
      </c>
      <c r="J14696" s="1" t="str">
        <f t="shared" si="3"/>
        <v/>
      </c>
      <c r="K14696" s="1" t="str">
        <f t="shared" si="4"/>
        <v/>
      </c>
    </row>
    <row r="14697">
      <c r="F14697" s="1" t="str">
        <f t="shared" si="1"/>
        <v/>
      </c>
      <c r="G14697" s="1" t="str">
        <f t="shared" si="2"/>
        <v/>
      </c>
      <c r="J14697" s="1" t="str">
        <f t="shared" si="3"/>
        <v/>
      </c>
      <c r="K14697" s="1" t="str">
        <f t="shared" si="4"/>
        <v/>
      </c>
    </row>
    <row r="14698">
      <c r="F14698" s="1" t="str">
        <f t="shared" si="1"/>
        <v/>
      </c>
      <c r="G14698" s="1" t="str">
        <f t="shared" si="2"/>
        <v/>
      </c>
      <c r="J14698" s="1" t="str">
        <f t="shared" si="3"/>
        <v/>
      </c>
      <c r="K14698" s="1" t="str">
        <f t="shared" si="4"/>
        <v/>
      </c>
    </row>
    <row r="14699">
      <c r="F14699" s="1" t="str">
        <f t="shared" si="1"/>
        <v/>
      </c>
      <c r="G14699" s="1" t="str">
        <f t="shared" si="2"/>
        <v/>
      </c>
      <c r="J14699" s="1" t="str">
        <f t="shared" si="3"/>
        <v/>
      </c>
      <c r="K14699" s="1" t="str">
        <f t="shared" si="4"/>
        <v/>
      </c>
    </row>
    <row r="14700">
      <c r="F14700" s="1" t="str">
        <f t="shared" si="1"/>
        <v/>
      </c>
      <c r="G14700" s="1" t="str">
        <f t="shared" si="2"/>
        <v/>
      </c>
      <c r="J14700" s="1" t="str">
        <f t="shared" si="3"/>
        <v/>
      </c>
      <c r="K14700" s="1" t="str">
        <f t="shared" si="4"/>
        <v/>
      </c>
    </row>
    <row r="14701">
      <c r="F14701" s="1" t="str">
        <f t="shared" si="1"/>
        <v/>
      </c>
      <c r="G14701" s="1" t="str">
        <f t="shared" si="2"/>
        <v/>
      </c>
      <c r="J14701" s="1" t="str">
        <f t="shared" si="3"/>
        <v/>
      </c>
      <c r="K14701" s="1" t="str">
        <f t="shared" si="4"/>
        <v/>
      </c>
    </row>
    <row r="14702">
      <c r="F14702" s="1" t="str">
        <f t="shared" si="1"/>
        <v/>
      </c>
      <c r="G14702" s="1" t="str">
        <f t="shared" si="2"/>
        <v/>
      </c>
      <c r="J14702" s="1" t="str">
        <f t="shared" si="3"/>
        <v/>
      </c>
      <c r="K14702" s="1" t="str">
        <f t="shared" si="4"/>
        <v/>
      </c>
    </row>
    <row r="14703">
      <c r="F14703" s="1" t="str">
        <f t="shared" si="1"/>
        <v/>
      </c>
      <c r="G14703" s="1" t="str">
        <f t="shared" si="2"/>
        <v/>
      </c>
      <c r="J14703" s="1" t="str">
        <f t="shared" si="3"/>
        <v/>
      </c>
      <c r="K14703" s="1" t="str">
        <f t="shared" si="4"/>
        <v/>
      </c>
    </row>
    <row r="14704">
      <c r="F14704" s="1" t="str">
        <f t="shared" si="1"/>
        <v/>
      </c>
      <c r="G14704" s="1" t="str">
        <f t="shared" si="2"/>
        <v/>
      </c>
      <c r="J14704" s="1" t="str">
        <f t="shared" si="3"/>
        <v/>
      </c>
      <c r="K14704" s="1" t="str">
        <f t="shared" si="4"/>
        <v/>
      </c>
    </row>
    <row r="14705">
      <c r="F14705" s="1" t="str">
        <f t="shared" si="1"/>
        <v/>
      </c>
      <c r="G14705" s="1" t="str">
        <f t="shared" si="2"/>
        <v/>
      </c>
      <c r="J14705" s="1" t="str">
        <f t="shared" si="3"/>
        <v/>
      </c>
      <c r="K14705" s="1" t="str">
        <f t="shared" si="4"/>
        <v/>
      </c>
    </row>
    <row r="14706">
      <c r="F14706" s="1" t="str">
        <f t="shared" si="1"/>
        <v/>
      </c>
      <c r="G14706" s="1" t="str">
        <f t="shared" si="2"/>
        <v/>
      </c>
      <c r="J14706" s="1" t="str">
        <f t="shared" si="3"/>
        <v/>
      </c>
      <c r="K14706" s="1" t="str">
        <f t="shared" si="4"/>
        <v/>
      </c>
    </row>
    <row r="14707">
      <c r="F14707" s="1" t="str">
        <f t="shared" si="1"/>
        <v/>
      </c>
      <c r="G14707" s="1" t="str">
        <f t="shared" si="2"/>
        <v/>
      </c>
      <c r="J14707" s="1" t="str">
        <f t="shared" si="3"/>
        <v/>
      </c>
      <c r="K14707" s="1" t="str">
        <f t="shared" si="4"/>
        <v/>
      </c>
    </row>
    <row r="14708">
      <c r="F14708" s="1" t="str">
        <f t="shared" si="1"/>
        <v/>
      </c>
      <c r="G14708" s="1" t="str">
        <f t="shared" si="2"/>
        <v/>
      </c>
      <c r="J14708" s="1" t="str">
        <f t="shared" si="3"/>
        <v/>
      </c>
      <c r="K14708" s="1" t="str">
        <f t="shared" si="4"/>
        <v/>
      </c>
    </row>
    <row r="14709">
      <c r="F14709" s="1" t="str">
        <f t="shared" si="1"/>
        <v/>
      </c>
      <c r="G14709" s="1" t="str">
        <f t="shared" si="2"/>
        <v/>
      </c>
      <c r="J14709" s="1" t="str">
        <f t="shared" si="3"/>
        <v/>
      </c>
      <c r="K14709" s="1" t="str">
        <f t="shared" si="4"/>
        <v/>
      </c>
    </row>
    <row r="14710">
      <c r="F14710" s="1" t="str">
        <f t="shared" si="1"/>
        <v/>
      </c>
      <c r="G14710" s="1" t="str">
        <f t="shared" si="2"/>
        <v/>
      </c>
      <c r="J14710" s="1" t="str">
        <f t="shared" si="3"/>
        <v/>
      </c>
      <c r="K14710" s="1" t="str">
        <f t="shared" si="4"/>
        <v/>
      </c>
    </row>
    <row r="14711">
      <c r="F14711" s="1" t="str">
        <f t="shared" si="1"/>
        <v/>
      </c>
      <c r="G14711" s="1" t="str">
        <f t="shared" si="2"/>
        <v/>
      </c>
      <c r="J14711" s="1" t="str">
        <f t="shared" si="3"/>
        <v/>
      </c>
      <c r="K14711" s="1" t="str">
        <f t="shared" si="4"/>
        <v/>
      </c>
    </row>
    <row r="14712">
      <c r="F14712" s="1" t="str">
        <f t="shared" si="1"/>
        <v/>
      </c>
      <c r="G14712" s="1" t="str">
        <f t="shared" si="2"/>
        <v/>
      </c>
      <c r="J14712" s="1" t="str">
        <f t="shared" si="3"/>
        <v/>
      </c>
      <c r="K14712" s="1" t="str">
        <f t="shared" si="4"/>
        <v/>
      </c>
    </row>
    <row r="14713">
      <c r="F14713" s="1" t="str">
        <f t="shared" si="1"/>
        <v/>
      </c>
      <c r="G14713" s="1" t="str">
        <f t="shared" si="2"/>
        <v/>
      </c>
      <c r="J14713" s="1" t="str">
        <f t="shared" si="3"/>
        <v/>
      </c>
      <c r="K14713" s="1" t="str">
        <f t="shared" si="4"/>
        <v/>
      </c>
    </row>
    <row r="14714">
      <c r="F14714" s="1" t="str">
        <f t="shared" si="1"/>
        <v/>
      </c>
      <c r="G14714" s="1" t="str">
        <f t="shared" si="2"/>
        <v/>
      </c>
      <c r="J14714" s="1" t="str">
        <f t="shared" si="3"/>
        <v/>
      </c>
      <c r="K14714" s="1" t="str">
        <f t="shared" si="4"/>
        <v/>
      </c>
    </row>
    <row r="14715">
      <c r="F14715" s="1" t="str">
        <f t="shared" si="1"/>
        <v/>
      </c>
      <c r="G14715" s="1" t="str">
        <f t="shared" si="2"/>
        <v/>
      </c>
      <c r="J14715" s="1" t="str">
        <f t="shared" si="3"/>
        <v/>
      </c>
      <c r="K14715" s="1" t="str">
        <f t="shared" si="4"/>
        <v/>
      </c>
    </row>
    <row r="14716">
      <c r="F14716" s="1" t="str">
        <f t="shared" si="1"/>
        <v/>
      </c>
      <c r="G14716" s="1" t="str">
        <f t="shared" si="2"/>
        <v/>
      </c>
      <c r="J14716" s="1" t="str">
        <f t="shared" si="3"/>
        <v/>
      </c>
      <c r="K14716" s="1" t="str">
        <f t="shared" si="4"/>
        <v/>
      </c>
    </row>
    <row r="14717">
      <c r="F14717" s="1" t="str">
        <f t="shared" si="1"/>
        <v/>
      </c>
      <c r="G14717" s="1" t="str">
        <f t="shared" si="2"/>
        <v/>
      </c>
      <c r="J14717" s="1" t="str">
        <f t="shared" si="3"/>
        <v/>
      </c>
      <c r="K14717" s="1" t="str">
        <f t="shared" si="4"/>
        <v/>
      </c>
    </row>
    <row r="14718">
      <c r="F14718" s="1" t="str">
        <f t="shared" si="1"/>
        <v/>
      </c>
      <c r="G14718" s="1" t="str">
        <f t="shared" si="2"/>
        <v/>
      </c>
      <c r="J14718" s="1" t="str">
        <f t="shared" si="3"/>
        <v/>
      </c>
      <c r="K14718" s="1" t="str">
        <f t="shared" si="4"/>
        <v/>
      </c>
    </row>
    <row r="14719">
      <c r="F14719" s="1" t="str">
        <f t="shared" si="1"/>
        <v/>
      </c>
      <c r="G14719" s="1" t="str">
        <f t="shared" si="2"/>
        <v/>
      </c>
      <c r="J14719" s="1" t="str">
        <f t="shared" si="3"/>
        <v/>
      </c>
      <c r="K14719" s="1" t="str">
        <f t="shared" si="4"/>
        <v/>
      </c>
    </row>
    <row r="14720">
      <c r="F14720" s="1" t="str">
        <f t="shared" si="1"/>
        <v/>
      </c>
      <c r="G14720" s="1" t="str">
        <f t="shared" si="2"/>
        <v/>
      </c>
      <c r="J14720" s="1" t="str">
        <f t="shared" si="3"/>
        <v/>
      </c>
      <c r="K14720" s="1" t="str">
        <f t="shared" si="4"/>
        <v/>
      </c>
    </row>
    <row r="14721">
      <c r="F14721" s="1" t="str">
        <f t="shared" si="1"/>
        <v/>
      </c>
      <c r="G14721" s="1" t="str">
        <f t="shared" si="2"/>
        <v/>
      </c>
      <c r="J14721" s="1" t="str">
        <f t="shared" si="3"/>
        <v/>
      </c>
      <c r="K14721" s="1" t="str">
        <f t="shared" si="4"/>
        <v/>
      </c>
    </row>
    <row r="14722">
      <c r="F14722" s="1" t="str">
        <f t="shared" si="1"/>
        <v/>
      </c>
      <c r="G14722" s="1" t="str">
        <f t="shared" si="2"/>
        <v/>
      </c>
      <c r="J14722" s="1" t="str">
        <f t="shared" si="3"/>
        <v/>
      </c>
      <c r="K14722" s="1" t="str">
        <f t="shared" si="4"/>
        <v/>
      </c>
    </row>
    <row r="14723">
      <c r="F14723" s="1" t="str">
        <f t="shared" si="1"/>
        <v/>
      </c>
      <c r="G14723" s="1" t="str">
        <f t="shared" si="2"/>
        <v/>
      </c>
      <c r="J14723" s="1" t="str">
        <f t="shared" si="3"/>
        <v/>
      </c>
      <c r="K14723" s="1" t="str">
        <f t="shared" si="4"/>
        <v/>
      </c>
    </row>
    <row r="14724">
      <c r="F14724" s="1" t="str">
        <f t="shared" si="1"/>
        <v/>
      </c>
      <c r="G14724" s="1" t="str">
        <f t="shared" si="2"/>
        <v/>
      </c>
      <c r="J14724" s="1" t="str">
        <f t="shared" si="3"/>
        <v/>
      </c>
      <c r="K14724" s="1" t="str">
        <f t="shared" si="4"/>
        <v/>
      </c>
    </row>
    <row r="14725">
      <c r="F14725" s="1" t="str">
        <f t="shared" si="1"/>
        <v/>
      </c>
      <c r="G14725" s="1" t="str">
        <f t="shared" si="2"/>
        <v/>
      </c>
      <c r="J14725" s="1" t="str">
        <f t="shared" si="3"/>
        <v/>
      </c>
      <c r="K14725" s="1" t="str">
        <f t="shared" si="4"/>
        <v/>
      </c>
    </row>
    <row r="14726">
      <c r="F14726" s="1" t="str">
        <f t="shared" si="1"/>
        <v/>
      </c>
      <c r="G14726" s="1" t="str">
        <f t="shared" si="2"/>
        <v/>
      </c>
      <c r="J14726" s="1" t="str">
        <f t="shared" si="3"/>
        <v/>
      </c>
      <c r="K14726" s="1" t="str">
        <f t="shared" si="4"/>
        <v/>
      </c>
    </row>
    <row r="14727">
      <c r="F14727" s="1" t="str">
        <f t="shared" si="1"/>
        <v/>
      </c>
      <c r="G14727" s="1" t="str">
        <f t="shared" si="2"/>
        <v/>
      </c>
      <c r="J14727" s="1" t="str">
        <f t="shared" si="3"/>
        <v/>
      </c>
      <c r="K14727" s="1" t="str">
        <f t="shared" si="4"/>
        <v/>
      </c>
    </row>
    <row r="14728">
      <c r="F14728" s="1" t="str">
        <f t="shared" si="1"/>
        <v/>
      </c>
      <c r="G14728" s="1" t="str">
        <f t="shared" si="2"/>
        <v/>
      </c>
      <c r="J14728" s="1" t="str">
        <f t="shared" si="3"/>
        <v/>
      </c>
      <c r="K14728" s="1" t="str">
        <f t="shared" si="4"/>
        <v/>
      </c>
    </row>
    <row r="14729">
      <c r="F14729" s="1" t="str">
        <f t="shared" si="1"/>
        <v/>
      </c>
      <c r="G14729" s="1" t="str">
        <f t="shared" si="2"/>
        <v/>
      </c>
      <c r="J14729" s="1" t="str">
        <f t="shared" si="3"/>
        <v/>
      </c>
      <c r="K14729" s="1" t="str">
        <f t="shared" si="4"/>
        <v/>
      </c>
    </row>
    <row r="14730">
      <c r="F14730" s="1" t="str">
        <f t="shared" si="1"/>
        <v/>
      </c>
      <c r="G14730" s="1" t="str">
        <f t="shared" si="2"/>
        <v/>
      </c>
      <c r="J14730" s="1" t="str">
        <f t="shared" si="3"/>
        <v/>
      </c>
      <c r="K14730" s="1" t="str">
        <f t="shared" si="4"/>
        <v/>
      </c>
    </row>
    <row r="14731">
      <c r="F14731" s="1" t="str">
        <f t="shared" si="1"/>
        <v/>
      </c>
      <c r="G14731" s="1" t="str">
        <f t="shared" si="2"/>
        <v/>
      </c>
      <c r="J14731" s="1" t="str">
        <f t="shared" si="3"/>
        <v/>
      </c>
      <c r="K14731" s="1" t="str">
        <f t="shared" si="4"/>
        <v/>
      </c>
    </row>
    <row r="14732">
      <c r="F14732" s="1" t="str">
        <f t="shared" si="1"/>
        <v/>
      </c>
      <c r="G14732" s="1" t="str">
        <f t="shared" si="2"/>
        <v/>
      </c>
      <c r="J14732" s="1" t="str">
        <f t="shared" si="3"/>
        <v/>
      </c>
      <c r="K14732" s="1" t="str">
        <f t="shared" si="4"/>
        <v/>
      </c>
    </row>
    <row r="14733">
      <c r="F14733" s="1" t="str">
        <f t="shared" si="1"/>
        <v/>
      </c>
      <c r="G14733" s="1" t="str">
        <f t="shared" si="2"/>
        <v/>
      </c>
      <c r="J14733" s="1" t="str">
        <f t="shared" si="3"/>
        <v/>
      </c>
      <c r="K14733" s="1" t="str">
        <f t="shared" si="4"/>
        <v/>
      </c>
    </row>
    <row r="14734">
      <c r="F14734" s="1" t="str">
        <f t="shared" si="1"/>
        <v/>
      </c>
      <c r="G14734" s="1" t="str">
        <f t="shared" si="2"/>
        <v/>
      </c>
      <c r="J14734" s="1" t="str">
        <f t="shared" si="3"/>
        <v/>
      </c>
      <c r="K14734" s="1" t="str">
        <f t="shared" si="4"/>
        <v/>
      </c>
    </row>
    <row r="14735">
      <c r="F14735" s="1" t="str">
        <f t="shared" si="1"/>
        <v/>
      </c>
      <c r="G14735" s="1" t="str">
        <f t="shared" si="2"/>
        <v/>
      </c>
      <c r="J14735" s="1" t="str">
        <f t="shared" si="3"/>
        <v/>
      </c>
      <c r="K14735" s="1" t="str">
        <f t="shared" si="4"/>
        <v/>
      </c>
    </row>
    <row r="14736">
      <c r="F14736" s="1" t="str">
        <f t="shared" si="1"/>
        <v/>
      </c>
      <c r="G14736" s="1" t="str">
        <f t="shared" si="2"/>
        <v/>
      </c>
      <c r="J14736" s="1" t="str">
        <f t="shared" si="3"/>
        <v/>
      </c>
      <c r="K14736" s="1" t="str">
        <f t="shared" si="4"/>
        <v/>
      </c>
    </row>
    <row r="14737">
      <c r="F14737" s="1" t="str">
        <f t="shared" si="1"/>
        <v/>
      </c>
      <c r="G14737" s="1" t="str">
        <f t="shared" si="2"/>
        <v/>
      </c>
      <c r="J14737" s="1" t="str">
        <f t="shared" si="3"/>
        <v/>
      </c>
      <c r="K14737" s="1" t="str">
        <f t="shared" si="4"/>
        <v/>
      </c>
    </row>
    <row r="14738">
      <c r="F14738" s="1" t="str">
        <f t="shared" si="1"/>
        <v/>
      </c>
      <c r="G14738" s="1" t="str">
        <f t="shared" si="2"/>
        <v/>
      </c>
      <c r="J14738" s="1" t="str">
        <f t="shared" si="3"/>
        <v/>
      </c>
      <c r="K14738" s="1" t="str">
        <f t="shared" si="4"/>
        <v/>
      </c>
    </row>
    <row r="14739">
      <c r="F14739" s="1" t="str">
        <f t="shared" si="1"/>
        <v/>
      </c>
      <c r="G14739" s="1" t="str">
        <f t="shared" si="2"/>
        <v/>
      </c>
      <c r="J14739" s="1" t="str">
        <f t="shared" si="3"/>
        <v/>
      </c>
      <c r="K14739" s="1" t="str">
        <f t="shared" si="4"/>
        <v/>
      </c>
    </row>
    <row r="14740">
      <c r="F14740" s="1" t="str">
        <f t="shared" si="1"/>
        <v/>
      </c>
      <c r="G14740" s="1" t="str">
        <f t="shared" si="2"/>
        <v/>
      </c>
      <c r="J14740" s="1" t="str">
        <f t="shared" si="3"/>
        <v/>
      </c>
      <c r="K14740" s="1" t="str">
        <f t="shared" si="4"/>
        <v/>
      </c>
    </row>
    <row r="14741">
      <c r="F14741" s="1" t="str">
        <f t="shared" si="1"/>
        <v/>
      </c>
      <c r="G14741" s="1" t="str">
        <f t="shared" si="2"/>
        <v/>
      </c>
      <c r="J14741" s="1" t="str">
        <f t="shared" si="3"/>
        <v/>
      </c>
      <c r="K14741" s="1" t="str">
        <f t="shared" si="4"/>
        <v/>
      </c>
    </row>
    <row r="14742">
      <c r="F14742" s="1" t="str">
        <f t="shared" si="1"/>
        <v/>
      </c>
      <c r="G14742" s="1" t="str">
        <f t="shared" si="2"/>
        <v/>
      </c>
      <c r="J14742" s="1" t="str">
        <f t="shared" si="3"/>
        <v/>
      </c>
      <c r="K14742" s="1" t="str">
        <f t="shared" si="4"/>
        <v/>
      </c>
    </row>
    <row r="14743">
      <c r="F14743" s="1" t="str">
        <f t="shared" si="1"/>
        <v/>
      </c>
      <c r="G14743" s="1" t="str">
        <f t="shared" si="2"/>
        <v/>
      </c>
      <c r="J14743" s="1" t="str">
        <f t="shared" si="3"/>
        <v/>
      </c>
      <c r="K14743" s="1" t="str">
        <f t="shared" si="4"/>
        <v/>
      </c>
    </row>
    <row r="14744">
      <c r="F14744" s="1" t="str">
        <f t="shared" si="1"/>
        <v/>
      </c>
      <c r="G14744" s="1" t="str">
        <f t="shared" si="2"/>
        <v/>
      </c>
      <c r="J14744" s="1" t="str">
        <f t="shared" si="3"/>
        <v/>
      </c>
      <c r="K14744" s="1" t="str">
        <f t="shared" si="4"/>
        <v/>
      </c>
    </row>
    <row r="14745">
      <c r="F14745" s="1" t="str">
        <f t="shared" si="1"/>
        <v/>
      </c>
      <c r="G14745" s="1" t="str">
        <f t="shared" si="2"/>
        <v/>
      </c>
      <c r="J14745" s="1" t="str">
        <f t="shared" si="3"/>
        <v/>
      </c>
      <c r="K14745" s="1" t="str">
        <f t="shared" si="4"/>
        <v/>
      </c>
    </row>
    <row r="14746">
      <c r="F14746" s="1" t="str">
        <f t="shared" si="1"/>
        <v/>
      </c>
      <c r="G14746" s="1" t="str">
        <f t="shared" si="2"/>
        <v/>
      </c>
      <c r="J14746" s="1" t="str">
        <f t="shared" si="3"/>
        <v/>
      </c>
      <c r="K14746" s="1" t="str">
        <f t="shared" si="4"/>
        <v/>
      </c>
    </row>
    <row r="14747">
      <c r="F14747" s="1" t="str">
        <f t="shared" si="1"/>
        <v/>
      </c>
      <c r="G14747" s="1" t="str">
        <f t="shared" si="2"/>
        <v/>
      </c>
      <c r="J14747" s="1" t="str">
        <f t="shared" si="3"/>
        <v/>
      </c>
      <c r="K14747" s="1" t="str">
        <f t="shared" si="4"/>
        <v/>
      </c>
    </row>
    <row r="14748">
      <c r="F14748" s="1" t="str">
        <f t="shared" si="1"/>
        <v/>
      </c>
      <c r="G14748" s="1" t="str">
        <f t="shared" si="2"/>
        <v/>
      </c>
      <c r="J14748" s="1" t="str">
        <f t="shared" si="3"/>
        <v/>
      </c>
      <c r="K14748" s="1" t="str">
        <f t="shared" si="4"/>
        <v/>
      </c>
    </row>
    <row r="14749">
      <c r="F14749" s="1" t="str">
        <f t="shared" si="1"/>
        <v/>
      </c>
      <c r="G14749" s="1" t="str">
        <f t="shared" si="2"/>
        <v/>
      </c>
      <c r="J14749" s="1" t="str">
        <f t="shared" si="3"/>
        <v/>
      </c>
      <c r="K14749" s="1" t="str">
        <f t="shared" si="4"/>
        <v/>
      </c>
    </row>
    <row r="14750">
      <c r="F14750" s="1" t="str">
        <f t="shared" si="1"/>
        <v/>
      </c>
      <c r="G14750" s="1" t="str">
        <f t="shared" si="2"/>
        <v/>
      </c>
      <c r="J14750" s="1" t="str">
        <f t="shared" si="3"/>
        <v/>
      </c>
      <c r="K14750" s="1" t="str">
        <f t="shared" si="4"/>
        <v/>
      </c>
    </row>
    <row r="14751">
      <c r="F14751" s="1" t="str">
        <f t="shared" si="1"/>
        <v/>
      </c>
      <c r="G14751" s="1" t="str">
        <f t="shared" si="2"/>
        <v/>
      </c>
      <c r="J14751" s="1" t="str">
        <f t="shared" si="3"/>
        <v/>
      </c>
      <c r="K14751" s="1" t="str">
        <f t="shared" si="4"/>
        <v/>
      </c>
    </row>
    <row r="14752">
      <c r="F14752" s="1" t="str">
        <f t="shared" si="1"/>
        <v/>
      </c>
      <c r="G14752" s="1" t="str">
        <f t="shared" si="2"/>
        <v/>
      </c>
      <c r="J14752" s="1" t="str">
        <f t="shared" si="3"/>
        <v/>
      </c>
      <c r="K14752" s="1" t="str">
        <f t="shared" si="4"/>
        <v/>
      </c>
    </row>
    <row r="14753">
      <c r="F14753" s="1" t="str">
        <f t="shared" si="1"/>
        <v/>
      </c>
      <c r="G14753" s="1" t="str">
        <f t="shared" si="2"/>
        <v/>
      </c>
      <c r="J14753" s="1" t="str">
        <f t="shared" si="3"/>
        <v/>
      </c>
      <c r="K14753" s="1" t="str">
        <f t="shared" si="4"/>
        <v/>
      </c>
    </row>
    <row r="14754">
      <c r="F14754" s="1" t="str">
        <f t="shared" si="1"/>
        <v/>
      </c>
      <c r="G14754" s="1" t="str">
        <f t="shared" si="2"/>
        <v/>
      </c>
      <c r="J14754" s="1" t="str">
        <f t="shared" si="3"/>
        <v/>
      </c>
      <c r="K14754" s="1" t="str">
        <f t="shared" si="4"/>
        <v/>
      </c>
    </row>
    <row r="14755">
      <c r="F14755" s="1" t="str">
        <f t="shared" si="1"/>
        <v/>
      </c>
      <c r="G14755" s="1" t="str">
        <f t="shared" si="2"/>
        <v/>
      </c>
      <c r="J14755" s="1" t="str">
        <f t="shared" si="3"/>
        <v/>
      </c>
      <c r="K14755" s="1" t="str">
        <f t="shared" si="4"/>
        <v/>
      </c>
    </row>
    <row r="14756">
      <c r="F14756" s="1" t="str">
        <f t="shared" si="1"/>
        <v/>
      </c>
      <c r="G14756" s="1" t="str">
        <f t="shared" si="2"/>
        <v/>
      </c>
      <c r="J14756" s="1" t="str">
        <f t="shared" si="3"/>
        <v/>
      </c>
      <c r="K14756" s="1" t="str">
        <f t="shared" si="4"/>
        <v/>
      </c>
    </row>
    <row r="14757">
      <c r="F14757" s="1" t="str">
        <f t="shared" si="1"/>
        <v/>
      </c>
      <c r="G14757" s="1" t="str">
        <f t="shared" si="2"/>
        <v/>
      </c>
      <c r="J14757" s="1" t="str">
        <f t="shared" si="3"/>
        <v/>
      </c>
      <c r="K14757" s="1" t="str">
        <f t="shared" si="4"/>
        <v/>
      </c>
    </row>
    <row r="14758">
      <c r="F14758" s="1" t="str">
        <f t="shared" si="1"/>
        <v/>
      </c>
      <c r="G14758" s="1" t="str">
        <f t="shared" si="2"/>
        <v/>
      </c>
      <c r="J14758" s="1" t="str">
        <f t="shared" si="3"/>
        <v/>
      </c>
      <c r="K14758" s="1" t="str">
        <f t="shared" si="4"/>
        <v/>
      </c>
    </row>
    <row r="14759">
      <c r="F14759" s="1" t="str">
        <f t="shared" si="1"/>
        <v/>
      </c>
      <c r="G14759" s="1" t="str">
        <f t="shared" si="2"/>
        <v/>
      </c>
      <c r="J14759" s="1" t="str">
        <f t="shared" si="3"/>
        <v/>
      </c>
      <c r="K14759" s="1" t="str">
        <f t="shared" si="4"/>
        <v/>
      </c>
    </row>
    <row r="14760">
      <c r="F14760" s="1" t="str">
        <f t="shared" si="1"/>
        <v/>
      </c>
      <c r="G14760" s="1" t="str">
        <f t="shared" si="2"/>
        <v/>
      </c>
      <c r="J14760" s="1" t="str">
        <f t="shared" si="3"/>
        <v/>
      </c>
      <c r="K14760" s="1" t="str">
        <f t="shared" si="4"/>
        <v/>
      </c>
    </row>
    <row r="14761">
      <c r="F14761" s="1" t="str">
        <f t="shared" si="1"/>
        <v/>
      </c>
      <c r="G14761" s="1" t="str">
        <f t="shared" si="2"/>
        <v/>
      </c>
      <c r="J14761" s="1" t="str">
        <f t="shared" si="3"/>
        <v/>
      </c>
      <c r="K14761" s="1" t="str">
        <f t="shared" si="4"/>
        <v/>
      </c>
    </row>
    <row r="14762">
      <c r="F14762" s="1" t="str">
        <f t="shared" si="1"/>
        <v/>
      </c>
      <c r="G14762" s="1" t="str">
        <f t="shared" si="2"/>
        <v/>
      </c>
      <c r="J14762" s="1" t="str">
        <f t="shared" si="3"/>
        <v/>
      </c>
      <c r="K14762" s="1" t="str">
        <f t="shared" si="4"/>
        <v/>
      </c>
    </row>
    <row r="14763">
      <c r="F14763" s="1" t="str">
        <f t="shared" si="1"/>
        <v/>
      </c>
      <c r="G14763" s="1" t="str">
        <f t="shared" si="2"/>
        <v/>
      </c>
      <c r="J14763" s="1" t="str">
        <f t="shared" si="3"/>
        <v/>
      </c>
      <c r="K14763" s="1" t="str">
        <f t="shared" si="4"/>
        <v/>
      </c>
    </row>
    <row r="14764">
      <c r="F14764" s="1" t="str">
        <f t="shared" si="1"/>
        <v/>
      </c>
      <c r="G14764" s="1" t="str">
        <f t="shared" si="2"/>
        <v/>
      </c>
      <c r="J14764" s="1" t="str">
        <f t="shared" si="3"/>
        <v/>
      </c>
      <c r="K14764" s="1" t="str">
        <f t="shared" si="4"/>
        <v/>
      </c>
    </row>
    <row r="14765">
      <c r="F14765" s="1" t="str">
        <f t="shared" si="1"/>
        <v/>
      </c>
      <c r="G14765" s="1" t="str">
        <f t="shared" si="2"/>
        <v/>
      </c>
      <c r="J14765" s="1" t="str">
        <f t="shared" si="3"/>
        <v/>
      </c>
      <c r="K14765" s="1" t="str">
        <f t="shared" si="4"/>
        <v/>
      </c>
    </row>
    <row r="14766">
      <c r="F14766" s="1" t="str">
        <f t="shared" si="1"/>
        <v/>
      </c>
      <c r="G14766" s="1" t="str">
        <f t="shared" si="2"/>
        <v/>
      </c>
      <c r="J14766" s="1" t="str">
        <f t="shared" si="3"/>
        <v/>
      </c>
      <c r="K14766" s="1" t="str">
        <f t="shared" si="4"/>
        <v/>
      </c>
    </row>
    <row r="14767">
      <c r="F14767" s="1" t="str">
        <f t="shared" si="1"/>
        <v/>
      </c>
      <c r="G14767" s="1" t="str">
        <f t="shared" si="2"/>
        <v/>
      </c>
      <c r="J14767" s="1" t="str">
        <f t="shared" si="3"/>
        <v/>
      </c>
      <c r="K14767" s="1" t="str">
        <f t="shared" si="4"/>
        <v/>
      </c>
    </row>
    <row r="14768">
      <c r="F14768" s="1" t="str">
        <f t="shared" si="1"/>
        <v/>
      </c>
      <c r="G14768" s="1" t="str">
        <f t="shared" si="2"/>
        <v/>
      </c>
      <c r="J14768" s="1" t="str">
        <f t="shared" si="3"/>
        <v/>
      </c>
      <c r="K14768" s="1" t="str">
        <f t="shared" si="4"/>
        <v/>
      </c>
    </row>
    <row r="14769">
      <c r="F14769" s="1" t="str">
        <f t="shared" si="1"/>
        <v/>
      </c>
      <c r="G14769" s="1" t="str">
        <f t="shared" si="2"/>
        <v/>
      </c>
      <c r="J14769" s="1" t="str">
        <f t="shared" si="3"/>
        <v/>
      </c>
      <c r="K14769" s="1" t="str">
        <f t="shared" si="4"/>
        <v/>
      </c>
    </row>
    <row r="14770">
      <c r="F14770" s="1" t="str">
        <f t="shared" si="1"/>
        <v/>
      </c>
      <c r="G14770" s="1" t="str">
        <f t="shared" si="2"/>
        <v/>
      </c>
      <c r="J14770" s="1" t="str">
        <f t="shared" si="3"/>
        <v/>
      </c>
      <c r="K14770" s="1" t="str">
        <f t="shared" si="4"/>
        <v/>
      </c>
    </row>
    <row r="14771">
      <c r="F14771" s="1" t="str">
        <f t="shared" si="1"/>
        <v/>
      </c>
      <c r="G14771" s="1" t="str">
        <f t="shared" si="2"/>
        <v/>
      </c>
      <c r="J14771" s="1" t="str">
        <f t="shared" si="3"/>
        <v/>
      </c>
      <c r="K14771" s="1" t="str">
        <f t="shared" si="4"/>
        <v/>
      </c>
    </row>
    <row r="14772">
      <c r="F14772" s="1" t="str">
        <f t="shared" si="1"/>
        <v/>
      </c>
      <c r="G14772" s="1" t="str">
        <f t="shared" si="2"/>
        <v/>
      </c>
      <c r="J14772" s="1" t="str">
        <f t="shared" si="3"/>
        <v/>
      </c>
      <c r="K14772" s="1" t="str">
        <f t="shared" si="4"/>
        <v/>
      </c>
    </row>
    <row r="14773">
      <c r="F14773" s="1" t="str">
        <f t="shared" si="1"/>
        <v/>
      </c>
      <c r="G14773" s="1" t="str">
        <f t="shared" si="2"/>
        <v/>
      </c>
      <c r="J14773" s="1" t="str">
        <f t="shared" si="3"/>
        <v/>
      </c>
      <c r="K14773" s="1" t="str">
        <f t="shared" si="4"/>
        <v/>
      </c>
    </row>
    <row r="14774">
      <c r="F14774" s="1" t="str">
        <f t="shared" si="1"/>
        <v/>
      </c>
      <c r="G14774" s="1" t="str">
        <f t="shared" si="2"/>
        <v/>
      </c>
      <c r="J14774" s="1" t="str">
        <f t="shared" si="3"/>
        <v/>
      </c>
      <c r="K14774" s="1" t="str">
        <f t="shared" si="4"/>
        <v/>
      </c>
    </row>
    <row r="14775">
      <c r="F14775" s="1" t="str">
        <f t="shared" si="1"/>
        <v/>
      </c>
      <c r="G14775" s="1" t="str">
        <f t="shared" si="2"/>
        <v/>
      </c>
      <c r="J14775" s="1" t="str">
        <f t="shared" si="3"/>
        <v/>
      </c>
      <c r="K14775" s="1" t="str">
        <f t="shared" si="4"/>
        <v/>
      </c>
    </row>
    <row r="14776">
      <c r="F14776" s="1" t="str">
        <f t="shared" si="1"/>
        <v/>
      </c>
      <c r="G14776" s="1" t="str">
        <f t="shared" si="2"/>
        <v/>
      </c>
      <c r="J14776" s="1" t="str">
        <f t="shared" si="3"/>
        <v/>
      </c>
      <c r="K14776" s="1" t="str">
        <f t="shared" si="4"/>
        <v/>
      </c>
    </row>
    <row r="14777">
      <c r="F14777" s="1" t="str">
        <f t="shared" si="1"/>
        <v/>
      </c>
      <c r="G14777" s="1" t="str">
        <f t="shared" si="2"/>
        <v/>
      </c>
      <c r="J14777" s="1" t="str">
        <f t="shared" si="3"/>
        <v/>
      </c>
      <c r="K14777" s="1" t="str">
        <f t="shared" si="4"/>
        <v/>
      </c>
    </row>
    <row r="14778">
      <c r="F14778" s="1" t="str">
        <f t="shared" si="1"/>
        <v/>
      </c>
      <c r="G14778" s="1" t="str">
        <f t="shared" si="2"/>
        <v/>
      </c>
      <c r="J14778" s="1" t="str">
        <f t="shared" si="3"/>
        <v/>
      </c>
      <c r="K14778" s="1" t="str">
        <f t="shared" si="4"/>
        <v/>
      </c>
    </row>
    <row r="14779">
      <c r="F14779" s="1" t="str">
        <f t="shared" si="1"/>
        <v/>
      </c>
      <c r="G14779" s="1" t="str">
        <f t="shared" si="2"/>
        <v/>
      </c>
      <c r="J14779" s="1" t="str">
        <f t="shared" si="3"/>
        <v/>
      </c>
      <c r="K14779" s="1" t="str">
        <f t="shared" si="4"/>
        <v/>
      </c>
    </row>
    <row r="14780">
      <c r="F14780" s="1" t="str">
        <f t="shared" si="1"/>
        <v/>
      </c>
      <c r="G14780" s="1" t="str">
        <f t="shared" si="2"/>
        <v/>
      </c>
      <c r="J14780" s="1" t="str">
        <f t="shared" si="3"/>
        <v/>
      </c>
      <c r="K14780" s="1" t="str">
        <f t="shared" si="4"/>
        <v/>
      </c>
    </row>
    <row r="14781">
      <c r="F14781" s="1" t="str">
        <f t="shared" si="1"/>
        <v/>
      </c>
      <c r="G14781" s="1" t="str">
        <f t="shared" si="2"/>
        <v/>
      </c>
      <c r="J14781" s="1" t="str">
        <f t="shared" si="3"/>
        <v/>
      </c>
      <c r="K14781" s="1" t="str">
        <f t="shared" si="4"/>
        <v/>
      </c>
    </row>
    <row r="14782">
      <c r="F14782" s="1" t="str">
        <f t="shared" si="1"/>
        <v/>
      </c>
      <c r="G14782" s="1" t="str">
        <f t="shared" si="2"/>
        <v/>
      </c>
      <c r="J14782" s="1" t="str">
        <f t="shared" si="3"/>
        <v/>
      </c>
      <c r="K14782" s="1" t="str">
        <f t="shared" si="4"/>
        <v/>
      </c>
    </row>
    <row r="14783">
      <c r="F14783" s="1" t="str">
        <f t="shared" si="1"/>
        <v/>
      </c>
      <c r="G14783" s="1" t="str">
        <f t="shared" si="2"/>
        <v/>
      </c>
      <c r="J14783" s="1" t="str">
        <f t="shared" si="3"/>
        <v/>
      </c>
      <c r="K14783" s="1" t="str">
        <f t="shared" si="4"/>
        <v/>
      </c>
    </row>
    <row r="14784">
      <c r="F14784" s="1" t="str">
        <f t="shared" si="1"/>
        <v/>
      </c>
      <c r="G14784" s="1" t="str">
        <f t="shared" si="2"/>
        <v/>
      </c>
      <c r="J14784" s="1" t="str">
        <f t="shared" si="3"/>
        <v/>
      </c>
      <c r="K14784" s="1" t="str">
        <f t="shared" si="4"/>
        <v/>
      </c>
    </row>
    <row r="14785">
      <c r="F14785" s="1" t="str">
        <f t="shared" si="1"/>
        <v/>
      </c>
      <c r="G14785" s="1" t="str">
        <f t="shared" si="2"/>
        <v/>
      </c>
      <c r="J14785" s="1" t="str">
        <f t="shared" si="3"/>
        <v/>
      </c>
      <c r="K14785" s="1" t="str">
        <f t="shared" si="4"/>
        <v/>
      </c>
    </row>
    <row r="14786">
      <c r="F14786" s="1" t="str">
        <f t="shared" si="1"/>
        <v/>
      </c>
      <c r="G14786" s="1" t="str">
        <f t="shared" si="2"/>
        <v/>
      </c>
      <c r="J14786" s="1" t="str">
        <f t="shared" si="3"/>
        <v/>
      </c>
      <c r="K14786" s="1" t="str">
        <f t="shared" si="4"/>
        <v/>
      </c>
    </row>
    <row r="14787">
      <c r="F14787" s="1" t="str">
        <f t="shared" si="1"/>
        <v/>
      </c>
      <c r="G14787" s="1" t="str">
        <f t="shared" si="2"/>
        <v/>
      </c>
      <c r="J14787" s="1" t="str">
        <f t="shared" si="3"/>
        <v/>
      </c>
      <c r="K14787" s="1" t="str">
        <f t="shared" si="4"/>
        <v/>
      </c>
    </row>
    <row r="14788">
      <c r="F14788" s="1" t="str">
        <f t="shared" si="1"/>
        <v/>
      </c>
      <c r="G14788" s="1" t="str">
        <f t="shared" si="2"/>
        <v/>
      </c>
      <c r="J14788" s="1" t="str">
        <f t="shared" si="3"/>
        <v/>
      </c>
      <c r="K14788" s="1" t="str">
        <f t="shared" si="4"/>
        <v/>
      </c>
    </row>
    <row r="14789">
      <c r="F14789" s="1" t="str">
        <f t="shared" si="1"/>
        <v/>
      </c>
      <c r="G14789" s="1" t="str">
        <f t="shared" si="2"/>
        <v/>
      </c>
      <c r="J14789" s="1" t="str">
        <f t="shared" si="3"/>
        <v/>
      </c>
      <c r="K14789" s="1" t="str">
        <f t="shared" si="4"/>
        <v/>
      </c>
    </row>
    <row r="14790">
      <c r="F14790" s="1" t="str">
        <f t="shared" si="1"/>
        <v/>
      </c>
      <c r="G14790" s="1" t="str">
        <f t="shared" si="2"/>
        <v/>
      </c>
      <c r="J14790" s="1" t="str">
        <f t="shared" si="3"/>
        <v/>
      </c>
      <c r="K14790" s="1" t="str">
        <f t="shared" si="4"/>
        <v/>
      </c>
    </row>
    <row r="14791">
      <c r="F14791" s="1" t="str">
        <f t="shared" si="1"/>
        <v/>
      </c>
      <c r="G14791" s="1" t="str">
        <f t="shared" si="2"/>
        <v/>
      </c>
      <c r="J14791" s="1" t="str">
        <f t="shared" si="3"/>
        <v/>
      </c>
      <c r="K14791" s="1" t="str">
        <f t="shared" si="4"/>
        <v/>
      </c>
    </row>
    <row r="14792">
      <c r="F14792" s="1" t="str">
        <f t="shared" si="1"/>
        <v/>
      </c>
      <c r="G14792" s="1" t="str">
        <f t="shared" si="2"/>
        <v/>
      </c>
      <c r="J14792" s="1" t="str">
        <f t="shared" si="3"/>
        <v/>
      </c>
      <c r="K14792" s="1" t="str">
        <f t="shared" si="4"/>
        <v/>
      </c>
    </row>
    <row r="14793">
      <c r="F14793" s="1" t="str">
        <f t="shared" si="1"/>
        <v/>
      </c>
      <c r="G14793" s="1" t="str">
        <f t="shared" si="2"/>
        <v/>
      </c>
      <c r="J14793" s="1" t="str">
        <f t="shared" si="3"/>
        <v/>
      </c>
      <c r="K14793" s="1" t="str">
        <f t="shared" si="4"/>
        <v/>
      </c>
    </row>
    <row r="14794">
      <c r="F14794" s="1" t="str">
        <f t="shared" si="1"/>
        <v/>
      </c>
      <c r="G14794" s="1" t="str">
        <f t="shared" si="2"/>
        <v/>
      </c>
      <c r="J14794" s="1" t="str">
        <f t="shared" si="3"/>
        <v/>
      </c>
      <c r="K14794" s="1" t="str">
        <f t="shared" si="4"/>
        <v/>
      </c>
    </row>
    <row r="14795">
      <c r="F14795" s="1" t="str">
        <f t="shared" si="1"/>
        <v/>
      </c>
      <c r="G14795" s="1" t="str">
        <f t="shared" si="2"/>
        <v/>
      </c>
      <c r="J14795" s="1" t="str">
        <f t="shared" si="3"/>
        <v/>
      </c>
      <c r="K14795" s="1" t="str">
        <f t="shared" si="4"/>
        <v/>
      </c>
    </row>
    <row r="14796">
      <c r="F14796" s="1" t="str">
        <f t="shared" si="1"/>
        <v/>
      </c>
      <c r="G14796" s="1" t="str">
        <f t="shared" si="2"/>
        <v/>
      </c>
      <c r="J14796" s="1" t="str">
        <f t="shared" si="3"/>
        <v/>
      </c>
      <c r="K14796" s="1" t="str">
        <f t="shared" si="4"/>
        <v/>
      </c>
    </row>
    <row r="14797">
      <c r="F14797" s="1" t="str">
        <f t="shared" si="1"/>
        <v/>
      </c>
      <c r="G14797" s="1" t="str">
        <f t="shared" si="2"/>
        <v/>
      </c>
      <c r="J14797" s="1" t="str">
        <f t="shared" si="3"/>
        <v/>
      </c>
      <c r="K14797" s="1" t="str">
        <f t="shared" si="4"/>
        <v/>
      </c>
    </row>
    <row r="14798">
      <c r="F14798" s="1" t="str">
        <f t="shared" si="1"/>
        <v/>
      </c>
      <c r="G14798" s="1" t="str">
        <f t="shared" si="2"/>
        <v/>
      </c>
      <c r="J14798" s="1" t="str">
        <f t="shared" si="3"/>
        <v/>
      </c>
      <c r="K14798" s="1" t="str">
        <f t="shared" si="4"/>
        <v/>
      </c>
    </row>
    <row r="14799">
      <c r="F14799" s="1" t="str">
        <f t="shared" si="1"/>
        <v/>
      </c>
      <c r="G14799" s="1" t="str">
        <f t="shared" si="2"/>
        <v/>
      </c>
      <c r="J14799" s="1" t="str">
        <f t="shared" si="3"/>
        <v/>
      </c>
      <c r="K14799" s="1" t="str">
        <f t="shared" si="4"/>
        <v/>
      </c>
    </row>
    <row r="14800">
      <c r="F14800" s="1" t="str">
        <f t="shared" si="1"/>
        <v/>
      </c>
      <c r="G14800" s="1" t="str">
        <f t="shared" si="2"/>
        <v/>
      </c>
      <c r="J14800" s="1" t="str">
        <f t="shared" si="3"/>
        <v/>
      </c>
      <c r="K14800" s="1" t="str">
        <f t="shared" si="4"/>
        <v/>
      </c>
    </row>
    <row r="14801">
      <c r="F14801" s="1" t="str">
        <f t="shared" si="1"/>
        <v/>
      </c>
      <c r="G14801" s="1" t="str">
        <f t="shared" si="2"/>
        <v/>
      </c>
      <c r="J14801" s="1" t="str">
        <f t="shared" si="3"/>
        <v/>
      </c>
      <c r="K14801" s="1" t="str">
        <f t="shared" si="4"/>
        <v/>
      </c>
    </row>
    <row r="14802">
      <c r="F14802" s="1" t="str">
        <f t="shared" si="1"/>
        <v/>
      </c>
      <c r="G14802" s="1" t="str">
        <f t="shared" si="2"/>
        <v/>
      </c>
      <c r="J14802" s="1" t="str">
        <f t="shared" si="3"/>
        <v/>
      </c>
      <c r="K14802" s="1" t="str">
        <f t="shared" si="4"/>
        <v/>
      </c>
    </row>
    <row r="14803">
      <c r="F14803" s="1" t="str">
        <f t="shared" si="1"/>
        <v/>
      </c>
      <c r="G14803" s="1" t="str">
        <f t="shared" si="2"/>
        <v/>
      </c>
      <c r="J14803" s="1" t="str">
        <f t="shared" si="3"/>
        <v/>
      </c>
      <c r="K14803" s="1" t="str">
        <f t="shared" si="4"/>
        <v/>
      </c>
    </row>
    <row r="14804">
      <c r="F14804" s="1" t="str">
        <f t="shared" si="1"/>
        <v/>
      </c>
      <c r="G14804" s="1" t="str">
        <f t="shared" si="2"/>
        <v/>
      </c>
      <c r="J14804" s="1" t="str">
        <f t="shared" si="3"/>
        <v/>
      </c>
      <c r="K14804" s="1" t="str">
        <f t="shared" si="4"/>
        <v/>
      </c>
    </row>
    <row r="14805">
      <c r="F14805" s="1" t="str">
        <f t="shared" si="1"/>
        <v/>
      </c>
      <c r="G14805" s="1" t="str">
        <f t="shared" si="2"/>
        <v/>
      </c>
      <c r="J14805" s="1" t="str">
        <f t="shared" si="3"/>
        <v/>
      </c>
      <c r="K14805" s="1" t="str">
        <f t="shared" si="4"/>
        <v/>
      </c>
    </row>
    <row r="14806">
      <c r="F14806" s="1" t="str">
        <f t="shared" si="1"/>
        <v/>
      </c>
      <c r="G14806" s="1" t="str">
        <f t="shared" si="2"/>
        <v/>
      </c>
      <c r="J14806" s="1" t="str">
        <f t="shared" si="3"/>
        <v/>
      </c>
      <c r="K14806" s="1" t="str">
        <f t="shared" si="4"/>
        <v/>
      </c>
    </row>
    <row r="14807">
      <c r="F14807" s="1" t="str">
        <f t="shared" si="1"/>
        <v/>
      </c>
      <c r="G14807" s="1" t="str">
        <f t="shared" si="2"/>
        <v/>
      </c>
      <c r="J14807" s="1" t="str">
        <f t="shared" si="3"/>
        <v/>
      </c>
      <c r="K14807" s="1" t="str">
        <f t="shared" si="4"/>
        <v/>
      </c>
    </row>
    <row r="14808">
      <c r="F14808" s="1" t="str">
        <f t="shared" si="1"/>
        <v/>
      </c>
      <c r="G14808" s="1" t="str">
        <f t="shared" si="2"/>
        <v/>
      </c>
      <c r="J14808" s="1" t="str">
        <f t="shared" si="3"/>
        <v/>
      </c>
      <c r="K14808" s="1" t="str">
        <f t="shared" si="4"/>
        <v/>
      </c>
    </row>
    <row r="14809">
      <c r="F14809" s="1" t="str">
        <f t="shared" si="1"/>
        <v/>
      </c>
      <c r="G14809" s="1" t="str">
        <f t="shared" si="2"/>
        <v/>
      </c>
      <c r="J14809" s="1" t="str">
        <f t="shared" si="3"/>
        <v/>
      </c>
      <c r="K14809" s="1" t="str">
        <f t="shared" si="4"/>
        <v/>
      </c>
    </row>
    <row r="14810">
      <c r="F14810" s="1" t="str">
        <f t="shared" si="1"/>
        <v/>
      </c>
      <c r="G14810" s="1" t="str">
        <f t="shared" si="2"/>
        <v/>
      </c>
      <c r="J14810" s="1" t="str">
        <f t="shared" si="3"/>
        <v/>
      </c>
      <c r="K14810" s="1" t="str">
        <f t="shared" si="4"/>
        <v/>
      </c>
    </row>
    <row r="14811">
      <c r="F14811" s="1" t="str">
        <f t="shared" si="1"/>
        <v/>
      </c>
      <c r="G14811" s="1" t="str">
        <f t="shared" si="2"/>
        <v/>
      </c>
      <c r="J14811" s="1" t="str">
        <f t="shared" si="3"/>
        <v/>
      </c>
      <c r="K14811" s="1" t="str">
        <f t="shared" si="4"/>
        <v/>
      </c>
    </row>
    <row r="14812">
      <c r="F14812" s="1" t="str">
        <f t="shared" si="1"/>
        <v/>
      </c>
      <c r="G14812" s="1" t="str">
        <f t="shared" si="2"/>
        <v/>
      </c>
      <c r="J14812" s="1" t="str">
        <f t="shared" si="3"/>
        <v/>
      </c>
      <c r="K14812" s="1" t="str">
        <f t="shared" si="4"/>
        <v/>
      </c>
    </row>
    <row r="14813">
      <c r="F14813" s="1" t="str">
        <f t="shared" si="1"/>
        <v/>
      </c>
      <c r="G14813" s="1" t="str">
        <f t="shared" si="2"/>
        <v/>
      </c>
      <c r="J14813" s="1" t="str">
        <f t="shared" si="3"/>
        <v/>
      </c>
      <c r="K14813" s="1" t="str">
        <f t="shared" si="4"/>
        <v/>
      </c>
    </row>
    <row r="14814">
      <c r="F14814" s="1" t="str">
        <f t="shared" si="1"/>
        <v/>
      </c>
      <c r="G14814" s="1" t="str">
        <f t="shared" si="2"/>
        <v/>
      </c>
      <c r="J14814" s="1" t="str">
        <f t="shared" si="3"/>
        <v/>
      </c>
      <c r="K14814" s="1" t="str">
        <f t="shared" si="4"/>
        <v/>
      </c>
    </row>
    <row r="14815">
      <c r="F14815" s="1" t="str">
        <f t="shared" si="1"/>
        <v/>
      </c>
      <c r="G14815" s="1" t="str">
        <f t="shared" si="2"/>
        <v/>
      </c>
      <c r="J14815" s="1" t="str">
        <f t="shared" si="3"/>
        <v/>
      </c>
      <c r="K14815" s="1" t="str">
        <f t="shared" si="4"/>
        <v/>
      </c>
    </row>
    <row r="14816">
      <c r="F14816" s="1" t="str">
        <f t="shared" si="1"/>
        <v/>
      </c>
      <c r="G14816" s="1" t="str">
        <f t="shared" si="2"/>
        <v/>
      </c>
      <c r="J14816" s="1" t="str">
        <f t="shared" si="3"/>
        <v/>
      </c>
      <c r="K14816" s="1" t="str">
        <f t="shared" si="4"/>
        <v/>
      </c>
    </row>
    <row r="14817">
      <c r="F14817" s="1" t="str">
        <f t="shared" si="1"/>
        <v/>
      </c>
      <c r="G14817" s="1" t="str">
        <f t="shared" si="2"/>
        <v/>
      </c>
      <c r="J14817" s="1" t="str">
        <f t="shared" si="3"/>
        <v/>
      </c>
      <c r="K14817" s="1" t="str">
        <f t="shared" si="4"/>
        <v/>
      </c>
    </row>
    <row r="14818">
      <c r="F14818" s="1" t="str">
        <f t="shared" si="1"/>
        <v/>
      </c>
      <c r="G14818" s="1" t="str">
        <f t="shared" si="2"/>
        <v/>
      </c>
      <c r="J14818" s="1" t="str">
        <f t="shared" si="3"/>
        <v/>
      </c>
      <c r="K14818" s="1" t="str">
        <f t="shared" si="4"/>
        <v/>
      </c>
    </row>
    <row r="14819">
      <c r="F14819" s="1" t="str">
        <f t="shared" si="1"/>
        <v/>
      </c>
      <c r="G14819" s="1" t="str">
        <f t="shared" si="2"/>
        <v/>
      </c>
      <c r="J14819" s="1" t="str">
        <f t="shared" si="3"/>
        <v/>
      </c>
      <c r="K14819" s="1" t="str">
        <f t="shared" si="4"/>
        <v/>
      </c>
    </row>
    <row r="14820">
      <c r="F14820" s="1" t="str">
        <f t="shared" si="1"/>
        <v/>
      </c>
      <c r="G14820" s="1" t="str">
        <f t="shared" si="2"/>
        <v/>
      </c>
      <c r="J14820" s="1" t="str">
        <f t="shared" si="3"/>
        <v/>
      </c>
      <c r="K14820" s="1" t="str">
        <f t="shared" si="4"/>
        <v/>
      </c>
    </row>
    <row r="14821">
      <c r="F14821" s="1" t="str">
        <f t="shared" si="1"/>
        <v/>
      </c>
      <c r="G14821" s="1" t="str">
        <f t="shared" si="2"/>
        <v/>
      </c>
      <c r="J14821" s="1" t="str">
        <f t="shared" si="3"/>
        <v/>
      </c>
      <c r="K14821" s="1" t="str">
        <f t="shared" si="4"/>
        <v/>
      </c>
    </row>
    <row r="14822">
      <c r="F14822" s="1" t="str">
        <f t="shared" si="1"/>
        <v/>
      </c>
      <c r="G14822" s="1" t="str">
        <f t="shared" si="2"/>
        <v/>
      </c>
      <c r="J14822" s="1" t="str">
        <f t="shared" si="3"/>
        <v/>
      </c>
      <c r="K14822" s="1" t="str">
        <f t="shared" si="4"/>
        <v/>
      </c>
    </row>
    <row r="14823">
      <c r="F14823" s="1" t="str">
        <f t="shared" si="1"/>
        <v/>
      </c>
      <c r="G14823" s="1" t="str">
        <f t="shared" si="2"/>
        <v/>
      </c>
      <c r="J14823" s="1" t="str">
        <f t="shared" si="3"/>
        <v/>
      </c>
      <c r="K14823" s="1" t="str">
        <f t="shared" si="4"/>
        <v/>
      </c>
    </row>
    <row r="14824">
      <c r="F14824" s="1" t="str">
        <f t="shared" si="1"/>
        <v/>
      </c>
      <c r="G14824" s="1" t="str">
        <f t="shared" si="2"/>
        <v/>
      </c>
      <c r="J14824" s="1" t="str">
        <f t="shared" si="3"/>
        <v/>
      </c>
      <c r="K14824" s="1" t="str">
        <f t="shared" si="4"/>
        <v/>
      </c>
    </row>
    <row r="14825">
      <c r="F14825" s="1" t="str">
        <f t="shared" si="1"/>
        <v/>
      </c>
      <c r="G14825" s="1" t="str">
        <f t="shared" si="2"/>
        <v/>
      </c>
      <c r="J14825" s="1" t="str">
        <f t="shared" si="3"/>
        <v/>
      </c>
      <c r="K14825" s="1" t="str">
        <f t="shared" si="4"/>
        <v/>
      </c>
    </row>
    <row r="14826">
      <c r="F14826" s="1" t="str">
        <f t="shared" si="1"/>
        <v/>
      </c>
      <c r="G14826" s="1" t="str">
        <f t="shared" si="2"/>
        <v/>
      </c>
      <c r="J14826" s="1" t="str">
        <f t="shared" si="3"/>
        <v/>
      </c>
      <c r="K14826" s="1" t="str">
        <f t="shared" si="4"/>
        <v/>
      </c>
    </row>
    <row r="14827">
      <c r="F14827" s="1" t="str">
        <f t="shared" si="1"/>
        <v/>
      </c>
      <c r="G14827" s="1" t="str">
        <f t="shared" si="2"/>
        <v/>
      </c>
      <c r="J14827" s="1" t="str">
        <f t="shared" si="3"/>
        <v/>
      </c>
      <c r="K14827" s="1" t="str">
        <f t="shared" si="4"/>
        <v/>
      </c>
    </row>
    <row r="14828">
      <c r="F14828" s="1" t="str">
        <f t="shared" si="1"/>
        <v/>
      </c>
      <c r="G14828" s="1" t="str">
        <f t="shared" si="2"/>
        <v/>
      </c>
      <c r="J14828" s="1" t="str">
        <f t="shared" si="3"/>
        <v/>
      </c>
      <c r="K14828" s="1" t="str">
        <f t="shared" si="4"/>
        <v/>
      </c>
    </row>
    <row r="14829">
      <c r="F14829" s="1" t="str">
        <f t="shared" si="1"/>
        <v/>
      </c>
      <c r="G14829" s="1" t="str">
        <f t="shared" si="2"/>
        <v/>
      </c>
      <c r="J14829" s="1" t="str">
        <f t="shared" si="3"/>
        <v/>
      </c>
      <c r="K14829" s="1" t="str">
        <f t="shared" si="4"/>
        <v/>
      </c>
    </row>
    <row r="14830">
      <c r="F14830" s="1" t="str">
        <f t="shared" si="1"/>
        <v/>
      </c>
      <c r="G14830" s="1" t="str">
        <f t="shared" si="2"/>
        <v/>
      </c>
      <c r="J14830" s="1" t="str">
        <f t="shared" si="3"/>
        <v/>
      </c>
      <c r="K14830" s="1" t="str">
        <f t="shared" si="4"/>
        <v/>
      </c>
    </row>
    <row r="14831">
      <c r="F14831" s="1" t="str">
        <f t="shared" si="1"/>
        <v/>
      </c>
      <c r="G14831" s="1" t="str">
        <f t="shared" si="2"/>
        <v/>
      </c>
      <c r="J14831" s="1" t="str">
        <f t="shared" si="3"/>
        <v/>
      </c>
      <c r="K14831" s="1" t="str">
        <f t="shared" si="4"/>
        <v/>
      </c>
    </row>
    <row r="14832">
      <c r="F14832" s="1" t="str">
        <f t="shared" si="1"/>
        <v/>
      </c>
      <c r="G14832" s="1" t="str">
        <f t="shared" si="2"/>
        <v/>
      </c>
      <c r="J14832" s="1" t="str">
        <f t="shared" si="3"/>
        <v/>
      </c>
      <c r="K14832" s="1" t="str">
        <f t="shared" si="4"/>
        <v/>
      </c>
    </row>
    <row r="14833">
      <c r="F14833" s="1" t="str">
        <f t="shared" si="1"/>
        <v/>
      </c>
      <c r="G14833" s="1" t="str">
        <f t="shared" si="2"/>
        <v/>
      </c>
      <c r="J14833" s="1" t="str">
        <f t="shared" si="3"/>
        <v/>
      </c>
      <c r="K14833" s="1" t="str">
        <f t="shared" si="4"/>
        <v/>
      </c>
    </row>
    <row r="14834">
      <c r="F14834" s="1" t="str">
        <f t="shared" si="1"/>
        <v/>
      </c>
      <c r="G14834" s="1" t="str">
        <f t="shared" si="2"/>
        <v/>
      </c>
      <c r="J14834" s="1" t="str">
        <f t="shared" si="3"/>
        <v/>
      </c>
      <c r="K14834" s="1" t="str">
        <f t="shared" si="4"/>
        <v/>
      </c>
    </row>
    <row r="14835">
      <c r="F14835" s="1" t="str">
        <f t="shared" si="1"/>
        <v/>
      </c>
      <c r="G14835" s="1" t="str">
        <f t="shared" si="2"/>
        <v/>
      </c>
      <c r="J14835" s="1" t="str">
        <f t="shared" si="3"/>
        <v/>
      </c>
      <c r="K14835" s="1" t="str">
        <f t="shared" si="4"/>
        <v/>
      </c>
    </row>
    <row r="14836">
      <c r="F14836" s="1" t="str">
        <f t="shared" si="1"/>
        <v/>
      </c>
      <c r="G14836" s="1" t="str">
        <f t="shared" si="2"/>
        <v/>
      </c>
      <c r="J14836" s="1" t="str">
        <f t="shared" si="3"/>
        <v/>
      </c>
      <c r="K14836" s="1" t="str">
        <f t="shared" si="4"/>
        <v/>
      </c>
    </row>
    <row r="14837">
      <c r="F14837" s="1" t="str">
        <f t="shared" si="1"/>
        <v/>
      </c>
      <c r="G14837" s="1" t="str">
        <f t="shared" si="2"/>
        <v/>
      </c>
      <c r="J14837" s="1" t="str">
        <f t="shared" si="3"/>
        <v/>
      </c>
      <c r="K14837" s="1" t="str">
        <f t="shared" si="4"/>
        <v/>
      </c>
    </row>
    <row r="14838">
      <c r="F14838" s="1" t="str">
        <f t="shared" si="1"/>
        <v/>
      </c>
      <c r="G14838" s="1" t="str">
        <f t="shared" si="2"/>
        <v/>
      </c>
      <c r="J14838" s="1" t="str">
        <f t="shared" si="3"/>
        <v/>
      </c>
      <c r="K14838" s="1" t="str">
        <f t="shared" si="4"/>
        <v/>
      </c>
    </row>
    <row r="14839">
      <c r="F14839" s="1" t="str">
        <f t="shared" si="1"/>
        <v/>
      </c>
      <c r="G14839" s="1" t="str">
        <f t="shared" si="2"/>
        <v/>
      </c>
      <c r="J14839" s="1" t="str">
        <f t="shared" si="3"/>
        <v/>
      </c>
      <c r="K14839" s="1" t="str">
        <f t="shared" si="4"/>
        <v/>
      </c>
    </row>
    <row r="14840">
      <c r="F14840" s="1" t="str">
        <f t="shared" si="1"/>
        <v/>
      </c>
      <c r="G14840" s="1" t="str">
        <f t="shared" si="2"/>
        <v/>
      </c>
      <c r="J14840" s="1" t="str">
        <f t="shared" si="3"/>
        <v/>
      </c>
      <c r="K14840" s="1" t="str">
        <f t="shared" si="4"/>
        <v/>
      </c>
    </row>
    <row r="14841">
      <c r="F14841" s="1" t="str">
        <f t="shared" si="1"/>
        <v/>
      </c>
      <c r="G14841" s="1" t="str">
        <f t="shared" si="2"/>
        <v/>
      </c>
      <c r="J14841" s="1" t="str">
        <f t="shared" si="3"/>
        <v/>
      </c>
      <c r="K14841" s="1" t="str">
        <f t="shared" si="4"/>
        <v/>
      </c>
    </row>
    <row r="14842">
      <c r="F14842" s="1" t="str">
        <f t="shared" si="1"/>
        <v/>
      </c>
      <c r="G14842" s="1" t="str">
        <f t="shared" si="2"/>
        <v/>
      </c>
      <c r="J14842" s="1" t="str">
        <f t="shared" si="3"/>
        <v/>
      </c>
      <c r="K14842" s="1" t="str">
        <f t="shared" si="4"/>
        <v/>
      </c>
    </row>
    <row r="14843">
      <c r="F14843" s="1" t="str">
        <f t="shared" si="1"/>
        <v/>
      </c>
      <c r="G14843" s="1" t="str">
        <f t="shared" si="2"/>
        <v/>
      </c>
      <c r="J14843" s="1" t="str">
        <f t="shared" si="3"/>
        <v/>
      </c>
      <c r="K14843" s="1" t="str">
        <f t="shared" si="4"/>
        <v/>
      </c>
    </row>
    <row r="14844">
      <c r="F14844" s="1" t="str">
        <f t="shared" si="1"/>
        <v/>
      </c>
      <c r="G14844" s="1" t="str">
        <f t="shared" si="2"/>
        <v/>
      </c>
      <c r="J14844" s="1" t="str">
        <f t="shared" si="3"/>
        <v/>
      </c>
      <c r="K14844" s="1" t="str">
        <f t="shared" si="4"/>
        <v/>
      </c>
    </row>
    <row r="14845">
      <c r="F14845" s="1" t="str">
        <f t="shared" si="1"/>
        <v/>
      </c>
      <c r="G14845" s="1" t="str">
        <f t="shared" si="2"/>
        <v/>
      </c>
      <c r="J14845" s="1" t="str">
        <f t="shared" si="3"/>
        <v/>
      </c>
      <c r="K14845" s="1" t="str">
        <f t="shared" si="4"/>
        <v/>
      </c>
    </row>
    <row r="14846">
      <c r="F14846" s="1" t="str">
        <f t="shared" si="1"/>
        <v/>
      </c>
      <c r="G14846" s="1" t="str">
        <f t="shared" si="2"/>
        <v/>
      </c>
      <c r="J14846" s="1" t="str">
        <f t="shared" si="3"/>
        <v/>
      </c>
      <c r="K14846" s="1" t="str">
        <f t="shared" si="4"/>
        <v/>
      </c>
    </row>
    <row r="14847">
      <c r="F14847" s="1" t="str">
        <f t="shared" si="1"/>
        <v/>
      </c>
      <c r="G14847" s="1" t="str">
        <f t="shared" si="2"/>
        <v/>
      </c>
      <c r="J14847" s="1" t="str">
        <f t="shared" si="3"/>
        <v/>
      </c>
      <c r="K14847" s="1" t="str">
        <f t="shared" si="4"/>
        <v/>
      </c>
    </row>
    <row r="14848">
      <c r="F14848" s="1" t="str">
        <f t="shared" si="1"/>
        <v/>
      </c>
      <c r="G14848" s="1" t="str">
        <f t="shared" si="2"/>
        <v/>
      </c>
      <c r="J14848" s="1" t="str">
        <f t="shared" si="3"/>
        <v/>
      </c>
      <c r="K14848" s="1" t="str">
        <f t="shared" si="4"/>
        <v/>
      </c>
    </row>
    <row r="14849">
      <c r="F14849" s="1" t="str">
        <f t="shared" si="1"/>
        <v/>
      </c>
      <c r="G14849" s="1" t="str">
        <f t="shared" si="2"/>
        <v/>
      </c>
      <c r="J14849" s="1" t="str">
        <f t="shared" si="3"/>
        <v/>
      </c>
      <c r="K14849" s="1" t="str">
        <f t="shared" si="4"/>
        <v/>
      </c>
    </row>
    <row r="14850">
      <c r="F14850" s="1" t="str">
        <f t="shared" si="1"/>
        <v/>
      </c>
      <c r="G14850" s="1" t="str">
        <f t="shared" si="2"/>
        <v/>
      </c>
      <c r="J14850" s="1" t="str">
        <f t="shared" si="3"/>
        <v/>
      </c>
      <c r="K14850" s="1" t="str">
        <f t="shared" si="4"/>
        <v/>
      </c>
    </row>
    <row r="14851">
      <c r="F14851" s="1" t="str">
        <f t="shared" si="1"/>
        <v/>
      </c>
      <c r="G14851" s="1" t="str">
        <f t="shared" si="2"/>
        <v/>
      </c>
      <c r="J14851" s="1" t="str">
        <f t="shared" si="3"/>
        <v/>
      </c>
      <c r="K14851" s="1" t="str">
        <f t="shared" si="4"/>
        <v/>
      </c>
    </row>
    <row r="14852">
      <c r="F14852" s="1" t="str">
        <f t="shared" si="1"/>
        <v/>
      </c>
      <c r="G14852" s="1" t="str">
        <f t="shared" si="2"/>
        <v/>
      </c>
      <c r="J14852" s="1" t="str">
        <f t="shared" si="3"/>
        <v/>
      </c>
      <c r="K14852" s="1" t="str">
        <f t="shared" si="4"/>
        <v/>
      </c>
    </row>
    <row r="14853">
      <c r="F14853" s="1" t="str">
        <f t="shared" si="1"/>
        <v/>
      </c>
      <c r="G14853" s="1" t="str">
        <f t="shared" si="2"/>
        <v/>
      </c>
      <c r="J14853" s="1" t="str">
        <f t="shared" si="3"/>
        <v/>
      </c>
      <c r="K14853" s="1" t="str">
        <f t="shared" si="4"/>
        <v/>
      </c>
    </row>
    <row r="14854">
      <c r="F14854" s="1" t="str">
        <f t="shared" si="1"/>
        <v/>
      </c>
      <c r="G14854" s="1" t="str">
        <f t="shared" si="2"/>
        <v/>
      </c>
      <c r="J14854" s="1" t="str">
        <f t="shared" si="3"/>
        <v/>
      </c>
      <c r="K14854" s="1" t="str">
        <f t="shared" si="4"/>
        <v/>
      </c>
    </row>
    <row r="14855">
      <c r="F14855" s="1" t="str">
        <f t="shared" si="1"/>
        <v/>
      </c>
      <c r="G14855" s="1" t="str">
        <f t="shared" si="2"/>
        <v/>
      </c>
      <c r="J14855" s="1" t="str">
        <f t="shared" si="3"/>
        <v/>
      </c>
      <c r="K14855" s="1" t="str">
        <f t="shared" si="4"/>
        <v/>
      </c>
    </row>
    <row r="14856">
      <c r="F14856" s="1" t="str">
        <f t="shared" si="1"/>
        <v/>
      </c>
      <c r="G14856" s="1" t="str">
        <f t="shared" si="2"/>
        <v/>
      </c>
      <c r="J14856" s="1" t="str">
        <f t="shared" si="3"/>
        <v/>
      </c>
      <c r="K14856" s="1" t="str">
        <f t="shared" si="4"/>
        <v/>
      </c>
    </row>
    <row r="14857">
      <c r="F14857" s="1" t="str">
        <f t="shared" si="1"/>
        <v/>
      </c>
      <c r="G14857" s="1" t="str">
        <f t="shared" si="2"/>
        <v/>
      </c>
      <c r="J14857" s="1" t="str">
        <f t="shared" si="3"/>
        <v/>
      </c>
      <c r="K14857" s="1" t="str">
        <f t="shared" si="4"/>
        <v/>
      </c>
    </row>
    <row r="14858">
      <c r="F14858" s="1" t="str">
        <f t="shared" si="1"/>
        <v/>
      </c>
      <c r="G14858" s="1" t="str">
        <f t="shared" si="2"/>
        <v/>
      </c>
      <c r="J14858" s="1" t="str">
        <f t="shared" si="3"/>
        <v/>
      </c>
      <c r="K14858" s="1" t="str">
        <f t="shared" si="4"/>
        <v/>
      </c>
    </row>
    <row r="14859">
      <c r="F14859" s="1" t="str">
        <f t="shared" si="1"/>
        <v/>
      </c>
      <c r="G14859" s="1" t="str">
        <f t="shared" si="2"/>
        <v/>
      </c>
      <c r="J14859" s="1" t="str">
        <f t="shared" si="3"/>
        <v/>
      </c>
      <c r="K14859" s="1" t="str">
        <f t="shared" si="4"/>
        <v/>
      </c>
    </row>
    <row r="14860">
      <c r="F14860" s="1" t="str">
        <f t="shared" si="1"/>
        <v/>
      </c>
      <c r="G14860" s="1" t="str">
        <f t="shared" si="2"/>
        <v/>
      </c>
      <c r="J14860" s="1" t="str">
        <f t="shared" si="3"/>
        <v/>
      </c>
      <c r="K14860" s="1" t="str">
        <f t="shared" si="4"/>
        <v/>
      </c>
    </row>
    <row r="14861">
      <c r="F14861" s="1" t="str">
        <f t="shared" si="1"/>
        <v/>
      </c>
      <c r="G14861" s="1" t="str">
        <f t="shared" si="2"/>
        <v/>
      </c>
      <c r="J14861" s="1" t="str">
        <f t="shared" si="3"/>
        <v/>
      </c>
      <c r="K14861" s="1" t="str">
        <f t="shared" si="4"/>
        <v/>
      </c>
    </row>
    <row r="14862">
      <c r="F14862" s="1" t="str">
        <f t="shared" si="1"/>
        <v/>
      </c>
      <c r="G14862" s="1" t="str">
        <f t="shared" si="2"/>
        <v/>
      </c>
      <c r="J14862" s="1" t="str">
        <f t="shared" si="3"/>
        <v/>
      </c>
      <c r="K14862" s="1" t="str">
        <f t="shared" si="4"/>
        <v/>
      </c>
    </row>
    <row r="14863">
      <c r="F14863" s="1" t="str">
        <f t="shared" si="1"/>
        <v/>
      </c>
      <c r="G14863" s="1" t="str">
        <f t="shared" si="2"/>
        <v/>
      </c>
      <c r="J14863" s="1" t="str">
        <f t="shared" si="3"/>
        <v/>
      </c>
      <c r="K14863" s="1" t="str">
        <f t="shared" si="4"/>
        <v/>
      </c>
    </row>
    <row r="14864">
      <c r="F14864" s="1" t="str">
        <f t="shared" si="1"/>
        <v/>
      </c>
      <c r="G14864" s="1" t="str">
        <f t="shared" si="2"/>
        <v/>
      </c>
      <c r="J14864" s="1" t="str">
        <f t="shared" si="3"/>
        <v/>
      </c>
      <c r="K14864" s="1" t="str">
        <f t="shared" si="4"/>
        <v/>
      </c>
    </row>
    <row r="14865">
      <c r="F14865" s="1" t="str">
        <f t="shared" si="1"/>
        <v/>
      </c>
      <c r="G14865" s="1" t="str">
        <f t="shared" si="2"/>
        <v/>
      </c>
      <c r="J14865" s="1" t="str">
        <f t="shared" si="3"/>
        <v/>
      </c>
      <c r="K14865" s="1" t="str">
        <f t="shared" si="4"/>
        <v/>
      </c>
    </row>
    <row r="14866">
      <c r="F14866" s="1" t="str">
        <f t="shared" si="1"/>
        <v/>
      </c>
      <c r="G14866" s="1" t="str">
        <f t="shared" si="2"/>
        <v/>
      </c>
      <c r="J14866" s="1" t="str">
        <f t="shared" si="3"/>
        <v/>
      </c>
      <c r="K14866" s="1" t="str">
        <f t="shared" si="4"/>
        <v/>
      </c>
    </row>
    <row r="14867">
      <c r="F14867" s="1" t="str">
        <f t="shared" si="1"/>
        <v/>
      </c>
      <c r="G14867" s="1" t="str">
        <f t="shared" si="2"/>
        <v/>
      </c>
      <c r="J14867" s="1" t="str">
        <f t="shared" si="3"/>
        <v/>
      </c>
      <c r="K14867" s="1" t="str">
        <f t="shared" si="4"/>
        <v/>
      </c>
    </row>
    <row r="14868">
      <c r="F14868" s="1" t="str">
        <f t="shared" si="1"/>
        <v/>
      </c>
      <c r="G14868" s="1" t="str">
        <f t="shared" si="2"/>
        <v/>
      </c>
      <c r="J14868" s="1" t="str">
        <f t="shared" si="3"/>
        <v/>
      </c>
      <c r="K14868" s="1" t="str">
        <f t="shared" si="4"/>
        <v/>
      </c>
    </row>
    <row r="14869">
      <c r="F14869" s="1" t="str">
        <f t="shared" si="1"/>
        <v/>
      </c>
      <c r="G14869" s="1" t="str">
        <f t="shared" si="2"/>
        <v/>
      </c>
      <c r="J14869" s="1" t="str">
        <f t="shared" si="3"/>
        <v/>
      </c>
      <c r="K14869" s="1" t="str">
        <f t="shared" si="4"/>
        <v/>
      </c>
    </row>
    <row r="14870">
      <c r="F14870" s="1" t="str">
        <f t="shared" si="1"/>
        <v/>
      </c>
      <c r="G14870" s="1" t="str">
        <f t="shared" si="2"/>
        <v/>
      </c>
      <c r="J14870" s="1" t="str">
        <f t="shared" si="3"/>
        <v/>
      </c>
      <c r="K14870" s="1" t="str">
        <f t="shared" si="4"/>
        <v/>
      </c>
    </row>
    <row r="14871">
      <c r="F14871" s="1" t="str">
        <f t="shared" si="1"/>
        <v/>
      </c>
      <c r="G14871" s="1" t="str">
        <f t="shared" si="2"/>
        <v/>
      </c>
      <c r="J14871" s="1" t="str">
        <f t="shared" si="3"/>
        <v/>
      </c>
      <c r="K14871" s="1" t="str">
        <f t="shared" si="4"/>
        <v/>
      </c>
    </row>
    <row r="14872">
      <c r="F14872" s="1" t="str">
        <f t="shared" si="1"/>
        <v/>
      </c>
      <c r="G14872" s="1" t="str">
        <f t="shared" si="2"/>
        <v/>
      </c>
      <c r="J14872" s="1" t="str">
        <f t="shared" si="3"/>
        <v/>
      </c>
      <c r="K14872" s="1" t="str">
        <f t="shared" si="4"/>
        <v/>
      </c>
    </row>
    <row r="14873">
      <c r="F14873" s="1" t="str">
        <f t="shared" si="1"/>
        <v/>
      </c>
      <c r="G14873" s="1" t="str">
        <f t="shared" si="2"/>
        <v/>
      </c>
      <c r="J14873" s="1" t="str">
        <f t="shared" si="3"/>
        <v/>
      </c>
      <c r="K14873" s="1" t="str">
        <f t="shared" si="4"/>
        <v/>
      </c>
    </row>
    <row r="14874">
      <c r="F14874" s="1" t="str">
        <f t="shared" si="1"/>
        <v/>
      </c>
      <c r="G14874" s="1" t="str">
        <f t="shared" si="2"/>
        <v/>
      </c>
      <c r="J14874" s="1" t="str">
        <f t="shared" si="3"/>
        <v/>
      </c>
      <c r="K14874" s="1" t="str">
        <f t="shared" si="4"/>
        <v/>
      </c>
    </row>
    <row r="14875">
      <c r="F14875" s="1" t="str">
        <f t="shared" si="1"/>
        <v/>
      </c>
      <c r="G14875" s="1" t="str">
        <f t="shared" si="2"/>
        <v/>
      </c>
      <c r="J14875" s="1" t="str">
        <f t="shared" si="3"/>
        <v/>
      </c>
      <c r="K14875" s="1" t="str">
        <f t="shared" si="4"/>
        <v/>
      </c>
    </row>
    <row r="14876">
      <c r="F14876" s="1" t="str">
        <f t="shared" si="1"/>
        <v/>
      </c>
      <c r="G14876" s="1" t="str">
        <f t="shared" si="2"/>
        <v/>
      </c>
      <c r="J14876" s="1" t="str">
        <f t="shared" si="3"/>
        <v/>
      </c>
      <c r="K14876" s="1" t="str">
        <f t="shared" si="4"/>
        <v/>
      </c>
    </row>
    <row r="14877">
      <c r="F14877" s="1" t="str">
        <f t="shared" si="1"/>
        <v/>
      </c>
      <c r="G14877" s="1" t="str">
        <f t="shared" si="2"/>
        <v/>
      </c>
      <c r="J14877" s="1" t="str">
        <f t="shared" si="3"/>
        <v/>
      </c>
      <c r="K14877" s="1" t="str">
        <f t="shared" si="4"/>
        <v/>
      </c>
    </row>
    <row r="14878">
      <c r="F14878" s="1" t="str">
        <f t="shared" si="1"/>
        <v/>
      </c>
      <c r="G14878" s="1" t="str">
        <f t="shared" si="2"/>
        <v/>
      </c>
      <c r="J14878" s="1" t="str">
        <f t="shared" si="3"/>
        <v/>
      </c>
      <c r="K14878" s="1" t="str">
        <f t="shared" si="4"/>
        <v/>
      </c>
    </row>
    <row r="14879">
      <c r="F14879" s="1" t="str">
        <f t="shared" si="1"/>
        <v/>
      </c>
      <c r="G14879" s="1" t="str">
        <f t="shared" si="2"/>
        <v/>
      </c>
      <c r="J14879" s="1" t="str">
        <f t="shared" si="3"/>
        <v/>
      </c>
      <c r="K14879" s="1" t="str">
        <f t="shared" si="4"/>
        <v/>
      </c>
    </row>
    <row r="14880">
      <c r="F14880" s="1" t="str">
        <f t="shared" si="1"/>
        <v/>
      </c>
      <c r="G14880" s="1" t="str">
        <f t="shared" si="2"/>
        <v/>
      </c>
      <c r="J14880" s="1" t="str">
        <f t="shared" si="3"/>
        <v/>
      </c>
      <c r="K14880" s="1" t="str">
        <f t="shared" si="4"/>
        <v/>
      </c>
    </row>
    <row r="14881">
      <c r="F14881" s="1" t="str">
        <f t="shared" si="1"/>
        <v/>
      </c>
      <c r="G14881" s="1" t="str">
        <f t="shared" si="2"/>
        <v/>
      </c>
      <c r="J14881" s="1" t="str">
        <f t="shared" si="3"/>
        <v/>
      </c>
      <c r="K14881" s="1" t="str">
        <f t="shared" si="4"/>
        <v/>
      </c>
    </row>
    <row r="14882">
      <c r="F14882" s="1" t="str">
        <f t="shared" si="1"/>
        <v/>
      </c>
      <c r="G14882" s="1" t="str">
        <f t="shared" si="2"/>
        <v/>
      </c>
      <c r="J14882" s="1" t="str">
        <f t="shared" si="3"/>
        <v/>
      </c>
      <c r="K14882" s="1" t="str">
        <f t="shared" si="4"/>
        <v/>
      </c>
    </row>
    <row r="14883">
      <c r="F14883" s="1" t="str">
        <f t="shared" si="1"/>
        <v/>
      </c>
      <c r="G14883" s="1" t="str">
        <f t="shared" si="2"/>
        <v/>
      </c>
      <c r="J14883" s="1" t="str">
        <f t="shared" si="3"/>
        <v/>
      </c>
      <c r="K14883" s="1" t="str">
        <f t="shared" si="4"/>
        <v/>
      </c>
    </row>
    <row r="14884">
      <c r="F14884" s="1" t="str">
        <f t="shared" si="1"/>
        <v/>
      </c>
      <c r="G14884" s="1" t="str">
        <f t="shared" si="2"/>
        <v/>
      </c>
      <c r="J14884" s="1" t="str">
        <f t="shared" si="3"/>
        <v/>
      </c>
      <c r="K14884" s="1" t="str">
        <f t="shared" si="4"/>
        <v/>
      </c>
    </row>
    <row r="14885">
      <c r="F14885" s="1" t="str">
        <f t="shared" si="1"/>
        <v/>
      </c>
      <c r="G14885" s="1" t="str">
        <f t="shared" si="2"/>
        <v/>
      </c>
      <c r="J14885" s="1" t="str">
        <f t="shared" si="3"/>
        <v/>
      </c>
      <c r="K14885" s="1" t="str">
        <f t="shared" si="4"/>
        <v/>
      </c>
    </row>
    <row r="14886">
      <c r="F14886" s="1" t="str">
        <f t="shared" si="1"/>
        <v/>
      </c>
      <c r="G14886" s="1" t="str">
        <f t="shared" si="2"/>
        <v/>
      </c>
      <c r="J14886" s="1" t="str">
        <f t="shared" si="3"/>
        <v/>
      </c>
      <c r="K14886" s="1" t="str">
        <f t="shared" si="4"/>
        <v/>
      </c>
    </row>
    <row r="14887">
      <c r="F14887" s="1" t="str">
        <f t="shared" si="1"/>
        <v/>
      </c>
      <c r="G14887" s="1" t="str">
        <f t="shared" si="2"/>
        <v/>
      </c>
      <c r="J14887" s="1" t="str">
        <f t="shared" si="3"/>
        <v/>
      </c>
      <c r="K14887" s="1" t="str">
        <f t="shared" si="4"/>
        <v/>
      </c>
    </row>
    <row r="14888">
      <c r="F14888" s="1" t="str">
        <f t="shared" si="1"/>
        <v/>
      </c>
      <c r="G14888" s="1" t="str">
        <f t="shared" si="2"/>
        <v/>
      </c>
      <c r="J14888" s="1" t="str">
        <f t="shared" si="3"/>
        <v/>
      </c>
      <c r="K14888" s="1" t="str">
        <f t="shared" si="4"/>
        <v/>
      </c>
    </row>
    <row r="14889">
      <c r="F14889" s="1" t="str">
        <f t="shared" si="1"/>
        <v/>
      </c>
      <c r="G14889" s="1" t="str">
        <f t="shared" si="2"/>
        <v/>
      </c>
      <c r="J14889" s="1" t="str">
        <f t="shared" si="3"/>
        <v/>
      </c>
      <c r="K14889" s="1" t="str">
        <f t="shared" si="4"/>
        <v/>
      </c>
    </row>
    <row r="14890">
      <c r="F14890" s="1" t="str">
        <f t="shared" si="1"/>
        <v/>
      </c>
      <c r="G14890" s="1" t="str">
        <f t="shared" si="2"/>
        <v/>
      </c>
      <c r="J14890" s="1" t="str">
        <f t="shared" si="3"/>
        <v/>
      </c>
      <c r="K14890" s="1" t="str">
        <f t="shared" si="4"/>
        <v/>
      </c>
    </row>
    <row r="14891">
      <c r="F14891" s="1" t="str">
        <f t="shared" si="1"/>
        <v/>
      </c>
      <c r="G14891" s="1" t="str">
        <f t="shared" si="2"/>
        <v/>
      </c>
      <c r="J14891" s="1" t="str">
        <f t="shared" si="3"/>
        <v/>
      </c>
      <c r="K14891" s="1" t="str">
        <f t="shared" si="4"/>
        <v/>
      </c>
    </row>
    <row r="14892">
      <c r="F14892" s="1" t="str">
        <f t="shared" si="1"/>
        <v/>
      </c>
      <c r="G14892" s="1" t="str">
        <f t="shared" si="2"/>
        <v/>
      </c>
      <c r="J14892" s="1" t="str">
        <f t="shared" si="3"/>
        <v/>
      </c>
      <c r="K14892" s="1" t="str">
        <f t="shared" si="4"/>
        <v/>
      </c>
    </row>
    <row r="14893">
      <c r="F14893" s="1" t="str">
        <f t="shared" si="1"/>
        <v/>
      </c>
      <c r="G14893" s="1" t="str">
        <f t="shared" si="2"/>
        <v/>
      </c>
      <c r="J14893" s="1" t="str">
        <f t="shared" si="3"/>
        <v/>
      </c>
      <c r="K14893" s="1" t="str">
        <f t="shared" si="4"/>
        <v/>
      </c>
    </row>
    <row r="14894">
      <c r="F14894" s="1" t="str">
        <f t="shared" si="1"/>
        <v/>
      </c>
      <c r="G14894" s="1" t="str">
        <f t="shared" si="2"/>
        <v/>
      </c>
      <c r="J14894" s="1" t="str">
        <f t="shared" si="3"/>
        <v/>
      </c>
      <c r="K14894" s="1" t="str">
        <f t="shared" si="4"/>
        <v/>
      </c>
    </row>
    <row r="14895">
      <c r="F14895" s="1" t="str">
        <f t="shared" si="1"/>
        <v/>
      </c>
      <c r="G14895" s="1" t="str">
        <f t="shared" si="2"/>
        <v/>
      </c>
      <c r="J14895" s="1" t="str">
        <f t="shared" si="3"/>
        <v/>
      </c>
      <c r="K14895" s="1" t="str">
        <f t="shared" si="4"/>
        <v/>
      </c>
    </row>
    <row r="14896">
      <c r="F14896" s="1" t="str">
        <f t="shared" si="1"/>
        <v/>
      </c>
      <c r="G14896" s="1" t="str">
        <f t="shared" si="2"/>
        <v/>
      </c>
      <c r="J14896" s="1" t="str">
        <f t="shared" si="3"/>
        <v/>
      </c>
      <c r="K14896" s="1" t="str">
        <f t="shared" si="4"/>
        <v/>
      </c>
    </row>
    <row r="14897">
      <c r="F14897" s="1" t="str">
        <f t="shared" si="1"/>
        <v/>
      </c>
      <c r="G14897" s="1" t="str">
        <f t="shared" si="2"/>
        <v/>
      </c>
      <c r="J14897" s="1" t="str">
        <f t="shared" si="3"/>
        <v/>
      </c>
      <c r="K14897" s="1" t="str">
        <f t="shared" si="4"/>
        <v/>
      </c>
    </row>
    <row r="14898">
      <c r="F14898" s="1" t="str">
        <f t="shared" si="1"/>
        <v/>
      </c>
      <c r="G14898" s="1" t="str">
        <f t="shared" si="2"/>
        <v/>
      </c>
      <c r="J14898" s="1" t="str">
        <f t="shared" si="3"/>
        <v/>
      </c>
      <c r="K14898" s="1" t="str">
        <f t="shared" si="4"/>
        <v/>
      </c>
    </row>
    <row r="14899">
      <c r="F14899" s="1" t="str">
        <f t="shared" si="1"/>
        <v/>
      </c>
      <c r="G14899" s="1" t="str">
        <f t="shared" si="2"/>
        <v/>
      </c>
      <c r="J14899" s="1" t="str">
        <f t="shared" si="3"/>
        <v/>
      </c>
      <c r="K14899" s="1" t="str">
        <f t="shared" si="4"/>
        <v/>
      </c>
    </row>
    <row r="14900">
      <c r="F14900" s="1" t="str">
        <f t="shared" si="1"/>
        <v/>
      </c>
      <c r="G14900" s="1" t="str">
        <f t="shared" si="2"/>
        <v/>
      </c>
      <c r="J14900" s="1" t="str">
        <f t="shared" si="3"/>
        <v/>
      </c>
      <c r="K14900" s="1" t="str">
        <f t="shared" si="4"/>
        <v/>
      </c>
    </row>
    <row r="14901">
      <c r="F14901" s="1" t="str">
        <f t="shared" si="1"/>
        <v/>
      </c>
      <c r="G14901" s="1" t="str">
        <f t="shared" si="2"/>
        <v/>
      </c>
      <c r="J14901" s="1" t="str">
        <f t="shared" si="3"/>
        <v/>
      </c>
      <c r="K14901" s="1" t="str">
        <f t="shared" si="4"/>
        <v/>
      </c>
    </row>
    <row r="14902">
      <c r="F14902" s="1" t="str">
        <f t="shared" si="1"/>
        <v/>
      </c>
      <c r="G14902" s="1" t="str">
        <f t="shared" si="2"/>
        <v/>
      </c>
      <c r="J14902" s="1" t="str">
        <f t="shared" si="3"/>
        <v/>
      </c>
      <c r="K14902" s="1" t="str">
        <f t="shared" si="4"/>
        <v/>
      </c>
    </row>
    <row r="14903">
      <c r="F14903" s="1" t="str">
        <f t="shared" si="1"/>
        <v/>
      </c>
      <c r="G14903" s="1" t="str">
        <f t="shared" si="2"/>
        <v/>
      </c>
      <c r="J14903" s="1" t="str">
        <f t="shared" si="3"/>
        <v/>
      </c>
      <c r="K14903" s="1" t="str">
        <f t="shared" si="4"/>
        <v/>
      </c>
    </row>
    <row r="14904">
      <c r="F14904" s="1" t="str">
        <f t="shared" si="1"/>
        <v/>
      </c>
      <c r="G14904" s="1" t="str">
        <f t="shared" si="2"/>
        <v/>
      </c>
      <c r="J14904" s="1" t="str">
        <f t="shared" si="3"/>
        <v/>
      </c>
      <c r="K14904" s="1" t="str">
        <f t="shared" si="4"/>
        <v/>
      </c>
    </row>
    <row r="14905">
      <c r="F14905" s="1" t="str">
        <f t="shared" si="1"/>
        <v/>
      </c>
      <c r="G14905" s="1" t="str">
        <f t="shared" si="2"/>
        <v/>
      </c>
      <c r="J14905" s="1" t="str">
        <f t="shared" si="3"/>
        <v/>
      </c>
      <c r="K14905" s="1" t="str">
        <f t="shared" si="4"/>
        <v/>
      </c>
    </row>
    <row r="14906">
      <c r="F14906" s="1" t="str">
        <f t="shared" si="1"/>
        <v/>
      </c>
      <c r="G14906" s="1" t="str">
        <f t="shared" si="2"/>
        <v/>
      </c>
      <c r="J14906" s="1" t="str">
        <f t="shared" si="3"/>
        <v/>
      </c>
      <c r="K14906" s="1" t="str">
        <f t="shared" si="4"/>
        <v/>
      </c>
    </row>
    <row r="14907">
      <c r="F14907" s="1" t="str">
        <f t="shared" si="1"/>
        <v/>
      </c>
      <c r="G14907" s="1" t="str">
        <f t="shared" si="2"/>
        <v/>
      </c>
      <c r="J14907" s="1" t="str">
        <f t="shared" si="3"/>
        <v/>
      </c>
      <c r="K14907" s="1" t="str">
        <f t="shared" si="4"/>
        <v/>
      </c>
    </row>
    <row r="14908">
      <c r="F14908" s="1" t="str">
        <f t="shared" si="1"/>
        <v/>
      </c>
      <c r="G14908" s="1" t="str">
        <f t="shared" si="2"/>
        <v/>
      </c>
      <c r="J14908" s="1" t="str">
        <f t="shared" si="3"/>
        <v/>
      </c>
      <c r="K14908" s="1" t="str">
        <f t="shared" si="4"/>
        <v/>
      </c>
    </row>
    <row r="14909">
      <c r="F14909" s="1" t="str">
        <f t="shared" si="1"/>
        <v/>
      </c>
      <c r="G14909" s="1" t="str">
        <f t="shared" si="2"/>
        <v/>
      </c>
      <c r="J14909" s="1" t="str">
        <f t="shared" si="3"/>
        <v/>
      </c>
      <c r="K14909" s="1" t="str">
        <f t="shared" si="4"/>
        <v/>
      </c>
    </row>
    <row r="14910">
      <c r="F14910" s="1" t="str">
        <f t="shared" si="1"/>
        <v/>
      </c>
      <c r="G14910" s="1" t="str">
        <f t="shared" si="2"/>
        <v/>
      </c>
      <c r="J14910" s="1" t="str">
        <f t="shared" si="3"/>
        <v/>
      </c>
      <c r="K14910" s="1" t="str">
        <f t="shared" si="4"/>
        <v/>
      </c>
    </row>
    <row r="14911">
      <c r="F14911" s="1" t="str">
        <f t="shared" si="1"/>
        <v/>
      </c>
      <c r="G14911" s="1" t="str">
        <f t="shared" si="2"/>
        <v/>
      </c>
      <c r="J14911" s="1" t="str">
        <f t="shared" si="3"/>
        <v/>
      </c>
      <c r="K14911" s="1" t="str">
        <f t="shared" si="4"/>
        <v/>
      </c>
    </row>
    <row r="14912">
      <c r="F14912" s="1" t="str">
        <f t="shared" si="1"/>
        <v/>
      </c>
      <c r="G14912" s="1" t="str">
        <f t="shared" si="2"/>
        <v/>
      </c>
      <c r="J14912" s="1" t="str">
        <f t="shared" si="3"/>
        <v/>
      </c>
      <c r="K14912" s="1" t="str">
        <f t="shared" si="4"/>
        <v/>
      </c>
    </row>
    <row r="14913">
      <c r="F14913" s="1" t="str">
        <f t="shared" si="1"/>
        <v/>
      </c>
      <c r="G14913" s="1" t="str">
        <f t="shared" si="2"/>
        <v/>
      </c>
      <c r="J14913" s="1" t="str">
        <f t="shared" si="3"/>
        <v/>
      </c>
      <c r="K14913" s="1" t="str">
        <f t="shared" si="4"/>
        <v/>
      </c>
    </row>
    <row r="14914">
      <c r="F14914" s="1" t="str">
        <f t="shared" si="1"/>
        <v/>
      </c>
      <c r="G14914" s="1" t="str">
        <f t="shared" si="2"/>
        <v/>
      </c>
      <c r="J14914" s="1" t="str">
        <f t="shared" si="3"/>
        <v/>
      </c>
      <c r="K14914" s="1" t="str">
        <f t="shared" si="4"/>
        <v/>
      </c>
    </row>
    <row r="14915">
      <c r="F14915" s="1" t="str">
        <f t="shared" si="1"/>
        <v/>
      </c>
      <c r="G14915" s="1" t="str">
        <f t="shared" si="2"/>
        <v/>
      </c>
      <c r="J14915" s="1" t="str">
        <f t="shared" si="3"/>
        <v/>
      </c>
      <c r="K14915" s="1" t="str">
        <f t="shared" si="4"/>
        <v/>
      </c>
    </row>
    <row r="14916">
      <c r="F14916" s="1" t="str">
        <f t="shared" si="1"/>
        <v/>
      </c>
      <c r="G14916" s="1" t="str">
        <f t="shared" si="2"/>
        <v/>
      </c>
      <c r="J14916" s="1" t="str">
        <f t="shared" si="3"/>
        <v/>
      </c>
      <c r="K14916" s="1" t="str">
        <f t="shared" si="4"/>
        <v/>
      </c>
    </row>
    <row r="14917">
      <c r="F14917" s="1" t="str">
        <f t="shared" si="1"/>
        <v/>
      </c>
      <c r="G14917" s="1" t="str">
        <f t="shared" si="2"/>
        <v/>
      </c>
      <c r="J14917" s="1" t="str">
        <f t="shared" si="3"/>
        <v/>
      </c>
      <c r="K14917" s="1" t="str">
        <f t="shared" si="4"/>
        <v/>
      </c>
    </row>
    <row r="14918">
      <c r="F14918" s="1" t="str">
        <f t="shared" si="1"/>
        <v/>
      </c>
      <c r="G14918" s="1" t="str">
        <f t="shared" si="2"/>
        <v/>
      </c>
      <c r="J14918" s="1" t="str">
        <f t="shared" si="3"/>
        <v/>
      </c>
      <c r="K14918" s="1" t="str">
        <f t="shared" si="4"/>
        <v/>
      </c>
    </row>
    <row r="14919">
      <c r="F14919" s="1" t="str">
        <f t="shared" si="1"/>
        <v/>
      </c>
      <c r="G14919" s="1" t="str">
        <f t="shared" si="2"/>
        <v/>
      </c>
      <c r="J14919" s="1" t="str">
        <f t="shared" si="3"/>
        <v/>
      </c>
      <c r="K14919" s="1" t="str">
        <f t="shared" si="4"/>
        <v/>
      </c>
    </row>
    <row r="14920">
      <c r="F14920" s="1" t="str">
        <f t="shared" si="1"/>
        <v/>
      </c>
      <c r="G14920" s="1" t="str">
        <f t="shared" si="2"/>
        <v/>
      </c>
      <c r="J14920" s="1" t="str">
        <f t="shared" si="3"/>
        <v/>
      </c>
      <c r="K14920" s="1" t="str">
        <f t="shared" si="4"/>
        <v/>
      </c>
    </row>
    <row r="14921">
      <c r="F14921" s="1" t="str">
        <f t="shared" si="1"/>
        <v/>
      </c>
      <c r="G14921" s="1" t="str">
        <f t="shared" si="2"/>
        <v/>
      </c>
      <c r="J14921" s="1" t="str">
        <f t="shared" si="3"/>
        <v/>
      </c>
      <c r="K14921" s="1" t="str">
        <f t="shared" si="4"/>
        <v/>
      </c>
    </row>
    <row r="14922">
      <c r="F14922" s="1" t="str">
        <f t="shared" si="1"/>
        <v/>
      </c>
      <c r="G14922" s="1" t="str">
        <f t="shared" si="2"/>
        <v/>
      </c>
      <c r="J14922" s="1" t="str">
        <f t="shared" si="3"/>
        <v/>
      </c>
      <c r="K14922" s="1" t="str">
        <f t="shared" si="4"/>
        <v/>
      </c>
    </row>
    <row r="14923">
      <c r="F14923" s="1" t="str">
        <f t="shared" si="1"/>
        <v/>
      </c>
      <c r="G14923" s="1" t="str">
        <f t="shared" si="2"/>
        <v/>
      </c>
      <c r="J14923" s="1" t="str">
        <f t="shared" si="3"/>
        <v/>
      </c>
      <c r="K14923" s="1" t="str">
        <f t="shared" si="4"/>
        <v/>
      </c>
    </row>
    <row r="14924">
      <c r="F14924" s="1" t="str">
        <f t="shared" si="1"/>
        <v/>
      </c>
      <c r="G14924" s="1" t="str">
        <f t="shared" si="2"/>
        <v/>
      </c>
      <c r="J14924" s="1" t="str">
        <f t="shared" si="3"/>
        <v/>
      </c>
      <c r="K14924" s="1" t="str">
        <f t="shared" si="4"/>
        <v/>
      </c>
    </row>
    <row r="14925">
      <c r="F14925" s="1" t="str">
        <f t="shared" si="1"/>
        <v/>
      </c>
      <c r="G14925" s="1" t="str">
        <f t="shared" si="2"/>
        <v/>
      </c>
      <c r="J14925" s="1" t="str">
        <f t="shared" si="3"/>
        <v/>
      </c>
      <c r="K14925" s="1" t="str">
        <f t="shared" si="4"/>
        <v/>
      </c>
    </row>
    <row r="14926">
      <c r="F14926" s="1" t="str">
        <f t="shared" si="1"/>
        <v/>
      </c>
      <c r="G14926" s="1" t="str">
        <f t="shared" si="2"/>
        <v/>
      </c>
      <c r="J14926" s="1" t="str">
        <f t="shared" si="3"/>
        <v/>
      </c>
      <c r="K14926" s="1" t="str">
        <f t="shared" si="4"/>
        <v/>
      </c>
    </row>
    <row r="14927">
      <c r="F14927" s="1" t="str">
        <f t="shared" si="1"/>
        <v/>
      </c>
      <c r="G14927" s="1" t="str">
        <f t="shared" si="2"/>
        <v/>
      </c>
      <c r="J14927" s="1" t="str">
        <f t="shared" si="3"/>
        <v/>
      </c>
      <c r="K14927" s="1" t="str">
        <f t="shared" si="4"/>
        <v/>
      </c>
    </row>
    <row r="14928">
      <c r="F14928" s="1" t="str">
        <f t="shared" si="1"/>
        <v/>
      </c>
      <c r="G14928" s="1" t="str">
        <f t="shared" si="2"/>
        <v/>
      </c>
      <c r="J14928" s="1" t="str">
        <f t="shared" si="3"/>
        <v/>
      </c>
      <c r="K14928" s="1" t="str">
        <f t="shared" si="4"/>
        <v/>
      </c>
    </row>
    <row r="14929">
      <c r="F14929" s="1" t="str">
        <f t="shared" si="1"/>
        <v/>
      </c>
      <c r="G14929" s="1" t="str">
        <f t="shared" si="2"/>
        <v/>
      </c>
      <c r="J14929" s="1" t="str">
        <f t="shared" si="3"/>
        <v/>
      </c>
      <c r="K14929" s="1" t="str">
        <f t="shared" si="4"/>
        <v/>
      </c>
    </row>
    <row r="14930">
      <c r="F14930" s="1" t="str">
        <f t="shared" si="1"/>
        <v/>
      </c>
      <c r="G14930" s="1" t="str">
        <f t="shared" si="2"/>
        <v/>
      </c>
      <c r="J14930" s="1" t="str">
        <f t="shared" si="3"/>
        <v/>
      </c>
      <c r="K14930" s="1" t="str">
        <f t="shared" si="4"/>
        <v/>
      </c>
    </row>
    <row r="14931">
      <c r="F14931" s="1" t="str">
        <f t="shared" si="1"/>
        <v/>
      </c>
      <c r="G14931" s="1" t="str">
        <f t="shared" si="2"/>
        <v/>
      </c>
      <c r="J14931" s="1" t="str">
        <f t="shared" si="3"/>
        <v/>
      </c>
      <c r="K14931" s="1" t="str">
        <f t="shared" si="4"/>
        <v/>
      </c>
    </row>
    <row r="14932">
      <c r="F14932" s="1" t="str">
        <f t="shared" si="1"/>
        <v/>
      </c>
      <c r="G14932" s="1" t="str">
        <f t="shared" si="2"/>
        <v/>
      </c>
      <c r="J14932" s="1" t="str">
        <f t="shared" si="3"/>
        <v/>
      </c>
      <c r="K14932" s="1" t="str">
        <f t="shared" si="4"/>
        <v/>
      </c>
    </row>
    <row r="14933">
      <c r="F14933" s="1" t="str">
        <f t="shared" si="1"/>
        <v/>
      </c>
      <c r="G14933" s="1" t="str">
        <f t="shared" si="2"/>
        <v/>
      </c>
      <c r="J14933" s="1" t="str">
        <f t="shared" si="3"/>
        <v/>
      </c>
      <c r="K14933" s="1" t="str">
        <f t="shared" si="4"/>
        <v/>
      </c>
    </row>
    <row r="14934">
      <c r="F14934" s="1" t="str">
        <f t="shared" si="1"/>
        <v/>
      </c>
      <c r="G14934" s="1" t="str">
        <f t="shared" si="2"/>
        <v/>
      </c>
      <c r="J14934" s="1" t="str">
        <f t="shared" si="3"/>
        <v/>
      </c>
      <c r="K14934" s="1" t="str">
        <f t="shared" si="4"/>
        <v/>
      </c>
    </row>
    <row r="14935">
      <c r="F14935" s="1" t="str">
        <f t="shared" si="1"/>
        <v/>
      </c>
      <c r="G14935" s="1" t="str">
        <f t="shared" si="2"/>
        <v/>
      </c>
      <c r="J14935" s="1" t="str">
        <f t="shared" si="3"/>
        <v/>
      </c>
      <c r="K14935" s="1" t="str">
        <f t="shared" si="4"/>
        <v/>
      </c>
    </row>
    <row r="14936">
      <c r="F14936" s="1" t="str">
        <f t="shared" si="1"/>
        <v/>
      </c>
      <c r="G14936" s="1" t="str">
        <f t="shared" si="2"/>
        <v/>
      </c>
      <c r="J14936" s="1" t="str">
        <f t="shared" si="3"/>
        <v/>
      </c>
      <c r="K14936" s="1" t="str">
        <f t="shared" si="4"/>
        <v/>
      </c>
    </row>
    <row r="14937">
      <c r="F14937" s="1" t="str">
        <f t="shared" si="1"/>
        <v/>
      </c>
      <c r="G14937" s="1" t="str">
        <f t="shared" si="2"/>
        <v/>
      </c>
      <c r="J14937" s="1" t="str">
        <f t="shared" si="3"/>
        <v/>
      </c>
      <c r="K14937" s="1" t="str">
        <f t="shared" si="4"/>
        <v/>
      </c>
    </row>
    <row r="14938">
      <c r="F14938" s="1" t="str">
        <f t="shared" si="1"/>
        <v/>
      </c>
      <c r="G14938" s="1" t="str">
        <f t="shared" si="2"/>
        <v/>
      </c>
      <c r="J14938" s="1" t="str">
        <f t="shared" si="3"/>
        <v/>
      </c>
      <c r="K14938" s="1" t="str">
        <f t="shared" si="4"/>
        <v/>
      </c>
    </row>
    <row r="14939">
      <c r="F14939" s="1" t="str">
        <f t="shared" si="1"/>
        <v/>
      </c>
      <c r="G14939" s="1" t="str">
        <f t="shared" si="2"/>
        <v/>
      </c>
      <c r="J14939" s="1" t="str">
        <f t="shared" si="3"/>
        <v/>
      </c>
      <c r="K14939" s="1" t="str">
        <f t="shared" si="4"/>
        <v/>
      </c>
    </row>
    <row r="14940">
      <c r="F14940" s="1" t="str">
        <f t="shared" si="1"/>
        <v/>
      </c>
      <c r="G14940" s="1" t="str">
        <f t="shared" si="2"/>
        <v/>
      </c>
      <c r="J14940" s="1" t="str">
        <f t="shared" si="3"/>
        <v/>
      </c>
      <c r="K14940" s="1" t="str">
        <f t="shared" si="4"/>
        <v/>
      </c>
    </row>
    <row r="14941">
      <c r="F14941" s="1" t="str">
        <f t="shared" si="1"/>
        <v/>
      </c>
      <c r="G14941" s="1" t="str">
        <f t="shared" si="2"/>
        <v/>
      </c>
      <c r="J14941" s="1" t="str">
        <f t="shared" si="3"/>
        <v/>
      </c>
      <c r="K14941" s="1" t="str">
        <f t="shared" si="4"/>
        <v/>
      </c>
    </row>
    <row r="14942">
      <c r="F14942" s="1" t="str">
        <f t="shared" si="1"/>
        <v/>
      </c>
      <c r="G14942" s="1" t="str">
        <f t="shared" si="2"/>
        <v/>
      </c>
      <c r="J14942" s="1" t="str">
        <f t="shared" si="3"/>
        <v/>
      </c>
      <c r="K14942" s="1" t="str">
        <f t="shared" si="4"/>
        <v/>
      </c>
    </row>
    <row r="14943">
      <c r="F14943" s="1" t="str">
        <f t="shared" si="1"/>
        <v/>
      </c>
      <c r="G14943" s="1" t="str">
        <f t="shared" si="2"/>
        <v/>
      </c>
      <c r="J14943" s="1" t="str">
        <f t="shared" si="3"/>
        <v/>
      </c>
      <c r="K14943" s="1" t="str">
        <f t="shared" si="4"/>
        <v/>
      </c>
    </row>
    <row r="14944">
      <c r="F14944" s="1" t="str">
        <f t="shared" si="1"/>
        <v/>
      </c>
      <c r="G14944" s="1" t="str">
        <f t="shared" si="2"/>
        <v/>
      </c>
      <c r="J14944" s="1" t="str">
        <f t="shared" si="3"/>
        <v/>
      </c>
      <c r="K14944" s="1" t="str">
        <f t="shared" si="4"/>
        <v/>
      </c>
    </row>
    <row r="14945">
      <c r="F14945" s="1" t="str">
        <f t="shared" si="1"/>
        <v/>
      </c>
      <c r="G14945" s="1" t="str">
        <f t="shared" si="2"/>
        <v/>
      </c>
      <c r="J14945" s="1" t="str">
        <f t="shared" si="3"/>
        <v/>
      </c>
      <c r="K14945" s="1" t="str">
        <f t="shared" si="4"/>
        <v/>
      </c>
    </row>
    <row r="14946">
      <c r="F14946" s="1" t="str">
        <f t="shared" si="1"/>
        <v/>
      </c>
      <c r="G14946" s="1" t="str">
        <f t="shared" si="2"/>
        <v/>
      </c>
      <c r="J14946" s="1" t="str">
        <f t="shared" si="3"/>
        <v/>
      </c>
      <c r="K14946" s="1" t="str">
        <f t="shared" si="4"/>
        <v/>
      </c>
    </row>
    <row r="14947">
      <c r="F14947" s="1" t="str">
        <f t="shared" si="1"/>
        <v/>
      </c>
      <c r="G14947" s="1" t="str">
        <f t="shared" si="2"/>
        <v/>
      </c>
      <c r="J14947" s="1" t="str">
        <f t="shared" si="3"/>
        <v/>
      </c>
      <c r="K14947" s="1" t="str">
        <f t="shared" si="4"/>
        <v/>
      </c>
    </row>
    <row r="14948">
      <c r="F14948" s="1" t="str">
        <f t="shared" si="1"/>
        <v/>
      </c>
      <c r="G14948" s="1" t="str">
        <f t="shared" si="2"/>
        <v/>
      </c>
      <c r="J14948" s="1" t="str">
        <f t="shared" si="3"/>
        <v/>
      </c>
      <c r="K14948" s="1" t="str">
        <f t="shared" si="4"/>
        <v/>
      </c>
    </row>
    <row r="14949">
      <c r="F14949" s="1" t="str">
        <f t="shared" si="1"/>
        <v/>
      </c>
      <c r="G14949" s="1" t="str">
        <f t="shared" si="2"/>
        <v/>
      </c>
      <c r="J14949" s="1" t="str">
        <f t="shared" si="3"/>
        <v/>
      </c>
      <c r="K14949" s="1" t="str">
        <f t="shared" si="4"/>
        <v/>
      </c>
    </row>
    <row r="14950">
      <c r="F14950" s="1" t="str">
        <f t="shared" si="1"/>
        <v/>
      </c>
      <c r="G14950" s="1" t="str">
        <f t="shared" si="2"/>
        <v/>
      </c>
      <c r="J14950" s="1" t="str">
        <f t="shared" si="3"/>
        <v/>
      </c>
      <c r="K14950" s="1" t="str">
        <f t="shared" si="4"/>
        <v/>
      </c>
    </row>
    <row r="14951">
      <c r="F14951" s="1" t="str">
        <f t="shared" si="1"/>
        <v/>
      </c>
      <c r="G14951" s="1" t="str">
        <f t="shared" si="2"/>
        <v/>
      </c>
      <c r="J14951" s="1" t="str">
        <f t="shared" si="3"/>
        <v/>
      </c>
      <c r="K14951" s="1" t="str">
        <f t="shared" si="4"/>
        <v/>
      </c>
    </row>
    <row r="14952">
      <c r="F14952" s="1" t="str">
        <f t="shared" si="1"/>
        <v/>
      </c>
      <c r="G14952" s="1" t="str">
        <f t="shared" si="2"/>
        <v/>
      </c>
      <c r="J14952" s="1" t="str">
        <f t="shared" si="3"/>
        <v/>
      </c>
      <c r="K14952" s="1" t="str">
        <f t="shared" si="4"/>
        <v/>
      </c>
    </row>
    <row r="14953">
      <c r="F14953" s="1" t="str">
        <f t="shared" si="1"/>
        <v/>
      </c>
      <c r="G14953" s="1" t="str">
        <f t="shared" si="2"/>
        <v/>
      </c>
      <c r="J14953" s="1" t="str">
        <f t="shared" si="3"/>
        <v/>
      </c>
      <c r="K14953" s="1" t="str">
        <f t="shared" si="4"/>
        <v/>
      </c>
    </row>
    <row r="14954">
      <c r="F14954" s="1" t="str">
        <f t="shared" si="1"/>
        <v/>
      </c>
      <c r="G14954" s="1" t="str">
        <f t="shared" si="2"/>
        <v/>
      </c>
      <c r="J14954" s="1" t="str">
        <f t="shared" si="3"/>
        <v/>
      </c>
      <c r="K14954" s="1" t="str">
        <f t="shared" si="4"/>
        <v/>
      </c>
    </row>
    <row r="14955">
      <c r="F14955" s="1" t="str">
        <f t="shared" si="1"/>
        <v/>
      </c>
      <c r="G14955" s="1" t="str">
        <f t="shared" si="2"/>
        <v/>
      </c>
      <c r="J14955" s="1" t="str">
        <f t="shared" si="3"/>
        <v/>
      </c>
      <c r="K14955" s="1" t="str">
        <f t="shared" si="4"/>
        <v/>
      </c>
    </row>
    <row r="14956">
      <c r="F14956" s="1" t="str">
        <f t="shared" si="1"/>
        <v/>
      </c>
      <c r="G14956" s="1" t="str">
        <f t="shared" si="2"/>
        <v/>
      </c>
      <c r="J14956" s="1" t="str">
        <f t="shared" si="3"/>
        <v/>
      </c>
      <c r="K14956" s="1" t="str">
        <f t="shared" si="4"/>
        <v/>
      </c>
    </row>
    <row r="14957">
      <c r="F14957" s="1" t="str">
        <f t="shared" si="1"/>
        <v/>
      </c>
      <c r="G14957" s="1" t="str">
        <f t="shared" si="2"/>
        <v/>
      </c>
      <c r="J14957" s="1" t="str">
        <f t="shared" si="3"/>
        <v/>
      </c>
      <c r="K14957" s="1" t="str">
        <f t="shared" si="4"/>
        <v/>
      </c>
    </row>
    <row r="14958">
      <c r="F14958" s="1" t="str">
        <f t="shared" si="1"/>
        <v/>
      </c>
      <c r="G14958" s="1" t="str">
        <f t="shared" si="2"/>
        <v/>
      </c>
      <c r="J14958" s="1" t="str">
        <f t="shared" si="3"/>
        <v/>
      </c>
      <c r="K14958" s="1" t="str">
        <f t="shared" si="4"/>
        <v/>
      </c>
    </row>
    <row r="14959">
      <c r="F14959" s="1" t="str">
        <f t="shared" si="1"/>
        <v/>
      </c>
      <c r="G14959" s="1" t="str">
        <f t="shared" si="2"/>
        <v/>
      </c>
      <c r="J14959" s="1" t="str">
        <f t="shared" si="3"/>
        <v/>
      </c>
      <c r="K14959" s="1" t="str">
        <f t="shared" si="4"/>
        <v/>
      </c>
    </row>
    <row r="14960">
      <c r="F14960" s="1" t="str">
        <f t="shared" si="1"/>
        <v/>
      </c>
      <c r="G14960" s="1" t="str">
        <f t="shared" si="2"/>
        <v/>
      </c>
      <c r="J14960" s="1" t="str">
        <f t="shared" si="3"/>
        <v/>
      </c>
      <c r="K14960" s="1" t="str">
        <f t="shared" si="4"/>
        <v/>
      </c>
    </row>
    <row r="14961">
      <c r="F14961" s="1" t="str">
        <f t="shared" si="1"/>
        <v/>
      </c>
      <c r="G14961" s="1" t="str">
        <f t="shared" si="2"/>
        <v/>
      </c>
      <c r="J14961" s="1" t="str">
        <f t="shared" si="3"/>
        <v/>
      </c>
      <c r="K14961" s="1" t="str">
        <f t="shared" si="4"/>
        <v/>
      </c>
    </row>
    <row r="14962">
      <c r="F14962" s="1" t="str">
        <f t="shared" si="1"/>
        <v/>
      </c>
      <c r="G14962" s="1" t="str">
        <f t="shared" si="2"/>
        <v/>
      </c>
      <c r="J14962" s="1" t="str">
        <f t="shared" si="3"/>
        <v/>
      </c>
      <c r="K14962" s="1" t="str">
        <f t="shared" si="4"/>
        <v/>
      </c>
    </row>
    <row r="14963">
      <c r="F14963" s="1" t="str">
        <f t="shared" si="1"/>
        <v/>
      </c>
      <c r="G14963" s="1" t="str">
        <f t="shared" si="2"/>
        <v/>
      </c>
      <c r="J14963" s="1" t="str">
        <f t="shared" si="3"/>
        <v/>
      </c>
      <c r="K14963" s="1" t="str">
        <f t="shared" si="4"/>
        <v/>
      </c>
    </row>
    <row r="14964">
      <c r="F14964" s="1" t="str">
        <f t="shared" si="1"/>
        <v/>
      </c>
      <c r="G14964" s="1" t="str">
        <f t="shared" si="2"/>
        <v/>
      </c>
      <c r="J14964" s="1" t="str">
        <f t="shared" si="3"/>
        <v/>
      </c>
      <c r="K14964" s="1" t="str">
        <f t="shared" si="4"/>
        <v/>
      </c>
    </row>
    <row r="14965">
      <c r="F14965" s="1" t="str">
        <f t="shared" si="1"/>
        <v/>
      </c>
      <c r="G14965" s="1" t="str">
        <f t="shared" si="2"/>
        <v/>
      </c>
      <c r="J14965" s="1" t="str">
        <f t="shared" si="3"/>
        <v/>
      </c>
      <c r="K14965" s="1" t="str">
        <f t="shared" si="4"/>
        <v/>
      </c>
    </row>
    <row r="14966">
      <c r="F14966" s="1" t="str">
        <f t="shared" si="1"/>
        <v/>
      </c>
      <c r="G14966" s="1" t="str">
        <f t="shared" si="2"/>
        <v/>
      </c>
      <c r="J14966" s="1" t="str">
        <f t="shared" si="3"/>
        <v/>
      </c>
      <c r="K14966" s="1" t="str">
        <f t="shared" si="4"/>
        <v/>
      </c>
    </row>
    <row r="14967">
      <c r="F14967" s="1" t="str">
        <f t="shared" si="1"/>
        <v/>
      </c>
      <c r="G14967" s="1" t="str">
        <f t="shared" si="2"/>
        <v/>
      </c>
      <c r="J14967" s="1" t="str">
        <f t="shared" si="3"/>
        <v/>
      </c>
      <c r="K14967" s="1" t="str">
        <f t="shared" si="4"/>
        <v/>
      </c>
    </row>
    <row r="14968">
      <c r="F14968" s="1" t="str">
        <f t="shared" si="1"/>
        <v/>
      </c>
      <c r="G14968" s="1" t="str">
        <f t="shared" si="2"/>
        <v/>
      </c>
      <c r="J14968" s="1" t="str">
        <f t="shared" si="3"/>
        <v/>
      </c>
      <c r="K14968" s="1" t="str">
        <f t="shared" si="4"/>
        <v/>
      </c>
    </row>
    <row r="14969">
      <c r="F14969" s="1" t="str">
        <f t="shared" si="1"/>
        <v/>
      </c>
      <c r="G14969" s="1" t="str">
        <f t="shared" si="2"/>
        <v/>
      </c>
      <c r="J14969" s="1" t="str">
        <f t="shared" si="3"/>
        <v/>
      </c>
      <c r="K14969" s="1" t="str">
        <f t="shared" si="4"/>
        <v/>
      </c>
    </row>
    <row r="14970">
      <c r="F14970" s="1" t="str">
        <f t="shared" si="1"/>
        <v/>
      </c>
      <c r="G14970" s="1" t="str">
        <f t="shared" si="2"/>
        <v/>
      </c>
      <c r="J14970" s="1" t="str">
        <f t="shared" si="3"/>
        <v/>
      </c>
      <c r="K14970" s="1" t="str">
        <f t="shared" si="4"/>
        <v/>
      </c>
    </row>
    <row r="14971">
      <c r="F14971" s="1" t="str">
        <f t="shared" si="1"/>
        <v/>
      </c>
      <c r="G14971" s="1" t="str">
        <f t="shared" si="2"/>
        <v/>
      </c>
      <c r="J14971" s="1" t="str">
        <f t="shared" si="3"/>
        <v/>
      </c>
      <c r="K14971" s="1" t="str">
        <f t="shared" si="4"/>
        <v/>
      </c>
    </row>
    <row r="14972">
      <c r="F14972" s="1" t="str">
        <f t="shared" si="1"/>
        <v/>
      </c>
      <c r="G14972" s="1" t="str">
        <f t="shared" si="2"/>
        <v/>
      </c>
      <c r="J14972" s="1" t="str">
        <f t="shared" si="3"/>
        <v/>
      </c>
      <c r="K14972" s="1" t="str">
        <f t="shared" si="4"/>
        <v/>
      </c>
    </row>
    <row r="14973">
      <c r="F14973" s="1" t="str">
        <f t="shared" si="1"/>
        <v/>
      </c>
      <c r="G14973" s="1" t="str">
        <f t="shared" si="2"/>
        <v/>
      </c>
      <c r="J14973" s="1" t="str">
        <f t="shared" si="3"/>
        <v/>
      </c>
      <c r="K14973" s="1" t="str">
        <f t="shared" si="4"/>
        <v/>
      </c>
    </row>
    <row r="14974">
      <c r="F14974" s="1" t="str">
        <f t="shared" si="1"/>
        <v/>
      </c>
      <c r="G14974" s="1" t="str">
        <f t="shared" si="2"/>
        <v/>
      </c>
      <c r="J14974" s="1" t="str">
        <f t="shared" si="3"/>
        <v/>
      </c>
      <c r="K14974" s="1" t="str">
        <f t="shared" si="4"/>
        <v/>
      </c>
    </row>
    <row r="14975">
      <c r="F14975" s="1" t="str">
        <f t="shared" si="1"/>
        <v/>
      </c>
      <c r="G14975" s="1" t="str">
        <f t="shared" si="2"/>
        <v/>
      </c>
      <c r="J14975" s="1" t="str">
        <f t="shared" si="3"/>
        <v/>
      </c>
      <c r="K14975" s="1" t="str">
        <f t="shared" si="4"/>
        <v/>
      </c>
    </row>
    <row r="14976">
      <c r="F14976" s="1" t="str">
        <f t="shared" si="1"/>
        <v/>
      </c>
      <c r="G14976" s="1" t="str">
        <f t="shared" si="2"/>
        <v/>
      </c>
      <c r="J14976" s="1" t="str">
        <f t="shared" si="3"/>
        <v/>
      </c>
      <c r="K14976" s="1" t="str">
        <f t="shared" si="4"/>
        <v/>
      </c>
    </row>
    <row r="14977">
      <c r="F14977" s="1" t="str">
        <f t="shared" si="1"/>
        <v/>
      </c>
      <c r="G14977" s="1" t="str">
        <f t="shared" si="2"/>
        <v/>
      </c>
      <c r="J14977" s="1" t="str">
        <f t="shared" si="3"/>
        <v/>
      </c>
      <c r="K14977" s="1" t="str">
        <f t="shared" si="4"/>
        <v/>
      </c>
    </row>
    <row r="14978">
      <c r="F14978" s="1" t="str">
        <f t="shared" si="1"/>
        <v/>
      </c>
      <c r="G14978" s="1" t="str">
        <f t="shared" si="2"/>
        <v/>
      </c>
      <c r="J14978" s="1" t="str">
        <f t="shared" si="3"/>
        <v/>
      </c>
      <c r="K14978" s="1" t="str">
        <f t="shared" si="4"/>
        <v/>
      </c>
    </row>
    <row r="14979">
      <c r="F14979" s="1" t="str">
        <f t="shared" si="1"/>
        <v/>
      </c>
      <c r="G14979" s="1" t="str">
        <f t="shared" si="2"/>
        <v/>
      </c>
      <c r="J14979" s="1" t="str">
        <f t="shared" si="3"/>
        <v/>
      </c>
      <c r="K14979" s="1" t="str">
        <f t="shared" si="4"/>
        <v/>
      </c>
    </row>
    <row r="14980">
      <c r="F14980" s="1" t="str">
        <f t="shared" si="1"/>
        <v/>
      </c>
      <c r="G14980" s="1" t="str">
        <f t="shared" si="2"/>
        <v/>
      </c>
      <c r="J14980" s="1" t="str">
        <f t="shared" si="3"/>
        <v/>
      </c>
      <c r="K14980" s="1" t="str">
        <f t="shared" si="4"/>
        <v/>
      </c>
    </row>
    <row r="14981">
      <c r="F14981" s="1" t="str">
        <f t="shared" si="1"/>
        <v/>
      </c>
      <c r="G14981" s="1" t="str">
        <f t="shared" si="2"/>
        <v/>
      </c>
      <c r="J14981" s="1" t="str">
        <f t="shared" si="3"/>
        <v/>
      </c>
      <c r="K14981" s="1" t="str">
        <f t="shared" si="4"/>
        <v/>
      </c>
    </row>
    <row r="14982">
      <c r="F14982" s="1" t="str">
        <f t="shared" si="1"/>
        <v/>
      </c>
      <c r="G14982" s="1" t="str">
        <f t="shared" si="2"/>
        <v/>
      </c>
      <c r="J14982" s="1" t="str">
        <f t="shared" si="3"/>
        <v/>
      </c>
      <c r="K14982" s="1" t="str">
        <f t="shared" si="4"/>
        <v/>
      </c>
    </row>
    <row r="14983">
      <c r="F14983" s="1" t="str">
        <f t="shared" si="1"/>
        <v/>
      </c>
      <c r="G14983" s="1" t="str">
        <f t="shared" si="2"/>
        <v/>
      </c>
      <c r="J14983" s="1" t="str">
        <f t="shared" si="3"/>
        <v/>
      </c>
      <c r="K14983" s="1" t="str">
        <f t="shared" si="4"/>
        <v/>
      </c>
    </row>
    <row r="14984">
      <c r="F14984" s="1" t="str">
        <f t="shared" si="1"/>
        <v/>
      </c>
      <c r="G14984" s="1" t="str">
        <f t="shared" si="2"/>
        <v/>
      </c>
      <c r="J14984" s="1" t="str">
        <f t="shared" si="3"/>
        <v/>
      </c>
      <c r="K14984" s="1" t="str">
        <f t="shared" si="4"/>
        <v/>
      </c>
    </row>
    <row r="14985">
      <c r="F14985" s="1" t="str">
        <f t="shared" si="1"/>
        <v/>
      </c>
      <c r="G14985" s="1" t="str">
        <f t="shared" si="2"/>
        <v/>
      </c>
      <c r="J14985" s="1" t="str">
        <f t="shared" si="3"/>
        <v/>
      </c>
      <c r="K14985" s="1" t="str">
        <f t="shared" si="4"/>
        <v/>
      </c>
    </row>
    <row r="14986">
      <c r="F14986" s="1" t="str">
        <f t="shared" si="1"/>
        <v/>
      </c>
      <c r="G14986" s="1" t="str">
        <f t="shared" si="2"/>
        <v/>
      </c>
      <c r="J14986" s="1" t="str">
        <f t="shared" si="3"/>
        <v/>
      </c>
      <c r="K14986" s="1" t="str">
        <f t="shared" si="4"/>
        <v/>
      </c>
    </row>
    <row r="14987">
      <c r="F14987" s="1" t="str">
        <f t="shared" si="1"/>
        <v/>
      </c>
      <c r="G14987" s="1" t="str">
        <f t="shared" si="2"/>
        <v/>
      </c>
      <c r="J14987" s="1" t="str">
        <f t="shared" si="3"/>
        <v/>
      </c>
      <c r="K14987" s="1" t="str">
        <f t="shared" si="4"/>
        <v/>
      </c>
    </row>
    <row r="14988">
      <c r="F14988" s="1" t="str">
        <f t="shared" si="1"/>
        <v/>
      </c>
      <c r="G14988" s="1" t="str">
        <f t="shared" si="2"/>
        <v/>
      </c>
      <c r="J14988" s="1" t="str">
        <f t="shared" si="3"/>
        <v/>
      </c>
      <c r="K14988" s="1" t="str">
        <f t="shared" si="4"/>
        <v/>
      </c>
    </row>
    <row r="14989">
      <c r="F14989" s="1" t="str">
        <f t="shared" si="1"/>
        <v/>
      </c>
      <c r="G14989" s="1" t="str">
        <f t="shared" si="2"/>
        <v/>
      </c>
      <c r="J14989" s="1" t="str">
        <f t="shared" si="3"/>
        <v/>
      </c>
      <c r="K14989" s="1" t="str">
        <f t="shared" si="4"/>
        <v/>
      </c>
    </row>
    <row r="14990">
      <c r="F14990" s="1" t="str">
        <f t="shared" si="1"/>
        <v/>
      </c>
      <c r="G14990" s="1" t="str">
        <f t="shared" si="2"/>
        <v/>
      </c>
      <c r="J14990" s="1" t="str">
        <f t="shared" si="3"/>
        <v/>
      </c>
      <c r="K14990" s="1" t="str">
        <f t="shared" si="4"/>
        <v/>
      </c>
    </row>
    <row r="14991">
      <c r="F14991" s="1" t="str">
        <f t="shared" si="1"/>
        <v/>
      </c>
      <c r="G14991" s="1" t="str">
        <f t="shared" si="2"/>
        <v/>
      </c>
      <c r="J14991" s="1" t="str">
        <f t="shared" si="3"/>
        <v/>
      </c>
      <c r="K14991" s="1" t="str">
        <f t="shared" si="4"/>
        <v/>
      </c>
    </row>
    <row r="14992">
      <c r="F14992" s="1" t="str">
        <f t="shared" si="1"/>
        <v/>
      </c>
      <c r="G14992" s="1" t="str">
        <f t="shared" si="2"/>
        <v/>
      </c>
      <c r="J14992" s="1" t="str">
        <f t="shared" si="3"/>
        <v/>
      </c>
      <c r="K14992" s="1" t="str">
        <f t="shared" si="4"/>
        <v/>
      </c>
    </row>
    <row r="14993">
      <c r="F14993" s="1" t="str">
        <f t="shared" si="1"/>
        <v/>
      </c>
      <c r="G14993" s="1" t="str">
        <f t="shared" si="2"/>
        <v/>
      </c>
      <c r="J14993" s="1" t="str">
        <f t="shared" si="3"/>
        <v/>
      </c>
      <c r="K14993" s="1" t="str">
        <f t="shared" si="4"/>
        <v/>
      </c>
    </row>
    <row r="14994">
      <c r="F14994" s="1" t="str">
        <f t="shared" si="1"/>
        <v/>
      </c>
      <c r="G14994" s="1" t="str">
        <f t="shared" si="2"/>
        <v/>
      </c>
      <c r="J14994" s="1" t="str">
        <f t="shared" si="3"/>
        <v/>
      </c>
      <c r="K14994" s="1" t="str">
        <f t="shared" si="4"/>
        <v/>
      </c>
    </row>
    <row r="14995">
      <c r="F14995" s="1" t="str">
        <f t="shared" si="1"/>
        <v/>
      </c>
      <c r="G14995" s="1" t="str">
        <f t="shared" si="2"/>
        <v/>
      </c>
      <c r="J14995" s="1" t="str">
        <f t="shared" si="3"/>
        <v/>
      </c>
      <c r="K14995" s="1" t="str">
        <f t="shared" si="4"/>
        <v/>
      </c>
    </row>
    <row r="14996">
      <c r="F14996" s="1" t="str">
        <f t="shared" si="1"/>
        <v/>
      </c>
      <c r="G14996" s="1" t="str">
        <f t="shared" si="2"/>
        <v/>
      </c>
      <c r="J14996" s="1" t="str">
        <f t="shared" si="3"/>
        <v/>
      </c>
      <c r="K14996" s="1" t="str">
        <f t="shared" si="4"/>
        <v/>
      </c>
    </row>
    <row r="14997">
      <c r="F14997" s="1" t="str">
        <f t="shared" si="1"/>
        <v/>
      </c>
      <c r="G14997" s="1" t="str">
        <f t="shared" si="2"/>
        <v/>
      </c>
      <c r="J14997" s="1" t="str">
        <f t="shared" si="3"/>
        <v/>
      </c>
      <c r="K14997" s="1" t="str">
        <f t="shared" si="4"/>
        <v/>
      </c>
    </row>
    <row r="14998">
      <c r="F14998" s="1" t="str">
        <f t="shared" si="1"/>
        <v/>
      </c>
      <c r="G14998" s="1" t="str">
        <f t="shared" si="2"/>
        <v/>
      </c>
      <c r="J14998" s="1" t="str">
        <f t="shared" si="3"/>
        <v/>
      </c>
      <c r="K14998" s="1" t="str">
        <f t="shared" si="4"/>
        <v/>
      </c>
    </row>
    <row r="14999">
      <c r="F14999" s="1" t="str">
        <f t="shared" si="1"/>
        <v/>
      </c>
      <c r="G14999" s="1" t="str">
        <f t="shared" si="2"/>
        <v/>
      </c>
      <c r="J14999" s="1" t="str">
        <f t="shared" si="3"/>
        <v/>
      </c>
      <c r="K14999" s="1" t="str">
        <f t="shared" si="4"/>
        <v/>
      </c>
    </row>
    <row r="15000">
      <c r="F15000" s="1" t="str">
        <f t="shared" si="1"/>
        <v/>
      </c>
      <c r="G15000" s="1" t="str">
        <f t="shared" si="2"/>
        <v/>
      </c>
      <c r="J15000" s="1" t="str">
        <f t="shared" si="3"/>
        <v/>
      </c>
      <c r="K15000" s="1" t="str">
        <f t="shared" si="4"/>
        <v/>
      </c>
    </row>
    <row r="15001">
      <c r="F15001" s="1" t="str">
        <f t="shared" si="1"/>
        <v/>
      </c>
      <c r="G15001" s="1" t="str">
        <f t="shared" si="2"/>
        <v/>
      </c>
      <c r="J15001" s="1" t="str">
        <f t="shared" si="3"/>
        <v/>
      </c>
      <c r="K15001" s="1" t="str">
        <f t="shared" si="4"/>
        <v/>
      </c>
    </row>
    <row r="15002">
      <c r="F15002" s="1" t="str">
        <f t="shared" si="1"/>
        <v/>
      </c>
      <c r="G15002" s="1" t="str">
        <f t="shared" si="2"/>
        <v/>
      </c>
      <c r="J15002" s="1" t="str">
        <f t="shared" si="3"/>
        <v/>
      </c>
      <c r="K15002" s="1" t="str">
        <f t="shared" si="4"/>
        <v/>
      </c>
    </row>
    <row r="15003">
      <c r="F15003" s="1" t="str">
        <f t="shared" si="1"/>
        <v/>
      </c>
      <c r="G15003" s="1" t="str">
        <f t="shared" si="2"/>
        <v/>
      </c>
      <c r="J15003" s="1" t="str">
        <f t="shared" si="3"/>
        <v/>
      </c>
      <c r="K15003" s="1" t="str">
        <f t="shared" si="4"/>
        <v/>
      </c>
    </row>
    <row r="15004">
      <c r="F15004" s="1" t="str">
        <f t="shared" si="1"/>
        <v/>
      </c>
      <c r="G15004" s="1" t="str">
        <f t="shared" si="2"/>
        <v/>
      </c>
      <c r="J15004" s="1" t="str">
        <f t="shared" si="3"/>
        <v/>
      </c>
      <c r="K15004" s="1" t="str">
        <f t="shared" si="4"/>
        <v/>
      </c>
    </row>
    <row r="15005">
      <c r="F15005" s="1" t="str">
        <f t="shared" si="1"/>
        <v/>
      </c>
      <c r="G15005" s="1" t="str">
        <f t="shared" si="2"/>
        <v/>
      </c>
      <c r="J15005" s="1" t="str">
        <f t="shared" si="3"/>
        <v/>
      </c>
      <c r="K15005" s="1" t="str">
        <f t="shared" si="4"/>
        <v/>
      </c>
    </row>
    <row r="15006">
      <c r="F15006" s="1" t="str">
        <f t="shared" si="1"/>
        <v/>
      </c>
      <c r="G15006" s="1" t="str">
        <f t="shared" si="2"/>
        <v/>
      </c>
      <c r="J15006" s="1" t="str">
        <f t="shared" si="3"/>
        <v/>
      </c>
      <c r="K15006" s="1" t="str">
        <f t="shared" si="4"/>
        <v/>
      </c>
    </row>
    <row r="15007">
      <c r="F15007" s="1" t="str">
        <f t="shared" si="1"/>
        <v/>
      </c>
      <c r="G15007" s="1" t="str">
        <f t="shared" si="2"/>
        <v/>
      </c>
      <c r="J15007" s="1" t="str">
        <f t="shared" si="3"/>
        <v/>
      </c>
      <c r="K15007" s="1" t="str">
        <f t="shared" si="4"/>
        <v/>
      </c>
    </row>
    <row r="15008">
      <c r="F15008" s="1" t="str">
        <f t="shared" si="1"/>
        <v/>
      </c>
      <c r="G15008" s="1" t="str">
        <f t="shared" si="2"/>
        <v/>
      </c>
      <c r="J15008" s="1" t="str">
        <f t="shared" si="3"/>
        <v/>
      </c>
      <c r="K15008" s="1" t="str">
        <f t="shared" si="4"/>
        <v/>
      </c>
    </row>
    <row r="15009">
      <c r="F15009" s="1" t="str">
        <f t="shared" si="1"/>
        <v/>
      </c>
      <c r="G15009" s="1" t="str">
        <f t="shared" si="2"/>
        <v/>
      </c>
      <c r="J15009" s="1" t="str">
        <f t="shared" si="3"/>
        <v/>
      </c>
      <c r="K15009" s="1" t="str">
        <f t="shared" si="4"/>
        <v/>
      </c>
    </row>
    <row r="15010">
      <c r="F15010" s="1" t="str">
        <f t="shared" si="1"/>
        <v/>
      </c>
      <c r="G15010" s="1" t="str">
        <f t="shared" si="2"/>
        <v/>
      </c>
      <c r="J15010" s="1" t="str">
        <f t="shared" si="3"/>
        <v/>
      </c>
      <c r="K15010" s="1" t="str">
        <f t="shared" si="4"/>
        <v/>
      </c>
    </row>
    <row r="15011">
      <c r="F15011" s="1" t="str">
        <f t="shared" si="1"/>
        <v/>
      </c>
      <c r="G15011" s="1" t="str">
        <f t="shared" si="2"/>
        <v/>
      </c>
      <c r="J15011" s="1" t="str">
        <f t="shared" si="3"/>
        <v/>
      </c>
      <c r="K15011" s="1" t="str">
        <f t="shared" si="4"/>
        <v/>
      </c>
    </row>
    <row r="15012">
      <c r="F15012" s="1" t="str">
        <f t="shared" si="1"/>
        <v/>
      </c>
      <c r="G15012" s="1" t="str">
        <f t="shared" si="2"/>
        <v/>
      </c>
      <c r="J15012" s="1" t="str">
        <f t="shared" si="3"/>
        <v/>
      </c>
      <c r="K15012" s="1" t="str">
        <f t="shared" si="4"/>
        <v/>
      </c>
    </row>
    <row r="15013">
      <c r="F15013" s="1" t="str">
        <f t="shared" si="1"/>
        <v/>
      </c>
      <c r="G15013" s="1" t="str">
        <f t="shared" si="2"/>
        <v/>
      </c>
      <c r="J15013" s="1" t="str">
        <f t="shared" si="3"/>
        <v/>
      </c>
      <c r="K15013" s="1" t="str">
        <f t="shared" si="4"/>
        <v/>
      </c>
    </row>
    <row r="15014">
      <c r="F15014" s="1" t="str">
        <f t="shared" si="1"/>
        <v/>
      </c>
      <c r="G15014" s="1" t="str">
        <f t="shared" si="2"/>
        <v/>
      </c>
      <c r="J15014" s="1" t="str">
        <f t="shared" si="3"/>
        <v/>
      </c>
      <c r="K15014" s="1" t="str">
        <f t="shared" si="4"/>
        <v/>
      </c>
    </row>
    <row r="15015">
      <c r="F15015" s="1" t="str">
        <f t="shared" si="1"/>
        <v/>
      </c>
      <c r="G15015" s="1" t="str">
        <f t="shared" si="2"/>
        <v/>
      </c>
      <c r="J15015" s="1" t="str">
        <f t="shared" si="3"/>
        <v/>
      </c>
      <c r="K15015" s="1" t="str">
        <f t="shared" si="4"/>
        <v/>
      </c>
    </row>
    <row r="15016">
      <c r="F15016" s="1" t="str">
        <f t="shared" si="1"/>
        <v/>
      </c>
      <c r="G15016" s="1" t="str">
        <f t="shared" si="2"/>
        <v/>
      </c>
      <c r="J15016" s="1" t="str">
        <f t="shared" si="3"/>
        <v/>
      </c>
      <c r="K15016" s="1" t="str">
        <f t="shared" si="4"/>
        <v/>
      </c>
    </row>
    <row r="15017">
      <c r="F15017" s="1" t="str">
        <f t="shared" si="1"/>
        <v/>
      </c>
      <c r="G15017" s="1" t="str">
        <f t="shared" si="2"/>
        <v/>
      </c>
      <c r="J15017" s="1" t="str">
        <f t="shared" si="3"/>
        <v/>
      </c>
      <c r="K15017" s="1" t="str">
        <f t="shared" si="4"/>
        <v/>
      </c>
    </row>
    <row r="15018">
      <c r="F15018" s="1" t="str">
        <f t="shared" si="1"/>
        <v/>
      </c>
      <c r="G15018" s="1" t="str">
        <f t="shared" si="2"/>
        <v/>
      </c>
      <c r="J15018" s="1" t="str">
        <f t="shared" si="3"/>
        <v/>
      </c>
      <c r="K15018" s="1" t="str">
        <f t="shared" si="4"/>
        <v/>
      </c>
    </row>
    <row r="15019">
      <c r="F15019" s="1" t="str">
        <f t="shared" si="1"/>
        <v/>
      </c>
      <c r="G15019" s="1" t="str">
        <f t="shared" si="2"/>
        <v/>
      </c>
      <c r="J15019" s="1" t="str">
        <f t="shared" si="3"/>
        <v/>
      </c>
      <c r="K15019" s="1" t="str">
        <f t="shared" si="4"/>
        <v/>
      </c>
    </row>
    <row r="15020">
      <c r="F15020" s="1" t="str">
        <f t="shared" si="1"/>
        <v/>
      </c>
      <c r="G15020" s="1" t="str">
        <f t="shared" si="2"/>
        <v/>
      </c>
      <c r="J15020" s="1" t="str">
        <f t="shared" si="3"/>
        <v/>
      </c>
      <c r="K15020" s="1" t="str">
        <f t="shared" si="4"/>
        <v/>
      </c>
    </row>
    <row r="15021">
      <c r="F15021" s="1" t="str">
        <f t="shared" si="1"/>
        <v/>
      </c>
      <c r="G15021" s="1" t="str">
        <f t="shared" si="2"/>
        <v/>
      </c>
      <c r="J15021" s="1" t="str">
        <f t="shared" si="3"/>
        <v/>
      </c>
      <c r="K15021" s="1" t="str">
        <f t="shared" si="4"/>
        <v/>
      </c>
    </row>
    <row r="15022">
      <c r="F15022" s="1" t="str">
        <f t="shared" si="1"/>
        <v/>
      </c>
      <c r="G15022" s="1" t="str">
        <f t="shared" si="2"/>
        <v/>
      </c>
      <c r="J15022" s="1" t="str">
        <f t="shared" si="3"/>
        <v/>
      </c>
      <c r="K15022" s="1" t="str">
        <f t="shared" si="4"/>
        <v/>
      </c>
    </row>
    <row r="15023">
      <c r="F15023" s="1" t="str">
        <f t="shared" si="1"/>
        <v/>
      </c>
      <c r="G15023" s="1" t="str">
        <f t="shared" si="2"/>
        <v/>
      </c>
      <c r="J15023" s="1" t="str">
        <f t="shared" si="3"/>
        <v/>
      </c>
      <c r="K15023" s="1" t="str">
        <f t="shared" si="4"/>
        <v/>
      </c>
    </row>
    <row r="15024">
      <c r="F15024" s="1" t="str">
        <f t="shared" si="1"/>
        <v/>
      </c>
      <c r="G15024" s="1" t="str">
        <f t="shared" si="2"/>
        <v/>
      </c>
      <c r="J15024" s="1" t="str">
        <f t="shared" si="3"/>
        <v/>
      </c>
      <c r="K15024" s="1" t="str">
        <f t="shared" si="4"/>
        <v/>
      </c>
    </row>
    <row r="15025">
      <c r="F15025" s="1" t="str">
        <f t="shared" si="1"/>
        <v/>
      </c>
      <c r="G15025" s="1" t="str">
        <f t="shared" si="2"/>
        <v/>
      </c>
      <c r="J15025" s="1" t="str">
        <f t="shared" si="3"/>
        <v/>
      </c>
      <c r="K15025" s="1" t="str">
        <f t="shared" si="4"/>
        <v/>
      </c>
    </row>
    <row r="15026">
      <c r="F15026" s="1" t="str">
        <f t="shared" si="1"/>
        <v/>
      </c>
      <c r="G15026" s="1" t="str">
        <f t="shared" si="2"/>
        <v/>
      </c>
      <c r="J15026" s="1" t="str">
        <f t="shared" si="3"/>
        <v/>
      </c>
      <c r="K15026" s="1" t="str">
        <f t="shared" si="4"/>
        <v/>
      </c>
    </row>
    <row r="15027">
      <c r="F15027" s="1" t="str">
        <f t="shared" si="1"/>
        <v/>
      </c>
      <c r="G15027" s="1" t="str">
        <f t="shared" si="2"/>
        <v/>
      </c>
      <c r="J15027" s="1" t="str">
        <f t="shared" si="3"/>
        <v/>
      </c>
      <c r="K15027" s="1" t="str">
        <f t="shared" si="4"/>
        <v/>
      </c>
    </row>
    <row r="15028">
      <c r="F15028" s="1" t="str">
        <f t="shared" si="1"/>
        <v/>
      </c>
      <c r="G15028" s="1" t="str">
        <f t="shared" si="2"/>
        <v/>
      </c>
      <c r="J15028" s="1" t="str">
        <f t="shared" si="3"/>
        <v/>
      </c>
      <c r="K15028" s="1" t="str">
        <f t="shared" si="4"/>
        <v/>
      </c>
    </row>
    <row r="15029">
      <c r="F15029" s="1" t="str">
        <f t="shared" si="1"/>
        <v/>
      </c>
      <c r="G15029" s="1" t="str">
        <f t="shared" si="2"/>
        <v/>
      </c>
      <c r="J15029" s="1" t="str">
        <f t="shared" si="3"/>
        <v/>
      </c>
      <c r="K15029" s="1" t="str">
        <f t="shared" si="4"/>
        <v/>
      </c>
    </row>
    <row r="15030">
      <c r="F15030" s="1" t="str">
        <f t="shared" si="1"/>
        <v/>
      </c>
      <c r="G15030" s="1" t="str">
        <f t="shared" si="2"/>
        <v/>
      </c>
      <c r="J15030" s="1" t="str">
        <f t="shared" si="3"/>
        <v/>
      </c>
      <c r="K15030" s="1" t="str">
        <f t="shared" si="4"/>
        <v/>
      </c>
    </row>
    <row r="15031">
      <c r="F15031" s="1" t="str">
        <f t="shared" si="1"/>
        <v/>
      </c>
      <c r="G15031" s="1" t="str">
        <f t="shared" si="2"/>
        <v/>
      </c>
      <c r="J15031" s="1" t="str">
        <f t="shared" si="3"/>
        <v/>
      </c>
      <c r="K15031" s="1" t="str">
        <f t="shared" si="4"/>
        <v/>
      </c>
    </row>
    <row r="15032">
      <c r="F15032" s="1" t="str">
        <f t="shared" si="1"/>
        <v/>
      </c>
      <c r="G15032" s="1" t="str">
        <f t="shared" si="2"/>
        <v/>
      </c>
      <c r="J15032" s="1" t="str">
        <f t="shared" si="3"/>
        <v/>
      </c>
      <c r="K15032" s="1" t="str">
        <f t="shared" si="4"/>
        <v/>
      </c>
    </row>
    <row r="15033">
      <c r="F15033" s="1" t="str">
        <f t="shared" si="1"/>
        <v/>
      </c>
      <c r="G15033" s="1" t="str">
        <f t="shared" si="2"/>
        <v/>
      </c>
      <c r="J15033" s="1" t="str">
        <f t="shared" si="3"/>
        <v/>
      </c>
      <c r="K15033" s="1" t="str">
        <f t="shared" si="4"/>
        <v/>
      </c>
    </row>
    <row r="15034">
      <c r="F15034" s="1" t="str">
        <f t="shared" si="1"/>
        <v/>
      </c>
      <c r="G15034" s="1" t="str">
        <f t="shared" si="2"/>
        <v/>
      </c>
      <c r="J15034" s="1" t="str">
        <f t="shared" si="3"/>
        <v/>
      </c>
      <c r="K15034" s="1" t="str">
        <f t="shared" si="4"/>
        <v/>
      </c>
    </row>
    <row r="15035">
      <c r="F15035" s="1" t="str">
        <f t="shared" si="1"/>
        <v/>
      </c>
      <c r="G15035" s="1" t="str">
        <f t="shared" si="2"/>
        <v/>
      </c>
      <c r="J15035" s="1" t="str">
        <f t="shared" si="3"/>
        <v/>
      </c>
      <c r="K15035" s="1" t="str">
        <f t="shared" si="4"/>
        <v/>
      </c>
    </row>
    <row r="15036">
      <c r="F15036" s="1" t="str">
        <f t="shared" si="1"/>
        <v/>
      </c>
      <c r="G15036" s="1" t="str">
        <f t="shared" si="2"/>
        <v/>
      </c>
      <c r="J15036" s="1" t="str">
        <f t="shared" si="3"/>
        <v/>
      </c>
      <c r="K15036" s="1" t="str">
        <f t="shared" si="4"/>
        <v/>
      </c>
    </row>
    <row r="15037">
      <c r="F15037" s="1" t="str">
        <f t="shared" si="1"/>
        <v/>
      </c>
      <c r="G15037" s="1" t="str">
        <f t="shared" si="2"/>
        <v/>
      </c>
      <c r="J15037" s="1" t="str">
        <f t="shared" si="3"/>
        <v/>
      </c>
      <c r="K15037" s="1" t="str">
        <f t="shared" si="4"/>
        <v/>
      </c>
    </row>
    <row r="15038">
      <c r="F15038" s="1" t="str">
        <f t="shared" si="1"/>
        <v/>
      </c>
      <c r="G15038" s="1" t="str">
        <f t="shared" si="2"/>
        <v/>
      </c>
      <c r="J15038" s="1" t="str">
        <f t="shared" si="3"/>
        <v/>
      </c>
      <c r="K15038" s="1" t="str">
        <f t="shared" si="4"/>
        <v/>
      </c>
    </row>
    <row r="15039">
      <c r="F15039" s="1" t="str">
        <f t="shared" si="1"/>
        <v/>
      </c>
      <c r="G15039" s="1" t="str">
        <f t="shared" si="2"/>
        <v/>
      </c>
      <c r="J15039" s="1" t="str">
        <f t="shared" si="3"/>
        <v/>
      </c>
      <c r="K15039" s="1" t="str">
        <f t="shared" si="4"/>
        <v/>
      </c>
    </row>
    <row r="15040">
      <c r="F15040" s="1" t="str">
        <f t="shared" si="1"/>
        <v/>
      </c>
      <c r="G15040" s="1" t="str">
        <f t="shared" si="2"/>
        <v/>
      </c>
      <c r="J15040" s="1" t="str">
        <f t="shared" si="3"/>
        <v/>
      </c>
      <c r="K15040" s="1" t="str">
        <f t="shared" si="4"/>
        <v/>
      </c>
    </row>
    <row r="15041">
      <c r="F15041" s="1" t="str">
        <f t="shared" si="1"/>
        <v/>
      </c>
      <c r="G15041" s="1" t="str">
        <f t="shared" si="2"/>
        <v/>
      </c>
      <c r="J15041" s="1" t="str">
        <f t="shared" si="3"/>
        <v/>
      </c>
      <c r="K15041" s="1" t="str">
        <f t="shared" si="4"/>
        <v/>
      </c>
    </row>
    <row r="15042">
      <c r="F15042" s="1" t="str">
        <f t="shared" si="1"/>
        <v/>
      </c>
      <c r="G15042" s="1" t="str">
        <f t="shared" si="2"/>
        <v/>
      </c>
      <c r="J15042" s="1" t="str">
        <f t="shared" si="3"/>
        <v/>
      </c>
      <c r="K15042" s="1" t="str">
        <f t="shared" si="4"/>
        <v/>
      </c>
    </row>
    <row r="15043">
      <c r="F15043" s="1" t="str">
        <f t="shared" si="1"/>
        <v/>
      </c>
      <c r="G15043" s="1" t="str">
        <f t="shared" si="2"/>
        <v/>
      </c>
      <c r="J15043" s="1" t="str">
        <f t="shared" si="3"/>
        <v/>
      </c>
      <c r="K15043" s="1" t="str">
        <f t="shared" si="4"/>
        <v/>
      </c>
    </row>
    <row r="15044">
      <c r="F15044" s="1" t="str">
        <f t="shared" si="1"/>
        <v/>
      </c>
      <c r="G15044" s="1" t="str">
        <f t="shared" si="2"/>
        <v/>
      </c>
      <c r="J15044" s="1" t="str">
        <f t="shared" si="3"/>
        <v/>
      </c>
      <c r="K15044" s="1" t="str">
        <f t="shared" si="4"/>
        <v/>
      </c>
    </row>
    <row r="15045">
      <c r="F15045" s="1" t="str">
        <f t="shared" si="1"/>
        <v/>
      </c>
      <c r="G15045" s="1" t="str">
        <f t="shared" si="2"/>
        <v/>
      </c>
      <c r="J15045" s="1" t="str">
        <f t="shared" si="3"/>
        <v/>
      </c>
      <c r="K15045" s="1" t="str">
        <f t="shared" si="4"/>
        <v/>
      </c>
    </row>
    <row r="15046">
      <c r="F15046" s="1" t="str">
        <f t="shared" si="1"/>
        <v/>
      </c>
      <c r="G15046" s="1" t="str">
        <f t="shared" si="2"/>
        <v/>
      </c>
      <c r="J15046" s="1" t="str">
        <f t="shared" si="3"/>
        <v/>
      </c>
      <c r="K15046" s="1" t="str">
        <f t="shared" si="4"/>
        <v/>
      </c>
    </row>
    <row r="15047">
      <c r="F15047" s="1" t="str">
        <f t="shared" si="1"/>
        <v/>
      </c>
      <c r="G15047" s="1" t="str">
        <f t="shared" si="2"/>
        <v/>
      </c>
      <c r="J15047" s="1" t="str">
        <f t="shared" si="3"/>
        <v/>
      </c>
      <c r="K15047" s="1" t="str">
        <f t="shared" si="4"/>
        <v/>
      </c>
    </row>
    <row r="15048">
      <c r="F15048" s="1" t="str">
        <f t="shared" si="1"/>
        <v/>
      </c>
      <c r="G15048" s="1" t="str">
        <f t="shared" si="2"/>
        <v/>
      </c>
      <c r="J15048" s="1" t="str">
        <f t="shared" si="3"/>
        <v/>
      </c>
      <c r="K15048" s="1" t="str">
        <f t="shared" si="4"/>
        <v/>
      </c>
    </row>
    <row r="15049">
      <c r="F15049" s="1" t="str">
        <f t="shared" si="1"/>
        <v/>
      </c>
      <c r="G15049" s="1" t="str">
        <f t="shared" si="2"/>
        <v/>
      </c>
      <c r="J15049" s="1" t="str">
        <f t="shared" si="3"/>
        <v/>
      </c>
      <c r="K15049" s="1" t="str">
        <f t="shared" si="4"/>
        <v/>
      </c>
    </row>
    <row r="15050">
      <c r="F15050" s="1" t="str">
        <f t="shared" si="1"/>
        <v/>
      </c>
      <c r="G15050" s="1" t="str">
        <f t="shared" si="2"/>
        <v/>
      </c>
      <c r="J15050" s="1" t="str">
        <f t="shared" si="3"/>
        <v/>
      </c>
      <c r="K15050" s="1" t="str">
        <f t="shared" si="4"/>
        <v/>
      </c>
    </row>
    <row r="15051">
      <c r="F15051" s="1" t="str">
        <f t="shared" si="1"/>
        <v/>
      </c>
      <c r="G15051" s="1" t="str">
        <f t="shared" si="2"/>
        <v/>
      </c>
      <c r="J15051" s="1" t="str">
        <f t="shared" si="3"/>
        <v/>
      </c>
      <c r="K15051" s="1" t="str">
        <f t="shared" si="4"/>
        <v/>
      </c>
    </row>
    <row r="15052">
      <c r="F15052" s="1" t="str">
        <f t="shared" si="1"/>
        <v/>
      </c>
      <c r="G15052" s="1" t="str">
        <f t="shared" si="2"/>
        <v/>
      </c>
      <c r="J15052" s="1" t="str">
        <f t="shared" si="3"/>
        <v/>
      </c>
      <c r="K15052" s="1" t="str">
        <f t="shared" si="4"/>
        <v/>
      </c>
    </row>
    <row r="15053">
      <c r="F15053" s="1" t="str">
        <f t="shared" si="1"/>
        <v/>
      </c>
      <c r="G15053" s="1" t="str">
        <f t="shared" si="2"/>
        <v/>
      </c>
      <c r="J15053" s="1" t="str">
        <f t="shared" si="3"/>
        <v/>
      </c>
      <c r="K15053" s="1" t="str">
        <f t="shared" si="4"/>
        <v/>
      </c>
    </row>
    <row r="15054">
      <c r="F15054" s="1" t="str">
        <f t="shared" si="1"/>
        <v/>
      </c>
      <c r="G15054" s="1" t="str">
        <f t="shared" si="2"/>
        <v/>
      </c>
      <c r="J15054" s="1" t="str">
        <f t="shared" si="3"/>
        <v/>
      </c>
      <c r="K15054" s="1" t="str">
        <f t="shared" si="4"/>
        <v/>
      </c>
    </row>
    <row r="15055">
      <c r="F15055" s="1" t="str">
        <f t="shared" si="1"/>
        <v/>
      </c>
      <c r="G15055" s="1" t="str">
        <f t="shared" si="2"/>
        <v/>
      </c>
      <c r="J15055" s="1" t="str">
        <f t="shared" si="3"/>
        <v/>
      </c>
      <c r="K15055" s="1" t="str">
        <f t="shared" si="4"/>
        <v/>
      </c>
    </row>
    <row r="15056">
      <c r="F15056" s="1" t="str">
        <f t="shared" si="1"/>
        <v/>
      </c>
      <c r="G15056" s="1" t="str">
        <f t="shared" si="2"/>
        <v/>
      </c>
      <c r="J15056" s="1" t="str">
        <f t="shared" si="3"/>
        <v/>
      </c>
      <c r="K15056" s="1" t="str">
        <f t="shared" si="4"/>
        <v/>
      </c>
    </row>
    <row r="15057">
      <c r="F15057" s="1" t="str">
        <f t="shared" si="1"/>
        <v/>
      </c>
      <c r="G15057" s="1" t="str">
        <f t="shared" si="2"/>
        <v/>
      </c>
      <c r="J15057" s="1" t="str">
        <f t="shared" si="3"/>
        <v/>
      </c>
      <c r="K15057" s="1" t="str">
        <f t="shared" si="4"/>
        <v/>
      </c>
    </row>
    <row r="15058">
      <c r="F15058" s="1" t="str">
        <f t="shared" si="1"/>
        <v/>
      </c>
      <c r="G15058" s="1" t="str">
        <f t="shared" si="2"/>
        <v/>
      </c>
      <c r="J15058" s="1" t="str">
        <f t="shared" si="3"/>
        <v/>
      </c>
      <c r="K15058" s="1" t="str">
        <f t="shared" si="4"/>
        <v/>
      </c>
    </row>
    <row r="15059">
      <c r="F15059" s="1" t="str">
        <f t="shared" si="1"/>
        <v/>
      </c>
      <c r="G15059" s="1" t="str">
        <f t="shared" si="2"/>
        <v/>
      </c>
      <c r="J15059" s="1" t="str">
        <f t="shared" si="3"/>
        <v/>
      </c>
      <c r="K15059" s="1" t="str">
        <f t="shared" si="4"/>
        <v/>
      </c>
    </row>
    <row r="15060">
      <c r="F15060" s="1" t="str">
        <f t="shared" si="1"/>
        <v/>
      </c>
      <c r="G15060" s="1" t="str">
        <f t="shared" si="2"/>
        <v/>
      </c>
      <c r="J15060" s="1" t="str">
        <f t="shared" si="3"/>
        <v/>
      </c>
      <c r="K15060" s="1" t="str">
        <f t="shared" si="4"/>
        <v/>
      </c>
    </row>
    <row r="15061">
      <c r="F15061" s="1" t="str">
        <f t="shared" si="1"/>
        <v/>
      </c>
      <c r="G15061" s="1" t="str">
        <f t="shared" si="2"/>
        <v/>
      </c>
      <c r="J15061" s="1" t="str">
        <f t="shared" si="3"/>
        <v/>
      </c>
      <c r="K15061" s="1" t="str">
        <f t="shared" si="4"/>
        <v/>
      </c>
    </row>
    <row r="15062">
      <c r="F15062" s="1" t="str">
        <f t="shared" si="1"/>
        <v/>
      </c>
      <c r="G15062" s="1" t="str">
        <f t="shared" si="2"/>
        <v/>
      </c>
      <c r="J15062" s="1" t="str">
        <f t="shared" si="3"/>
        <v/>
      </c>
      <c r="K15062" s="1" t="str">
        <f t="shared" si="4"/>
        <v/>
      </c>
    </row>
    <row r="15063">
      <c r="F15063" s="1" t="str">
        <f t="shared" si="1"/>
        <v/>
      </c>
      <c r="G15063" s="1" t="str">
        <f t="shared" si="2"/>
        <v/>
      </c>
      <c r="J15063" s="1" t="str">
        <f t="shared" si="3"/>
        <v/>
      </c>
      <c r="K15063" s="1" t="str">
        <f t="shared" si="4"/>
        <v/>
      </c>
    </row>
    <row r="15064">
      <c r="F15064" s="1" t="str">
        <f t="shared" si="1"/>
        <v/>
      </c>
      <c r="G15064" s="1" t="str">
        <f t="shared" si="2"/>
        <v/>
      </c>
      <c r="J15064" s="1" t="str">
        <f t="shared" si="3"/>
        <v/>
      </c>
      <c r="K15064" s="1" t="str">
        <f t="shared" si="4"/>
        <v/>
      </c>
    </row>
    <row r="15065">
      <c r="F15065" s="1" t="str">
        <f t="shared" si="1"/>
        <v/>
      </c>
      <c r="G15065" s="1" t="str">
        <f t="shared" si="2"/>
        <v/>
      </c>
      <c r="J15065" s="1" t="str">
        <f t="shared" si="3"/>
        <v/>
      </c>
      <c r="K15065" s="1" t="str">
        <f t="shared" si="4"/>
        <v/>
      </c>
    </row>
    <row r="15066">
      <c r="F15066" s="1" t="str">
        <f t="shared" si="1"/>
        <v/>
      </c>
      <c r="G15066" s="1" t="str">
        <f t="shared" si="2"/>
        <v/>
      </c>
      <c r="J15066" s="1" t="str">
        <f t="shared" si="3"/>
        <v/>
      </c>
      <c r="K15066" s="1" t="str">
        <f t="shared" si="4"/>
        <v/>
      </c>
    </row>
    <row r="15067">
      <c r="F15067" s="1" t="str">
        <f t="shared" si="1"/>
        <v/>
      </c>
      <c r="G15067" s="1" t="str">
        <f t="shared" si="2"/>
        <v/>
      </c>
      <c r="J15067" s="1" t="str">
        <f t="shared" si="3"/>
        <v/>
      </c>
      <c r="K15067" s="1" t="str">
        <f t="shared" si="4"/>
        <v/>
      </c>
    </row>
    <row r="15068">
      <c r="F15068" s="1" t="str">
        <f t="shared" si="1"/>
        <v/>
      </c>
      <c r="G15068" s="1" t="str">
        <f t="shared" si="2"/>
        <v/>
      </c>
      <c r="J15068" s="1" t="str">
        <f t="shared" si="3"/>
        <v/>
      </c>
      <c r="K15068" s="1" t="str">
        <f t="shared" si="4"/>
        <v/>
      </c>
    </row>
    <row r="15069">
      <c r="F15069" s="1" t="str">
        <f t="shared" si="1"/>
        <v/>
      </c>
      <c r="G15069" s="1" t="str">
        <f t="shared" si="2"/>
        <v/>
      </c>
      <c r="J15069" s="1" t="str">
        <f t="shared" si="3"/>
        <v/>
      </c>
      <c r="K15069" s="1" t="str">
        <f t="shared" si="4"/>
        <v/>
      </c>
    </row>
    <row r="15070">
      <c r="F15070" s="1" t="str">
        <f t="shared" si="1"/>
        <v/>
      </c>
      <c r="G15070" s="1" t="str">
        <f t="shared" si="2"/>
        <v/>
      </c>
      <c r="J15070" s="1" t="str">
        <f t="shared" si="3"/>
        <v/>
      </c>
      <c r="K15070" s="1" t="str">
        <f t="shared" si="4"/>
        <v/>
      </c>
    </row>
    <row r="15071">
      <c r="F15071" s="1" t="str">
        <f t="shared" si="1"/>
        <v/>
      </c>
      <c r="G15071" s="1" t="str">
        <f t="shared" si="2"/>
        <v/>
      </c>
      <c r="J15071" s="1" t="str">
        <f t="shared" si="3"/>
        <v/>
      </c>
      <c r="K15071" s="1" t="str">
        <f t="shared" si="4"/>
        <v/>
      </c>
    </row>
    <row r="15072">
      <c r="F15072" s="1" t="str">
        <f t="shared" si="1"/>
        <v/>
      </c>
      <c r="G15072" s="1" t="str">
        <f t="shared" si="2"/>
        <v/>
      </c>
      <c r="J15072" s="1" t="str">
        <f t="shared" si="3"/>
        <v/>
      </c>
      <c r="K15072" s="1" t="str">
        <f t="shared" si="4"/>
        <v/>
      </c>
    </row>
    <row r="15073">
      <c r="F15073" s="1" t="str">
        <f t="shared" si="1"/>
        <v/>
      </c>
      <c r="G15073" s="1" t="str">
        <f t="shared" si="2"/>
        <v/>
      </c>
      <c r="J15073" s="1" t="str">
        <f t="shared" si="3"/>
        <v/>
      </c>
      <c r="K15073" s="1" t="str">
        <f t="shared" si="4"/>
        <v/>
      </c>
    </row>
    <row r="15074">
      <c r="F15074" s="1" t="str">
        <f t="shared" si="1"/>
        <v/>
      </c>
      <c r="G15074" s="1" t="str">
        <f t="shared" si="2"/>
        <v/>
      </c>
      <c r="J15074" s="1" t="str">
        <f t="shared" si="3"/>
        <v/>
      </c>
      <c r="K15074" s="1" t="str">
        <f t="shared" si="4"/>
        <v/>
      </c>
    </row>
    <row r="15075">
      <c r="F15075" s="1" t="str">
        <f t="shared" si="1"/>
        <v/>
      </c>
      <c r="G15075" s="1" t="str">
        <f t="shared" si="2"/>
        <v/>
      </c>
      <c r="J15075" s="1" t="str">
        <f t="shared" si="3"/>
        <v/>
      </c>
      <c r="K15075" s="1" t="str">
        <f t="shared" si="4"/>
        <v/>
      </c>
    </row>
    <row r="15076">
      <c r="F15076" s="1" t="str">
        <f t="shared" si="1"/>
        <v/>
      </c>
      <c r="G15076" s="1" t="str">
        <f t="shared" si="2"/>
        <v/>
      </c>
      <c r="J15076" s="1" t="str">
        <f t="shared" si="3"/>
        <v/>
      </c>
      <c r="K15076" s="1" t="str">
        <f t="shared" si="4"/>
        <v/>
      </c>
    </row>
    <row r="15077">
      <c r="F15077" s="1" t="str">
        <f t="shared" si="1"/>
        <v/>
      </c>
      <c r="G15077" s="1" t="str">
        <f t="shared" si="2"/>
        <v/>
      </c>
      <c r="J15077" s="1" t="str">
        <f t="shared" si="3"/>
        <v/>
      </c>
      <c r="K15077" s="1" t="str">
        <f t="shared" si="4"/>
        <v/>
      </c>
    </row>
    <row r="15078">
      <c r="F15078" s="1" t="str">
        <f t="shared" si="1"/>
        <v/>
      </c>
      <c r="G15078" s="1" t="str">
        <f t="shared" si="2"/>
        <v/>
      </c>
      <c r="J15078" s="1" t="str">
        <f t="shared" si="3"/>
        <v/>
      </c>
      <c r="K15078" s="1" t="str">
        <f t="shared" si="4"/>
        <v/>
      </c>
    </row>
    <row r="15079">
      <c r="F15079" s="1" t="str">
        <f t="shared" si="1"/>
        <v/>
      </c>
      <c r="G15079" s="1" t="str">
        <f t="shared" si="2"/>
        <v/>
      </c>
      <c r="J15079" s="1" t="str">
        <f t="shared" si="3"/>
        <v/>
      </c>
      <c r="K15079" s="1" t="str">
        <f t="shared" si="4"/>
        <v/>
      </c>
    </row>
    <row r="15080">
      <c r="F15080" s="1" t="str">
        <f t="shared" si="1"/>
        <v/>
      </c>
      <c r="G15080" s="1" t="str">
        <f t="shared" si="2"/>
        <v/>
      </c>
      <c r="J15080" s="1" t="str">
        <f t="shared" si="3"/>
        <v/>
      </c>
      <c r="K15080" s="1" t="str">
        <f t="shared" si="4"/>
        <v/>
      </c>
    </row>
    <row r="15081">
      <c r="F15081" s="1" t="str">
        <f t="shared" si="1"/>
        <v/>
      </c>
      <c r="G15081" s="1" t="str">
        <f t="shared" si="2"/>
        <v/>
      </c>
      <c r="J15081" s="1" t="str">
        <f t="shared" si="3"/>
        <v/>
      </c>
      <c r="K15081" s="1" t="str">
        <f t="shared" si="4"/>
        <v/>
      </c>
    </row>
    <row r="15082">
      <c r="F15082" s="1" t="str">
        <f t="shared" si="1"/>
        <v/>
      </c>
      <c r="G15082" s="1" t="str">
        <f t="shared" si="2"/>
        <v/>
      </c>
      <c r="J15082" s="1" t="str">
        <f t="shared" si="3"/>
        <v/>
      </c>
      <c r="K15082" s="1" t="str">
        <f t="shared" si="4"/>
        <v/>
      </c>
    </row>
    <row r="15083">
      <c r="F15083" s="1" t="str">
        <f t="shared" si="1"/>
        <v/>
      </c>
      <c r="G15083" s="1" t="str">
        <f t="shared" si="2"/>
        <v/>
      </c>
      <c r="J15083" s="1" t="str">
        <f t="shared" si="3"/>
        <v/>
      </c>
      <c r="K15083" s="1" t="str">
        <f t="shared" si="4"/>
        <v/>
      </c>
    </row>
    <row r="15084">
      <c r="F15084" s="1" t="str">
        <f t="shared" si="1"/>
        <v/>
      </c>
      <c r="G15084" s="1" t="str">
        <f t="shared" si="2"/>
        <v/>
      </c>
      <c r="J15084" s="1" t="str">
        <f t="shared" si="3"/>
        <v/>
      </c>
      <c r="K15084" s="1" t="str">
        <f t="shared" si="4"/>
        <v/>
      </c>
    </row>
    <row r="15085">
      <c r="F15085" s="1" t="str">
        <f t="shared" si="1"/>
        <v/>
      </c>
      <c r="G15085" s="1" t="str">
        <f t="shared" si="2"/>
        <v/>
      </c>
      <c r="J15085" s="1" t="str">
        <f t="shared" si="3"/>
        <v/>
      </c>
      <c r="K15085" s="1" t="str">
        <f t="shared" si="4"/>
        <v/>
      </c>
    </row>
    <row r="15086">
      <c r="F15086" s="1" t="str">
        <f t="shared" si="1"/>
        <v/>
      </c>
      <c r="G15086" s="1" t="str">
        <f t="shared" si="2"/>
        <v/>
      </c>
      <c r="J15086" s="1" t="str">
        <f t="shared" si="3"/>
        <v/>
      </c>
      <c r="K15086" s="1" t="str">
        <f t="shared" si="4"/>
        <v/>
      </c>
    </row>
    <row r="15087">
      <c r="F15087" s="1" t="str">
        <f t="shared" si="1"/>
        <v/>
      </c>
      <c r="G15087" s="1" t="str">
        <f t="shared" si="2"/>
        <v/>
      </c>
      <c r="J15087" s="1" t="str">
        <f t="shared" si="3"/>
        <v/>
      </c>
      <c r="K15087" s="1" t="str">
        <f t="shared" si="4"/>
        <v/>
      </c>
    </row>
    <row r="15088">
      <c r="F15088" s="1" t="str">
        <f t="shared" si="1"/>
        <v/>
      </c>
      <c r="G15088" s="1" t="str">
        <f t="shared" si="2"/>
        <v/>
      </c>
      <c r="J15088" s="1" t="str">
        <f t="shared" si="3"/>
        <v/>
      </c>
      <c r="K15088" s="1" t="str">
        <f t="shared" si="4"/>
        <v/>
      </c>
    </row>
    <row r="15089">
      <c r="F15089" s="1" t="str">
        <f t="shared" si="1"/>
        <v/>
      </c>
      <c r="G15089" s="1" t="str">
        <f t="shared" si="2"/>
        <v/>
      </c>
      <c r="J15089" s="1" t="str">
        <f t="shared" si="3"/>
        <v/>
      </c>
      <c r="K15089" s="1" t="str">
        <f t="shared" si="4"/>
        <v/>
      </c>
    </row>
    <row r="15090">
      <c r="F15090" s="1" t="str">
        <f t="shared" si="1"/>
        <v/>
      </c>
      <c r="G15090" s="1" t="str">
        <f t="shared" si="2"/>
        <v/>
      </c>
      <c r="J15090" s="1" t="str">
        <f t="shared" si="3"/>
        <v/>
      </c>
      <c r="K15090" s="1" t="str">
        <f t="shared" si="4"/>
        <v/>
      </c>
    </row>
    <row r="15091">
      <c r="F15091" s="1" t="str">
        <f t="shared" si="1"/>
        <v/>
      </c>
      <c r="G15091" s="1" t="str">
        <f t="shared" si="2"/>
        <v/>
      </c>
      <c r="J15091" s="1" t="str">
        <f t="shared" si="3"/>
        <v/>
      </c>
      <c r="K15091" s="1" t="str">
        <f t="shared" si="4"/>
        <v/>
      </c>
    </row>
    <row r="15092">
      <c r="F15092" s="1" t="str">
        <f t="shared" si="1"/>
        <v/>
      </c>
      <c r="G15092" s="1" t="str">
        <f t="shared" si="2"/>
        <v/>
      </c>
      <c r="J15092" s="1" t="str">
        <f t="shared" si="3"/>
        <v/>
      </c>
      <c r="K15092" s="1" t="str">
        <f t="shared" si="4"/>
        <v/>
      </c>
    </row>
    <row r="15093">
      <c r="F15093" s="1" t="str">
        <f t="shared" si="1"/>
        <v/>
      </c>
      <c r="G15093" s="1" t="str">
        <f t="shared" si="2"/>
        <v/>
      </c>
      <c r="J15093" s="1" t="str">
        <f t="shared" si="3"/>
        <v/>
      </c>
      <c r="K15093" s="1" t="str">
        <f t="shared" si="4"/>
        <v/>
      </c>
    </row>
    <row r="15094">
      <c r="F15094" s="1" t="str">
        <f t="shared" si="1"/>
        <v/>
      </c>
      <c r="G15094" s="1" t="str">
        <f t="shared" si="2"/>
        <v/>
      </c>
      <c r="J15094" s="1" t="str">
        <f t="shared" si="3"/>
        <v/>
      </c>
      <c r="K15094" s="1" t="str">
        <f t="shared" si="4"/>
        <v/>
      </c>
    </row>
    <row r="15095">
      <c r="F15095" s="1" t="str">
        <f t="shared" si="1"/>
        <v/>
      </c>
      <c r="G15095" s="1" t="str">
        <f t="shared" si="2"/>
        <v/>
      </c>
      <c r="J15095" s="1" t="str">
        <f t="shared" si="3"/>
        <v/>
      </c>
      <c r="K15095" s="1" t="str">
        <f t="shared" si="4"/>
        <v/>
      </c>
    </row>
    <row r="15096">
      <c r="F15096" s="1" t="str">
        <f t="shared" si="1"/>
        <v/>
      </c>
      <c r="G15096" s="1" t="str">
        <f t="shared" si="2"/>
        <v/>
      </c>
      <c r="J15096" s="1" t="str">
        <f t="shared" si="3"/>
        <v/>
      </c>
      <c r="K15096" s="1" t="str">
        <f t="shared" si="4"/>
        <v/>
      </c>
    </row>
    <row r="15097">
      <c r="F15097" s="1" t="str">
        <f t="shared" si="1"/>
        <v/>
      </c>
      <c r="G15097" s="1" t="str">
        <f t="shared" si="2"/>
        <v/>
      </c>
      <c r="J15097" s="1" t="str">
        <f t="shared" si="3"/>
        <v/>
      </c>
      <c r="K15097" s="1" t="str">
        <f t="shared" si="4"/>
        <v/>
      </c>
    </row>
    <row r="15098">
      <c r="F15098" s="1" t="str">
        <f t="shared" si="1"/>
        <v/>
      </c>
      <c r="G15098" s="1" t="str">
        <f t="shared" si="2"/>
        <v/>
      </c>
      <c r="J15098" s="1" t="str">
        <f t="shared" si="3"/>
        <v/>
      </c>
      <c r="K15098" s="1" t="str">
        <f t="shared" si="4"/>
        <v/>
      </c>
    </row>
    <row r="15099">
      <c r="F15099" s="1" t="str">
        <f t="shared" si="1"/>
        <v/>
      </c>
      <c r="G15099" s="1" t="str">
        <f t="shared" si="2"/>
        <v/>
      </c>
      <c r="J15099" s="1" t="str">
        <f t="shared" si="3"/>
        <v/>
      </c>
      <c r="K15099" s="1" t="str">
        <f t="shared" si="4"/>
        <v/>
      </c>
    </row>
    <row r="15100">
      <c r="F15100" s="1" t="str">
        <f t="shared" si="1"/>
        <v/>
      </c>
      <c r="G15100" s="1" t="str">
        <f t="shared" si="2"/>
        <v/>
      </c>
      <c r="J15100" s="1" t="str">
        <f t="shared" si="3"/>
        <v/>
      </c>
      <c r="K15100" s="1" t="str">
        <f t="shared" si="4"/>
        <v/>
      </c>
    </row>
    <row r="15101">
      <c r="F15101" s="1" t="str">
        <f t="shared" si="1"/>
        <v/>
      </c>
      <c r="G15101" s="1" t="str">
        <f t="shared" si="2"/>
        <v/>
      </c>
      <c r="J15101" s="1" t="str">
        <f t="shared" si="3"/>
        <v/>
      </c>
      <c r="K15101" s="1" t="str">
        <f t="shared" si="4"/>
        <v/>
      </c>
    </row>
    <row r="15102">
      <c r="F15102" s="1" t="str">
        <f t="shared" si="1"/>
        <v/>
      </c>
      <c r="G15102" s="1" t="str">
        <f t="shared" si="2"/>
        <v/>
      </c>
      <c r="J15102" s="1" t="str">
        <f t="shared" si="3"/>
        <v/>
      </c>
      <c r="K15102" s="1" t="str">
        <f t="shared" si="4"/>
        <v/>
      </c>
    </row>
    <row r="15103">
      <c r="F15103" s="1" t="str">
        <f t="shared" si="1"/>
        <v/>
      </c>
      <c r="G15103" s="1" t="str">
        <f t="shared" si="2"/>
        <v/>
      </c>
      <c r="J15103" s="1" t="str">
        <f t="shared" si="3"/>
        <v/>
      </c>
      <c r="K15103" s="1" t="str">
        <f t="shared" si="4"/>
        <v/>
      </c>
    </row>
    <row r="15104">
      <c r="F15104" s="1" t="str">
        <f t="shared" si="1"/>
        <v/>
      </c>
      <c r="G15104" s="1" t="str">
        <f t="shared" si="2"/>
        <v/>
      </c>
      <c r="J15104" s="1" t="str">
        <f t="shared" si="3"/>
        <v/>
      </c>
      <c r="K15104" s="1" t="str">
        <f t="shared" si="4"/>
        <v/>
      </c>
    </row>
    <row r="15105">
      <c r="F15105" s="1" t="str">
        <f t="shared" si="1"/>
        <v/>
      </c>
      <c r="G15105" s="1" t="str">
        <f t="shared" si="2"/>
        <v/>
      </c>
      <c r="J15105" s="1" t="str">
        <f t="shared" si="3"/>
        <v/>
      </c>
      <c r="K15105" s="1" t="str">
        <f t="shared" si="4"/>
        <v/>
      </c>
    </row>
    <row r="15106">
      <c r="F15106" s="1" t="str">
        <f t="shared" si="1"/>
        <v/>
      </c>
      <c r="G15106" s="1" t="str">
        <f t="shared" si="2"/>
        <v/>
      </c>
      <c r="J15106" s="1" t="str">
        <f t="shared" si="3"/>
        <v/>
      </c>
      <c r="K15106" s="1" t="str">
        <f t="shared" si="4"/>
        <v/>
      </c>
    </row>
    <row r="15107">
      <c r="F15107" s="1" t="str">
        <f t="shared" si="1"/>
        <v/>
      </c>
      <c r="G15107" s="1" t="str">
        <f t="shared" si="2"/>
        <v/>
      </c>
      <c r="J15107" s="1" t="str">
        <f t="shared" si="3"/>
        <v/>
      </c>
      <c r="K15107" s="1" t="str">
        <f t="shared" si="4"/>
        <v/>
      </c>
    </row>
    <row r="15108">
      <c r="F15108" s="1" t="str">
        <f t="shared" si="1"/>
        <v/>
      </c>
      <c r="G15108" s="1" t="str">
        <f t="shared" si="2"/>
        <v/>
      </c>
      <c r="J15108" s="1" t="str">
        <f t="shared" si="3"/>
        <v/>
      </c>
      <c r="K15108" s="1" t="str">
        <f t="shared" si="4"/>
        <v/>
      </c>
    </row>
    <row r="15109">
      <c r="F15109" s="1" t="str">
        <f t="shared" si="1"/>
        <v/>
      </c>
      <c r="G15109" s="1" t="str">
        <f t="shared" si="2"/>
        <v/>
      </c>
      <c r="J15109" s="1" t="str">
        <f t="shared" si="3"/>
        <v/>
      </c>
      <c r="K15109" s="1" t="str">
        <f t="shared" si="4"/>
        <v/>
      </c>
    </row>
    <row r="15110">
      <c r="F15110" s="1" t="str">
        <f t="shared" si="1"/>
        <v/>
      </c>
      <c r="G15110" s="1" t="str">
        <f t="shared" si="2"/>
        <v/>
      </c>
      <c r="J15110" s="1" t="str">
        <f t="shared" si="3"/>
        <v/>
      </c>
      <c r="K15110" s="1" t="str">
        <f t="shared" si="4"/>
        <v/>
      </c>
    </row>
    <row r="15111">
      <c r="F15111" s="1" t="str">
        <f t="shared" si="1"/>
        <v/>
      </c>
      <c r="G15111" s="1" t="str">
        <f t="shared" si="2"/>
        <v/>
      </c>
      <c r="J15111" s="1" t="str">
        <f t="shared" si="3"/>
        <v/>
      </c>
      <c r="K15111" s="1" t="str">
        <f t="shared" si="4"/>
        <v/>
      </c>
    </row>
    <row r="15112">
      <c r="F15112" s="1" t="str">
        <f t="shared" si="1"/>
        <v/>
      </c>
      <c r="G15112" s="1" t="str">
        <f t="shared" si="2"/>
        <v/>
      </c>
      <c r="J15112" s="1" t="str">
        <f t="shared" si="3"/>
        <v/>
      </c>
      <c r="K15112" s="1" t="str">
        <f t="shared" si="4"/>
        <v/>
      </c>
    </row>
    <row r="15113">
      <c r="F15113" s="1" t="str">
        <f t="shared" si="1"/>
        <v/>
      </c>
      <c r="G15113" s="1" t="str">
        <f t="shared" si="2"/>
        <v/>
      </c>
      <c r="J15113" s="1" t="str">
        <f t="shared" si="3"/>
        <v/>
      </c>
      <c r="K15113" s="1" t="str">
        <f t="shared" si="4"/>
        <v/>
      </c>
    </row>
    <row r="15114">
      <c r="F15114" s="1" t="str">
        <f t="shared" si="1"/>
        <v/>
      </c>
      <c r="G15114" s="1" t="str">
        <f t="shared" si="2"/>
        <v/>
      </c>
      <c r="J15114" s="1" t="str">
        <f t="shared" si="3"/>
        <v/>
      </c>
      <c r="K15114" s="1" t="str">
        <f t="shared" si="4"/>
        <v/>
      </c>
    </row>
    <row r="15115">
      <c r="F15115" s="1" t="str">
        <f t="shared" si="1"/>
        <v/>
      </c>
      <c r="G15115" s="1" t="str">
        <f t="shared" si="2"/>
        <v/>
      </c>
      <c r="J15115" s="1" t="str">
        <f t="shared" si="3"/>
        <v/>
      </c>
      <c r="K15115" s="1" t="str">
        <f t="shared" si="4"/>
        <v/>
      </c>
    </row>
    <row r="15116">
      <c r="F15116" s="1" t="str">
        <f t="shared" si="1"/>
        <v/>
      </c>
      <c r="G15116" s="1" t="str">
        <f t="shared" si="2"/>
        <v/>
      </c>
      <c r="J15116" s="1" t="str">
        <f t="shared" si="3"/>
        <v/>
      </c>
      <c r="K15116" s="1" t="str">
        <f t="shared" si="4"/>
        <v/>
      </c>
    </row>
    <row r="15117">
      <c r="F15117" s="1" t="str">
        <f t="shared" si="1"/>
        <v/>
      </c>
      <c r="G15117" s="1" t="str">
        <f t="shared" si="2"/>
        <v/>
      </c>
      <c r="J15117" s="1" t="str">
        <f t="shared" si="3"/>
        <v/>
      </c>
      <c r="K15117" s="1" t="str">
        <f t="shared" si="4"/>
        <v/>
      </c>
    </row>
    <row r="15118">
      <c r="F15118" s="1" t="str">
        <f t="shared" si="1"/>
        <v/>
      </c>
      <c r="G15118" s="1" t="str">
        <f t="shared" si="2"/>
        <v/>
      </c>
      <c r="J15118" s="1" t="str">
        <f t="shared" si="3"/>
        <v/>
      </c>
      <c r="K15118" s="1" t="str">
        <f t="shared" si="4"/>
        <v/>
      </c>
    </row>
    <row r="15119">
      <c r="F15119" s="1" t="str">
        <f t="shared" si="1"/>
        <v/>
      </c>
      <c r="G15119" s="1" t="str">
        <f t="shared" si="2"/>
        <v/>
      </c>
      <c r="J15119" s="1" t="str">
        <f t="shared" si="3"/>
        <v/>
      </c>
      <c r="K15119" s="1" t="str">
        <f t="shared" si="4"/>
        <v/>
      </c>
    </row>
    <row r="15120">
      <c r="F15120" s="1" t="str">
        <f t="shared" si="1"/>
        <v/>
      </c>
      <c r="G15120" s="1" t="str">
        <f t="shared" si="2"/>
        <v/>
      </c>
      <c r="J15120" s="1" t="str">
        <f t="shared" si="3"/>
        <v/>
      </c>
      <c r="K15120" s="1" t="str">
        <f t="shared" si="4"/>
        <v/>
      </c>
    </row>
    <row r="15121">
      <c r="F15121" s="1" t="str">
        <f t="shared" si="1"/>
        <v/>
      </c>
      <c r="G15121" s="1" t="str">
        <f t="shared" si="2"/>
        <v/>
      </c>
      <c r="J15121" s="1" t="str">
        <f t="shared" si="3"/>
        <v/>
      </c>
      <c r="K15121" s="1" t="str">
        <f t="shared" si="4"/>
        <v/>
      </c>
    </row>
    <row r="15122">
      <c r="F15122" s="1" t="str">
        <f t="shared" si="1"/>
        <v/>
      </c>
      <c r="G15122" s="1" t="str">
        <f t="shared" si="2"/>
        <v/>
      </c>
      <c r="J15122" s="1" t="str">
        <f t="shared" si="3"/>
        <v/>
      </c>
      <c r="K15122" s="1" t="str">
        <f t="shared" si="4"/>
        <v/>
      </c>
    </row>
    <row r="15123">
      <c r="F15123" s="1" t="str">
        <f t="shared" si="1"/>
        <v/>
      </c>
      <c r="G15123" s="1" t="str">
        <f t="shared" si="2"/>
        <v/>
      </c>
      <c r="J15123" s="1" t="str">
        <f t="shared" si="3"/>
        <v/>
      </c>
      <c r="K15123" s="1" t="str">
        <f t="shared" si="4"/>
        <v/>
      </c>
    </row>
    <row r="15124">
      <c r="F15124" s="1" t="str">
        <f t="shared" si="1"/>
        <v/>
      </c>
      <c r="G15124" s="1" t="str">
        <f t="shared" si="2"/>
        <v/>
      </c>
      <c r="J15124" s="1" t="str">
        <f t="shared" si="3"/>
        <v/>
      </c>
      <c r="K15124" s="1" t="str">
        <f t="shared" si="4"/>
        <v/>
      </c>
    </row>
    <row r="15125">
      <c r="F15125" s="1" t="str">
        <f t="shared" si="1"/>
        <v/>
      </c>
      <c r="G15125" s="1" t="str">
        <f t="shared" si="2"/>
        <v/>
      </c>
      <c r="J15125" s="1" t="str">
        <f t="shared" si="3"/>
        <v/>
      </c>
      <c r="K15125" s="1" t="str">
        <f t="shared" si="4"/>
        <v/>
      </c>
    </row>
    <row r="15126">
      <c r="F15126" s="1" t="str">
        <f t="shared" si="1"/>
        <v/>
      </c>
      <c r="G15126" s="1" t="str">
        <f t="shared" si="2"/>
        <v/>
      </c>
      <c r="J15126" s="1" t="str">
        <f t="shared" si="3"/>
        <v/>
      </c>
      <c r="K15126" s="1" t="str">
        <f t="shared" si="4"/>
        <v/>
      </c>
    </row>
    <row r="15127">
      <c r="F15127" s="1" t="str">
        <f t="shared" si="1"/>
        <v/>
      </c>
      <c r="G15127" s="1" t="str">
        <f t="shared" si="2"/>
        <v/>
      </c>
      <c r="J15127" s="1" t="str">
        <f t="shared" si="3"/>
        <v/>
      </c>
      <c r="K15127" s="1" t="str">
        <f t="shared" si="4"/>
        <v/>
      </c>
    </row>
    <row r="15128">
      <c r="F15128" s="1" t="str">
        <f t="shared" si="1"/>
        <v/>
      </c>
      <c r="G15128" s="1" t="str">
        <f t="shared" si="2"/>
        <v/>
      </c>
      <c r="J15128" s="1" t="str">
        <f t="shared" si="3"/>
        <v/>
      </c>
      <c r="K15128" s="1" t="str">
        <f t="shared" si="4"/>
        <v/>
      </c>
    </row>
    <row r="15129">
      <c r="F15129" s="1" t="str">
        <f t="shared" si="1"/>
        <v/>
      </c>
      <c r="G15129" s="1" t="str">
        <f t="shared" si="2"/>
        <v/>
      </c>
      <c r="J15129" s="1" t="str">
        <f t="shared" si="3"/>
        <v/>
      </c>
      <c r="K15129" s="1" t="str">
        <f t="shared" si="4"/>
        <v/>
      </c>
    </row>
    <row r="15130">
      <c r="F15130" s="1" t="str">
        <f t="shared" si="1"/>
        <v/>
      </c>
      <c r="G15130" s="1" t="str">
        <f t="shared" si="2"/>
        <v/>
      </c>
      <c r="J15130" s="1" t="str">
        <f t="shared" si="3"/>
        <v/>
      </c>
      <c r="K15130" s="1" t="str">
        <f t="shared" si="4"/>
        <v/>
      </c>
    </row>
    <row r="15131">
      <c r="F15131" s="1" t="str">
        <f t="shared" si="1"/>
        <v/>
      </c>
      <c r="G15131" s="1" t="str">
        <f t="shared" si="2"/>
        <v/>
      </c>
      <c r="J15131" s="1" t="str">
        <f t="shared" si="3"/>
        <v/>
      </c>
      <c r="K15131" s="1" t="str">
        <f t="shared" si="4"/>
        <v/>
      </c>
    </row>
    <row r="15132">
      <c r="F15132" s="1" t="str">
        <f t="shared" si="1"/>
        <v/>
      </c>
      <c r="G15132" s="1" t="str">
        <f t="shared" si="2"/>
        <v/>
      </c>
      <c r="J15132" s="1" t="str">
        <f t="shared" si="3"/>
        <v/>
      </c>
      <c r="K15132" s="1" t="str">
        <f t="shared" si="4"/>
        <v/>
      </c>
    </row>
    <row r="15133">
      <c r="F15133" s="1" t="str">
        <f t="shared" si="1"/>
        <v/>
      </c>
      <c r="G15133" s="1" t="str">
        <f t="shared" si="2"/>
        <v/>
      </c>
      <c r="J15133" s="1" t="str">
        <f t="shared" si="3"/>
        <v/>
      </c>
      <c r="K15133" s="1" t="str">
        <f t="shared" si="4"/>
        <v/>
      </c>
    </row>
    <row r="15134">
      <c r="F15134" s="1" t="str">
        <f t="shared" si="1"/>
        <v/>
      </c>
      <c r="G15134" s="1" t="str">
        <f t="shared" si="2"/>
        <v/>
      </c>
      <c r="J15134" s="1" t="str">
        <f t="shared" si="3"/>
        <v/>
      </c>
      <c r="K15134" s="1" t="str">
        <f t="shared" si="4"/>
        <v/>
      </c>
    </row>
    <row r="15135">
      <c r="F15135" s="1" t="str">
        <f t="shared" si="1"/>
        <v/>
      </c>
      <c r="G15135" s="1" t="str">
        <f t="shared" si="2"/>
        <v/>
      </c>
      <c r="J15135" s="1" t="str">
        <f t="shared" si="3"/>
        <v/>
      </c>
      <c r="K15135" s="1" t="str">
        <f t="shared" si="4"/>
        <v/>
      </c>
    </row>
    <row r="15136">
      <c r="F15136" s="1" t="str">
        <f t="shared" si="1"/>
        <v/>
      </c>
      <c r="G15136" s="1" t="str">
        <f t="shared" si="2"/>
        <v/>
      </c>
      <c r="J15136" s="1" t="str">
        <f t="shared" si="3"/>
        <v/>
      </c>
      <c r="K15136" s="1" t="str">
        <f t="shared" si="4"/>
        <v/>
      </c>
    </row>
    <row r="15137">
      <c r="F15137" s="1" t="str">
        <f t="shared" si="1"/>
        <v/>
      </c>
      <c r="G15137" s="1" t="str">
        <f t="shared" si="2"/>
        <v/>
      </c>
      <c r="J15137" s="1" t="str">
        <f t="shared" si="3"/>
        <v/>
      </c>
      <c r="K15137" s="1" t="str">
        <f t="shared" si="4"/>
        <v/>
      </c>
    </row>
    <row r="15138">
      <c r="F15138" s="1" t="str">
        <f t="shared" si="1"/>
        <v/>
      </c>
      <c r="G15138" s="1" t="str">
        <f t="shared" si="2"/>
        <v/>
      </c>
      <c r="J15138" s="1" t="str">
        <f t="shared" si="3"/>
        <v/>
      </c>
      <c r="K15138" s="1" t="str">
        <f t="shared" si="4"/>
        <v/>
      </c>
    </row>
    <row r="15139">
      <c r="F15139" s="1" t="str">
        <f t="shared" si="1"/>
        <v/>
      </c>
      <c r="G15139" s="1" t="str">
        <f t="shared" si="2"/>
        <v/>
      </c>
      <c r="J15139" s="1" t="str">
        <f t="shared" si="3"/>
        <v/>
      </c>
      <c r="K15139" s="1" t="str">
        <f t="shared" si="4"/>
        <v/>
      </c>
    </row>
    <row r="15140">
      <c r="F15140" s="1" t="str">
        <f t="shared" si="1"/>
        <v/>
      </c>
      <c r="G15140" s="1" t="str">
        <f t="shared" si="2"/>
        <v/>
      </c>
      <c r="J15140" s="1" t="str">
        <f t="shared" si="3"/>
        <v/>
      </c>
      <c r="K15140" s="1" t="str">
        <f t="shared" si="4"/>
        <v/>
      </c>
    </row>
    <row r="15141">
      <c r="F15141" s="1" t="str">
        <f t="shared" si="1"/>
        <v/>
      </c>
      <c r="G15141" s="1" t="str">
        <f t="shared" si="2"/>
        <v/>
      </c>
      <c r="J15141" s="1" t="str">
        <f t="shared" si="3"/>
        <v/>
      </c>
      <c r="K15141" s="1" t="str">
        <f t="shared" si="4"/>
        <v/>
      </c>
    </row>
    <row r="15142">
      <c r="F15142" s="1" t="str">
        <f t="shared" si="1"/>
        <v/>
      </c>
      <c r="G15142" s="1" t="str">
        <f t="shared" si="2"/>
        <v/>
      </c>
      <c r="J15142" s="1" t="str">
        <f t="shared" si="3"/>
        <v/>
      </c>
      <c r="K15142" s="1" t="str">
        <f t="shared" si="4"/>
        <v/>
      </c>
    </row>
    <row r="15143">
      <c r="F15143" s="1" t="str">
        <f t="shared" si="1"/>
        <v/>
      </c>
      <c r="G15143" s="1" t="str">
        <f t="shared" si="2"/>
        <v/>
      </c>
      <c r="J15143" s="1" t="str">
        <f t="shared" si="3"/>
        <v/>
      </c>
      <c r="K15143" s="1" t="str">
        <f t="shared" si="4"/>
        <v/>
      </c>
    </row>
    <row r="15144">
      <c r="F15144" s="1" t="str">
        <f t="shared" si="1"/>
        <v/>
      </c>
      <c r="G15144" s="1" t="str">
        <f t="shared" si="2"/>
        <v/>
      </c>
      <c r="J15144" s="1" t="str">
        <f t="shared" si="3"/>
        <v/>
      </c>
      <c r="K15144" s="1" t="str">
        <f t="shared" si="4"/>
        <v/>
      </c>
    </row>
    <row r="15145">
      <c r="F15145" s="1" t="str">
        <f t="shared" si="1"/>
        <v/>
      </c>
      <c r="G15145" s="1" t="str">
        <f t="shared" si="2"/>
        <v/>
      </c>
      <c r="J15145" s="1" t="str">
        <f t="shared" si="3"/>
        <v/>
      </c>
      <c r="K15145" s="1" t="str">
        <f t="shared" si="4"/>
        <v/>
      </c>
    </row>
    <row r="15146">
      <c r="F15146" s="1" t="str">
        <f t="shared" si="1"/>
        <v/>
      </c>
      <c r="G15146" s="1" t="str">
        <f t="shared" si="2"/>
        <v/>
      </c>
      <c r="J15146" s="1" t="str">
        <f t="shared" si="3"/>
        <v/>
      </c>
      <c r="K15146" s="1" t="str">
        <f t="shared" si="4"/>
        <v/>
      </c>
    </row>
    <row r="15147">
      <c r="F15147" s="1" t="str">
        <f t="shared" si="1"/>
        <v/>
      </c>
      <c r="G15147" s="1" t="str">
        <f t="shared" si="2"/>
        <v/>
      </c>
      <c r="J15147" s="1" t="str">
        <f t="shared" si="3"/>
        <v/>
      </c>
      <c r="K15147" s="1" t="str">
        <f t="shared" si="4"/>
        <v/>
      </c>
    </row>
    <row r="15148">
      <c r="F15148" s="1" t="str">
        <f t="shared" si="1"/>
        <v/>
      </c>
      <c r="G15148" s="1" t="str">
        <f t="shared" si="2"/>
        <v/>
      </c>
      <c r="J15148" s="1" t="str">
        <f t="shared" si="3"/>
        <v/>
      </c>
      <c r="K15148" s="1" t="str">
        <f t="shared" si="4"/>
        <v/>
      </c>
    </row>
    <row r="15149">
      <c r="F15149" s="1" t="str">
        <f t="shared" si="1"/>
        <v/>
      </c>
      <c r="G15149" s="1" t="str">
        <f t="shared" si="2"/>
        <v/>
      </c>
      <c r="J15149" s="1" t="str">
        <f t="shared" si="3"/>
        <v/>
      </c>
      <c r="K15149" s="1" t="str">
        <f t="shared" si="4"/>
        <v/>
      </c>
    </row>
    <row r="15150">
      <c r="F15150" s="1" t="str">
        <f t="shared" si="1"/>
        <v/>
      </c>
      <c r="G15150" s="1" t="str">
        <f t="shared" si="2"/>
        <v/>
      </c>
      <c r="J15150" s="1" t="str">
        <f t="shared" si="3"/>
        <v/>
      </c>
      <c r="K15150" s="1" t="str">
        <f t="shared" si="4"/>
        <v/>
      </c>
    </row>
    <row r="15151">
      <c r="F15151" s="1" t="str">
        <f t="shared" si="1"/>
        <v/>
      </c>
      <c r="G15151" s="1" t="str">
        <f t="shared" si="2"/>
        <v/>
      </c>
      <c r="J15151" s="1" t="str">
        <f t="shared" si="3"/>
        <v/>
      </c>
      <c r="K15151" s="1" t="str">
        <f t="shared" si="4"/>
        <v/>
      </c>
    </row>
    <row r="15152">
      <c r="F15152" s="1" t="str">
        <f t="shared" si="1"/>
        <v/>
      </c>
      <c r="G15152" s="1" t="str">
        <f t="shared" si="2"/>
        <v/>
      </c>
      <c r="J15152" s="1" t="str">
        <f t="shared" si="3"/>
        <v/>
      </c>
      <c r="K15152" s="1" t="str">
        <f t="shared" si="4"/>
        <v/>
      </c>
    </row>
    <row r="15153">
      <c r="F15153" s="1" t="str">
        <f t="shared" si="1"/>
        <v/>
      </c>
      <c r="G15153" s="1" t="str">
        <f t="shared" si="2"/>
        <v/>
      </c>
      <c r="J15153" s="1" t="str">
        <f t="shared" si="3"/>
        <v/>
      </c>
      <c r="K15153" s="1" t="str">
        <f t="shared" si="4"/>
        <v/>
      </c>
    </row>
    <row r="15154">
      <c r="F15154" s="1" t="str">
        <f t="shared" si="1"/>
        <v/>
      </c>
      <c r="G15154" s="1" t="str">
        <f t="shared" si="2"/>
        <v/>
      </c>
      <c r="J15154" s="1" t="str">
        <f t="shared" si="3"/>
        <v/>
      </c>
      <c r="K15154" s="1" t="str">
        <f t="shared" si="4"/>
        <v/>
      </c>
    </row>
    <row r="15155">
      <c r="F15155" s="1" t="str">
        <f t="shared" si="1"/>
        <v/>
      </c>
      <c r="G15155" s="1" t="str">
        <f t="shared" si="2"/>
        <v/>
      </c>
      <c r="J15155" s="1" t="str">
        <f t="shared" si="3"/>
        <v/>
      </c>
      <c r="K15155" s="1" t="str">
        <f t="shared" si="4"/>
        <v/>
      </c>
    </row>
    <row r="15156">
      <c r="F15156" s="1" t="str">
        <f t="shared" si="1"/>
        <v/>
      </c>
      <c r="G15156" s="1" t="str">
        <f t="shared" si="2"/>
        <v/>
      </c>
      <c r="J15156" s="1" t="str">
        <f t="shared" si="3"/>
        <v/>
      </c>
      <c r="K15156" s="1" t="str">
        <f t="shared" si="4"/>
        <v/>
      </c>
    </row>
    <row r="15157">
      <c r="F15157" s="1" t="str">
        <f t="shared" si="1"/>
        <v/>
      </c>
      <c r="G15157" s="1" t="str">
        <f t="shared" si="2"/>
        <v/>
      </c>
      <c r="J15157" s="1" t="str">
        <f t="shared" si="3"/>
        <v/>
      </c>
      <c r="K15157" s="1" t="str">
        <f t="shared" si="4"/>
        <v/>
      </c>
    </row>
    <row r="15158">
      <c r="F15158" s="1" t="str">
        <f t="shared" si="1"/>
        <v/>
      </c>
      <c r="G15158" s="1" t="str">
        <f t="shared" si="2"/>
        <v/>
      </c>
      <c r="J15158" s="1" t="str">
        <f t="shared" si="3"/>
        <v/>
      </c>
      <c r="K15158" s="1" t="str">
        <f t="shared" si="4"/>
        <v/>
      </c>
    </row>
    <row r="15159">
      <c r="F15159" s="1" t="str">
        <f t="shared" si="1"/>
        <v/>
      </c>
      <c r="G15159" s="1" t="str">
        <f t="shared" si="2"/>
        <v/>
      </c>
      <c r="J15159" s="1" t="str">
        <f t="shared" si="3"/>
        <v/>
      </c>
      <c r="K15159" s="1" t="str">
        <f t="shared" si="4"/>
        <v/>
      </c>
    </row>
    <row r="15160">
      <c r="F15160" s="1" t="str">
        <f t="shared" si="1"/>
        <v/>
      </c>
      <c r="G15160" s="1" t="str">
        <f t="shared" si="2"/>
        <v/>
      </c>
      <c r="J15160" s="1" t="str">
        <f t="shared" si="3"/>
        <v/>
      </c>
      <c r="K15160" s="1" t="str">
        <f t="shared" si="4"/>
        <v/>
      </c>
    </row>
    <row r="15161">
      <c r="F15161" s="1" t="str">
        <f t="shared" si="1"/>
        <v/>
      </c>
      <c r="G15161" s="1" t="str">
        <f t="shared" si="2"/>
        <v/>
      </c>
      <c r="J15161" s="1" t="str">
        <f t="shared" si="3"/>
        <v/>
      </c>
      <c r="K15161" s="1" t="str">
        <f t="shared" si="4"/>
        <v/>
      </c>
    </row>
    <row r="15162">
      <c r="F15162" s="1" t="str">
        <f t="shared" si="1"/>
        <v/>
      </c>
      <c r="G15162" s="1" t="str">
        <f t="shared" si="2"/>
        <v/>
      </c>
      <c r="J15162" s="1" t="str">
        <f t="shared" si="3"/>
        <v/>
      </c>
      <c r="K15162" s="1" t="str">
        <f t="shared" si="4"/>
        <v/>
      </c>
    </row>
    <row r="15163">
      <c r="F15163" s="1" t="str">
        <f t="shared" si="1"/>
        <v/>
      </c>
      <c r="G15163" s="1" t="str">
        <f t="shared" si="2"/>
        <v/>
      </c>
      <c r="J15163" s="1" t="str">
        <f t="shared" si="3"/>
        <v/>
      </c>
      <c r="K15163" s="1" t="str">
        <f t="shared" si="4"/>
        <v/>
      </c>
    </row>
    <row r="15164">
      <c r="F15164" s="1" t="str">
        <f t="shared" si="1"/>
        <v/>
      </c>
      <c r="G15164" s="1" t="str">
        <f t="shared" si="2"/>
        <v/>
      </c>
      <c r="J15164" s="1" t="str">
        <f t="shared" si="3"/>
        <v/>
      </c>
      <c r="K15164" s="1" t="str">
        <f t="shared" si="4"/>
        <v/>
      </c>
    </row>
    <row r="15165">
      <c r="F15165" s="1" t="str">
        <f t="shared" si="1"/>
        <v/>
      </c>
      <c r="G15165" s="1" t="str">
        <f t="shared" si="2"/>
        <v/>
      </c>
      <c r="J15165" s="1" t="str">
        <f t="shared" si="3"/>
        <v/>
      </c>
      <c r="K15165" s="1" t="str">
        <f t="shared" si="4"/>
        <v/>
      </c>
    </row>
    <row r="15166">
      <c r="F15166" s="1" t="str">
        <f t="shared" si="1"/>
        <v/>
      </c>
      <c r="G15166" s="1" t="str">
        <f t="shared" si="2"/>
        <v/>
      </c>
      <c r="J15166" s="1" t="str">
        <f t="shared" si="3"/>
        <v/>
      </c>
      <c r="K15166" s="1" t="str">
        <f t="shared" si="4"/>
        <v/>
      </c>
    </row>
    <row r="15167">
      <c r="F15167" s="1" t="str">
        <f t="shared" si="1"/>
        <v/>
      </c>
      <c r="G15167" s="1" t="str">
        <f t="shared" si="2"/>
        <v/>
      </c>
      <c r="J15167" s="1" t="str">
        <f t="shared" si="3"/>
        <v/>
      </c>
      <c r="K15167" s="1" t="str">
        <f t="shared" si="4"/>
        <v/>
      </c>
    </row>
    <row r="15168">
      <c r="F15168" s="1" t="str">
        <f t="shared" si="1"/>
        <v/>
      </c>
      <c r="G15168" s="1" t="str">
        <f t="shared" si="2"/>
        <v/>
      </c>
      <c r="J15168" s="1" t="str">
        <f t="shared" si="3"/>
        <v/>
      </c>
      <c r="K15168" s="1" t="str">
        <f t="shared" si="4"/>
        <v/>
      </c>
    </row>
    <row r="15169">
      <c r="F15169" s="1" t="str">
        <f t="shared" si="1"/>
        <v/>
      </c>
      <c r="G15169" s="1" t="str">
        <f t="shared" si="2"/>
        <v/>
      </c>
      <c r="J15169" s="1" t="str">
        <f t="shared" si="3"/>
        <v/>
      </c>
      <c r="K15169" s="1" t="str">
        <f t="shared" si="4"/>
        <v/>
      </c>
    </row>
    <row r="15170">
      <c r="F15170" s="1" t="str">
        <f t="shared" si="1"/>
        <v/>
      </c>
      <c r="G15170" s="1" t="str">
        <f t="shared" si="2"/>
        <v/>
      </c>
      <c r="J15170" s="1" t="str">
        <f t="shared" si="3"/>
        <v/>
      </c>
      <c r="K15170" s="1" t="str">
        <f t="shared" si="4"/>
        <v/>
      </c>
    </row>
    <row r="15171">
      <c r="F15171" s="1" t="str">
        <f t="shared" si="1"/>
        <v/>
      </c>
      <c r="G15171" s="1" t="str">
        <f t="shared" si="2"/>
        <v/>
      </c>
      <c r="J15171" s="1" t="str">
        <f t="shared" si="3"/>
        <v/>
      </c>
      <c r="K15171" s="1" t="str">
        <f t="shared" si="4"/>
        <v/>
      </c>
    </row>
    <row r="15172">
      <c r="F15172" s="1" t="str">
        <f t="shared" si="1"/>
        <v/>
      </c>
      <c r="G15172" s="1" t="str">
        <f t="shared" si="2"/>
        <v/>
      </c>
      <c r="J15172" s="1" t="str">
        <f t="shared" si="3"/>
        <v/>
      </c>
      <c r="K15172" s="1" t="str">
        <f t="shared" si="4"/>
        <v/>
      </c>
    </row>
    <row r="15173">
      <c r="F15173" s="1" t="str">
        <f t="shared" si="1"/>
        <v/>
      </c>
      <c r="G15173" s="1" t="str">
        <f t="shared" si="2"/>
        <v/>
      </c>
      <c r="J15173" s="1" t="str">
        <f t="shared" si="3"/>
        <v/>
      </c>
      <c r="K15173" s="1" t="str">
        <f t="shared" si="4"/>
        <v/>
      </c>
    </row>
    <row r="15174">
      <c r="F15174" s="1" t="str">
        <f t="shared" si="1"/>
        <v/>
      </c>
      <c r="G15174" s="1" t="str">
        <f t="shared" si="2"/>
        <v/>
      </c>
      <c r="J15174" s="1" t="str">
        <f t="shared" si="3"/>
        <v/>
      </c>
      <c r="K15174" s="1" t="str">
        <f t="shared" si="4"/>
        <v/>
      </c>
    </row>
    <row r="15175">
      <c r="F15175" s="1" t="str">
        <f t="shared" si="1"/>
        <v/>
      </c>
      <c r="G15175" s="1" t="str">
        <f t="shared" si="2"/>
        <v/>
      </c>
      <c r="J15175" s="1" t="str">
        <f t="shared" si="3"/>
        <v/>
      </c>
      <c r="K15175" s="1" t="str">
        <f t="shared" si="4"/>
        <v/>
      </c>
    </row>
    <row r="15176">
      <c r="F15176" s="1" t="str">
        <f t="shared" si="1"/>
        <v/>
      </c>
      <c r="G15176" s="1" t="str">
        <f t="shared" si="2"/>
        <v/>
      </c>
      <c r="J15176" s="1" t="str">
        <f t="shared" si="3"/>
        <v/>
      </c>
      <c r="K15176" s="1" t="str">
        <f t="shared" si="4"/>
        <v/>
      </c>
    </row>
    <row r="15177">
      <c r="F15177" s="1" t="str">
        <f t="shared" si="1"/>
        <v/>
      </c>
      <c r="G15177" s="1" t="str">
        <f t="shared" si="2"/>
        <v/>
      </c>
      <c r="J15177" s="1" t="str">
        <f t="shared" si="3"/>
        <v/>
      </c>
      <c r="K15177" s="1" t="str">
        <f t="shared" si="4"/>
        <v/>
      </c>
    </row>
    <row r="15178">
      <c r="F15178" s="1" t="str">
        <f t="shared" si="1"/>
        <v/>
      </c>
      <c r="G15178" s="1" t="str">
        <f t="shared" si="2"/>
        <v/>
      </c>
      <c r="J15178" s="1" t="str">
        <f t="shared" si="3"/>
        <v/>
      </c>
      <c r="K15178" s="1" t="str">
        <f t="shared" si="4"/>
        <v/>
      </c>
    </row>
    <row r="15179">
      <c r="F15179" s="1" t="str">
        <f t="shared" si="1"/>
        <v/>
      </c>
      <c r="G15179" s="1" t="str">
        <f t="shared" si="2"/>
        <v/>
      </c>
      <c r="J15179" s="1" t="str">
        <f t="shared" si="3"/>
        <v/>
      </c>
      <c r="K15179" s="1" t="str">
        <f t="shared" si="4"/>
        <v/>
      </c>
    </row>
    <row r="15180">
      <c r="F15180" s="1" t="str">
        <f t="shared" si="1"/>
        <v/>
      </c>
      <c r="G15180" s="1" t="str">
        <f t="shared" si="2"/>
        <v/>
      </c>
      <c r="J15180" s="1" t="str">
        <f t="shared" si="3"/>
        <v/>
      </c>
      <c r="K15180" s="1" t="str">
        <f t="shared" si="4"/>
        <v/>
      </c>
    </row>
    <row r="15181">
      <c r="F15181" s="1" t="str">
        <f t="shared" si="1"/>
        <v/>
      </c>
      <c r="G15181" s="1" t="str">
        <f t="shared" si="2"/>
        <v/>
      </c>
      <c r="J15181" s="1" t="str">
        <f t="shared" si="3"/>
        <v/>
      </c>
      <c r="K15181" s="1" t="str">
        <f t="shared" si="4"/>
        <v/>
      </c>
    </row>
    <row r="15182">
      <c r="F15182" s="1" t="str">
        <f t="shared" si="1"/>
        <v/>
      </c>
      <c r="G15182" s="1" t="str">
        <f t="shared" si="2"/>
        <v/>
      </c>
      <c r="J15182" s="1" t="str">
        <f t="shared" si="3"/>
        <v/>
      </c>
      <c r="K15182" s="1" t="str">
        <f t="shared" si="4"/>
        <v/>
      </c>
    </row>
    <row r="15183">
      <c r="F15183" s="1" t="str">
        <f t="shared" si="1"/>
        <v/>
      </c>
      <c r="G15183" s="1" t="str">
        <f t="shared" si="2"/>
        <v/>
      </c>
      <c r="J15183" s="1" t="str">
        <f t="shared" si="3"/>
        <v/>
      </c>
      <c r="K15183" s="1" t="str">
        <f t="shared" si="4"/>
        <v/>
      </c>
    </row>
    <row r="15184">
      <c r="F15184" s="1" t="str">
        <f t="shared" si="1"/>
        <v/>
      </c>
      <c r="G15184" s="1" t="str">
        <f t="shared" si="2"/>
        <v/>
      </c>
      <c r="J15184" s="1" t="str">
        <f t="shared" si="3"/>
        <v/>
      </c>
      <c r="K15184" s="1" t="str">
        <f t="shared" si="4"/>
        <v/>
      </c>
    </row>
    <row r="15185">
      <c r="F15185" s="1" t="str">
        <f t="shared" si="1"/>
        <v/>
      </c>
      <c r="G15185" s="1" t="str">
        <f t="shared" si="2"/>
        <v/>
      </c>
      <c r="J15185" s="1" t="str">
        <f t="shared" si="3"/>
        <v/>
      </c>
      <c r="K15185" s="1" t="str">
        <f t="shared" si="4"/>
        <v/>
      </c>
    </row>
    <row r="15186">
      <c r="F15186" s="1" t="str">
        <f t="shared" si="1"/>
        <v/>
      </c>
      <c r="G15186" s="1" t="str">
        <f t="shared" si="2"/>
        <v/>
      </c>
      <c r="J15186" s="1" t="str">
        <f t="shared" si="3"/>
        <v/>
      </c>
      <c r="K15186" s="1" t="str">
        <f t="shared" si="4"/>
        <v/>
      </c>
    </row>
    <row r="15187">
      <c r="F15187" s="1" t="str">
        <f t="shared" si="1"/>
        <v/>
      </c>
      <c r="G15187" s="1" t="str">
        <f t="shared" si="2"/>
        <v/>
      </c>
      <c r="J15187" s="1" t="str">
        <f t="shared" si="3"/>
        <v/>
      </c>
      <c r="K15187" s="1" t="str">
        <f t="shared" si="4"/>
        <v/>
      </c>
    </row>
    <row r="15188">
      <c r="F15188" s="1" t="str">
        <f t="shared" si="1"/>
        <v/>
      </c>
      <c r="G15188" s="1" t="str">
        <f t="shared" si="2"/>
        <v/>
      </c>
      <c r="J15188" s="1" t="str">
        <f t="shared" si="3"/>
        <v/>
      </c>
      <c r="K15188" s="1" t="str">
        <f t="shared" si="4"/>
        <v/>
      </c>
    </row>
    <row r="15189">
      <c r="F15189" s="1" t="str">
        <f t="shared" si="1"/>
        <v/>
      </c>
      <c r="G15189" s="1" t="str">
        <f t="shared" si="2"/>
        <v/>
      </c>
      <c r="J15189" s="1" t="str">
        <f t="shared" si="3"/>
        <v/>
      </c>
      <c r="K15189" s="1" t="str">
        <f t="shared" si="4"/>
        <v/>
      </c>
    </row>
    <row r="15190">
      <c r="F15190" s="1" t="str">
        <f t="shared" si="1"/>
        <v/>
      </c>
      <c r="G15190" s="1" t="str">
        <f t="shared" si="2"/>
        <v/>
      </c>
      <c r="J15190" s="1" t="str">
        <f t="shared" si="3"/>
        <v/>
      </c>
      <c r="K15190" s="1" t="str">
        <f t="shared" si="4"/>
        <v/>
      </c>
    </row>
    <row r="15191">
      <c r="F15191" s="1" t="str">
        <f t="shared" si="1"/>
        <v/>
      </c>
      <c r="G15191" s="1" t="str">
        <f t="shared" si="2"/>
        <v/>
      </c>
      <c r="J15191" s="1" t="str">
        <f t="shared" si="3"/>
        <v/>
      </c>
      <c r="K15191" s="1" t="str">
        <f t="shared" si="4"/>
        <v/>
      </c>
    </row>
    <row r="15192">
      <c r="F15192" s="1" t="str">
        <f t="shared" si="1"/>
        <v/>
      </c>
      <c r="G15192" s="1" t="str">
        <f t="shared" si="2"/>
        <v/>
      </c>
      <c r="J15192" s="1" t="str">
        <f t="shared" si="3"/>
        <v/>
      </c>
      <c r="K15192" s="1" t="str">
        <f t="shared" si="4"/>
        <v/>
      </c>
    </row>
    <row r="15193">
      <c r="F15193" s="1" t="str">
        <f t="shared" si="1"/>
        <v/>
      </c>
      <c r="G15193" s="1" t="str">
        <f t="shared" si="2"/>
        <v/>
      </c>
      <c r="J15193" s="1" t="str">
        <f t="shared" si="3"/>
        <v/>
      </c>
      <c r="K15193" s="1" t="str">
        <f t="shared" si="4"/>
        <v/>
      </c>
    </row>
    <row r="15194">
      <c r="F15194" s="1" t="str">
        <f t="shared" si="1"/>
        <v/>
      </c>
      <c r="G15194" s="1" t="str">
        <f t="shared" si="2"/>
        <v/>
      </c>
      <c r="J15194" s="1" t="str">
        <f t="shared" si="3"/>
        <v/>
      </c>
      <c r="K15194" s="1" t="str">
        <f t="shared" si="4"/>
        <v/>
      </c>
    </row>
    <row r="15195">
      <c r="F15195" s="1" t="str">
        <f t="shared" si="1"/>
        <v/>
      </c>
      <c r="G15195" s="1" t="str">
        <f t="shared" si="2"/>
        <v/>
      </c>
      <c r="J15195" s="1" t="str">
        <f t="shared" si="3"/>
        <v/>
      </c>
      <c r="K15195" s="1" t="str">
        <f t="shared" si="4"/>
        <v/>
      </c>
    </row>
    <row r="15196">
      <c r="F15196" s="1" t="str">
        <f t="shared" si="1"/>
        <v/>
      </c>
      <c r="G15196" s="1" t="str">
        <f t="shared" si="2"/>
        <v/>
      </c>
      <c r="J15196" s="1" t="str">
        <f t="shared" si="3"/>
        <v/>
      </c>
      <c r="K15196" s="1" t="str">
        <f t="shared" si="4"/>
        <v/>
      </c>
    </row>
    <row r="15197">
      <c r="F15197" s="1" t="str">
        <f t="shared" si="1"/>
        <v/>
      </c>
      <c r="G15197" s="1" t="str">
        <f t="shared" si="2"/>
        <v/>
      </c>
      <c r="J15197" s="1" t="str">
        <f t="shared" si="3"/>
        <v/>
      </c>
      <c r="K15197" s="1" t="str">
        <f t="shared" si="4"/>
        <v/>
      </c>
    </row>
    <row r="15198">
      <c r="F15198" s="1" t="str">
        <f t="shared" si="1"/>
        <v/>
      </c>
      <c r="G15198" s="1" t="str">
        <f t="shared" si="2"/>
        <v/>
      </c>
      <c r="J15198" s="1" t="str">
        <f t="shared" si="3"/>
        <v/>
      </c>
      <c r="K15198" s="1" t="str">
        <f t="shared" si="4"/>
        <v/>
      </c>
    </row>
    <row r="15199">
      <c r="F15199" s="1" t="str">
        <f t="shared" si="1"/>
        <v/>
      </c>
      <c r="G15199" s="1" t="str">
        <f t="shared" si="2"/>
        <v/>
      </c>
      <c r="J15199" s="1" t="str">
        <f t="shared" si="3"/>
        <v/>
      </c>
      <c r="K15199" s="1" t="str">
        <f t="shared" si="4"/>
        <v/>
      </c>
    </row>
    <row r="15200">
      <c r="F15200" s="1" t="str">
        <f t="shared" si="1"/>
        <v/>
      </c>
      <c r="G15200" s="1" t="str">
        <f t="shared" si="2"/>
        <v/>
      </c>
      <c r="J15200" s="1" t="str">
        <f t="shared" si="3"/>
        <v/>
      </c>
      <c r="K15200" s="1" t="str">
        <f t="shared" si="4"/>
        <v/>
      </c>
    </row>
    <row r="15201">
      <c r="F15201" s="1" t="str">
        <f t="shared" si="1"/>
        <v/>
      </c>
      <c r="G15201" s="1" t="str">
        <f t="shared" si="2"/>
        <v/>
      </c>
      <c r="J15201" s="1" t="str">
        <f t="shared" si="3"/>
        <v/>
      </c>
      <c r="K15201" s="1" t="str">
        <f t="shared" si="4"/>
        <v/>
      </c>
    </row>
    <row r="15202">
      <c r="F15202" s="1" t="str">
        <f t="shared" si="1"/>
        <v/>
      </c>
      <c r="G15202" s="1" t="str">
        <f t="shared" si="2"/>
        <v/>
      </c>
      <c r="J15202" s="1" t="str">
        <f t="shared" si="3"/>
        <v/>
      </c>
      <c r="K15202" s="1" t="str">
        <f t="shared" si="4"/>
        <v/>
      </c>
    </row>
    <row r="15203">
      <c r="F15203" s="1" t="str">
        <f t="shared" si="1"/>
        <v/>
      </c>
      <c r="G15203" s="1" t="str">
        <f t="shared" si="2"/>
        <v/>
      </c>
      <c r="J15203" s="1" t="str">
        <f t="shared" si="3"/>
        <v/>
      </c>
      <c r="K15203" s="1" t="str">
        <f t="shared" si="4"/>
        <v/>
      </c>
    </row>
    <row r="15204">
      <c r="F15204" s="1" t="str">
        <f t="shared" si="1"/>
        <v/>
      </c>
      <c r="G15204" s="1" t="str">
        <f t="shared" si="2"/>
        <v/>
      </c>
      <c r="J15204" s="1" t="str">
        <f t="shared" si="3"/>
        <v/>
      </c>
      <c r="K15204" s="1" t="str">
        <f t="shared" si="4"/>
        <v/>
      </c>
    </row>
    <row r="15205">
      <c r="F15205" s="1" t="str">
        <f t="shared" si="1"/>
        <v/>
      </c>
      <c r="G15205" s="1" t="str">
        <f t="shared" si="2"/>
        <v/>
      </c>
      <c r="J15205" s="1" t="str">
        <f t="shared" si="3"/>
        <v/>
      </c>
      <c r="K15205" s="1" t="str">
        <f t="shared" si="4"/>
        <v/>
      </c>
    </row>
    <row r="15206">
      <c r="F15206" s="1" t="str">
        <f t="shared" si="1"/>
        <v/>
      </c>
      <c r="G15206" s="1" t="str">
        <f t="shared" si="2"/>
        <v/>
      </c>
      <c r="J15206" s="1" t="str">
        <f t="shared" si="3"/>
        <v/>
      </c>
      <c r="K15206" s="1" t="str">
        <f t="shared" si="4"/>
        <v/>
      </c>
    </row>
    <row r="15207">
      <c r="F15207" s="1" t="str">
        <f t="shared" si="1"/>
        <v/>
      </c>
      <c r="G15207" s="1" t="str">
        <f t="shared" si="2"/>
        <v/>
      </c>
      <c r="J15207" s="1" t="str">
        <f t="shared" si="3"/>
        <v/>
      </c>
      <c r="K15207" s="1" t="str">
        <f t="shared" si="4"/>
        <v/>
      </c>
    </row>
    <row r="15208">
      <c r="F15208" s="1" t="str">
        <f t="shared" si="1"/>
        <v/>
      </c>
      <c r="G15208" s="1" t="str">
        <f t="shared" si="2"/>
        <v/>
      </c>
      <c r="J15208" s="1" t="str">
        <f t="shared" si="3"/>
        <v/>
      </c>
      <c r="K15208" s="1" t="str">
        <f t="shared" si="4"/>
        <v/>
      </c>
    </row>
    <row r="15209">
      <c r="F15209" s="1" t="str">
        <f t="shared" si="1"/>
        <v/>
      </c>
      <c r="G15209" s="1" t="str">
        <f t="shared" si="2"/>
        <v/>
      </c>
      <c r="J15209" s="1" t="str">
        <f t="shared" si="3"/>
        <v/>
      </c>
      <c r="K15209" s="1" t="str">
        <f t="shared" si="4"/>
        <v/>
      </c>
    </row>
    <row r="15210">
      <c r="F15210" s="1" t="str">
        <f t="shared" si="1"/>
        <v/>
      </c>
      <c r="G15210" s="1" t="str">
        <f t="shared" si="2"/>
        <v/>
      </c>
      <c r="J15210" s="1" t="str">
        <f t="shared" si="3"/>
        <v/>
      </c>
      <c r="K15210" s="1" t="str">
        <f t="shared" si="4"/>
        <v/>
      </c>
    </row>
    <row r="15211">
      <c r="F15211" s="1" t="str">
        <f t="shared" si="1"/>
        <v/>
      </c>
      <c r="G15211" s="1" t="str">
        <f t="shared" si="2"/>
        <v/>
      </c>
      <c r="J15211" s="1" t="str">
        <f t="shared" si="3"/>
        <v/>
      </c>
      <c r="K15211" s="1" t="str">
        <f t="shared" si="4"/>
        <v/>
      </c>
    </row>
    <row r="15212">
      <c r="F15212" s="1" t="str">
        <f t="shared" si="1"/>
        <v/>
      </c>
      <c r="G15212" s="1" t="str">
        <f t="shared" si="2"/>
        <v/>
      </c>
      <c r="J15212" s="1" t="str">
        <f t="shared" si="3"/>
        <v/>
      </c>
      <c r="K15212" s="1" t="str">
        <f t="shared" si="4"/>
        <v/>
      </c>
    </row>
    <row r="15213">
      <c r="F15213" s="1" t="str">
        <f t="shared" si="1"/>
        <v/>
      </c>
      <c r="G15213" s="1" t="str">
        <f t="shared" si="2"/>
        <v/>
      </c>
      <c r="J15213" s="1" t="str">
        <f t="shared" si="3"/>
        <v/>
      </c>
      <c r="K15213" s="1" t="str">
        <f t="shared" si="4"/>
        <v/>
      </c>
    </row>
    <row r="15214">
      <c r="F15214" s="1" t="str">
        <f t="shared" si="1"/>
        <v/>
      </c>
      <c r="G15214" s="1" t="str">
        <f t="shared" si="2"/>
        <v/>
      </c>
      <c r="J15214" s="1" t="str">
        <f t="shared" si="3"/>
        <v/>
      </c>
      <c r="K15214" s="1" t="str">
        <f t="shared" si="4"/>
        <v/>
      </c>
    </row>
    <row r="15215">
      <c r="F15215" s="1" t="str">
        <f t="shared" si="1"/>
        <v/>
      </c>
      <c r="G15215" s="1" t="str">
        <f t="shared" si="2"/>
        <v/>
      </c>
      <c r="J15215" s="1" t="str">
        <f t="shared" si="3"/>
        <v/>
      </c>
      <c r="K15215" s="1" t="str">
        <f t="shared" si="4"/>
        <v/>
      </c>
    </row>
    <row r="15216">
      <c r="F15216" s="1" t="str">
        <f t="shared" si="1"/>
        <v/>
      </c>
      <c r="G15216" s="1" t="str">
        <f t="shared" si="2"/>
        <v/>
      </c>
      <c r="J15216" s="1" t="str">
        <f t="shared" si="3"/>
        <v/>
      </c>
      <c r="K15216" s="1" t="str">
        <f t="shared" si="4"/>
        <v/>
      </c>
    </row>
    <row r="15217">
      <c r="F15217" s="1" t="str">
        <f t="shared" si="1"/>
        <v/>
      </c>
      <c r="G15217" s="1" t="str">
        <f t="shared" si="2"/>
        <v/>
      </c>
      <c r="J15217" s="1" t="str">
        <f t="shared" si="3"/>
        <v/>
      </c>
      <c r="K15217" s="1" t="str">
        <f t="shared" si="4"/>
        <v/>
      </c>
    </row>
    <row r="15218">
      <c r="F15218" s="1" t="str">
        <f t="shared" si="1"/>
        <v/>
      </c>
      <c r="G15218" s="1" t="str">
        <f t="shared" si="2"/>
        <v/>
      </c>
      <c r="J15218" s="1" t="str">
        <f t="shared" si="3"/>
        <v/>
      </c>
      <c r="K15218" s="1" t="str">
        <f t="shared" si="4"/>
        <v/>
      </c>
    </row>
    <row r="15219">
      <c r="F15219" s="1" t="str">
        <f t="shared" si="1"/>
        <v/>
      </c>
      <c r="G15219" s="1" t="str">
        <f t="shared" si="2"/>
        <v/>
      </c>
      <c r="J15219" s="1" t="str">
        <f t="shared" si="3"/>
        <v/>
      </c>
      <c r="K15219" s="1" t="str">
        <f t="shared" si="4"/>
        <v/>
      </c>
    </row>
    <row r="15220">
      <c r="F15220" s="1" t="str">
        <f t="shared" si="1"/>
        <v/>
      </c>
      <c r="G15220" s="1" t="str">
        <f t="shared" si="2"/>
        <v/>
      </c>
      <c r="J15220" s="1" t="str">
        <f t="shared" si="3"/>
        <v/>
      </c>
      <c r="K15220" s="1" t="str">
        <f t="shared" si="4"/>
        <v/>
      </c>
    </row>
    <row r="15221">
      <c r="F15221" s="1" t="str">
        <f t="shared" si="1"/>
        <v/>
      </c>
      <c r="G15221" s="1" t="str">
        <f t="shared" si="2"/>
        <v/>
      </c>
      <c r="J15221" s="1" t="str">
        <f t="shared" si="3"/>
        <v/>
      </c>
      <c r="K15221" s="1" t="str">
        <f t="shared" si="4"/>
        <v/>
      </c>
    </row>
    <row r="15222">
      <c r="F15222" s="1" t="str">
        <f t="shared" si="1"/>
        <v/>
      </c>
      <c r="G15222" s="1" t="str">
        <f t="shared" si="2"/>
        <v/>
      </c>
      <c r="J15222" s="1" t="str">
        <f t="shared" si="3"/>
        <v/>
      </c>
      <c r="K15222" s="1" t="str">
        <f t="shared" si="4"/>
        <v/>
      </c>
    </row>
    <row r="15223">
      <c r="F15223" s="1" t="str">
        <f t="shared" si="1"/>
        <v/>
      </c>
      <c r="G15223" s="1" t="str">
        <f t="shared" si="2"/>
        <v/>
      </c>
      <c r="J15223" s="1" t="str">
        <f t="shared" si="3"/>
        <v/>
      </c>
      <c r="K15223" s="1" t="str">
        <f t="shared" si="4"/>
        <v/>
      </c>
    </row>
    <row r="15224">
      <c r="F15224" s="1" t="str">
        <f t="shared" si="1"/>
        <v/>
      </c>
      <c r="G15224" s="1" t="str">
        <f t="shared" si="2"/>
        <v/>
      </c>
      <c r="J15224" s="1" t="str">
        <f t="shared" si="3"/>
        <v/>
      </c>
      <c r="K15224" s="1" t="str">
        <f t="shared" si="4"/>
        <v/>
      </c>
    </row>
    <row r="15225">
      <c r="F15225" s="1" t="str">
        <f t="shared" si="1"/>
        <v/>
      </c>
      <c r="G15225" s="1" t="str">
        <f t="shared" si="2"/>
        <v/>
      </c>
      <c r="J15225" s="1" t="str">
        <f t="shared" si="3"/>
        <v/>
      </c>
      <c r="K15225" s="1" t="str">
        <f t="shared" si="4"/>
        <v/>
      </c>
    </row>
    <row r="15226">
      <c r="F15226" s="1" t="str">
        <f t="shared" si="1"/>
        <v/>
      </c>
      <c r="G15226" s="1" t="str">
        <f t="shared" si="2"/>
        <v/>
      </c>
      <c r="J15226" s="1" t="str">
        <f t="shared" si="3"/>
        <v/>
      </c>
      <c r="K15226" s="1" t="str">
        <f t="shared" si="4"/>
        <v/>
      </c>
    </row>
    <row r="15227">
      <c r="F15227" s="1" t="str">
        <f t="shared" si="1"/>
        <v/>
      </c>
      <c r="G15227" s="1" t="str">
        <f t="shared" si="2"/>
        <v/>
      </c>
      <c r="J15227" s="1" t="str">
        <f t="shared" si="3"/>
        <v/>
      </c>
      <c r="K15227" s="1" t="str">
        <f t="shared" si="4"/>
        <v/>
      </c>
    </row>
    <row r="15228">
      <c r="F15228" s="1" t="str">
        <f t="shared" si="1"/>
        <v/>
      </c>
      <c r="G15228" s="1" t="str">
        <f t="shared" si="2"/>
        <v/>
      </c>
      <c r="J15228" s="1" t="str">
        <f t="shared" si="3"/>
        <v/>
      </c>
      <c r="K15228" s="1" t="str">
        <f t="shared" si="4"/>
        <v/>
      </c>
    </row>
    <row r="15229">
      <c r="F15229" s="1" t="str">
        <f t="shared" si="1"/>
        <v/>
      </c>
      <c r="G15229" s="1" t="str">
        <f t="shared" si="2"/>
        <v/>
      </c>
      <c r="J15229" s="1" t="str">
        <f t="shared" si="3"/>
        <v/>
      </c>
      <c r="K15229" s="1" t="str">
        <f t="shared" si="4"/>
        <v/>
      </c>
    </row>
    <row r="15230">
      <c r="F15230" s="1" t="str">
        <f t="shared" si="1"/>
        <v/>
      </c>
      <c r="G15230" s="1" t="str">
        <f t="shared" si="2"/>
        <v/>
      </c>
      <c r="J15230" s="1" t="str">
        <f t="shared" si="3"/>
        <v/>
      </c>
      <c r="K15230" s="1" t="str">
        <f t="shared" si="4"/>
        <v/>
      </c>
    </row>
    <row r="15231">
      <c r="F15231" s="1" t="str">
        <f t="shared" si="1"/>
        <v/>
      </c>
      <c r="G15231" s="1" t="str">
        <f t="shared" si="2"/>
        <v/>
      </c>
      <c r="J15231" s="1" t="str">
        <f t="shared" si="3"/>
        <v/>
      </c>
      <c r="K15231" s="1" t="str">
        <f t="shared" si="4"/>
        <v/>
      </c>
    </row>
    <row r="15232">
      <c r="F15232" s="1" t="str">
        <f t="shared" si="1"/>
        <v/>
      </c>
      <c r="G15232" s="1" t="str">
        <f t="shared" si="2"/>
        <v/>
      </c>
      <c r="J15232" s="1" t="str">
        <f t="shared" si="3"/>
        <v/>
      </c>
      <c r="K15232" s="1" t="str">
        <f t="shared" si="4"/>
        <v/>
      </c>
    </row>
    <row r="15233">
      <c r="F15233" s="1" t="str">
        <f t="shared" si="1"/>
        <v/>
      </c>
      <c r="G15233" s="1" t="str">
        <f t="shared" si="2"/>
        <v/>
      </c>
      <c r="J15233" s="1" t="str">
        <f t="shared" si="3"/>
        <v/>
      </c>
      <c r="K15233" s="1" t="str">
        <f t="shared" si="4"/>
        <v/>
      </c>
    </row>
    <row r="15234">
      <c r="F15234" s="1" t="str">
        <f t="shared" si="1"/>
        <v/>
      </c>
      <c r="G15234" s="1" t="str">
        <f t="shared" si="2"/>
        <v/>
      </c>
      <c r="J15234" s="1" t="str">
        <f t="shared" si="3"/>
        <v/>
      </c>
      <c r="K15234" s="1" t="str">
        <f t="shared" si="4"/>
        <v/>
      </c>
    </row>
    <row r="15235">
      <c r="F15235" s="1" t="str">
        <f t="shared" si="1"/>
        <v/>
      </c>
      <c r="G15235" s="1" t="str">
        <f t="shared" si="2"/>
        <v/>
      </c>
      <c r="J15235" s="1" t="str">
        <f t="shared" si="3"/>
        <v/>
      </c>
      <c r="K15235" s="1" t="str">
        <f t="shared" si="4"/>
        <v/>
      </c>
    </row>
    <row r="15236">
      <c r="F15236" s="1" t="str">
        <f t="shared" si="1"/>
        <v/>
      </c>
      <c r="G15236" s="1" t="str">
        <f t="shared" si="2"/>
        <v/>
      </c>
      <c r="J15236" s="1" t="str">
        <f t="shared" si="3"/>
        <v/>
      </c>
      <c r="K15236" s="1" t="str">
        <f t="shared" si="4"/>
        <v/>
      </c>
    </row>
    <row r="15237">
      <c r="F15237" s="1" t="str">
        <f t="shared" si="1"/>
        <v/>
      </c>
      <c r="G15237" s="1" t="str">
        <f t="shared" si="2"/>
        <v/>
      </c>
      <c r="J15237" s="1" t="str">
        <f t="shared" si="3"/>
        <v/>
      </c>
      <c r="K15237" s="1" t="str">
        <f t="shared" si="4"/>
        <v/>
      </c>
    </row>
    <row r="15238">
      <c r="F15238" s="1" t="str">
        <f t="shared" si="1"/>
        <v/>
      </c>
      <c r="G15238" s="1" t="str">
        <f t="shared" si="2"/>
        <v/>
      </c>
      <c r="J15238" s="1" t="str">
        <f t="shared" si="3"/>
        <v/>
      </c>
      <c r="K15238" s="1" t="str">
        <f t="shared" si="4"/>
        <v/>
      </c>
    </row>
    <row r="15239">
      <c r="F15239" s="1" t="str">
        <f t="shared" si="1"/>
        <v/>
      </c>
      <c r="G15239" s="1" t="str">
        <f t="shared" si="2"/>
        <v/>
      </c>
      <c r="J15239" s="1" t="str">
        <f t="shared" si="3"/>
        <v/>
      </c>
      <c r="K15239" s="1" t="str">
        <f t="shared" si="4"/>
        <v/>
      </c>
    </row>
    <row r="15240">
      <c r="F15240" s="1" t="str">
        <f t="shared" si="1"/>
        <v/>
      </c>
      <c r="G15240" s="1" t="str">
        <f t="shared" si="2"/>
        <v/>
      </c>
      <c r="J15240" s="1" t="str">
        <f t="shared" si="3"/>
        <v/>
      </c>
      <c r="K15240" s="1" t="str">
        <f t="shared" si="4"/>
        <v/>
      </c>
    </row>
    <row r="15241">
      <c r="F15241" s="1" t="str">
        <f t="shared" si="1"/>
        <v/>
      </c>
      <c r="G15241" s="1" t="str">
        <f t="shared" si="2"/>
        <v/>
      </c>
      <c r="J15241" s="1" t="str">
        <f t="shared" si="3"/>
        <v/>
      </c>
      <c r="K15241" s="1" t="str">
        <f t="shared" si="4"/>
        <v/>
      </c>
    </row>
    <row r="15242">
      <c r="F15242" s="1" t="str">
        <f t="shared" si="1"/>
        <v/>
      </c>
      <c r="G15242" s="1" t="str">
        <f t="shared" si="2"/>
        <v/>
      </c>
      <c r="J15242" s="1" t="str">
        <f t="shared" si="3"/>
        <v/>
      </c>
      <c r="K15242" s="1" t="str">
        <f t="shared" si="4"/>
        <v/>
      </c>
    </row>
    <row r="15243">
      <c r="F15243" s="1" t="str">
        <f t="shared" si="1"/>
        <v/>
      </c>
      <c r="G15243" s="1" t="str">
        <f t="shared" si="2"/>
        <v/>
      </c>
      <c r="J15243" s="1" t="str">
        <f t="shared" si="3"/>
        <v/>
      </c>
      <c r="K15243" s="1" t="str">
        <f t="shared" si="4"/>
        <v/>
      </c>
    </row>
    <row r="15244">
      <c r="F15244" s="1" t="str">
        <f t="shared" si="1"/>
        <v/>
      </c>
      <c r="G15244" s="1" t="str">
        <f t="shared" si="2"/>
        <v/>
      </c>
      <c r="J15244" s="1" t="str">
        <f t="shared" si="3"/>
        <v/>
      </c>
      <c r="K15244" s="1" t="str">
        <f t="shared" si="4"/>
        <v/>
      </c>
    </row>
    <row r="15245">
      <c r="F15245" s="1" t="str">
        <f t="shared" si="1"/>
        <v/>
      </c>
      <c r="G15245" s="1" t="str">
        <f t="shared" si="2"/>
        <v/>
      </c>
      <c r="J15245" s="1" t="str">
        <f t="shared" si="3"/>
        <v/>
      </c>
      <c r="K15245" s="1" t="str">
        <f t="shared" si="4"/>
        <v/>
      </c>
    </row>
    <row r="15246">
      <c r="F15246" s="1" t="str">
        <f t="shared" si="1"/>
        <v/>
      </c>
      <c r="G15246" s="1" t="str">
        <f t="shared" si="2"/>
        <v/>
      </c>
      <c r="J15246" s="1" t="str">
        <f t="shared" si="3"/>
        <v/>
      </c>
      <c r="K15246" s="1" t="str">
        <f t="shared" si="4"/>
        <v/>
      </c>
    </row>
    <row r="15247">
      <c r="F15247" s="1" t="str">
        <f t="shared" si="1"/>
        <v/>
      </c>
      <c r="G15247" s="1" t="str">
        <f t="shared" si="2"/>
        <v/>
      </c>
      <c r="J15247" s="1" t="str">
        <f t="shared" si="3"/>
        <v/>
      </c>
      <c r="K15247" s="1" t="str">
        <f t="shared" si="4"/>
        <v/>
      </c>
    </row>
    <row r="15248">
      <c r="F15248" s="1" t="str">
        <f t="shared" si="1"/>
        <v/>
      </c>
      <c r="G15248" s="1" t="str">
        <f t="shared" si="2"/>
        <v/>
      </c>
      <c r="J15248" s="1" t="str">
        <f t="shared" si="3"/>
        <v/>
      </c>
      <c r="K15248" s="1" t="str">
        <f t="shared" si="4"/>
        <v/>
      </c>
    </row>
    <row r="15249">
      <c r="F15249" s="1" t="str">
        <f t="shared" si="1"/>
        <v/>
      </c>
      <c r="G15249" s="1" t="str">
        <f t="shared" si="2"/>
        <v/>
      </c>
      <c r="J15249" s="1" t="str">
        <f t="shared" si="3"/>
        <v/>
      </c>
      <c r="K15249" s="1" t="str">
        <f t="shared" si="4"/>
        <v/>
      </c>
    </row>
    <row r="15250">
      <c r="F15250" s="1" t="str">
        <f t="shared" si="1"/>
        <v/>
      </c>
      <c r="G15250" s="1" t="str">
        <f t="shared" si="2"/>
        <v/>
      </c>
      <c r="J15250" s="1" t="str">
        <f t="shared" si="3"/>
        <v/>
      </c>
      <c r="K15250" s="1" t="str">
        <f t="shared" si="4"/>
        <v/>
      </c>
    </row>
    <row r="15251">
      <c r="F15251" s="1" t="str">
        <f t="shared" si="1"/>
        <v/>
      </c>
      <c r="G15251" s="1" t="str">
        <f t="shared" si="2"/>
        <v/>
      </c>
      <c r="J15251" s="1" t="str">
        <f t="shared" si="3"/>
        <v/>
      </c>
      <c r="K15251" s="1" t="str">
        <f t="shared" si="4"/>
        <v/>
      </c>
    </row>
    <row r="15252">
      <c r="F15252" s="1" t="str">
        <f t="shared" si="1"/>
        <v/>
      </c>
      <c r="G15252" s="1" t="str">
        <f t="shared" si="2"/>
        <v/>
      </c>
      <c r="J15252" s="1" t="str">
        <f t="shared" si="3"/>
        <v/>
      </c>
      <c r="K15252" s="1" t="str">
        <f t="shared" si="4"/>
        <v/>
      </c>
    </row>
    <row r="15253">
      <c r="F15253" s="1" t="str">
        <f t="shared" si="1"/>
        <v/>
      </c>
      <c r="G15253" s="1" t="str">
        <f t="shared" si="2"/>
        <v/>
      </c>
      <c r="J15253" s="1" t="str">
        <f t="shared" si="3"/>
        <v/>
      </c>
      <c r="K15253" s="1" t="str">
        <f t="shared" si="4"/>
        <v/>
      </c>
    </row>
    <row r="15254">
      <c r="F15254" s="1" t="str">
        <f t="shared" si="1"/>
        <v/>
      </c>
      <c r="G15254" s="1" t="str">
        <f t="shared" si="2"/>
        <v/>
      </c>
      <c r="J15254" s="1" t="str">
        <f t="shared" si="3"/>
        <v/>
      </c>
      <c r="K15254" s="1" t="str">
        <f t="shared" si="4"/>
        <v/>
      </c>
    </row>
    <row r="15255">
      <c r="F15255" s="1" t="str">
        <f t="shared" si="1"/>
        <v/>
      </c>
      <c r="G15255" s="1" t="str">
        <f t="shared" si="2"/>
        <v/>
      </c>
      <c r="J15255" s="1" t="str">
        <f t="shared" si="3"/>
        <v/>
      </c>
      <c r="K15255" s="1" t="str">
        <f t="shared" si="4"/>
        <v/>
      </c>
    </row>
    <row r="15256">
      <c r="F15256" s="1" t="str">
        <f t="shared" si="1"/>
        <v/>
      </c>
      <c r="G15256" s="1" t="str">
        <f t="shared" si="2"/>
        <v/>
      </c>
      <c r="J15256" s="1" t="str">
        <f t="shared" si="3"/>
        <v/>
      </c>
      <c r="K15256" s="1" t="str">
        <f t="shared" si="4"/>
        <v/>
      </c>
    </row>
    <row r="15257">
      <c r="F15257" s="1" t="str">
        <f t="shared" si="1"/>
        <v/>
      </c>
      <c r="G15257" s="1" t="str">
        <f t="shared" si="2"/>
        <v/>
      </c>
      <c r="J15257" s="1" t="str">
        <f t="shared" si="3"/>
        <v/>
      </c>
      <c r="K15257" s="1" t="str">
        <f t="shared" si="4"/>
        <v/>
      </c>
    </row>
    <row r="15258">
      <c r="F15258" s="1" t="str">
        <f t="shared" si="1"/>
        <v/>
      </c>
      <c r="G15258" s="1" t="str">
        <f t="shared" si="2"/>
        <v/>
      </c>
      <c r="J15258" s="1" t="str">
        <f t="shared" si="3"/>
        <v/>
      </c>
      <c r="K15258" s="1" t="str">
        <f t="shared" si="4"/>
        <v/>
      </c>
    </row>
    <row r="15259">
      <c r="F15259" s="1" t="str">
        <f t="shared" si="1"/>
        <v/>
      </c>
      <c r="G15259" s="1" t="str">
        <f t="shared" si="2"/>
        <v/>
      </c>
      <c r="J15259" s="1" t="str">
        <f t="shared" si="3"/>
        <v/>
      </c>
      <c r="K15259" s="1" t="str">
        <f t="shared" si="4"/>
        <v/>
      </c>
    </row>
    <row r="15260">
      <c r="F15260" s="1" t="str">
        <f t="shared" si="1"/>
        <v/>
      </c>
      <c r="G15260" s="1" t="str">
        <f t="shared" si="2"/>
        <v/>
      </c>
      <c r="J15260" s="1" t="str">
        <f t="shared" si="3"/>
        <v/>
      </c>
      <c r="K15260" s="1" t="str">
        <f t="shared" si="4"/>
        <v/>
      </c>
    </row>
    <row r="15261">
      <c r="F15261" s="1" t="str">
        <f t="shared" si="1"/>
        <v/>
      </c>
      <c r="G15261" s="1" t="str">
        <f t="shared" si="2"/>
        <v/>
      </c>
      <c r="J15261" s="1" t="str">
        <f t="shared" si="3"/>
        <v/>
      </c>
      <c r="K15261" s="1" t="str">
        <f t="shared" si="4"/>
        <v/>
      </c>
    </row>
    <row r="15262">
      <c r="F15262" s="1" t="str">
        <f t="shared" si="1"/>
        <v/>
      </c>
      <c r="G15262" s="1" t="str">
        <f t="shared" si="2"/>
        <v/>
      </c>
      <c r="J15262" s="1" t="str">
        <f t="shared" si="3"/>
        <v/>
      </c>
      <c r="K15262" s="1" t="str">
        <f t="shared" si="4"/>
        <v/>
      </c>
    </row>
    <row r="15263">
      <c r="F15263" s="1" t="str">
        <f t="shared" si="1"/>
        <v/>
      </c>
      <c r="G15263" s="1" t="str">
        <f t="shared" si="2"/>
        <v/>
      </c>
      <c r="J15263" s="1" t="str">
        <f t="shared" si="3"/>
        <v/>
      </c>
      <c r="K15263" s="1" t="str">
        <f t="shared" si="4"/>
        <v/>
      </c>
    </row>
    <row r="15264">
      <c r="F15264" s="1" t="str">
        <f t="shared" si="1"/>
        <v/>
      </c>
      <c r="G15264" s="1" t="str">
        <f t="shared" si="2"/>
        <v/>
      </c>
      <c r="J15264" s="1" t="str">
        <f t="shared" si="3"/>
        <v/>
      </c>
      <c r="K15264" s="1" t="str">
        <f t="shared" si="4"/>
        <v/>
      </c>
    </row>
    <row r="15265">
      <c r="F15265" s="1" t="str">
        <f t="shared" si="1"/>
        <v/>
      </c>
      <c r="G15265" s="1" t="str">
        <f t="shared" si="2"/>
        <v/>
      </c>
      <c r="J15265" s="1" t="str">
        <f t="shared" si="3"/>
        <v/>
      </c>
      <c r="K15265" s="1" t="str">
        <f t="shared" si="4"/>
        <v/>
      </c>
    </row>
    <row r="15266">
      <c r="F15266" s="1" t="str">
        <f t="shared" si="1"/>
        <v/>
      </c>
      <c r="G15266" s="1" t="str">
        <f t="shared" si="2"/>
        <v/>
      </c>
      <c r="J15266" s="1" t="str">
        <f t="shared" si="3"/>
        <v/>
      </c>
      <c r="K15266" s="1" t="str">
        <f t="shared" si="4"/>
        <v/>
      </c>
    </row>
    <row r="15267">
      <c r="F15267" s="1" t="str">
        <f t="shared" si="1"/>
        <v/>
      </c>
      <c r="G15267" s="1" t="str">
        <f t="shared" si="2"/>
        <v/>
      </c>
      <c r="J15267" s="1" t="str">
        <f t="shared" si="3"/>
        <v/>
      </c>
      <c r="K15267" s="1" t="str">
        <f t="shared" si="4"/>
        <v/>
      </c>
    </row>
    <row r="15268">
      <c r="F15268" s="1" t="str">
        <f t="shared" si="1"/>
        <v/>
      </c>
      <c r="G15268" s="1" t="str">
        <f t="shared" si="2"/>
        <v/>
      </c>
      <c r="J15268" s="1" t="str">
        <f t="shared" si="3"/>
        <v/>
      </c>
      <c r="K15268" s="1" t="str">
        <f t="shared" si="4"/>
        <v/>
      </c>
    </row>
    <row r="15269">
      <c r="F15269" s="1" t="str">
        <f t="shared" si="1"/>
        <v/>
      </c>
      <c r="G15269" s="1" t="str">
        <f t="shared" si="2"/>
        <v/>
      </c>
      <c r="J15269" s="1" t="str">
        <f t="shared" si="3"/>
        <v/>
      </c>
      <c r="K15269" s="1" t="str">
        <f t="shared" si="4"/>
        <v/>
      </c>
    </row>
    <row r="15270">
      <c r="F15270" s="1" t="str">
        <f t="shared" si="1"/>
        <v/>
      </c>
      <c r="G15270" s="1" t="str">
        <f t="shared" si="2"/>
        <v/>
      </c>
      <c r="J15270" s="1" t="str">
        <f t="shared" si="3"/>
        <v/>
      </c>
      <c r="K15270" s="1" t="str">
        <f t="shared" si="4"/>
        <v/>
      </c>
    </row>
    <row r="15271">
      <c r="F15271" s="1" t="str">
        <f t="shared" si="1"/>
        <v/>
      </c>
      <c r="G15271" s="1" t="str">
        <f t="shared" si="2"/>
        <v/>
      </c>
      <c r="J15271" s="1" t="str">
        <f t="shared" si="3"/>
        <v/>
      </c>
      <c r="K15271" s="1" t="str">
        <f t="shared" si="4"/>
        <v/>
      </c>
    </row>
    <row r="15272">
      <c r="F15272" s="1" t="str">
        <f t="shared" si="1"/>
        <v/>
      </c>
      <c r="G15272" s="1" t="str">
        <f t="shared" si="2"/>
        <v/>
      </c>
      <c r="J15272" s="1" t="str">
        <f t="shared" si="3"/>
        <v/>
      </c>
      <c r="K15272" s="1" t="str">
        <f t="shared" si="4"/>
        <v/>
      </c>
    </row>
    <row r="15273">
      <c r="F15273" s="1" t="str">
        <f t="shared" si="1"/>
        <v/>
      </c>
      <c r="G15273" s="1" t="str">
        <f t="shared" si="2"/>
        <v/>
      </c>
      <c r="J15273" s="1" t="str">
        <f t="shared" si="3"/>
        <v/>
      </c>
      <c r="K15273" s="1" t="str">
        <f t="shared" si="4"/>
        <v/>
      </c>
    </row>
    <row r="15274">
      <c r="F15274" s="1" t="str">
        <f t="shared" si="1"/>
        <v/>
      </c>
      <c r="G15274" s="1" t="str">
        <f t="shared" si="2"/>
        <v/>
      </c>
      <c r="J15274" s="1" t="str">
        <f t="shared" si="3"/>
        <v/>
      </c>
      <c r="K15274" s="1" t="str">
        <f t="shared" si="4"/>
        <v/>
      </c>
    </row>
    <row r="15275">
      <c r="F15275" s="1" t="str">
        <f t="shared" si="1"/>
        <v/>
      </c>
      <c r="G15275" s="1" t="str">
        <f t="shared" si="2"/>
        <v/>
      </c>
      <c r="J15275" s="1" t="str">
        <f t="shared" si="3"/>
        <v/>
      </c>
      <c r="K15275" s="1" t="str">
        <f t="shared" si="4"/>
        <v/>
      </c>
    </row>
    <row r="15276">
      <c r="F15276" s="1" t="str">
        <f t="shared" si="1"/>
        <v/>
      </c>
      <c r="G15276" s="1" t="str">
        <f t="shared" si="2"/>
        <v/>
      </c>
      <c r="J15276" s="1" t="str">
        <f t="shared" si="3"/>
        <v/>
      </c>
      <c r="K15276" s="1" t="str">
        <f t="shared" si="4"/>
        <v/>
      </c>
    </row>
    <row r="15277">
      <c r="F15277" s="1" t="str">
        <f t="shared" si="1"/>
        <v/>
      </c>
      <c r="G15277" s="1" t="str">
        <f t="shared" si="2"/>
        <v/>
      </c>
      <c r="J15277" s="1" t="str">
        <f t="shared" si="3"/>
        <v/>
      </c>
      <c r="K15277" s="1" t="str">
        <f t="shared" si="4"/>
        <v/>
      </c>
    </row>
    <row r="15278">
      <c r="F15278" s="1" t="str">
        <f t="shared" si="1"/>
        <v/>
      </c>
      <c r="G15278" s="1" t="str">
        <f t="shared" si="2"/>
        <v/>
      </c>
      <c r="J15278" s="1" t="str">
        <f t="shared" si="3"/>
        <v/>
      </c>
      <c r="K15278" s="1" t="str">
        <f t="shared" si="4"/>
        <v/>
      </c>
    </row>
    <row r="15279">
      <c r="F15279" s="1" t="str">
        <f t="shared" si="1"/>
        <v/>
      </c>
      <c r="G15279" s="1" t="str">
        <f t="shared" si="2"/>
        <v/>
      </c>
      <c r="J15279" s="1" t="str">
        <f t="shared" si="3"/>
        <v/>
      </c>
      <c r="K15279" s="1" t="str">
        <f t="shared" si="4"/>
        <v/>
      </c>
    </row>
    <row r="15280">
      <c r="F15280" s="1" t="str">
        <f t="shared" si="1"/>
        <v/>
      </c>
      <c r="G15280" s="1" t="str">
        <f t="shared" si="2"/>
        <v/>
      </c>
      <c r="J15280" s="1" t="str">
        <f t="shared" si="3"/>
        <v/>
      </c>
      <c r="K15280" s="1" t="str">
        <f t="shared" si="4"/>
        <v/>
      </c>
    </row>
    <row r="15281">
      <c r="F15281" s="1" t="str">
        <f t="shared" si="1"/>
        <v/>
      </c>
      <c r="G15281" s="1" t="str">
        <f t="shared" si="2"/>
        <v/>
      </c>
      <c r="J15281" s="1" t="str">
        <f t="shared" si="3"/>
        <v/>
      </c>
      <c r="K15281" s="1" t="str">
        <f t="shared" si="4"/>
        <v/>
      </c>
    </row>
    <row r="15282">
      <c r="F15282" s="1" t="str">
        <f t="shared" si="1"/>
        <v/>
      </c>
      <c r="G15282" s="1" t="str">
        <f t="shared" si="2"/>
        <v/>
      </c>
      <c r="J15282" s="1" t="str">
        <f t="shared" si="3"/>
        <v/>
      </c>
      <c r="K15282" s="1" t="str">
        <f t="shared" si="4"/>
        <v/>
      </c>
    </row>
    <row r="15283">
      <c r="F15283" s="1" t="str">
        <f t="shared" si="1"/>
        <v/>
      </c>
      <c r="G15283" s="1" t="str">
        <f t="shared" si="2"/>
        <v/>
      </c>
      <c r="J15283" s="1" t="str">
        <f t="shared" si="3"/>
        <v/>
      </c>
      <c r="K15283" s="1" t="str">
        <f t="shared" si="4"/>
        <v/>
      </c>
    </row>
    <row r="15284">
      <c r="F15284" s="1" t="str">
        <f t="shared" si="1"/>
        <v/>
      </c>
      <c r="G15284" s="1" t="str">
        <f t="shared" si="2"/>
        <v/>
      </c>
      <c r="J15284" s="1" t="str">
        <f t="shared" si="3"/>
        <v/>
      </c>
      <c r="K15284" s="1" t="str">
        <f t="shared" si="4"/>
        <v/>
      </c>
    </row>
    <row r="15285">
      <c r="F15285" s="1" t="str">
        <f t="shared" si="1"/>
        <v/>
      </c>
      <c r="G15285" s="1" t="str">
        <f t="shared" si="2"/>
        <v/>
      </c>
      <c r="J15285" s="1" t="str">
        <f t="shared" si="3"/>
        <v/>
      </c>
      <c r="K15285" s="1" t="str">
        <f t="shared" si="4"/>
        <v/>
      </c>
    </row>
    <row r="15286">
      <c r="F15286" s="1" t="str">
        <f t="shared" si="1"/>
        <v/>
      </c>
      <c r="G15286" s="1" t="str">
        <f t="shared" si="2"/>
        <v/>
      </c>
      <c r="J15286" s="1" t="str">
        <f t="shared" si="3"/>
        <v/>
      </c>
      <c r="K15286" s="1" t="str">
        <f t="shared" si="4"/>
        <v/>
      </c>
    </row>
    <row r="15287">
      <c r="F15287" s="1" t="str">
        <f t="shared" si="1"/>
        <v/>
      </c>
      <c r="G15287" s="1" t="str">
        <f t="shared" si="2"/>
        <v/>
      </c>
      <c r="J15287" s="1" t="str">
        <f t="shared" si="3"/>
        <v/>
      </c>
      <c r="K15287" s="1" t="str">
        <f t="shared" si="4"/>
        <v/>
      </c>
    </row>
    <row r="15288">
      <c r="F15288" s="1" t="str">
        <f t="shared" si="1"/>
        <v/>
      </c>
      <c r="G15288" s="1" t="str">
        <f t="shared" si="2"/>
        <v/>
      </c>
      <c r="J15288" s="1" t="str">
        <f t="shared" si="3"/>
        <v/>
      </c>
      <c r="K15288" s="1" t="str">
        <f t="shared" si="4"/>
        <v/>
      </c>
    </row>
    <row r="15289">
      <c r="F15289" s="1" t="str">
        <f t="shared" si="1"/>
        <v/>
      </c>
      <c r="G15289" s="1" t="str">
        <f t="shared" si="2"/>
        <v/>
      </c>
      <c r="J15289" s="1" t="str">
        <f t="shared" si="3"/>
        <v/>
      </c>
      <c r="K15289" s="1" t="str">
        <f t="shared" si="4"/>
        <v/>
      </c>
    </row>
    <row r="15290">
      <c r="F15290" s="1" t="str">
        <f t="shared" si="1"/>
        <v/>
      </c>
      <c r="G15290" s="1" t="str">
        <f t="shared" si="2"/>
        <v/>
      </c>
      <c r="J15290" s="1" t="str">
        <f t="shared" si="3"/>
        <v/>
      </c>
      <c r="K15290" s="1" t="str">
        <f t="shared" si="4"/>
        <v/>
      </c>
    </row>
    <row r="15291">
      <c r="F15291" s="1" t="str">
        <f t="shared" si="1"/>
        <v/>
      </c>
      <c r="G15291" s="1" t="str">
        <f t="shared" si="2"/>
        <v/>
      </c>
      <c r="J15291" s="1" t="str">
        <f t="shared" si="3"/>
        <v/>
      </c>
      <c r="K15291" s="1" t="str">
        <f t="shared" si="4"/>
        <v/>
      </c>
    </row>
    <row r="15292">
      <c r="F15292" s="1" t="str">
        <f t="shared" si="1"/>
        <v/>
      </c>
      <c r="G15292" s="1" t="str">
        <f t="shared" si="2"/>
        <v/>
      </c>
      <c r="J15292" s="1" t="str">
        <f t="shared" si="3"/>
        <v/>
      </c>
      <c r="K15292" s="1" t="str">
        <f t="shared" si="4"/>
        <v/>
      </c>
    </row>
    <row r="15293">
      <c r="F15293" s="1" t="str">
        <f t="shared" si="1"/>
        <v/>
      </c>
      <c r="G15293" s="1" t="str">
        <f t="shared" si="2"/>
        <v/>
      </c>
      <c r="J15293" s="1" t="str">
        <f t="shared" si="3"/>
        <v/>
      </c>
      <c r="K15293" s="1" t="str">
        <f t="shared" si="4"/>
        <v/>
      </c>
    </row>
    <row r="15294">
      <c r="F15294" s="1" t="str">
        <f t="shared" si="1"/>
        <v/>
      </c>
      <c r="G15294" s="1" t="str">
        <f t="shared" si="2"/>
        <v/>
      </c>
      <c r="J15294" s="1" t="str">
        <f t="shared" si="3"/>
        <v/>
      </c>
      <c r="K15294" s="1" t="str">
        <f t="shared" si="4"/>
        <v/>
      </c>
    </row>
    <row r="15295">
      <c r="F15295" s="1" t="str">
        <f t="shared" si="1"/>
        <v/>
      </c>
      <c r="G15295" s="1" t="str">
        <f t="shared" si="2"/>
        <v/>
      </c>
      <c r="J15295" s="1" t="str">
        <f t="shared" si="3"/>
        <v/>
      </c>
      <c r="K15295" s="1" t="str">
        <f t="shared" si="4"/>
        <v/>
      </c>
    </row>
    <row r="15296">
      <c r="F15296" s="1" t="str">
        <f t="shared" si="1"/>
        <v/>
      </c>
      <c r="G15296" s="1" t="str">
        <f t="shared" si="2"/>
        <v/>
      </c>
      <c r="J15296" s="1" t="str">
        <f t="shared" si="3"/>
        <v/>
      </c>
      <c r="K15296" s="1" t="str">
        <f t="shared" si="4"/>
        <v/>
      </c>
    </row>
    <row r="15297">
      <c r="F15297" s="1" t="str">
        <f t="shared" si="1"/>
        <v/>
      </c>
      <c r="G15297" s="1" t="str">
        <f t="shared" si="2"/>
        <v/>
      </c>
      <c r="J15297" s="1" t="str">
        <f t="shared" si="3"/>
        <v/>
      </c>
      <c r="K15297" s="1" t="str">
        <f t="shared" si="4"/>
        <v/>
      </c>
    </row>
    <row r="15298">
      <c r="F15298" s="1" t="str">
        <f t="shared" si="1"/>
        <v/>
      </c>
      <c r="G15298" s="1" t="str">
        <f t="shared" si="2"/>
        <v/>
      </c>
      <c r="J15298" s="1" t="str">
        <f t="shared" si="3"/>
        <v/>
      </c>
      <c r="K15298" s="1" t="str">
        <f t="shared" si="4"/>
        <v/>
      </c>
    </row>
    <row r="15299">
      <c r="F15299" s="1" t="str">
        <f t="shared" si="1"/>
        <v/>
      </c>
      <c r="G15299" s="1" t="str">
        <f t="shared" si="2"/>
        <v/>
      </c>
      <c r="J15299" s="1" t="str">
        <f t="shared" si="3"/>
        <v/>
      </c>
      <c r="K15299" s="1" t="str">
        <f t="shared" si="4"/>
        <v/>
      </c>
    </row>
    <row r="15300">
      <c r="F15300" s="1" t="str">
        <f t="shared" si="1"/>
        <v/>
      </c>
      <c r="G15300" s="1" t="str">
        <f t="shared" si="2"/>
        <v/>
      </c>
      <c r="J15300" s="1" t="str">
        <f t="shared" si="3"/>
        <v/>
      </c>
      <c r="K15300" s="1" t="str">
        <f t="shared" si="4"/>
        <v/>
      </c>
    </row>
    <row r="15301">
      <c r="F15301" s="1" t="str">
        <f t="shared" si="1"/>
        <v/>
      </c>
      <c r="G15301" s="1" t="str">
        <f t="shared" si="2"/>
        <v/>
      </c>
      <c r="J15301" s="1" t="str">
        <f t="shared" si="3"/>
        <v/>
      </c>
      <c r="K15301" s="1" t="str">
        <f t="shared" si="4"/>
        <v/>
      </c>
    </row>
    <row r="15302">
      <c r="F15302" s="1" t="str">
        <f t="shared" si="1"/>
        <v/>
      </c>
      <c r="G15302" s="1" t="str">
        <f t="shared" si="2"/>
        <v/>
      </c>
      <c r="J15302" s="1" t="str">
        <f t="shared" si="3"/>
        <v/>
      </c>
      <c r="K15302" s="1" t="str">
        <f t="shared" si="4"/>
        <v/>
      </c>
    </row>
    <row r="15303">
      <c r="F15303" s="1" t="str">
        <f t="shared" si="1"/>
        <v/>
      </c>
      <c r="G15303" s="1" t="str">
        <f t="shared" si="2"/>
        <v/>
      </c>
      <c r="J15303" s="1" t="str">
        <f t="shared" si="3"/>
        <v/>
      </c>
      <c r="K15303" s="1" t="str">
        <f t="shared" si="4"/>
        <v/>
      </c>
    </row>
    <row r="15304">
      <c r="F15304" s="1" t="str">
        <f t="shared" si="1"/>
        <v/>
      </c>
      <c r="G15304" s="1" t="str">
        <f t="shared" si="2"/>
        <v/>
      </c>
      <c r="J15304" s="1" t="str">
        <f t="shared" si="3"/>
        <v/>
      </c>
      <c r="K15304" s="1" t="str">
        <f t="shared" si="4"/>
        <v/>
      </c>
    </row>
    <row r="15305">
      <c r="F15305" s="1" t="str">
        <f t="shared" si="1"/>
        <v/>
      </c>
      <c r="G15305" s="1" t="str">
        <f t="shared" si="2"/>
        <v/>
      </c>
      <c r="J15305" s="1" t="str">
        <f t="shared" si="3"/>
        <v/>
      </c>
      <c r="K15305" s="1" t="str">
        <f t="shared" si="4"/>
        <v/>
      </c>
    </row>
    <row r="15306">
      <c r="F15306" s="1" t="str">
        <f t="shared" si="1"/>
        <v/>
      </c>
      <c r="G15306" s="1" t="str">
        <f t="shared" si="2"/>
        <v/>
      </c>
      <c r="J15306" s="1" t="str">
        <f t="shared" si="3"/>
        <v/>
      </c>
      <c r="K15306" s="1" t="str">
        <f t="shared" si="4"/>
        <v/>
      </c>
    </row>
    <row r="15307">
      <c r="F15307" s="1" t="str">
        <f t="shared" si="1"/>
        <v/>
      </c>
      <c r="G15307" s="1" t="str">
        <f t="shared" si="2"/>
        <v/>
      </c>
      <c r="J15307" s="1" t="str">
        <f t="shared" si="3"/>
        <v/>
      </c>
      <c r="K15307" s="1" t="str">
        <f t="shared" si="4"/>
        <v/>
      </c>
    </row>
    <row r="15308">
      <c r="F15308" s="1" t="str">
        <f t="shared" si="1"/>
        <v/>
      </c>
      <c r="G15308" s="1" t="str">
        <f t="shared" si="2"/>
        <v/>
      </c>
      <c r="J15308" s="1" t="str">
        <f t="shared" si="3"/>
        <v/>
      </c>
      <c r="K15308" s="1" t="str">
        <f t="shared" si="4"/>
        <v/>
      </c>
    </row>
    <row r="15309">
      <c r="F15309" s="1" t="str">
        <f t="shared" si="1"/>
        <v/>
      </c>
      <c r="G15309" s="1" t="str">
        <f t="shared" si="2"/>
        <v/>
      </c>
      <c r="J15309" s="1" t="str">
        <f t="shared" si="3"/>
        <v/>
      </c>
      <c r="K15309" s="1" t="str">
        <f t="shared" si="4"/>
        <v/>
      </c>
    </row>
    <row r="15310">
      <c r="F15310" s="1" t="str">
        <f t="shared" si="1"/>
        <v/>
      </c>
      <c r="G15310" s="1" t="str">
        <f t="shared" si="2"/>
        <v/>
      </c>
      <c r="J15310" s="1" t="str">
        <f t="shared" si="3"/>
        <v/>
      </c>
      <c r="K15310" s="1" t="str">
        <f t="shared" si="4"/>
        <v/>
      </c>
    </row>
    <row r="15311">
      <c r="F15311" s="1" t="str">
        <f t="shared" si="1"/>
        <v/>
      </c>
      <c r="G15311" s="1" t="str">
        <f t="shared" si="2"/>
        <v/>
      </c>
      <c r="J15311" s="1" t="str">
        <f t="shared" si="3"/>
        <v/>
      </c>
      <c r="K15311" s="1" t="str">
        <f t="shared" si="4"/>
        <v/>
      </c>
    </row>
    <row r="15312">
      <c r="F15312" s="1" t="str">
        <f t="shared" si="1"/>
        <v/>
      </c>
      <c r="G15312" s="1" t="str">
        <f t="shared" si="2"/>
        <v/>
      </c>
      <c r="J15312" s="1" t="str">
        <f t="shared" si="3"/>
        <v/>
      </c>
      <c r="K15312" s="1" t="str">
        <f t="shared" si="4"/>
        <v/>
      </c>
    </row>
    <row r="15313">
      <c r="F15313" s="1" t="str">
        <f t="shared" si="1"/>
        <v/>
      </c>
      <c r="G15313" s="1" t="str">
        <f t="shared" si="2"/>
        <v/>
      </c>
      <c r="J15313" s="1" t="str">
        <f t="shared" si="3"/>
        <v/>
      </c>
      <c r="K15313" s="1" t="str">
        <f t="shared" si="4"/>
        <v/>
      </c>
    </row>
    <row r="15314">
      <c r="F15314" s="1" t="str">
        <f t="shared" si="1"/>
        <v/>
      </c>
      <c r="G15314" s="1" t="str">
        <f t="shared" si="2"/>
        <v/>
      </c>
      <c r="J15314" s="1" t="str">
        <f t="shared" si="3"/>
        <v/>
      </c>
      <c r="K15314" s="1" t="str">
        <f t="shared" si="4"/>
        <v/>
      </c>
    </row>
    <row r="15315">
      <c r="F15315" s="1" t="str">
        <f t="shared" si="1"/>
        <v/>
      </c>
      <c r="G15315" s="1" t="str">
        <f t="shared" si="2"/>
        <v/>
      </c>
      <c r="J15315" s="1" t="str">
        <f t="shared" si="3"/>
        <v/>
      </c>
      <c r="K15315" s="1" t="str">
        <f t="shared" si="4"/>
        <v/>
      </c>
    </row>
    <row r="15316">
      <c r="F15316" s="1" t="str">
        <f t="shared" si="1"/>
        <v/>
      </c>
      <c r="G15316" s="1" t="str">
        <f t="shared" si="2"/>
        <v/>
      </c>
      <c r="J15316" s="1" t="str">
        <f t="shared" si="3"/>
        <v/>
      </c>
      <c r="K15316" s="1" t="str">
        <f t="shared" si="4"/>
        <v/>
      </c>
    </row>
    <row r="15317">
      <c r="F15317" s="1" t="str">
        <f t="shared" si="1"/>
        <v/>
      </c>
      <c r="G15317" s="1" t="str">
        <f t="shared" si="2"/>
        <v/>
      </c>
      <c r="J15317" s="1" t="str">
        <f t="shared" si="3"/>
        <v/>
      </c>
      <c r="K15317" s="1" t="str">
        <f t="shared" si="4"/>
        <v/>
      </c>
    </row>
    <row r="15318">
      <c r="F15318" s="1" t="str">
        <f t="shared" si="1"/>
        <v/>
      </c>
      <c r="G15318" s="1" t="str">
        <f t="shared" si="2"/>
        <v/>
      </c>
      <c r="J15318" s="1" t="str">
        <f t="shared" si="3"/>
        <v/>
      </c>
      <c r="K15318" s="1" t="str">
        <f t="shared" si="4"/>
        <v/>
      </c>
    </row>
    <row r="15319">
      <c r="F15319" s="1" t="str">
        <f t="shared" si="1"/>
        <v/>
      </c>
      <c r="G15319" s="1" t="str">
        <f t="shared" si="2"/>
        <v/>
      </c>
      <c r="J15319" s="1" t="str">
        <f t="shared" si="3"/>
        <v/>
      </c>
      <c r="K15319" s="1" t="str">
        <f t="shared" si="4"/>
        <v/>
      </c>
    </row>
    <row r="15320">
      <c r="F15320" s="1" t="str">
        <f t="shared" si="1"/>
        <v/>
      </c>
      <c r="G15320" s="1" t="str">
        <f t="shared" si="2"/>
        <v/>
      </c>
      <c r="J15320" s="1" t="str">
        <f t="shared" si="3"/>
        <v/>
      </c>
      <c r="K15320" s="1" t="str">
        <f t="shared" si="4"/>
        <v/>
      </c>
    </row>
    <row r="15321">
      <c r="F15321" s="1" t="str">
        <f t="shared" si="1"/>
        <v/>
      </c>
      <c r="G15321" s="1" t="str">
        <f t="shared" si="2"/>
        <v/>
      </c>
      <c r="J15321" s="1" t="str">
        <f t="shared" si="3"/>
        <v/>
      </c>
      <c r="K15321" s="1" t="str">
        <f t="shared" si="4"/>
        <v/>
      </c>
    </row>
    <row r="15322">
      <c r="F15322" s="1" t="str">
        <f t="shared" si="1"/>
        <v/>
      </c>
      <c r="G15322" s="1" t="str">
        <f t="shared" si="2"/>
        <v/>
      </c>
      <c r="J15322" s="1" t="str">
        <f t="shared" si="3"/>
        <v/>
      </c>
      <c r="K15322" s="1" t="str">
        <f t="shared" si="4"/>
        <v/>
      </c>
    </row>
    <row r="15323">
      <c r="F15323" s="1" t="str">
        <f t="shared" si="1"/>
        <v/>
      </c>
      <c r="G15323" s="1" t="str">
        <f t="shared" si="2"/>
        <v/>
      </c>
      <c r="J15323" s="1" t="str">
        <f t="shared" si="3"/>
        <v/>
      </c>
      <c r="K15323" s="1" t="str">
        <f t="shared" si="4"/>
        <v/>
      </c>
    </row>
    <row r="15324">
      <c r="F15324" s="1" t="str">
        <f t="shared" si="1"/>
        <v/>
      </c>
      <c r="G15324" s="1" t="str">
        <f t="shared" si="2"/>
        <v/>
      </c>
      <c r="J15324" s="1" t="str">
        <f t="shared" si="3"/>
        <v/>
      </c>
      <c r="K15324" s="1" t="str">
        <f t="shared" si="4"/>
        <v/>
      </c>
    </row>
    <row r="15325">
      <c r="F15325" s="1" t="str">
        <f t="shared" si="1"/>
        <v/>
      </c>
      <c r="G15325" s="1" t="str">
        <f t="shared" si="2"/>
        <v/>
      </c>
      <c r="J15325" s="1" t="str">
        <f t="shared" si="3"/>
        <v/>
      </c>
      <c r="K15325" s="1" t="str">
        <f t="shared" si="4"/>
        <v/>
      </c>
    </row>
    <row r="15326">
      <c r="F15326" s="1" t="str">
        <f t="shared" si="1"/>
        <v/>
      </c>
      <c r="G15326" s="1" t="str">
        <f t="shared" si="2"/>
        <v/>
      </c>
      <c r="J15326" s="1" t="str">
        <f t="shared" si="3"/>
        <v/>
      </c>
      <c r="K15326" s="1" t="str">
        <f t="shared" si="4"/>
        <v/>
      </c>
    </row>
    <row r="15327">
      <c r="F15327" s="1" t="str">
        <f t="shared" si="1"/>
        <v/>
      </c>
      <c r="G15327" s="1" t="str">
        <f t="shared" si="2"/>
        <v/>
      </c>
      <c r="J15327" s="1" t="str">
        <f t="shared" si="3"/>
        <v/>
      </c>
      <c r="K15327" s="1" t="str">
        <f t="shared" si="4"/>
        <v/>
      </c>
    </row>
    <row r="15328">
      <c r="F15328" s="1" t="str">
        <f t="shared" si="1"/>
        <v/>
      </c>
      <c r="G15328" s="1" t="str">
        <f t="shared" si="2"/>
        <v/>
      </c>
      <c r="J15328" s="1" t="str">
        <f t="shared" si="3"/>
        <v/>
      </c>
      <c r="K15328" s="1" t="str">
        <f t="shared" si="4"/>
        <v/>
      </c>
    </row>
    <row r="15329">
      <c r="F15329" s="1" t="str">
        <f t="shared" si="1"/>
        <v/>
      </c>
      <c r="G15329" s="1" t="str">
        <f t="shared" si="2"/>
        <v/>
      </c>
      <c r="J15329" s="1" t="str">
        <f t="shared" si="3"/>
        <v/>
      </c>
      <c r="K15329" s="1" t="str">
        <f t="shared" si="4"/>
        <v/>
      </c>
    </row>
    <row r="15330">
      <c r="F15330" s="1" t="str">
        <f t="shared" si="1"/>
        <v/>
      </c>
      <c r="G15330" s="1" t="str">
        <f t="shared" si="2"/>
        <v/>
      </c>
      <c r="J15330" s="1" t="str">
        <f t="shared" si="3"/>
        <v/>
      </c>
      <c r="K15330" s="1" t="str">
        <f t="shared" si="4"/>
        <v/>
      </c>
    </row>
    <row r="15331">
      <c r="F15331" s="1" t="str">
        <f t="shared" si="1"/>
        <v/>
      </c>
      <c r="G15331" s="1" t="str">
        <f t="shared" si="2"/>
        <v/>
      </c>
      <c r="J15331" s="1" t="str">
        <f t="shared" si="3"/>
        <v/>
      </c>
      <c r="K15331" s="1" t="str">
        <f t="shared" si="4"/>
        <v/>
      </c>
    </row>
    <row r="15332">
      <c r="F15332" s="1" t="str">
        <f t="shared" si="1"/>
        <v/>
      </c>
      <c r="G15332" s="1" t="str">
        <f t="shared" si="2"/>
        <v/>
      </c>
      <c r="J15332" s="1" t="str">
        <f t="shared" si="3"/>
        <v/>
      </c>
      <c r="K15332" s="1" t="str">
        <f t="shared" si="4"/>
        <v/>
      </c>
    </row>
    <row r="15333">
      <c r="F15333" s="1" t="str">
        <f t="shared" si="1"/>
        <v/>
      </c>
      <c r="G15333" s="1" t="str">
        <f t="shared" si="2"/>
        <v/>
      </c>
      <c r="J15333" s="1" t="str">
        <f t="shared" si="3"/>
        <v/>
      </c>
      <c r="K15333" s="1" t="str">
        <f t="shared" si="4"/>
        <v/>
      </c>
    </row>
    <row r="15334">
      <c r="F15334" s="1" t="str">
        <f t="shared" si="1"/>
        <v/>
      </c>
      <c r="G15334" s="1" t="str">
        <f t="shared" si="2"/>
        <v/>
      </c>
      <c r="J15334" s="1" t="str">
        <f t="shared" si="3"/>
        <v/>
      </c>
      <c r="K15334" s="1" t="str">
        <f t="shared" si="4"/>
        <v/>
      </c>
    </row>
    <row r="15335">
      <c r="F15335" s="1" t="str">
        <f t="shared" si="1"/>
        <v/>
      </c>
      <c r="G15335" s="1" t="str">
        <f t="shared" si="2"/>
        <v/>
      </c>
      <c r="J15335" s="1" t="str">
        <f t="shared" si="3"/>
        <v/>
      </c>
      <c r="K15335" s="1" t="str">
        <f t="shared" si="4"/>
        <v/>
      </c>
    </row>
    <row r="15336">
      <c r="F15336" s="1" t="str">
        <f t="shared" si="1"/>
        <v/>
      </c>
      <c r="G15336" s="1" t="str">
        <f t="shared" si="2"/>
        <v/>
      </c>
      <c r="J15336" s="1" t="str">
        <f t="shared" si="3"/>
        <v/>
      </c>
      <c r="K15336" s="1" t="str">
        <f t="shared" si="4"/>
        <v/>
      </c>
    </row>
    <row r="15337">
      <c r="F15337" s="1" t="str">
        <f t="shared" si="1"/>
        <v/>
      </c>
      <c r="G15337" s="1" t="str">
        <f t="shared" si="2"/>
        <v/>
      </c>
      <c r="J15337" s="1" t="str">
        <f t="shared" si="3"/>
        <v/>
      </c>
      <c r="K15337" s="1" t="str">
        <f t="shared" si="4"/>
        <v/>
      </c>
    </row>
    <row r="15338">
      <c r="F15338" s="1" t="str">
        <f t="shared" si="1"/>
        <v/>
      </c>
      <c r="G15338" s="1" t="str">
        <f t="shared" si="2"/>
        <v/>
      </c>
      <c r="J15338" s="1" t="str">
        <f t="shared" si="3"/>
        <v/>
      </c>
      <c r="K15338" s="1" t="str">
        <f t="shared" si="4"/>
        <v/>
      </c>
    </row>
    <row r="15339">
      <c r="F15339" s="1" t="str">
        <f t="shared" si="1"/>
        <v/>
      </c>
      <c r="G15339" s="1" t="str">
        <f t="shared" si="2"/>
        <v/>
      </c>
      <c r="J15339" s="1" t="str">
        <f t="shared" si="3"/>
        <v/>
      </c>
      <c r="K15339" s="1" t="str">
        <f t="shared" si="4"/>
        <v/>
      </c>
    </row>
    <row r="15340">
      <c r="F15340" s="1" t="str">
        <f t="shared" si="1"/>
        <v/>
      </c>
      <c r="G15340" s="1" t="str">
        <f t="shared" si="2"/>
        <v/>
      </c>
      <c r="J15340" s="1" t="str">
        <f t="shared" si="3"/>
        <v/>
      </c>
      <c r="K15340" s="1" t="str">
        <f t="shared" si="4"/>
        <v/>
      </c>
    </row>
    <row r="15341">
      <c r="F15341" s="1" t="str">
        <f t="shared" si="1"/>
        <v/>
      </c>
      <c r="G15341" s="1" t="str">
        <f t="shared" si="2"/>
        <v/>
      </c>
      <c r="J15341" s="1" t="str">
        <f t="shared" si="3"/>
        <v/>
      </c>
      <c r="K15341" s="1" t="str">
        <f t="shared" si="4"/>
        <v/>
      </c>
    </row>
    <row r="15342">
      <c r="F15342" s="1" t="str">
        <f t="shared" si="1"/>
        <v/>
      </c>
      <c r="G15342" s="1" t="str">
        <f t="shared" si="2"/>
        <v/>
      </c>
      <c r="J15342" s="1" t="str">
        <f t="shared" si="3"/>
        <v/>
      </c>
      <c r="K15342" s="1" t="str">
        <f t="shared" si="4"/>
        <v/>
      </c>
    </row>
    <row r="15343">
      <c r="F15343" s="1" t="str">
        <f t="shared" si="1"/>
        <v/>
      </c>
      <c r="G15343" s="1" t="str">
        <f t="shared" si="2"/>
        <v/>
      </c>
      <c r="J15343" s="1" t="str">
        <f t="shared" si="3"/>
        <v/>
      </c>
      <c r="K15343" s="1" t="str">
        <f t="shared" si="4"/>
        <v/>
      </c>
    </row>
    <row r="15344">
      <c r="F15344" s="1" t="str">
        <f t="shared" si="1"/>
        <v/>
      </c>
      <c r="G15344" s="1" t="str">
        <f t="shared" si="2"/>
        <v/>
      </c>
      <c r="J15344" s="1" t="str">
        <f t="shared" si="3"/>
        <v/>
      </c>
      <c r="K15344" s="1" t="str">
        <f t="shared" si="4"/>
        <v/>
      </c>
    </row>
    <row r="15345">
      <c r="F15345" s="1" t="str">
        <f t="shared" si="1"/>
        <v/>
      </c>
      <c r="G15345" s="1" t="str">
        <f t="shared" si="2"/>
        <v/>
      </c>
      <c r="J15345" s="1" t="str">
        <f t="shared" si="3"/>
        <v/>
      </c>
      <c r="K15345" s="1" t="str">
        <f t="shared" si="4"/>
        <v/>
      </c>
    </row>
    <row r="15346">
      <c r="F15346" s="1" t="str">
        <f t="shared" si="1"/>
        <v/>
      </c>
      <c r="G15346" s="1" t="str">
        <f t="shared" si="2"/>
        <v/>
      </c>
      <c r="J15346" s="1" t="str">
        <f t="shared" si="3"/>
        <v/>
      </c>
      <c r="K15346" s="1" t="str">
        <f t="shared" si="4"/>
        <v/>
      </c>
    </row>
    <row r="15347">
      <c r="F15347" s="1" t="str">
        <f t="shared" si="1"/>
        <v/>
      </c>
      <c r="G15347" s="1" t="str">
        <f t="shared" si="2"/>
        <v/>
      </c>
      <c r="J15347" s="1" t="str">
        <f t="shared" si="3"/>
        <v/>
      </c>
      <c r="K15347" s="1" t="str">
        <f t="shared" si="4"/>
        <v/>
      </c>
    </row>
    <row r="15348">
      <c r="F15348" s="1" t="str">
        <f t="shared" si="1"/>
        <v/>
      </c>
      <c r="G15348" s="1" t="str">
        <f t="shared" si="2"/>
        <v/>
      </c>
      <c r="J15348" s="1" t="str">
        <f t="shared" si="3"/>
        <v/>
      </c>
      <c r="K15348" s="1" t="str">
        <f t="shared" si="4"/>
        <v/>
      </c>
    </row>
    <row r="15349">
      <c r="F15349" s="1" t="str">
        <f t="shared" si="1"/>
        <v/>
      </c>
      <c r="G15349" s="1" t="str">
        <f t="shared" si="2"/>
        <v/>
      </c>
      <c r="J15349" s="1" t="str">
        <f t="shared" si="3"/>
        <v/>
      </c>
      <c r="K15349" s="1" t="str">
        <f t="shared" si="4"/>
        <v/>
      </c>
    </row>
    <row r="15350">
      <c r="F15350" s="1" t="str">
        <f t="shared" si="1"/>
        <v/>
      </c>
      <c r="G15350" s="1" t="str">
        <f t="shared" si="2"/>
        <v/>
      </c>
      <c r="J15350" s="1" t="str">
        <f t="shared" si="3"/>
        <v/>
      </c>
      <c r="K15350" s="1" t="str">
        <f t="shared" si="4"/>
        <v/>
      </c>
    </row>
    <row r="15351">
      <c r="F15351" s="1" t="str">
        <f t="shared" si="1"/>
        <v/>
      </c>
      <c r="G15351" s="1" t="str">
        <f t="shared" si="2"/>
        <v/>
      </c>
      <c r="J15351" s="1" t="str">
        <f t="shared" si="3"/>
        <v/>
      </c>
      <c r="K15351" s="1" t="str">
        <f t="shared" si="4"/>
        <v/>
      </c>
    </row>
    <row r="15352">
      <c r="F15352" s="1" t="str">
        <f t="shared" si="1"/>
        <v/>
      </c>
      <c r="G15352" s="1" t="str">
        <f t="shared" si="2"/>
        <v/>
      </c>
      <c r="J15352" s="1" t="str">
        <f t="shared" si="3"/>
        <v/>
      </c>
      <c r="K15352" s="1" t="str">
        <f t="shared" si="4"/>
        <v/>
      </c>
    </row>
    <row r="15353">
      <c r="F15353" s="1" t="str">
        <f t="shared" si="1"/>
        <v/>
      </c>
      <c r="G15353" s="1" t="str">
        <f t="shared" si="2"/>
        <v/>
      </c>
      <c r="J15353" s="1" t="str">
        <f t="shared" si="3"/>
        <v/>
      </c>
      <c r="K15353" s="1" t="str">
        <f t="shared" si="4"/>
        <v/>
      </c>
    </row>
    <row r="15354">
      <c r="F15354" s="1" t="str">
        <f t="shared" si="1"/>
        <v/>
      </c>
      <c r="G15354" s="1" t="str">
        <f t="shared" si="2"/>
        <v/>
      </c>
      <c r="J15354" s="1" t="str">
        <f t="shared" si="3"/>
        <v/>
      </c>
      <c r="K15354" s="1" t="str">
        <f t="shared" si="4"/>
        <v/>
      </c>
    </row>
    <row r="15355">
      <c r="F15355" s="1" t="str">
        <f t="shared" si="1"/>
        <v/>
      </c>
      <c r="G15355" s="1" t="str">
        <f t="shared" si="2"/>
        <v/>
      </c>
      <c r="J15355" s="1" t="str">
        <f t="shared" si="3"/>
        <v/>
      </c>
      <c r="K15355" s="1" t="str">
        <f t="shared" si="4"/>
        <v/>
      </c>
    </row>
    <row r="15356">
      <c r="F15356" s="1" t="str">
        <f t="shared" si="1"/>
        <v/>
      </c>
      <c r="G15356" s="1" t="str">
        <f t="shared" si="2"/>
        <v/>
      </c>
      <c r="J15356" s="1" t="str">
        <f t="shared" si="3"/>
        <v/>
      </c>
      <c r="K15356" s="1" t="str">
        <f t="shared" si="4"/>
        <v/>
      </c>
    </row>
    <row r="15357">
      <c r="F15357" s="1" t="str">
        <f t="shared" si="1"/>
        <v/>
      </c>
      <c r="G15357" s="1" t="str">
        <f t="shared" si="2"/>
        <v/>
      </c>
      <c r="J15357" s="1" t="str">
        <f t="shared" si="3"/>
        <v/>
      </c>
      <c r="K15357" s="1" t="str">
        <f t="shared" si="4"/>
        <v/>
      </c>
    </row>
    <row r="15358">
      <c r="F15358" s="1" t="str">
        <f t="shared" si="1"/>
        <v/>
      </c>
      <c r="G15358" s="1" t="str">
        <f t="shared" si="2"/>
        <v/>
      </c>
      <c r="J15358" s="1" t="str">
        <f t="shared" si="3"/>
        <v/>
      </c>
      <c r="K15358" s="1" t="str">
        <f t="shared" si="4"/>
        <v/>
      </c>
    </row>
    <row r="15359">
      <c r="F15359" s="1" t="str">
        <f t="shared" si="1"/>
        <v/>
      </c>
      <c r="G15359" s="1" t="str">
        <f t="shared" si="2"/>
        <v/>
      </c>
      <c r="J15359" s="1" t="str">
        <f t="shared" si="3"/>
        <v/>
      </c>
      <c r="K15359" s="1" t="str">
        <f t="shared" si="4"/>
        <v/>
      </c>
    </row>
    <row r="15360">
      <c r="F15360" s="1" t="str">
        <f t="shared" si="1"/>
        <v/>
      </c>
      <c r="G15360" s="1" t="str">
        <f t="shared" si="2"/>
        <v/>
      </c>
      <c r="J15360" s="1" t="str">
        <f t="shared" si="3"/>
        <v/>
      </c>
      <c r="K15360" s="1" t="str">
        <f t="shared" si="4"/>
        <v/>
      </c>
    </row>
    <row r="15361">
      <c r="F15361" s="1" t="str">
        <f t="shared" si="1"/>
        <v/>
      </c>
      <c r="G15361" s="1" t="str">
        <f t="shared" si="2"/>
        <v/>
      </c>
      <c r="J15361" s="1" t="str">
        <f t="shared" si="3"/>
        <v/>
      </c>
      <c r="K15361" s="1" t="str">
        <f t="shared" si="4"/>
        <v/>
      </c>
    </row>
    <row r="15362">
      <c r="F15362" s="1" t="str">
        <f t="shared" si="1"/>
        <v/>
      </c>
      <c r="G15362" s="1" t="str">
        <f t="shared" si="2"/>
        <v/>
      </c>
      <c r="J15362" s="1" t="str">
        <f t="shared" si="3"/>
        <v/>
      </c>
      <c r="K15362" s="1" t="str">
        <f t="shared" si="4"/>
        <v/>
      </c>
    </row>
    <row r="15363">
      <c r="F15363" s="1" t="str">
        <f t="shared" si="1"/>
        <v/>
      </c>
      <c r="G15363" s="1" t="str">
        <f t="shared" si="2"/>
        <v/>
      </c>
      <c r="J15363" s="1" t="str">
        <f t="shared" si="3"/>
        <v/>
      </c>
      <c r="K15363" s="1" t="str">
        <f t="shared" si="4"/>
        <v/>
      </c>
    </row>
    <row r="15364">
      <c r="F15364" s="1" t="str">
        <f t="shared" si="1"/>
        <v/>
      </c>
      <c r="G15364" s="1" t="str">
        <f t="shared" si="2"/>
        <v/>
      </c>
      <c r="J15364" s="1" t="str">
        <f t="shared" si="3"/>
        <v/>
      </c>
      <c r="K15364" s="1" t="str">
        <f t="shared" si="4"/>
        <v/>
      </c>
    </row>
    <row r="15365">
      <c r="F15365" s="1" t="str">
        <f t="shared" si="1"/>
        <v/>
      </c>
      <c r="G15365" s="1" t="str">
        <f t="shared" si="2"/>
        <v/>
      </c>
      <c r="J15365" s="1" t="str">
        <f t="shared" si="3"/>
        <v/>
      </c>
      <c r="K15365" s="1" t="str">
        <f t="shared" si="4"/>
        <v/>
      </c>
    </row>
    <row r="15366">
      <c r="F15366" s="1" t="str">
        <f t="shared" si="1"/>
        <v/>
      </c>
      <c r="G15366" s="1" t="str">
        <f t="shared" si="2"/>
        <v/>
      </c>
      <c r="J15366" s="1" t="str">
        <f t="shared" si="3"/>
        <v/>
      </c>
      <c r="K15366" s="1" t="str">
        <f t="shared" si="4"/>
        <v/>
      </c>
    </row>
    <row r="15367">
      <c r="F15367" s="1" t="str">
        <f t="shared" si="1"/>
        <v/>
      </c>
      <c r="G15367" s="1" t="str">
        <f t="shared" si="2"/>
        <v/>
      </c>
      <c r="J15367" s="1" t="str">
        <f t="shared" si="3"/>
        <v/>
      </c>
      <c r="K15367" s="1" t="str">
        <f t="shared" si="4"/>
        <v/>
      </c>
    </row>
    <row r="15368">
      <c r="F15368" s="1" t="str">
        <f t="shared" si="1"/>
        <v/>
      </c>
      <c r="G15368" s="1" t="str">
        <f t="shared" si="2"/>
        <v/>
      </c>
      <c r="J15368" s="1" t="str">
        <f t="shared" si="3"/>
        <v/>
      </c>
      <c r="K15368" s="1" t="str">
        <f t="shared" si="4"/>
        <v/>
      </c>
    </row>
    <row r="15369">
      <c r="F15369" s="1" t="str">
        <f t="shared" si="1"/>
        <v/>
      </c>
      <c r="G15369" s="1" t="str">
        <f t="shared" si="2"/>
        <v/>
      </c>
      <c r="J15369" s="1" t="str">
        <f t="shared" si="3"/>
        <v/>
      </c>
      <c r="K15369" s="1" t="str">
        <f t="shared" si="4"/>
        <v/>
      </c>
    </row>
    <row r="15370">
      <c r="F15370" s="1" t="str">
        <f t="shared" si="1"/>
        <v/>
      </c>
      <c r="G15370" s="1" t="str">
        <f t="shared" si="2"/>
        <v/>
      </c>
      <c r="J15370" s="1" t="str">
        <f t="shared" si="3"/>
        <v/>
      </c>
      <c r="K15370" s="1" t="str">
        <f t="shared" si="4"/>
        <v/>
      </c>
    </row>
    <row r="15371">
      <c r="F15371" s="1" t="str">
        <f t="shared" si="1"/>
        <v/>
      </c>
      <c r="G15371" s="1" t="str">
        <f t="shared" si="2"/>
        <v/>
      </c>
      <c r="J15371" s="1" t="str">
        <f t="shared" si="3"/>
        <v/>
      </c>
      <c r="K15371" s="1" t="str">
        <f t="shared" si="4"/>
        <v/>
      </c>
    </row>
    <row r="15372">
      <c r="F15372" s="1" t="str">
        <f t="shared" si="1"/>
        <v/>
      </c>
      <c r="G15372" s="1" t="str">
        <f t="shared" si="2"/>
        <v/>
      </c>
      <c r="J15372" s="1" t="str">
        <f t="shared" si="3"/>
        <v/>
      </c>
      <c r="K15372" s="1" t="str">
        <f t="shared" si="4"/>
        <v/>
      </c>
    </row>
    <row r="15373">
      <c r="F15373" s="1" t="str">
        <f t="shared" si="1"/>
        <v/>
      </c>
      <c r="G15373" s="1" t="str">
        <f t="shared" si="2"/>
        <v/>
      </c>
      <c r="J15373" s="1" t="str">
        <f t="shared" si="3"/>
        <v/>
      </c>
      <c r="K15373" s="1" t="str">
        <f t="shared" si="4"/>
        <v/>
      </c>
    </row>
    <row r="15374">
      <c r="F15374" s="1" t="str">
        <f t="shared" si="1"/>
        <v/>
      </c>
      <c r="G15374" s="1" t="str">
        <f t="shared" si="2"/>
        <v/>
      </c>
      <c r="J15374" s="1" t="str">
        <f t="shared" si="3"/>
        <v/>
      </c>
      <c r="K15374" s="1" t="str">
        <f t="shared" si="4"/>
        <v/>
      </c>
    </row>
    <row r="15375">
      <c r="F15375" s="1" t="str">
        <f t="shared" si="1"/>
        <v/>
      </c>
      <c r="G15375" s="1" t="str">
        <f t="shared" si="2"/>
        <v/>
      </c>
      <c r="J15375" s="1" t="str">
        <f t="shared" si="3"/>
        <v/>
      </c>
      <c r="K15375" s="1" t="str">
        <f t="shared" si="4"/>
        <v/>
      </c>
    </row>
    <row r="15376">
      <c r="F15376" s="1" t="str">
        <f t="shared" si="1"/>
        <v/>
      </c>
      <c r="G15376" s="1" t="str">
        <f t="shared" si="2"/>
        <v/>
      </c>
      <c r="J15376" s="1" t="str">
        <f t="shared" si="3"/>
        <v/>
      </c>
      <c r="K15376" s="1" t="str">
        <f t="shared" si="4"/>
        <v/>
      </c>
    </row>
    <row r="15377">
      <c r="F15377" s="1" t="str">
        <f t="shared" si="1"/>
        <v/>
      </c>
      <c r="G15377" s="1" t="str">
        <f t="shared" si="2"/>
        <v/>
      </c>
      <c r="J15377" s="1" t="str">
        <f t="shared" si="3"/>
        <v/>
      </c>
      <c r="K15377" s="1" t="str">
        <f t="shared" si="4"/>
        <v/>
      </c>
    </row>
    <row r="15378">
      <c r="F15378" s="1" t="str">
        <f t="shared" si="1"/>
        <v/>
      </c>
      <c r="G15378" s="1" t="str">
        <f t="shared" si="2"/>
        <v/>
      </c>
      <c r="J15378" s="1" t="str">
        <f t="shared" si="3"/>
        <v/>
      </c>
      <c r="K15378" s="1" t="str">
        <f t="shared" si="4"/>
        <v/>
      </c>
    </row>
    <row r="15379">
      <c r="F15379" s="1" t="str">
        <f t="shared" si="1"/>
        <v/>
      </c>
      <c r="G15379" s="1" t="str">
        <f t="shared" si="2"/>
        <v/>
      </c>
      <c r="J15379" s="1" t="str">
        <f t="shared" si="3"/>
        <v/>
      </c>
      <c r="K15379" s="1" t="str">
        <f t="shared" si="4"/>
        <v/>
      </c>
    </row>
    <row r="15380">
      <c r="F15380" s="1" t="str">
        <f t="shared" si="1"/>
        <v/>
      </c>
      <c r="G15380" s="1" t="str">
        <f t="shared" si="2"/>
        <v/>
      </c>
      <c r="J15380" s="1" t="str">
        <f t="shared" si="3"/>
        <v/>
      </c>
      <c r="K15380" s="1" t="str">
        <f t="shared" si="4"/>
        <v/>
      </c>
    </row>
    <row r="15381">
      <c r="F15381" s="1" t="str">
        <f t="shared" si="1"/>
        <v/>
      </c>
      <c r="G15381" s="1" t="str">
        <f t="shared" si="2"/>
        <v/>
      </c>
      <c r="J15381" s="1" t="str">
        <f t="shared" si="3"/>
        <v/>
      </c>
      <c r="K15381" s="1" t="str">
        <f t="shared" si="4"/>
        <v/>
      </c>
    </row>
    <row r="15382">
      <c r="F15382" s="1" t="str">
        <f t="shared" si="1"/>
        <v/>
      </c>
      <c r="G15382" s="1" t="str">
        <f t="shared" si="2"/>
        <v/>
      </c>
      <c r="J15382" s="1" t="str">
        <f t="shared" si="3"/>
        <v/>
      </c>
      <c r="K15382" s="1" t="str">
        <f t="shared" si="4"/>
        <v/>
      </c>
    </row>
    <row r="15383">
      <c r="F15383" s="1" t="str">
        <f t="shared" si="1"/>
        <v/>
      </c>
      <c r="G15383" s="1" t="str">
        <f t="shared" si="2"/>
        <v/>
      </c>
      <c r="J15383" s="1" t="str">
        <f t="shared" si="3"/>
        <v/>
      </c>
      <c r="K15383" s="1" t="str">
        <f t="shared" si="4"/>
        <v/>
      </c>
    </row>
    <row r="15384">
      <c r="F15384" s="1" t="str">
        <f t="shared" si="1"/>
        <v/>
      </c>
      <c r="G15384" s="1" t="str">
        <f t="shared" si="2"/>
        <v/>
      </c>
      <c r="J15384" s="1" t="str">
        <f t="shared" si="3"/>
        <v/>
      </c>
      <c r="K15384" s="1" t="str">
        <f t="shared" si="4"/>
        <v/>
      </c>
    </row>
    <row r="15385">
      <c r="F15385" s="1" t="str">
        <f t="shared" si="1"/>
        <v/>
      </c>
      <c r="G15385" s="1" t="str">
        <f t="shared" si="2"/>
        <v/>
      </c>
      <c r="J15385" s="1" t="str">
        <f t="shared" si="3"/>
        <v/>
      </c>
      <c r="K15385" s="1" t="str">
        <f t="shared" si="4"/>
        <v/>
      </c>
    </row>
    <row r="15386">
      <c r="F15386" s="1" t="str">
        <f t="shared" si="1"/>
        <v/>
      </c>
      <c r="G15386" s="1" t="str">
        <f t="shared" si="2"/>
        <v/>
      </c>
      <c r="J15386" s="1" t="str">
        <f t="shared" si="3"/>
        <v/>
      </c>
      <c r="K15386" s="1" t="str">
        <f t="shared" si="4"/>
        <v/>
      </c>
    </row>
    <row r="15387">
      <c r="F15387" s="1" t="str">
        <f t="shared" si="1"/>
        <v/>
      </c>
      <c r="G15387" s="1" t="str">
        <f t="shared" si="2"/>
        <v/>
      </c>
      <c r="J15387" s="1" t="str">
        <f t="shared" si="3"/>
        <v/>
      </c>
      <c r="K15387" s="1" t="str">
        <f t="shared" si="4"/>
        <v/>
      </c>
    </row>
    <row r="15388">
      <c r="F15388" s="1" t="str">
        <f t="shared" si="1"/>
        <v/>
      </c>
      <c r="G15388" s="1" t="str">
        <f t="shared" si="2"/>
        <v/>
      </c>
      <c r="J15388" s="1" t="str">
        <f t="shared" si="3"/>
        <v/>
      </c>
      <c r="K15388" s="1" t="str">
        <f t="shared" si="4"/>
        <v/>
      </c>
    </row>
    <row r="15389">
      <c r="F15389" s="1" t="str">
        <f t="shared" si="1"/>
        <v/>
      </c>
      <c r="G15389" s="1" t="str">
        <f t="shared" si="2"/>
        <v/>
      </c>
      <c r="J15389" s="1" t="str">
        <f t="shared" si="3"/>
        <v/>
      </c>
      <c r="K15389" s="1" t="str">
        <f t="shared" si="4"/>
        <v/>
      </c>
    </row>
    <row r="15390">
      <c r="F15390" s="1" t="str">
        <f t="shared" si="1"/>
        <v/>
      </c>
      <c r="G15390" s="1" t="str">
        <f t="shared" si="2"/>
        <v/>
      </c>
      <c r="J15390" s="1" t="str">
        <f t="shared" si="3"/>
        <v/>
      </c>
      <c r="K15390" s="1" t="str">
        <f t="shared" si="4"/>
        <v/>
      </c>
    </row>
    <row r="15391">
      <c r="F15391" s="1" t="str">
        <f t="shared" si="1"/>
        <v/>
      </c>
      <c r="G15391" s="1" t="str">
        <f t="shared" si="2"/>
        <v/>
      </c>
      <c r="J15391" s="1" t="str">
        <f t="shared" si="3"/>
        <v/>
      </c>
      <c r="K15391" s="1" t="str">
        <f t="shared" si="4"/>
        <v/>
      </c>
    </row>
    <row r="15392">
      <c r="F15392" s="1" t="str">
        <f t="shared" si="1"/>
        <v/>
      </c>
      <c r="G15392" s="1" t="str">
        <f t="shared" si="2"/>
        <v/>
      </c>
      <c r="J15392" s="1" t="str">
        <f t="shared" si="3"/>
        <v/>
      </c>
      <c r="K15392" s="1" t="str">
        <f t="shared" si="4"/>
        <v/>
      </c>
    </row>
    <row r="15393">
      <c r="F15393" s="1" t="str">
        <f t="shared" si="1"/>
        <v/>
      </c>
      <c r="G15393" s="1" t="str">
        <f t="shared" si="2"/>
        <v/>
      </c>
      <c r="J15393" s="1" t="str">
        <f t="shared" si="3"/>
        <v/>
      </c>
      <c r="K15393" s="1" t="str">
        <f t="shared" si="4"/>
        <v/>
      </c>
    </row>
    <row r="15394">
      <c r="F15394" s="1" t="str">
        <f t="shared" si="1"/>
        <v/>
      </c>
      <c r="G15394" s="1" t="str">
        <f t="shared" si="2"/>
        <v/>
      </c>
      <c r="J15394" s="1" t="str">
        <f t="shared" si="3"/>
        <v/>
      </c>
      <c r="K15394" s="1" t="str">
        <f t="shared" si="4"/>
        <v/>
      </c>
    </row>
    <row r="15395">
      <c r="F15395" s="1" t="str">
        <f t="shared" si="1"/>
        <v/>
      </c>
      <c r="G15395" s="1" t="str">
        <f t="shared" si="2"/>
        <v/>
      </c>
      <c r="J15395" s="1" t="str">
        <f t="shared" si="3"/>
        <v/>
      </c>
      <c r="K15395" s="1" t="str">
        <f t="shared" si="4"/>
        <v/>
      </c>
    </row>
    <row r="15396">
      <c r="F15396" s="1" t="str">
        <f t="shared" si="1"/>
        <v/>
      </c>
      <c r="G15396" s="1" t="str">
        <f t="shared" si="2"/>
        <v/>
      </c>
      <c r="J15396" s="1" t="str">
        <f t="shared" si="3"/>
        <v/>
      </c>
      <c r="K15396" s="1" t="str">
        <f t="shared" si="4"/>
        <v/>
      </c>
    </row>
    <row r="15397">
      <c r="F15397" s="1" t="str">
        <f t="shared" si="1"/>
        <v/>
      </c>
      <c r="G15397" s="1" t="str">
        <f t="shared" si="2"/>
        <v/>
      </c>
      <c r="J15397" s="1" t="str">
        <f t="shared" si="3"/>
        <v/>
      </c>
      <c r="K15397" s="1" t="str">
        <f t="shared" si="4"/>
        <v/>
      </c>
    </row>
    <row r="15398">
      <c r="F15398" s="1" t="str">
        <f t="shared" si="1"/>
        <v/>
      </c>
      <c r="G15398" s="1" t="str">
        <f t="shared" si="2"/>
        <v/>
      </c>
      <c r="J15398" s="1" t="str">
        <f t="shared" si="3"/>
        <v/>
      </c>
      <c r="K15398" s="1" t="str">
        <f t="shared" si="4"/>
        <v/>
      </c>
    </row>
    <row r="15399">
      <c r="F15399" s="1" t="str">
        <f t="shared" si="1"/>
        <v/>
      </c>
      <c r="G15399" s="1" t="str">
        <f t="shared" si="2"/>
        <v/>
      </c>
      <c r="J15399" s="1" t="str">
        <f t="shared" si="3"/>
        <v/>
      </c>
      <c r="K15399" s="1" t="str">
        <f t="shared" si="4"/>
        <v/>
      </c>
    </row>
    <row r="15400">
      <c r="F15400" s="1" t="str">
        <f t="shared" si="1"/>
        <v/>
      </c>
      <c r="G15400" s="1" t="str">
        <f t="shared" si="2"/>
        <v/>
      </c>
      <c r="J15400" s="1" t="str">
        <f t="shared" si="3"/>
        <v/>
      </c>
      <c r="K15400" s="1" t="str">
        <f t="shared" si="4"/>
        <v/>
      </c>
    </row>
    <row r="15401">
      <c r="F15401" s="1" t="str">
        <f t="shared" si="1"/>
        <v/>
      </c>
      <c r="G15401" s="1" t="str">
        <f t="shared" si="2"/>
        <v/>
      </c>
      <c r="J15401" s="1" t="str">
        <f t="shared" si="3"/>
        <v/>
      </c>
      <c r="K15401" s="1" t="str">
        <f t="shared" si="4"/>
        <v/>
      </c>
    </row>
    <row r="15402">
      <c r="F15402" s="1" t="str">
        <f t="shared" si="1"/>
        <v/>
      </c>
      <c r="G15402" s="1" t="str">
        <f t="shared" si="2"/>
        <v/>
      </c>
      <c r="J15402" s="1" t="str">
        <f t="shared" si="3"/>
        <v/>
      </c>
      <c r="K15402" s="1" t="str">
        <f t="shared" si="4"/>
        <v/>
      </c>
    </row>
    <row r="15403">
      <c r="F15403" s="1" t="str">
        <f t="shared" si="1"/>
        <v/>
      </c>
      <c r="G15403" s="1" t="str">
        <f t="shared" si="2"/>
        <v/>
      </c>
      <c r="J15403" s="1" t="str">
        <f t="shared" si="3"/>
        <v/>
      </c>
      <c r="K15403" s="1" t="str">
        <f t="shared" si="4"/>
        <v/>
      </c>
    </row>
    <row r="15404">
      <c r="F15404" s="1" t="str">
        <f t="shared" si="1"/>
        <v/>
      </c>
      <c r="G15404" s="1" t="str">
        <f t="shared" si="2"/>
        <v/>
      </c>
      <c r="J15404" s="1" t="str">
        <f t="shared" si="3"/>
        <v/>
      </c>
      <c r="K15404" s="1" t="str">
        <f t="shared" si="4"/>
        <v/>
      </c>
    </row>
    <row r="15405">
      <c r="F15405" s="1" t="str">
        <f t="shared" si="1"/>
        <v/>
      </c>
      <c r="G15405" s="1" t="str">
        <f t="shared" si="2"/>
        <v/>
      </c>
      <c r="J15405" s="1" t="str">
        <f t="shared" si="3"/>
        <v/>
      </c>
      <c r="K15405" s="1" t="str">
        <f t="shared" si="4"/>
        <v/>
      </c>
    </row>
    <row r="15406">
      <c r="F15406" s="1" t="str">
        <f t="shared" si="1"/>
        <v/>
      </c>
      <c r="G15406" s="1" t="str">
        <f t="shared" si="2"/>
        <v/>
      </c>
      <c r="J15406" s="1" t="str">
        <f t="shared" si="3"/>
        <v/>
      </c>
      <c r="K15406" s="1" t="str">
        <f t="shared" si="4"/>
        <v/>
      </c>
    </row>
    <row r="15407">
      <c r="F15407" s="1" t="str">
        <f t="shared" si="1"/>
        <v/>
      </c>
      <c r="G15407" s="1" t="str">
        <f t="shared" si="2"/>
        <v/>
      </c>
      <c r="J15407" s="1" t="str">
        <f t="shared" si="3"/>
        <v/>
      </c>
      <c r="K15407" s="1" t="str">
        <f t="shared" si="4"/>
        <v/>
      </c>
    </row>
    <row r="15408">
      <c r="F15408" s="1" t="str">
        <f t="shared" si="1"/>
        <v/>
      </c>
      <c r="G15408" s="1" t="str">
        <f t="shared" si="2"/>
        <v/>
      </c>
      <c r="J15408" s="1" t="str">
        <f t="shared" si="3"/>
        <v/>
      </c>
      <c r="K15408" s="1" t="str">
        <f t="shared" si="4"/>
        <v/>
      </c>
    </row>
    <row r="15409">
      <c r="F15409" s="1" t="str">
        <f t="shared" si="1"/>
        <v/>
      </c>
      <c r="G15409" s="1" t="str">
        <f t="shared" si="2"/>
        <v/>
      </c>
      <c r="J15409" s="1" t="str">
        <f t="shared" si="3"/>
        <v/>
      </c>
      <c r="K15409" s="1" t="str">
        <f t="shared" si="4"/>
        <v/>
      </c>
    </row>
    <row r="15410">
      <c r="F15410" s="1" t="str">
        <f t="shared" si="1"/>
        <v/>
      </c>
      <c r="G15410" s="1" t="str">
        <f t="shared" si="2"/>
        <v/>
      </c>
      <c r="J15410" s="1" t="str">
        <f t="shared" si="3"/>
        <v/>
      </c>
      <c r="K15410" s="1" t="str">
        <f t="shared" si="4"/>
        <v/>
      </c>
    </row>
    <row r="15411">
      <c r="F15411" s="1" t="str">
        <f t="shared" si="1"/>
        <v/>
      </c>
      <c r="G15411" s="1" t="str">
        <f t="shared" si="2"/>
        <v/>
      </c>
      <c r="J15411" s="1" t="str">
        <f t="shared" si="3"/>
        <v/>
      </c>
      <c r="K15411" s="1" t="str">
        <f t="shared" si="4"/>
        <v/>
      </c>
    </row>
    <row r="15412">
      <c r="F15412" s="1" t="str">
        <f t="shared" si="1"/>
        <v/>
      </c>
      <c r="G15412" s="1" t="str">
        <f t="shared" si="2"/>
        <v/>
      </c>
      <c r="J15412" s="1" t="str">
        <f t="shared" si="3"/>
        <v/>
      </c>
      <c r="K15412" s="1" t="str">
        <f t="shared" si="4"/>
        <v/>
      </c>
    </row>
    <row r="15413">
      <c r="F15413" s="1" t="str">
        <f t="shared" si="1"/>
        <v/>
      </c>
      <c r="G15413" s="1" t="str">
        <f t="shared" si="2"/>
        <v/>
      </c>
      <c r="J15413" s="1" t="str">
        <f t="shared" si="3"/>
        <v/>
      </c>
      <c r="K15413" s="1" t="str">
        <f t="shared" si="4"/>
        <v/>
      </c>
    </row>
    <row r="15414">
      <c r="F15414" s="1" t="str">
        <f t="shared" si="1"/>
        <v/>
      </c>
      <c r="G15414" s="1" t="str">
        <f t="shared" si="2"/>
        <v/>
      </c>
      <c r="J15414" s="1" t="str">
        <f t="shared" si="3"/>
        <v/>
      </c>
      <c r="K15414" s="1" t="str">
        <f t="shared" si="4"/>
        <v/>
      </c>
    </row>
    <row r="15415">
      <c r="F15415" s="1" t="str">
        <f t="shared" si="1"/>
        <v/>
      </c>
      <c r="G15415" s="1" t="str">
        <f t="shared" si="2"/>
        <v/>
      </c>
      <c r="J15415" s="1" t="str">
        <f t="shared" si="3"/>
        <v/>
      </c>
      <c r="K15415" s="1" t="str">
        <f t="shared" si="4"/>
        <v/>
      </c>
    </row>
    <row r="15416">
      <c r="F15416" s="1" t="str">
        <f t="shared" si="1"/>
        <v/>
      </c>
      <c r="G15416" s="1" t="str">
        <f t="shared" si="2"/>
        <v/>
      </c>
      <c r="J15416" s="1" t="str">
        <f t="shared" si="3"/>
        <v/>
      </c>
      <c r="K15416" s="1" t="str">
        <f t="shared" si="4"/>
        <v/>
      </c>
    </row>
    <row r="15417">
      <c r="F15417" s="1" t="str">
        <f t="shared" si="1"/>
        <v/>
      </c>
      <c r="G15417" s="1" t="str">
        <f t="shared" si="2"/>
        <v/>
      </c>
      <c r="J15417" s="1" t="str">
        <f t="shared" si="3"/>
        <v/>
      </c>
      <c r="K15417" s="1" t="str">
        <f t="shared" si="4"/>
        <v/>
      </c>
    </row>
    <row r="15418">
      <c r="F15418" s="1" t="str">
        <f t="shared" si="1"/>
        <v/>
      </c>
      <c r="G15418" s="1" t="str">
        <f t="shared" si="2"/>
        <v/>
      </c>
      <c r="J15418" s="1" t="str">
        <f t="shared" si="3"/>
        <v/>
      </c>
      <c r="K15418" s="1" t="str">
        <f t="shared" si="4"/>
        <v/>
      </c>
    </row>
    <row r="15419">
      <c r="F15419" s="1" t="str">
        <f t="shared" si="1"/>
        <v/>
      </c>
      <c r="G15419" s="1" t="str">
        <f t="shared" si="2"/>
        <v/>
      </c>
      <c r="J15419" s="1" t="str">
        <f t="shared" si="3"/>
        <v/>
      </c>
      <c r="K15419" s="1" t="str">
        <f t="shared" si="4"/>
        <v/>
      </c>
    </row>
    <row r="15420">
      <c r="F15420" s="1" t="str">
        <f t="shared" si="1"/>
        <v/>
      </c>
      <c r="G15420" s="1" t="str">
        <f t="shared" si="2"/>
        <v/>
      </c>
      <c r="J15420" s="1" t="str">
        <f t="shared" si="3"/>
        <v/>
      </c>
      <c r="K15420" s="1" t="str">
        <f t="shared" si="4"/>
        <v/>
      </c>
    </row>
    <row r="15421">
      <c r="F15421" s="1" t="str">
        <f t="shared" si="1"/>
        <v/>
      </c>
      <c r="G15421" s="1" t="str">
        <f t="shared" si="2"/>
        <v/>
      </c>
      <c r="J15421" s="1" t="str">
        <f t="shared" si="3"/>
        <v/>
      </c>
      <c r="K15421" s="1" t="str">
        <f t="shared" si="4"/>
        <v/>
      </c>
    </row>
    <row r="15422">
      <c r="F15422" s="1" t="str">
        <f t="shared" si="1"/>
        <v/>
      </c>
      <c r="G15422" s="1" t="str">
        <f t="shared" si="2"/>
        <v/>
      </c>
      <c r="J15422" s="1" t="str">
        <f t="shared" si="3"/>
        <v/>
      </c>
      <c r="K15422" s="1" t="str">
        <f t="shared" si="4"/>
        <v/>
      </c>
    </row>
    <row r="15423">
      <c r="F15423" s="1" t="str">
        <f t="shared" si="1"/>
        <v/>
      </c>
      <c r="G15423" s="1" t="str">
        <f t="shared" si="2"/>
        <v/>
      </c>
      <c r="J15423" s="1" t="str">
        <f t="shared" si="3"/>
        <v/>
      </c>
      <c r="K15423" s="1" t="str">
        <f t="shared" si="4"/>
        <v/>
      </c>
    </row>
    <row r="15424">
      <c r="F15424" s="1" t="str">
        <f t="shared" si="1"/>
        <v/>
      </c>
      <c r="G15424" s="1" t="str">
        <f t="shared" si="2"/>
        <v/>
      </c>
      <c r="J15424" s="1" t="str">
        <f t="shared" si="3"/>
        <v/>
      </c>
      <c r="K15424" s="1" t="str">
        <f t="shared" si="4"/>
        <v/>
      </c>
    </row>
    <row r="15425">
      <c r="F15425" s="1" t="str">
        <f t="shared" si="1"/>
        <v/>
      </c>
      <c r="G15425" s="1" t="str">
        <f t="shared" si="2"/>
        <v/>
      </c>
      <c r="J15425" s="1" t="str">
        <f t="shared" si="3"/>
        <v/>
      </c>
      <c r="K15425" s="1" t="str">
        <f t="shared" si="4"/>
        <v/>
      </c>
    </row>
    <row r="15426">
      <c r="F15426" s="1" t="str">
        <f t="shared" si="1"/>
        <v/>
      </c>
      <c r="G15426" s="1" t="str">
        <f t="shared" si="2"/>
        <v/>
      </c>
      <c r="J15426" s="1" t="str">
        <f t="shared" si="3"/>
        <v/>
      </c>
      <c r="K15426" s="1" t="str">
        <f t="shared" si="4"/>
        <v/>
      </c>
    </row>
    <row r="15427">
      <c r="F15427" s="1" t="str">
        <f t="shared" si="1"/>
        <v/>
      </c>
      <c r="G15427" s="1" t="str">
        <f t="shared" si="2"/>
        <v/>
      </c>
      <c r="J15427" s="1" t="str">
        <f t="shared" si="3"/>
        <v/>
      </c>
      <c r="K15427" s="1" t="str">
        <f t="shared" si="4"/>
        <v/>
      </c>
    </row>
    <row r="15428">
      <c r="F15428" s="1" t="str">
        <f t="shared" si="1"/>
        <v/>
      </c>
      <c r="G15428" s="1" t="str">
        <f t="shared" si="2"/>
        <v/>
      </c>
      <c r="J15428" s="1" t="str">
        <f t="shared" si="3"/>
        <v/>
      </c>
      <c r="K15428" s="1" t="str">
        <f t="shared" si="4"/>
        <v/>
      </c>
    </row>
    <row r="15429">
      <c r="F15429" s="1" t="str">
        <f t="shared" si="1"/>
        <v/>
      </c>
      <c r="G15429" s="1" t="str">
        <f t="shared" si="2"/>
        <v/>
      </c>
      <c r="J15429" s="1" t="str">
        <f t="shared" si="3"/>
        <v/>
      </c>
      <c r="K15429" s="1" t="str">
        <f t="shared" si="4"/>
        <v/>
      </c>
    </row>
    <row r="15430">
      <c r="F15430" s="1" t="str">
        <f t="shared" si="1"/>
        <v/>
      </c>
      <c r="G15430" s="1" t="str">
        <f t="shared" si="2"/>
        <v/>
      </c>
      <c r="J15430" s="1" t="str">
        <f t="shared" si="3"/>
        <v/>
      </c>
      <c r="K15430" s="1" t="str">
        <f t="shared" si="4"/>
        <v/>
      </c>
    </row>
    <row r="15431">
      <c r="F15431" s="1" t="str">
        <f t="shared" si="1"/>
        <v/>
      </c>
      <c r="G15431" s="1" t="str">
        <f t="shared" si="2"/>
        <v/>
      </c>
      <c r="J15431" s="1" t="str">
        <f t="shared" si="3"/>
        <v/>
      </c>
      <c r="K15431" s="1" t="str">
        <f t="shared" si="4"/>
        <v/>
      </c>
    </row>
    <row r="15432">
      <c r="F15432" s="1" t="str">
        <f t="shared" si="1"/>
        <v/>
      </c>
      <c r="G15432" s="1" t="str">
        <f t="shared" si="2"/>
        <v/>
      </c>
      <c r="J15432" s="1" t="str">
        <f t="shared" si="3"/>
        <v/>
      </c>
      <c r="K15432" s="1" t="str">
        <f t="shared" si="4"/>
        <v/>
      </c>
    </row>
    <row r="15433">
      <c r="F15433" s="1" t="str">
        <f t="shared" si="1"/>
        <v/>
      </c>
      <c r="G15433" s="1" t="str">
        <f t="shared" si="2"/>
        <v/>
      </c>
      <c r="J15433" s="1" t="str">
        <f t="shared" si="3"/>
        <v/>
      </c>
      <c r="K15433" s="1" t="str">
        <f t="shared" si="4"/>
        <v/>
      </c>
    </row>
    <row r="15434">
      <c r="F15434" s="1" t="str">
        <f t="shared" si="1"/>
        <v/>
      </c>
      <c r="G15434" s="1" t="str">
        <f t="shared" si="2"/>
        <v/>
      </c>
      <c r="J15434" s="1" t="str">
        <f t="shared" si="3"/>
        <v/>
      </c>
      <c r="K15434" s="1" t="str">
        <f t="shared" si="4"/>
        <v/>
      </c>
    </row>
    <row r="15435">
      <c r="F15435" s="1" t="str">
        <f t="shared" si="1"/>
        <v/>
      </c>
      <c r="G15435" s="1" t="str">
        <f t="shared" si="2"/>
        <v/>
      </c>
      <c r="J15435" s="1" t="str">
        <f t="shared" si="3"/>
        <v/>
      </c>
      <c r="K15435" s="1" t="str">
        <f t="shared" si="4"/>
        <v/>
      </c>
    </row>
    <row r="15436">
      <c r="F15436" s="1" t="str">
        <f t="shared" si="1"/>
        <v/>
      </c>
      <c r="G15436" s="1" t="str">
        <f t="shared" si="2"/>
        <v/>
      </c>
      <c r="J15436" s="1" t="str">
        <f t="shared" si="3"/>
        <v/>
      </c>
      <c r="K15436" s="1" t="str">
        <f t="shared" si="4"/>
        <v/>
      </c>
    </row>
    <row r="15437">
      <c r="F15437" s="1" t="str">
        <f t="shared" si="1"/>
        <v/>
      </c>
      <c r="G15437" s="1" t="str">
        <f t="shared" si="2"/>
        <v/>
      </c>
      <c r="J15437" s="1" t="str">
        <f t="shared" si="3"/>
        <v/>
      </c>
      <c r="K15437" s="1" t="str">
        <f t="shared" si="4"/>
        <v/>
      </c>
    </row>
    <row r="15438">
      <c r="F15438" s="1" t="str">
        <f t="shared" si="1"/>
        <v/>
      </c>
      <c r="G15438" s="1" t="str">
        <f t="shared" si="2"/>
        <v/>
      </c>
      <c r="J15438" s="1" t="str">
        <f t="shared" si="3"/>
        <v/>
      </c>
      <c r="K15438" s="1" t="str">
        <f t="shared" si="4"/>
        <v/>
      </c>
    </row>
    <row r="15439">
      <c r="F15439" s="1" t="str">
        <f t="shared" si="1"/>
        <v/>
      </c>
      <c r="G15439" s="1" t="str">
        <f t="shared" si="2"/>
        <v/>
      </c>
      <c r="J15439" s="1" t="str">
        <f t="shared" si="3"/>
        <v/>
      </c>
      <c r="K15439" s="1" t="str">
        <f t="shared" si="4"/>
        <v/>
      </c>
    </row>
    <row r="15440">
      <c r="F15440" s="1" t="str">
        <f t="shared" si="1"/>
        <v/>
      </c>
      <c r="G15440" s="1" t="str">
        <f t="shared" si="2"/>
        <v/>
      </c>
      <c r="J15440" s="1" t="str">
        <f t="shared" si="3"/>
        <v/>
      </c>
      <c r="K15440" s="1" t="str">
        <f t="shared" si="4"/>
        <v/>
      </c>
    </row>
    <row r="15441">
      <c r="F15441" s="1" t="str">
        <f t="shared" si="1"/>
        <v/>
      </c>
      <c r="G15441" s="1" t="str">
        <f t="shared" si="2"/>
        <v/>
      </c>
      <c r="J15441" s="1" t="str">
        <f t="shared" si="3"/>
        <v/>
      </c>
      <c r="K15441" s="1" t="str">
        <f t="shared" si="4"/>
        <v/>
      </c>
    </row>
    <row r="15442">
      <c r="F15442" s="1" t="str">
        <f t="shared" si="1"/>
        <v/>
      </c>
      <c r="G15442" s="1" t="str">
        <f t="shared" si="2"/>
        <v/>
      </c>
      <c r="J15442" s="1" t="str">
        <f t="shared" si="3"/>
        <v/>
      </c>
      <c r="K15442" s="1" t="str">
        <f t="shared" si="4"/>
        <v/>
      </c>
    </row>
    <row r="15443">
      <c r="F15443" s="1" t="str">
        <f t="shared" si="1"/>
        <v/>
      </c>
      <c r="G15443" s="1" t="str">
        <f t="shared" si="2"/>
        <v/>
      </c>
      <c r="J15443" s="1" t="str">
        <f t="shared" si="3"/>
        <v/>
      </c>
      <c r="K15443" s="1" t="str">
        <f t="shared" si="4"/>
        <v/>
      </c>
    </row>
    <row r="15444">
      <c r="F15444" s="1" t="str">
        <f t="shared" si="1"/>
        <v/>
      </c>
      <c r="G15444" s="1" t="str">
        <f t="shared" si="2"/>
        <v/>
      </c>
      <c r="J15444" s="1" t="str">
        <f t="shared" si="3"/>
        <v/>
      </c>
      <c r="K15444" s="1" t="str">
        <f t="shared" si="4"/>
        <v/>
      </c>
    </row>
    <row r="15445">
      <c r="F15445" s="1" t="str">
        <f t="shared" si="1"/>
        <v/>
      </c>
      <c r="G15445" s="1" t="str">
        <f t="shared" si="2"/>
        <v/>
      </c>
      <c r="J15445" s="1" t="str">
        <f t="shared" si="3"/>
        <v/>
      </c>
      <c r="K15445" s="1" t="str">
        <f t="shared" si="4"/>
        <v/>
      </c>
    </row>
    <row r="15446">
      <c r="F15446" s="1" t="str">
        <f t="shared" si="1"/>
        <v/>
      </c>
      <c r="G15446" s="1" t="str">
        <f t="shared" si="2"/>
        <v/>
      </c>
      <c r="J15446" s="1" t="str">
        <f t="shared" si="3"/>
        <v/>
      </c>
      <c r="K15446" s="1" t="str">
        <f t="shared" si="4"/>
        <v/>
      </c>
    </row>
    <row r="15447">
      <c r="F15447" s="1" t="str">
        <f t="shared" si="1"/>
        <v/>
      </c>
      <c r="G15447" s="1" t="str">
        <f t="shared" si="2"/>
        <v/>
      </c>
      <c r="J15447" s="1" t="str">
        <f t="shared" si="3"/>
        <v/>
      </c>
      <c r="K15447" s="1" t="str">
        <f t="shared" si="4"/>
        <v/>
      </c>
    </row>
    <row r="15448">
      <c r="F15448" s="1" t="str">
        <f t="shared" si="1"/>
        <v/>
      </c>
      <c r="G15448" s="1" t="str">
        <f t="shared" si="2"/>
        <v/>
      </c>
      <c r="J15448" s="1" t="str">
        <f t="shared" si="3"/>
        <v/>
      </c>
      <c r="K15448" s="1" t="str">
        <f t="shared" si="4"/>
        <v/>
      </c>
    </row>
    <row r="15449">
      <c r="F15449" s="1" t="str">
        <f t="shared" si="1"/>
        <v/>
      </c>
      <c r="G15449" s="1" t="str">
        <f t="shared" si="2"/>
        <v/>
      </c>
      <c r="J15449" s="1" t="str">
        <f t="shared" si="3"/>
        <v/>
      </c>
      <c r="K15449" s="1" t="str">
        <f t="shared" si="4"/>
        <v/>
      </c>
    </row>
    <row r="15450">
      <c r="F15450" s="1" t="str">
        <f t="shared" si="1"/>
        <v/>
      </c>
      <c r="G15450" s="1" t="str">
        <f t="shared" si="2"/>
        <v/>
      </c>
      <c r="J15450" s="1" t="str">
        <f t="shared" si="3"/>
        <v/>
      </c>
      <c r="K15450" s="1" t="str">
        <f t="shared" si="4"/>
        <v/>
      </c>
    </row>
    <row r="15451">
      <c r="F15451" s="1" t="str">
        <f t="shared" si="1"/>
        <v/>
      </c>
      <c r="G15451" s="1" t="str">
        <f t="shared" si="2"/>
        <v/>
      </c>
      <c r="J15451" s="1" t="str">
        <f t="shared" si="3"/>
        <v/>
      </c>
      <c r="K15451" s="1" t="str">
        <f t="shared" si="4"/>
        <v/>
      </c>
    </row>
    <row r="15452">
      <c r="F15452" s="1" t="str">
        <f t="shared" si="1"/>
        <v/>
      </c>
      <c r="G15452" s="1" t="str">
        <f t="shared" si="2"/>
        <v/>
      </c>
      <c r="J15452" s="1" t="str">
        <f t="shared" si="3"/>
        <v/>
      </c>
      <c r="K15452" s="1" t="str">
        <f t="shared" si="4"/>
        <v/>
      </c>
    </row>
    <row r="15453">
      <c r="F15453" s="1" t="str">
        <f t="shared" si="1"/>
        <v/>
      </c>
      <c r="G15453" s="1" t="str">
        <f t="shared" si="2"/>
        <v/>
      </c>
      <c r="J15453" s="1" t="str">
        <f t="shared" si="3"/>
        <v/>
      </c>
      <c r="K15453" s="1" t="str">
        <f t="shared" si="4"/>
        <v/>
      </c>
    </row>
    <row r="15454">
      <c r="F15454" s="1" t="str">
        <f t="shared" si="1"/>
        <v/>
      </c>
      <c r="G15454" s="1" t="str">
        <f t="shared" si="2"/>
        <v/>
      </c>
      <c r="J15454" s="1" t="str">
        <f t="shared" si="3"/>
        <v/>
      </c>
      <c r="K15454" s="1" t="str">
        <f t="shared" si="4"/>
        <v/>
      </c>
    </row>
    <row r="15455">
      <c r="F15455" s="1" t="str">
        <f t="shared" si="1"/>
        <v/>
      </c>
      <c r="G15455" s="1" t="str">
        <f t="shared" si="2"/>
        <v/>
      </c>
      <c r="J15455" s="1" t="str">
        <f t="shared" si="3"/>
        <v/>
      </c>
      <c r="K15455" s="1" t="str">
        <f t="shared" si="4"/>
        <v/>
      </c>
    </row>
    <row r="15456">
      <c r="F15456" s="1" t="str">
        <f t="shared" si="1"/>
        <v/>
      </c>
      <c r="G15456" s="1" t="str">
        <f t="shared" si="2"/>
        <v/>
      </c>
      <c r="J15456" s="1" t="str">
        <f t="shared" si="3"/>
        <v/>
      </c>
      <c r="K15456" s="1" t="str">
        <f t="shared" si="4"/>
        <v/>
      </c>
    </row>
    <row r="15457">
      <c r="F15457" s="1" t="str">
        <f t="shared" si="1"/>
        <v/>
      </c>
      <c r="G15457" s="1" t="str">
        <f t="shared" si="2"/>
        <v/>
      </c>
      <c r="J15457" s="1" t="str">
        <f t="shared" si="3"/>
        <v/>
      </c>
      <c r="K15457" s="1" t="str">
        <f t="shared" si="4"/>
        <v/>
      </c>
    </row>
    <row r="15458">
      <c r="F15458" s="1" t="str">
        <f t="shared" si="1"/>
        <v/>
      </c>
      <c r="G15458" s="1" t="str">
        <f t="shared" si="2"/>
        <v/>
      </c>
      <c r="J15458" s="1" t="str">
        <f t="shared" si="3"/>
        <v/>
      </c>
      <c r="K15458" s="1" t="str">
        <f t="shared" si="4"/>
        <v/>
      </c>
    </row>
    <row r="15459">
      <c r="F15459" s="1" t="str">
        <f t="shared" si="1"/>
        <v/>
      </c>
      <c r="G15459" s="1" t="str">
        <f t="shared" si="2"/>
        <v/>
      </c>
      <c r="J15459" s="1" t="str">
        <f t="shared" si="3"/>
        <v/>
      </c>
      <c r="K15459" s="1" t="str">
        <f t="shared" si="4"/>
        <v/>
      </c>
    </row>
    <row r="15460">
      <c r="F15460" s="1" t="str">
        <f t="shared" si="1"/>
        <v/>
      </c>
      <c r="G15460" s="1" t="str">
        <f t="shared" si="2"/>
        <v/>
      </c>
      <c r="J15460" s="1" t="str">
        <f t="shared" si="3"/>
        <v/>
      </c>
      <c r="K15460" s="1" t="str">
        <f t="shared" si="4"/>
        <v/>
      </c>
    </row>
    <row r="15461">
      <c r="F15461" s="1" t="str">
        <f t="shared" si="1"/>
        <v/>
      </c>
      <c r="G15461" s="1" t="str">
        <f t="shared" si="2"/>
        <v/>
      </c>
      <c r="J15461" s="1" t="str">
        <f t="shared" si="3"/>
        <v/>
      </c>
      <c r="K15461" s="1" t="str">
        <f t="shared" si="4"/>
        <v/>
      </c>
    </row>
    <row r="15462">
      <c r="F15462" s="1" t="str">
        <f t="shared" si="1"/>
        <v/>
      </c>
      <c r="G15462" s="1" t="str">
        <f t="shared" si="2"/>
        <v/>
      </c>
      <c r="J15462" s="1" t="str">
        <f t="shared" si="3"/>
        <v/>
      </c>
      <c r="K15462" s="1" t="str">
        <f t="shared" si="4"/>
        <v/>
      </c>
    </row>
    <row r="15463">
      <c r="F15463" s="1" t="str">
        <f t="shared" si="1"/>
        <v/>
      </c>
      <c r="G15463" s="1" t="str">
        <f t="shared" si="2"/>
        <v/>
      </c>
      <c r="J15463" s="1" t="str">
        <f t="shared" si="3"/>
        <v/>
      </c>
      <c r="K15463" s="1" t="str">
        <f t="shared" si="4"/>
        <v/>
      </c>
    </row>
    <row r="15464">
      <c r="F15464" s="1" t="str">
        <f t="shared" si="1"/>
        <v/>
      </c>
      <c r="G15464" s="1" t="str">
        <f t="shared" si="2"/>
        <v/>
      </c>
      <c r="J15464" s="1" t="str">
        <f t="shared" si="3"/>
        <v/>
      </c>
      <c r="K15464" s="1" t="str">
        <f t="shared" si="4"/>
        <v/>
      </c>
    </row>
    <row r="15465">
      <c r="F15465" s="1" t="str">
        <f t="shared" si="1"/>
        <v/>
      </c>
      <c r="G15465" s="1" t="str">
        <f t="shared" si="2"/>
        <v/>
      </c>
      <c r="J15465" s="1" t="str">
        <f t="shared" si="3"/>
        <v/>
      </c>
      <c r="K15465" s="1" t="str">
        <f t="shared" si="4"/>
        <v/>
      </c>
    </row>
    <row r="15466">
      <c r="F15466" s="1" t="str">
        <f t="shared" si="1"/>
        <v/>
      </c>
      <c r="G15466" s="1" t="str">
        <f t="shared" si="2"/>
        <v/>
      </c>
      <c r="J15466" s="1" t="str">
        <f t="shared" si="3"/>
        <v/>
      </c>
      <c r="K15466" s="1" t="str">
        <f t="shared" si="4"/>
        <v/>
      </c>
    </row>
    <row r="15467">
      <c r="F15467" s="1" t="str">
        <f t="shared" si="1"/>
        <v/>
      </c>
      <c r="G15467" s="1" t="str">
        <f t="shared" si="2"/>
        <v/>
      </c>
      <c r="J15467" s="1" t="str">
        <f t="shared" si="3"/>
        <v/>
      </c>
      <c r="K15467" s="1" t="str">
        <f t="shared" si="4"/>
        <v/>
      </c>
    </row>
    <row r="15468">
      <c r="F15468" s="1" t="str">
        <f t="shared" si="1"/>
        <v/>
      </c>
      <c r="G15468" s="1" t="str">
        <f t="shared" si="2"/>
        <v/>
      </c>
      <c r="J15468" s="1" t="str">
        <f t="shared" si="3"/>
        <v/>
      </c>
      <c r="K15468" s="1" t="str">
        <f t="shared" si="4"/>
        <v/>
      </c>
    </row>
    <row r="15469">
      <c r="F15469" s="1" t="str">
        <f t="shared" si="1"/>
        <v/>
      </c>
      <c r="G15469" s="1" t="str">
        <f t="shared" si="2"/>
        <v/>
      </c>
      <c r="J15469" s="1" t="str">
        <f t="shared" si="3"/>
        <v/>
      </c>
      <c r="K15469" s="1" t="str">
        <f t="shared" si="4"/>
        <v/>
      </c>
    </row>
    <row r="15470">
      <c r="F15470" s="1" t="str">
        <f t="shared" si="1"/>
        <v/>
      </c>
      <c r="G15470" s="1" t="str">
        <f t="shared" si="2"/>
        <v/>
      </c>
      <c r="J15470" s="1" t="str">
        <f t="shared" si="3"/>
        <v/>
      </c>
      <c r="K15470" s="1" t="str">
        <f t="shared" si="4"/>
        <v/>
      </c>
    </row>
    <row r="15471">
      <c r="F15471" s="1" t="str">
        <f t="shared" si="1"/>
        <v/>
      </c>
      <c r="G15471" s="1" t="str">
        <f t="shared" si="2"/>
        <v/>
      </c>
      <c r="J15471" s="1" t="str">
        <f t="shared" si="3"/>
        <v/>
      </c>
      <c r="K15471" s="1" t="str">
        <f t="shared" si="4"/>
        <v/>
      </c>
    </row>
    <row r="15472">
      <c r="F15472" s="1" t="str">
        <f t="shared" si="1"/>
        <v/>
      </c>
      <c r="G15472" s="1" t="str">
        <f t="shared" si="2"/>
        <v/>
      </c>
      <c r="J15472" s="1" t="str">
        <f t="shared" si="3"/>
        <v/>
      </c>
      <c r="K15472" s="1" t="str">
        <f t="shared" si="4"/>
        <v/>
      </c>
    </row>
    <row r="15473">
      <c r="F15473" s="1" t="str">
        <f t="shared" si="1"/>
        <v/>
      </c>
      <c r="G15473" s="1" t="str">
        <f t="shared" si="2"/>
        <v/>
      </c>
      <c r="J15473" s="1" t="str">
        <f t="shared" si="3"/>
        <v/>
      </c>
      <c r="K15473" s="1" t="str">
        <f t="shared" si="4"/>
        <v/>
      </c>
    </row>
    <row r="15474">
      <c r="F15474" s="1" t="str">
        <f t="shared" si="1"/>
        <v/>
      </c>
      <c r="G15474" s="1" t="str">
        <f t="shared" si="2"/>
        <v/>
      </c>
      <c r="J15474" s="1" t="str">
        <f t="shared" si="3"/>
        <v/>
      </c>
      <c r="K15474" s="1" t="str">
        <f t="shared" si="4"/>
        <v/>
      </c>
    </row>
    <row r="15475">
      <c r="F15475" s="1" t="str">
        <f t="shared" si="1"/>
        <v/>
      </c>
      <c r="G15475" s="1" t="str">
        <f t="shared" si="2"/>
        <v/>
      </c>
      <c r="J15475" s="1" t="str">
        <f t="shared" si="3"/>
        <v/>
      </c>
      <c r="K15475" s="1" t="str">
        <f t="shared" si="4"/>
        <v/>
      </c>
    </row>
    <row r="15476">
      <c r="F15476" s="1" t="str">
        <f t="shared" si="1"/>
        <v/>
      </c>
      <c r="G15476" s="1" t="str">
        <f t="shared" si="2"/>
        <v/>
      </c>
      <c r="J15476" s="1" t="str">
        <f t="shared" si="3"/>
        <v/>
      </c>
      <c r="K15476" s="1" t="str">
        <f t="shared" si="4"/>
        <v/>
      </c>
    </row>
    <row r="15477">
      <c r="F15477" s="1" t="str">
        <f t="shared" si="1"/>
        <v/>
      </c>
      <c r="G15477" s="1" t="str">
        <f t="shared" si="2"/>
        <v/>
      </c>
      <c r="J15477" s="1" t="str">
        <f t="shared" si="3"/>
        <v/>
      </c>
      <c r="K15477" s="1" t="str">
        <f t="shared" si="4"/>
        <v/>
      </c>
    </row>
    <row r="15478">
      <c r="F15478" s="1" t="str">
        <f t="shared" si="1"/>
        <v/>
      </c>
      <c r="G15478" s="1" t="str">
        <f t="shared" si="2"/>
        <v/>
      </c>
      <c r="J15478" s="1" t="str">
        <f t="shared" si="3"/>
        <v/>
      </c>
      <c r="K15478" s="1" t="str">
        <f t="shared" si="4"/>
        <v/>
      </c>
    </row>
    <row r="15479">
      <c r="F15479" s="1" t="str">
        <f t="shared" si="1"/>
        <v/>
      </c>
      <c r="G15479" s="1" t="str">
        <f t="shared" si="2"/>
        <v/>
      </c>
      <c r="J15479" s="1" t="str">
        <f t="shared" si="3"/>
        <v/>
      </c>
      <c r="K15479" s="1" t="str">
        <f t="shared" si="4"/>
        <v/>
      </c>
    </row>
    <row r="15480">
      <c r="F15480" s="1" t="str">
        <f t="shared" si="1"/>
        <v/>
      </c>
      <c r="G15480" s="1" t="str">
        <f t="shared" si="2"/>
        <v/>
      </c>
      <c r="J15480" s="1" t="str">
        <f t="shared" si="3"/>
        <v/>
      </c>
      <c r="K15480" s="1" t="str">
        <f t="shared" si="4"/>
        <v/>
      </c>
    </row>
    <row r="15481">
      <c r="F15481" s="1" t="str">
        <f t="shared" si="1"/>
        <v/>
      </c>
      <c r="G15481" s="1" t="str">
        <f t="shared" si="2"/>
        <v/>
      </c>
      <c r="J15481" s="1" t="str">
        <f t="shared" si="3"/>
        <v/>
      </c>
      <c r="K15481" s="1" t="str">
        <f t="shared" si="4"/>
        <v/>
      </c>
    </row>
    <row r="15482">
      <c r="F15482" s="1" t="str">
        <f t="shared" si="1"/>
        <v/>
      </c>
      <c r="G15482" s="1" t="str">
        <f t="shared" si="2"/>
        <v/>
      </c>
      <c r="J15482" s="1" t="str">
        <f t="shared" si="3"/>
        <v/>
      </c>
      <c r="K15482" s="1" t="str">
        <f t="shared" si="4"/>
        <v/>
      </c>
    </row>
    <row r="15483">
      <c r="F15483" s="1" t="str">
        <f t="shared" si="1"/>
        <v/>
      </c>
      <c r="G15483" s="1" t="str">
        <f t="shared" si="2"/>
        <v/>
      </c>
      <c r="J15483" s="1" t="str">
        <f t="shared" si="3"/>
        <v/>
      </c>
      <c r="K15483" s="1" t="str">
        <f t="shared" si="4"/>
        <v/>
      </c>
    </row>
    <row r="15484">
      <c r="F15484" s="1" t="str">
        <f t="shared" si="1"/>
        <v/>
      </c>
      <c r="G15484" s="1" t="str">
        <f t="shared" si="2"/>
        <v/>
      </c>
      <c r="J15484" s="1" t="str">
        <f t="shared" si="3"/>
        <v/>
      </c>
      <c r="K15484" s="1" t="str">
        <f t="shared" si="4"/>
        <v/>
      </c>
    </row>
    <row r="15485">
      <c r="F15485" s="1" t="str">
        <f t="shared" si="1"/>
        <v/>
      </c>
      <c r="G15485" s="1" t="str">
        <f t="shared" si="2"/>
        <v/>
      </c>
      <c r="J15485" s="1" t="str">
        <f t="shared" si="3"/>
        <v/>
      </c>
      <c r="K15485" s="1" t="str">
        <f t="shared" si="4"/>
        <v/>
      </c>
    </row>
    <row r="15486">
      <c r="F15486" s="1" t="str">
        <f t="shared" si="1"/>
        <v/>
      </c>
      <c r="G15486" s="1" t="str">
        <f t="shared" si="2"/>
        <v/>
      </c>
      <c r="J15486" s="1" t="str">
        <f t="shared" si="3"/>
        <v/>
      </c>
      <c r="K15486" s="1" t="str">
        <f t="shared" si="4"/>
        <v/>
      </c>
    </row>
    <row r="15487">
      <c r="F15487" s="1" t="str">
        <f t="shared" si="1"/>
        <v/>
      </c>
      <c r="G15487" s="1" t="str">
        <f t="shared" si="2"/>
        <v/>
      </c>
      <c r="J15487" s="1" t="str">
        <f t="shared" si="3"/>
        <v/>
      </c>
      <c r="K15487" s="1" t="str">
        <f t="shared" si="4"/>
        <v/>
      </c>
    </row>
    <row r="15488">
      <c r="F15488" s="1" t="str">
        <f t="shared" si="1"/>
        <v/>
      </c>
      <c r="G15488" s="1" t="str">
        <f t="shared" si="2"/>
        <v/>
      </c>
      <c r="J15488" s="1" t="str">
        <f t="shared" si="3"/>
        <v/>
      </c>
      <c r="K15488" s="1" t="str">
        <f t="shared" si="4"/>
        <v/>
      </c>
    </row>
    <row r="15489">
      <c r="F15489" s="1" t="str">
        <f t="shared" si="1"/>
        <v/>
      </c>
      <c r="G15489" s="1" t="str">
        <f t="shared" si="2"/>
        <v/>
      </c>
      <c r="J15489" s="1" t="str">
        <f t="shared" si="3"/>
        <v/>
      </c>
      <c r="K15489" s="1" t="str">
        <f t="shared" si="4"/>
        <v/>
      </c>
    </row>
    <row r="15490">
      <c r="F15490" s="1" t="str">
        <f t="shared" si="1"/>
        <v/>
      </c>
      <c r="G15490" s="1" t="str">
        <f t="shared" si="2"/>
        <v/>
      </c>
      <c r="J15490" s="1" t="str">
        <f t="shared" si="3"/>
        <v/>
      </c>
      <c r="K15490" s="1" t="str">
        <f t="shared" si="4"/>
        <v/>
      </c>
    </row>
    <row r="15491">
      <c r="F15491" s="1" t="str">
        <f t="shared" si="1"/>
        <v/>
      </c>
      <c r="G15491" s="1" t="str">
        <f t="shared" si="2"/>
        <v/>
      </c>
      <c r="J15491" s="1" t="str">
        <f t="shared" si="3"/>
        <v/>
      </c>
      <c r="K15491" s="1" t="str">
        <f t="shared" si="4"/>
        <v/>
      </c>
    </row>
    <row r="15492">
      <c r="F15492" s="1" t="str">
        <f t="shared" si="1"/>
        <v/>
      </c>
      <c r="G15492" s="1" t="str">
        <f t="shared" si="2"/>
        <v/>
      </c>
      <c r="J15492" s="1" t="str">
        <f t="shared" si="3"/>
        <v/>
      </c>
      <c r="K15492" s="1" t="str">
        <f t="shared" si="4"/>
        <v/>
      </c>
    </row>
    <row r="15493">
      <c r="F15493" s="1" t="str">
        <f t="shared" si="1"/>
        <v/>
      </c>
      <c r="G15493" s="1" t="str">
        <f t="shared" si="2"/>
        <v/>
      </c>
      <c r="J15493" s="1" t="str">
        <f t="shared" si="3"/>
        <v/>
      </c>
      <c r="K15493" s="1" t="str">
        <f t="shared" si="4"/>
        <v/>
      </c>
    </row>
    <row r="15494">
      <c r="F15494" s="1" t="str">
        <f t="shared" si="1"/>
        <v/>
      </c>
      <c r="G15494" s="1" t="str">
        <f t="shared" si="2"/>
        <v/>
      </c>
      <c r="J15494" s="1" t="str">
        <f t="shared" si="3"/>
        <v/>
      </c>
      <c r="K15494" s="1" t="str">
        <f t="shared" si="4"/>
        <v/>
      </c>
    </row>
    <row r="15495">
      <c r="F15495" s="1" t="str">
        <f t="shared" si="1"/>
        <v/>
      </c>
      <c r="G15495" s="1" t="str">
        <f t="shared" si="2"/>
        <v/>
      </c>
      <c r="J15495" s="1" t="str">
        <f t="shared" si="3"/>
        <v/>
      </c>
      <c r="K15495" s="1" t="str">
        <f t="shared" si="4"/>
        <v/>
      </c>
    </row>
    <row r="15496">
      <c r="F15496" s="1" t="str">
        <f t="shared" si="1"/>
        <v/>
      </c>
      <c r="G15496" s="1" t="str">
        <f t="shared" si="2"/>
        <v/>
      </c>
      <c r="J15496" s="1" t="str">
        <f t="shared" si="3"/>
        <v/>
      </c>
      <c r="K15496" s="1" t="str">
        <f t="shared" si="4"/>
        <v/>
      </c>
    </row>
    <row r="15497">
      <c r="F15497" s="1" t="str">
        <f t="shared" si="1"/>
        <v/>
      </c>
      <c r="G15497" s="1" t="str">
        <f t="shared" si="2"/>
        <v/>
      </c>
      <c r="J15497" s="1" t="str">
        <f t="shared" si="3"/>
        <v/>
      </c>
      <c r="K15497" s="1" t="str">
        <f t="shared" si="4"/>
        <v/>
      </c>
    </row>
    <row r="15498">
      <c r="F15498" s="1" t="str">
        <f t="shared" si="1"/>
        <v/>
      </c>
      <c r="G15498" s="1" t="str">
        <f t="shared" si="2"/>
        <v/>
      </c>
      <c r="J15498" s="1" t="str">
        <f t="shared" si="3"/>
        <v/>
      </c>
      <c r="K15498" s="1" t="str">
        <f t="shared" si="4"/>
        <v/>
      </c>
    </row>
    <row r="15499">
      <c r="F15499" s="1" t="str">
        <f t="shared" si="1"/>
        <v/>
      </c>
      <c r="G15499" s="1" t="str">
        <f t="shared" si="2"/>
        <v/>
      </c>
      <c r="J15499" s="1" t="str">
        <f t="shared" si="3"/>
        <v/>
      </c>
      <c r="K15499" s="1" t="str">
        <f t="shared" si="4"/>
        <v/>
      </c>
    </row>
    <row r="15500">
      <c r="F15500" s="1" t="str">
        <f t="shared" si="1"/>
        <v/>
      </c>
      <c r="G15500" s="1" t="str">
        <f t="shared" si="2"/>
        <v/>
      </c>
      <c r="J15500" s="1" t="str">
        <f t="shared" si="3"/>
        <v/>
      </c>
      <c r="K15500" s="1" t="str">
        <f t="shared" si="4"/>
        <v/>
      </c>
    </row>
    <row r="15501">
      <c r="F15501" s="1" t="str">
        <f t="shared" si="1"/>
        <v/>
      </c>
      <c r="G15501" s="1" t="str">
        <f t="shared" si="2"/>
        <v/>
      </c>
      <c r="J15501" s="1" t="str">
        <f t="shared" si="3"/>
        <v/>
      </c>
      <c r="K15501" s="1" t="str">
        <f t="shared" si="4"/>
        <v/>
      </c>
    </row>
    <row r="15502">
      <c r="F15502" s="1" t="str">
        <f t="shared" si="1"/>
        <v/>
      </c>
      <c r="G15502" s="1" t="str">
        <f t="shared" si="2"/>
        <v/>
      </c>
      <c r="J15502" s="1" t="str">
        <f t="shared" si="3"/>
        <v/>
      </c>
      <c r="K15502" s="1" t="str">
        <f t="shared" si="4"/>
        <v/>
      </c>
    </row>
    <row r="15503">
      <c r="F15503" s="1" t="str">
        <f t="shared" si="1"/>
        <v/>
      </c>
      <c r="G15503" s="1" t="str">
        <f t="shared" si="2"/>
        <v/>
      </c>
      <c r="J15503" s="1" t="str">
        <f t="shared" si="3"/>
        <v/>
      </c>
      <c r="K15503" s="1" t="str">
        <f t="shared" si="4"/>
        <v/>
      </c>
    </row>
    <row r="15504">
      <c r="F15504" s="1" t="str">
        <f t="shared" si="1"/>
        <v/>
      </c>
      <c r="G15504" s="1" t="str">
        <f t="shared" si="2"/>
        <v/>
      </c>
      <c r="J15504" s="1" t="str">
        <f t="shared" si="3"/>
        <v/>
      </c>
      <c r="K15504" s="1" t="str">
        <f t="shared" si="4"/>
        <v/>
      </c>
    </row>
    <row r="15505">
      <c r="F15505" s="1" t="str">
        <f t="shared" si="1"/>
        <v/>
      </c>
      <c r="G15505" s="1" t="str">
        <f t="shared" si="2"/>
        <v/>
      </c>
      <c r="J15505" s="1" t="str">
        <f t="shared" si="3"/>
        <v/>
      </c>
      <c r="K15505" s="1" t="str">
        <f t="shared" si="4"/>
        <v/>
      </c>
    </row>
    <row r="15506">
      <c r="F15506" s="1" t="str">
        <f t="shared" si="1"/>
        <v/>
      </c>
      <c r="G15506" s="1" t="str">
        <f t="shared" si="2"/>
        <v/>
      </c>
      <c r="J15506" s="1" t="str">
        <f t="shared" si="3"/>
        <v/>
      </c>
      <c r="K15506" s="1" t="str">
        <f t="shared" si="4"/>
        <v/>
      </c>
    </row>
    <row r="15507">
      <c r="F15507" s="1" t="str">
        <f t="shared" si="1"/>
        <v/>
      </c>
      <c r="G15507" s="1" t="str">
        <f t="shared" si="2"/>
        <v/>
      </c>
      <c r="J15507" s="1" t="str">
        <f t="shared" si="3"/>
        <v/>
      </c>
      <c r="K15507" s="1" t="str">
        <f t="shared" si="4"/>
        <v/>
      </c>
    </row>
    <row r="15508">
      <c r="F15508" s="1" t="str">
        <f t="shared" si="1"/>
        <v/>
      </c>
      <c r="G15508" s="1" t="str">
        <f t="shared" si="2"/>
        <v/>
      </c>
      <c r="J15508" s="1" t="str">
        <f t="shared" si="3"/>
        <v/>
      </c>
      <c r="K15508" s="1" t="str">
        <f t="shared" si="4"/>
        <v/>
      </c>
    </row>
    <row r="15509">
      <c r="F15509" s="1" t="str">
        <f t="shared" si="1"/>
        <v/>
      </c>
      <c r="G15509" s="1" t="str">
        <f t="shared" si="2"/>
        <v/>
      </c>
      <c r="J15509" s="1" t="str">
        <f t="shared" si="3"/>
        <v/>
      </c>
      <c r="K15509" s="1" t="str">
        <f t="shared" si="4"/>
        <v/>
      </c>
    </row>
    <row r="15510">
      <c r="F15510" s="1" t="str">
        <f t="shared" si="1"/>
        <v/>
      </c>
      <c r="G15510" s="1" t="str">
        <f t="shared" si="2"/>
        <v/>
      </c>
      <c r="J15510" s="1" t="str">
        <f t="shared" si="3"/>
        <v/>
      </c>
      <c r="K15510" s="1" t="str">
        <f t="shared" si="4"/>
        <v/>
      </c>
    </row>
    <row r="15511">
      <c r="F15511" s="1" t="str">
        <f t="shared" si="1"/>
        <v/>
      </c>
      <c r="G15511" s="1" t="str">
        <f t="shared" si="2"/>
        <v/>
      </c>
      <c r="J15511" s="1" t="str">
        <f t="shared" si="3"/>
        <v/>
      </c>
      <c r="K15511" s="1" t="str">
        <f t="shared" si="4"/>
        <v/>
      </c>
    </row>
    <row r="15512">
      <c r="F15512" s="1" t="str">
        <f t="shared" si="1"/>
        <v/>
      </c>
      <c r="G15512" s="1" t="str">
        <f t="shared" si="2"/>
        <v/>
      </c>
      <c r="J15512" s="1" t="str">
        <f t="shared" si="3"/>
        <v/>
      </c>
      <c r="K15512" s="1" t="str">
        <f t="shared" si="4"/>
        <v/>
      </c>
    </row>
    <row r="15513">
      <c r="F15513" s="1" t="str">
        <f t="shared" si="1"/>
        <v/>
      </c>
      <c r="G15513" s="1" t="str">
        <f t="shared" si="2"/>
        <v/>
      </c>
      <c r="J15513" s="1" t="str">
        <f t="shared" si="3"/>
        <v/>
      </c>
      <c r="K15513" s="1" t="str">
        <f t="shared" si="4"/>
        <v/>
      </c>
    </row>
    <row r="15514">
      <c r="F15514" s="1" t="str">
        <f t="shared" si="1"/>
        <v/>
      </c>
      <c r="G15514" s="1" t="str">
        <f t="shared" si="2"/>
        <v/>
      </c>
      <c r="J15514" s="1" t="str">
        <f t="shared" si="3"/>
        <v/>
      </c>
      <c r="K15514" s="1" t="str">
        <f t="shared" si="4"/>
        <v/>
      </c>
    </row>
    <row r="15515">
      <c r="F15515" s="1" t="str">
        <f t="shared" si="1"/>
        <v/>
      </c>
      <c r="G15515" s="1" t="str">
        <f t="shared" si="2"/>
        <v/>
      </c>
      <c r="J15515" s="1" t="str">
        <f t="shared" si="3"/>
        <v/>
      </c>
      <c r="K15515" s="1" t="str">
        <f t="shared" si="4"/>
        <v/>
      </c>
    </row>
    <row r="15516">
      <c r="F15516" s="1" t="str">
        <f t="shared" si="1"/>
        <v/>
      </c>
      <c r="G15516" s="1" t="str">
        <f t="shared" si="2"/>
        <v/>
      </c>
      <c r="J15516" s="1" t="str">
        <f t="shared" si="3"/>
        <v/>
      </c>
      <c r="K15516" s="1" t="str">
        <f t="shared" si="4"/>
        <v/>
      </c>
    </row>
    <row r="15517">
      <c r="F15517" s="1" t="str">
        <f t="shared" si="1"/>
        <v/>
      </c>
      <c r="G15517" s="1" t="str">
        <f t="shared" si="2"/>
        <v/>
      </c>
      <c r="J15517" s="1" t="str">
        <f t="shared" si="3"/>
        <v/>
      </c>
      <c r="K15517" s="1" t="str">
        <f t="shared" si="4"/>
        <v/>
      </c>
    </row>
    <row r="15518">
      <c r="F15518" s="1" t="str">
        <f t="shared" si="1"/>
        <v/>
      </c>
      <c r="G15518" s="1" t="str">
        <f t="shared" si="2"/>
        <v/>
      </c>
      <c r="J15518" s="1" t="str">
        <f t="shared" si="3"/>
        <v/>
      </c>
      <c r="K15518" s="1" t="str">
        <f t="shared" si="4"/>
        <v/>
      </c>
    </row>
    <row r="15519">
      <c r="F15519" s="1" t="str">
        <f t="shared" si="1"/>
        <v/>
      </c>
      <c r="G15519" s="1" t="str">
        <f t="shared" si="2"/>
        <v/>
      </c>
      <c r="J15519" s="1" t="str">
        <f t="shared" si="3"/>
        <v/>
      </c>
      <c r="K15519" s="1" t="str">
        <f t="shared" si="4"/>
        <v/>
      </c>
    </row>
    <row r="15520">
      <c r="F15520" s="1" t="str">
        <f t="shared" si="1"/>
        <v/>
      </c>
      <c r="G15520" s="1" t="str">
        <f t="shared" si="2"/>
        <v/>
      </c>
      <c r="J15520" s="1" t="str">
        <f t="shared" si="3"/>
        <v/>
      </c>
      <c r="K15520" s="1" t="str">
        <f t="shared" si="4"/>
        <v/>
      </c>
    </row>
    <row r="15521">
      <c r="F15521" s="1" t="str">
        <f t="shared" si="1"/>
        <v/>
      </c>
      <c r="G15521" s="1" t="str">
        <f t="shared" si="2"/>
        <v/>
      </c>
      <c r="J15521" s="1" t="str">
        <f t="shared" si="3"/>
        <v/>
      </c>
      <c r="K15521" s="1" t="str">
        <f t="shared" si="4"/>
        <v/>
      </c>
    </row>
    <row r="15522">
      <c r="F15522" s="1" t="str">
        <f t="shared" si="1"/>
        <v/>
      </c>
      <c r="G15522" s="1" t="str">
        <f t="shared" si="2"/>
        <v/>
      </c>
      <c r="J15522" s="1" t="str">
        <f t="shared" si="3"/>
        <v/>
      </c>
      <c r="K15522" s="1" t="str">
        <f t="shared" si="4"/>
        <v/>
      </c>
    </row>
    <row r="15523">
      <c r="F15523" s="1" t="str">
        <f t="shared" si="1"/>
        <v/>
      </c>
      <c r="G15523" s="1" t="str">
        <f t="shared" si="2"/>
        <v/>
      </c>
      <c r="J15523" s="1" t="str">
        <f t="shared" si="3"/>
        <v/>
      </c>
      <c r="K15523" s="1" t="str">
        <f t="shared" si="4"/>
        <v/>
      </c>
    </row>
    <row r="15524">
      <c r="F15524" s="1" t="str">
        <f t="shared" si="1"/>
        <v/>
      </c>
      <c r="G15524" s="1" t="str">
        <f t="shared" si="2"/>
        <v/>
      </c>
      <c r="J15524" s="1" t="str">
        <f t="shared" si="3"/>
        <v/>
      </c>
      <c r="K15524" s="1" t="str">
        <f t="shared" si="4"/>
        <v/>
      </c>
    </row>
    <row r="15525">
      <c r="F15525" s="1" t="str">
        <f t="shared" si="1"/>
        <v/>
      </c>
      <c r="G15525" s="1" t="str">
        <f t="shared" si="2"/>
        <v/>
      </c>
      <c r="J15525" s="1" t="str">
        <f t="shared" si="3"/>
        <v/>
      </c>
      <c r="K15525" s="1" t="str">
        <f t="shared" si="4"/>
        <v/>
      </c>
    </row>
    <row r="15526">
      <c r="F15526" s="1" t="str">
        <f t="shared" si="1"/>
        <v/>
      </c>
      <c r="G15526" s="1" t="str">
        <f t="shared" si="2"/>
        <v/>
      </c>
      <c r="J15526" s="1" t="str">
        <f t="shared" si="3"/>
        <v/>
      </c>
      <c r="K15526" s="1" t="str">
        <f t="shared" si="4"/>
        <v/>
      </c>
    </row>
    <row r="15527">
      <c r="F15527" s="1" t="str">
        <f t="shared" si="1"/>
        <v/>
      </c>
      <c r="G15527" s="1" t="str">
        <f t="shared" si="2"/>
        <v/>
      </c>
      <c r="J15527" s="1" t="str">
        <f t="shared" si="3"/>
        <v/>
      </c>
      <c r="K15527" s="1" t="str">
        <f t="shared" si="4"/>
        <v/>
      </c>
    </row>
    <row r="15528">
      <c r="F15528" s="1" t="str">
        <f t="shared" si="1"/>
        <v/>
      </c>
      <c r="G15528" s="1" t="str">
        <f t="shared" si="2"/>
        <v/>
      </c>
      <c r="J15528" s="1" t="str">
        <f t="shared" si="3"/>
        <v/>
      </c>
      <c r="K15528" s="1" t="str">
        <f t="shared" si="4"/>
        <v/>
      </c>
    </row>
    <row r="15529">
      <c r="F15529" s="1" t="str">
        <f t="shared" si="1"/>
        <v/>
      </c>
      <c r="G15529" s="1" t="str">
        <f t="shared" si="2"/>
        <v/>
      </c>
      <c r="J15529" s="1" t="str">
        <f t="shared" si="3"/>
        <v/>
      </c>
      <c r="K15529" s="1" t="str">
        <f t="shared" si="4"/>
        <v/>
      </c>
    </row>
    <row r="15530">
      <c r="F15530" s="1" t="str">
        <f t="shared" si="1"/>
        <v/>
      </c>
      <c r="G15530" s="1" t="str">
        <f t="shared" si="2"/>
        <v/>
      </c>
      <c r="J15530" s="1" t="str">
        <f t="shared" si="3"/>
        <v/>
      </c>
      <c r="K15530" s="1" t="str">
        <f t="shared" si="4"/>
        <v/>
      </c>
    </row>
    <row r="15531">
      <c r="F15531" s="1" t="str">
        <f t="shared" si="1"/>
        <v/>
      </c>
      <c r="G15531" s="1" t="str">
        <f t="shared" si="2"/>
        <v/>
      </c>
      <c r="J15531" s="1" t="str">
        <f t="shared" si="3"/>
        <v/>
      </c>
      <c r="K15531" s="1" t="str">
        <f t="shared" si="4"/>
        <v/>
      </c>
    </row>
    <row r="15532">
      <c r="F15532" s="1" t="str">
        <f t="shared" si="1"/>
        <v/>
      </c>
      <c r="G15532" s="1" t="str">
        <f t="shared" si="2"/>
        <v/>
      </c>
      <c r="J15532" s="1" t="str">
        <f t="shared" si="3"/>
        <v/>
      </c>
      <c r="K15532" s="1" t="str">
        <f t="shared" si="4"/>
        <v/>
      </c>
    </row>
    <row r="15533">
      <c r="F15533" s="1" t="str">
        <f t="shared" si="1"/>
        <v/>
      </c>
      <c r="G15533" s="1" t="str">
        <f t="shared" si="2"/>
        <v/>
      </c>
      <c r="J15533" s="1" t="str">
        <f t="shared" si="3"/>
        <v/>
      </c>
      <c r="K15533" s="1" t="str">
        <f t="shared" si="4"/>
        <v/>
      </c>
    </row>
    <row r="15534">
      <c r="F15534" s="1" t="str">
        <f t="shared" si="1"/>
        <v/>
      </c>
      <c r="G15534" s="1" t="str">
        <f t="shared" si="2"/>
        <v/>
      </c>
      <c r="J15534" s="1" t="str">
        <f t="shared" si="3"/>
        <v/>
      </c>
      <c r="K15534" s="1" t="str">
        <f t="shared" si="4"/>
        <v/>
      </c>
    </row>
    <row r="15535">
      <c r="F15535" s="1" t="str">
        <f t="shared" si="1"/>
        <v/>
      </c>
      <c r="G15535" s="1" t="str">
        <f t="shared" si="2"/>
        <v/>
      </c>
      <c r="J15535" s="1" t="str">
        <f t="shared" si="3"/>
        <v/>
      </c>
      <c r="K15535" s="1" t="str">
        <f t="shared" si="4"/>
        <v/>
      </c>
    </row>
    <row r="15536">
      <c r="F15536" s="1" t="str">
        <f t="shared" si="1"/>
        <v/>
      </c>
      <c r="G15536" s="1" t="str">
        <f t="shared" si="2"/>
        <v/>
      </c>
      <c r="J15536" s="1" t="str">
        <f t="shared" si="3"/>
        <v/>
      </c>
      <c r="K15536" s="1" t="str">
        <f t="shared" si="4"/>
        <v/>
      </c>
    </row>
    <row r="15537">
      <c r="F15537" s="1" t="str">
        <f t="shared" si="1"/>
        <v/>
      </c>
      <c r="G15537" s="1" t="str">
        <f t="shared" si="2"/>
        <v/>
      </c>
      <c r="J15537" s="1" t="str">
        <f t="shared" si="3"/>
        <v/>
      </c>
      <c r="K15537" s="1" t="str">
        <f t="shared" si="4"/>
        <v/>
      </c>
    </row>
    <row r="15538">
      <c r="F15538" s="1" t="str">
        <f t="shared" si="1"/>
        <v/>
      </c>
      <c r="G15538" s="1" t="str">
        <f t="shared" si="2"/>
        <v/>
      </c>
      <c r="J15538" s="1" t="str">
        <f t="shared" si="3"/>
        <v/>
      </c>
      <c r="K15538" s="1" t="str">
        <f t="shared" si="4"/>
        <v/>
      </c>
    </row>
    <row r="15539">
      <c r="F15539" s="1" t="str">
        <f t="shared" si="1"/>
        <v/>
      </c>
      <c r="G15539" s="1" t="str">
        <f t="shared" si="2"/>
        <v/>
      </c>
      <c r="J15539" s="1" t="str">
        <f t="shared" si="3"/>
        <v/>
      </c>
      <c r="K15539" s="1" t="str">
        <f t="shared" si="4"/>
        <v/>
      </c>
    </row>
    <row r="15540">
      <c r="F15540" s="1" t="str">
        <f t="shared" si="1"/>
        <v/>
      </c>
      <c r="G15540" s="1" t="str">
        <f t="shared" si="2"/>
        <v/>
      </c>
      <c r="J15540" s="1" t="str">
        <f t="shared" si="3"/>
        <v/>
      </c>
      <c r="K15540" s="1" t="str">
        <f t="shared" si="4"/>
        <v/>
      </c>
    </row>
    <row r="15541">
      <c r="F15541" s="1" t="str">
        <f t="shared" si="1"/>
        <v/>
      </c>
      <c r="G15541" s="1" t="str">
        <f t="shared" si="2"/>
        <v/>
      </c>
      <c r="J15541" s="1" t="str">
        <f t="shared" si="3"/>
        <v/>
      </c>
      <c r="K15541" s="1" t="str">
        <f t="shared" si="4"/>
        <v/>
      </c>
    </row>
    <row r="15542">
      <c r="F15542" s="1" t="str">
        <f t="shared" si="1"/>
        <v/>
      </c>
      <c r="G15542" s="1" t="str">
        <f t="shared" si="2"/>
        <v/>
      </c>
      <c r="J15542" s="1" t="str">
        <f t="shared" si="3"/>
        <v/>
      </c>
      <c r="K15542" s="1" t="str">
        <f t="shared" si="4"/>
        <v/>
      </c>
    </row>
    <row r="15543">
      <c r="F15543" s="1" t="str">
        <f t="shared" si="1"/>
        <v/>
      </c>
      <c r="G15543" s="1" t="str">
        <f t="shared" si="2"/>
        <v/>
      </c>
      <c r="J15543" s="1" t="str">
        <f t="shared" si="3"/>
        <v/>
      </c>
      <c r="K15543" s="1" t="str">
        <f t="shared" si="4"/>
        <v/>
      </c>
    </row>
    <row r="15544">
      <c r="F15544" s="1" t="str">
        <f t="shared" si="1"/>
        <v/>
      </c>
      <c r="G15544" s="1" t="str">
        <f t="shared" si="2"/>
        <v/>
      </c>
      <c r="J15544" s="1" t="str">
        <f t="shared" si="3"/>
        <v/>
      </c>
      <c r="K15544" s="1" t="str">
        <f t="shared" si="4"/>
        <v/>
      </c>
    </row>
    <row r="15545">
      <c r="F15545" s="1" t="str">
        <f t="shared" si="1"/>
        <v/>
      </c>
      <c r="G15545" s="1" t="str">
        <f t="shared" si="2"/>
        <v/>
      </c>
      <c r="J15545" s="1" t="str">
        <f t="shared" si="3"/>
        <v/>
      </c>
      <c r="K15545" s="1" t="str">
        <f t="shared" si="4"/>
        <v/>
      </c>
    </row>
    <row r="15546">
      <c r="F15546" s="1" t="str">
        <f t="shared" si="1"/>
        <v/>
      </c>
      <c r="G15546" s="1" t="str">
        <f t="shared" si="2"/>
        <v/>
      </c>
      <c r="J15546" s="1" t="str">
        <f t="shared" si="3"/>
        <v/>
      </c>
      <c r="K15546" s="1" t="str">
        <f t="shared" si="4"/>
        <v/>
      </c>
    </row>
    <row r="15547">
      <c r="F15547" s="1" t="str">
        <f t="shared" si="1"/>
        <v/>
      </c>
      <c r="G15547" s="1" t="str">
        <f t="shared" si="2"/>
        <v/>
      </c>
      <c r="J15547" s="1" t="str">
        <f t="shared" si="3"/>
        <v/>
      </c>
      <c r="K15547" s="1" t="str">
        <f t="shared" si="4"/>
        <v/>
      </c>
    </row>
    <row r="15548">
      <c r="F15548" s="1" t="str">
        <f t="shared" si="1"/>
        <v/>
      </c>
      <c r="G15548" s="1" t="str">
        <f t="shared" si="2"/>
        <v/>
      </c>
      <c r="J15548" s="1" t="str">
        <f t="shared" si="3"/>
        <v/>
      </c>
      <c r="K15548" s="1" t="str">
        <f t="shared" si="4"/>
        <v/>
      </c>
    </row>
    <row r="15549">
      <c r="F15549" s="1" t="str">
        <f t="shared" si="1"/>
        <v/>
      </c>
      <c r="G15549" s="1" t="str">
        <f t="shared" si="2"/>
        <v/>
      </c>
      <c r="J15549" s="1" t="str">
        <f t="shared" si="3"/>
        <v/>
      </c>
      <c r="K15549" s="1" t="str">
        <f t="shared" si="4"/>
        <v/>
      </c>
    </row>
    <row r="15550">
      <c r="F15550" s="1" t="str">
        <f t="shared" si="1"/>
        <v/>
      </c>
      <c r="G15550" s="1" t="str">
        <f t="shared" si="2"/>
        <v/>
      </c>
      <c r="J15550" s="1" t="str">
        <f t="shared" si="3"/>
        <v/>
      </c>
      <c r="K15550" s="1" t="str">
        <f t="shared" si="4"/>
        <v/>
      </c>
    </row>
    <row r="15551">
      <c r="F15551" s="1" t="str">
        <f t="shared" si="1"/>
        <v/>
      </c>
      <c r="G15551" s="1" t="str">
        <f t="shared" si="2"/>
        <v/>
      </c>
      <c r="J15551" s="1" t="str">
        <f t="shared" si="3"/>
        <v/>
      </c>
      <c r="K15551" s="1" t="str">
        <f t="shared" si="4"/>
        <v/>
      </c>
    </row>
    <row r="15552">
      <c r="F15552" s="1" t="str">
        <f t="shared" si="1"/>
        <v/>
      </c>
      <c r="G15552" s="1" t="str">
        <f t="shared" si="2"/>
        <v/>
      </c>
      <c r="J15552" s="1" t="str">
        <f t="shared" si="3"/>
        <v/>
      </c>
      <c r="K15552" s="1" t="str">
        <f t="shared" si="4"/>
        <v/>
      </c>
    </row>
    <row r="15553">
      <c r="F15553" s="1" t="str">
        <f t="shared" si="1"/>
        <v/>
      </c>
      <c r="G15553" s="1" t="str">
        <f t="shared" si="2"/>
        <v/>
      </c>
      <c r="J15553" s="1" t="str">
        <f t="shared" si="3"/>
        <v/>
      </c>
      <c r="K15553" s="1" t="str">
        <f t="shared" si="4"/>
        <v/>
      </c>
    </row>
    <row r="15554">
      <c r="F15554" s="1" t="str">
        <f t="shared" si="1"/>
        <v/>
      </c>
      <c r="G15554" s="1" t="str">
        <f t="shared" si="2"/>
        <v/>
      </c>
      <c r="J15554" s="1" t="str">
        <f t="shared" si="3"/>
        <v/>
      </c>
      <c r="K15554" s="1" t="str">
        <f t="shared" si="4"/>
        <v/>
      </c>
    </row>
    <row r="15555">
      <c r="F15555" s="1" t="str">
        <f t="shared" si="1"/>
        <v/>
      </c>
      <c r="G15555" s="1" t="str">
        <f t="shared" si="2"/>
        <v/>
      </c>
      <c r="J15555" s="1" t="str">
        <f t="shared" si="3"/>
        <v/>
      </c>
      <c r="K15555" s="1" t="str">
        <f t="shared" si="4"/>
        <v/>
      </c>
    </row>
    <row r="15556">
      <c r="F15556" s="1" t="str">
        <f t="shared" si="1"/>
        <v/>
      </c>
      <c r="G15556" s="1" t="str">
        <f t="shared" si="2"/>
        <v/>
      </c>
      <c r="J15556" s="1" t="str">
        <f t="shared" si="3"/>
        <v/>
      </c>
      <c r="K15556" s="1" t="str">
        <f t="shared" si="4"/>
        <v/>
      </c>
    </row>
    <row r="15557">
      <c r="F15557" s="1" t="str">
        <f t="shared" si="1"/>
        <v/>
      </c>
      <c r="G15557" s="1" t="str">
        <f t="shared" si="2"/>
        <v/>
      </c>
      <c r="J15557" s="1" t="str">
        <f t="shared" si="3"/>
        <v/>
      </c>
      <c r="K15557" s="1" t="str">
        <f t="shared" si="4"/>
        <v/>
      </c>
    </row>
    <row r="15558">
      <c r="F15558" s="1" t="str">
        <f t="shared" si="1"/>
        <v/>
      </c>
      <c r="G15558" s="1" t="str">
        <f t="shared" si="2"/>
        <v/>
      </c>
      <c r="J15558" s="1" t="str">
        <f t="shared" si="3"/>
        <v/>
      </c>
      <c r="K15558" s="1" t="str">
        <f t="shared" si="4"/>
        <v/>
      </c>
    </row>
    <row r="15559">
      <c r="F15559" s="1" t="str">
        <f t="shared" si="1"/>
        <v/>
      </c>
      <c r="G15559" s="1" t="str">
        <f t="shared" si="2"/>
        <v/>
      </c>
      <c r="J15559" s="1" t="str">
        <f t="shared" si="3"/>
        <v/>
      </c>
      <c r="K15559" s="1" t="str">
        <f t="shared" si="4"/>
        <v/>
      </c>
    </row>
    <row r="15560">
      <c r="F15560" s="1" t="str">
        <f t="shared" si="1"/>
        <v/>
      </c>
      <c r="G15560" s="1" t="str">
        <f t="shared" si="2"/>
        <v/>
      </c>
      <c r="J15560" s="1" t="str">
        <f t="shared" si="3"/>
        <v/>
      </c>
      <c r="K15560" s="1" t="str">
        <f t="shared" si="4"/>
        <v/>
      </c>
    </row>
    <row r="15561">
      <c r="F15561" s="1" t="str">
        <f t="shared" si="1"/>
        <v/>
      </c>
      <c r="G15561" s="1" t="str">
        <f t="shared" si="2"/>
        <v/>
      </c>
      <c r="J15561" s="1" t="str">
        <f t="shared" si="3"/>
        <v/>
      </c>
      <c r="K15561" s="1" t="str">
        <f t="shared" si="4"/>
        <v/>
      </c>
    </row>
    <row r="15562">
      <c r="F15562" s="1" t="str">
        <f t="shared" si="1"/>
        <v/>
      </c>
      <c r="G15562" s="1" t="str">
        <f t="shared" si="2"/>
        <v/>
      </c>
      <c r="J15562" s="1" t="str">
        <f t="shared" si="3"/>
        <v/>
      </c>
      <c r="K15562" s="1" t="str">
        <f t="shared" si="4"/>
        <v/>
      </c>
    </row>
    <row r="15563">
      <c r="F15563" s="1" t="str">
        <f t="shared" si="1"/>
        <v/>
      </c>
      <c r="G15563" s="1" t="str">
        <f t="shared" si="2"/>
        <v/>
      </c>
      <c r="J15563" s="1" t="str">
        <f t="shared" si="3"/>
        <v/>
      </c>
      <c r="K15563" s="1" t="str">
        <f t="shared" si="4"/>
        <v/>
      </c>
    </row>
    <row r="15564">
      <c r="F15564" s="1" t="str">
        <f t="shared" si="1"/>
        <v/>
      </c>
      <c r="G15564" s="1" t="str">
        <f t="shared" si="2"/>
        <v/>
      </c>
      <c r="J15564" s="1" t="str">
        <f t="shared" si="3"/>
        <v/>
      </c>
      <c r="K15564" s="1" t="str">
        <f t="shared" si="4"/>
        <v/>
      </c>
    </row>
    <row r="15565">
      <c r="F15565" s="1" t="str">
        <f t="shared" si="1"/>
        <v/>
      </c>
      <c r="G15565" s="1" t="str">
        <f t="shared" si="2"/>
        <v/>
      </c>
      <c r="J15565" s="1" t="str">
        <f t="shared" si="3"/>
        <v/>
      </c>
      <c r="K15565" s="1" t="str">
        <f t="shared" si="4"/>
        <v/>
      </c>
    </row>
    <row r="15566">
      <c r="F15566" s="1" t="str">
        <f t="shared" si="1"/>
        <v/>
      </c>
      <c r="G15566" s="1" t="str">
        <f t="shared" si="2"/>
        <v/>
      </c>
      <c r="J15566" s="1" t="str">
        <f t="shared" si="3"/>
        <v/>
      </c>
      <c r="K15566" s="1" t="str">
        <f t="shared" si="4"/>
        <v/>
      </c>
    </row>
    <row r="15567">
      <c r="F15567" s="1" t="str">
        <f t="shared" si="1"/>
        <v/>
      </c>
      <c r="G15567" s="1" t="str">
        <f t="shared" si="2"/>
        <v/>
      </c>
      <c r="J15567" s="1" t="str">
        <f t="shared" si="3"/>
        <v/>
      </c>
      <c r="K15567" s="1" t="str">
        <f t="shared" si="4"/>
        <v/>
      </c>
    </row>
    <row r="15568">
      <c r="F15568" s="1" t="str">
        <f t="shared" si="1"/>
        <v/>
      </c>
      <c r="G15568" s="1" t="str">
        <f t="shared" si="2"/>
        <v/>
      </c>
      <c r="J15568" s="1" t="str">
        <f t="shared" si="3"/>
        <v/>
      </c>
      <c r="K15568" s="1" t="str">
        <f t="shared" si="4"/>
        <v/>
      </c>
    </row>
    <row r="15569">
      <c r="F15569" s="1" t="str">
        <f t="shared" si="1"/>
        <v/>
      </c>
      <c r="G15569" s="1" t="str">
        <f t="shared" si="2"/>
        <v/>
      </c>
      <c r="J15569" s="1" t="str">
        <f t="shared" si="3"/>
        <v/>
      </c>
      <c r="K15569" s="1" t="str">
        <f t="shared" si="4"/>
        <v/>
      </c>
    </row>
    <row r="15570">
      <c r="F15570" s="1" t="str">
        <f t="shared" si="1"/>
        <v/>
      </c>
      <c r="G15570" s="1" t="str">
        <f t="shared" si="2"/>
        <v/>
      </c>
      <c r="J15570" s="1" t="str">
        <f t="shared" si="3"/>
        <v/>
      </c>
      <c r="K15570" s="1" t="str">
        <f t="shared" si="4"/>
        <v/>
      </c>
    </row>
    <row r="15571">
      <c r="F15571" s="1" t="str">
        <f t="shared" si="1"/>
        <v/>
      </c>
      <c r="G15571" s="1" t="str">
        <f t="shared" si="2"/>
        <v/>
      </c>
      <c r="J15571" s="1" t="str">
        <f t="shared" si="3"/>
        <v/>
      </c>
      <c r="K15571" s="1" t="str">
        <f t="shared" si="4"/>
        <v/>
      </c>
    </row>
    <row r="15572">
      <c r="F15572" s="1" t="str">
        <f t="shared" si="1"/>
        <v/>
      </c>
      <c r="G15572" s="1" t="str">
        <f t="shared" si="2"/>
        <v/>
      </c>
      <c r="J15572" s="1" t="str">
        <f t="shared" si="3"/>
        <v/>
      </c>
      <c r="K15572" s="1" t="str">
        <f t="shared" si="4"/>
        <v/>
      </c>
    </row>
    <row r="15573">
      <c r="F15573" s="1" t="str">
        <f t="shared" si="1"/>
        <v/>
      </c>
      <c r="G15573" s="1" t="str">
        <f t="shared" si="2"/>
        <v/>
      </c>
      <c r="J15573" s="1" t="str">
        <f t="shared" si="3"/>
        <v/>
      </c>
      <c r="K15573" s="1" t="str">
        <f t="shared" si="4"/>
        <v/>
      </c>
    </row>
    <row r="15574">
      <c r="F15574" s="1" t="str">
        <f t="shared" si="1"/>
        <v/>
      </c>
      <c r="G15574" s="1" t="str">
        <f t="shared" si="2"/>
        <v/>
      </c>
      <c r="J15574" s="1" t="str">
        <f t="shared" si="3"/>
        <v/>
      </c>
      <c r="K15574" s="1" t="str">
        <f t="shared" si="4"/>
        <v/>
      </c>
    </row>
    <row r="15575">
      <c r="F15575" s="1" t="str">
        <f t="shared" si="1"/>
        <v/>
      </c>
      <c r="G15575" s="1" t="str">
        <f t="shared" si="2"/>
        <v/>
      </c>
      <c r="J15575" s="1" t="str">
        <f t="shared" si="3"/>
        <v/>
      </c>
      <c r="K15575" s="1" t="str">
        <f t="shared" si="4"/>
        <v/>
      </c>
    </row>
    <row r="15576">
      <c r="F15576" s="1" t="str">
        <f t="shared" si="1"/>
        <v/>
      </c>
      <c r="G15576" s="1" t="str">
        <f t="shared" si="2"/>
        <v/>
      </c>
      <c r="J15576" s="1" t="str">
        <f t="shared" si="3"/>
        <v/>
      </c>
      <c r="K15576" s="1" t="str">
        <f t="shared" si="4"/>
        <v/>
      </c>
    </row>
    <row r="15577">
      <c r="F15577" s="1" t="str">
        <f t="shared" si="1"/>
        <v/>
      </c>
      <c r="G15577" s="1" t="str">
        <f t="shared" si="2"/>
        <v/>
      </c>
      <c r="J15577" s="1" t="str">
        <f t="shared" si="3"/>
        <v/>
      </c>
      <c r="K15577" s="1" t="str">
        <f t="shared" si="4"/>
        <v/>
      </c>
    </row>
    <row r="15578">
      <c r="F15578" s="1" t="str">
        <f t="shared" si="1"/>
        <v/>
      </c>
      <c r="G15578" s="1" t="str">
        <f t="shared" si="2"/>
        <v/>
      </c>
      <c r="J15578" s="1" t="str">
        <f t="shared" si="3"/>
        <v/>
      </c>
      <c r="K15578" s="1" t="str">
        <f t="shared" si="4"/>
        <v/>
      </c>
    </row>
    <row r="15579">
      <c r="F15579" s="1" t="str">
        <f t="shared" si="1"/>
        <v/>
      </c>
      <c r="G15579" s="1" t="str">
        <f t="shared" si="2"/>
        <v/>
      </c>
      <c r="J15579" s="1" t="str">
        <f t="shared" si="3"/>
        <v/>
      </c>
      <c r="K15579" s="1" t="str">
        <f t="shared" si="4"/>
        <v/>
      </c>
    </row>
    <row r="15580">
      <c r="F15580" s="1" t="str">
        <f t="shared" si="1"/>
        <v/>
      </c>
      <c r="G15580" s="1" t="str">
        <f t="shared" si="2"/>
        <v/>
      </c>
      <c r="J15580" s="1" t="str">
        <f t="shared" si="3"/>
        <v/>
      </c>
      <c r="K15580" s="1" t="str">
        <f t="shared" si="4"/>
        <v/>
      </c>
    </row>
    <row r="15581">
      <c r="F15581" s="1" t="str">
        <f t="shared" si="1"/>
        <v/>
      </c>
      <c r="G15581" s="1" t="str">
        <f t="shared" si="2"/>
        <v/>
      </c>
      <c r="J15581" s="1" t="str">
        <f t="shared" si="3"/>
        <v/>
      </c>
      <c r="K15581" s="1" t="str">
        <f t="shared" si="4"/>
        <v/>
      </c>
    </row>
    <row r="15582">
      <c r="F15582" s="1" t="str">
        <f t="shared" si="1"/>
        <v/>
      </c>
      <c r="G15582" s="1" t="str">
        <f t="shared" si="2"/>
        <v/>
      </c>
      <c r="J15582" s="1" t="str">
        <f t="shared" si="3"/>
        <v/>
      </c>
      <c r="K15582" s="1" t="str">
        <f t="shared" si="4"/>
        <v/>
      </c>
    </row>
    <row r="15583">
      <c r="F15583" s="1" t="str">
        <f t="shared" si="1"/>
        <v/>
      </c>
      <c r="G15583" s="1" t="str">
        <f t="shared" si="2"/>
        <v/>
      </c>
      <c r="J15583" s="1" t="str">
        <f t="shared" si="3"/>
        <v/>
      </c>
      <c r="K15583" s="1" t="str">
        <f t="shared" si="4"/>
        <v/>
      </c>
    </row>
    <row r="15584">
      <c r="F15584" s="1" t="str">
        <f t="shared" si="1"/>
        <v/>
      </c>
      <c r="G15584" s="1" t="str">
        <f t="shared" si="2"/>
        <v/>
      </c>
      <c r="J15584" s="1" t="str">
        <f t="shared" si="3"/>
        <v/>
      </c>
      <c r="K15584" s="1" t="str">
        <f t="shared" si="4"/>
        <v/>
      </c>
    </row>
    <row r="15585">
      <c r="F15585" s="1" t="str">
        <f t="shared" si="1"/>
        <v/>
      </c>
      <c r="G15585" s="1" t="str">
        <f t="shared" si="2"/>
        <v/>
      </c>
      <c r="J15585" s="1" t="str">
        <f t="shared" si="3"/>
        <v/>
      </c>
      <c r="K15585" s="1" t="str">
        <f t="shared" si="4"/>
        <v/>
      </c>
    </row>
    <row r="15586">
      <c r="F15586" s="1" t="str">
        <f t="shared" si="1"/>
        <v/>
      </c>
      <c r="G15586" s="1" t="str">
        <f t="shared" si="2"/>
        <v/>
      </c>
      <c r="J15586" s="1" t="str">
        <f t="shared" si="3"/>
        <v/>
      </c>
      <c r="K15586" s="1" t="str">
        <f t="shared" si="4"/>
        <v/>
      </c>
    </row>
    <row r="15587">
      <c r="F15587" s="1" t="str">
        <f t="shared" si="1"/>
        <v/>
      </c>
      <c r="G15587" s="1" t="str">
        <f t="shared" si="2"/>
        <v/>
      </c>
      <c r="J15587" s="1" t="str">
        <f t="shared" si="3"/>
        <v/>
      </c>
      <c r="K15587" s="1" t="str">
        <f t="shared" si="4"/>
        <v/>
      </c>
    </row>
    <row r="15588">
      <c r="F15588" s="1" t="str">
        <f t="shared" si="1"/>
        <v/>
      </c>
      <c r="G15588" s="1" t="str">
        <f t="shared" si="2"/>
        <v/>
      </c>
      <c r="J15588" s="1" t="str">
        <f t="shared" si="3"/>
        <v/>
      </c>
      <c r="K15588" s="1" t="str">
        <f t="shared" si="4"/>
        <v/>
      </c>
    </row>
    <row r="15589">
      <c r="F15589" s="1" t="str">
        <f t="shared" si="1"/>
        <v/>
      </c>
      <c r="G15589" s="1" t="str">
        <f t="shared" si="2"/>
        <v/>
      </c>
      <c r="J15589" s="1" t="str">
        <f t="shared" si="3"/>
        <v/>
      </c>
      <c r="K15589" s="1" t="str">
        <f t="shared" si="4"/>
        <v/>
      </c>
    </row>
    <row r="15590">
      <c r="F15590" s="1" t="str">
        <f t="shared" si="1"/>
        <v/>
      </c>
      <c r="G15590" s="1" t="str">
        <f t="shared" si="2"/>
        <v/>
      </c>
      <c r="J15590" s="1" t="str">
        <f t="shared" si="3"/>
        <v/>
      </c>
      <c r="K15590" s="1" t="str">
        <f t="shared" si="4"/>
        <v/>
      </c>
    </row>
    <row r="15591">
      <c r="F15591" s="1" t="str">
        <f t="shared" si="1"/>
        <v/>
      </c>
      <c r="G15591" s="1" t="str">
        <f t="shared" si="2"/>
        <v/>
      </c>
      <c r="J15591" s="1" t="str">
        <f t="shared" si="3"/>
        <v/>
      </c>
      <c r="K15591" s="1" t="str">
        <f t="shared" si="4"/>
        <v/>
      </c>
    </row>
    <row r="15592">
      <c r="F15592" s="1" t="str">
        <f t="shared" si="1"/>
        <v/>
      </c>
      <c r="G15592" s="1" t="str">
        <f t="shared" si="2"/>
        <v/>
      </c>
      <c r="J15592" s="1" t="str">
        <f t="shared" si="3"/>
        <v/>
      </c>
      <c r="K15592" s="1" t="str">
        <f t="shared" si="4"/>
        <v/>
      </c>
    </row>
    <row r="15593">
      <c r="F15593" s="1" t="str">
        <f t="shared" si="1"/>
        <v/>
      </c>
      <c r="G15593" s="1" t="str">
        <f t="shared" si="2"/>
        <v/>
      </c>
      <c r="J15593" s="1" t="str">
        <f t="shared" si="3"/>
        <v/>
      </c>
      <c r="K15593" s="1" t="str">
        <f t="shared" si="4"/>
        <v/>
      </c>
    </row>
    <row r="15594">
      <c r="F15594" s="1" t="str">
        <f t="shared" si="1"/>
        <v/>
      </c>
      <c r="G15594" s="1" t="str">
        <f t="shared" si="2"/>
        <v/>
      </c>
      <c r="J15594" s="1" t="str">
        <f t="shared" si="3"/>
        <v/>
      </c>
      <c r="K15594" s="1" t="str">
        <f t="shared" si="4"/>
        <v/>
      </c>
    </row>
    <row r="15595">
      <c r="F15595" s="1" t="str">
        <f t="shared" si="1"/>
        <v/>
      </c>
      <c r="G15595" s="1" t="str">
        <f t="shared" si="2"/>
        <v/>
      </c>
      <c r="J15595" s="1" t="str">
        <f t="shared" si="3"/>
        <v/>
      </c>
      <c r="K15595" s="1" t="str">
        <f t="shared" si="4"/>
        <v/>
      </c>
    </row>
    <row r="15596">
      <c r="F15596" s="1" t="str">
        <f t="shared" si="1"/>
        <v/>
      </c>
      <c r="G15596" s="1" t="str">
        <f t="shared" si="2"/>
        <v/>
      </c>
      <c r="J15596" s="1" t="str">
        <f t="shared" si="3"/>
        <v/>
      </c>
      <c r="K15596" s="1" t="str">
        <f t="shared" si="4"/>
        <v/>
      </c>
    </row>
    <row r="15597">
      <c r="F15597" s="1" t="str">
        <f t="shared" si="1"/>
        <v/>
      </c>
      <c r="G15597" s="1" t="str">
        <f t="shared" si="2"/>
        <v/>
      </c>
      <c r="J15597" s="1" t="str">
        <f t="shared" si="3"/>
        <v/>
      </c>
      <c r="K15597" s="1" t="str">
        <f t="shared" si="4"/>
        <v/>
      </c>
    </row>
    <row r="15598">
      <c r="F15598" s="1" t="str">
        <f t="shared" si="1"/>
        <v/>
      </c>
      <c r="G15598" s="1" t="str">
        <f t="shared" si="2"/>
        <v/>
      </c>
      <c r="J15598" s="1" t="str">
        <f t="shared" si="3"/>
        <v/>
      </c>
      <c r="K15598" s="1" t="str">
        <f t="shared" si="4"/>
        <v/>
      </c>
    </row>
    <row r="15599">
      <c r="F15599" s="1" t="str">
        <f t="shared" si="1"/>
        <v/>
      </c>
      <c r="G15599" s="1" t="str">
        <f t="shared" si="2"/>
        <v/>
      </c>
      <c r="J15599" s="1" t="str">
        <f t="shared" si="3"/>
        <v/>
      </c>
      <c r="K15599" s="1" t="str">
        <f t="shared" si="4"/>
        <v/>
      </c>
    </row>
    <row r="15600">
      <c r="F15600" s="1" t="str">
        <f t="shared" si="1"/>
        <v/>
      </c>
      <c r="G15600" s="1" t="str">
        <f t="shared" si="2"/>
        <v/>
      </c>
      <c r="J15600" s="1" t="str">
        <f t="shared" si="3"/>
        <v/>
      </c>
      <c r="K15600" s="1" t="str">
        <f t="shared" si="4"/>
        <v/>
      </c>
    </row>
    <row r="15601">
      <c r="F15601" s="1" t="str">
        <f t="shared" si="1"/>
        <v/>
      </c>
      <c r="G15601" s="1" t="str">
        <f t="shared" si="2"/>
        <v/>
      </c>
      <c r="J15601" s="1" t="str">
        <f t="shared" si="3"/>
        <v/>
      </c>
      <c r="K15601" s="1" t="str">
        <f t="shared" si="4"/>
        <v/>
      </c>
    </row>
    <row r="15602">
      <c r="F15602" s="1" t="str">
        <f t="shared" si="1"/>
        <v/>
      </c>
      <c r="G15602" s="1" t="str">
        <f t="shared" si="2"/>
        <v/>
      </c>
      <c r="J15602" s="1" t="str">
        <f t="shared" si="3"/>
        <v/>
      </c>
      <c r="K15602" s="1" t="str">
        <f t="shared" si="4"/>
        <v/>
      </c>
    </row>
    <row r="15603">
      <c r="F15603" s="1" t="str">
        <f t="shared" si="1"/>
        <v/>
      </c>
      <c r="G15603" s="1" t="str">
        <f t="shared" si="2"/>
        <v/>
      </c>
      <c r="J15603" s="1" t="str">
        <f t="shared" si="3"/>
        <v/>
      </c>
      <c r="K15603" s="1" t="str">
        <f t="shared" si="4"/>
        <v/>
      </c>
    </row>
    <row r="15604">
      <c r="F15604" s="1" t="str">
        <f t="shared" si="1"/>
        <v/>
      </c>
      <c r="G15604" s="1" t="str">
        <f t="shared" si="2"/>
        <v/>
      </c>
      <c r="J15604" s="1" t="str">
        <f t="shared" si="3"/>
        <v/>
      </c>
      <c r="K15604" s="1" t="str">
        <f t="shared" si="4"/>
        <v/>
      </c>
    </row>
    <row r="15605">
      <c r="F15605" s="1" t="str">
        <f t="shared" si="1"/>
        <v/>
      </c>
      <c r="G15605" s="1" t="str">
        <f t="shared" si="2"/>
        <v/>
      </c>
      <c r="J15605" s="1" t="str">
        <f t="shared" si="3"/>
        <v/>
      </c>
      <c r="K15605" s="1" t="str">
        <f t="shared" si="4"/>
        <v/>
      </c>
    </row>
    <row r="15606">
      <c r="F15606" s="1" t="str">
        <f t="shared" si="1"/>
        <v/>
      </c>
      <c r="G15606" s="1" t="str">
        <f t="shared" si="2"/>
        <v/>
      </c>
      <c r="J15606" s="1" t="str">
        <f t="shared" si="3"/>
        <v/>
      </c>
      <c r="K15606" s="1" t="str">
        <f t="shared" si="4"/>
        <v/>
      </c>
    </row>
    <row r="15607">
      <c r="F15607" s="1" t="str">
        <f t="shared" si="1"/>
        <v/>
      </c>
      <c r="G15607" s="1" t="str">
        <f t="shared" si="2"/>
        <v/>
      </c>
      <c r="J15607" s="1" t="str">
        <f t="shared" si="3"/>
        <v/>
      </c>
      <c r="K15607" s="1" t="str">
        <f t="shared" si="4"/>
        <v/>
      </c>
    </row>
    <row r="15608">
      <c r="F15608" s="1" t="str">
        <f t="shared" si="1"/>
        <v/>
      </c>
      <c r="G15608" s="1" t="str">
        <f t="shared" si="2"/>
        <v/>
      </c>
      <c r="J15608" s="1" t="str">
        <f t="shared" si="3"/>
        <v/>
      </c>
      <c r="K15608" s="1" t="str">
        <f t="shared" si="4"/>
        <v/>
      </c>
    </row>
    <row r="15609">
      <c r="F15609" s="1" t="str">
        <f t="shared" si="1"/>
        <v/>
      </c>
      <c r="G15609" s="1" t="str">
        <f t="shared" si="2"/>
        <v/>
      </c>
      <c r="J15609" s="1" t="str">
        <f t="shared" si="3"/>
        <v/>
      </c>
      <c r="K15609" s="1" t="str">
        <f t="shared" si="4"/>
        <v/>
      </c>
    </row>
    <row r="15610">
      <c r="F15610" s="1" t="str">
        <f t="shared" si="1"/>
        <v/>
      </c>
      <c r="G15610" s="1" t="str">
        <f t="shared" si="2"/>
        <v/>
      </c>
      <c r="J15610" s="1" t="str">
        <f t="shared" si="3"/>
        <v/>
      </c>
      <c r="K15610" s="1" t="str">
        <f t="shared" si="4"/>
        <v/>
      </c>
    </row>
    <row r="15611">
      <c r="F15611" s="1" t="str">
        <f t="shared" si="1"/>
        <v/>
      </c>
      <c r="G15611" s="1" t="str">
        <f t="shared" si="2"/>
        <v/>
      </c>
      <c r="J15611" s="1" t="str">
        <f t="shared" si="3"/>
        <v/>
      </c>
      <c r="K15611" s="1" t="str">
        <f t="shared" si="4"/>
        <v/>
      </c>
    </row>
    <row r="15612">
      <c r="F15612" s="1" t="str">
        <f t="shared" si="1"/>
        <v/>
      </c>
      <c r="G15612" s="1" t="str">
        <f t="shared" si="2"/>
        <v/>
      </c>
      <c r="J15612" s="1" t="str">
        <f t="shared" si="3"/>
        <v/>
      </c>
      <c r="K15612" s="1" t="str">
        <f t="shared" si="4"/>
        <v/>
      </c>
    </row>
    <row r="15613">
      <c r="F15613" s="1" t="str">
        <f t="shared" si="1"/>
        <v/>
      </c>
      <c r="G15613" s="1" t="str">
        <f t="shared" si="2"/>
        <v/>
      </c>
      <c r="J15613" s="1" t="str">
        <f t="shared" si="3"/>
        <v/>
      </c>
      <c r="K15613" s="1" t="str">
        <f t="shared" si="4"/>
        <v/>
      </c>
    </row>
    <row r="15614">
      <c r="F15614" s="1" t="str">
        <f t="shared" si="1"/>
        <v/>
      </c>
      <c r="G15614" s="1" t="str">
        <f t="shared" si="2"/>
        <v/>
      </c>
      <c r="J15614" s="1" t="str">
        <f t="shared" si="3"/>
        <v/>
      </c>
      <c r="K15614" s="1" t="str">
        <f t="shared" si="4"/>
        <v/>
      </c>
    </row>
    <row r="15615">
      <c r="F15615" s="1" t="str">
        <f t="shared" si="1"/>
        <v/>
      </c>
      <c r="G15615" s="1" t="str">
        <f t="shared" si="2"/>
        <v/>
      </c>
      <c r="J15615" s="1" t="str">
        <f t="shared" si="3"/>
        <v/>
      </c>
      <c r="K15615" s="1" t="str">
        <f t="shared" si="4"/>
        <v/>
      </c>
    </row>
    <row r="15616">
      <c r="F15616" s="1" t="str">
        <f t="shared" si="1"/>
        <v/>
      </c>
      <c r="G15616" s="1" t="str">
        <f t="shared" si="2"/>
        <v/>
      </c>
      <c r="J15616" s="1" t="str">
        <f t="shared" si="3"/>
        <v/>
      </c>
      <c r="K15616" s="1" t="str">
        <f t="shared" si="4"/>
        <v/>
      </c>
    </row>
    <row r="15617">
      <c r="F15617" s="1" t="str">
        <f t="shared" si="1"/>
        <v/>
      </c>
      <c r="G15617" s="1" t="str">
        <f t="shared" si="2"/>
        <v/>
      </c>
      <c r="J15617" s="1" t="str">
        <f t="shared" si="3"/>
        <v/>
      </c>
      <c r="K15617" s="1" t="str">
        <f t="shared" si="4"/>
        <v/>
      </c>
    </row>
    <row r="15618">
      <c r="F15618" s="1" t="str">
        <f t="shared" si="1"/>
        <v/>
      </c>
      <c r="G15618" s="1" t="str">
        <f t="shared" si="2"/>
        <v/>
      </c>
      <c r="J15618" s="1" t="str">
        <f t="shared" si="3"/>
        <v/>
      </c>
      <c r="K15618" s="1" t="str">
        <f t="shared" si="4"/>
        <v/>
      </c>
    </row>
    <row r="15619">
      <c r="F15619" s="1" t="str">
        <f t="shared" si="1"/>
        <v/>
      </c>
      <c r="G15619" s="1" t="str">
        <f t="shared" si="2"/>
        <v/>
      </c>
      <c r="J15619" s="1" t="str">
        <f t="shared" si="3"/>
        <v/>
      </c>
      <c r="K15619" s="1" t="str">
        <f t="shared" si="4"/>
        <v/>
      </c>
    </row>
    <row r="15620">
      <c r="F15620" s="1" t="str">
        <f t="shared" si="1"/>
        <v/>
      </c>
      <c r="G15620" s="1" t="str">
        <f t="shared" si="2"/>
        <v/>
      </c>
      <c r="J15620" s="1" t="str">
        <f t="shared" si="3"/>
        <v/>
      </c>
      <c r="K15620" s="1" t="str">
        <f t="shared" si="4"/>
        <v/>
      </c>
    </row>
    <row r="15621">
      <c r="F15621" s="1" t="str">
        <f t="shared" si="1"/>
        <v/>
      </c>
      <c r="G15621" s="1" t="str">
        <f t="shared" si="2"/>
        <v/>
      </c>
      <c r="J15621" s="1" t="str">
        <f t="shared" si="3"/>
        <v/>
      </c>
      <c r="K15621" s="1" t="str">
        <f t="shared" si="4"/>
        <v/>
      </c>
    </row>
    <row r="15622">
      <c r="F15622" s="1" t="str">
        <f t="shared" si="1"/>
        <v/>
      </c>
      <c r="G15622" s="1" t="str">
        <f t="shared" si="2"/>
        <v/>
      </c>
      <c r="J15622" s="1" t="str">
        <f t="shared" si="3"/>
        <v/>
      </c>
      <c r="K15622" s="1" t="str">
        <f t="shared" si="4"/>
        <v/>
      </c>
    </row>
    <row r="15623">
      <c r="F15623" s="1" t="str">
        <f t="shared" si="1"/>
        <v/>
      </c>
      <c r="G15623" s="1" t="str">
        <f t="shared" si="2"/>
        <v/>
      </c>
      <c r="J15623" s="1" t="str">
        <f t="shared" si="3"/>
        <v/>
      </c>
      <c r="K15623" s="1" t="str">
        <f t="shared" si="4"/>
        <v/>
      </c>
    </row>
    <row r="15624">
      <c r="F15624" s="1" t="str">
        <f t="shared" si="1"/>
        <v/>
      </c>
      <c r="G15624" s="1" t="str">
        <f t="shared" si="2"/>
        <v/>
      </c>
      <c r="J15624" s="1" t="str">
        <f t="shared" si="3"/>
        <v/>
      </c>
      <c r="K15624" s="1" t="str">
        <f t="shared" si="4"/>
        <v/>
      </c>
    </row>
    <row r="15625">
      <c r="F15625" s="1" t="str">
        <f t="shared" si="1"/>
        <v/>
      </c>
      <c r="G15625" s="1" t="str">
        <f t="shared" si="2"/>
        <v/>
      </c>
      <c r="J15625" s="1" t="str">
        <f t="shared" si="3"/>
        <v/>
      </c>
      <c r="K15625" s="1" t="str">
        <f t="shared" si="4"/>
        <v/>
      </c>
    </row>
    <row r="15626">
      <c r="F15626" s="1" t="str">
        <f t="shared" si="1"/>
        <v/>
      </c>
      <c r="G15626" s="1" t="str">
        <f t="shared" si="2"/>
        <v/>
      </c>
      <c r="J15626" s="1" t="str">
        <f t="shared" si="3"/>
        <v/>
      </c>
      <c r="K15626" s="1" t="str">
        <f t="shared" si="4"/>
        <v/>
      </c>
    </row>
    <row r="15627">
      <c r="F15627" s="1" t="str">
        <f t="shared" si="1"/>
        <v/>
      </c>
      <c r="G15627" s="1" t="str">
        <f t="shared" si="2"/>
        <v/>
      </c>
      <c r="J15627" s="1" t="str">
        <f t="shared" si="3"/>
        <v/>
      </c>
      <c r="K15627" s="1" t="str">
        <f t="shared" si="4"/>
        <v/>
      </c>
    </row>
    <row r="15628">
      <c r="F15628" s="1" t="str">
        <f t="shared" si="1"/>
        <v/>
      </c>
      <c r="G15628" s="1" t="str">
        <f t="shared" si="2"/>
        <v/>
      </c>
      <c r="J15628" s="1" t="str">
        <f t="shared" si="3"/>
        <v/>
      </c>
      <c r="K15628" s="1" t="str">
        <f t="shared" si="4"/>
        <v/>
      </c>
    </row>
    <row r="15629">
      <c r="F15629" s="1" t="str">
        <f t="shared" si="1"/>
        <v/>
      </c>
      <c r="G15629" s="1" t="str">
        <f t="shared" si="2"/>
        <v/>
      </c>
      <c r="J15629" s="1" t="str">
        <f t="shared" si="3"/>
        <v/>
      </c>
      <c r="K15629" s="1" t="str">
        <f t="shared" si="4"/>
        <v/>
      </c>
    </row>
    <row r="15630">
      <c r="F15630" s="1" t="str">
        <f t="shared" si="1"/>
        <v/>
      </c>
      <c r="G15630" s="1" t="str">
        <f t="shared" si="2"/>
        <v/>
      </c>
      <c r="J15630" s="1" t="str">
        <f t="shared" si="3"/>
        <v/>
      </c>
      <c r="K15630" s="1" t="str">
        <f t="shared" si="4"/>
        <v/>
      </c>
    </row>
    <row r="15631">
      <c r="F15631" s="1" t="str">
        <f t="shared" si="1"/>
        <v/>
      </c>
      <c r="G15631" s="1" t="str">
        <f t="shared" si="2"/>
        <v/>
      </c>
      <c r="J15631" s="1" t="str">
        <f t="shared" si="3"/>
        <v/>
      </c>
      <c r="K15631" s="1" t="str">
        <f t="shared" si="4"/>
        <v/>
      </c>
    </row>
    <row r="15632">
      <c r="F15632" s="1" t="str">
        <f t="shared" si="1"/>
        <v/>
      </c>
      <c r="G15632" s="1" t="str">
        <f t="shared" si="2"/>
        <v/>
      </c>
      <c r="J15632" s="1" t="str">
        <f t="shared" si="3"/>
        <v/>
      </c>
      <c r="K15632" s="1" t="str">
        <f t="shared" si="4"/>
        <v/>
      </c>
    </row>
    <row r="15633">
      <c r="F15633" s="1" t="str">
        <f t="shared" si="1"/>
        <v/>
      </c>
      <c r="G15633" s="1" t="str">
        <f t="shared" si="2"/>
        <v/>
      </c>
      <c r="J15633" s="1" t="str">
        <f t="shared" si="3"/>
        <v/>
      </c>
      <c r="K15633" s="1" t="str">
        <f t="shared" si="4"/>
        <v/>
      </c>
    </row>
    <row r="15634">
      <c r="F15634" s="1" t="str">
        <f t="shared" si="1"/>
        <v/>
      </c>
      <c r="G15634" s="1" t="str">
        <f t="shared" si="2"/>
        <v/>
      </c>
      <c r="J15634" s="1" t="str">
        <f t="shared" si="3"/>
        <v/>
      </c>
      <c r="K15634" s="1" t="str">
        <f t="shared" si="4"/>
        <v/>
      </c>
    </row>
    <row r="15635">
      <c r="F15635" s="1" t="str">
        <f t="shared" si="1"/>
        <v/>
      </c>
      <c r="G15635" s="1" t="str">
        <f t="shared" si="2"/>
        <v/>
      </c>
      <c r="J15635" s="1" t="str">
        <f t="shared" si="3"/>
        <v/>
      </c>
      <c r="K15635" s="1" t="str">
        <f t="shared" si="4"/>
        <v/>
      </c>
    </row>
    <row r="15636">
      <c r="F15636" s="1" t="str">
        <f t="shared" si="1"/>
        <v/>
      </c>
      <c r="G15636" s="1" t="str">
        <f t="shared" si="2"/>
        <v/>
      </c>
      <c r="J15636" s="1" t="str">
        <f t="shared" si="3"/>
        <v/>
      </c>
      <c r="K15636" s="1" t="str">
        <f t="shared" si="4"/>
        <v/>
      </c>
    </row>
    <row r="15637">
      <c r="F15637" s="1" t="str">
        <f t="shared" si="1"/>
        <v/>
      </c>
      <c r="G15637" s="1" t="str">
        <f t="shared" si="2"/>
        <v/>
      </c>
      <c r="J15637" s="1" t="str">
        <f t="shared" si="3"/>
        <v/>
      </c>
      <c r="K15637" s="1" t="str">
        <f t="shared" si="4"/>
        <v/>
      </c>
    </row>
    <row r="15638">
      <c r="F15638" s="1" t="str">
        <f t="shared" si="1"/>
        <v/>
      </c>
      <c r="G15638" s="1" t="str">
        <f t="shared" si="2"/>
        <v/>
      </c>
      <c r="J15638" s="1" t="str">
        <f t="shared" si="3"/>
        <v/>
      </c>
      <c r="K15638" s="1" t="str">
        <f t="shared" si="4"/>
        <v/>
      </c>
    </row>
    <row r="15639">
      <c r="F15639" s="1" t="str">
        <f t="shared" si="1"/>
        <v/>
      </c>
      <c r="G15639" s="1" t="str">
        <f t="shared" si="2"/>
        <v/>
      </c>
      <c r="J15639" s="1" t="str">
        <f t="shared" si="3"/>
        <v/>
      </c>
      <c r="K15639" s="1" t="str">
        <f t="shared" si="4"/>
        <v/>
      </c>
    </row>
    <row r="15640">
      <c r="F15640" s="1" t="str">
        <f t="shared" si="1"/>
        <v/>
      </c>
      <c r="G15640" s="1" t="str">
        <f t="shared" si="2"/>
        <v/>
      </c>
      <c r="J15640" s="1" t="str">
        <f t="shared" si="3"/>
        <v/>
      </c>
      <c r="K15640" s="1" t="str">
        <f t="shared" si="4"/>
        <v/>
      </c>
    </row>
    <row r="15641">
      <c r="F15641" s="1" t="str">
        <f t="shared" si="1"/>
        <v/>
      </c>
      <c r="G15641" s="1" t="str">
        <f t="shared" si="2"/>
        <v/>
      </c>
      <c r="J15641" s="1" t="str">
        <f t="shared" si="3"/>
        <v/>
      </c>
      <c r="K15641" s="1" t="str">
        <f t="shared" si="4"/>
        <v/>
      </c>
    </row>
    <row r="15642">
      <c r="F15642" s="1" t="str">
        <f t="shared" si="1"/>
        <v/>
      </c>
      <c r="G15642" s="1" t="str">
        <f t="shared" si="2"/>
        <v/>
      </c>
      <c r="J15642" s="1" t="str">
        <f t="shared" si="3"/>
        <v/>
      </c>
      <c r="K15642" s="1" t="str">
        <f t="shared" si="4"/>
        <v/>
      </c>
    </row>
    <row r="15643">
      <c r="F15643" s="1" t="str">
        <f t="shared" si="1"/>
        <v/>
      </c>
      <c r="G15643" s="1" t="str">
        <f t="shared" si="2"/>
        <v/>
      </c>
      <c r="J15643" s="1" t="str">
        <f t="shared" si="3"/>
        <v/>
      </c>
      <c r="K15643" s="1" t="str">
        <f t="shared" si="4"/>
        <v/>
      </c>
    </row>
    <row r="15644">
      <c r="F15644" s="1" t="str">
        <f t="shared" si="1"/>
        <v/>
      </c>
      <c r="G15644" s="1" t="str">
        <f t="shared" si="2"/>
        <v/>
      </c>
      <c r="J15644" s="1" t="str">
        <f t="shared" si="3"/>
        <v/>
      </c>
      <c r="K15644" s="1" t="str">
        <f t="shared" si="4"/>
        <v/>
      </c>
    </row>
    <row r="15645">
      <c r="F15645" s="1" t="str">
        <f t="shared" si="1"/>
        <v/>
      </c>
      <c r="G15645" s="1" t="str">
        <f t="shared" si="2"/>
        <v/>
      </c>
      <c r="J15645" s="1" t="str">
        <f t="shared" si="3"/>
        <v/>
      </c>
      <c r="K15645" s="1" t="str">
        <f t="shared" si="4"/>
        <v/>
      </c>
    </row>
    <row r="15646">
      <c r="F15646" s="1" t="str">
        <f t="shared" si="1"/>
        <v/>
      </c>
      <c r="G15646" s="1" t="str">
        <f t="shared" si="2"/>
        <v/>
      </c>
      <c r="J15646" s="1" t="str">
        <f t="shared" si="3"/>
        <v/>
      </c>
      <c r="K15646" s="1" t="str">
        <f t="shared" si="4"/>
        <v/>
      </c>
    </row>
    <row r="15647">
      <c r="F15647" s="1" t="str">
        <f t="shared" si="1"/>
        <v/>
      </c>
      <c r="G15647" s="1" t="str">
        <f t="shared" si="2"/>
        <v/>
      </c>
      <c r="J15647" s="1" t="str">
        <f t="shared" si="3"/>
        <v/>
      </c>
      <c r="K15647" s="1" t="str">
        <f t="shared" si="4"/>
        <v/>
      </c>
    </row>
    <row r="15648">
      <c r="F15648" s="1" t="str">
        <f t="shared" si="1"/>
        <v/>
      </c>
      <c r="G15648" s="1" t="str">
        <f t="shared" si="2"/>
        <v/>
      </c>
      <c r="J15648" s="1" t="str">
        <f t="shared" si="3"/>
        <v/>
      </c>
      <c r="K15648" s="1" t="str">
        <f t="shared" si="4"/>
        <v/>
      </c>
    </row>
    <row r="15649">
      <c r="F15649" s="1" t="str">
        <f t="shared" si="1"/>
        <v/>
      </c>
      <c r="G15649" s="1" t="str">
        <f t="shared" si="2"/>
        <v/>
      </c>
      <c r="J15649" s="1" t="str">
        <f t="shared" si="3"/>
        <v/>
      </c>
      <c r="K15649" s="1" t="str">
        <f t="shared" si="4"/>
        <v/>
      </c>
    </row>
    <row r="15650">
      <c r="F15650" s="1" t="str">
        <f t="shared" si="1"/>
        <v/>
      </c>
      <c r="G15650" s="1" t="str">
        <f t="shared" si="2"/>
        <v/>
      </c>
      <c r="J15650" s="1" t="str">
        <f t="shared" si="3"/>
        <v/>
      </c>
      <c r="K15650" s="1" t="str">
        <f t="shared" si="4"/>
        <v/>
      </c>
    </row>
    <row r="15651">
      <c r="F15651" s="1" t="str">
        <f t="shared" si="1"/>
        <v/>
      </c>
      <c r="G15651" s="1" t="str">
        <f t="shared" si="2"/>
        <v/>
      </c>
      <c r="J15651" s="1" t="str">
        <f t="shared" si="3"/>
        <v/>
      </c>
      <c r="K15651" s="1" t="str">
        <f t="shared" si="4"/>
        <v/>
      </c>
    </row>
    <row r="15652">
      <c r="F15652" s="1" t="str">
        <f t="shared" si="1"/>
        <v/>
      </c>
      <c r="G15652" s="1" t="str">
        <f t="shared" si="2"/>
        <v/>
      </c>
      <c r="J15652" s="1" t="str">
        <f t="shared" si="3"/>
        <v/>
      </c>
      <c r="K15652" s="1" t="str">
        <f t="shared" si="4"/>
        <v/>
      </c>
    </row>
    <row r="15653">
      <c r="F15653" s="1" t="str">
        <f t="shared" si="1"/>
        <v/>
      </c>
      <c r="G15653" s="1" t="str">
        <f t="shared" si="2"/>
        <v/>
      </c>
      <c r="J15653" s="1" t="str">
        <f t="shared" si="3"/>
        <v/>
      </c>
      <c r="K15653" s="1" t="str">
        <f t="shared" si="4"/>
        <v/>
      </c>
    </row>
    <row r="15654">
      <c r="F15654" s="1" t="str">
        <f t="shared" si="1"/>
        <v/>
      </c>
      <c r="G15654" s="1" t="str">
        <f t="shared" si="2"/>
        <v/>
      </c>
      <c r="J15654" s="1" t="str">
        <f t="shared" si="3"/>
        <v/>
      </c>
      <c r="K15654" s="1" t="str">
        <f t="shared" si="4"/>
        <v/>
      </c>
    </row>
    <row r="15655">
      <c r="F15655" s="1" t="str">
        <f t="shared" si="1"/>
        <v/>
      </c>
      <c r="G15655" s="1" t="str">
        <f t="shared" si="2"/>
        <v/>
      </c>
      <c r="J15655" s="1" t="str">
        <f t="shared" si="3"/>
        <v/>
      </c>
      <c r="K15655" s="1" t="str">
        <f t="shared" si="4"/>
        <v/>
      </c>
    </row>
    <row r="15656">
      <c r="F15656" s="1" t="str">
        <f t="shared" si="1"/>
        <v/>
      </c>
      <c r="G15656" s="1" t="str">
        <f t="shared" si="2"/>
        <v/>
      </c>
      <c r="J15656" s="1" t="str">
        <f t="shared" si="3"/>
        <v/>
      </c>
      <c r="K15656" s="1" t="str">
        <f t="shared" si="4"/>
        <v/>
      </c>
    </row>
    <row r="15657">
      <c r="F15657" s="1" t="str">
        <f t="shared" si="1"/>
        <v/>
      </c>
      <c r="G15657" s="1" t="str">
        <f t="shared" si="2"/>
        <v/>
      </c>
      <c r="J15657" s="1" t="str">
        <f t="shared" si="3"/>
        <v/>
      </c>
      <c r="K15657" s="1" t="str">
        <f t="shared" si="4"/>
        <v/>
      </c>
    </row>
    <row r="15658">
      <c r="F15658" s="1" t="str">
        <f t="shared" si="1"/>
        <v/>
      </c>
      <c r="G15658" s="1" t="str">
        <f t="shared" si="2"/>
        <v/>
      </c>
      <c r="J15658" s="1" t="str">
        <f t="shared" si="3"/>
        <v/>
      </c>
      <c r="K15658" s="1" t="str">
        <f t="shared" si="4"/>
        <v/>
      </c>
    </row>
    <row r="15659">
      <c r="F15659" s="1" t="str">
        <f t="shared" si="1"/>
        <v/>
      </c>
      <c r="G15659" s="1" t="str">
        <f t="shared" si="2"/>
        <v/>
      </c>
      <c r="J15659" s="1" t="str">
        <f t="shared" si="3"/>
        <v/>
      </c>
      <c r="K15659" s="1" t="str">
        <f t="shared" si="4"/>
        <v/>
      </c>
    </row>
    <row r="15660">
      <c r="F15660" s="1" t="str">
        <f t="shared" si="1"/>
        <v/>
      </c>
      <c r="G15660" s="1" t="str">
        <f t="shared" si="2"/>
        <v/>
      </c>
      <c r="J15660" s="1" t="str">
        <f t="shared" si="3"/>
        <v/>
      </c>
      <c r="K15660" s="1" t="str">
        <f t="shared" si="4"/>
        <v/>
      </c>
    </row>
    <row r="15661">
      <c r="F15661" s="1" t="str">
        <f t="shared" si="1"/>
        <v/>
      </c>
      <c r="G15661" s="1" t="str">
        <f t="shared" si="2"/>
        <v/>
      </c>
      <c r="J15661" s="1" t="str">
        <f t="shared" si="3"/>
        <v/>
      </c>
      <c r="K15661" s="1" t="str">
        <f t="shared" si="4"/>
        <v/>
      </c>
    </row>
    <row r="15662">
      <c r="F15662" s="1" t="str">
        <f t="shared" si="1"/>
        <v/>
      </c>
      <c r="G15662" s="1" t="str">
        <f t="shared" si="2"/>
        <v/>
      </c>
      <c r="J15662" s="1" t="str">
        <f t="shared" si="3"/>
        <v/>
      </c>
      <c r="K15662" s="1" t="str">
        <f t="shared" si="4"/>
        <v/>
      </c>
    </row>
    <row r="15663">
      <c r="F15663" s="1" t="str">
        <f t="shared" si="1"/>
        <v/>
      </c>
      <c r="G15663" s="1" t="str">
        <f t="shared" si="2"/>
        <v/>
      </c>
      <c r="J15663" s="1" t="str">
        <f t="shared" si="3"/>
        <v/>
      </c>
      <c r="K15663" s="1" t="str">
        <f t="shared" si="4"/>
        <v/>
      </c>
    </row>
    <row r="15664">
      <c r="F15664" s="1" t="str">
        <f t="shared" si="1"/>
        <v/>
      </c>
      <c r="G15664" s="1" t="str">
        <f t="shared" si="2"/>
        <v/>
      </c>
      <c r="J15664" s="1" t="str">
        <f t="shared" si="3"/>
        <v/>
      </c>
      <c r="K15664" s="1" t="str">
        <f t="shared" si="4"/>
        <v/>
      </c>
    </row>
    <row r="15665">
      <c r="F15665" s="1" t="str">
        <f t="shared" si="1"/>
        <v/>
      </c>
      <c r="G15665" s="1" t="str">
        <f t="shared" si="2"/>
        <v/>
      </c>
      <c r="J15665" s="1" t="str">
        <f t="shared" si="3"/>
        <v/>
      </c>
      <c r="K15665" s="1" t="str">
        <f t="shared" si="4"/>
        <v/>
      </c>
    </row>
    <row r="15666">
      <c r="F15666" s="1" t="str">
        <f t="shared" si="1"/>
        <v/>
      </c>
      <c r="G15666" s="1" t="str">
        <f t="shared" si="2"/>
        <v/>
      </c>
      <c r="J15666" s="1" t="str">
        <f t="shared" si="3"/>
        <v/>
      </c>
      <c r="K15666" s="1" t="str">
        <f t="shared" si="4"/>
        <v/>
      </c>
    </row>
    <row r="15667">
      <c r="F15667" s="1" t="str">
        <f t="shared" si="1"/>
        <v/>
      </c>
      <c r="G15667" s="1" t="str">
        <f t="shared" si="2"/>
        <v/>
      </c>
      <c r="J15667" s="1" t="str">
        <f t="shared" si="3"/>
        <v/>
      </c>
      <c r="K15667" s="1" t="str">
        <f t="shared" si="4"/>
        <v/>
      </c>
    </row>
    <row r="15668">
      <c r="F15668" s="1" t="str">
        <f t="shared" si="1"/>
        <v/>
      </c>
      <c r="G15668" s="1" t="str">
        <f t="shared" si="2"/>
        <v/>
      </c>
      <c r="J15668" s="1" t="str">
        <f t="shared" si="3"/>
        <v/>
      </c>
      <c r="K15668" s="1" t="str">
        <f t="shared" si="4"/>
        <v/>
      </c>
    </row>
    <row r="15669">
      <c r="F15669" s="1" t="str">
        <f t="shared" si="1"/>
        <v/>
      </c>
      <c r="G15669" s="1" t="str">
        <f t="shared" si="2"/>
        <v/>
      </c>
      <c r="J15669" s="1" t="str">
        <f t="shared" si="3"/>
        <v/>
      </c>
      <c r="K15669" s="1" t="str">
        <f t="shared" si="4"/>
        <v/>
      </c>
    </row>
    <row r="15670">
      <c r="F15670" s="1" t="str">
        <f t="shared" si="1"/>
        <v/>
      </c>
      <c r="G15670" s="1" t="str">
        <f t="shared" si="2"/>
        <v/>
      </c>
      <c r="J15670" s="1" t="str">
        <f t="shared" si="3"/>
        <v/>
      </c>
      <c r="K15670" s="1" t="str">
        <f t="shared" si="4"/>
        <v/>
      </c>
    </row>
    <row r="15671">
      <c r="F15671" s="1" t="str">
        <f t="shared" si="1"/>
        <v/>
      </c>
      <c r="G15671" s="1" t="str">
        <f t="shared" si="2"/>
        <v/>
      </c>
      <c r="J15671" s="1" t="str">
        <f t="shared" si="3"/>
        <v/>
      </c>
      <c r="K15671" s="1" t="str">
        <f t="shared" si="4"/>
        <v/>
      </c>
    </row>
    <row r="15672">
      <c r="F15672" s="1" t="str">
        <f t="shared" si="1"/>
        <v/>
      </c>
      <c r="G15672" s="1" t="str">
        <f t="shared" si="2"/>
        <v/>
      </c>
      <c r="J15672" s="1" t="str">
        <f t="shared" si="3"/>
        <v/>
      </c>
      <c r="K15672" s="1" t="str">
        <f t="shared" si="4"/>
        <v/>
      </c>
    </row>
    <row r="15673">
      <c r="F15673" s="1" t="str">
        <f t="shared" si="1"/>
        <v/>
      </c>
      <c r="G15673" s="1" t="str">
        <f t="shared" si="2"/>
        <v/>
      </c>
      <c r="J15673" s="1" t="str">
        <f t="shared" si="3"/>
        <v/>
      </c>
      <c r="K15673" s="1" t="str">
        <f t="shared" si="4"/>
        <v/>
      </c>
    </row>
    <row r="15674">
      <c r="F15674" s="1" t="str">
        <f t="shared" si="1"/>
        <v/>
      </c>
      <c r="G15674" s="1" t="str">
        <f t="shared" si="2"/>
        <v/>
      </c>
      <c r="J15674" s="1" t="str">
        <f t="shared" si="3"/>
        <v/>
      </c>
      <c r="K15674" s="1" t="str">
        <f t="shared" si="4"/>
        <v/>
      </c>
    </row>
    <row r="15675">
      <c r="F15675" s="1" t="str">
        <f t="shared" si="1"/>
        <v/>
      </c>
      <c r="G15675" s="1" t="str">
        <f t="shared" si="2"/>
        <v/>
      </c>
      <c r="J15675" s="1" t="str">
        <f t="shared" si="3"/>
        <v/>
      </c>
      <c r="K15675" s="1" t="str">
        <f t="shared" si="4"/>
        <v/>
      </c>
    </row>
    <row r="15676">
      <c r="F15676" s="1" t="str">
        <f t="shared" si="1"/>
        <v/>
      </c>
      <c r="G15676" s="1" t="str">
        <f t="shared" si="2"/>
        <v/>
      </c>
      <c r="J15676" s="1" t="str">
        <f t="shared" si="3"/>
        <v/>
      </c>
      <c r="K15676" s="1" t="str">
        <f t="shared" si="4"/>
        <v/>
      </c>
    </row>
    <row r="15677">
      <c r="F15677" s="1" t="str">
        <f t="shared" si="1"/>
        <v/>
      </c>
      <c r="G15677" s="1" t="str">
        <f t="shared" si="2"/>
        <v/>
      </c>
      <c r="J15677" s="1" t="str">
        <f t="shared" si="3"/>
        <v/>
      </c>
      <c r="K15677" s="1" t="str">
        <f t="shared" si="4"/>
        <v/>
      </c>
    </row>
    <row r="15678">
      <c r="F15678" s="1" t="str">
        <f t="shared" si="1"/>
        <v/>
      </c>
      <c r="G15678" s="1" t="str">
        <f t="shared" si="2"/>
        <v/>
      </c>
      <c r="J15678" s="1" t="str">
        <f t="shared" si="3"/>
        <v/>
      </c>
      <c r="K15678" s="1" t="str">
        <f t="shared" si="4"/>
        <v/>
      </c>
    </row>
    <row r="15679">
      <c r="F15679" s="1" t="str">
        <f t="shared" si="1"/>
        <v/>
      </c>
      <c r="G15679" s="1" t="str">
        <f t="shared" si="2"/>
        <v/>
      </c>
      <c r="J15679" s="1" t="str">
        <f t="shared" si="3"/>
        <v/>
      </c>
      <c r="K15679" s="1" t="str">
        <f t="shared" si="4"/>
        <v/>
      </c>
    </row>
    <row r="15680">
      <c r="F15680" s="1" t="str">
        <f t="shared" si="1"/>
        <v/>
      </c>
      <c r="G15680" s="1" t="str">
        <f t="shared" si="2"/>
        <v/>
      </c>
      <c r="J15680" s="1" t="str">
        <f t="shared" si="3"/>
        <v/>
      </c>
      <c r="K15680" s="1" t="str">
        <f t="shared" si="4"/>
        <v/>
      </c>
    </row>
    <row r="15681">
      <c r="F15681" s="1" t="str">
        <f t="shared" si="1"/>
        <v/>
      </c>
      <c r="G15681" s="1" t="str">
        <f t="shared" si="2"/>
        <v/>
      </c>
      <c r="J15681" s="1" t="str">
        <f t="shared" si="3"/>
        <v/>
      </c>
      <c r="K15681" s="1" t="str">
        <f t="shared" si="4"/>
        <v/>
      </c>
    </row>
    <row r="15682">
      <c r="F15682" s="1" t="str">
        <f t="shared" si="1"/>
        <v/>
      </c>
      <c r="G15682" s="1" t="str">
        <f t="shared" si="2"/>
        <v/>
      </c>
      <c r="J15682" s="1" t="str">
        <f t="shared" si="3"/>
        <v/>
      </c>
      <c r="K15682" s="1" t="str">
        <f t="shared" si="4"/>
        <v/>
      </c>
    </row>
    <row r="15683">
      <c r="F15683" s="1" t="str">
        <f t="shared" si="1"/>
        <v/>
      </c>
      <c r="G15683" s="1" t="str">
        <f t="shared" si="2"/>
        <v/>
      </c>
      <c r="J15683" s="1" t="str">
        <f t="shared" si="3"/>
        <v/>
      </c>
      <c r="K15683" s="1" t="str">
        <f t="shared" si="4"/>
        <v/>
      </c>
    </row>
    <row r="15684">
      <c r="F15684" s="1" t="str">
        <f t="shared" si="1"/>
        <v/>
      </c>
      <c r="G15684" s="1" t="str">
        <f t="shared" si="2"/>
        <v/>
      </c>
      <c r="J15684" s="1" t="str">
        <f t="shared" si="3"/>
        <v/>
      </c>
      <c r="K15684" s="1" t="str">
        <f t="shared" si="4"/>
        <v/>
      </c>
    </row>
    <row r="15685">
      <c r="F15685" s="1" t="str">
        <f t="shared" si="1"/>
        <v/>
      </c>
      <c r="G15685" s="1" t="str">
        <f t="shared" si="2"/>
        <v/>
      </c>
      <c r="J15685" s="1" t="str">
        <f t="shared" si="3"/>
        <v/>
      </c>
      <c r="K15685" s="1" t="str">
        <f t="shared" si="4"/>
        <v/>
      </c>
    </row>
    <row r="15686">
      <c r="F15686" s="1" t="str">
        <f t="shared" si="1"/>
        <v/>
      </c>
      <c r="G15686" s="1" t="str">
        <f t="shared" si="2"/>
        <v/>
      </c>
      <c r="J15686" s="1" t="str">
        <f t="shared" si="3"/>
        <v/>
      </c>
      <c r="K15686" s="1" t="str">
        <f t="shared" si="4"/>
        <v/>
      </c>
    </row>
    <row r="15687">
      <c r="F15687" s="1" t="str">
        <f t="shared" si="1"/>
        <v/>
      </c>
      <c r="G15687" s="1" t="str">
        <f t="shared" si="2"/>
        <v/>
      </c>
      <c r="J15687" s="1" t="str">
        <f t="shared" si="3"/>
        <v/>
      </c>
      <c r="K15687" s="1" t="str">
        <f t="shared" si="4"/>
        <v/>
      </c>
    </row>
    <row r="15688">
      <c r="F15688" s="1" t="str">
        <f t="shared" si="1"/>
        <v/>
      </c>
      <c r="G15688" s="1" t="str">
        <f t="shared" si="2"/>
        <v/>
      </c>
      <c r="J15688" s="1" t="str">
        <f t="shared" si="3"/>
        <v/>
      </c>
      <c r="K15688" s="1" t="str">
        <f t="shared" si="4"/>
        <v/>
      </c>
    </row>
    <row r="15689">
      <c r="F15689" s="1" t="str">
        <f t="shared" si="1"/>
        <v/>
      </c>
      <c r="G15689" s="1" t="str">
        <f t="shared" si="2"/>
        <v/>
      </c>
      <c r="J15689" s="1" t="str">
        <f t="shared" si="3"/>
        <v/>
      </c>
      <c r="K15689" s="1" t="str">
        <f t="shared" si="4"/>
        <v/>
      </c>
    </row>
    <row r="15690">
      <c r="F15690" s="1" t="str">
        <f t="shared" si="1"/>
        <v/>
      </c>
      <c r="G15690" s="1" t="str">
        <f t="shared" si="2"/>
        <v/>
      </c>
      <c r="J15690" s="1" t="str">
        <f t="shared" si="3"/>
        <v/>
      </c>
      <c r="K15690" s="1" t="str">
        <f t="shared" si="4"/>
        <v/>
      </c>
    </row>
    <row r="15691">
      <c r="F15691" s="1" t="str">
        <f t="shared" si="1"/>
        <v/>
      </c>
      <c r="G15691" s="1" t="str">
        <f t="shared" si="2"/>
        <v/>
      </c>
      <c r="J15691" s="1" t="str">
        <f t="shared" si="3"/>
        <v/>
      </c>
      <c r="K15691" s="1" t="str">
        <f t="shared" si="4"/>
        <v/>
      </c>
    </row>
    <row r="15692">
      <c r="F15692" s="1" t="str">
        <f t="shared" si="1"/>
        <v/>
      </c>
      <c r="G15692" s="1" t="str">
        <f t="shared" si="2"/>
        <v/>
      </c>
      <c r="J15692" s="1" t="str">
        <f t="shared" si="3"/>
        <v/>
      </c>
      <c r="K15692" s="1" t="str">
        <f t="shared" si="4"/>
        <v/>
      </c>
    </row>
    <row r="15693">
      <c r="F15693" s="1" t="str">
        <f t="shared" si="1"/>
        <v/>
      </c>
      <c r="G15693" s="1" t="str">
        <f t="shared" si="2"/>
        <v/>
      </c>
      <c r="J15693" s="1" t="str">
        <f t="shared" si="3"/>
        <v/>
      </c>
      <c r="K15693" s="1" t="str">
        <f t="shared" si="4"/>
        <v/>
      </c>
    </row>
    <row r="15694">
      <c r="F15694" s="1" t="str">
        <f t="shared" si="1"/>
        <v/>
      </c>
      <c r="G15694" s="1" t="str">
        <f t="shared" si="2"/>
        <v/>
      </c>
      <c r="J15694" s="1" t="str">
        <f t="shared" si="3"/>
        <v/>
      </c>
      <c r="K15694" s="1" t="str">
        <f t="shared" si="4"/>
        <v/>
      </c>
    </row>
    <row r="15695">
      <c r="F15695" s="1" t="str">
        <f t="shared" si="1"/>
        <v/>
      </c>
      <c r="G15695" s="1" t="str">
        <f t="shared" si="2"/>
        <v/>
      </c>
      <c r="J15695" s="1" t="str">
        <f t="shared" si="3"/>
        <v/>
      </c>
      <c r="K15695" s="1" t="str">
        <f t="shared" si="4"/>
        <v/>
      </c>
    </row>
    <row r="15696">
      <c r="F15696" s="1" t="str">
        <f t="shared" si="1"/>
        <v/>
      </c>
      <c r="G15696" s="1" t="str">
        <f t="shared" si="2"/>
        <v/>
      </c>
      <c r="J15696" s="1" t="str">
        <f t="shared" si="3"/>
        <v/>
      </c>
      <c r="K15696" s="1" t="str">
        <f t="shared" si="4"/>
        <v/>
      </c>
    </row>
    <row r="15697">
      <c r="F15697" s="1" t="str">
        <f t="shared" si="1"/>
        <v/>
      </c>
      <c r="G15697" s="1" t="str">
        <f t="shared" si="2"/>
        <v/>
      </c>
      <c r="J15697" s="1" t="str">
        <f t="shared" si="3"/>
        <v/>
      </c>
      <c r="K15697" s="1" t="str">
        <f t="shared" si="4"/>
        <v/>
      </c>
    </row>
    <row r="15698">
      <c r="F15698" s="1" t="str">
        <f t="shared" si="1"/>
        <v/>
      </c>
      <c r="G15698" s="1" t="str">
        <f t="shared" si="2"/>
        <v/>
      </c>
      <c r="J15698" s="1" t="str">
        <f t="shared" si="3"/>
        <v/>
      </c>
      <c r="K15698" s="1" t="str">
        <f t="shared" si="4"/>
        <v/>
      </c>
    </row>
    <row r="15699">
      <c r="F15699" s="1" t="str">
        <f t="shared" si="1"/>
        <v/>
      </c>
      <c r="G15699" s="1" t="str">
        <f t="shared" si="2"/>
        <v/>
      </c>
      <c r="J15699" s="1" t="str">
        <f t="shared" si="3"/>
        <v/>
      </c>
      <c r="K15699" s="1" t="str">
        <f t="shared" si="4"/>
        <v/>
      </c>
    </row>
    <row r="15700">
      <c r="F15700" s="1" t="str">
        <f t="shared" si="1"/>
        <v/>
      </c>
      <c r="G15700" s="1" t="str">
        <f t="shared" si="2"/>
        <v/>
      </c>
      <c r="J15700" s="1" t="str">
        <f t="shared" si="3"/>
        <v/>
      </c>
      <c r="K15700" s="1" t="str">
        <f t="shared" si="4"/>
        <v/>
      </c>
    </row>
    <row r="15701">
      <c r="F15701" s="1" t="str">
        <f t="shared" si="1"/>
        <v/>
      </c>
      <c r="G15701" s="1" t="str">
        <f t="shared" si="2"/>
        <v/>
      </c>
      <c r="J15701" s="1" t="str">
        <f t="shared" si="3"/>
        <v/>
      </c>
      <c r="K15701" s="1" t="str">
        <f t="shared" si="4"/>
        <v/>
      </c>
    </row>
    <row r="15702">
      <c r="F15702" s="1" t="str">
        <f t="shared" si="1"/>
        <v/>
      </c>
      <c r="G15702" s="1" t="str">
        <f t="shared" si="2"/>
        <v/>
      </c>
      <c r="J15702" s="1" t="str">
        <f t="shared" si="3"/>
        <v/>
      </c>
      <c r="K15702" s="1" t="str">
        <f t="shared" si="4"/>
        <v/>
      </c>
    </row>
    <row r="15703">
      <c r="F15703" s="1" t="str">
        <f t="shared" si="1"/>
        <v/>
      </c>
      <c r="G15703" s="1" t="str">
        <f t="shared" si="2"/>
        <v/>
      </c>
      <c r="J15703" s="1" t="str">
        <f t="shared" si="3"/>
        <v/>
      </c>
      <c r="K15703" s="1" t="str">
        <f t="shared" si="4"/>
        <v/>
      </c>
    </row>
    <row r="15704">
      <c r="F15704" s="1" t="str">
        <f t="shared" si="1"/>
        <v/>
      </c>
      <c r="G15704" s="1" t="str">
        <f t="shared" si="2"/>
        <v/>
      </c>
      <c r="J15704" s="1" t="str">
        <f t="shared" si="3"/>
        <v/>
      </c>
      <c r="K15704" s="1" t="str">
        <f t="shared" si="4"/>
        <v/>
      </c>
    </row>
    <row r="15705">
      <c r="F15705" s="1" t="str">
        <f t="shared" si="1"/>
        <v/>
      </c>
      <c r="G15705" s="1" t="str">
        <f t="shared" si="2"/>
        <v/>
      </c>
      <c r="J15705" s="1" t="str">
        <f t="shared" si="3"/>
        <v/>
      </c>
      <c r="K15705" s="1" t="str">
        <f t="shared" si="4"/>
        <v/>
      </c>
    </row>
    <row r="15706">
      <c r="F15706" s="1" t="str">
        <f t="shared" si="1"/>
        <v/>
      </c>
      <c r="G15706" s="1" t="str">
        <f t="shared" si="2"/>
        <v/>
      </c>
      <c r="J15706" s="1" t="str">
        <f t="shared" si="3"/>
        <v/>
      </c>
      <c r="K15706" s="1" t="str">
        <f t="shared" si="4"/>
        <v/>
      </c>
    </row>
    <row r="15707">
      <c r="F15707" s="1" t="str">
        <f t="shared" si="1"/>
        <v/>
      </c>
      <c r="G15707" s="1" t="str">
        <f t="shared" si="2"/>
        <v/>
      </c>
      <c r="J15707" s="1" t="str">
        <f t="shared" si="3"/>
        <v/>
      </c>
      <c r="K15707" s="1" t="str">
        <f t="shared" si="4"/>
        <v/>
      </c>
    </row>
    <row r="15708">
      <c r="F15708" s="1" t="str">
        <f t="shared" si="1"/>
        <v/>
      </c>
      <c r="G15708" s="1" t="str">
        <f t="shared" si="2"/>
        <v/>
      </c>
      <c r="J15708" s="1" t="str">
        <f t="shared" si="3"/>
        <v/>
      </c>
      <c r="K15708" s="1" t="str">
        <f t="shared" si="4"/>
        <v/>
      </c>
    </row>
    <row r="15709">
      <c r="F15709" s="1" t="str">
        <f t="shared" si="1"/>
        <v/>
      </c>
      <c r="G15709" s="1" t="str">
        <f t="shared" si="2"/>
        <v/>
      </c>
      <c r="J15709" s="1" t="str">
        <f t="shared" si="3"/>
        <v/>
      </c>
      <c r="K15709" s="1" t="str">
        <f t="shared" si="4"/>
        <v/>
      </c>
    </row>
    <row r="15710">
      <c r="F15710" s="1" t="str">
        <f t="shared" si="1"/>
        <v/>
      </c>
      <c r="G15710" s="1" t="str">
        <f t="shared" si="2"/>
        <v/>
      </c>
      <c r="J15710" s="1" t="str">
        <f t="shared" si="3"/>
        <v/>
      </c>
      <c r="K15710" s="1" t="str">
        <f t="shared" si="4"/>
        <v/>
      </c>
    </row>
    <row r="15711">
      <c r="F15711" s="1" t="str">
        <f t="shared" si="1"/>
        <v/>
      </c>
      <c r="G15711" s="1" t="str">
        <f t="shared" si="2"/>
        <v/>
      </c>
      <c r="J15711" s="1" t="str">
        <f t="shared" si="3"/>
        <v/>
      </c>
      <c r="K15711" s="1" t="str">
        <f t="shared" si="4"/>
        <v/>
      </c>
    </row>
    <row r="15712">
      <c r="F15712" s="1" t="str">
        <f t="shared" si="1"/>
        <v/>
      </c>
      <c r="G15712" s="1" t="str">
        <f t="shared" si="2"/>
        <v/>
      </c>
      <c r="J15712" s="1" t="str">
        <f t="shared" si="3"/>
        <v/>
      </c>
      <c r="K15712" s="1" t="str">
        <f t="shared" si="4"/>
        <v/>
      </c>
    </row>
    <row r="15713">
      <c r="F15713" s="1" t="str">
        <f t="shared" si="1"/>
        <v/>
      </c>
      <c r="G15713" s="1" t="str">
        <f t="shared" si="2"/>
        <v/>
      </c>
      <c r="J15713" s="1" t="str">
        <f t="shared" si="3"/>
        <v/>
      </c>
      <c r="K15713" s="1" t="str">
        <f t="shared" si="4"/>
        <v/>
      </c>
    </row>
    <row r="15714">
      <c r="F15714" s="1" t="str">
        <f t="shared" si="1"/>
        <v/>
      </c>
      <c r="G15714" s="1" t="str">
        <f t="shared" si="2"/>
        <v/>
      </c>
      <c r="J15714" s="1" t="str">
        <f t="shared" si="3"/>
        <v/>
      </c>
      <c r="K15714" s="1" t="str">
        <f t="shared" si="4"/>
        <v/>
      </c>
    </row>
    <row r="15715">
      <c r="F15715" s="1" t="str">
        <f t="shared" si="1"/>
        <v/>
      </c>
      <c r="G15715" s="1" t="str">
        <f t="shared" si="2"/>
        <v/>
      </c>
      <c r="J15715" s="1" t="str">
        <f t="shared" si="3"/>
        <v/>
      </c>
      <c r="K15715" s="1" t="str">
        <f t="shared" si="4"/>
        <v/>
      </c>
    </row>
    <row r="15716">
      <c r="F15716" s="1" t="str">
        <f t="shared" si="1"/>
        <v/>
      </c>
      <c r="G15716" s="1" t="str">
        <f t="shared" si="2"/>
        <v/>
      </c>
      <c r="J15716" s="1" t="str">
        <f t="shared" si="3"/>
        <v/>
      </c>
      <c r="K15716" s="1" t="str">
        <f t="shared" si="4"/>
        <v/>
      </c>
    </row>
    <row r="15717">
      <c r="F15717" s="1" t="str">
        <f t="shared" si="1"/>
        <v/>
      </c>
      <c r="G15717" s="1" t="str">
        <f t="shared" si="2"/>
        <v/>
      </c>
      <c r="J15717" s="1" t="str">
        <f t="shared" si="3"/>
        <v/>
      </c>
      <c r="K15717" s="1" t="str">
        <f t="shared" si="4"/>
        <v/>
      </c>
    </row>
    <row r="15718">
      <c r="F15718" s="1" t="str">
        <f t="shared" si="1"/>
        <v/>
      </c>
      <c r="G15718" s="1" t="str">
        <f t="shared" si="2"/>
        <v/>
      </c>
      <c r="J15718" s="1" t="str">
        <f t="shared" si="3"/>
        <v/>
      </c>
      <c r="K15718" s="1" t="str">
        <f t="shared" si="4"/>
        <v/>
      </c>
    </row>
    <row r="15719">
      <c r="F15719" s="1" t="str">
        <f t="shared" si="1"/>
        <v/>
      </c>
      <c r="G15719" s="1" t="str">
        <f t="shared" si="2"/>
        <v/>
      </c>
      <c r="J15719" s="1" t="str">
        <f t="shared" si="3"/>
        <v/>
      </c>
      <c r="K15719" s="1" t="str">
        <f t="shared" si="4"/>
        <v/>
      </c>
    </row>
    <row r="15720">
      <c r="F15720" s="1" t="str">
        <f t="shared" si="1"/>
        <v/>
      </c>
      <c r="G15720" s="1" t="str">
        <f t="shared" si="2"/>
        <v/>
      </c>
      <c r="J15720" s="1" t="str">
        <f t="shared" si="3"/>
        <v/>
      </c>
      <c r="K15720" s="1" t="str">
        <f t="shared" si="4"/>
        <v/>
      </c>
    </row>
    <row r="15721">
      <c r="F15721" s="1" t="str">
        <f t="shared" si="1"/>
        <v/>
      </c>
      <c r="G15721" s="1" t="str">
        <f t="shared" si="2"/>
        <v/>
      </c>
      <c r="J15721" s="1" t="str">
        <f t="shared" si="3"/>
        <v/>
      </c>
      <c r="K15721" s="1" t="str">
        <f t="shared" si="4"/>
        <v/>
      </c>
    </row>
    <row r="15722">
      <c r="F15722" s="1" t="str">
        <f t="shared" si="1"/>
        <v/>
      </c>
      <c r="G15722" s="1" t="str">
        <f t="shared" si="2"/>
        <v/>
      </c>
      <c r="J15722" s="1" t="str">
        <f t="shared" si="3"/>
        <v/>
      </c>
      <c r="K15722" s="1" t="str">
        <f t="shared" si="4"/>
        <v/>
      </c>
    </row>
    <row r="15723">
      <c r="F15723" s="1" t="str">
        <f t="shared" si="1"/>
        <v/>
      </c>
      <c r="G15723" s="1" t="str">
        <f t="shared" si="2"/>
        <v/>
      </c>
      <c r="J15723" s="1" t="str">
        <f t="shared" si="3"/>
        <v/>
      </c>
      <c r="K15723" s="1" t="str">
        <f t="shared" si="4"/>
        <v/>
      </c>
    </row>
    <row r="15724">
      <c r="F15724" s="1" t="str">
        <f t="shared" si="1"/>
        <v/>
      </c>
      <c r="G15724" s="1" t="str">
        <f t="shared" si="2"/>
        <v/>
      </c>
      <c r="J15724" s="1" t="str">
        <f t="shared" si="3"/>
        <v/>
      </c>
      <c r="K15724" s="1" t="str">
        <f t="shared" si="4"/>
        <v/>
      </c>
    </row>
    <row r="15725">
      <c r="F15725" s="1" t="str">
        <f t="shared" si="1"/>
        <v/>
      </c>
      <c r="G15725" s="1" t="str">
        <f t="shared" si="2"/>
        <v/>
      </c>
      <c r="J15725" s="1" t="str">
        <f t="shared" si="3"/>
        <v/>
      </c>
      <c r="K15725" s="1" t="str">
        <f t="shared" si="4"/>
        <v/>
      </c>
    </row>
    <row r="15726">
      <c r="F15726" s="1" t="str">
        <f t="shared" si="1"/>
        <v/>
      </c>
      <c r="G15726" s="1" t="str">
        <f t="shared" si="2"/>
        <v/>
      </c>
      <c r="J15726" s="1" t="str">
        <f t="shared" si="3"/>
        <v/>
      </c>
      <c r="K15726" s="1" t="str">
        <f t="shared" si="4"/>
        <v/>
      </c>
    </row>
    <row r="15727">
      <c r="F15727" s="1" t="str">
        <f t="shared" si="1"/>
        <v/>
      </c>
      <c r="G15727" s="1" t="str">
        <f t="shared" si="2"/>
        <v/>
      </c>
      <c r="J15727" s="1" t="str">
        <f t="shared" si="3"/>
        <v/>
      </c>
      <c r="K15727" s="1" t="str">
        <f t="shared" si="4"/>
        <v/>
      </c>
    </row>
    <row r="15728">
      <c r="F15728" s="1" t="str">
        <f t="shared" si="1"/>
        <v/>
      </c>
      <c r="G15728" s="1" t="str">
        <f t="shared" si="2"/>
        <v/>
      </c>
      <c r="J15728" s="1" t="str">
        <f t="shared" si="3"/>
        <v/>
      </c>
      <c r="K15728" s="1" t="str">
        <f t="shared" si="4"/>
        <v/>
      </c>
    </row>
    <row r="15729">
      <c r="F15729" s="1" t="str">
        <f t="shared" si="1"/>
        <v/>
      </c>
      <c r="G15729" s="1" t="str">
        <f t="shared" si="2"/>
        <v/>
      </c>
      <c r="J15729" s="1" t="str">
        <f t="shared" si="3"/>
        <v/>
      </c>
      <c r="K15729" s="1" t="str">
        <f t="shared" si="4"/>
        <v/>
      </c>
    </row>
    <row r="15730">
      <c r="F15730" s="1" t="str">
        <f t="shared" si="1"/>
        <v/>
      </c>
      <c r="G15730" s="1" t="str">
        <f t="shared" si="2"/>
        <v/>
      </c>
      <c r="J15730" s="1" t="str">
        <f t="shared" si="3"/>
        <v/>
      </c>
      <c r="K15730" s="1" t="str">
        <f t="shared" si="4"/>
        <v/>
      </c>
    </row>
    <row r="15731">
      <c r="F15731" s="1" t="str">
        <f t="shared" si="1"/>
        <v/>
      </c>
      <c r="G15731" s="1" t="str">
        <f t="shared" si="2"/>
        <v/>
      </c>
      <c r="J15731" s="1" t="str">
        <f t="shared" si="3"/>
        <v/>
      </c>
      <c r="K15731" s="1" t="str">
        <f t="shared" si="4"/>
        <v/>
      </c>
    </row>
    <row r="15732">
      <c r="F15732" s="1" t="str">
        <f t="shared" si="1"/>
        <v/>
      </c>
      <c r="G15732" s="1" t="str">
        <f t="shared" si="2"/>
        <v/>
      </c>
      <c r="J15732" s="1" t="str">
        <f t="shared" si="3"/>
        <v/>
      </c>
      <c r="K15732" s="1" t="str">
        <f t="shared" si="4"/>
        <v/>
      </c>
    </row>
    <row r="15733">
      <c r="F15733" s="1" t="str">
        <f t="shared" si="1"/>
        <v/>
      </c>
      <c r="G15733" s="1" t="str">
        <f t="shared" si="2"/>
        <v/>
      </c>
      <c r="J15733" s="1" t="str">
        <f t="shared" si="3"/>
        <v/>
      </c>
      <c r="K15733" s="1" t="str">
        <f t="shared" si="4"/>
        <v/>
      </c>
    </row>
    <row r="15734">
      <c r="F15734" s="1" t="str">
        <f t="shared" si="1"/>
        <v/>
      </c>
      <c r="G15734" s="1" t="str">
        <f t="shared" si="2"/>
        <v/>
      </c>
      <c r="J15734" s="1" t="str">
        <f t="shared" si="3"/>
        <v/>
      </c>
      <c r="K15734" s="1" t="str">
        <f t="shared" si="4"/>
        <v/>
      </c>
    </row>
    <row r="15735">
      <c r="F15735" s="1" t="str">
        <f t="shared" si="1"/>
        <v/>
      </c>
      <c r="G15735" s="1" t="str">
        <f t="shared" si="2"/>
        <v/>
      </c>
      <c r="J15735" s="1" t="str">
        <f t="shared" si="3"/>
        <v/>
      </c>
      <c r="K15735" s="1" t="str">
        <f t="shared" si="4"/>
        <v/>
      </c>
    </row>
    <row r="15736">
      <c r="F15736" s="1" t="str">
        <f t="shared" si="1"/>
        <v/>
      </c>
      <c r="G15736" s="1" t="str">
        <f t="shared" si="2"/>
        <v/>
      </c>
      <c r="J15736" s="1" t="str">
        <f t="shared" si="3"/>
        <v/>
      </c>
      <c r="K15736" s="1" t="str">
        <f t="shared" si="4"/>
        <v/>
      </c>
    </row>
    <row r="15737">
      <c r="F15737" s="1" t="str">
        <f t="shared" si="1"/>
        <v/>
      </c>
      <c r="G15737" s="1" t="str">
        <f t="shared" si="2"/>
        <v/>
      </c>
      <c r="J15737" s="1" t="str">
        <f t="shared" si="3"/>
        <v/>
      </c>
      <c r="K15737" s="1" t="str">
        <f t="shared" si="4"/>
        <v/>
      </c>
    </row>
    <row r="15738">
      <c r="F15738" s="1" t="str">
        <f t="shared" si="1"/>
        <v/>
      </c>
      <c r="G15738" s="1" t="str">
        <f t="shared" si="2"/>
        <v/>
      </c>
      <c r="J15738" s="1" t="str">
        <f t="shared" si="3"/>
        <v/>
      </c>
      <c r="K15738" s="1" t="str">
        <f t="shared" si="4"/>
        <v/>
      </c>
    </row>
    <row r="15739">
      <c r="F15739" s="1" t="str">
        <f t="shared" si="1"/>
        <v/>
      </c>
      <c r="G15739" s="1" t="str">
        <f t="shared" si="2"/>
        <v/>
      </c>
      <c r="J15739" s="1" t="str">
        <f t="shared" si="3"/>
        <v/>
      </c>
      <c r="K15739" s="1" t="str">
        <f t="shared" si="4"/>
        <v/>
      </c>
    </row>
    <row r="15740">
      <c r="F15740" s="1" t="str">
        <f t="shared" si="1"/>
        <v/>
      </c>
      <c r="G15740" s="1" t="str">
        <f t="shared" si="2"/>
        <v/>
      </c>
      <c r="J15740" s="1" t="str">
        <f t="shared" si="3"/>
        <v/>
      </c>
      <c r="K15740" s="1" t="str">
        <f t="shared" si="4"/>
        <v/>
      </c>
    </row>
    <row r="15741">
      <c r="F15741" s="1" t="str">
        <f t="shared" si="1"/>
        <v/>
      </c>
      <c r="G15741" s="1" t="str">
        <f t="shared" si="2"/>
        <v/>
      </c>
      <c r="J15741" s="1" t="str">
        <f t="shared" si="3"/>
        <v/>
      </c>
      <c r="K15741" s="1" t="str">
        <f t="shared" si="4"/>
        <v/>
      </c>
    </row>
    <row r="15742">
      <c r="F15742" s="1" t="str">
        <f t="shared" si="1"/>
        <v/>
      </c>
      <c r="G15742" s="1" t="str">
        <f t="shared" si="2"/>
        <v/>
      </c>
      <c r="J15742" s="1" t="str">
        <f t="shared" si="3"/>
        <v/>
      </c>
      <c r="K15742" s="1" t="str">
        <f t="shared" si="4"/>
        <v/>
      </c>
    </row>
    <row r="15743">
      <c r="F15743" s="1" t="str">
        <f t="shared" si="1"/>
        <v/>
      </c>
      <c r="G15743" s="1" t="str">
        <f t="shared" si="2"/>
        <v/>
      </c>
      <c r="J15743" s="1" t="str">
        <f t="shared" si="3"/>
        <v/>
      </c>
      <c r="K15743" s="1" t="str">
        <f t="shared" si="4"/>
        <v/>
      </c>
    </row>
    <row r="15744">
      <c r="F15744" s="1" t="str">
        <f t="shared" si="1"/>
        <v/>
      </c>
      <c r="G15744" s="1" t="str">
        <f t="shared" si="2"/>
        <v/>
      </c>
      <c r="J15744" s="1" t="str">
        <f t="shared" si="3"/>
        <v/>
      </c>
      <c r="K15744" s="1" t="str">
        <f t="shared" si="4"/>
        <v/>
      </c>
    </row>
    <row r="15745">
      <c r="F15745" s="1" t="str">
        <f t="shared" si="1"/>
        <v/>
      </c>
      <c r="G15745" s="1" t="str">
        <f t="shared" si="2"/>
        <v/>
      </c>
      <c r="J15745" s="1" t="str">
        <f t="shared" si="3"/>
        <v/>
      </c>
      <c r="K15745" s="1" t="str">
        <f t="shared" si="4"/>
        <v/>
      </c>
    </row>
    <row r="15746">
      <c r="F15746" s="1" t="str">
        <f t="shared" si="1"/>
        <v/>
      </c>
      <c r="G15746" s="1" t="str">
        <f t="shared" si="2"/>
        <v/>
      </c>
      <c r="J15746" s="1" t="str">
        <f t="shared" si="3"/>
        <v/>
      </c>
      <c r="K15746" s="1" t="str">
        <f t="shared" si="4"/>
        <v/>
      </c>
    </row>
    <row r="15747">
      <c r="F15747" s="1" t="str">
        <f t="shared" si="1"/>
        <v/>
      </c>
      <c r="G15747" s="1" t="str">
        <f t="shared" si="2"/>
        <v/>
      </c>
      <c r="J15747" s="1" t="str">
        <f t="shared" si="3"/>
        <v/>
      </c>
      <c r="K15747" s="1" t="str">
        <f t="shared" si="4"/>
        <v/>
      </c>
    </row>
    <row r="15748">
      <c r="F15748" s="1" t="str">
        <f t="shared" si="1"/>
        <v/>
      </c>
      <c r="G15748" s="1" t="str">
        <f t="shared" si="2"/>
        <v/>
      </c>
      <c r="J15748" s="1" t="str">
        <f t="shared" si="3"/>
        <v/>
      </c>
      <c r="K15748" s="1" t="str">
        <f t="shared" si="4"/>
        <v/>
      </c>
    </row>
    <row r="15749">
      <c r="F15749" s="1" t="str">
        <f t="shared" si="1"/>
        <v/>
      </c>
      <c r="G15749" s="1" t="str">
        <f t="shared" si="2"/>
        <v/>
      </c>
      <c r="J15749" s="1" t="str">
        <f t="shared" si="3"/>
        <v/>
      </c>
      <c r="K15749" s="1" t="str">
        <f t="shared" si="4"/>
        <v/>
      </c>
    </row>
    <row r="15750">
      <c r="F15750" s="1" t="str">
        <f t="shared" si="1"/>
        <v/>
      </c>
      <c r="G15750" s="1" t="str">
        <f t="shared" si="2"/>
        <v/>
      </c>
      <c r="J15750" s="1" t="str">
        <f t="shared" si="3"/>
        <v/>
      </c>
      <c r="K15750" s="1" t="str">
        <f t="shared" si="4"/>
        <v/>
      </c>
    </row>
    <row r="15751">
      <c r="F15751" s="1" t="str">
        <f t="shared" si="1"/>
        <v/>
      </c>
      <c r="G15751" s="1" t="str">
        <f t="shared" si="2"/>
        <v/>
      </c>
      <c r="J15751" s="1" t="str">
        <f t="shared" si="3"/>
        <v/>
      </c>
      <c r="K15751" s="1" t="str">
        <f t="shared" si="4"/>
        <v/>
      </c>
    </row>
    <row r="15752">
      <c r="F15752" s="1" t="str">
        <f t="shared" si="1"/>
        <v/>
      </c>
      <c r="G15752" s="1" t="str">
        <f t="shared" si="2"/>
        <v/>
      </c>
      <c r="J15752" s="1" t="str">
        <f t="shared" si="3"/>
        <v/>
      </c>
      <c r="K15752" s="1" t="str">
        <f t="shared" si="4"/>
        <v/>
      </c>
    </row>
    <row r="15753">
      <c r="F15753" s="1" t="str">
        <f t="shared" si="1"/>
        <v/>
      </c>
      <c r="G15753" s="1" t="str">
        <f t="shared" si="2"/>
        <v/>
      </c>
      <c r="J15753" s="1" t="str">
        <f t="shared" si="3"/>
        <v/>
      </c>
      <c r="K15753" s="1" t="str">
        <f t="shared" si="4"/>
        <v/>
      </c>
    </row>
    <row r="15754">
      <c r="F15754" s="1" t="str">
        <f t="shared" si="1"/>
        <v/>
      </c>
      <c r="G15754" s="1" t="str">
        <f t="shared" si="2"/>
        <v/>
      </c>
      <c r="J15754" s="1" t="str">
        <f t="shared" si="3"/>
        <v/>
      </c>
      <c r="K15754" s="1" t="str">
        <f t="shared" si="4"/>
        <v/>
      </c>
    </row>
    <row r="15755">
      <c r="F15755" s="1" t="str">
        <f t="shared" si="1"/>
        <v/>
      </c>
      <c r="G15755" s="1" t="str">
        <f t="shared" si="2"/>
        <v/>
      </c>
      <c r="J15755" s="1" t="str">
        <f t="shared" si="3"/>
        <v/>
      </c>
      <c r="K15755" s="1" t="str">
        <f t="shared" si="4"/>
        <v/>
      </c>
    </row>
    <row r="15756">
      <c r="F15756" s="1" t="str">
        <f t="shared" si="1"/>
        <v/>
      </c>
      <c r="G15756" s="1" t="str">
        <f t="shared" si="2"/>
        <v/>
      </c>
      <c r="J15756" s="1" t="str">
        <f t="shared" si="3"/>
        <v/>
      </c>
      <c r="K15756" s="1" t="str">
        <f t="shared" si="4"/>
        <v/>
      </c>
    </row>
    <row r="15757">
      <c r="F15757" s="1" t="str">
        <f t="shared" si="1"/>
        <v/>
      </c>
      <c r="G15757" s="1" t="str">
        <f t="shared" si="2"/>
        <v/>
      </c>
      <c r="J15757" s="1" t="str">
        <f t="shared" si="3"/>
        <v/>
      </c>
      <c r="K15757" s="1" t="str">
        <f t="shared" si="4"/>
        <v/>
      </c>
    </row>
    <row r="15758">
      <c r="F15758" s="1" t="str">
        <f t="shared" si="1"/>
        <v/>
      </c>
      <c r="G15758" s="1" t="str">
        <f t="shared" si="2"/>
        <v/>
      </c>
      <c r="J15758" s="1" t="str">
        <f t="shared" si="3"/>
        <v/>
      </c>
      <c r="K15758" s="1" t="str">
        <f t="shared" si="4"/>
        <v/>
      </c>
    </row>
    <row r="15759">
      <c r="F15759" s="1" t="str">
        <f t="shared" si="1"/>
        <v/>
      </c>
      <c r="G15759" s="1" t="str">
        <f t="shared" si="2"/>
        <v/>
      </c>
      <c r="J15759" s="1" t="str">
        <f t="shared" si="3"/>
        <v/>
      </c>
      <c r="K15759" s="1" t="str">
        <f t="shared" si="4"/>
        <v/>
      </c>
    </row>
    <row r="15760">
      <c r="F15760" s="1" t="str">
        <f t="shared" si="1"/>
        <v/>
      </c>
      <c r="G15760" s="1" t="str">
        <f t="shared" si="2"/>
        <v/>
      </c>
      <c r="J15760" s="1" t="str">
        <f t="shared" si="3"/>
        <v/>
      </c>
      <c r="K15760" s="1" t="str">
        <f t="shared" si="4"/>
        <v/>
      </c>
    </row>
    <row r="15761">
      <c r="F15761" s="1" t="str">
        <f t="shared" si="1"/>
        <v/>
      </c>
      <c r="G15761" s="1" t="str">
        <f t="shared" si="2"/>
        <v/>
      </c>
      <c r="J15761" s="1" t="str">
        <f t="shared" si="3"/>
        <v/>
      </c>
      <c r="K15761" s="1" t="str">
        <f t="shared" si="4"/>
        <v/>
      </c>
    </row>
    <row r="15762">
      <c r="F15762" s="1" t="str">
        <f t="shared" si="1"/>
        <v/>
      </c>
      <c r="G15762" s="1" t="str">
        <f t="shared" si="2"/>
        <v/>
      </c>
      <c r="J15762" s="1" t="str">
        <f t="shared" si="3"/>
        <v/>
      </c>
      <c r="K15762" s="1" t="str">
        <f t="shared" si="4"/>
        <v/>
      </c>
    </row>
    <row r="15763">
      <c r="F15763" s="1" t="str">
        <f t="shared" si="1"/>
        <v/>
      </c>
      <c r="G15763" s="1" t="str">
        <f t="shared" si="2"/>
        <v/>
      </c>
      <c r="J15763" s="1" t="str">
        <f t="shared" si="3"/>
        <v/>
      </c>
      <c r="K15763" s="1" t="str">
        <f t="shared" si="4"/>
        <v/>
      </c>
    </row>
    <row r="15764">
      <c r="F15764" s="1" t="str">
        <f t="shared" si="1"/>
        <v/>
      </c>
      <c r="G15764" s="1" t="str">
        <f t="shared" si="2"/>
        <v/>
      </c>
      <c r="J15764" s="1" t="str">
        <f t="shared" si="3"/>
        <v/>
      </c>
      <c r="K15764" s="1" t="str">
        <f t="shared" si="4"/>
        <v/>
      </c>
    </row>
    <row r="15765">
      <c r="F15765" s="1" t="str">
        <f t="shared" si="1"/>
        <v/>
      </c>
      <c r="G15765" s="1" t="str">
        <f t="shared" si="2"/>
        <v/>
      </c>
      <c r="J15765" s="1" t="str">
        <f t="shared" si="3"/>
        <v/>
      </c>
      <c r="K15765" s="1" t="str">
        <f t="shared" si="4"/>
        <v/>
      </c>
    </row>
    <row r="15766">
      <c r="F15766" s="1" t="str">
        <f t="shared" si="1"/>
        <v/>
      </c>
      <c r="G15766" s="1" t="str">
        <f t="shared" si="2"/>
        <v/>
      </c>
      <c r="J15766" s="1" t="str">
        <f t="shared" si="3"/>
        <v/>
      </c>
      <c r="K15766" s="1" t="str">
        <f t="shared" si="4"/>
        <v/>
      </c>
    </row>
    <row r="15767">
      <c r="F15767" s="1" t="str">
        <f t="shared" si="1"/>
        <v/>
      </c>
      <c r="G15767" s="1" t="str">
        <f t="shared" si="2"/>
        <v/>
      </c>
      <c r="J15767" s="1" t="str">
        <f t="shared" si="3"/>
        <v/>
      </c>
      <c r="K15767" s="1" t="str">
        <f t="shared" si="4"/>
        <v/>
      </c>
    </row>
    <row r="15768">
      <c r="F15768" s="1" t="str">
        <f t="shared" si="1"/>
        <v/>
      </c>
      <c r="G15768" s="1" t="str">
        <f t="shared" si="2"/>
        <v/>
      </c>
      <c r="J15768" s="1" t="str">
        <f t="shared" si="3"/>
        <v/>
      </c>
      <c r="K15768" s="1" t="str">
        <f t="shared" si="4"/>
        <v/>
      </c>
    </row>
    <row r="15769">
      <c r="F15769" s="1" t="str">
        <f t="shared" si="1"/>
        <v/>
      </c>
      <c r="G15769" s="1" t="str">
        <f t="shared" si="2"/>
        <v/>
      </c>
      <c r="J15769" s="1" t="str">
        <f t="shared" si="3"/>
        <v/>
      </c>
      <c r="K15769" s="1" t="str">
        <f t="shared" si="4"/>
        <v/>
      </c>
    </row>
    <row r="15770">
      <c r="F15770" s="1" t="str">
        <f t="shared" si="1"/>
        <v/>
      </c>
      <c r="G15770" s="1" t="str">
        <f t="shared" si="2"/>
        <v/>
      </c>
      <c r="J15770" s="1" t="str">
        <f t="shared" si="3"/>
        <v/>
      </c>
      <c r="K15770" s="1" t="str">
        <f t="shared" si="4"/>
        <v/>
      </c>
    </row>
    <row r="15771">
      <c r="F15771" s="1" t="str">
        <f t="shared" si="1"/>
        <v/>
      </c>
      <c r="G15771" s="1" t="str">
        <f t="shared" si="2"/>
        <v/>
      </c>
      <c r="J15771" s="1" t="str">
        <f t="shared" si="3"/>
        <v/>
      </c>
      <c r="K15771" s="1" t="str">
        <f t="shared" si="4"/>
        <v/>
      </c>
    </row>
    <row r="15772">
      <c r="F15772" s="1" t="str">
        <f t="shared" si="1"/>
        <v/>
      </c>
      <c r="G15772" s="1" t="str">
        <f t="shared" si="2"/>
        <v/>
      </c>
      <c r="J15772" s="1" t="str">
        <f t="shared" si="3"/>
        <v/>
      </c>
      <c r="K15772" s="1" t="str">
        <f t="shared" si="4"/>
        <v/>
      </c>
    </row>
    <row r="15773">
      <c r="F15773" s="1" t="str">
        <f t="shared" si="1"/>
        <v/>
      </c>
      <c r="G15773" s="1" t="str">
        <f t="shared" si="2"/>
        <v/>
      </c>
      <c r="J15773" s="1" t="str">
        <f t="shared" si="3"/>
        <v/>
      </c>
      <c r="K15773" s="1" t="str">
        <f t="shared" si="4"/>
        <v/>
      </c>
    </row>
    <row r="15774">
      <c r="F15774" s="1" t="str">
        <f t="shared" si="1"/>
        <v/>
      </c>
      <c r="G15774" s="1" t="str">
        <f t="shared" si="2"/>
        <v/>
      </c>
      <c r="J15774" s="1" t="str">
        <f t="shared" si="3"/>
        <v/>
      </c>
      <c r="K15774" s="1" t="str">
        <f t="shared" si="4"/>
        <v/>
      </c>
    </row>
    <row r="15775">
      <c r="F15775" s="1" t="str">
        <f t="shared" si="1"/>
        <v/>
      </c>
      <c r="G15775" s="1" t="str">
        <f t="shared" si="2"/>
        <v/>
      </c>
      <c r="J15775" s="1" t="str">
        <f t="shared" si="3"/>
        <v/>
      </c>
      <c r="K15775" s="1" t="str">
        <f t="shared" si="4"/>
        <v/>
      </c>
    </row>
    <row r="15776">
      <c r="F15776" s="1" t="str">
        <f t="shared" si="1"/>
        <v/>
      </c>
      <c r="G15776" s="1" t="str">
        <f t="shared" si="2"/>
        <v/>
      </c>
      <c r="J15776" s="1" t="str">
        <f t="shared" si="3"/>
        <v/>
      </c>
      <c r="K15776" s="1" t="str">
        <f t="shared" si="4"/>
        <v/>
      </c>
    </row>
    <row r="15777">
      <c r="F15777" s="1" t="str">
        <f t="shared" si="1"/>
        <v/>
      </c>
      <c r="G15777" s="1" t="str">
        <f t="shared" si="2"/>
        <v/>
      </c>
      <c r="J15777" s="1" t="str">
        <f t="shared" si="3"/>
        <v/>
      </c>
      <c r="K15777" s="1" t="str">
        <f t="shared" si="4"/>
        <v/>
      </c>
    </row>
    <row r="15778">
      <c r="F15778" s="1" t="str">
        <f t="shared" si="1"/>
        <v/>
      </c>
      <c r="G15778" s="1" t="str">
        <f t="shared" si="2"/>
        <v/>
      </c>
      <c r="J15778" s="1" t="str">
        <f t="shared" si="3"/>
        <v/>
      </c>
      <c r="K15778" s="1" t="str">
        <f t="shared" si="4"/>
        <v/>
      </c>
    </row>
    <row r="15779">
      <c r="F15779" s="1" t="str">
        <f t="shared" si="1"/>
        <v/>
      </c>
      <c r="G15779" s="1" t="str">
        <f t="shared" si="2"/>
        <v/>
      </c>
      <c r="J15779" s="1" t="str">
        <f t="shared" si="3"/>
        <v/>
      </c>
      <c r="K15779" s="1" t="str">
        <f t="shared" si="4"/>
        <v/>
      </c>
    </row>
    <row r="15780">
      <c r="F15780" s="1" t="str">
        <f t="shared" si="1"/>
        <v/>
      </c>
      <c r="G15780" s="1" t="str">
        <f t="shared" si="2"/>
        <v/>
      </c>
      <c r="J15780" s="1" t="str">
        <f t="shared" si="3"/>
        <v/>
      </c>
      <c r="K15780" s="1" t="str">
        <f t="shared" si="4"/>
        <v/>
      </c>
    </row>
    <row r="15781">
      <c r="F15781" s="1" t="str">
        <f t="shared" si="1"/>
        <v/>
      </c>
      <c r="G15781" s="1" t="str">
        <f t="shared" si="2"/>
        <v/>
      </c>
      <c r="J15781" s="1" t="str">
        <f t="shared" si="3"/>
        <v/>
      </c>
      <c r="K15781" s="1" t="str">
        <f t="shared" si="4"/>
        <v/>
      </c>
    </row>
    <row r="15782">
      <c r="F15782" s="1" t="str">
        <f t="shared" si="1"/>
        <v/>
      </c>
      <c r="G15782" s="1" t="str">
        <f t="shared" si="2"/>
        <v/>
      </c>
      <c r="J15782" s="1" t="str">
        <f t="shared" si="3"/>
        <v/>
      </c>
      <c r="K15782" s="1" t="str">
        <f t="shared" si="4"/>
        <v/>
      </c>
    </row>
    <row r="15783">
      <c r="F15783" s="1" t="str">
        <f t="shared" si="1"/>
        <v/>
      </c>
      <c r="G15783" s="1" t="str">
        <f t="shared" si="2"/>
        <v/>
      </c>
      <c r="J15783" s="1" t="str">
        <f t="shared" si="3"/>
        <v/>
      </c>
      <c r="K15783" s="1" t="str">
        <f t="shared" si="4"/>
        <v/>
      </c>
    </row>
    <row r="15784">
      <c r="F15784" s="1" t="str">
        <f t="shared" si="1"/>
        <v/>
      </c>
      <c r="G15784" s="1" t="str">
        <f t="shared" si="2"/>
        <v/>
      </c>
      <c r="J15784" s="1" t="str">
        <f t="shared" si="3"/>
        <v/>
      </c>
      <c r="K15784" s="1" t="str">
        <f t="shared" si="4"/>
        <v/>
      </c>
    </row>
    <row r="15785">
      <c r="F15785" s="1" t="str">
        <f t="shared" si="1"/>
        <v/>
      </c>
      <c r="G15785" s="1" t="str">
        <f t="shared" si="2"/>
        <v/>
      </c>
      <c r="J15785" s="1" t="str">
        <f t="shared" si="3"/>
        <v/>
      </c>
      <c r="K15785" s="1" t="str">
        <f t="shared" si="4"/>
        <v/>
      </c>
    </row>
    <row r="15786">
      <c r="F15786" s="1" t="str">
        <f t="shared" si="1"/>
        <v/>
      </c>
      <c r="G15786" s="1" t="str">
        <f t="shared" si="2"/>
        <v/>
      </c>
      <c r="J15786" s="1" t="str">
        <f t="shared" si="3"/>
        <v/>
      </c>
      <c r="K15786" s="1" t="str">
        <f t="shared" si="4"/>
        <v/>
      </c>
    </row>
    <row r="15787">
      <c r="F15787" s="1" t="str">
        <f t="shared" si="1"/>
        <v/>
      </c>
      <c r="G15787" s="1" t="str">
        <f t="shared" si="2"/>
        <v/>
      </c>
      <c r="J15787" s="1" t="str">
        <f t="shared" si="3"/>
        <v/>
      </c>
      <c r="K15787" s="1" t="str">
        <f t="shared" si="4"/>
        <v/>
      </c>
    </row>
    <row r="15788">
      <c r="F15788" s="1" t="str">
        <f t="shared" si="1"/>
        <v/>
      </c>
      <c r="G15788" s="1" t="str">
        <f t="shared" si="2"/>
        <v/>
      </c>
      <c r="J15788" s="1" t="str">
        <f t="shared" si="3"/>
        <v/>
      </c>
      <c r="K15788" s="1" t="str">
        <f t="shared" si="4"/>
        <v/>
      </c>
    </row>
    <row r="15789">
      <c r="F15789" s="1" t="str">
        <f t="shared" si="1"/>
        <v/>
      </c>
      <c r="G15789" s="1" t="str">
        <f t="shared" si="2"/>
        <v/>
      </c>
      <c r="J15789" s="1" t="str">
        <f t="shared" si="3"/>
        <v/>
      </c>
      <c r="K15789" s="1" t="str">
        <f t="shared" si="4"/>
        <v/>
      </c>
    </row>
    <row r="15790">
      <c r="F15790" s="1" t="str">
        <f t="shared" si="1"/>
        <v/>
      </c>
      <c r="G15790" s="1" t="str">
        <f t="shared" si="2"/>
        <v/>
      </c>
      <c r="J15790" s="1" t="str">
        <f t="shared" si="3"/>
        <v/>
      </c>
      <c r="K15790" s="1" t="str">
        <f t="shared" si="4"/>
        <v/>
      </c>
    </row>
    <row r="15791">
      <c r="F15791" s="1" t="str">
        <f t="shared" si="1"/>
        <v/>
      </c>
      <c r="G15791" s="1" t="str">
        <f t="shared" si="2"/>
        <v/>
      </c>
      <c r="J15791" s="1" t="str">
        <f t="shared" si="3"/>
        <v/>
      </c>
      <c r="K15791" s="1" t="str">
        <f t="shared" si="4"/>
        <v/>
      </c>
    </row>
    <row r="15792">
      <c r="F15792" s="1" t="str">
        <f t="shared" si="1"/>
        <v/>
      </c>
      <c r="G15792" s="1" t="str">
        <f t="shared" si="2"/>
        <v/>
      </c>
      <c r="J15792" s="1" t="str">
        <f t="shared" si="3"/>
        <v/>
      </c>
      <c r="K15792" s="1" t="str">
        <f t="shared" si="4"/>
        <v/>
      </c>
    </row>
    <row r="15793">
      <c r="F15793" s="1" t="str">
        <f t="shared" si="1"/>
        <v/>
      </c>
      <c r="G15793" s="1" t="str">
        <f t="shared" si="2"/>
        <v/>
      </c>
      <c r="J15793" s="1" t="str">
        <f t="shared" si="3"/>
        <v/>
      </c>
      <c r="K15793" s="1" t="str">
        <f t="shared" si="4"/>
        <v/>
      </c>
    </row>
    <row r="15794">
      <c r="F15794" s="1" t="str">
        <f t="shared" si="1"/>
        <v/>
      </c>
      <c r="G15794" s="1" t="str">
        <f t="shared" si="2"/>
        <v/>
      </c>
      <c r="J15794" s="1" t="str">
        <f t="shared" si="3"/>
        <v/>
      </c>
      <c r="K15794" s="1" t="str">
        <f t="shared" si="4"/>
        <v/>
      </c>
    </row>
    <row r="15795">
      <c r="F15795" s="1" t="str">
        <f t="shared" si="1"/>
        <v/>
      </c>
      <c r="G15795" s="1" t="str">
        <f t="shared" si="2"/>
        <v/>
      </c>
      <c r="J15795" s="1" t="str">
        <f t="shared" si="3"/>
        <v/>
      </c>
      <c r="K15795" s="1" t="str">
        <f t="shared" si="4"/>
        <v/>
      </c>
    </row>
    <row r="15796">
      <c r="F15796" s="1" t="str">
        <f t="shared" si="1"/>
        <v/>
      </c>
      <c r="G15796" s="1" t="str">
        <f t="shared" si="2"/>
        <v/>
      </c>
      <c r="J15796" s="1" t="str">
        <f t="shared" si="3"/>
        <v/>
      </c>
      <c r="K15796" s="1" t="str">
        <f t="shared" si="4"/>
        <v/>
      </c>
    </row>
    <row r="15797">
      <c r="F15797" s="1" t="str">
        <f t="shared" si="1"/>
        <v/>
      </c>
      <c r="G15797" s="1" t="str">
        <f t="shared" si="2"/>
        <v/>
      </c>
      <c r="J15797" s="1" t="str">
        <f t="shared" si="3"/>
        <v/>
      </c>
      <c r="K15797" s="1" t="str">
        <f t="shared" si="4"/>
        <v/>
      </c>
    </row>
    <row r="15798">
      <c r="F15798" s="1" t="str">
        <f t="shared" si="1"/>
        <v/>
      </c>
      <c r="G15798" s="1" t="str">
        <f t="shared" si="2"/>
        <v/>
      </c>
      <c r="J15798" s="1" t="str">
        <f t="shared" si="3"/>
        <v/>
      </c>
      <c r="K15798" s="1" t="str">
        <f t="shared" si="4"/>
        <v/>
      </c>
    </row>
    <row r="15799">
      <c r="F15799" s="1" t="str">
        <f t="shared" si="1"/>
        <v/>
      </c>
      <c r="G15799" s="1" t="str">
        <f t="shared" si="2"/>
        <v/>
      </c>
      <c r="J15799" s="1" t="str">
        <f t="shared" si="3"/>
        <v/>
      </c>
      <c r="K15799" s="1" t="str">
        <f t="shared" si="4"/>
        <v/>
      </c>
    </row>
    <row r="15800">
      <c r="F15800" s="1" t="str">
        <f t="shared" si="1"/>
        <v/>
      </c>
      <c r="G15800" s="1" t="str">
        <f t="shared" si="2"/>
        <v/>
      </c>
      <c r="J15800" s="1" t="str">
        <f t="shared" si="3"/>
        <v/>
      </c>
      <c r="K15800" s="1" t="str">
        <f t="shared" si="4"/>
        <v/>
      </c>
    </row>
    <row r="15801">
      <c r="F15801" s="1" t="str">
        <f t="shared" si="1"/>
        <v/>
      </c>
      <c r="G15801" s="1" t="str">
        <f t="shared" si="2"/>
        <v/>
      </c>
      <c r="J15801" s="1" t="str">
        <f t="shared" si="3"/>
        <v/>
      </c>
      <c r="K15801" s="1" t="str">
        <f t="shared" si="4"/>
        <v/>
      </c>
    </row>
    <row r="15802">
      <c r="F15802" s="1" t="str">
        <f t="shared" si="1"/>
        <v/>
      </c>
      <c r="G15802" s="1" t="str">
        <f t="shared" si="2"/>
        <v/>
      </c>
      <c r="J15802" s="1" t="str">
        <f t="shared" si="3"/>
        <v/>
      </c>
      <c r="K15802" s="1" t="str">
        <f t="shared" si="4"/>
        <v/>
      </c>
    </row>
    <row r="15803">
      <c r="F15803" s="1" t="str">
        <f t="shared" si="1"/>
        <v/>
      </c>
      <c r="G15803" s="1" t="str">
        <f t="shared" si="2"/>
        <v/>
      </c>
      <c r="J15803" s="1" t="str">
        <f t="shared" si="3"/>
        <v/>
      </c>
      <c r="K15803" s="1" t="str">
        <f t="shared" si="4"/>
        <v/>
      </c>
    </row>
    <row r="15804">
      <c r="F15804" s="1" t="str">
        <f t="shared" si="1"/>
        <v/>
      </c>
      <c r="G15804" s="1" t="str">
        <f t="shared" si="2"/>
        <v/>
      </c>
      <c r="J15804" s="1" t="str">
        <f t="shared" si="3"/>
        <v/>
      </c>
      <c r="K15804" s="1" t="str">
        <f t="shared" si="4"/>
        <v/>
      </c>
    </row>
    <row r="15805">
      <c r="F15805" s="1" t="str">
        <f t="shared" si="1"/>
        <v/>
      </c>
      <c r="G15805" s="1" t="str">
        <f t="shared" si="2"/>
        <v/>
      </c>
      <c r="J15805" s="1" t="str">
        <f t="shared" si="3"/>
        <v/>
      </c>
      <c r="K15805" s="1" t="str">
        <f t="shared" si="4"/>
        <v/>
      </c>
    </row>
    <row r="15806">
      <c r="F15806" s="1" t="str">
        <f t="shared" si="1"/>
        <v/>
      </c>
      <c r="G15806" s="1" t="str">
        <f t="shared" si="2"/>
        <v/>
      </c>
      <c r="J15806" s="1" t="str">
        <f t="shared" si="3"/>
        <v/>
      </c>
      <c r="K15806" s="1" t="str">
        <f t="shared" si="4"/>
        <v/>
      </c>
    </row>
    <row r="15807">
      <c r="F15807" s="1" t="str">
        <f t="shared" si="1"/>
        <v/>
      </c>
      <c r="G15807" s="1" t="str">
        <f t="shared" si="2"/>
        <v/>
      </c>
      <c r="J15807" s="1" t="str">
        <f t="shared" si="3"/>
        <v/>
      </c>
      <c r="K15807" s="1" t="str">
        <f t="shared" si="4"/>
        <v/>
      </c>
    </row>
    <row r="15808">
      <c r="F15808" s="1" t="str">
        <f t="shared" si="1"/>
        <v/>
      </c>
      <c r="G15808" s="1" t="str">
        <f t="shared" si="2"/>
        <v/>
      </c>
      <c r="J15808" s="1" t="str">
        <f t="shared" si="3"/>
        <v/>
      </c>
      <c r="K15808" s="1" t="str">
        <f t="shared" si="4"/>
        <v/>
      </c>
    </row>
    <row r="15809">
      <c r="F15809" s="1" t="str">
        <f t="shared" si="1"/>
        <v/>
      </c>
      <c r="G15809" s="1" t="str">
        <f t="shared" si="2"/>
        <v/>
      </c>
      <c r="J15809" s="1" t="str">
        <f t="shared" si="3"/>
        <v/>
      </c>
      <c r="K15809" s="1" t="str">
        <f t="shared" si="4"/>
        <v/>
      </c>
    </row>
    <row r="15810">
      <c r="F15810" s="1" t="str">
        <f t="shared" si="1"/>
        <v/>
      </c>
      <c r="G15810" s="1" t="str">
        <f t="shared" si="2"/>
        <v/>
      </c>
      <c r="J15810" s="1" t="str">
        <f t="shared" si="3"/>
        <v/>
      </c>
      <c r="K15810" s="1" t="str">
        <f t="shared" si="4"/>
        <v/>
      </c>
    </row>
    <row r="15811">
      <c r="F15811" s="1" t="str">
        <f t="shared" si="1"/>
        <v/>
      </c>
      <c r="G15811" s="1" t="str">
        <f t="shared" si="2"/>
        <v/>
      </c>
      <c r="J15811" s="1" t="str">
        <f t="shared" si="3"/>
        <v/>
      </c>
      <c r="K15811" s="1" t="str">
        <f t="shared" si="4"/>
        <v/>
      </c>
    </row>
    <row r="15812">
      <c r="F15812" s="1" t="str">
        <f t="shared" si="1"/>
        <v/>
      </c>
      <c r="G15812" s="1" t="str">
        <f t="shared" si="2"/>
        <v/>
      </c>
      <c r="J15812" s="1" t="str">
        <f t="shared" si="3"/>
        <v/>
      </c>
      <c r="K15812" s="1" t="str">
        <f t="shared" si="4"/>
        <v/>
      </c>
    </row>
    <row r="15813">
      <c r="F15813" s="1" t="str">
        <f t="shared" si="1"/>
        <v/>
      </c>
      <c r="G15813" s="1" t="str">
        <f t="shared" si="2"/>
        <v/>
      </c>
      <c r="J15813" s="1" t="str">
        <f t="shared" si="3"/>
        <v/>
      </c>
      <c r="K15813" s="1" t="str">
        <f t="shared" si="4"/>
        <v/>
      </c>
    </row>
    <row r="15814">
      <c r="F15814" s="1" t="str">
        <f t="shared" si="1"/>
        <v/>
      </c>
      <c r="G15814" s="1" t="str">
        <f t="shared" si="2"/>
        <v/>
      </c>
      <c r="J15814" s="1" t="str">
        <f t="shared" si="3"/>
        <v/>
      </c>
      <c r="K15814" s="1" t="str">
        <f t="shared" si="4"/>
        <v/>
      </c>
    </row>
    <row r="15815">
      <c r="F15815" s="1" t="str">
        <f t="shared" si="1"/>
        <v/>
      </c>
      <c r="G15815" s="1" t="str">
        <f t="shared" si="2"/>
        <v/>
      </c>
      <c r="J15815" s="1" t="str">
        <f t="shared" si="3"/>
        <v/>
      </c>
      <c r="K15815" s="1" t="str">
        <f t="shared" si="4"/>
        <v/>
      </c>
    </row>
    <row r="15816">
      <c r="F15816" s="1" t="str">
        <f t="shared" si="1"/>
        <v/>
      </c>
      <c r="G15816" s="1" t="str">
        <f t="shared" si="2"/>
        <v/>
      </c>
      <c r="J15816" s="1" t="str">
        <f t="shared" si="3"/>
        <v/>
      </c>
      <c r="K15816" s="1" t="str">
        <f t="shared" si="4"/>
        <v/>
      </c>
    </row>
    <row r="15817">
      <c r="F15817" s="1" t="str">
        <f t="shared" si="1"/>
        <v/>
      </c>
      <c r="G15817" s="1" t="str">
        <f t="shared" si="2"/>
        <v/>
      </c>
      <c r="J15817" s="1" t="str">
        <f t="shared" si="3"/>
        <v/>
      </c>
      <c r="K15817" s="1" t="str">
        <f t="shared" si="4"/>
        <v/>
      </c>
    </row>
    <row r="15818">
      <c r="F15818" s="1" t="str">
        <f t="shared" si="1"/>
        <v/>
      </c>
      <c r="G15818" s="1" t="str">
        <f t="shared" si="2"/>
        <v/>
      </c>
      <c r="J15818" s="1" t="str">
        <f t="shared" si="3"/>
        <v/>
      </c>
      <c r="K15818" s="1" t="str">
        <f t="shared" si="4"/>
        <v/>
      </c>
    </row>
    <row r="15819">
      <c r="F15819" s="1" t="str">
        <f t="shared" si="1"/>
        <v/>
      </c>
      <c r="G15819" s="1" t="str">
        <f t="shared" si="2"/>
        <v/>
      </c>
      <c r="J15819" s="1" t="str">
        <f t="shared" si="3"/>
        <v/>
      </c>
      <c r="K15819" s="1" t="str">
        <f t="shared" si="4"/>
        <v/>
      </c>
    </row>
    <row r="15820">
      <c r="F15820" s="1" t="str">
        <f t="shared" si="1"/>
        <v/>
      </c>
      <c r="G15820" s="1" t="str">
        <f t="shared" si="2"/>
        <v/>
      </c>
      <c r="J15820" s="1" t="str">
        <f t="shared" si="3"/>
        <v/>
      </c>
      <c r="K15820" s="1" t="str">
        <f t="shared" si="4"/>
        <v/>
      </c>
    </row>
    <row r="15821">
      <c r="F15821" s="1" t="str">
        <f t="shared" si="1"/>
        <v/>
      </c>
      <c r="G15821" s="1" t="str">
        <f t="shared" si="2"/>
        <v/>
      </c>
      <c r="J15821" s="1" t="str">
        <f t="shared" si="3"/>
        <v/>
      </c>
      <c r="K15821" s="1" t="str">
        <f t="shared" si="4"/>
        <v/>
      </c>
    </row>
    <row r="15822">
      <c r="F15822" s="1" t="str">
        <f t="shared" si="1"/>
        <v/>
      </c>
      <c r="G15822" s="1" t="str">
        <f t="shared" si="2"/>
        <v/>
      </c>
      <c r="J15822" s="1" t="str">
        <f t="shared" si="3"/>
        <v/>
      </c>
      <c r="K15822" s="1" t="str">
        <f t="shared" si="4"/>
        <v/>
      </c>
    </row>
    <row r="15823">
      <c r="F15823" s="1" t="str">
        <f t="shared" si="1"/>
        <v/>
      </c>
      <c r="G15823" s="1" t="str">
        <f t="shared" si="2"/>
        <v/>
      </c>
      <c r="J15823" s="1" t="str">
        <f t="shared" si="3"/>
        <v/>
      </c>
      <c r="K15823" s="1" t="str">
        <f t="shared" si="4"/>
        <v/>
      </c>
    </row>
    <row r="15824">
      <c r="F15824" s="1" t="str">
        <f t="shared" si="1"/>
        <v/>
      </c>
      <c r="G15824" s="1" t="str">
        <f t="shared" si="2"/>
        <v/>
      </c>
      <c r="J15824" s="1" t="str">
        <f t="shared" si="3"/>
        <v/>
      </c>
      <c r="K15824" s="1" t="str">
        <f t="shared" si="4"/>
        <v/>
      </c>
    </row>
    <row r="15825">
      <c r="F15825" s="1" t="str">
        <f t="shared" si="1"/>
        <v/>
      </c>
      <c r="G15825" s="1" t="str">
        <f t="shared" si="2"/>
        <v/>
      </c>
      <c r="J15825" s="1" t="str">
        <f t="shared" si="3"/>
        <v/>
      </c>
      <c r="K15825" s="1" t="str">
        <f t="shared" si="4"/>
        <v/>
      </c>
    </row>
    <row r="15826">
      <c r="F15826" s="1" t="str">
        <f t="shared" si="1"/>
        <v/>
      </c>
      <c r="G15826" s="1" t="str">
        <f t="shared" si="2"/>
        <v/>
      </c>
      <c r="J15826" s="1" t="str">
        <f t="shared" si="3"/>
        <v/>
      </c>
      <c r="K15826" s="1" t="str">
        <f t="shared" si="4"/>
        <v/>
      </c>
    </row>
    <row r="15827">
      <c r="F15827" s="1" t="str">
        <f t="shared" si="1"/>
        <v/>
      </c>
      <c r="G15827" s="1" t="str">
        <f t="shared" si="2"/>
        <v/>
      </c>
      <c r="J15827" s="1" t="str">
        <f t="shared" si="3"/>
        <v/>
      </c>
      <c r="K15827" s="1" t="str">
        <f t="shared" si="4"/>
        <v/>
      </c>
    </row>
    <row r="15828">
      <c r="F15828" s="1" t="str">
        <f t="shared" si="1"/>
        <v/>
      </c>
      <c r="G15828" s="1" t="str">
        <f t="shared" si="2"/>
        <v/>
      </c>
      <c r="J15828" s="1" t="str">
        <f t="shared" si="3"/>
        <v/>
      </c>
      <c r="K15828" s="1" t="str">
        <f t="shared" si="4"/>
        <v/>
      </c>
    </row>
    <row r="15829">
      <c r="F15829" s="1" t="str">
        <f t="shared" si="1"/>
        <v/>
      </c>
      <c r="G15829" s="1" t="str">
        <f t="shared" si="2"/>
        <v/>
      </c>
      <c r="J15829" s="1" t="str">
        <f t="shared" si="3"/>
        <v/>
      </c>
      <c r="K15829" s="1" t="str">
        <f t="shared" si="4"/>
        <v/>
      </c>
    </row>
    <row r="15830">
      <c r="F15830" s="1" t="str">
        <f t="shared" si="1"/>
        <v/>
      </c>
      <c r="G15830" s="1" t="str">
        <f t="shared" si="2"/>
        <v/>
      </c>
      <c r="J15830" s="1" t="str">
        <f t="shared" si="3"/>
        <v/>
      </c>
      <c r="K15830" s="1" t="str">
        <f t="shared" si="4"/>
        <v/>
      </c>
    </row>
    <row r="15831">
      <c r="F15831" s="1" t="str">
        <f t="shared" si="1"/>
        <v/>
      </c>
      <c r="G15831" s="1" t="str">
        <f t="shared" si="2"/>
        <v/>
      </c>
      <c r="J15831" s="1" t="str">
        <f t="shared" si="3"/>
        <v/>
      </c>
      <c r="K15831" s="1" t="str">
        <f t="shared" si="4"/>
        <v/>
      </c>
    </row>
    <row r="15832">
      <c r="F15832" s="1" t="str">
        <f t="shared" si="1"/>
        <v/>
      </c>
      <c r="G15832" s="1" t="str">
        <f t="shared" si="2"/>
        <v/>
      </c>
      <c r="J15832" s="1" t="str">
        <f t="shared" si="3"/>
        <v/>
      </c>
      <c r="K15832" s="1" t="str">
        <f t="shared" si="4"/>
        <v/>
      </c>
    </row>
    <row r="15833">
      <c r="F15833" s="1" t="str">
        <f t="shared" si="1"/>
        <v/>
      </c>
      <c r="G15833" s="1" t="str">
        <f t="shared" si="2"/>
        <v/>
      </c>
      <c r="J15833" s="1" t="str">
        <f t="shared" si="3"/>
        <v/>
      </c>
      <c r="K15833" s="1" t="str">
        <f t="shared" si="4"/>
        <v/>
      </c>
    </row>
    <row r="15834">
      <c r="F15834" s="1" t="str">
        <f t="shared" si="1"/>
        <v/>
      </c>
      <c r="G15834" s="1" t="str">
        <f t="shared" si="2"/>
        <v/>
      </c>
      <c r="J15834" s="1" t="str">
        <f t="shared" si="3"/>
        <v/>
      </c>
      <c r="K15834" s="1" t="str">
        <f t="shared" si="4"/>
        <v/>
      </c>
    </row>
    <row r="15835">
      <c r="F15835" s="1" t="str">
        <f t="shared" si="1"/>
        <v/>
      </c>
      <c r="G15835" s="1" t="str">
        <f t="shared" si="2"/>
        <v/>
      </c>
      <c r="J15835" s="1" t="str">
        <f t="shared" si="3"/>
        <v/>
      </c>
      <c r="K15835" s="1" t="str">
        <f t="shared" si="4"/>
        <v/>
      </c>
    </row>
    <row r="15836">
      <c r="F15836" s="1" t="str">
        <f t="shared" si="1"/>
        <v/>
      </c>
      <c r="G15836" s="1" t="str">
        <f t="shared" si="2"/>
        <v/>
      </c>
      <c r="J15836" s="1" t="str">
        <f t="shared" si="3"/>
        <v/>
      </c>
      <c r="K15836" s="1" t="str">
        <f t="shared" si="4"/>
        <v/>
      </c>
    </row>
    <row r="15837">
      <c r="F15837" s="1" t="str">
        <f t="shared" si="1"/>
        <v/>
      </c>
      <c r="G15837" s="1" t="str">
        <f t="shared" si="2"/>
        <v/>
      </c>
      <c r="J15837" s="1" t="str">
        <f t="shared" si="3"/>
        <v/>
      </c>
      <c r="K15837" s="1" t="str">
        <f t="shared" si="4"/>
        <v/>
      </c>
    </row>
    <row r="15838">
      <c r="F15838" s="1" t="str">
        <f t="shared" si="1"/>
        <v/>
      </c>
      <c r="G15838" s="1" t="str">
        <f t="shared" si="2"/>
        <v/>
      </c>
      <c r="J15838" s="1" t="str">
        <f t="shared" si="3"/>
        <v/>
      </c>
      <c r="K15838" s="1" t="str">
        <f t="shared" si="4"/>
        <v/>
      </c>
    </row>
    <row r="15839">
      <c r="F15839" s="1" t="str">
        <f t="shared" si="1"/>
        <v/>
      </c>
      <c r="G15839" s="1" t="str">
        <f t="shared" si="2"/>
        <v/>
      </c>
      <c r="J15839" s="1" t="str">
        <f t="shared" si="3"/>
        <v/>
      </c>
      <c r="K15839" s="1" t="str">
        <f t="shared" si="4"/>
        <v/>
      </c>
    </row>
    <row r="15840">
      <c r="F15840" s="1" t="str">
        <f t="shared" si="1"/>
        <v/>
      </c>
      <c r="G15840" s="1" t="str">
        <f t="shared" si="2"/>
        <v/>
      </c>
      <c r="J15840" s="1" t="str">
        <f t="shared" si="3"/>
        <v/>
      </c>
      <c r="K15840" s="1" t="str">
        <f t="shared" si="4"/>
        <v/>
      </c>
    </row>
    <row r="15841">
      <c r="F15841" s="1" t="str">
        <f t="shared" si="1"/>
        <v/>
      </c>
      <c r="G15841" s="1" t="str">
        <f t="shared" si="2"/>
        <v/>
      </c>
      <c r="J15841" s="1" t="str">
        <f t="shared" si="3"/>
        <v/>
      </c>
      <c r="K15841" s="1" t="str">
        <f t="shared" si="4"/>
        <v/>
      </c>
    </row>
    <row r="15842">
      <c r="F15842" s="1" t="str">
        <f t="shared" si="1"/>
        <v/>
      </c>
      <c r="G15842" s="1" t="str">
        <f t="shared" si="2"/>
        <v/>
      </c>
      <c r="J15842" s="1" t="str">
        <f t="shared" si="3"/>
        <v/>
      </c>
      <c r="K15842" s="1" t="str">
        <f t="shared" si="4"/>
        <v/>
      </c>
    </row>
    <row r="15843">
      <c r="F15843" s="1" t="str">
        <f t="shared" si="1"/>
        <v/>
      </c>
      <c r="G15843" s="1" t="str">
        <f t="shared" si="2"/>
        <v/>
      </c>
      <c r="J15843" s="1" t="str">
        <f t="shared" si="3"/>
        <v/>
      </c>
      <c r="K15843" s="1" t="str">
        <f t="shared" si="4"/>
        <v/>
      </c>
    </row>
    <row r="15844">
      <c r="F15844" s="1" t="str">
        <f t="shared" si="1"/>
        <v/>
      </c>
      <c r="G15844" s="1" t="str">
        <f t="shared" si="2"/>
        <v/>
      </c>
      <c r="J15844" s="1" t="str">
        <f t="shared" si="3"/>
        <v/>
      </c>
      <c r="K15844" s="1" t="str">
        <f t="shared" si="4"/>
        <v/>
      </c>
    </row>
    <row r="15845">
      <c r="F15845" s="1" t="str">
        <f t="shared" si="1"/>
        <v/>
      </c>
      <c r="G15845" s="1" t="str">
        <f t="shared" si="2"/>
        <v/>
      </c>
      <c r="J15845" s="1" t="str">
        <f t="shared" si="3"/>
        <v/>
      </c>
      <c r="K15845" s="1" t="str">
        <f t="shared" si="4"/>
        <v/>
      </c>
    </row>
    <row r="15846">
      <c r="F15846" s="1" t="str">
        <f t="shared" si="1"/>
        <v/>
      </c>
      <c r="G15846" s="1" t="str">
        <f t="shared" si="2"/>
        <v/>
      </c>
      <c r="J15846" s="1" t="str">
        <f t="shared" si="3"/>
        <v/>
      </c>
      <c r="K15846" s="1" t="str">
        <f t="shared" si="4"/>
        <v/>
      </c>
    </row>
    <row r="15847">
      <c r="F15847" s="1" t="str">
        <f t="shared" si="1"/>
        <v/>
      </c>
      <c r="G15847" s="1" t="str">
        <f t="shared" si="2"/>
        <v/>
      </c>
      <c r="J15847" s="1" t="str">
        <f t="shared" si="3"/>
        <v/>
      </c>
      <c r="K15847" s="1" t="str">
        <f t="shared" si="4"/>
        <v/>
      </c>
    </row>
    <row r="15848">
      <c r="F15848" s="1" t="str">
        <f t="shared" si="1"/>
        <v/>
      </c>
      <c r="G15848" s="1" t="str">
        <f t="shared" si="2"/>
        <v/>
      </c>
      <c r="J15848" s="1" t="str">
        <f t="shared" si="3"/>
        <v/>
      </c>
      <c r="K15848" s="1" t="str">
        <f t="shared" si="4"/>
        <v/>
      </c>
    </row>
    <row r="15849">
      <c r="F15849" s="1" t="str">
        <f t="shared" si="1"/>
        <v/>
      </c>
      <c r="G15849" s="1" t="str">
        <f t="shared" si="2"/>
        <v/>
      </c>
      <c r="J15849" s="1" t="str">
        <f t="shared" si="3"/>
        <v/>
      </c>
      <c r="K15849" s="1" t="str">
        <f t="shared" si="4"/>
        <v/>
      </c>
    </row>
    <row r="15850">
      <c r="F15850" s="1" t="str">
        <f t="shared" si="1"/>
        <v/>
      </c>
      <c r="G15850" s="1" t="str">
        <f t="shared" si="2"/>
        <v/>
      </c>
      <c r="J15850" s="1" t="str">
        <f t="shared" si="3"/>
        <v/>
      </c>
      <c r="K15850" s="1" t="str">
        <f t="shared" si="4"/>
        <v/>
      </c>
    </row>
    <row r="15851">
      <c r="F15851" s="1" t="str">
        <f t="shared" si="1"/>
        <v/>
      </c>
      <c r="G15851" s="1" t="str">
        <f t="shared" si="2"/>
        <v/>
      </c>
      <c r="J15851" s="1" t="str">
        <f t="shared" si="3"/>
        <v/>
      </c>
      <c r="K15851" s="1" t="str">
        <f t="shared" si="4"/>
        <v/>
      </c>
    </row>
    <row r="15852">
      <c r="F15852" s="1" t="str">
        <f t="shared" si="1"/>
        <v/>
      </c>
      <c r="G15852" s="1" t="str">
        <f t="shared" si="2"/>
        <v/>
      </c>
      <c r="J15852" s="1" t="str">
        <f t="shared" si="3"/>
        <v/>
      </c>
      <c r="K15852" s="1" t="str">
        <f t="shared" si="4"/>
        <v/>
      </c>
    </row>
    <row r="15853">
      <c r="F15853" s="1" t="str">
        <f t="shared" si="1"/>
        <v/>
      </c>
      <c r="G15853" s="1" t="str">
        <f t="shared" si="2"/>
        <v/>
      </c>
      <c r="J15853" s="1" t="str">
        <f t="shared" si="3"/>
        <v/>
      </c>
      <c r="K15853" s="1" t="str">
        <f t="shared" si="4"/>
        <v/>
      </c>
    </row>
    <row r="15854">
      <c r="F15854" s="1" t="str">
        <f t="shared" si="1"/>
        <v/>
      </c>
      <c r="G15854" s="1" t="str">
        <f t="shared" si="2"/>
        <v/>
      </c>
      <c r="J15854" s="1" t="str">
        <f t="shared" si="3"/>
        <v/>
      </c>
      <c r="K15854" s="1" t="str">
        <f t="shared" si="4"/>
        <v/>
      </c>
    </row>
    <row r="15855">
      <c r="F15855" s="1" t="str">
        <f t="shared" si="1"/>
        <v/>
      </c>
      <c r="G15855" s="1" t="str">
        <f t="shared" si="2"/>
        <v/>
      </c>
      <c r="J15855" s="1" t="str">
        <f t="shared" si="3"/>
        <v/>
      </c>
      <c r="K15855" s="1" t="str">
        <f t="shared" si="4"/>
        <v/>
      </c>
    </row>
    <row r="15856">
      <c r="F15856" s="1" t="str">
        <f t="shared" si="1"/>
        <v/>
      </c>
      <c r="G15856" s="1" t="str">
        <f t="shared" si="2"/>
        <v/>
      </c>
      <c r="J15856" s="1" t="str">
        <f t="shared" si="3"/>
        <v/>
      </c>
      <c r="K15856" s="1" t="str">
        <f t="shared" si="4"/>
        <v/>
      </c>
    </row>
    <row r="15857">
      <c r="F15857" s="1" t="str">
        <f t="shared" si="1"/>
        <v/>
      </c>
      <c r="G15857" s="1" t="str">
        <f t="shared" si="2"/>
        <v/>
      </c>
      <c r="J15857" s="1" t="str">
        <f t="shared" si="3"/>
        <v/>
      </c>
      <c r="K15857" s="1" t="str">
        <f t="shared" si="4"/>
        <v/>
      </c>
    </row>
    <row r="15858">
      <c r="F15858" s="1" t="str">
        <f t="shared" si="1"/>
        <v/>
      </c>
      <c r="G15858" s="1" t="str">
        <f t="shared" si="2"/>
        <v/>
      </c>
      <c r="J15858" s="1" t="str">
        <f t="shared" si="3"/>
        <v/>
      </c>
      <c r="K15858" s="1" t="str">
        <f t="shared" si="4"/>
        <v/>
      </c>
    </row>
    <row r="15859">
      <c r="F15859" s="1" t="str">
        <f t="shared" si="1"/>
        <v/>
      </c>
      <c r="G15859" s="1" t="str">
        <f t="shared" si="2"/>
        <v/>
      </c>
      <c r="J15859" s="1" t="str">
        <f t="shared" si="3"/>
        <v/>
      </c>
      <c r="K15859" s="1" t="str">
        <f t="shared" si="4"/>
        <v/>
      </c>
    </row>
    <row r="15860">
      <c r="F15860" s="1" t="str">
        <f t="shared" si="1"/>
        <v/>
      </c>
      <c r="G15860" s="1" t="str">
        <f t="shared" si="2"/>
        <v/>
      </c>
      <c r="J15860" s="1" t="str">
        <f t="shared" si="3"/>
        <v/>
      </c>
      <c r="K15860" s="1" t="str">
        <f t="shared" si="4"/>
        <v/>
      </c>
    </row>
    <row r="15861">
      <c r="F15861" s="1" t="str">
        <f t="shared" si="1"/>
        <v/>
      </c>
      <c r="G15861" s="1" t="str">
        <f t="shared" si="2"/>
        <v/>
      </c>
      <c r="J15861" s="1" t="str">
        <f t="shared" si="3"/>
        <v/>
      </c>
      <c r="K15861" s="1" t="str">
        <f t="shared" si="4"/>
        <v/>
      </c>
    </row>
    <row r="15862">
      <c r="F15862" s="1" t="str">
        <f t="shared" si="1"/>
        <v/>
      </c>
      <c r="G15862" s="1" t="str">
        <f t="shared" si="2"/>
        <v/>
      </c>
      <c r="J15862" s="1" t="str">
        <f t="shared" si="3"/>
        <v/>
      </c>
      <c r="K15862" s="1" t="str">
        <f t="shared" si="4"/>
        <v/>
      </c>
    </row>
    <row r="15863">
      <c r="F15863" s="1" t="str">
        <f t="shared" si="1"/>
        <v/>
      </c>
      <c r="G15863" s="1" t="str">
        <f t="shared" si="2"/>
        <v/>
      </c>
      <c r="J15863" s="1" t="str">
        <f t="shared" si="3"/>
        <v/>
      </c>
      <c r="K15863" s="1" t="str">
        <f t="shared" si="4"/>
        <v/>
      </c>
    </row>
    <row r="15864">
      <c r="F15864" s="1" t="str">
        <f t="shared" si="1"/>
        <v/>
      </c>
      <c r="G15864" s="1" t="str">
        <f t="shared" si="2"/>
        <v/>
      </c>
      <c r="J15864" s="1" t="str">
        <f t="shared" si="3"/>
        <v/>
      </c>
      <c r="K15864" s="1" t="str">
        <f t="shared" si="4"/>
        <v/>
      </c>
    </row>
    <row r="15865">
      <c r="F15865" s="1" t="str">
        <f t="shared" si="1"/>
        <v/>
      </c>
      <c r="G15865" s="1" t="str">
        <f t="shared" si="2"/>
        <v/>
      </c>
      <c r="J15865" s="1" t="str">
        <f t="shared" si="3"/>
        <v/>
      </c>
      <c r="K15865" s="1" t="str">
        <f t="shared" si="4"/>
        <v/>
      </c>
    </row>
    <row r="15866">
      <c r="F15866" s="1" t="str">
        <f t="shared" si="1"/>
        <v/>
      </c>
      <c r="G15866" s="1" t="str">
        <f t="shared" si="2"/>
        <v/>
      </c>
      <c r="J15866" s="1" t="str">
        <f t="shared" si="3"/>
        <v/>
      </c>
      <c r="K15866" s="1" t="str">
        <f t="shared" si="4"/>
        <v/>
      </c>
    </row>
    <row r="15867">
      <c r="F15867" s="1" t="str">
        <f t="shared" si="1"/>
        <v/>
      </c>
      <c r="G15867" s="1" t="str">
        <f t="shared" si="2"/>
        <v/>
      </c>
      <c r="J15867" s="1" t="str">
        <f t="shared" si="3"/>
        <v/>
      </c>
      <c r="K15867" s="1" t="str">
        <f t="shared" si="4"/>
        <v/>
      </c>
    </row>
    <row r="15868">
      <c r="F15868" s="1" t="str">
        <f t="shared" si="1"/>
        <v/>
      </c>
      <c r="G15868" s="1" t="str">
        <f t="shared" si="2"/>
        <v/>
      </c>
      <c r="J15868" s="1" t="str">
        <f t="shared" si="3"/>
        <v/>
      </c>
      <c r="K15868" s="1" t="str">
        <f t="shared" si="4"/>
        <v/>
      </c>
    </row>
    <row r="15869">
      <c r="F15869" s="1" t="str">
        <f t="shared" si="1"/>
        <v/>
      </c>
      <c r="G15869" s="1" t="str">
        <f t="shared" si="2"/>
        <v/>
      </c>
      <c r="J15869" s="1" t="str">
        <f t="shared" si="3"/>
        <v/>
      </c>
      <c r="K15869" s="1" t="str">
        <f t="shared" si="4"/>
        <v/>
      </c>
    </row>
    <row r="15870">
      <c r="F15870" s="1" t="str">
        <f t="shared" si="1"/>
        <v/>
      </c>
      <c r="G15870" s="1" t="str">
        <f t="shared" si="2"/>
        <v/>
      </c>
      <c r="J15870" s="1" t="str">
        <f t="shared" si="3"/>
        <v/>
      </c>
      <c r="K15870" s="1" t="str">
        <f t="shared" si="4"/>
        <v/>
      </c>
    </row>
    <row r="15871">
      <c r="F15871" s="1" t="str">
        <f t="shared" si="1"/>
        <v/>
      </c>
      <c r="G15871" s="1" t="str">
        <f t="shared" si="2"/>
        <v/>
      </c>
      <c r="J15871" s="1" t="str">
        <f t="shared" si="3"/>
        <v/>
      </c>
      <c r="K15871" s="1" t="str">
        <f t="shared" si="4"/>
        <v/>
      </c>
    </row>
    <row r="15872">
      <c r="F15872" s="1" t="str">
        <f t="shared" si="1"/>
        <v/>
      </c>
      <c r="G15872" s="1" t="str">
        <f t="shared" si="2"/>
        <v/>
      </c>
      <c r="J15872" s="1" t="str">
        <f t="shared" si="3"/>
        <v/>
      </c>
      <c r="K15872" s="1" t="str">
        <f t="shared" si="4"/>
        <v/>
      </c>
    </row>
    <row r="15873">
      <c r="F15873" s="1" t="str">
        <f t="shared" si="1"/>
        <v/>
      </c>
      <c r="G15873" s="1" t="str">
        <f t="shared" si="2"/>
        <v/>
      </c>
      <c r="J15873" s="1" t="str">
        <f t="shared" si="3"/>
        <v/>
      </c>
      <c r="K15873" s="1" t="str">
        <f t="shared" si="4"/>
        <v/>
      </c>
    </row>
    <row r="15874">
      <c r="F15874" s="1" t="str">
        <f t="shared" si="1"/>
        <v/>
      </c>
      <c r="G15874" s="1" t="str">
        <f t="shared" si="2"/>
        <v/>
      </c>
      <c r="J15874" s="1" t="str">
        <f t="shared" si="3"/>
        <v/>
      </c>
      <c r="K15874" s="1" t="str">
        <f t="shared" si="4"/>
        <v/>
      </c>
    </row>
    <row r="15875">
      <c r="F15875" s="1" t="str">
        <f t="shared" si="1"/>
        <v/>
      </c>
      <c r="G15875" s="1" t="str">
        <f t="shared" si="2"/>
        <v/>
      </c>
      <c r="J15875" s="1" t="str">
        <f t="shared" si="3"/>
        <v/>
      </c>
      <c r="K15875" s="1" t="str">
        <f t="shared" si="4"/>
        <v/>
      </c>
    </row>
    <row r="15876">
      <c r="F15876" s="1" t="str">
        <f t="shared" si="1"/>
        <v/>
      </c>
      <c r="G15876" s="1" t="str">
        <f t="shared" si="2"/>
        <v/>
      </c>
      <c r="J15876" s="1" t="str">
        <f t="shared" si="3"/>
        <v/>
      </c>
      <c r="K15876" s="1" t="str">
        <f t="shared" si="4"/>
        <v/>
      </c>
    </row>
    <row r="15877">
      <c r="F15877" s="1" t="str">
        <f t="shared" si="1"/>
        <v/>
      </c>
      <c r="G15877" s="1" t="str">
        <f t="shared" si="2"/>
        <v/>
      </c>
      <c r="J15877" s="1" t="str">
        <f t="shared" si="3"/>
        <v/>
      </c>
      <c r="K15877" s="1" t="str">
        <f t="shared" si="4"/>
        <v/>
      </c>
    </row>
    <row r="15878">
      <c r="F15878" s="1" t="str">
        <f t="shared" si="1"/>
        <v/>
      </c>
      <c r="G15878" s="1" t="str">
        <f t="shared" si="2"/>
        <v/>
      </c>
      <c r="J15878" s="1" t="str">
        <f t="shared" si="3"/>
        <v/>
      </c>
      <c r="K15878" s="1" t="str">
        <f t="shared" si="4"/>
        <v/>
      </c>
    </row>
    <row r="15879">
      <c r="F15879" s="1" t="str">
        <f t="shared" si="1"/>
        <v/>
      </c>
      <c r="G15879" s="1" t="str">
        <f t="shared" si="2"/>
        <v/>
      </c>
      <c r="J15879" s="1" t="str">
        <f t="shared" si="3"/>
        <v/>
      </c>
      <c r="K15879" s="1" t="str">
        <f t="shared" si="4"/>
        <v/>
      </c>
    </row>
    <row r="15880">
      <c r="F15880" s="1" t="str">
        <f t="shared" si="1"/>
        <v/>
      </c>
      <c r="G15880" s="1" t="str">
        <f t="shared" si="2"/>
        <v/>
      </c>
      <c r="J15880" s="1" t="str">
        <f t="shared" si="3"/>
        <v/>
      </c>
      <c r="K15880" s="1" t="str">
        <f t="shared" si="4"/>
        <v/>
      </c>
    </row>
    <row r="15881">
      <c r="F15881" s="1" t="str">
        <f t="shared" si="1"/>
        <v/>
      </c>
      <c r="G15881" s="1" t="str">
        <f t="shared" si="2"/>
        <v/>
      </c>
      <c r="J15881" s="1" t="str">
        <f t="shared" si="3"/>
        <v/>
      </c>
      <c r="K15881" s="1" t="str">
        <f t="shared" si="4"/>
        <v/>
      </c>
    </row>
    <row r="15882">
      <c r="F15882" s="1" t="str">
        <f t="shared" si="1"/>
        <v/>
      </c>
      <c r="G15882" s="1" t="str">
        <f t="shared" si="2"/>
        <v/>
      </c>
      <c r="J15882" s="1" t="str">
        <f t="shared" si="3"/>
        <v/>
      </c>
      <c r="K15882" s="1" t="str">
        <f t="shared" si="4"/>
        <v/>
      </c>
    </row>
    <row r="15883">
      <c r="F15883" s="1" t="str">
        <f t="shared" si="1"/>
        <v/>
      </c>
      <c r="G15883" s="1" t="str">
        <f t="shared" si="2"/>
        <v/>
      </c>
      <c r="J15883" s="1" t="str">
        <f t="shared" si="3"/>
        <v/>
      </c>
      <c r="K15883" s="1" t="str">
        <f t="shared" si="4"/>
        <v/>
      </c>
    </row>
    <row r="15884">
      <c r="F15884" s="1" t="str">
        <f t="shared" si="1"/>
        <v/>
      </c>
      <c r="G15884" s="1" t="str">
        <f t="shared" si="2"/>
        <v/>
      </c>
      <c r="J15884" s="1" t="str">
        <f t="shared" si="3"/>
        <v/>
      </c>
      <c r="K15884" s="1" t="str">
        <f t="shared" si="4"/>
        <v/>
      </c>
    </row>
    <row r="15885">
      <c r="F15885" s="1" t="str">
        <f t="shared" si="1"/>
        <v/>
      </c>
      <c r="G15885" s="1" t="str">
        <f t="shared" si="2"/>
        <v/>
      </c>
      <c r="J15885" s="1" t="str">
        <f t="shared" si="3"/>
        <v/>
      </c>
      <c r="K15885" s="1" t="str">
        <f t="shared" si="4"/>
        <v/>
      </c>
    </row>
    <row r="15886">
      <c r="F15886" s="1" t="str">
        <f t="shared" si="1"/>
        <v/>
      </c>
      <c r="G15886" s="1" t="str">
        <f t="shared" si="2"/>
        <v/>
      </c>
      <c r="J15886" s="1" t="str">
        <f t="shared" si="3"/>
        <v/>
      </c>
      <c r="K15886" s="1" t="str">
        <f t="shared" si="4"/>
        <v/>
      </c>
    </row>
    <row r="15887">
      <c r="F15887" s="1" t="str">
        <f t="shared" si="1"/>
        <v/>
      </c>
      <c r="G15887" s="1" t="str">
        <f t="shared" si="2"/>
        <v/>
      </c>
      <c r="J15887" s="1" t="str">
        <f t="shared" si="3"/>
        <v/>
      </c>
      <c r="K15887" s="1" t="str">
        <f t="shared" si="4"/>
        <v/>
      </c>
    </row>
    <row r="15888">
      <c r="F15888" s="1" t="str">
        <f t="shared" si="1"/>
        <v/>
      </c>
      <c r="G15888" s="1" t="str">
        <f t="shared" si="2"/>
        <v/>
      </c>
      <c r="J15888" s="1" t="str">
        <f t="shared" si="3"/>
        <v/>
      </c>
      <c r="K15888" s="1" t="str">
        <f t="shared" si="4"/>
        <v/>
      </c>
    </row>
    <row r="15889">
      <c r="F15889" s="1" t="str">
        <f t="shared" si="1"/>
        <v/>
      </c>
      <c r="G15889" s="1" t="str">
        <f t="shared" si="2"/>
        <v/>
      </c>
      <c r="J15889" s="1" t="str">
        <f t="shared" si="3"/>
        <v/>
      </c>
      <c r="K15889" s="1" t="str">
        <f t="shared" si="4"/>
        <v/>
      </c>
    </row>
    <row r="15890">
      <c r="F15890" s="1" t="str">
        <f t="shared" si="1"/>
        <v/>
      </c>
      <c r="G15890" s="1" t="str">
        <f t="shared" si="2"/>
        <v/>
      </c>
      <c r="J15890" s="1" t="str">
        <f t="shared" si="3"/>
        <v/>
      </c>
      <c r="K15890" s="1" t="str">
        <f t="shared" si="4"/>
        <v/>
      </c>
    </row>
    <row r="15891">
      <c r="F15891" s="1" t="str">
        <f t="shared" si="1"/>
        <v/>
      </c>
      <c r="G15891" s="1" t="str">
        <f t="shared" si="2"/>
        <v/>
      </c>
      <c r="J15891" s="1" t="str">
        <f t="shared" si="3"/>
        <v/>
      </c>
      <c r="K15891" s="1" t="str">
        <f t="shared" si="4"/>
        <v/>
      </c>
    </row>
    <row r="15892">
      <c r="F15892" s="1" t="str">
        <f t="shared" si="1"/>
        <v/>
      </c>
      <c r="G15892" s="1" t="str">
        <f t="shared" si="2"/>
        <v/>
      </c>
      <c r="J15892" s="1" t="str">
        <f t="shared" si="3"/>
        <v/>
      </c>
      <c r="K15892" s="1" t="str">
        <f t="shared" si="4"/>
        <v/>
      </c>
    </row>
    <row r="15893">
      <c r="F15893" s="1" t="str">
        <f t="shared" si="1"/>
        <v/>
      </c>
      <c r="G15893" s="1" t="str">
        <f t="shared" si="2"/>
        <v/>
      </c>
      <c r="J15893" s="1" t="str">
        <f t="shared" si="3"/>
        <v/>
      </c>
      <c r="K15893" s="1" t="str">
        <f t="shared" si="4"/>
        <v/>
      </c>
    </row>
    <row r="15894">
      <c r="F15894" s="1" t="str">
        <f t="shared" si="1"/>
        <v/>
      </c>
      <c r="G15894" s="1" t="str">
        <f t="shared" si="2"/>
        <v/>
      </c>
      <c r="J15894" s="1" t="str">
        <f t="shared" si="3"/>
        <v/>
      </c>
      <c r="K15894" s="1" t="str">
        <f t="shared" si="4"/>
        <v/>
      </c>
    </row>
    <row r="15895">
      <c r="F15895" s="1" t="str">
        <f t="shared" si="1"/>
        <v/>
      </c>
      <c r="G15895" s="1" t="str">
        <f t="shared" si="2"/>
        <v/>
      </c>
      <c r="J15895" s="1" t="str">
        <f t="shared" si="3"/>
        <v/>
      </c>
      <c r="K15895" s="1" t="str">
        <f t="shared" si="4"/>
        <v/>
      </c>
    </row>
    <row r="15896">
      <c r="F15896" s="1" t="str">
        <f t="shared" si="1"/>
        <v/>
      </c>
      <c r="G15896" s="1" t="str">
        <f t="shared" si="2"/>
        <v/>
      </c>
      <c r="J15896" s="1" t="str">
        <f t="shared" si="3"/>
        <v/>
      </c>
      <c r="K15896" s="1" t="str">
        <f t="shared" si="4"/>
        <v/>
      </c>
    </row>
    <row r="15897">
      <c r="F15897" s="1" t="str">
        <f t="shared" si="1"/>
        <v/>
      </c>
      <c r="G15897" s="1" t="str">
        <f t="shared" si="2"/>
        <v/>
      </c>
      <c r="J15897" s="1" t="str">
        <f t="shared" si="3"/>
        <v/>
      </c>
      <c r="K15897" s="1" t="str">
        <f t="shared" si="4"/>
        <v/>
      </c>
    </row>
    <row r="15898">
      <c r="F15898" s="1" t="str">
        <f t="shared" si="1"/>
        <v/>
      </c>
      <c r="G15898" s="1" t="str">
        <f t="shared" si="2"/>
        <v/>
      </c>
      <c r="J15898" s="1" t="str">
        <f t="shared" si="3"/>
        <v/>
      </c>
      <c r="K15898" s="1" t="str">
        <f t="shared" si="4"/>
        <v/>
      </c>
    </row>
    <row r="15899">
      <c r="F15899" s="1" t="str">
        <f t="shared" si="1"/>
        <v/>
      </c>
      <c r="G15899" s="1" t="str">
        <f t="shared" si="2"/>
        <v/>
      </c>
      <c r="J15899" s="1" t="str">
        <f t="shared" si="3"/>
        <v/>
      </c>
      <c r="K15899" s="1" t="str">
        <f t="shared" si="4"/>
        <v/>
      </c>
    </row>
    <row r="15900">
      <c r="F15900" s="1" t="str">
        <f t="shared" si="1"/>
        <v/>
      </c>
      <c r="G15900" s="1" t="str">
        <f t="shared" si="2"/>
        <v/>
      </c>
      <c r="J15900" s="1" t="str">
        <f t="shared" si="3"/>
        <v/>
      </c>
      <c r="K15900" s="1" t="str">
        <f t="shared" si="4"/>
        <v/>
      </c>
    </row>
    <row r="15901">
      <c r="F15901" s="1" t="str">
        <f t="shared" si="1"/>
        <v/>
      </c>
      <c r="G15901" s="1" t="str">
        <f t="shared" si="2"/>
        <v/>
      </c>
      <c r="J15901" s="1" t="str">
        <f t="shared" si="3"/>
        <v/>
      </c>
      <c r="K15901" s="1" t="str">
        <f t="shared" si="4"/>
        <v/>
      </c>
    </row>
    <row r="15902">
      <c r="F15902" s="1" t="str">
        <f t="shared" si="1"/>
        <v/>
      </c>
      <c r="G15902" s="1" t="str">
        <f t="shared" si="2"/>
        <v/>
      </c>
      <c r="J15902" s="1" t="str">
        <f t="shared" si="3"/>
        <v/>
      </c>
      <c r="K15902" s="1" t="str">
        <f t="shared" si="4"/>
        <v/>
      </c>
    </row>
    <row r="15903">
      <c r="F15903" s="1" t="str">
        <f t="shared" si="1"/>
        <v/>
      </c>
      <c r="G15903" s="1" t="str">
        <f t="shared" si="2"/>
        <v/>
      </c>
      <c r="J15903" s="1" t="str">
        <f t="shared" si="3"/>
        <v/>
      </c>
      <c r="K15903" s="1" t="str">
        <f t="shared" si="4"/>
        <v/>
      </c>
    </row>
    <row r="15904">
      <c r="F15904" s="1" t="str">
        <f t="shared" si="1"/>
        <v/>
      </c>
      <c r="G15904" s="1" t="str">
        <f t="shared" si="2"/>
        <v/>
      </c>
      <c r="J15904" s="1" t="str">
        <f t="shared" si="3"/>
        <v/>
      </c>
      <c r="K15904" s="1" t="str">
        <f t="shared" si="4"/>
        <v/>
      </c>
    </row>
    <row r="15905">
      <c r="F15905" s="1" t="str">
        <f t="shared" si="1"/>
        <v/>
      </c>
      <c r="G15905" s="1" t="str">
        <f t="shared" si="2"/>
        <v/>
      </c>
      <c r="J15905" s="1" t="str">
        <f t="shared" si="3"/>
        <v/>
      </c>
      <c r="K15905" s="1" t="str">
        <f t="shared" si="4"/>
        <v/>
      </c>
    </row>
    <row r="15906">
      <c r="F15906" s="1" t="str">
        <f t="shared" si="1"/>
        <v/>
      </c>
      <c r="G15906" s="1" t="str">
        <f t="shared" si="2"/>
        <v/>
      </c>
      <c r="J15906" s="1" t="str">
        <f t="shared" si="3"/>
        <v/>
      </c>
      <c r="K15906" s="1" t="str">
        <f t="shared" si="4"/>
        <v/>
      </c>
    </row>
    <row r="15907">
      <c r="F15907" s="1" t="str">
        <f t="shared" si="1"/>
        <v/>
      </c>
      <c r="G15907" s="1" t="str">
        <f t="shared" si="2"/>
        <v/>
      </c>
      <c r="J15907" s="1" t="str">
        <f t="shared" si="3"/>
        <v/>
      </c>
      <c r="K15907" s="1" t="str">
        <f t="shared" si="4"/>
        <v/>
      </c>
    </row>
    <row r="15908">
      <c r="F15908" s="1" t="str">
        <f t="shared" si="1"/>
        <v/>
      </c>
      <c r="G15908" s="1" t="str">
        <f t="shared" si="2"/>
        <v/>
      </c>
      <c r="J15908" s="1" t="str">
        <f t="shared" si="3"/>
        <v/>
      </c>
      <c r="K15908" s="1" t="str">
        <f t="shared" si="4"/>
        <v/>
      </c>
    </row>
    <row r="15909">
      <c r="F15909" s="1" t="str">
        <f t="shared" si="1"/>
        <v/>
      </c>
      <c r="G15909" s="1" t="str">
        <f t="shared" si="2"/>
        <v/>
      </c>
      <c r="J15909" s="1" t="str">
        <f t="shared" si="3"/>
        <v/>
      </c>
      <c r="K15909" s="1" t="str">
        <f t="shared" si="4"/>
        <v/>
      </c>
    </row>
    <row r="15910">
      <c r="F15910" s="1" t="str">
        <f t="shared" si="1"/>
        <v/>
      </c>
      <c r="G15910" s="1" t="str">
        <f t="shared" si="2"/>
        <v/>
      </c>
      <c r="J15910" s="1" t="str">
        <f t="shared" si="3"/>
        <v/>
      </c>
      <c r="K15910" s="1" t="str">
        <f t="shared" si="4"/>
        <v/>
      </c>
    </row>
    <row r="15911">
      <c r="F15911" s="1" t="str">
        <f t="shared" si="1"/>
        <v/>
      </c>
      <c r="G15911" s="1" t="str">
        <f t="shared" si="2"/>
        <v/>
      </c>
      <c r="J15911" s="1" t="str">
        <f t="shared" si="3"/>
        <v/>
      </c>
      <c r="K15911" s="1" t="str">
        <f t="shared" si="4"/>
        <v/>
      </c>
    </row>
    <row r="15912">
      <c r="F15912" s="1" t="str">
        <f t="shared" si="1"/>
        <v/>
      </c>
      <c r="G15912" s="1" t="str">
        <f t="shared" si="2"/>
        <v/>
      </c>
      <c r="J15912" s="1" t="str">
        <f t="shared" si="3"/>
        <v/>
      </c>
      <c r="K15912" s="1" t="str">
        <f t="shared" si="4"/>
        <v/>
      </c>
    </row>
    <row r="15913">
      <c r="F15913" s="1" t="str">
        <f t="shared" si="1"/>
        <v/>
      </c>
      <c r="G15913" s="1" t="str">
        <f t="shared" si="2"/>
        <v/>
      </c>
      <c r="J15913" s="1" t="str">
        <f t="shared" si="3"/>
        <v/>
      </c>
      <c r="K15913" s="1" t="str">
        <f t="shared" si="4"/>
        <v/>
      </c>
    </row>
    <row r="15914">
      <c r="F15914" s="1" t="str">
        <f t="shared" si="1"/>
        <v/>
      </c>
      <c r="G15914" s="1" t="str">
        <f t="shared" si="2"/>
        <v/>
      </c>
      <c r="J15914" s="1" t="str">
        <f t="shared" si="3"/>
        <v/>
      </c>
      <c r="K15914" s="1" t="str">
        <f t="shared" si="4"/>
        <v/>
      </c>
    </row>
    <row r="15915">
      <c r="F15915" s="1" t="str">
        <f t="shared" si="1"/>
        <v/>
      </c>
      <c r="G15915" s="1" t="str">
        <f t="shared" si="2"/>
        <v/>
      </c>
      <c r="J15915" s="1" t="str">
        <f t="shared" si="3"/>
        <v/>
      </c>
      <c r="K15915" s="1" t="str">
        <f t="shared" si="4"/>
        <v/>
      </c>
    </row>
    <row r="15916">
      <c r="F15916" s="1" t="str">
        <f t="shared" si="1"/>
        <v/>
      </c>
      <c r="G15916" s="1" t="str">
        <f t="shared" si="2"/>
        <v/>
      </c>
      <c r="J15916" s="1" t="str">
        <f t="shared" si="3"/>
        <v/>
      </c>
      <c r="K15916" s="1" t="str">
        <f t="shared" si="4"/>
        <v/>
      </c>
    </row>
    <row r="15917">
      <c r="F15917" s="1" t="str">
        <f t="shared" si="1"/>
        <v/>
      </c>
      <c r="G15917" s="1" t="str">
        <f t="shared" si="2"/>
        <v/>
      </c>
      <c r="J15917" s="1" t="str">
        <f t="shared" si="3"/>
        <v/>
      </c>
      <c r="K15917" s="1" t="str">
        <f t="shared" si="4"/>
        <v/>
      </c>
    </row>
    <row r="15918">
      <c r="F15918" s="1" t="str">
        <f t="shared" si="1"/>
        <v/>
      </c>
      <c r="G15918" s="1" t="str">
        <f t="shared" si="2"/>
        <v/>
      </c>
      <c r="J15918" s="1" t="str">
        <f t="shared" si="3"/>
        <v/>
      </c>
      <c r="K15918" s="1" t="str">
        <f t="shared" si="4"/>
        <v/>
      </c>
    </row>
    <row r="15919">
      <c r="F15919" s="1" t="str">
        <f t="shared" si="1"/>
        <v/>
      </c>
      <c r="G15919" s="1" t="str">
        <f t="shared" si="2"/>
        <v/>
      </c>
      <c r="J15919" s="1" t="str">
        <f t="shared" si="3"/>
        <v/>
      </c>
      <c r="K15919" s="1" t="str">
        <f t="shared" si="4"/>
        <v/>
      </c>
    </row>
    <row r="15920">
      <c r="F15920" s="1" t="str">
        <f t="shared" si="1"/>
        <v/>
      </c>
      <c r="G15920" s="1" t="str">
        <f t="shared" si="2"/>
        <v/>
      </c>
      <c r="J15920" s="1" t="str">
        <f t="shared" si="3"/>
        <v/>
      </c>
      <c r="K15920" s="1" t="str">
        <f t="shared" si="4"/>
        <v/>
      </c>
    </row>
    <row r="15921">
      <c r="F15921" s="1" t="str">
        <f t="shared" si="1"/>
        <v/>
      </c>
      <c r="G15921" s="1" t="str">
        <f t="shared" si="2"/>
        <v/>
      </c>
      <c r="J15921" s="1" t="str">
        <f t="shared" si="3"/>
        <v/>
      </c>
      <c r="K15921" s="1" t="str">
        <f t="shared" si="4"/>
        <v/>
      </c>
    </row>
    <row r="15922">
      <c r="F15922" s="1" t="str">
        <f t="shared" si="1"/>
        <v/>
      </c>
      <c r="G15922" s="1" t="str">
        <f t="shared" si="2"/>
        <v/>
      </c>
      <c r="J15922" s="1" t="str">
        <f t="shared" si="3"/>
        <v/>
      </c>
      <c r="K15922" s="1" t="str">
        <f t="shared" si="4"/>
        <v/>
      </c>
    </row>
    <row r="15923">
      <c r="F15923" s="1" t="str">
        <f t="shared" si="1"/>
        <v/>
      </c>
      <c r="G15923" s="1" t="str">
        <f t="shared" si="2"/>
        <v/>
      </c>
      <c r="J15923" s="1" t="str">
        <f t="shared" si="3"/>
        <v/>
      </c>
      <c r="K15923" s="1" t="str">
        <f t="shared" si="4"/>
        <v/>
      </c>
    </row>
    <row r="15924">
      <c r="F15924" s="1" t="str">
        <f t="shared" si="1"/>
        <v/>
      </c>
      <c r="G15924" s="1" t="str">
        <f t="shared" si="2"/>
        <v/>
      </c>
      <c r="J15924" s="1" t="str">
        <f t="shared" si="3"/>
        <v/>
      </c>
      <c r="K15924" s="1" t="str">
        <f t="shared" si="4"/>
        <v/>
      </c>
    </row>
    <row r="15925">
      <c r="F15925" s="1" t="str">
        <f t="shared" si="1"/>
        <v/>
      </c>
      <c r="G15925" s="1" t="str">
        <f t="shared" si="2"/>
        <v/>
      </c>
      <c r="J15925" s="1" t="str">
        <f t="shared" si="3"/>
        <v/>
      </c>
      <c r="K15925" s="1" t="str">
        <f t="shared" si="4"/>
        <v/>
      </c>
    </row>
    <row r="15926">
      <c r="F15926" s="1" t="str">
        <f t="shared" si="1"/>
        <v/>
      </c>
      <c r="G15926" s="1" t="str">
        <f t="shared" si="2"/>
        <v/>
      </c>
      <c r="J15926" s="1" t="str">
        <f t="shared" si="3"/>
        <v/>
      </c>
      <c r="K15926" s="1" t="str">
        <f t="shared" si="4"/>
        <v/>
      </c>
    </row>
    <row r="15927">
      <c r="F15927" s="1" t="str">
        <f t="shared" si="1"/>
        <v/>
      </c>
      <c r="G15927" s="1" t="str">
        <f t="shared" si="2"/>
        <v/>
      </c>
      <c r="J15927" s="1" t="str">
        <f t="shared" si="3"/>
        <v/>
      </c>
      <c r="K15927" s="1" t="str">
        <f t="shared" si="4"/>
        <v/>
      </c>
    </row>
    <row r="15928">
      <c r="F15928" s="1" t="str">
        <f t="shared" si="1"/>
        <v/>
      </c>
      <c r="G15928" s="1" t="str">
        <f t="shared" si="2"/>
        <v/>
      </c>
      <c r="J15928" s="1" t="str">
        <f t="shared" si="3"/>
        <v/>
      </c>
      <c r="K15928" s="1" t="str">
        <f t="shared" si="4"/>
        <v/>
      </c>
    </row>
    <row r="15929">
      <c r="F15929" s="1" t="str">
        <f t="shared" si="1"/>
        <v/>
      </c>
      <c r="G15929" s="1" t="str">
        <f t="shared" si="2"/>
        <v/>
      </c>
      <c r="J15929" s="1" t="str">
        <f t="shared" si="3"/>
        <v/>
      </c>
      <c r="K15929" s="1" t="str">
        <f t="shared" si="4"/>
        <v/>
      </c>
    </row>
    <row r="15930">
      <c r="F15930" s="1" t="str">
        <f t="shared" si="1"/>
        <v/>
      </c>
      <c r="G15930" s="1" t="str">
        <f t="shared" si="2"/>
        <v/>
      </c>
      <c r="J15930" s="1" t="str">
        <f t="shared" si="3"/>
        <v/>
      </c>
      <c r="K15930" s="1" t="str">
        <f t="shared" si="4"/>
        <v/>
      </c>
    </row>
    <row r="15931">
      <c r="F15931" s="1" t="str">
        <f t="shared" si="1"/>
        <v/>
      </c>
      <c r="G15931" s="1" t="str">
        <f t="shared" si="2"/>
        <v/>
      </c>
      <c r="J15931" s="1" t="str">
        <f t="shared" si="3"/>
        <v/>
      </c>
      <c r="K15931" s="1" t="str">
        <f t="shared" si="4"/>
        <v/>
      </c>
    </row>
    <row r="15932">
      <c r="F15932" s="1" t="str">
        <f t="shared" si="1"/>
        <v/>
      </c>
      <c r="G15932" s="1" t="str">
        <f t="shared" si="2"/>
        <v/>
      </c>
      <c r="J15932" s="1" t="str">
        <f t="shared" si="3"/>
        <v/>
      </c>
      <c r="K15932" s="1" t="str">
        <f t="shared" si="4"/>
        <v/>
      </c>
    </row>
    <row r="15933">
      <c r="F15933" s="1" t="str">
        <f t="shared" si="1"/>
        <v/>
      </c>
      <c r="G15933" s="1" t="str">
        <f t="shared" si="2"/>
        <v/>
      </c>
      <c r="J15933" s="1" t="str">
        <f t="shared" si="3"/>
        <v/>
      </c>
      <c r="K15933" s="1" t="str">
        <f t="shared" si="4"/>
        <v/>
      </c>
    </row>
    <row r="15934">
      <c r="F15934" s="1" t="str">
        <f t="shared" si="1"/>
        <v/>
      </c>
      <c r="G15934" s="1" t="str">
        <f t="shared" si="2"/>
        <v/>
      </c>
      <c r="J15934" s="1" t="str">
        <f t="shared" si="3"/>
        <v/>
      </c>
      <c r="K15934" s="1" t="str">
        <f t="shared" si="4"/>
        <v/>
      </c>
    </row>
    <row r="15935">
      <c r="F15935" s="1" t="str">
        <f t="shared" si="1"/>
        <v/>
      </c>
      <c r="G15935" s="1" t="str">
        <f t="shared" si="2"/>
        <v/>
      </c>
      <c r="J15935" s="1" t="str">
        <f t="shared" si="3"/>
        <v/>
      </c>
      <c r="K15935" s="1" t="str">
        <f t="shared" si="4"/>
        <v/>
      </c>
    </row>
    <row r="15936">
      <c r="F15936" s="1" t="str">
        <f t="shared" si="1"/>
        <v/>
      </c>
      <c r="G15936" s="1" t="str">
        <f t="shared" si="2"/>
        <v/>
      </c>
      <c r="J15936" s="1" t="str">
        <f t="shared" si="3"/>
        <v/>
      </c>
      <c r="K15936" s="1" t="str">
        <f t="shared" si="4"/>
        <v/>
      </c>
    </row>
    <row r="15937">
      <c r="F15937" s="1" t="str">
        <f t="shared" si="1"/>
        <v/>
      </c>
      <c r="G15937" s="1" t="str">
        <f t="shared" si="2"/>
        <v/>
      </c>
      <c r="J15937" s="1" t="str">
        <f t="shared" si="3"/>
        <v/>
      </c>
      <c r="K15937" s="1" t="str">
        <f t="shared" si="4"/>
        <v/>
      </c>
    </row>
    <row r="15938">
      <c r="F15938" s="1" t="str">
        <f t="shared" si="1"/>
        <v/>
      </c>
      <c r="G15938" s="1" t="str">
        <f t="shared" si="2"/>
        <v/>
      </c>
      <c r="J15938" s="1" t="str">
        <f t="shared" si="3"/>
        <v/>
      </c>
      <c r="K15938" s="1" t="str">
        <f t="shared" si="4"/>
        <v/>
      </c>
    </row>
    <row r="15939">
      <c r="F15939" s="1" t="str">
        <f t="shared" si="1"/>
        <v/>
      </c>
      <c r="G15939" s="1" t="str">
        <f t="shared" si="2"/>
        <v/>
      </c>
      <c r="J15939" s="1" t="str">
        <f t="shared" si="3"/>
        <v/>
      </c>
      <c r="K15939" s="1" t="str">
        <f t="shared" si="4"/>
        <v/>
      </c>
    </row>
    <row r="15940">
      <c r="F15940" s="1" t="str">
        <f t="shared" si="1"/>
        <v/>
      </c>
      <c r="G15940" s="1" t="str">
        <f t="shared" si="2"/>
        <v/>
      </c>
      <c r="J15940" s="1" t="str">
        <f t="shared" si="3"/>
        <v/>
      </c>
      <c r="K15940" s="1" t="str">
        <f t="shared" si="4"/>
        <v/>
      </c>
    </row>
    <row r="15941">
      <c r="F15941" s="1" t="str">
        <f t="shared" si="1"/>
        <v/>
      </c>
      <c r="G15941" s="1" t="str">
        <f t="shared" si="2"/>
        <v/>
      </c>
      <c r="J15941" s="1" t="str">
        <f t="shared" si="3"/>
        <v/>
      </c>
      <c r="K15941" s="1" t="str">
        <f t="shared" si="4"/>
        <v/>
      </c>
    </row>
    <row r="15942">
      <c r="F15942" s="1" t="str">
        <f t="shared" si="1"/>
        <v/>
      </c>
      <c r="G15942" s="1" t="str">
        <f t="shared" si="2"/>
        <v/>
      </c>
      <c r="J15942" s="1" t="str">
        <f t="shared" si="3"/>
        <v/>
      </c>
      <c r="K15942" s="1" t="str">
        <f t="shared" si="4"/>
        <v/>
      </c>
    </row>
    <row r="15943">
      <c r="F15943" s="1" t="str">
        <f t="shared" si="1"/>
        <v/>
      </c>
      <c r="G15943" s="1" t="str">
        <f t="shared" si="2"/>
        <v/>
      </c>
      <c r="J15943" s="1" t="str">
        <f t="shared" si="3"/>
        <v/>
      </c>
      <c r="K15943" s="1" t="str">
        <f t="shared" si="4"/>
        <v/>
      </c>
    </row>
    <row r="15944">
      <c r="F15944" s="1" t="str">
        <f t="shared" si="1"/>
        <v/>
      </c>
      <c r="G15944" s="1" t="str">
        <f t="shared" si="2"/>
        <v/>
      </c>
      <c r="J15944" s="1" t="str">
        <f t="shared" si="3"/>
        <v/>
      </c>
      <c r="K15944" s="1" t="str">
        <f t="shared" si="4"/>
        <v/>
      </c>
    </row>
    <row r="15945">
      <c r="F15945" s="1" t="str">
        <f t="shared" si="1"/>
        <v/>
      </c>
      <c r="G15945" s="1" t="str">
        <f t="shared" si="2"/>
        <v/>
      </c>
      <c r="J15945" s="1" t="str">
        <f t="shared" si="3"/>
        <v/>
      </c>
      <c r="K15945" s="1" t="str">
        <f t="shared" si="4"/>
        <v/>
      </c>
    </row>
    <row r="15946">
      <c r="F15946" s="1" t="str">
        <f t="shared" si="1"/>
        <v/>
      </c>
      <c r="G15946" s="1" t="str">
        <f t="shared" si="2"/>
        <v/>
      </c>
      <c r="J15946" s="1" t="str">
        <f t="shared" si="3"/>
        <v/>
      </c>
      <c r="K15946" s="1" t="str">
        <f t="shared" si="4"/>
        <v/>
      </c>
    </row>
    <row r="15947">
      <c r="F15947" s="1" t="str">
        <f t="shared" si="1"/>
        <v/>
      </c>
      <c r="G15947" s="1" t="str">
        <f t="shared" si="2"/>
        <v/>
      </c>
      <c r="J15947" s="1" t="str">
        <f t="shared" si="3"/>
        <v/>
      </c>
      <c r="K15947" s="1" t="str">
        <f t="shared" si="4"/>
        <v/>
      </c>
    </row>
    <row r="15948">
      <c r="F15948" s="1" t="str">
        <f t="shared" si="1"/>
        <v/>
      </c>
      <c r="G15948" s="1" t="str">
        <f t="shared" si="2"/>
        <v/>
      </c>
      <c r="J15948" s="1" t="str">
        <f t="shared" si="3"/>
        <v/>
      </c>
      <c r="K15948" s="1" t="str">
        <f t="shared" si="4"/>
        <v/>
      </c>
    </row>
    <row r="15949">
      <c r="F15949" s="1" t="str">
        <f t="shared" si="1"/>
        <v/>
      </c>
      <c r="G15949" s="1" t="str">
        <f t="shared" si="2"/>
        <v/>
      </c>
      <c r="J15949" s="1" t="str">
        <f t="shared" si="3"/>
        <v/>
      </c>
      <c r="K15949" s="1" t="str">
        <f t="shared" si="4"/>
        <v/>
      </c>
    </row>
    <row r="15950">
      <c r="F15950" s="1" t="str">
        <f t="shared" si="1"/>
        <v/>
      </c>
      <c r="G15950" s="1" t="str">
        <f t="shared" si="2"/>
        <v/>
      </c>
      <c r="J15950" s="1" t="str">
        <f t="shared" si="3"/>
        <v/>
      </c>
      <c r="K15950" s="1" t="str">
        <f t="shared" si="4"/>
        <v/>
      </c>
    </row>
    <row r="15951">
      <c r="F15951" s="1" t="str">
        <f t="shared" si="1"/>
        <v/>
      </c>
      <c r="G15951" s="1" t="str">
        <f t="shared" si="2"/>
        <v/>
      </c>
      <c r="J15951" s="1" t="str">
        <f t="shared" si="3"/>
        <v/>
      </c>
      <c r="K15951" s="1" t="str">
        <f t="shared" si="4"/>
        <v/>
      </c>
    </row>
    <row r="15952">
      <c r="F15952" s="1" t="str">
        <f t="shared" si="1"/>
        <v/>
      </c>
      <c r="G15952" s="1" t="str">
        <f t="shared" si="2"/>
        <v/>
      </c>
      <c r="J15952" s="1" t="str">
        <f t="shared" si="3"/>
        <v/>
      </c>
      <c r="K15952" s="1" t="str">
        <f t="shared" si="4"/>
        <v/>
      </c>
    </row>
    <row r="15953">
      <c r="F15953" s="1" t="str">
        <f t="shared" si="1"/>
        <v/>
      </c>
      <c r="G15953" s="1" t="str">
        <f t="shared" si="2"/>
        <v/>
      </c>
      <c r="J15953" s="1" t="str">
        <f t="shared" si="3"/>
        <v/>
      </c>
      <c r="K15953" s="1" t="str">
        <f t="shared" si="4"/>
        <v/>
      </c>
    </row>
    <row r="15954">
      <c r="F15954" s="1" t="str">
        <f t="shared" si="1"/>
        <v/>
      </c>
      <c r="G15954" s="1" t="str">
        <f t="shared" si="2"/>
        <v/>
      </c>
      <c r="J15954" s="1" t="str">
        <f t="shared" si="3"/>
        <v/>
      </c>
      <c r="K15954" s="1" t="str">
        <f t="shared" si="4"/>
        <v/>
      </c>
    </row>
    <row r="15955">
      <c r="F15955" s="1" t="str">
        <f t="shared" si="1"/>
        <v/>
      </c>
      <c r="G15955" s="1" t="str">
        <f t="shared" si="2"/>
        <v/>
      </c>
      <c r="J15955" s="1" t="str">
        <f t="shared" si="3"/>
        <v/>
      </c>
      <c r="K15955" s="1" t="str">
        <f t="shared" si="4"/>
        <v/>
      </c>
    </row>
    <row r="15956">
      <c r="F15956" s="1" t="str">
        <f t="shared" si="1"/>
        <v/>
      </c>
      <c r="G15956" s="1" t="str">
        <f t="shared" si="2"/>
        <v/>
      </c>
      <c r="J15956" s="1" t="str">
        <f t="shared" si="3"/>
        <v/>
      </c>
      <c r="K15956" s="1" t="str">
        <f t="shared" si="4"/>
        <v/>
      </c>
    </row>
    <row r="15957">
      <c r="F15957" s="1" t="str">
        <f t="shared" si="1"/>
        <v/>
      </c>
      <c r="G15957" s="1" t="str">
        <f t="shared" si="2"/>
        <v/>
      </c>
      <c r="J15957" s="1" t="str">
        <f t="shared" si="3"/>
        <v/>
      </c>
      <c r="K15957" s="1" t="str">
        <f t="shared" si="4"/>
        <v/>
      </c>
    </row>
    <row r="15958">
      <c r="F15958" s="1" t="str">
        <f t="shared" si="1"/>
        <v/>
      </c>
      <c r="G15958" s="1" t="str">
        <f t="shared" si="2"/>
        <v/>
      </c>
      <c r="J15958" s="1" t="str">
        <f t="shared" si="3"/>
        <v/>
      </c>
      <c r="K15958" s="1" t="str">
        <f t="shared" si="4"/>
        <v/>
      </c>
    </row>
    <row r="15959">
      <c r="F15959" s="1" t="str">
        <f t="shared" si="1"/>
        <v/>
      </c>
      <c r="G15959" s="1" t="str">
        <f t="shared" si="2"/>
        <v/>
      </c>
      <c r="J15959" s="1" t="str">
        <f t="shared" si="3"/>
        <v/>
      </c>
      <c r="K15959" s="1" t="str">
        <f t="shared" si="4"/>
        <v/>
      </c>
    </row>
    <row r="15960">
      <c r="F15960" s="1" t="str">
        <f t="shared" si="1"/>
        <v/>
      </c>
      <c r="G15960" s="1" t="str">
        <f t="shared" si="2"/>
        <v/>
      </c>
      <c r="J15960" s="1" t="str">
        <f t="shared" si="3"/>
        <v/>
      </c>
      <c r="K15960" s="1" t="str">
        <f t="shared" si="4"/>
        <v/>
      </c>
    </row>
    <row r="15961">
      <c r="F15961" s="1" t="str">
        <f t="shared" si="1"/>
        <v/>
      </c>
      <c r="G15961" s="1" t="str">
        <f t="shared" si="2"/>
        <v/>
      </c>
      <c r="J15961" s="1" t="str">
        <f t="shared" si="3"/>
        <v/>
      </c>
      <c r="K15961" s="1" t="str">
        <f t="shared" si="4"/>
        <v/>
      </c>
    </row>
    <row r="15962">
      <c r="F15962" s="1" t="str">
        <f t="shared" si="1"/>
        <v/>
      </c>
      <c r="G15962" s="1" t="str">
        <f t="shared" si="2"/>
        <v/>
      </c>
      <c r="J15962" s="1" t="str">
        <f t="shared" si="3"/>
        <v/>
      </c>
      <c r="K15962" s="1" t="str">
        <f t="shared" si="4"/>
        <v/>
      </c>
    </row>
    <row r="15963">
      <c r="F15963" s="1" t="str">
        <f t="shared" si="1"/>
        <v/>
      </c>
      <c r="G15963" s="1" t="str">
        <f t="shared" si="2"/>
        <v/>
      </c>
      <c r="J15963" s="1" t="str">
        <f t="shared" si="3"/>
        <v/>
      </c>
      <c r="K15963" s="1" t="str">
        <f t="shared" si="4"/>
        <v/>
      </c>
    </row>
    <row r="15964">
      <c r="F15964" s="1" t="str">
        <f t="shared" si="1"/>
        <v/>
      </c>
      <c r="G15964" s="1" t="str">
        <f t="shared" si="2"/>
        <v/>
      </c>
      <c r="J15964" s="1" t="str">
        <f t="shared" si="3"/>
        <v/>
      </c>
      <c r="K15964" s="1" t="str">
        <f t="shared" si="4"/>
        <v/>
      </c>
    </row>
    <row r="15965">
      <c r="F15965" s="1" t="str">
        <f t="shared" si="1"/>
        <v/>
      </c>
      <c r="G15965" s="1" t="str">
        <f t="shared" si="2"/>
        <v/>
      </c>
      <c r="J15965" s="1" t="str">
        <f t="shared" si="3"/>
        <v/>
      </c>
      <c r="K15965" s="1" t="str">
        <f t="shared" si="4"/>
        <v/>
      </c>
    </row>
    <row r="15966">
      <c r="F15966" s="1" t="str">
        <f t="shared" si="1"/>
        <v/>
      </c>
      <c r="G15966" s="1" t="str">
        <f t="shared" si="2"/>
        <v/>
      </c>
      <c r="J15966" s="1" t="str">
        <f t="shared" si="3"/>
        <v/>
      </c>
      <c r="K15966" s="1" t="str">
        <f t="shared" si="4"/>
        <v/>
      </c>
    </row>
    <row r="15967">
      <c r="F15967" s="1" t="str">
        <f t="shared" si="1"/>
        <v/>
      </c>
      <c r="G15967" s="1" t="str">
        <f t="shared" si="2"/>
        <v/>
      </c>
      <c r="J15967" s="1" t="str">
        <f t="shared" si="3"/>
        <v/>
      </c>
      <c r="K15967" s="1" t="str">
        <f t="shared" si="4"/>
        <v/>
      </c>
    </row>
    <row r="15968">
      <c r="F15968" s="1" t="str">
        <f t="shared" si="1"/>
        <v/>
      </c>
      <c r="G15968" s="1" t="str">
        <f t="shared" si="2"/>
        <v/>
      </c>
      <c r="J15968" s="1" t="str">
        <f t="shared" si="3"/>
        <v/>
      </c>
      <c r="K15968" s="1" t="str">
        <f t="shared" si="4"/>
        <v/>
      </c>
    </row>
    <row r="15969">
      <c r="F15969" s="1" t="str">
        <f t="shared" si="1"/>
        <v/>
      </c>
      <c r="G15969" s="1" t="str">
        <f t="shared" si="2"/>
        <v/>
      </c>
      <c r="J15969" s="1" t="str">
        <f t="shared" si="3"/>
        <v/>
      </c>
      <c r="K15969" s="1" t="str">
        <f t="shared" si="4"/>
        <v/>
      </c>
    </row>
    <row r="15970">
      <c r="F15970" s="1" t="str">
        <f t="shared" si="1"/>
        <v/>
      </c>
      <c r="G15970" s="1" t="str">
        <f t="shared" si="2"/>
        <v/>
      </c>
      <c r="J15970" s="1" t="str">
        <f t="shared" si="3"/>
        <v/>
      </c>
      <c r="K15970" s="1" t="str">
        <f t="shared" si="4"/>
        <v/>
      </c>
    </row>
    <row r="15971">
      <c r="F15971" s="1" t="str">
        <f t="shared" si="1"/>
        <v/>
      </c>
      <c r="G15971" s="1" t="str">
        <f t="shared" si="2"/>
        <v/>
      </c>
      <c r="J15971" s="1" t="str">
        <f t="shared" si="3"/>
        <v/>
      </c>
      <c r="K15971" s="1" t="str">
        <f t="shared" si="4"/>
        <v/>
      </c>
    </row>
    <row r="15972">
      <c r="F15972" s="1" t="str">
        <f t="shared" si="1"/>
        <v/>
      </c>
      <c r="G15972" s="1" t="str">
        <f t="shared" si="2"/>
        <v/>
      </c>
      <c r="J15972" s="1" t="str">
        <f t="shared" si="3"/>
        <v/>
      </c>
      <c r="K15972" s="1" t="str">
        <f t="shared" si="4"/>
        <v/>
      </c>
    </row>
    <row r="15973">
      <c r="F15973" s="1" t="str">
        <f t="shared" si="1"/>
        <v/>
      </c>
      <c r="G15973" s="1" t="str">
        <f t="shared" si="2"/>
        <v/>
      </c>
      <c r="J15973" s="1" t="str">
        <f t="shared" si="3"/>
        <v/>
      </c>
      <c r="K15973" s="1" t="str">
        <f t="shared" si="4"/>
        <v/>
      </c>
    </row>
    <row r="15974">
      <c r="F15974" s="1" t="str">
        <f t="shared" si="1"/>
        <v/>
      </c>
      <c r="G15974" s="1" t="str">
        <f t="shared" si="2"/>
        <v/>
      </c>
      <c r="J15974" s="1" t="str">
        <f t="shared" si="3"/>
        <v/>
      </c>
      <c r="K15974" s="1" t="str">
        <f t="shared" si="4"/>
        <v/>
      </c>
    </row>
    <row r="15975">
      <c r="F15975" s="1" t="str">
        <f t="shared" si="1"/>
        <v/>
      </c>
      <c r="G15975" s="1" t="str">
        <f t="shared" si="2"/>
        <v/>
      </c>
      <c r="J15975" s="1" t="str">
        <f t="shared" si="3"/>
        <v/>
      </c>
      <c r="K15975" s="1" t="str">
        <f t="shared" si="4"/>
        <v/>
      </c>
    </row>
    <row r="15976">
      <c r="F15976" s="1" t="str">
        <f t="shared" si="1"/>
        <v/>
      </c>
      <c r="G15976" s="1" t="str">
        <f t="shared" si="2"/>
        <v/>
      </c>
      <c r="J15976" s="1" t="str">
        <f t="shared" si="3"/>
        <v/>
      </c>
      <c r="K15976" s="1" t="str">
        <f t="shared" si="4"/>
        <v/>
      </c>
    </row>
    <row r="15977">
      <c r="F15977" s="1" t="str">
        <f t="shared" si="1"/>
        <v/>
      </c>
      <c r="G15977" s="1" t="str">
        <f t="shared" si="2"/>
        <v/>
      </c>
      <c r="J15977" s="1" t="str">
        <f t="shared" si="3"/>
        <v/>
      </c>
      <c r="K15977" s="1" t="str">
        <f t="shared" si="4"/>
        <v/>
      </c>
    </row>
    <row r="15978">
      <c r="F15978" s="1" t="str">
        <f t="shared" si="1"/>
        <v/>
      </c>
      <c r="G15978" s="1" t="str">
        <f t="shared" si="2"/>
        <v/>
      </c>
      <c r="J15978" s="1" t="str">
        <f t="shared" si="3"/>
        <v/>
      </c>
      <c r="K15978" s="1" t="str">
        <f t="shared" si="4"/>
        <v/>
      </c>
    </row>
    <row r="15979">
      <c r="F15979" s="1" t="str">
        <f t="shared" si="1"/>
        <v/>
      </c>
      <c r="G15979" s="1" t="str">
        <f t="shared" si="2"/>
        <v/>
      </c>
      <c r="J15979" s="1" t="str">
        <f t="shared" si="3"/>
        <v/>
      </c>
      <c r="K15979" s="1" t="str">
        <f t="shared" si="4"/>
        <v/>
      </c>
    </row>
    <row r="15980">
      <c r="F15980" s="1" t="str">
        <f t="shared" si="1"/>
        <v/>
      </c>
      <c r="G15980" s="1" t="str">
        <f t="shared" si="2"/>
        <v/>
      </c>
      <c r="J15980" s="1" t="str">
        <f t="shared" si="3"/>
        <v/>
      </c>
      <c r="K15980" s="1" t="str">
        <f t="shared" si="4"/>
        <v/>
      </c>
    </row>
    <row r="15981">
      <c r="F15981" s="1" t="str">
        <f t="shared" si="1"/>
        <v/>
      </c>
      <c r="G15981" s="1" t="str">
        <f t="shared" si="2"/>
        <v/>
      </c>
      <c r="J15981" s="1" t="str">
        <f t="shared" si="3"/>
        <v/>
      </c>
      <c r="K15981" s="1" t="str">
        <f t="shared" si="4"/>
        <v/>
      </c>
    </row>
    <row r="15982">
      <c r="F15982" s="1" t="str">
        <f t="shared" si="1"/>
        <v/>
      </c>
      <c r="G15982" s="1" t="str">
        <f t="shared" si="2"/>
        <v/>
      </c>
      <c r="J15982" s="1" t="str">
        <f t="shared" si="3"/>
        <v/>
      </c>
      <c r="K15982" s="1" t="str">
        <f t="shared" si="4"/>
        <v/>
      </c>
    </row>
    <row r="15983">
      <c r="F15983" s="1" t="str">
        <f t="shared" si="1"/>
        <v/>
      </c>
      <c r="G15983" s="1" t="str">
        <f t="shared" si="2"/>
        <v/>
      </c>
      <c r="J15983" s="1" t="str">
        <f t="shared" si="3"/>
        <v/>
      </c>
      <c r="K15983" s="1" t="str">
        <f t="shared" si="4"/>
        <v/>
      </c>
    </row>
    <row r="15984">
      <c r="F15984" s="1" t="str">
        <f t="shared" si="1"/>
        <v/>
      </c>
      <c r="G15984" s="1" t="str">
        <f t="shared" si="2"/>
        <v/>
      </c>
      <c r="J15984" s="1" t="str">
        <f t="shared" si="3"/>
        <v/>
      </c>
      <c r="K15984" s="1" t="str">
        <f t="shared" si="4"/>
        <v/>
      </c>
    </row>
    <row r="15985">
      <c r="F15985" s="1" t="str">
        <f t="shared" si="1"/>
        <v/>
      </c>
      <c r="G15985" s="1" t="str">
        <f t="shared" si="2"/>
        <v/>
      </c>
      <c r="J15985" s="1" t="str">
        <f t="shared" si="3"/>
        <v/>
      </c>
      <c r="K15985" s="1" t="str">
        <f t="shared" si="4"/>
        <v/>
      </c>
    </row>
    <row r="15986">
      <c r="F15986" s="1" t="str">
        <f t="shared" si="1"/>
        <v/>
      </c>
      <c r="G15986" s="1" t="str">
        <f t="shared" si="2"/>
        <v/>
      </c>
      <c r="J15986" s="1" t="str">
        <f t="shared" si="3"/>
        <v/>
      </c>
      <c r="K15986" s="1" t="str">
        <f t="shared" si="4"/>
        <v/>
      </c>
    </row>
    <row r="15987">
      <c r="F15987" s="1" t="str">
        <f t="shared" si="1"/>
        <v/>
      </c>
      <c r="G15987" s="1" t="str">
        <f t="shared" si="2"/>
        <v/>
      </c>
      <c r="J15987" s="1" t="str">
        <f t="shared" si="3"/>
        <v/>
      </c>
      <c r="K15987" s="1" t="str">
        <f t="shared" si="4"/>
        <v/>
      </c>
    </row>
    <row r="15988">
      <c r="F15988" s="1" t="str">
        <f t="shared" si="1"/>
        <v/>
      </c>
      <c r="G15988" s="1" t="str">
        <f t="shared" si="2"/>
        <v/>
      </c>
      <c r="J15988" s="1" t="str">
        <f t="shared" si="3"/>
        <v/>
      </c>
      <c r="K15988" s="1" t="str">
        <f t="shared" si="4"/>
        <v/>
      </c>
    </row>
    <row r="15989">
      <c r="F15989" s="1" t="str">
        <f t="shared" si="1"/>
        <v/>
      </c>
      <c r="G15989" s="1" t="str">
        <f t="shared" si="2"/>
        <v/>
      </c>
      <c r="J15989" s="1" t="str">
        <f t="shared" si="3"/>
        <v/>
      </c>
      <c r="K15989" s="1" t="str">
        <f t="shared" si="4"/>
        <v/>
      </c>
    </row>
    <row r="15990">
      <c r="F15990" s="1" t="str">
        <f t="shared" si="1"/>
        <v/>
      </c>
      <c r="G15990" s="1" t="str">
        <f t="shared" si="2"/>
        <v/>
      </c>
      <c r="J15990" s="1" t="str">
        <f t="shared" si="3"/>
        <v/>
      </c>
      <c r="K15990" s="1" t="str">
        <f t="shared" si="4"/>
        <v/>
      </c>
    </row>
    <row r="15991">
      <c r="F15991" s="1" t="str">
        <f t="shared" si="1"/>
        <v/>
      </c>
      <c r="G15991" s="1" t="str">
        <f t="shared" si="2"/>
        <v/>
      </c>
      <c r="J15991" s="1" t="str">
        <f t="shared" si="3"/>
        <v/>
      </c>
      <c r="K15991" s="1" t="str">
        <f t="shared" si="4"/>
        <v/>
      </c>
    </row>
    <row r="15992">
      <c r="F15992" s="1" t="str">
        <f t="shared" si="1"/>
        <v/>
      </c>
      <c r="G15992" s="1" t="str">
        <f t="shared" si="2"/>
        <v/>
      </c>
      <c r="J15992" s="1" t="str">
        <f t="shared" si="3"/>
        <v/>
      </c>
      <c r="K15992" s="1" t="str">
        <f t="shared" si="4"/>
        <v/>
      </c>
    </row>
    <row r="15993">
      <c r="F15993" s="1" t="str">
        <f t="shared" si="1"/>
        <v/>
      </c>
      <c r="G15993" s="1" t="str">
        <f t="shared" si="2"/>
        <v/>
      </c>
      <c r="J15993" s="1" t="str">
        <f t="shared" si="3"/>
        <v/>
      </c>
      <c r="K15993" s="1" t="str">
        <f t="shared" si="4"/>
        <v/>
      </c>
    </row>
    <row r="15994">
      <c r="F15994" s="1" t="str">
        <f t="shared" si="1"/>
        <v/>
      </c>
      <c r="G15994" s="1" t="str">
        <f t="shared" si="2"/>
        <v/>
      </c>
      <c r="J15994" s="1" t="str">
        <f t="shared" si="3"/>
        <v/>
      </c>
      <c r="K15994" s="1" t="str">
        <f t="shared" si="4"/>
        <v/>
      </c>
    </row>
    <row r="15995">
      <c r="F15995" s="1" t="str">
        <f t="shared" si="1"/>
        <v/>
      </c>
      <c r="G15995" s="1" t="str">
        <f t="shared" si="2"/>
        <v/>
      </c>
      <c r="J15995" s="1" t="str">
        <f t="shared" si="3"/>
        <v/>
      </c>
      <c r="K15995" s="1" t="str">
        <f t="shared" si="4"/>
        <v/>
      </c>
    </row>
    <row r="15996">
      <c r="F15996" s="1" t="str">
        <f t="shared" si="1"/>
        <v/>
      </c>
      <c r="G15996" s="1" t="str">
        <f t="shared" si="2"/>
        <v/>
      </c>
      <c r="J15996" s="1" t="str">
        <f t="shared" si="3"/>
        <v/>
      </c>
      <c r="K15996" s="1" t="str">
        <f t="shared" si="4"/>
        <v/>
      </c>
    </row>
    <row r="15997">
      <c r="F15997" s="1" t="str">
        <f t="shared" si="1"/>
        <v/>
      </c>
      <c r="G15997" s="1" t="str">
        <f t="shared" si="2"/>
        <v/>
      </c>
      <c r="J15997" s="1" t="str">
        <f t="shared" si="3"/>
        <v/>
      </c>
      <c r="K15997" s="1" t="str">
        <f t="shared" si="4"/>
        <v/>
      </c>
    </row>
    <row r="15998">
      <c r="F15998" s="1" t="str">
        <f t="shared" si="1"/>
        <v/>
      </c>
      <c r="G15998" s="1" t="str">
        <f t="shared" si="2"/>
        <v/>
      </c>
      <c r="J15998" s="1" t="str">
        <f t="shared" si="3"/>
        <v/>
      </c>
      <c r="K15998" s="1" t="str">
        <f t="shared" si="4"/>
        <v/>
      </c>
    </row>
    <row r="15999">
      <c r="F15999" s="1" t="str">
        <f t="shared" si="1"/>
        <v/>
      </c>
      <c r="G15999" s="1" t="str">
        <f t="shared" si="2"/>
        <v/>
      </c>
      <c r="J15999" s="1" t="str">
        <f t="shared" si="3"/>
        <v/>
      </c>
      <c r="K15999" s="1" t="str">
        <f t="shared" si="4"/>
        <v/>
      </c>
    </row>
    <row r="16000">
      <c r="F16000" s="1" t="str">
        <f t="shared" si="1"/>
        <v/>
      </c>
      <c r="G16000" s="1" t="str">
        <f t="shared" si="2"/>
        <v/>
      </c>
      <c r="J16000" s="1" t="str">
        <f t="shared" si="3"/>
        <v/>
      </c>
      <c r="K16000" s="1" t="str">
        <f t="shared" si="4"/>
        <v/>
      </c>
    </row>
    <row r="16001">
      <c r="F16001" s="1" t="str">
        <f t="shared" si="1"/>
        <v/>
      </c>
      <c r="G16001" s="1" t="str">
        <f t="shared" si="2"/>
        <v/>
      </c>
      <c r="J16001" s="1" t="str">
        <f t="shared" si="3"/>
        <v/>
      </c>
      <c r="K16001" s="1" t="str">
        <f t="shared" si="4"/>
        <v/>
      </c>
    </row>
    <row r="16002">
      <c r="F16002" s="1" t="str">
        <f t="shared" si="1"/>
        <v/>
      </c>
      <c r="G16002" s="1" t="str">
        <f t="shared" si="2"/>
        <v/>
      </c>
      <c r="J16002" s="1" t="str">
        <f t="shared" si="3"/>
        <v/>
      </c>
      <c r="K16002" s="1" t="str">
        <f t="shared" si="4"/>
        <v/>
      </c>
    </row>
    <row r="16003">
      <c r="F16003" s="1" t="str">
        <f t="shared" si="1"/>
        <v/>
      </c>
      <c r="G16003" s="1" t="str">
        <f t="shared" si="2"/>
        <v/>
      </c>
      <c r="J16003" s="1" t="str">
        <f t="shared" si="3"/>
        <v/>
      </c>
      <c r="K16003" s="1" t="str">
        <f t="shared" si="4"/>
        <v/>
      </c>
    </row>
    <row r="16004">
      <c r="F16004" s="1" t="str">
        <f t="shared" si="1"/>
        <v/>
      </c>
      <c r="G16004" s="1" t="str">
        <f t="shared" si="2"/>
        <v/>
      </c>
      <c r="J16004" s="1" t="str">
        <f t="shared" si="3"/>
        <v/>
      </c>
      <c r="K16004" s="1" t="str">
        <f t="shared" si="4"/>
        <v/>
      </c>
    </row>
    <row r="16005">
      <c r="F16005" s="1" t="str">
        <f t="shared" si="1"/>
        <v/>
      </c>
      <c r="G16005" s="1" t="str">
        <f t="shared" si="2"/>
        <v/>
      </c>
      <c r="J16005" s="1" t="str">
        <f t="shared" si="3"/>
        <v/>
      </c>
      <c r="K16005" s="1" t="str">
        <f t="shared" si="4"/>
        <v/>
      </c>
    </row>
    <row r="16006">
      <c r="F16006" s="1" t="str">
        <f t="shared" si="1"/>
        <v/>
      </c>
      <c r="G16006" s="1" t="str">
        <f t="shared" si="2"/>
        <v/>
      </c>
      <c r="J16006" s="1" t="str">
        <f t="shared" si="3"/>
        <v/>
      </c>
      <c r="K16006" s="1" t="str">
        <f t="shared" si="4"/>
        <v/>
      </c>
    </row>
    <row r="16007">
      <c r="F16007" s="1" t="str">
        <f t="shared" si="1"/>
        <v/>
      </c>
      <c r="G16007" s="1" t="str">
        <f t="shared" si="2"/>
        <v/>
      </c>
      <c r="J16007" s="1" t="str">
        <f t="shared" si="3"/>
        <v/>
      </c>
      <c r="K16007" s="1" t="str">
        <f t="shared" si="4"/>
        <v/>
      </c>
    </row>
    <row r="16008">
      <c r="F16008" s="1" t="str">
        <f t="shared" si="1"/>
        <v/>
      </c>
      <c r="G16008" s="1" t="str">
        <f t="shared" si="2"/>
        <v/>
      </c>
      <c r="J16008" s="1" t="str">
        <f t="shared" si="3"/>
        <v/>
      </c>
      <c r="K16008" s="1" t="str">
        <f t="shared" si="4"/>
        <v/>
      </c>
    </row>
    <row r="16009">
      <c r="F16009" s="1" t="str">
        <f t="shared" si="1"/>
        <v/>
      </c>
      <c r="G16009" s="1" t="str">
        <f t="shared" si="2"/>
        <v/>
      </c>
      <c r="J16009" s="1" t="str">
        <f t="shared" si="3"/>
        <v/>
      </c>
      <c r="K16009" s="1" t="str">
        <f t="shared" si="4"/>
        <v/>
      </c>
    </row>
    <row r="16010">
      <c r="F16010" s="1" t="str">
        <f t="shared" si="1"/>
        <v/>
      </c>
      <c r="G16010" s="1" t="str">
        <f t="shared" si="2"/>
        <v/>
      </c>
      <c r="J16010" s="1" t="str">
        <f t="shared" si="3"/>
        <v/>
      </c>
      <c r="K16010" s="1" t="str">
        <f t="shared" si="4"/>
        <v/>
      </c>
    </row>
    <row r="16011">
      <c r="F16011" s="1" t="str">
        <f t="shared" si="1"/>
        <v/>
      </c>
      <c r="G16011" s="1" t="str">
        <f t="shared" si="2"/>
        <v/>
      </c>
      <c r="J16011" s="1" t="str">
        <f t="shared" si="3"/>
        <v/>
      </c>
      <c r="K16011" s="1" t="str">
        <f t="shared" si="4"/>
        <v/>
      </c>
    </row>
    <row r="16012">
      <c r="F16012" s="1" t="str">
        <f t="shared" si="1"/>
        <v/>
      </c>
      <c r="G16012" s="1" t="str">
        <f t="shared" si="2"/>
        <v/>
      </c>
      <c r="J16012" s="1" t="str">
        <f t="shared" si="3"/>
        <v/>
      </c>
      <c r="K16012" s="1" t="str">
        <f t="shared" si="4"/>
        <v/>
      </c>
    </row>
    <row r="16013">
      <c r="F16013" s="1" t="str">
        <f t="shared" si="1"/>
        <v/>
      </c>
      <c r="G16013" s="1" t="str">
        <f t="shared" si="2"/>
        <v/>
      </c>
      <c r="J16013" s="1" t="str">
        <f t="shared" si="3"/>
        <v/>
      </c>
      <c r="K16013" s="1" t="str">
        <f t="shared" si="4"/>
        <v/>
      </c>
    </row>
    <row r="16014">
      <c r="F16014" s="1" t="str">
        <f t="shared" si="1"/>
        <v/>
      </c>
      <c r="G16014" s="1" t="str">
        <f t="shared" si="2"/>
        <v/>
      </c>
      <c r="J16014" s="1" t="str">
        <f t="shared" si="3"/>
        <v/>
      </c>
      <c r="K16014" s="1" t="str">
        <f t="shared" si="4"/>
        <v/>
      </c>
    </row>
    <row r="16015">
      <c r="F16015" s="1" t="str">
        <f t="shared" si="1"/>
        <v/>
      </c>
      <c r="G16015" s="1" t="str">
        <f t="shared" si="2"/>
        <v/>
      </c>
      <c r="J16015" s="1" t="str">
        <f t="shared" si="3"/>
        <v/>
      </c>
      <c r="K16015" s="1" t="str">
        <f t="shared" si="4"/>
        <v/>
      </c>
    </row>
    <row r="16016">
      <c r="F16016" s="1" t="str">
        <f t="shared" si="1"/>
        <v/>
      </c>
      <c r="G16016" s="1" t="str">
        <f t="shared" si="2"/>
        <v/>
      </c>
      <c r="J16016" s="1" t="str">
        <f t="shared" si="3"/>
        <v/>
      </c>
      <c r="K16016" s="1" t="str">
        <f t="shared" si="4"/>
        <v/>
      </c>
    </row>
    <row r="16017">
      <c r="F16017" s="1" t="str">
        <f t="shared" si="1"/>
        <v/>
      </c>
      <c r="G16017" s="1" t="str">
        <f t="shared" si="2"/>
        <v/>
      </c>
      <c r="J16017" s="1" t="str">
        <f t="shared" si="3"/>
        <v/>
      </c>
      <c r="K16017" s="1" t="str">
        <f t="shared" si="4"/>
        <v/>
      </c>
    </row>
    <row r="16018">
      <c r="F16018" s="1" t="str">
        <f t="shared" si="1"/>
        <v/>
      </c>
      <c r="G16018" s="1" t="str">
        <f t="shared" si="2"/>
        <v/>
      </c>
      <c r="J16018" s="1" t="str">
        <f t="shared" si="3"/>
        <v/>
      </c>
      <c r="K16018" s="1" t="str">
        <f t="shared" si="4"/>
        <v/>
      </c>
    </row>
    <row r="16019">
      <c r="F16019" s="1" t="str">
        <f t="shared" si="1"/>
        <v/>
      </c>
      <c r="G16019" s="1" t="str">
        <f t="shared" si="2"/>
        <v/>
      </c>
      <c r="J16019" s="1" t="str">
        <f t="shared" si="3"/>
        <v/>
      </c>
      <c r="K16019" s="1" t="str">
        <f t="shared" si="4"/>
        <v/>
      </c>
    </row>
    <row r="16020">
      <c r="F16020" s="1" t="str">
        <f t="shared" si="1"/>
        <v/>
      </c>
      <c r="G16020" s="1" t="str">
        <f t="shared" si="2"/>
        <v/>
      </c>
      <c r="J16020" s="1" t="str">
        <f t="shared" si="3"/>
        <v/>
      </c>
      <c r="K16020" s="1" t="str">
        <f t="shared" si="4"/>
        <v/>
      </c>
    </row>
    <row r="16021">
      <c r="F16021" s="1" t="str">
        <f t="shared" si="1"/>
        <v/>
      </c>
      <c r="G16021" s="1" t="str">
        <f t="shared" si="2"/>
        <v/>
      </c>
      <c r="J16021" s="1" t="str">
        <f t="shared" si="3"/>
        <v/>
      </c>
      <c r="K16021" s="1" t="str">
        <f t="shared" si="4"/>
        <v/>
      </c>
    </row>
    <row r="16022">
      <c r="F16022" s="1" t="str">
        <f t="shared" si="1"/>
        <v/>
      </c>
      <c r="G16022" s="1" t="str">
        <f t="shared" si="2"/>
        <v/>
      </c>
      <c r="J16022" s="1" t="str">
        <f t="shared" si="3"/>
        <v/>
      </c>
      <c r="K16022" s="1" t="str">
        <f t="shared" si="4"/>
        <v/>
      </c>
    </row>
    <row r="16023">
      <c r="F16023" s="1" t="str">
        <f t="shared" si="1"/>
        <v/>
      </c>
      <c r="G16023" s="1" t="str">
        <f t="shared" si="2"/>
        <v/>
      </c>
      <c r="J16023" s="1" t="str">
        <f t="shared" si="3"/>
        <v/>
      </c>
      <c r="K16023" s="1" t="str">
        <f t="shared" si="4"/>
        <v/>
      </c>
    </row>
    <row r="16024">
      <c r="F16024" s="1" t="str">
        <f t="shared" si="1"/>
        <v/>
      </c>
      <c r="G16024" s="1" t="str">
        <f t="shared" si="2"/>
        <v/>
      </c>
      <c r="J16024" s="1" t="str">
        <f t="shared" si="3"/>
        <v/>
      </c>
      <c r="K16024" s="1" t="str">
        <f t="shared" si="4"/>
        <v/>
      </c>
    </row>
    <row r="16025">
      <c r="F16025" s="1" t="str">
        <f t="shared" si="1"/>
        <v/>
      </c>
      <c r="G16025" s="1" t="str">
        <f t="shared" si="2"/>
        <v/>
      </c>
      <c r="J16025" s="1" t="str">
        <f t="shared" si="3"/>
        <v/>
      </c>
      <c r="K16025" s="1" t="str">
        <f t="shared" si="4"/>
        <v/>
      </c>
    </row>
    <row r="16026">
      <c r="F16026" s="1" t="str">
        <f t="shared" si="1"/>
        <v/>
      </c>
      <c r="G16026" s="1" t="str">
        <f t="shared" si="2"/>
        <v/>
      </c>
      <c r="J16026" s="1" t="str">
        <f t="shared" si="3"/>
        <v/>
      </c>
      <c r="K16026" s="1" t="str">
        <f t="shared" si="4"/>
        <v/>
      </c>
    </row>
    <row r="16027">
      <c r="F16027" s="1" t="str">
        <f t="shared" si="1"/>
        <v/>
      </c>
      <c r="G16027" s="1" t="str">
        <f t="shared" si="2"/>
        <v/>
      </c>
      <c r="J16027" s="1" t="str">
        <f t="shared" si="3"/>
        <v/>
      </c>
      <c r="K16027" s="1" t="str">
        <f t="shared" si="4"/>
        <v/>
      </c>
    </row>
    <row r="16028">
      <c r="F16028" s="1" t="str">
        <f t="shared" si="1"/>
        <v/>
      </c>
      <c r="G16028" s="1" t="str">
        <f t="shared" si="2"/>
        <v/>
      </c>
      <c r="J16028" s="1" t="str">
        <f t="shared" si="3"/>
        <v/>
      </c>
      <c r="K16028" s="1" t="str">
        <f t="shared" si="4"/>
        <v/>
      </c>
    </row>
    <row r="16029">
      <c r="F16029" s="1" t="str">
        <f t="shared" si="1"/>
        <v/>
      </c>
      <c r="G16029" s="1" t="str">
        <f t="shared" si="2"/>
        <v/>
      </c>
      <c r="J16029" s="1" t="str">
        <f t="shared" si="3"/>
        <v/>
      </c>
      <c r="K16029" s="1" t="str">
        <f t="shared" si="4"/>
        <v/>
      </c>
    </row>
    <row r="16030">
      <c r="F16030" s="1" t="str">
        <f t="shared" si="1"/>
        <v/>
      </c>
      <c r="G16030" s="1" t="str">
        <f t="shared" si="2"/>
        <v/>
      </c>
      <c r="J16030" s="1" t="str">
        <f t="shared" si="3"/>
        <v/>
      </c>
      <c r="K16030" s="1" t="str">
        <f t="shared" si="4"/>
        <v/>
      </c>
    </row>
    <row r="16031">
      <c r="F16031" s="1" t="str">
        <f t="shared" si="1"/>
        <v/>
      </c>
      <c r="G16031" s="1" t="str">
        <f t="shared" si="2"/>
        <v/>
      </c>
      <c r="J16031" s="1" t="str">
        <f t="shared" si="3"/>
        <v/>
      </c>
      <c r="K16031" s="1" t="str">
        <f t="shared" si="4"/>
        <v/>
      </c>
    </row>
    <row r="16032">
      <c r="F16032" s="1" t="str">
        <f t="shared" si="1"/>
        <v/>
      </c>
      <c r="G16032" s="1" t="str">
        <f t="shared" si="2"/>
        <v/>
      </c>
      <c r="J16032" s="1" t="str">
        <f t="shared" si="3"/>
        <v/>
      </c>
      <c r="K16032" s="1" t="str">
        <f t="shared" si="4"/>
        <v/>
      </c>
    </row>
    <row r="16033">
      <c r="F16033" s="1" t="str">
        <f t="shared" si="1"/>
        <v/>
      </c>
      <c r="G16033" s="1" t="str">
        <f t="shared" si="2"/>
        <v/>
      </c>
      <c r="J16033" s="1" t="str">
        <f t="shared" si="3"/>
        <v/>
      </c>
      <c r="K16033" s="1" t="str">
        <f t="shared" si="4"/>
        <v/>
      </c>
    </row>
    <row r="16034">
      <c r="F16034" s="1" t="str">
        <f t="shared" si="1"/>
        <v/>
      </c>
      <c r="G16034" s="1" t="str">
        <f t="shared" si="2"/>
        <v/>
      </c>
      <c r="J16034" s="1" t="str">
        <f t="shared" si="3"/>
        <v/>
      </c>
      <c r="K16034" s="1" t="str">
        <f t="shared" si="4"/>
        <v/>
      </c>
    </row>
    <row r="16035">
      <c r="F16035" s="1" t="str">
        <f t="shared" si="1"/>
        <v/>
      </c>
      <c r="G16035" s="1" t="str">
        <f t="shared" si="2"/>
        <v/>
      </c>
      <c r="J16035" s="1" t="str">
        <f t="shared" si="3"/>
        <v/>
      </c>
      <c r="K16035" s="1" t="str">
        <f t="shared" si="4"/>
        <v/>
      </c>
    </row>
    <row r="16036">
      <c r="F16036" s="1" t="str">
        <f t="shared" si="1"/>
        <v/>
      </c>
      <c r="G16036" s="1" t="str">
        <f t="shared" si="2"/>
        <v/>
      </c>
      <c r="J16036" s="1" t="str">
        <f t="shared" si="3"/>
        <v/>
      </c>
      <c r="K16036" s="1" t="str">
        <f t="shared" si="4"/>
        <v/>
      </c>
    </row>
    <row r="16037">
      <c r="F16037" s="1" t="str">
        <f t="shared" si="1"/>
        <v/>
      </c>
      <c r="G16037" s="1" t="str">
        <f t="shared" si="2"/>
        <v/>
      </c>
      <c r="J16037" s="1" t="str">
        <f t="shared" si="3"/>
        <v/>
      </c>
      <c r="K16037" s="1" t="str">
        <f t="shared" si="4"/>
        <v/>
      </c>
    </row>
    <row r="16038">
      <c r="F16038" s="1" t="str">
        <f t="shared" si="1"/>
        <v/>
      </c>
      <c r="G16038" s="1" t="str">
        <f t="shared" si="2"/>
        <v/>
      </c>
      <c r="J16038" s="1" t="str">
        <f t="shared" si="3"/>
        <v/>
      </c>
      <c r="K16038" s="1" t="str">
        <f t="shared" si="4"/>
        <v/>
      </c>
    </row>
    <row r="16039">
      <c r="F16039" s="1" t="str">
        <f t="shared" si="1"/>
        <v/>
      </c>
      <c r="G16039" s="1" t="str">
        <f t="shared" si="2"/>
        <v/>
      </c>
      <c r="J16039" s="1" t="str">
        <f t="shared" si="3"/>
        <v/>
      </c>
      <c r="K16039" s="1" t="str">
        <f t="shared" si="4"/>
        <v/>
      </c>
    </row>
    <row r="16040">
      <c r="F16040" s="1" t="str">
        <f t="shared" si="1"/>
        <v/>
      </c>
      <c r="G16040" s="1" t="str">
        <f t="shared" si="2"/>
        <v/>
      </c>
      <c r="J16040" s="1" t="str">
        <f t="shared" si="3"/>
        <v/>
      </c>
      <c r="K16040" s="1" t="str">
        <f t="shared" si="4"/>
        <v/>
      </c>
    </row>
    <row r="16041">
      <c r="F16041" s="1" t="str">
        <f t="shared" si="1"/>
        <v/>
      </c>
      <c r="G16041" s="1" t="str">
        <f t="shared" si="2"/>
        <v/>
      </c>
      <c r="J16041" s="1" t="str">
        <f t="shared" si="3"/>
        <v/>
      </c>
      <c r="K16041" s="1" t="str">
        <f t="shared" si="4"/>
        <v/>
      </c>
    </row>
    <row r="16042">
      <c r="F16042" s="1" t="str">
        <f t="shared" si="1"/>
        <v/>
      </c>
      <c r="G16042" s="1" t="str">
        <f t="shared" si="2"/>
        <v/>
      </c>
      <c r="J16042" s="1" t="str">
        <f t="shared" si="3"/>
        <v/>
      </c>
      <c r="K16042" s="1" t="str">
        <f t="shared" si="4"/>
        <v/>
      </c>
    </row>
    <row r="16043">
      <c r="F16043" s="1" t="str">
        <f t="shared" si="1"/>
        <v/>
      </c>
      <c r="G16043" s="1" t="str">
        <f t="shared" si="2"/>
        <v/>
      </c>
      <c r="J16043" s="1" t="str">
        <f t="shared" si="3"/>
        <v/>
      </c>
      <c r="K16043" s="1" t="str">
        <f t="shared" si="4"/>
        <v/>
      </c>
    </row>
    <row r="16044">
      <c r="F16044" s="1" t="str">
        <f t="shared" si="1"/>
        <v/>
      </c>
      <c r="G16044" s="1" t="str">
        <f t="shared" si="2"/>
        <v/>
      </c>
      <c r="J16044" s="1" t="str">
        <f t="shared" si="3"/>
        <v/>
      </c>
      <c r="K16044" s="1" t="str">
        <f t="shared" si="4"/>
        <v/>
      </c>
    </row>
    <row r="16045">
      <c r="F16045" s="1" t="str">
        <f t="shared" si="1"/>
        <v/>
      </c>
      <c r="G16045" s="1" t="str">
        <f t="shared" si="2"/>
        <v/>
      </c>
      <c r="J16045" s="1" t="str">
        <f t="shared" si="3"/>
        <v/>
      </c>
      <c r="K16045" s="1" t="str">
        <f t="shared" si="4"/>
        <v/>
      </c>
    </row>
    <row r="16046">
      <c r="F16046" s="1" t="str">
        <f t="shared" si="1"/>
        <v/>
      </c>
      <c r="G16046" s="1" t="str">
        <f t="shared" si="2"/>
        <v/>
      </c>
      <c r="J16046" s="1" t="str">
        <f t="shared" si="3"/>
        <v/>
      </c>
      <c r="K16046" s="1" t="str">
        <f t="shared" si="4"/>
        <v/>
      </c>
    </row>
    <row r="16047">
      <c r="F16047" s="1" t="str">
        <f t="shared" si="1"/>
        <v/>
      </c>
      <c r="G16047" s="1" t="str">
        <f t="shared" si="2"/>
        <v/>
      </c>
      <c r="J16047" s="1" t="str">
        <f t="shared" si="3"/>
        <v/>
      </c>
      <c r="K16047" s="1" t="str">
        <f t="shared" si="4"/>
        <v/>
      </c>
    </row>
    <row r="16048">
      <c r="F16048" s="1" t="str">
        <f t="shared" si="1"/>
        <v/>
      </c>
      <c r="G16048" s="1" t="str">
        <f t="shared" si="2"/>
        <v/>
      </c>
      <c r="J16048" s="1" t="str">
        <f t="shared" si="3"/>
        <v/>
      </c>
      <c r="K16048" s="1" t="str">
        <f t="shared" si="4"/>
        <v/>
      </c>
    </row>
    <row r="16049">
      <c r="F16049" s="1" t="str">
        <f t="shared" si="1"/>
        <v/>
      </c>
      <c r="G16049" s="1" t="str">
        <f t="shared" si="2"/>
        <v/>
      </c>
      <c r="J16049" s="1" t="str">
        <f t="shared" si="3"/>
        <v/>
      </c>
      <c r="K16049" s="1" t="str">
        <f t="shared" si="4"/>
        <v/>
      </c>
    </row>
    <row r="16050">
      <c r="F16050" s="1" t="str">
        <f t="shared" si="1"/>
        <v/>
      </c>
      <c r="G16050" s="1" t="str">
        <f t="shared" si="2"/>
        <v/>
      </c>
      <c r="J16050" s="1" t="str">
        <f t="shared" si="3"/>
        <v/>
      </c>
      <c r="K16050" s="1" t="str">
        <f t="shared" si="4"/>
        <v/>
      </c>
    </row>
    <row r="16051">
      <c r="F16051" s="1" t="str">
        <f t="shared" si="1"/>
        <v/>
      </c>
      <c r="G16051" s="1" t="str">
        <f t="shared" si="2"/>
        <v/>
      </c>
      <c r="J16051" s="1" t="str">
        <f t="shared" si="3"/>
        <v/>
      </c>
      <c r="K16051" s="1" t="str">
        <f t="shared" si="4"/>
        <v/>
      </c>
    </row>
    <row r="16052">
      <c r="F16052" s="1" t="str">
        <f t="shared" si="1"/>
        <v/>
      </c>
      <c r="G16052" s="1" t="str">
        <f t="shared" si="2"/>
        <v/>
      </c>
      <c r="J16052" s="1" t="str">
        <f t="shared" si="3"/>
        <v/>
      </c>
      <c r="K16052" s="1" t="str">
        <f t="shared" si="4"/>
        <v/>
      </c>
    </row>
    <row r="16053">
      <c r="F16053" s="1" t="str">
        <f t="shared" si="1"/>
        <v/>
      </c>
      <c r="G16053" s="1" t="str">
        <f t="shared" si="2"/>
        <v/>
      </c>
      <c r="J16053" s="1" t="str">
        <f t="shared" si="3"/>
        <v/>
      </c>
      <c r="K16053" s="1" t="str">
        <f t="shared" si="4"/>
        <v/>
      </c>
    </row>
    <row r="16054">
      <c r="F16054" s="1" t="str">
        <f t="shared" si="1"/>
        <v/>
      </c>
      <c r="G16054" s="1" t="str">
        <f t="shared" si="2"/>
        <v/>
      </c>
      <c r="J16054" s="1" t="str">
        <f t="shared" si="3"/>
        <v/>
      </c>
      <c r="K16054" s="1" t="str">
        <f t="shared" si="4"/>
        <v/>
      </c>
    </row>
    <row r="16055">
      <c r="F16055" s="1" t="str">
        <f t="shared" si="1"/>
        <v/>
      </c>
      <c r="G16055" s="1" t="str">
        <f t="shared" si="2"/>
        <v/>
      </c>
      <c r="J16055" s="1" t="str">
        <f t="shared" si="3"/>
        <v/>
      </c>
      <c r="K16055" s="1" t="str">
        <f t="shared" si="4"/>
        <v/>
      </c>
    </row>
    <row r="16056">
      <c r="F16056" s="1" t="str">
        <f t="shared" si="1"/>
        <v/>
      </c>
      <c r="G16056" s="1" t="str">
        <f t="shared" si="2"/>
        <v/>
      </c>
      <c r="J16056" s="1" t="str">
        <f t="shared" si="3"/>
        <v/>
      </c>
      <c r="K16056" s="1" t="str">
        <f t="shared" si="4"/>
        <v/>
      </c>
    </row>
    <row r="16057">
      <c r="F16057" s="1" t="str">
        <f t="shared" si="1"/>
        <v/>
      </c>
      <c r="G16057" s="1" t="str">
        <f t="shared" si="2"/>
        <v/>
      </c>
      <c r="J16057" s="1" t="str">
        <f t="shared" si="3"/>
        <v/>
      </c>
      <c r="K16057" s="1" t="str">
        <f t="shared" si="4"/>
        <v/>
      </c>
    </row>
    <row r="16058">
      <c r="F16058" s="1" t="str">
        <f t="shared" si="1"/>
        <v/>
      </c>
      <c r="G16058" s="1" t="str">
        <f t="shared" si="2"/>
        <v/>
      </c>
      <c r="J16058" s="1" t="str">
        <f t="shared" si="3"/>
        <v/>
      </c>
      <c r="K16058" s="1" t="str">
        <f t="shared" si="4"/>
        <v/>
      </c>
    </row>
    <row r="16059">
      <c r="F16059" s="1" t="str">
        <f t="shared" si="1"/>
        <v/>
      </c>
      <c r="G16059" s="1" t="str">
        <f t="shared" si="2"/>
        <v/>
      </c>
      <c r="J16059" s="1" t="str">
        <f t="shared" si="3"/>
        <v/>
      </c>
      <c r="K16059" s="1" t="str">
        <f t="shared" si="4"/>
        <v/>
      </c>
    </row>
    <row r="16060">
      <c r="F16060" s="1" t="str">
        <f t="shared" si="1"/>
        <v/>
      </c>
      <c r="G16060" s="1" t="str">
        <f t="shared" si="2"/>
        <v/>
      </c>
      <c r="J16060" s="1" t="str">
        <f t="shared" si="3"/>
        <v/>
      </c>
      <c r="K16060" s="1" t="str">
        <f t="shared" si="4"/>
        <v/>
      </c>
    </row>
    <row r="16061">
      <c r="F16061" s="1" t="str">
        <f t="shared" si="1"/>
        <v/>
      </c>
      <c r="G16061" s="1" t="str">
        <f t="shared" si="2"/>
        <v/>
      </c>
      <c r="J16061" s="1" t="str">
        <f t="shared" si="3"/>
        <v/>
      </c>
      <c r="K16061" s="1" t="str">
        <f t="shared" si="4"/>
        <v/>
      </c>
    </row>
    <row r="16062">
      <c r="F16062" s="1" t="str">
        <f t="shared" si="1"/>
        <v/>
      </c>
      <c r="G16062" s="1" t="str">
        <f t="shared" si="2"/>
        <v/>
      </c>
      <c r="J16062" s="1" t="str">
        <f t="shared" si="3"/>
        <v/>
      </c>
      <c r="K16062" s="1" t="str">
        <f t="shared" si="4"/>
        <v/>
      </c>
    </row>
    <row r="16063">
      <c r="F16063" s="1" t="str">
        <f t="shared" si="1"/>
        <v/>
      </c>
      <c r="G16063" s="1" t="str">
        <f t="shared" si="2"/>
        <v/>
      </c>
      <c r="J16063" s="1" t="str">
        <f t="shared" si="3"/>
        <v/>
      </c>
      <c r="K16063" s="1" t="str">
        <f t="shared" si="4"/>
        <v/>
      </c>
    </row>
    <row r="16064">
      <c r="F16064" s="1" t="str">
        <f t="shared" si="1"/>
        <v/>
      </c>
      <c r="G16064" s="1" t="str">
        <f t="shared" si="2"/>
        <v/>
      </c>
      <c r="J16064" s="1" t="str">
        <f t="shared" si="3"/>
        <v/>
      </c>
      <c r="K16064" s="1" t="str">
        <f t="shared" si="4"/>
        <v/>
      </c>
    </row>
    <row r="16065">
      <c r="F16065" s="1" t="str">
        <f t="shared" si="1"/>
        <v/>
      </c>
      <c r="G16065" s="1" t="str">
        <f t="shared" si="2"/>
        <v/>
      </c>
      <c r="J16065" s="1" t="str">
        <f t="shared" si="3"/>
        <v/>
      </c>
      <c r="K16065" s="1" t="str">
        <f t="shared" si="4"/>
        <v/>
      </c>
    </row>
    <row r="16066">
      <c r="F16066" s="1" t="str">
        <f t="shared" si="1"/>
        <v/>
      </c>
      <c r="G16066" s="1" t="str">
        <f t="shared" si="2"/>
        <v/>
      </c>
      <c r="J16066" s="1" t="str">
        <f t="shared" si="3"/>
        <v/>
      </c>
      <c r="K16066" s="1" t="str">
        <f t="shared" si="4"/>
        <v/>
      </c>
    </row>
    <row r="16067">
      <c r="F16067" s="1" t="str">
        <f t="shared" si="1"/>
        <v/>
      </c>
      <c r="G16067" s="1" t="str">
        <f t="shared" si="2"/>
        <v/>
      </c>
      <c r="J16067" s="1" t="str">
        <f t="shared" si="3"/>
        <v/>
      </c>
      <c r="K16067" s="1" t="str">
        <f t="shared" si="4"/>
        <v/>
      </c>
    </row>
    <row r="16068">
      <c r="F16068" s="1" t="str">
        <f t="shared" si="1"/>
        <v/>
      </c>
      <c r="G16068" s="1" t="str">
        <f t="shared" si="2"/>
        <v/>
      </c>
      <c r="J16068" s="1" t="str">
        <f t="shared" si="3"/>
        <v/>
      </c>
      <c r="K16068" s="1" t="str">
        <f t="shared" si="4"/>
        <v/>
      </c>
    </row>
    <row r="16069">
      <c r="F16069" s="1" t="str">
        <f t="shared" si="1"/>
        <v/>
      </c>
      <c r="G16069" s="1" t="str">
        <f t="shared" si="2"/>
        <v/>
      </c>
      <c r="J16069" s="1" t="str">
        <f t="shared" si="3"/>
        <v/>
      </c>
      <c r="K16069" s="1" t="str">
        <f t="shared" si="4"/>
        <v/>
      </c>
    </row>
    <row r="16070">
      <c r="F16070" s="1" t="str">
        <f t="shared" si="1"/>
        <v/>
      </c>
      <c r="G16070" s="1" t="str">
        <f t="shared" si="2"/>
        <v/>
      </c>
      <c r="J16070" s="1" t="str">
        <f t="shared" si="3"/>
        <v/>
      </c>
      <c r="K16070" s="1" t="str">
        <f t="shared" si="4"/>
        <v/>
      </c>
    </row>
    <row r="16071">
      <c r="F16071" s="1" t="str">
        <f t="shared" si="1"/>
        <v/>
      </c>
      <c r="G16071" s="1" t="str">
        <f t="shared" si="2"/>
        <v/>
      </c>
      <c r="J16071" s="1" t="str">
        <f t="shared" si="3"/>
        <v/>
      </c>
      <c r="K16071" s="1" t="str">
        <f t="shared" si="4"/>
        <v/>
      </c>
    </row>
    <row r="16072">
      <c r="F16072" s="1" t="str">
        <f t="shared" si="1"/>
        <v/>
      </c>
      <c r="G16072" s="1" t="str">
        <f t="shared" si="2"/>
        <v/>
      </c>
      <c r="J16072" s="1" t="str">
        <f t="shared" si="3"/>
        <v/>
      </c>
      <c r="K16072" s="1" t="str">
        <f t="shared" si="4"/>
        <v/>
      </c>
    </row>
    <row r="16073">
      <c r="F16073" s="1" t="str">
        <f t="shared" si="1"/>
        <v/>
      </c>
      <c r="G16073" s="1" t="str">
        <f t="shared" si="2"/>
        <v/>
      </c>
      <c r="J16073" s="1" t="str">
        <f t="shared" si="3"/>
        <v/>
      </c>
      <c r="K16073" s="1" t="str">
        <f t="shared" si="4"/>
        <v/>
      </c>
    </row>
    <row r="16074">
      <c r="F16074" s="1" t="str">
        <f t="shared" si="1"/>
        <v/>
      </c>
      <c r="G16074" s="1" t="str">
        <f t="shared" si="2"/>
        <v/>
      </c>
      <c r="J16074" s="1" t="str">
        <f t="shared" si="3"/>
        <v/>
      </c>
      <c r="K16074" s="1" t="str">
        <f t="shared" si="4"/>
        <v/>
      </c>
    </row>
    <row r="16075">
      <c r="F16075" s="1" t="str">
        <f t="shared" si="1"/>
        <v/>
      </c>
      <c r="G16075" s="1" t="str">
        <f t="shared" si="2"/>
        <v/>
      </c>
      <c r="J16075" s="1" t="str">
        <f t="shared" si="3"/>
        <v/>
      </c>
      <c r="K16075" s="1" t="str">
        <f t="shared" si="4"/>
        <v/>
      </c>
    </row>
    <row r="16076">
      <c r="F16076" s="1" t="str">
        <f t="shared" si="1"/>
        <v/>
      </c>
      <c r="G16076" s="1" t="str">
        <f t="shared" si="2"/>
        <v/>
      </c>
      <c r="J16076" s="1" t="str">
        <f t="shared" si="3"/>
        <v/>
      </c>
      <c r="K16076" s="1" t="str">
        <f t="shared" si="4"/>
        <v/>
      </c>
    </row>
    <row r="16077">
      <c r="F16077" s="1" t="str">
        <f t="shared" si="1"/>
        <v/>
      </c>
      <c r="G16077" s="1" t="str">
        <f t="shared" si="2"/>
        <v/>
      </c>
      <c r="J16077" s="1" t="str">
        <f t="shared" si="3"/>
        <v/>
      </c>
      <c r="K16077" s="1" t="str">
        <f t="shared" si="4"/>
        <v/>
      </c>
    </row>
    <row r="16078">
      <c r="F16078" s="1" t="str">
        <f t="shared" si="1"/>
        <v/>
      </c>
      <c r="G16078" s="1" t="str">
        <f t="shared" si="2"/>
        <v/>
      </c>
      <c r="J16078" s="1" t="str">
        <f t="shared" si="3"/>
        <v/>
      </c>
      <c r="K16078" s="1" t="str">
        <f t="shared" si="4"/>
        <v/>
      </c>
    </row>
    <row r="16079">
      <c r="F16079" s="1" t="str">
        <f t="shared" si="1"/>
        <v/>
      </c>
      <c r="G16079" s="1" t="str">
        <f t="shared" si="2"/>
        <v/>
      </c>
      <c r="J16079" s="1" t="str">
        <f t="shared" si="3"/>
        <v/>
      </c>
      <c r="K16079" s="1" t="str">
        <f t="shared" si="4"/>
        <v/>
      </c>
    </row>
    <row r="16080">
      <c r="F16080" s="1" t="str">
        <f t="shared" si="1"/>
        <v/>
      </c>
      <c r="G16080" s="1" t="str">
        <f t="shared" si="2"/>
        <v/>
      </c>
      <c r="J16080" s="1" t="str">
        <f t="shared" si="3"/>
        <v/>
      </c>
      <c r="K16080" s="1" t="str">
        <f t="shared" si="4"/>
        <v/>
      </c>
    </row>
    <row r="16081">
      <c r="F16081" s="1" t="str">
        <f t="shared" si="1"/>
        <v/>
      </c>
      <c r="G16081" s="1" t="str">
        <f t="shared" si="2"/>
        <v/>
      </c>
      <c r="J16081" s="1" t="str">
        <f t="shared" si="3"/>
        <v/>
      </c>
      <c r="K16081" s="1" t="str">
        <f t="shared" si="4"/>
        <v/>
      </c>
    </row>
    <row r="16082">
      <c r="F16082" s="1" t="str">
        <f t="shared" si="1"/>
        <v/>
      </c>
      <c r="G16082" s="1" t="str">
        <f t="shared" si="2"/>
        <v/>
      </c>
      <c r="J16082" s="1" t="str">
        <f t="shared" si="3"/>
        <v/>
      </c>
      <c r="K16082" s="1" t="str">
        <f t="shared" si="4"/>
        <v/>
      </c>
    </row>
    <row r="16083">
      <c r="F16083" s="1" t="str">
        <f t="shared" si="1"/>
        <v/>
      </c>
      <c r="G16083" s="1" t="str">
        <f t="shared" si="2"/>
        <v/>
      </c>
      <c r="J16083" s="1" t="str">
        <f t="shared" si="3"/>
        <v/>
      </c>
      <c r="K16083" s="1" t="str">
        <f t="shared" si="4"/>
        <v/>
      </c>
    </row>
    <row r="16084">
      <c r="F16084" s="1" t="str">
        <f t="shared" si="1"/>
        <v/>
      </c>
      <c r="G16084" s="1" t="str">
        <f t="shared" si="2"/>
        <v/>
      </c>
      <c r="J16084" s="1" t="str">
        <f t="shared" si="3"/>
        <v/>
      </c>
      <c r="K16084" s="1" t="str">
        <f t="shared" si="4"/>
        <v/>
      </c>
    </row>
    <row r="16085">
      <c r="F16085" s="1" t="str">
        <f t="shared" si="1"/>
        <v/>
      </c>
      <c r="G16085" s="1" t="str">
        <f t="shared" si="2"/>
        <v/>
      </c>
      <c r="J16085" s="1" t="str">
        <f t="shared" si="3"/>
        <v/>
      </c>
      <c r="K16085" s="1" t="str">
        <f t="shared" si="4"/>
        <v/>
      </c>
    </row>
    <row r="16086">
      <c r="F16086" s="1" t="str">
        <f t="shared" si="1"/>
        <v/>
      </c>
      <c r="G16086" s="1" t="str">
        <f t="shared" si="2"/>
        <v/>
      </c>
      <c r="J16086" s="1" t="str">
        <f t="shared" si="3"/>
        <v/>
      </c>
      <c r="K16086" s="1" t="str">
        <f t="shared" si="4"/>
        <v/>
      </c>
    </row>
    <row r="16087">
      <c r="F16087" s="1" t="str">
        <f t="shared" si="1"/>
        <v/>
      </c>
      <c r="G16087" s="1" t="str">
        <f t="shared" si="2"/>
        <v/>
      </c>
      <c r="J16087" s="1" t="str">
        <f t="shared" si="3"/>
        <v/>
      </c>
      <c r="K16087" s="1" t="str">
        <f t="shared" si="4"/>
        <v/>
      </c>
    </row>
    <row r="16088">
      <c r="F16088" s="1" t="str">
        <f t="shared" si="1"/>
        <v/>
      </c>
      <c r="G16088" s="1" t="str">
        <f t="shared" si="2"/>
        <v/>
      </c>
      <c r="J16088" s="1" t="str">
        <f t="shared" si="3"/>
        <v/>
      </c>
      <c r="K16088" s="1" t="str">
        <f t="shared" si="4"/>
        <v/>
      </c>
    </row>
    <row r="16089">
      <c r="F16089" s="1" t="str">
        <f t="shared" si="1"/>
        <v/>
      </c>
      <c r="G16089" s="1" t="str">
        <f t="shared" si="2"/>
        <v/>
      </c>
      <c r="J16089" s="1" t="str">
        <f t="shared" si="3"/>
        <v/>
      </c>
      <c r="K16089" s="1" t="str">
        <f t="shared" si="4"/>
        <v/>
      </c>
    </row>
    <row r="16090">
      <c r="F16090" s="1" t="str">
        <f t="shared" si="1"/>
        <v/>
      </c>
      <c r="G16090" s="1" t="str">
        <f t="shared" si="2"/>
        <v/>
      </c>
      <c r="J16090" s="1" t="str">
        <f t="shared" si="3"/>
        <v/>
      </c>
      <c r="K16090" s="1" t="str">
        <f t="shared" si="4"/>
        <v/>
      </c>
    </row>
    <row r="16091">
      <c r="F16091" s="1" t="str">
        <f t="shared" si="1"/>
        <v/>
      </c>
      <c r="G16091" s="1" t="str">
        <f t="shared" si="2"/>
        <v/>
      </c>
      <c r="J16091" s="1" t="str">
        <f t="shared" si="3"/>
        <v/>
      </c>
      <c r="K16091" s="1" t="str">
        <f t="shared" si="4"/>
        <v/>
      </c>
    </row>
    <row r="16092">
      <c r="F16092" s="1" t="str">
        <f t="shared" si="1"/>
        <v/>
      </c>
      <c r="G16092" s="1" t="str">
        <f t="shared" si="2"/>
        <v/>
      </c>
      <c r="J16092" s="1" t="str">
        <f t="shared" si="3"/>
        <v/>
      </c>
      <c r="K16092" s="1" t="str">
        <f t="shared" si="4"/>
        <v/>
      </c>
    </row>
    <row r="16093">
      <c r="F16093" s="1" t="str">
        <f t="shared" si="1"/>
        <v/>
      </c>
      <c r="G16093" s="1" t="str">
        <f t="shared" si="2"/>
        <v/>
      </c>
      <c r="J16093" s="1" t="str">
        <f t="shared" si="3"/>
        <v/>
      </c>
      <c r="K16093" s="1" t="str">
        <f t="shared" si="4"/>
        <v/>
      </c>
    </row>
    <row r="16094">
      <c r="F16094" s="1" t="str">
        <f t="shared" si="1"/>
        <v/>
      </c>
      <c r="G16094" s="1" t="str">
        <f t="shared" si="2"/>
        <v/>
      </c>
      <c r="J16094" s="1" t="str">
        <f t="shared" si="3"/>
        <v/>
      </c>
      <c r="K16094" s="1" t="str">
        <f t="shared" si="4"/>
        <v/>
      </c>
    </row>
    <row r="16095">
      <c r="F16095" s="1" t="str">
        <f t="shared" si="1"/>
        <v/>
      </c>
      <c r="G16095" s="1" t="str">
        <f t="shared" si="2"/>
        <v/>
      </c>
      <c r="J16095" s="1" t="str">
        <f t="shared" si="3"/>
        <v/>
      </c>
      <c r="K16095" s="1" t="str">
        <f t="shared" si="4"/>
        <v/>
      </c>
    </row>
    <row r="16096">
      <c r="F16096" s="1" t="str">
        <f t="shared" si="1"/>
        <v/>
      </c>
      <c r="G16096" s="1" t="str">
        <f t="shared" si="2"/>
        <v/>
      </c>
      <c r="J16096" s="1" t="str">
        <f t="shared" si="3"/>
        <v/>
      </c>
      <c r="K16096" s="1" t="str">
        <f t="shared" si="4"/>
        <v/>
      </c>
    </row>
    <row r="16097">
      <c r="F16097" s="1" t="str">
        <f t="shared" si="1"/>
        <v/>
      </c>
      <c r="G16097" s="1" t="str">
        <f t="shared" si="2"/>
        <v/>
      </c>
      <c r="J16097" s="1" t="str">
        <f t="shared" si="3"/>
        <v/>
      </c>
      <c r="K16097" s="1" t="str">
        <f t="shared" si="4"/>
        <v/>
      </c>
    </row>
    <row r="16098">
      <c r="F16098" s="1" t="str">
        <f t="shared" si="1"/>
        <v/>
      </c>
      <c r="G16098" s="1" t="str">
        <f t="shared" si="2"/>
        <v/>
      </c>
      <c r="J16098" s="1" t="str">
        <f t="shared" si="3"/>
        <v/>
      </c>
      <c r="K16098" s="1" t="str">
        <f t="shared" si="4"/>
        <v/>
      </c>
    </row>
    <row r="16099">
      <c r="F16099" s="1" t="str">
        <f t="shared" si="1"/>
        <v/>
      </c>
      <c r="G16099" s="1" t="str">
        <f t="shared" si="2"/>
        <v/>
      </c>
      <c r="J16099" s="1" t="str">
        <f t="shared" si="3"/>
        <v/>
      </c>
      <c r="K16099" s="1" t="str">
        <f t="shared" si="4"/>
        <v/>
      </c>
    </row>
    <row r="16100">
      <c r="F16100" s="1" t="str">
        <f t="shared" si="1"/>
        <v/>
      </c>
      <c r="G16100" s="1" t="str">
        <f t="shared" si="2"/>
        <v/>
      </c>
      <c r="J16100" s="1" t="str">
        <f t="shared" si="3"/>
        <v/>
      </c>
      <c r="K16100" s="1" t="str">
        <f t="shared" si="4"/>
        <v/>
      </c>
    </row>
    <row r="16101">
      <c r="F16101" s="1" t="str">
        <f t="shared" si="1"/>
        <v/>
      </c>
      <c r="G16101" s="1" t="str">
        <f t="shared" si="2"/>
        <v/>
      </c>
      <c r="J16101" s="1" t="str">
        <f t="shared" si="3"/>
        <v/>
      </c>
      <c r="K16101" s="1" t="str">
        <f t="shared" si="4"/>
        <v/>
      </c>
    </row>
    <row r="16102">
      <c r="F16102" s="1" t="str">
        <f t="shared" si="1"/>
        <v/>
      </c>
      <c r="G16102" s="1" t="str">
        <f t="shared" si="2"/>
        <v/>
      </c>
      <c r="J16102" s="1" t="str">
        <f t="shared" si="3"/>
        <v/>
      </c>
      <c r="K16102" s="1" t="str">
        <f t="shared" si="4"/>
        <v/>
      </c>
    </row>
    <row r="16103">
      <c r="F16103" s="1" t="str">
        <f t="shared" si="1"/>
        <v/>
      </c>
      <c r="G16103" s="1" t="str">
        <f t="shared" si="2"/>
        <v/>
      </c>
      <c r="J16103" s="1" t="str">
        <f t="shared" si="3"/>
        <v/>
      </c>
      <c r="K16103" s="1" t="str">
        <f t="shared" si="4"/>
        <v/>
      </c>
    </row>
    <row r="16104">
      <c r="F16104" s="1" t="str">
        <f t="shared" si="1"/>
        <v/>
      </c>
      <c r="G16104" s="1" t="str">
        <f t="shared" si="2"/>
        <v/>
      </c>
      <c r="J16104" s="1" t="str">
        <f t="shared" si="3"/>
        <v/>
      </c>
      <c r="K16104" s="1" t="str">
        <f t="shared" si="4"/>
        <v/>
      </c>
    </row>
    <row r="16105">
      <c r="F16105" s="1" t="str">
        <f t="shared" si="1"/>
        <v/>
      </c>
      <c r="G16105" s="1" t="str">
        <f t="shared" si="2"/>
        <v/>
      </c>
      <c r="J16105" s="1" t="str">
        <f t="shared" si="3"/>
        <v/>
      </c>
      <c r="K16105" s="1" t="str">
        <f t="shared" si="4"/>
        <v/>
      </c>
    </row>
    <row r="16106">
      <c r="F16106" s="1" t="str">
        <f t="shared" si="1"/>
        <v/>
      </c>
      <c r="G16106" s="1" t="str">
        <f t="shared" si="2"/>
        <v/>
      </c>
      <c r="J16106" s="1" t="str">
        <f t="shared" si="3"/>
        <v/>
      </c>
      <c r="K16106" s="1" t="str">
        <f t="shared" si="4"/>
        <v/>
      </c>
    </row>
    <row r="16107">
      <c r="F16107" s="1" t="str">
        <f t="shared" si="1"/>
        <v/>
      </c>
      <c r="G16107" s="1" t="str">
        <f t="shared" si="2"/>
        <v/>
      </c>
      <c r="J16107" s="1" t="str">
        <f t="shared" si="3"/>
        <v/>
      </c>
      <c r="K16107" s="1" t="str">
        <f t="shared" si="4"/>
        <v/>
      </c>
    </row>
    <row r="16108">
      <c r="F16108" s="1" t="str">
        <f t="shared" si="1"/>
        <v/>
      </c>
      <c r="G16108" s="1" t="str">
        <f t="shared" si="2"/>
        <v/>
      </c>
      <c r="J16108" s="1" t="str">
        <f t="shared" si="3"/>
        <v/>
      </c>
      <c r="K16108" s="1" t="str">
        <f t="shared" si="4"/>
        <v/>
      </c>
    </row>
    <row r="16109">
      <c r="F16109" s="1" t="str">
        <f t="shared" si="1"/>
        <v/>
      </c>
      <c r="G16109" s="1" t="str">
        <f t="shared" si="2"/>
        <v/>
      </c>
      <c r="J16109" s="1" t="str">
        <f t="shared" si="3"/>
        <v/>
      </c>
      <c r="K16109" s="1" t="str">
        <f t="shared" si="4"/>
        <v/>
      </c>
    </row>
    <row r="16110">
      <c r="F16110" s="1" t="str">
        <f t="shared" si="1"/>
        <v/>
      </c>
      <c r="G16110" s="1" t="str">
        <f t="shared" si="2"/>
        <v/>
      </c>
      <c r="J16110" s="1" t="str">
        <f t="shared" si="3"/>
        <v/>
      </c>
      <c r="K16110" s="1" t="str">
        <f t="shared" si="4"/>
        <v/>
      </c>
    </row>
    <row r="16111">
      <c r="F16111" s="1" t="str">
        <f t="shared" si="1"/>
        <v/>
      </c>
      <c r="G16111" s="1" t="str">
        <f t="shared" si="2"/>
        <v/>
      </c>
      <c r="J16111" s="1" t="str">
        <f t="shared" si="3"/>
        <v/>
      </c>
      <c r="K16111" s="1" t="str">
        <f t="shared" si="4"/>
        <v/>
      </c>
    </row>
    <row r="16112">
      <c r="F16112" s="1" t="str">
        <f t="shared" si="1"/>
        <v/>
      </c>
      <c r="G16112" s="1" t="str">
        <f t="shared" si="2"/>
        <v/>
      </c>
      <c r="J16112" s="1" t="str">
        <f t="shared" si="3"/>
        <v/>
      </c>
      <c r="K16112" s="1" t="str">
        <f t="shared" si="4"/>
        <v/>
      </c>
    </row>
    <row r="16113">
      <c r="F16113" s="1" t="str">
        <f t="shared" si="1"/>
        <v/>
      </c>
      <c r="G16113" s="1" t="str">
        <f t="shared" si="2"/>
        <v/>
      </c>
      <c r="J16113" s="1" t="str">
        <f t="shared" si="3"/>
        <v/>
      </c>
      <c r="K16113" s="1" t="str">
        <f t="shared" si="4"/>
        <v/>
      </c>
    </row>
    <row r="16114">
      <c r="F16114" s="1" t="str">
        <f t="shared" si="1"/>
        <v/>
      </c>
      <c r="G16114" s="1" t="str">
        <f t="shared" si="2"/>
        <v/>
      </c>
      <c r="J16114" s="1" t="str">
        <f t="shared" si="3"/>
        <v/>
      </c>
      <c r="K16114" s="1" t="str">
        <f t="shared" si="4"/>
        <v/>
      </c>
    </row>
    <row r="16115">
      <c r="F16115" s="1" t="str">
        <f t="shared" si="1"/>
        <v/>
      </c>
      <c r="G16115" s="1" t="str">
        <f t="shared" si="2"/>
        <v/>
      </c>
      <c r="J16115" s="1" t="str">
        <f t="shared" si="3"/>
        <v/>
      </c>
      <c r="K16115" s="1" t="str">
        <f t="shared" si="4"/>
        <v/>
      </c>
    </row>
    <row r="16116">
      <c r="F16116" s="1" t="str">
        <f t="shared" si="1"/>
        <v/>
      </c>
      <c r="G16116" s="1" t="str">
        <f t="shared" si="2"/>
        <v/>
      </c>
      <c r="J16116" s="1" t="str">
        <f t="shared" si="3"/>
        <v/>
      </c>
      <c r="K16116" s="1" t="str">
        <f t="shared" si="4"/>
        <v/>
      </c>
    </row>
    <row r="16117">
      <c r="F16117" s="1" t="str">
        <f t="shared" si="1"/>
        <v/>
      </c>
      <c r="G16117" s="1" t="str">
        <f t="shared" si="2"/>
        <v/>
      </c>
      <c r="J16117" s="1" t="str">
        <f t="shared" si="3"/>
        <v/>
      </c>
      <c r="K16117" s="1" t="str">
        <f t="shared" si="4"/>
        <v/>
      </c>
    </row>
    <row r="16118">
      <c r="F16118" s="1" t="str">
        <f t="shared" si="1"/>
        <v/>
      </c>
      <c r="G16118" s="1" t="str">
        <f t="shared" si="2"/>
        <v/>
      </c>
      <c r="J16118" s="1" t="str">
        <f t="shared" si="3"/>
        <v/>
      </c>
      <c r="K16118" s="1" t="str">
        <f t="shared" si="4"/>
        <v/>
      </c>
    </row>
    <row r="16119">
      <c r="F16119" s="1" t="str">
        <f t="shared" si="1"/>
        <v/>
      </c>
      <c r="G16119" s="1" t="str">
        <f t="shared" si="2"/>
        <v/>
      </c>
      <c r="J16119" s="1" t="str">
        <f t="shared" si="3"/>
        <v/>
      </c>
      <c r="K16119" s="1" t="str">
        <f t="shared" si="4"/>
        <v/>
      </c>
    </row>
    <row r="16120">
      <c r="F16120" s="1" t="str">
        <f t="shared" si="1"/>
        <v/>
      </c>
      <c r="G16120" s="1" t="str">
        <f t="shared" si="2"/>
        <v/>
      </c>
      <c r="J16120" s="1" t="str">
        <f t="shared" si="3"/>
        <v/>
      </c>
      <c r="K16120" s="1" t="str">
        <f t="shared" si="4"/>
        <v/>
      </c>
    </row>
    <row r="16121">
      <c r="F16121" s="1" t="str">
        <f t="shared" si="1"/>
        <v/>
      </c>
      <c r="G16121" s="1" t="str">
        <f t="shared" si="2"/>
        <v/>
      </c>
      <c r="J16121" s="1" t="str">
        <f t="shared" si="3"/>
        <v/>
      </c>
      <c r="K16121" s="1" t="str">
        <f t="shared" si="4"/>
        <v/>
      </c>
    </row>
    <row r="16122">
      <c r="F16122" s="1" t="str">
        <f t="shared" si="1"/>
        <v/>
      </c>
      <c r="G16122" s="1" t="str">
        <f t="shared" si="2"/>
        <v/>
      </c>
      <c r="J16122" s="1" t="str">
        <f t="shared" si="3"/>
        <v/>
      </c>
      <c r="K16122" s="1" t="str">
        <f t="shared" si="4"/>
        <v/>
      </c>
    </row>
    <row r="16123">
      <c r="F16123" s="1" t="str">
        <f t="shared" si="1"/>
        <v/>
      </c>
      <c r="G16123" s="1" t="str">
        <f t="shared" si="2"/>
        <v/>
      </c>
      <c r="J16123" s="1" t="str">
        <f t="shared" si="3"/>
        <v/>
      </c>
      <c r="K16123" s="1" t="str">
        <f t="shared" si="4"/>
        <v/>
      </c>
    </row>
    <row r="16124">
      <c r="F16124" s="1" t="str">
        <f t="shared" si="1"/>
        <v/>
      </c>
      <c r="G16124" s="1" t="str">
        <f t="shared" si="2"/>
        <v/>
      </c>
      <c r="J16124" s="1" t="str">
        <f t="shared" si="3"/>
        <v/>
      </c>
      <c r="K16124" s="1" t="str">
        <f t="shared" si="4"/>
        <v/>
      </c>
    </row>
    <row r="16125">
      <c r="F16125" s="1" t="str">
        <f t="shared" si="1"/>
        <v/>
      </c>
      <c r="G16125" s="1" t="str">
        <f t="shared" si="2"/>
        <v/>
      </c>
      <c r="J16125" s="1" t="str">
        <f t="shared" si="3"/>
        <v/>
      </c>
      <c r="K16125" s="1" t="str">
        <f t="shared" si="4"/>
        <v/>
      </c>
    </row>
    <row r="16126">
      <c r="F16126" s="1" t="str">
        <f t="shared" si="1"/>
        <v/>
      </c>
      <c r="G16126" s="1" t="str">
        <f t="shared" si="2"/>
        <v/>
      </c>
      <c r="J16126" s="1" t="str">
        <f t="shared" si="3"/>
        <v/>
      </c>
      <c r="K16126" s="1" t="str">
        <f t="shared" si="4"/>
        <v/>
      </c>
    </row>
    <row r="16127">
      <c r="F16127" s="1" t="str">
        <f t="shared" si="1"/>
        <v/>
      </c>
      <c r="G16127" s="1" t="str">
        <f t="shared" si="2"/>
        <v/>
      </c>
      <c r="J16127" s="1" t="str">
        <f t="shared" si="3"/>
        <v/>
      </c>
      <c r="K16127" s="1" t="str">
        <f t="shared" si="4"/>
        <v/>
      </c>
    </row>
    <row r="16128">
      <c r="F16128" s="1" t="str">
        <f t="shared" si="1"/>
        <v/>
      </c>
      <c r="G16128" s="1" t="str">
        <f t="shared" si="2"/>
        <v/>
      </c>
      <c r="J16128" s="1" t="str">
        <f t="shared" si="3"/>
        <v/>
      </c>
      <c r="K16128" s="1" t="str">
        <f t="shared" si="4"/>
        <v/>
      </c>
    </row>
    <row r="16129">
      <c r="F16129" s="1" t="str">
        <f t="shared" si="1"/>
        <v/>
      </c>
      <c r="G16129" s="1" t="str">
        <f t="shared" si="2"/>
        <v/>
      </c>
      <c r="J16129" s="1" t="str">
        <f t="shared" si="3"/>
        <v/>
      </c>
      <c r="K16129" s="1" t="str">
        <f t="shared" si="4"/>
        <v/>
      </c>
    </row>
    <row r="16130">
      <c r="F16130" s="1" t="str">
        <f t="shared" si="1"/>
        <v/>
      </c>
      <c r="G16130" s="1" t="str">
        <f t="shared" si="2"/>
        <v/>
      </c>
      <c r="J16130" s="1" t="str">
        <f t="shared" si="3"/>
        <v/>
      </c>
      <c r="K16130" s="1" t="str">
        <f t="shared" si="4"/>
        <v/>
      </c>
    </row>
    <row r="16131">
      <c r="F16131" s="1" t="str">
        <f t="shared" si="1"/>
        <v/>
      </c>
      <c r="G16131" s="1" t="str">
        <f t="shared" si="2"/>
        <v/>
      </c>
      <c r="J16131" s="1" t="str">
        <f t="shared" si="3"/>
        <v/>
      </c>
      <c r="K16131" s="1" t="str">
        <f t="shared" si="4"/>
        <v/>
      </c>
    </row>
    <row r="16132">
      <c r="F16132" s="1" t="str">
        <f t="shared" si="1"/>
        <v/>
      </c>
      <c r="G16132" s="1" t="str">
        <f t="shared" si="2"/>
        <v/>
      </c>
      <c r="J16132" s="1" t="str">
        <f t="shared" si="3"/>
        <v/>
      </c>
      <c r="K16132" s="1" t="str">
        <f t="shared" si="4"/>
        <v/>
      </c>
    </row>
    <row r="16133">
      <c r="F16133" s="1" t="str">
        <f t="shared" si="1"/>
        <v/>
      </c>
      <c r="G16133" s="1" t="str">
        <f t="shared" si="2"/>
        <v/>
      </c>
      <c r="J16133" s="1" t="str">
        <f t="shared" si="3"/>
        <v/>
      </c>
      <c r="K16133" s="1" t="str">
        <f t="shared" si="4"/>
        <v/>
      </c>
    </row>
    <row r="16134">
      <c r="F16134" s="1" t="str">
        <f t="shared" si="1"/>
        <v/>
      </c>
      <c r="G16134" s="1" t="str">
        <f t="shared" si="2"/>
        <v/>
      </c>
      <c r="J16134" s="1" t="str">
        <f t="shared" si="3"/>
        <v/>
      </c>
      <c r="K16134" s="1" t="str">
        <f t="shared" si="4"/>
        <v/>
      </c>
    </row>
    <row r="16135">
      <c r="F16135" s="1" t="str">
        <f t="shared" si="1"/>
        <v/>
      </c>
      <c r="G16135" s="1" t="str">
        <f t="shared" si="2"/>
        <v/>
      </c>
      <c r="J16135" s="1" t="str">
        <f t="shared" si="3"/>
        <v/>
      </c>
      <c r="K16135" s="1" t="str">
        <f t="shared" si="4"/>
        <v/>
      </c>
    </row>
    <row r="16136">
      <c r="F16136" s="1" t="str">
        <f t="shared" si="1"/>
        <v/>
      </c>
      <c r="G16136" s="1" t="str">
        <f t="shared" si="2"/>
        <v/>
      </c>
      <c r="J16136" s="1" t="str">
        <f t="shared" si="3"/>
        <v/>
      </c>
      <c r="K16136" s="1" t="str">
        <f t="shared" si="4"/>
        <v/>
      </c>
    </row>
    <row r="16137">
      <c r="F16137" s="1" t="str">
        <f t="shared" si="1"/>
        <v/>
      </c>
      <c r="G16137" s="1" t="str">
        <f t="shared" si="2"/>
        <v/>
      </c>
      <c r="J16137" s="1" t="str">
        <f t="shared" si="3"/>
        <v/>
      </c>
      <c r="K16137" s="1" t="str">
        <f t="shared" si="4"/>
        <v/>
      </c>
    </row>
    <row r="16138">
      <c r="F16138" s="1" t="str">
        <f t="shared" si="1"/>
        <v/>
      </c>
      <c r="G16138" s="1" t="str">
        <f t="shared" si="2"/>
        <v/>
      </c>
      <c r="J16138" s="1" t="str">
        <f t="shared" si="3"/>
        <v/>
      </c>
      <c r="K16138" s="1" t="str">
        <f t="shared" si="4"/>
        <v/>
      </c>
    </row>
    <row r="16139">
      <c r="F16139" s="1" t="str">
        <f t="shared" si="1"/>
        <v/>
      </c>
      <c r="G16139" s="1" t="str">
        <f t="shared" si="2"/>
        <v/>
      </c>
      <c r="J16139" s="1" t="str">
        <f t="shared" si="3"/>
        <v/>
      </c>
      <c r="K16139" s="1" t="str">
        <f t="shared" si="4"/>
        <v/>
      </c>
    </row>
    <row r="16140">
      <c r="F16140" s="1" t="str">
        <f t="shared" si="1"/>
        <v/>
      </c>
      <c r="G16140" s="1" t="str">
        <f t="shared" si="2"/>
        <v/>
      </c>
      <c r="J16140" s="1" t="str">
        <f t="shared" si="3"/>
        <v/>
      </c>
      <c r="K16140" s="1" t="str">
        <f t="shared" si="4"/>
        <v/>
      </c>
    </row>
    <row r="16141">
      <c r="F16141" s="1" t="str">
        <f t="shared" si="1"/>
        <v/>
      </c>
      <c r="G16141" s="1" t="str">
        <f t="shared" si="2"/>
        <v/>
      </c>
      <c r="J16141" s="1" t="str">
        <f t="shared" si="3"/>
        <v/>
      </c>
      <c r="K16141" s="1" t="str">
        <f t="shared" si="4"/>
        <v/>
      </c>
    </row>
    <row r="16142">
      <c r="F16142" s="1" t="str">
        <f t="shared" si="1"/>
        <v/>
      </c>
      <c r="G16142" s="1" t="str">
        <f t="shared" si="2"/>
        <v/>
      </c>
      <c r="J16142" s="1" t="str">
        <f t="shared" si="3"/>
        <v/>
      </c>
      <c r="K16142" s="1" t="str">
        <f t="shared" si="4"/>
        <v/>
      </c>
    </row>
    <row r="16143">
      <c r="F16143" s="1" t="str">
        <f t="shared" si="1"/>
        <v/>
      </c>
      <c r="G16143" s="1" t="str">
        <f t="shared" si="2"/>
        <v/>
      </c>
      <c r="J16143" s="1" t="str">
        <f t="shared" si="3"/>
        <v/>
      </c>
      <c r="K16143" s="1" t="str">
        <f t="shared" si="4"/>
        <v/>
      </c>
    </row>
    <row r="16144">
      <c r="F16144" s="1" t="str">
        <f t="shared" si="1"/>
        <v/>
      </c>
      <c r="G16144" s="1" t="str">
        <f t="shared" si="2"/>
        <v/>
      </c>
      <c r="J16144" s="1" t="str">
        <f t="shared" si="3"/>
        <v/>
      </c>
      <c r="K16144" s="1" t="str">
        <f t="shared" si="4"/>
        <v/>
      </c>
    </row>
    <row r="16145">
      <c r="F16145" s="1" t="str">
        <f t="shared" si="1"/>
        <v/>
      </c>
      <c r="G16145" s="1" t="str">
        <f t="shared" si="2"/>
        <v/>
      </c>
      <c r="J16145" s="1" t="str">
        <f t="shared" si="3"/>
        <v/>
      </c>
      <c r="K16145" s="1" t="str">
        <f t="shared" si="4"/>
        <v/>
      </c>
    </row>
    <row r="16146">
      <c r="F16146" s="1" t="str">
        <f t="shared" si="1"/>
        <v/>
      </c>
      <c r="G16146" s="1" t="str">
        <f t="shared" si="2"/>
        <v/>
      </c>
      <c r="J16146" s="1" t="str">
        <f t="shared" si="3"/>
        <v/>
      </c>
      <c r="K16146" s="1" t="str">
        <f t="shared" si="4"/>
        <v/>
      </c>
    </row>
    <row r="16147">
      <c r="F16147" s="1" t="str">
        <f t="shared" si="1"/>
        <v/>
      </c>
      <c r="G16147" s="1" t="str">
        <f t="shared" si="2"/>
        <v/>
      </c>
      <c r="J16147" s="1" t="str">
        <f t="shared" si="3"/>
        <v/>
      </c>
      <c r="K16147" s="1" t="str">
        <f t="shared" si="4"/>
        <v/>
      </c>
    </row>
    <row r="16148">
      <c r="F16148" s="1" t="str">
        <f t="shared" si="1"/>
        <v/>
      </c>
      <c r="G16148" s="1" t="str">
        <f t="shared" si="2"/>
        <v/>
      </c>
      <c r="J16148" s="1" t="str">
        <f t="shared" si="3"/>
        <v/>
      </c>
      <c r="K16148" s="1" t="str">
        <f t="shared" si="4"/>
        <v/>
      </c>
    </row>
    <row r="16149">
      <c r="F16149" s="1" t="str">
        <f t="shared" si="1"/>
        <v/>
      </c>
      <c r="G16149" s="1" t="str">
        <f t="shared" si="2"/>
        <v/>
      </c>
      <c r="J16149" s="1" t="str">
        <f t="shared" si="3"/>
        <v/>
      </c>
      <c r="K16149" s="1" t="str">
        <f t="shared" si="4"/>
        <v/>
      </c>
    </row>
    <row r="16150">
      <c r="F16150" s="1" t="str">
        <f t="shared" si="1"/>
        <v/>
      </c>
      <c r="G16150" s="1" t="str">
        <f t="shared" si="2"/>
        <v/>
      </c>
      <c r="J16150" s="1" t="str">
        <f t="shared" si="3"/>
        <v/>
      </c>
      <c r="K16150" s="1" t="str">
        <f t="shared" si="4"/>
        <v/>
      </c>
    </row>
    <row r="16151">
      <c r="F16151" s="1" t="str">
        <f t="shared" si="1"/>
        <v/>
      </c>
      <c r="G16151" s="1" t="str">
        <f t="shared" si="2"/>
        <v/>
      </c>
      <c r="J16151" s="1" t="str">
        <f t="shared" si="3"/>
        <v/>
      </c>
      <c r="K16151" s="1" t="str">
        <f t="shared" si="4"/>
        <v/>
      </c>
    </row>
    <row r="16152">
      <c r="F16152" s="1" t="str">
        <f t="shared" si="1"/>
        <v/>
      </c>
      <c r="G16152" s="1" t="str">
        <f t="shared" si="2"/>
        <v/>
      </c>
      <c r="J16152" s="1" t="str">
        <f t="shared" si="3"/>
        <v/>
      </c>
      <c r="K16152" s="1" t="str">
        <f t="shared" si="4"/>
        <v/>
      </c>
    </row>
    <row r="16153">
      <c r="F16153" s="1" t="str">
        <f t="shared" si="1"/>
        <v/>
      </c>
      <c r="G16153" s="1" t="str">
        <f t="shared" si="2"/>
        <v/>
      </c>
      <c r="J16153" s="1" t="str">
        <f t="shared" si="3"/>
        <v/>
      </c>
      <c r="K16153" s="1" t="str">
        <f t="shared" si="4"/>
        <v/>
      </c>
    </row>
    <row r="16154">
      <c r="F16154" s="1" t="str">
        <f t="shared" si="1"/>
        <v/>
      </c>
      <c r="G16154" s="1" t="str">
        <f t="shared" si="2"/>
        <v/>
      </c>
      <c r="J16154" s="1" t="str">
        <f t="shared" si="3"/>
        <v/>
      </c>
      <c r="K16154" s="1" t="str">
        <f t="shared" si="4"/>
        <v/>
      </c>
    </row>
    <row r="16155">
      <c r="F16155" s="1" t="str">
        <f t="shared" si="1"/>
        <v/>
      </c>
      <c r="G16155" s="1" t="str">
        <f t="shared" si="2"/>
        <v/>
      </c>
      <c r="J16155" s="1" t="str">
        <f t="shared" si="3"/>
        <v/>
      </c>
      <c r="K16155" s="1" t="str">
        <f t="shared" si="4"/>
        <v/>
      </c>
    </row>
    <row r="16156">
      <c r="F16156" s="1" t="str">
        <f t="shared" si="1"/>
        <v/>
      </c>
      <c r="G16156" s="1" t="str">
        <f t="shared" si="2"/>
        <v/>
      </c>
      <c r="J16156" s="1" t="str">
        <f t="shared" si="3"/>
        <v/>
      </c>
      <c r="K16156" s="1" t="str">
        <f t="shared" si="4"/>
        <v/>
      </c>
    </row>
    <row r="16157">
      <c r="F16157" s="1" t="str">
        <f t="shared" si="1"/>
        <v/>
      </c>
      <c r="G16157" s="1" t="str">
        <f t="shared" si="2"/>
        <v/>
      </c>
      <c r="J16157" s="1" t="str">
        <f t="shared" si="3"/>
        <v/>
      </c>
      <c r="K16157" s="1" t="str">
        <f t="shared" si="4"/>
        <v/>
      </c>
    </row>
    <row r="16158">
      <c r="F16158" s="1" t="str">
        <f t="shared" si="1"/>
        <v/>
      </c>
      <c r="G16158" s="1" t="str">
        <f t="shared" si="2"/>
        <v/>
      </c>
      <c r="J16158" s="1" t="str">
        <f t="shared" si="3"/>
        <v/>
      </c>
      <c r="K16158" s="1" t="str">
        <f t="shared" si="4"/>
        <v/>
      </c>
    </row>
    <row r="16159">
      <c r="F16159" s="1" t="str">
        <f t="shared" si="1"/>
        <v/>
      </c>
      <c r="G16159" s="1" t="str">
        <f t="shared" si="2"/>
        <v/>
      </c>
      <c r="J16159" s="1" t="str">
        <f t="shared" si="3"/>
        <v/>
      </c>
      <c r="K16159" s="1" t="str">
        <f t="shared" si="4"/>
        <v/>
      </c>
    </row>
    <row r="16160">
      <c r="F16160" s="1" t="str">
        <f t="shared" si="1"/>
        <v/>
      </c>
      <c r="G16160" s="1" t="str">
        <f t="shared" si="2"/>
        <v/>
      </c>
      <c r="J16160" s="1" t="str">
        <f t="shared" si="3"/>
        <v/>
      </c>
      <c r="K16160" s="1" t="str">
        <f t="shared" si="4"/>
        <v/>
      </c>
    </row>
    <row r="16161">
      <c r="F16161" s="1" t="str">
        <f t="shared" si="1"/>
        <v/>
      </c>
      <c r="G16161" s="1" t="str">
        <f t="shared" si="2"/>
        <v/>
      </c>
      <c r="J16161" s="1" t="str">
        <f t="shared" si="3"/>
        <v/>
      </c>
      <c r="K16161" s="1" t="str">
        <f t="shared" si="4"/>
        <v/>
      </c>
    </row>
    <row r="16162">
      <c r="F16162" s="1" t="str">
        <f t="shared" si="1"/>
        <v/>
      </c>
      <c r="G16162" s="1" t="str">
        <f t="shared" si="2"/>
        <v/>
      </c>
      <c r="J16162" s="1" t="str">
        <f t="shared" si="3"/>
        <v/>
      </c>
      <c r="K16162" s="1" t="str">
        <f t="shared" si="4"/>
        <v/>
      </c>
    </row>
    <row r="16163">
      <c r="F16163" s="1" t="str">
        <f t="shared" si="1"/>
        <v/>
      </c>
      <c r="G16163" s="1" t="str">
        <f t="shared" si="2"/>
        <v/>
      </c>
      <c r="J16163" s="1" t="str">
        <f t="shared" si="3"/>
        <v/>
      </c>
      <c r="K16163" s="1" t="str">
        <f t="shared" si="4"/>
        <v/>
      </c>
    </row>
    <row r="16164">
      <c r="F16164" s="1" t="str">
        <f t="shared" si="1"/>
        <v/>
      </c>
      <c r="G16164" s="1" t="str">
        <f t="shared" si="2"/>
        <v/>
      </c>
      <c r="J16164" s="1" t="str">
        <f t="shared" si="3"/>
        <v/>
      </c>
      <c r="K16164" s="1" t="str">
        <f t="shared" si="4"/>
        <v/>
      </c>
    </row>
    <row r="16165">
      <c r="F16165" s="1" t="str">
        <f t="shared" si="1"/>
        <v/>
      </c>
      <c r="G16165" s="1" t="str">
        <f t="shared" si="2"/>
        <v/>
      </c>
      <c r="J16165" s="1" t="str">
        <f t="shared" si="3"/>
        <v/>
      </c>
      <c r="K16165" s="1" t="str">
        <f t="shared" si="4"/>
        <v/>
      </c>
    </row>
    <row r="16166">
      <c r="F16166" s="1" t="str">
        <f t="shared" si="1"/>
        <v/>
      </c>
      <c r="G16166" s="1" t="str">
        <f t="shared" si="2"/>
        <v/>
      </c>
      <c r="J16166" s="1" t="str">
        <f t="shared" si="3"/>
        <v/>
      </c>
      <c r="K16166" s="1" t="str">
        <f t="shared" si="4"/>
        <v/>
      </c>
    </row>
    <row r="16167">
      <c r="F16167" s="1" t="str">
        <f t="shared" si="1"/>
        <v/>
      </c>
      <c r="G16167" s="1" t="str">
        <f t="shared" si="2"/>
        <v/>
      </c>
      <c r="J16167" s="1" t="str">
        <f t="shared" si="3"/>
        <v/>
      </c>
      <c r="K16167" s="1" t="str">
        <f t="shared" si="4"/>
        <v/>
      </c>
    </row>
    <row r="16168">
      <c r="F16168" s="1" t="str">
        <f t="shared" si="1"/>
        <v/>
      </c>
      <c r="G16168" s="1" t="str">
        <f t="shared" si="2"/>
        <v/>
      </c>
      <c r="J16168" s="1" t="str">
        <f t="shared" si="3"/>
        <v/>
      </c>
      <c r="K16168" s="1" t="str">
        <f t="shared" si="4"/>
        <v/>
      </c>
    </row>
    <row r="16169">
      <c r="F16169" s="1" t="str">
        <f t="shared" si="1"/>
        <v/>
      </c>
      <c r="G16169" s="1" t="str">
        <f t="shared" si="2"/>
        <v/>
      </c>
      <c r="J16169" s="1" t="str">
        <f t="shared" si="3"/>
        <v/>
      </c>
      <c r="K16169" s="1" t="str">
        <f t="shared" si="4"/>
        <v/>
      </c>
    </row>
    <row r="16170">
      <c r="F16170" s="1" t="str">
        <f t="shared" si="1"/>
        <v/>
      </c>
      <c r="G16170" s="1" t="str">
        <f t="shared" si="2"/>
        <v/>
      </c>
      <c r="J16170" s="1" t="str">
        <f t="shared" si="3"/>
        <v/>
      </c>
      <c r="K16170" s="1" t="str">
        <f t="shared" si="4"/>
        <v/>
      </c>
    </row>
    <row r="16171">
      <c r="F16171" s="1" t="str">
        <f t="shared" si="1"/>
        <v/>
      </c>
      <c r="G16171" s="1" t="str">
        <f t="shared" si="2"/>
        <v/>
      </c>
      <c r="J16171" s="1" t="str">
        <f t="shared" si="3"/>
        <v/>
      </c>
      <c r="K16171" s="1" t="str">
        <f t="shared" si="4"/>
        <v/>
      </c>
    </row>
    <row r="16172">
      <c r="F16172" s="1" t="str">
        <f t="shared" si="1"/>
        <v/>
      </c>
      <c r="G16172" s="1" t="str">
        <f t="shared" si="2"/>
        <v/>
      </c>
      <c r="J16172" s="1" t="str">
        <f t="shared" si="3"/>
        <v/>
      </c>
      <c r="K16172" s="1" t="str">
        <f t="shared" si="4"/>
        <v/>
      </c>
    </row>
    <row r="16173">
      <c r="F16173" s="1" t="str">
        <f t="shared" si="1"/>
        <v/>
      </c>
      <c r="G16173" s="1" t="str">
        <f t="shared" si="2"/>
        <v/>
      </c>
      <c r="J16173" s="1" t="str">
        <f t="shared" si="3"/>
        <v/>
      </c>
      <c r="K16173" s="1" t="str">
        <f t="shared" si="4"/>
        <v/>
      </c>
    </row>
    <row r="16174">
      <c r="F16174" s="1" t="str">
        <f t="shared" si="1"/>
        <v/>
      </c>
      <c r="G16174" s="1" t="str">
        <f t="shared" si="2"/>
        <v/>
      </c>
      <c r="J16174" s="1" t="str">
        <f t="shared" si="3"/>
        <v/>
      </c>
      <c r="K16174" s="1" t="str">
        <f t="shared" si="4"/>
        <v/>
      </c>
    </row>
    <row r="16175">
      <c r="F16175" s="1" t="str">
        <f t="shared" si="1"/>
        <v/>
      </c>
      <c r="G16175" s="1" t="str">
        <f t="shared" si="2"/>
        <v/>
      </c>
      <c r="J16175" s="1" t="str">
        <f t="shared" si="3"/>
        <v/>
      </c>
      <c r="K16175" s="1" t="str">
        <f t="shared" si="4"/>
        <v/>
      </c>
    </row>
    <row r="16176">
      <c r="F16176" s="1" t="str">
        <f t="shared" si="1"/>
        <v/>
      </c>
      <c r="G16176" s="1" t="str">
        <f t="shared" si="2"/>
        <v/>
      </c>
      <c r="J16176" s="1" t="str">
        <f t="shared" si="3"/>
        <v/>
      </c>
      <c r="K16176" s="1" t="str">
        <f t="shared" si="4"/>
        <v/>
      </c>
    </row>
    <row r="16177">
      <c r="F16177" s="1" t="str">
        <f t="shared" si="1"/>
        <v/>
      </c>
      <c r="G16177" s="1" t="str">
        <f t="shared" si="2"/>
        <v/>
      </c>
      <c r="J16177" s="1" t="str">
        <f t="shared" si="3"/>
        <v/>
      </c>
      <c r="K16177" s="1" t="str">
        <f t="shared" si="4"/>
        <v/>
      </c>
    </row>
    <row r="16178">
      <c r="F16178" s="1" t="str">
        <f t="shared" si="1"/>
        <v/>
      </c>
      <c r="G16178" s="1" t="str">
        <f t="shared" si="2"/>
        <v/>
      </c>
      <c r="J16178" s="1" t="str">
        <f t="shared" si="3"/>
        <v/>
      </c>
      <c r="K16178" s="1" t="str">
        <f t="shared" si="4"/>
        <v/>
      </c>
    </row>
    <row r="16179">
      <c r="F16179" s="1" t="str">
        <f t="shared" si="1"/>
        <v/>
      </c>
      <c r="G16179" s="1" t="str">
        <f t="shared" si="2"/>
        <v/>
      </c>
      <c r="J16179" s="1" t="str">
        <f t="shared" si="3"/>
        <v/>
      </c>
      <c r="K16179" s="1" t="str">
        <f t="shared" si="4"/>
        <v/>
      </c>
    </row>
    <row r="16180">
      <c r="F16180" s="1" t="str">
        <f t="shared" si="1"/>
        <v/>
      </c>
      <c r="G16180" s="1" t="str">
        <f t="shared" si="2"/>
        <v/>
      </c>
      <c r="J16180" s="1" t="str">
        <f t="shared" si="3"/>
        <v/>
      </c>
      <c r="K16180" s="1" t="str">
        <f t="shared" si="4"/>
        <v/>
      </c>
    </row>
    <row r="16181">
      <c r="F16181" s="1" t="str">
        <f t="shared" si="1"/>
        <v/>
      </c>
      <c r="G16181" s="1" t="str">
        <f t="shared" si="2"/>
        <v/>
      </c>
      <c r="J16181" s="1" t="str">
        <f t="shared" si="3"/>
        <v/>
      </c>
      <c r="K16181" s="1" t="str">
        <f t="shared" si="4"/>
        <v/>
      </c>
    </row>
    <row r="16182">
      <c r="F16182" s="1" t="str">
        <f t="shared" si="1"/>
        <v/>
      </c>
      <c r="G16182" s="1" t="str">
        <f t="shared" si="2"/>
        <v/>
      </c>
      <c r="J16182" s="1" t="str">
        <f t="shared" si="3"/>
        <v/>
      </c>
      <c r="K16182" s="1" t="str">
        <f t="shared" si="4"/>
        <v/>
      </c>
    </row>
    <row r="16183">
      <c r="F16183" s="1" t="str">
        <f t="shared" si="1"/>
        <v/>
      </c>
      <c r="G16183" s="1" t="str">
        <f t="shared" si="2"/>
        <v/>
      </c>
      <c r="J16183" s="1" t="str">
        <f t="shared" si="3"/>
        <v/>
      </c>
      <c r="K16183" s="1" t="str">
        <f t="shared" si="4"/>
        <v/>
      </c>
    </row>
    <row r="16184">
      <c r="F16184" s="1" t="str">
        <f t="shared" si="1"/>
        <v/>
      </c>
      <c r="G16184" s="1" t="str">
        <f t="shared" si="2"/>
        <v/>
      </c>
      <c r="J16184" s="1" t="str">
        <f t="shared" si="3"/>
        <v/>
      </c>
      <c r="K16184" s="1" t="str">
        <f t="shared" si="4"/>
        <v/>
      </c>
    </row>
    <row r="16185">
      <c r="F16185" s="1" t="str">
        <f t="shared" si="1"/>
        <v/>
      </c>
      <c r="G16185" s="1" t="str">
        <f t="shared" si="2"/>
        <v/>
      </c>
      <c r="J16185" s="1" t="str">
        <f t="shared" si="3"/>
        <v/>
      </c>
      <c r="K16185" s="1" t="str">
        <f t="shared" si="4"/>
        <v/>
      </c>
    </row>
    <row r="16186">
      <c r="F16186" s="1" t="str">
        <f t="shared" si="1"/>
        <v/>
      </c>
      <c r="G16186" s="1" t="str">
        <f t="shared" si="2"/>
        <v/>
      </c>
      <c r="J16186" s="1" t="str">
        <f t="shared" si="3"/>
        <v/>
      </c>
      <c r="K16186" s="1" t="str">
        <f t="shared" si="4"/>
        <v/>
      </c>
    </row>
    <row r="16187">
      <c r="F16187" s="1" t="str">
        <f t="shared" si="1"/>
        <v/>
      </c>
      <c r="G16187" s="1" t="str">
        <f t="shared" si="2"/>
        <v/>
      </c>
      <c r="J16187" s="1" t="str">
        <f t="shared" si="3"/>
        <v/>
      </c>
      <c r="K16187" s="1" t="str">
        <f t="shared" si="4"/>
        <v/>
      </c>
    </row>
    <row r="16188">
      <c r="F16188" s="1" t="str">
        <f t="shared" si="1"/>
        <v/>
      </c>
      <c r="G16188" s="1" t="str">
        <f t="shared" si="2"/>
        <v/>
      </c>
      <c r="J16188" s="1" t="str">
        <f t="shared" si="3"/>
        <v/>
      </c>
      <c r="K16188" s="1" t="str">
        <f t="shared" si="4"/>
        <v/>
      </c>
    </row>
    <row r="16189">
      <c r="F16189" s="1" t="str">
        <f t="shared" si="1"/>
        <v/>
      </c>
      <c r="G16189" s="1" t="str">
        <f t="shared" si="2"/>
        <v/>
      </c>
      <c r="J16189" s="1" t="str">
        <f t="shared" si="3"/>
        <v/>
      </c>
      <c r="K16189" s="1" t="str">
        <f t="shared" si="4"/>
        <v/>
      </c>
    </row>
    <row r="16190">
      <c r="F16190" s="1" t="str">
        <f t="shared" si="1"/>
        <v/>
      </c>
      <c r="G16190" s="1" t="str">
        <f t="shared" si="2"/>
        <v/>
      </c>
      <c r="J16190" s="1" t="str">
        <f t="shared" si="3"/>
        <v/>
      </c>
      <c r="K16190" s="1" t="str">
        <f t="shared" si="4"/>
        <v/>
      </c>
    </row>
    <row r="16191">
      <c r="F16191" s="1" t="str">
        <f t="shared" si="1"/>
        <v/>
      </c>
      <c r="G16191" s="1" t="str">
        <f t="shared" si="2"/>
        <v/>
      </c>
      <c r="J16191" s="1" t="str">
        <f t="shared" si="3"/>
        <v/>
      </c>
      <c r="K16191" s="1" t="str">
        <f t="shared" si="4"/>
        <v/>
      </c>
    </row>
    <row r="16192">
      <c r="F16192" s="1" t="str">
        <f t="shared" si="1"/>
        <v/>
      </c>
      <c r="G16192" s="1" t="str">
        <f t="shared" si="2"/>
        <v/>
      </c>
      <c r="J16192" s="1" t="str">
        <f t="shared" si="3"/>
        <v/>
      </c>
      <c r="K16192" s="1" t="str">
        <f t="shared" si="4"/>
        <v/>
      </c>
    </row>
    <row r="16193">
      <c r="F16193" s="1" t="str">
        <f t="shared" si="1"/>
        <v/>
      </c>
      <c r="G16193" s="1" t="str">
        <f t="shared" si="2"/>
        <v/>
      </c>
      <c r="J16193" s="1" t="str">
        <f t="shared" si="3"/>
        <v/>
      </c>
      <c r="K16193" s="1" t="str">
        <f t="shared" si="4"/>
        <v/>
      </c>
    </row>
    <row r="16194">
      <c r="F16194" s="1" t="str">
        <f t="shared" si="1"/>
        <v/>
      </c>
      <c r="G16194" s="1" t="str">
        <f t="shared" si="2"/>
        <v/>
      </c>
      <c r="J16194" s="1" t="str">
        <f t="shared" si="3"/>
        <v/>
      </c>
      <c r="K16194" s="1" t="str">
        <f t="shared" si="4"/>
        <v/>
      </c>
    </row>
    <row r="16195">
      <c r="F16195" s="1" t="str">
        <f t="shared" si="1"/>
        <v/>
      </c>
      <c r="G16195" s="1" t="str">
        <f t="shared" si="2"/>
        <v/>
      </c>
      <c r="J16195" s="1" t="str">
        <f t="shared" si="3"/>
        <v/>
      </c>
      <c r="K16195" s="1" t="str">
        <f t="shared" si="4"/>
        <v/>
      </c>
    </row>
    <row r="16196">
      <c r="F16196" s="1" t="str">
        <f t="shared" si="1"/>
        <v/>
      </c>
      <c r="G16196" s="1" t="str">
        <f t="shared" si="2"/>
        <v/>
      </c>
      <c r="J16196" s="1" t="str">
        <f t="shared" si="3"/>
        <v/>
      </c>
      <c r="K16196" s="1" t="str">
        <f t="shared" si="4"/>
        <v/>
      </c>
    </row>
    <row r="16197">
      <c r="F16197" s="1" t="str">
        <f t="shared" si="1"/>
        <v/>
      </c>
      <c r="G16197" s="1" t="str">
        <f t="shared" si="2"/>
        <v/>
      </c>
      <c r="J16197" s="1" t="str">
        <f t="shared" si="3"/>
        <v/>
      </c>
      <c r="K16197" s="1" t="str">
        <f t="shared" si="4"/>
        <v/>
      </c>
    </row>
    <row r="16198">
      <c r="F16198" s="1" t="str">
        <f t="shared" si="1"/>
        <v/>
      </c>
      <c r="G16198" s="1" t="str">
        <f t="shared" si="2"/>
        <v/>
      </c>
      <c r="J16198" s="1" t="str">
        <f t="shared" si="3"/>
        <v/>
      </c>
      <c r="K16198" s="1" t="str">
        <f t="shared" si="4"/>
        <v/>
      </c>
    </row>
    <row r="16199">
      <c r="F16199" s="1" t="str">
        <f t="shared" si="1"/>
        <v/>
      </c>
      <c r="G16199" s="1" t="str">
        <f t="shared" si="2"/>
        <v/>
      </c>
      <c r="J16199" s="1" t="str">
        <f t="shared" si="3"/>
        <v/>
      </c>
      <c r="K16199" s="1" t="str">
        <f t="shared" si="4"/>
        <v/>
      </c>
    </row>
    <row r="16200">
      <c r="F16200" s="1" t="str">
        <f t="shared" si="1"/>
        <v/>
      </c>
      <c r="G16200" s="1" t="str">
        <f t="shared" si="2"/>
        <v/>
      </c>
      <c r="J16200" s="1" t="str">
        <f t="shared" si="3"/>
        <v/>
      </c>
      <c r="K16200" s="1" t="str">
        <f t="shared" si="4"/>
        <v/>
      </c>
    </row>
    <row r="16201">
      <c r="F16201" s="1" t="str">
        <f t="shared" si="1"/>
        <v/>
      </c>
      <c r="G16201" s="1" t="str">
        <f t="shared" si="2"/>
        <v/>
      </c>
      <c r="J16201" s="1" t="str">
        <f t="shared" si="3"/>
        <v/>
      </c>
      <c r="K16201" s="1" t="str">
        <f t="shared" si="4"/>
        <v/>
      </c>
    </row>
    <row r="16202">
      <c r="F16202" s="1" t="str">
        <f t="shared" si="1"/>
        <v/>
      </c>
      <c r="G16202" s="1" t="str">
        <f t="shared" si="2"/>
        <v/>
      </c>
      <c r="J16202" s="1" t="str">
        <f t="shared" si="3"/>
        <v/>
      </c>
      <c r="K16202" s="1" t="str">
        <f t="shared" si="4"/>
        <v/>
      </c>
    </row>
    <row r="16203">
      <c r="F16203" s="1" t="str">
        <f t="shared" si="1"/>
        <v/>
      </c>
      <c r="G16203" s="1" t="str">
        <f t="shared" si="2"/>
        <v/>
      </c>
      <c r="J16203" s="1" t="str">
        <f t="shared" si="3"/>
        <v/>
      </c>
      <c r="K16203" s="1" t="str">
        <f t="shared" si="4"/>
        <v/>
      </c>
    </row>
    <row r="16204">
      <c r="F16204" s="1" t="str">
        <f t="shared" si="1"/>
        <v/>
      </c>
      <c r="G16204" s="1" t="str">
        <f t="shared" si="2"/>
        <v/>
      </c>
      <c r="J16204" s="1" t="str">
        <f t="shared" si="3"/>
        <v/>
      </c>
      <c r="K16204" s="1" t="str">
        <f t="shared" si="4"/>
        <v/>
      </c>
    </row>
    <row r="16205">
      <c r="F16205" s="1" t="str">
        <f t="shared" si="1"/>
        <v/>
      </c>
      <c r="G16205" s="1" t="str">
        <f t="shared" si="2"/>
        <v/>
      </c>
      <c r="J16205" s="1" t="str">
        <f t="shared" si="3"/>
        <v/>
      </c>
      <c r="K16205" s="1" t="str">
        <f t="shared" si="4"/>
        <v/>
      </c>
    </row>
    <row r="16206">
      <c r="F16206" s="1" t="str">
        <f t="shared" si="1"/>
        <v/>
      </c>
      <c r="G16206" s="1" t="str">
        <f t="shared" si="2"/>
        <v/>
      </c>
      <c r="J16206" s="1" t="str">
        <f t="shared" si="3"/>
        <v/>
      </c>
      <c r="K16206" s="1" t="str">
        <f t="shared" si="4"/>
        <v/>
      </c>
    </row>
    <row r="16207">
      <c r="F16207" s="1" t="str">
        <f t="shared" si="1"/>
        <v/>
      </c>
      <c r="G16207" s="1" t="str">
        <f t="shared" si="2"/>
        <v/>
      </c>
      <c r="J16207" s="1" t="str">
        <f t="shared" si="3"/>
        <v/>
      </c>
      <c r="K16207" s="1" t="str">
        <f t="shared" si="4"/>
        <v/>
      </c>
    </row>
    <row r="16208">
      <c r="F16208" s="1" t="str">
        <f t="shared" si="1"/>
        <v/>
      </c>
      <c r="G16208" s="1" t="str">
        <f t="shared" si="2"/>
        <v/>
      </c>
      <c r="J16208" s="1" t="str">
        <f t="shared" si="3"/>
        <v/>
      </c>
      <c r="K16208" s="1" t="str">
        <f t="shared" si="4"/>
        <v/>
      </c>
    </row>
    <row r="16209">
      <c r="F16209" s="1" t="str">
        <f t="shared" si="1"/>
        <v/>
      </c>
      <c r="G16209" s="1" t="str">
        <f t="shared" si="2"/>
        <v/>
      </c>
      <c r="J16209" s="1" t="str">
        <f t="shared" si="3"/>
        <v/>
      </c>
      <c r="K16209" s="1" t="str">
        <f t="shared" si="4"/>
        <v/>
      </c>
    </row>
    <row r="16210">
      <c r="F16210" s="1" t="str">
        <f t="shared" si="1"/>
        <v/>
      </c>
      <c r="G16210" s="1" t="str">
        <f t="shared" si="2"/>
        <v/>
      </c>
      <c r="J16210" s="1" t="str">
        <f t="shared" si="3"/>
        <v/>
      </c>
      <c r="K16210" s="1" t="str">
        <f t="shared" si="4"/>
        <v/>
      </c>
    </row>
    <row r="16211">
      <c r="F16211" s="1" t="str">
        <f t="shared" si="1"/>
        <v/>
      </c>
      <c r="G16211" s="1" t="str">
        <f t="shared" si="2"/>
        <v/>
      </c>
      <c r="J16211" s="1" t="str">
        <f t="shared" si="3"/>
        <v/>
      </c>
      <c r="K16211" s="1" t="str">
        <f t="shared" si="4"/>
        <v/>
      </c>
    </row>
    <row r="16212">
      <c r="F16212" s="1" t="str">
        <f t="shared" si="1"/>
        <v/>
      </c>
      <c r="G16212" s="1" t="str">
        <f t="shared" si="2"/>
        <v/>
      </c>
      <c r="J16212" s="1" t="str">
        <f t="shared" si="3"/>
        <v/>
      </c>
      <c r="K16212" s="1" t="str">
        <f t="shared" si="4"/>
        <v/>
      </c>
    </row>
    <row r="16213">
      <c r="F16213" s="1" t="str">
        <f t="shared" si="1"/>
        <v/>
      </c>
      <c r="G16213" s="1" t="str">
        <f t="shared" si="2"/>
        <v/>
      </c>
      <c r="J16213" s="1" t="str">
        <f t="shared" si="3"/>
        <v/>
      </c>
      <c r="K16213" s="1" t="str">
        <f t="shared" si="4"/>
        <v/>
      </c>
    </row>
    <row r="16214">
      <c r="F16214" s="1" t="str">
        <f t="shared" si="1"/>
        <v/>
      </c>
      <c r="G16214" s="1" t="str">
        <f t="shared" si="2"/>
        <v/>
      </c>
      <c r="J16214" s="1" t="str">
        <f t="shared" si="3"/>
        <v/>
      </c>
      <c r="K16214" s="1" t="str">
        <f t="shared" si="4"/>
        <v/>
      </c>
    </row>
    <row r="16215">
      <c r="F16215" s="1" t="str">
        <f t="shared" si="1"/>
        <v/>
      </c>
      <c r="G16215" s="1" t="str">
        <f t="shared" si="2"/>
        <v/>
      </c>
      <c r="J16215" s="1" t="str">
        <f t="shared" si="3"/>
        <v/>
      </c>
      <c r="K16215" s="1" t="str">
        <f t="shared" si="4"/>
        <v/>
      </c>
    </row>
    <row r="16216">
      <c r="F16216" s="1" t="str">
        <f t="shared" si="1"/>
        <v/>
      </c>
      <c r="G16216" s="1" t="str">
        <f t="shared" si="2"/>
        <v/>
      </c>
      <c r="J16216" s="1" t="str">
        <f t="shared" si="3"/>
        <v/>
      </c>
      <c r="K16216" s="1" t="str">
        <f t="shared" si="4"/>
        <v/>
      </c>
    </row>
    <row r="16217">
      <c r="F16217" s="1" t="str">
        <f t="shared" si="1"/>
        <v/>
      </c>
      <c r="G16217" s="1" t="str">
        <f t="shared" si="2"/>
        <v/>
      </c>
      <c r="J16217" s="1" t="str">
        <f t="shared" si="3"/>
        <v/>
      </c>
      <c r="K16217" s="1" t="str">
        <f t="shared" si="4"/>
        <v/>
      </c>
    </row>
    <row r="16218">
      <c r="F16218" s="1" t="str">
        <f t="shared" si="1"/>
        <v/>
      </c>
      <c r="G16218" s="1" t="str">
        <f t="shared" si="2"/>
        <v/>
      </c>
      <c r="J16218" s="1" t="str">
        <f t="shared" si="3"/>
        <v/>
      </c>
      <c r="K16218" s="1" t="str">
        <f t="shared" si="4"/>
        <v/>
      </c>
    </row>
    <row r="16219">
      <c r="F16219" s="1" t="str">
        <f t="shared" si="1"/>
        <v/>
      </c>
      <c r="G16219" s="1" t="str">
        <f t="shared" si="2"/>
        <v/>
      </c>
      <c r="J16219" s="1" t="str">
        <f t="shared" si="3"/>
        <v/>
      </c>
      <c r="K16219" s="1" t="str">
        <f t="shared" si="4"/>
        <v/>
      </c>
    </row>
    <row r="16220">
      <c r="F16220" s="1" t="str">
        <f t="shared" si="1"/>
        <v/>
      </c>
      <c r="G16220" s="1" t="str">
        <f t="shared" si="2"/>
        <v/>
      </c>
      <c r="J16220" s="1" t="str">
        <f t="shared" si="3"/>
        <v/>
      </c>
      <c r="K16220" s="1" t="str">
        <f t="shared" si="4"/>
        <v/>
      </c>
    </row>
    <row r="16221">
      <c r="F16221" s="1" t="str">
        <f t="shared" si="1"/>
        <v/>
      </c>
      <c r="G16221" s="1" t="str">
        <f t="shared" si="2"/>
        <v/>
      </c>
      <c r="J16221" s="1" t="str">
        <f t="shared" si="3"/>
        <v/>
      </c>
      <c r="K16221" s="1" t="str">
        <f t="shared" si="4"/>
        <v/>
      </c>
    </row>
    <row r="16222">
      <c r="F16222" s="1" t="str">
        <f t="shared" si="1"/>
        <v/>
      </c>
      <c r="G16222" s="1" t="str">
        <f t="shared" si="2"/>
        <v/>
      </c>
      <c r="J16222" s="1" t="str">
        <f t="shared" si="3"/>
        <v/>
      </c>
      <c r="K16222" s="1" t="str">
        <f t="shared" si="4"/>
        <v/>
      </c>
    </row>
    <row r="16223">
      <c r="F16223" s="1" t="str">
        <f t="shared" si="1"/>
        <v/>
      </c>
      <c r="G16223" s="1" t="str">
        <f t="shared" si="2"/>
        <v/>
      </c>
      <c r="J16223" s="1" t="str">
        <f t="shared" si="3"/>
        <v/>
      </c>
      <c r="K16223" s="1" t="str">
        <f t="shared" si="4"/>
        <v/>
      </c>
    </row>
    <row r="16224">
      <c r="F16224" s="1" t="str">
        <f t="shared" si="1"/>
        <v/>
      </c>
      <c r="G16224" s="1" t="str">
        <f t="shared" si="2"/>
        <v/>
      </c>
      <c r="J16224" s="1" t="str">
        <f t="shared" si="3"/>
        <v/>
      </c>
      <c r="K16224" s="1" t="str">
        <f t="shared" si="4"/>
        <v/>
      </c>
    </row>
    <row r="16225">
      <c r="F16225" s="1" t="str">
        <f t="shared" si="1"/>
        <v/>
      </c>
      <c r="G16225" s="1" t="str">
        <f t="shared" si="2"/>
        <v/>
      </c>
      <c r="J16225" s="1" t="str">
        <f t="shared" si="3"/>
        <v/>
      </c>
      <c r="K16225" s="1" t="str">
        <f t="shared" si="4"/>
        <v/>
      </c>
    </row>
    <row r="16226">
      <c r="F16226" s="1" t="str">
        <f t="shared" si="1"/>
        <v/>
      </c>
      <c r="G16226" s="1" t="str">
        <f t="shared" si="2"/>
        <v/>
      </c>
      <c r="J16226" s="1" t="str">
        <f t="shared" si="3"/>
        <v/>
      </c>
      <c r="K16226" s="1" t="str">
        <f t="shared" si="4"/>
        <v/>
      </c>
    </row>
    <row r="16227">
      <c r="F16227" s="1" t="str">
        <f t="shared" si="1"/>
        <v/>
      </c>
      <c r="G16227" s="1" t="str">
        <f t="shared" si="2"/>
        <v/>
      </c>
      <c r="J16227" s="1" t="str">
        <f t="shared" si="3"/>
        <v/>
      </c>
      <c r="K16227" s="1" t="str">
        <f t="shared" si="4"/>
        <v/>
      </c>
    </row>
    <row r="16228">
      <c r="F16228" s="1" t="str">
        <f t="shared" si="1"/>
        <v/>
      </c>
      <c r="G16228" s="1" t="str">
        <f t="shared" si="2"/>
        <v/>
      </c>
      <c r="J16228" s="1" t="str">
        <f t="shared" si="3"/>
        <v/>
      </c>
      <c r="K16228" s="1" t="str">
        <f t="shared" si="4"/>
        <v/>
      </c>
    </row>
    <row r="16229">
      <c r="F16229" s="1" t="str">
        <f t="shared" si="1"/>
        <v/>
      </c>
      <c r="G16229" s="1" t="str">
        <f t="shared" si="2"/>
        <v/>
      </c>
      <c r="J16229" s="1" t="str">
        <f t="shared" si="3"/>
        <v/>
      </c>
      <c r="K16229" s="1" t="str">
        <f t="shared" si="4"/>
        <v/>
      </c>
    </row>
    <row r="16230">
      <c r="F16230" s="1" t="str">
        <f t="shared" si="1"/>
        <v/>
      </c>
      <c r="G16230" s="1" t="str">
        <f t="shared" si="2"/>
        <v/>
      </c>
      <c r="J16230" s="1" t="str">
        <f t="shared" si="3"/>
        <v/>
      </c>
      <c r="K16230" s="1" t="str">
        <f t="shared" si="4"/>
        <v/>
      </c>
    </row>
    <row r="16231">
      <c r="F16231" s="1" t="str">
        <f t="shared" si="1"/>
        <v/>
      </c>
      <c r="G16231" s="1" t="str">
        <f t="shared" si="2"/>
        <v/>
      </c>
      <c r="J16231" s="1" t="str">
        <f t="shared" si="3"/>
        <v/>
      </c>
      <c r="K16231" s="1" t="str">
        <f t="shared" si="4"/>
        <v/>
      </c>
    </row>
    <row r="16232">
      <c r="F16232" s="1" t="str">
        <f t="shared" si="1"/>
        <v/>
      </c>
      <c r="G16232" s="1" t="str">
        <f t="shared" si="2"/>
        <v/>
      </c>
      <c r="J16232" s="1" t="str">
        <f t="shared" si="3"/>
        <v/>
      </c>
      <c r="K16232" s="1" t="str">
        <f t="shared" si="4"/>
        <v/>
      </c>
    </row>
    <row r="16233">
      <c r="F16233" s="1" t="str">
        <f t="shared" si="1"/>
        <v/>
      </c>
      <c r="G16233" s="1" t="str">
        <f t="shared" si="2"/>
        <v/>
      </c>
      <c r="J16233" s="1" t="str">
        <f t="shared" si="3"/>
        <v/>
      </c>
      <c r="K16233" s="1" t="str">
        <f t="shared" si="4"/>
        <v/>
      </c>
    </row>
    <row r="16234">
      <c r="F16234" s="1" t="str">
        <f t="shared" si="1"/>
        <v/>
      </c>
      <c r="G16234" s="1" t="str">
        <f t="shared" si="2"/>
        <v/>
      </c>
      <c r="J16234" s="1" t="str">
        <f t="shared" si="3"/>
        <v/>
      </c>
      <c r="K16234" s="1" t="str">
        <f t="shared" si="4"/>
        <v/>
      </c>
    </row>
    <row r="16235">
      <c r="F16235" s="1" t="str">
        <f t="shared" si="1"/>
        <v/>
      </c>
      <c r="G16235" s="1" t="str">
        <f t="shared" si="2"/>
        <v/>
      </c>
      <c r="J16235" s="1" t="str">
        <f t="shared" si="3"/>
        <v/>
      </c>
      <c r="K16235" s="1" t="str">
        <f t="shared" si="4"/>
        <v/>
      </c>
    </row>
    <row r="16236">
      <c r="F16236" s="1" t="str">
        <f t="shared" si="1"/>
        <v/>
      </c>
      <c r="G16236" s="1" t="str">
        <f t="shared" si="2"/>
        <v/>
      </c>
      <c r="J16236" s="1" t="str">
        <f t="shared" si="3"/>
        <v/>
      </c>
      <c r="K16236" s="1" t="str">
        <f t="shared" si="4"/>
        <v/>
      </c>
    </row>
    <row r="16237">
      <c r="F16237" s="1" t="str">
        <f t="shared" si="1"/>
        <v/>
      </c>
      <c r="G16237" s="1" t="str">
        <f t="shared" si="2"/>
        <v/>
      </c>
      <c r="J16237" s="1" t="str">
        <f t="shared" si="3"/>
        <v/>
      </c>
      <c r="K16237" s="1" t="str">
        <f t="shared" si="4"/>
        <v/>
      </c>
    </row>
    <row r="16238">
      <c r="F16238" s="1" t="str">
        <f t="shared" si="1"/>
        <v/>
      </c>
      <c r="G16238" s="1" t="str">
        <f t="shared" si="2"/>
        <v/>
      </c>
      <c r="J16238" s="1" t="str">
        <f t="shared" si="3"/>
        <v/>
      </c>
      <c r="K16238" s="1" t="str">
        <f t="shared" si="4"/>
        <v/>
      </c>
    </row>
    <row r="16239">
      <c r="F16239" s="1" t="str">
        <f t="shared" si="1"/>
        <v/>
      </c>
      <c r="G16239" s="1" t="str">
        <f t="shared" si="2"/>
        <v/>
      </c>
      <c r="J16239" s="1" t="str">
        <f t="shared" si="3"/>
        <v/>
      </c>
      <c r="K16239" s="1" t="str">
        <f t="shared" si="4"/>
        <v/>
      </c>
    </row>
    <row r="16240">
      <c r="F16240" s="1" t="str">
        <f t="shared" si="1"/>
        <v/>
      </c>
      <c r="G16240" s="1" t="str">
        <f t="shared" si="2"/>
        <v/>
      </c>
      <c r="J16240" s="1" t="str">
        <f t="shared" si="3"/>
        <v/>
      </c>
      <c r="K16240" s="1" t="str">
        <f t="shared" si="4"/>
        <v/>
      </c>
    </row>
    <row r="16241">
      <c r="F16241" s="1" t="str">
        <f t="shared" si="1"/>
        <v/>
      </c>
      <c r="G16241" s="1" t="str">
        <f t="shared" si="2"/>
        <v/>
      </c>
      <c r="J16241" s="1" t="str">
        <f t="shared" si="3"/>
        <v/>
      </c>
      <c r="K16241" s="1" t="str">
        <f t="shared" si="4"/>
        <v/>
      </c>
    </row>
    <row r="16242">
      <c r="F16242" s="1" t="str">
        <f t="shared" si="1"/>
        <v/>
      </c>
      <c r="G16242" s="1" t="str">
        <f t="shared" si="2"/>
        <v/>
      </c>
      <c r="J16242" s="1" t="str">
        <f t="shared" si="3"/>
        <v/>
      </c>
      <c r="K16242" s="1" t="str">
        <f t="shared" si="4"/>
        <v/>
      </c>
    </row>
    <row r="16243">
      <c r="F16243" s="1" t="str">
        <f t="shared" si="1"/>
        <v/>
      </c>
      <c r="G16243" s="1" t="str">
        <f t="shared" si="2"/>
        <v/>
      </c>
      <c r="J16243" s="1" t="str">
        <f t="shared" si="3"/>
        <v/>
      </c>
      <c r="K16243" s="1" t="str">
        <f t="shared" si="4"/>
        <v/>
      </c>
    </row>
    <row r="16244">
      <c r="F16244" s="1" t="str">
        <f t="shared" si="1"/>
        <v/>
      </c>
      <c r="G16244" s="1" t="str">
        <f t="shared" si="2"/>
        <v/>
      </c>
      <c r="J16244" s="1" t="str">
        <f t="shared" si="3"/>
        <v/>
      </c>
      <c r="K16244" s="1" t="str">
        <f t="shared" si="4"/>
        <v/>
      </c>
    </row>
    <row r="16245">
      <c r="F16245" s="1" t="str">
        <f t="shared" si="1"/>
        <v/>
      </c>
      <c r="G16245" s="1" t="str">
        <f t="shared" si="2"/>
        <v/>
      </c>
      <c r="J16245" s="1" t="str">
        <f t="shared" si="3"/>
        <v/>
      </c>
      <c r="K16245" s="1" t="str">
        <f t="shared" si="4"/>
        <v/>
      </c>
    </row>
    <row r="16246">
      <c r="F16246" s="1" t="str">
        <f t="shared" si="1"/>
        <v/>
      </c>
      <c r="G16246" s="1" t="str">
        <f t="shared" si="2"/>
        <v/>
      </c>
      <c r="J16246" s="1" t="str">
        <f t="shared" si="3"/>
        <v/>
      </c>
      <c r="K16246" s="1" t="str">
        <f t="shared" si="4"/>
        <v/>
      </c>
    </row>
    <row r="16247">
      <c r="F16247" s="1" t="str">
        <f t="shared" si="1"/>
        <v/>
      </c>
      <c r="G16247" s="1" t="str">
        <f t="shared" si="2"/>
        <v/>
      </c>
      <c r="J16247" s="1" t="str">
        <f t="shared" si="3"/>
        <v/>
      </c>
      <c r="K16247" s="1" t="str">
        <f t="shared" si="4"/>
        <v/>
      </c>
    </row>
    <row r="16248">
      <c r="F16248" s="1" t="str">
        <f t="shared" si="1"/>
        <v/>
      </c>
      <c r="G16248" s="1" t="str">
        <f t="shared" si="2"/>
        <v/>
      </c>
      <c r="J16248" s="1" t="str">
        <f t="shared" si="3"/>
        <v/>
      </c>
      <c r="K16248" s="1" t="str">
        <f t="shared" si="4"/>
        <v/>
      </c>
    </row>
    <row r="16249">
      <c r="F16249" s="1" t="str">
        <f t="shared" si="1"/>
        <v/>
      </c>
      <c r="G16249" s="1" t="str">
        <f t="shared" si="2"/>
        <v/>
      </c>
      <c r="J16249" s="1" t="str">
        <f t="shared" si="3"/>
        <v/>
      </c>
      <c r="K16249" s="1" t="str">
        <f t="shared" si="4"/>
        <v/>
      </c>
    </row>
    <row r="16250">
      <c r="F16250" s="1" t="str">
        <f t="shared" si="1"/>
        <v/>
      </c>
      <c r="G16250" s="1" t="str">
        <f t="shared" si="2"/>
        <v/>
      </c>
      <c r="J16250" s="1" t="str">
        <f t="shared" si="3"/>
        <v/>
      </c>
      <c r="K16250" s="1" t="str">
        <f t="shared" si="4"/>
        <v/>
      </c>
    </row>
    <row r="16251">
      <c r="F16251" s="1" t="str">
        <f t="shared" si="1"/>
        <v/>
      </c>
      <c r="G16251" s="1" t="str">
        <f t="shared" si="2"/>
        <v/>
      </c>
      <c r="J16251" s="1" t="str">
        <f t="shared" si="3"/>
        <v/>
      </c>
      <c r="K16251" s="1" t="str">
        <f t="shared" si="4"/>
        <v/>
      </c>
    </row>
    <row r="16252">
      <c r="F16252" s="1" t="str">
        <f t="shared" si="1"/>
        <v/>
      </c>
      <c r="G16252" s="1" t="str">
        <f t="shared" si="2"/>
        <v/>
      </c>
      <c r="J16252" s="1" t="str">
        <f t="shared" si="3"/>
        <v/>
      </c>
      <c r="K16252" s="1" t="str">
        <f t="shared" si="4"/>
        <v/>
      </c>
    </row>
    <row r="16253">
      <c r="F16253" s="1" t="str">
        <f t="shared" si="1"/>
        <v/>
      </c>
      <c r="G16253" s="1" t="str">
        <f t="shared" si="2"/>
        <v/>
      </c>
      <c r="J16253" s="1" t="str">
        <f t="shared" si="3"/>
        <v/>
      </c>
      <c r="K16253" s="1" t="str">
        <f t="shared" si="4"/>
        <v/>
      </c>
    </row>
    <row r="16254">
      <c r="F16254" s="1" t="str">
        <f t="shared" si="1"/>
        <v/>
      </c>
      <c r="G16254" s="1" t="str">
        <f t="shared" si="2"/>
        <v/>
      </c>
      <c r="J16254" s="1" t="str">
        <f t="shared" si="3"/>
        <v/>
      </c>
      <c r="K16254" s="1" t="str">
        <f t="shared" si="4"/>
        <v/>
      </c>
    </row>
    <row r="16255">
      <c r="F16255" s="1" t="str">
        <f t="shared" si="1"/>
        <v/>
      </c>
      <c r="G16255" s="1" t="str">
        <f t="shared" si="2"/>
        <v/>
      </c>
      <c r="J16255" s="1" t="str">
        <f t="shared" si="3"/>
        <v/>
      </c>
      <c r="K16255" s="1" t="str">
        <f t="shared" si="4"/>
        <v/>
      </c>
    </row>
    <row r="16256">
      <c r="F16256" s="1" t="str">
        <f t="shared" si="1"/>
        <v/>
      </c>
      <c r="G16256" s="1" t="str">
        <f t="shared" si="2"/>
        <v/>
      </c>
      <c r="J16256" s="1" t="str">
        <f t="shared" si="3"/>
        <v/>
      </c>
      <c r="K16256" s="1" t="str">
        <f t="shared" si="4"/>
        <v/>
      </c>
    </row>
    <row r="16257">
      <c r="F16257" s="1" t="str">
        <f t="shared" si="1"/>
        <v/>
      </c>
      <c r="G16257" s="1" t="str">
        <f t="shared" si="2"/>
        <v/>
      </c>
      <c r="J16257" s="1" t="str">
        <f t="shared" si="3"/>
        <v/>
      </c>
      <c r="K16257" s="1" t="str">
        <f t="shared" si="4"/>
        <v/>
      </c>
    </row>
    <row r="16258">
      <c r="F16258" s="1" t="str">
        <f t="shared" si="1"/>
        <v/>
      </c>
      <c r="G16258" s="1" t="str">
        <f t="shared" si="2"/>
        <v/>
      </c>
      <c r="J16258" s="1" t="str">
        <f t="shared" si="3"/>
        <v/>
      </c>
      <c r="K16258" s="1" t="str">
        <f t="shared" si="4"/>
        <v/>
      </c>
    </row>
    <row r="16259">
      <c r="F16259" s="1" t="str">
        <f t="shared" si="1"/>
        <v/>
      </c>
      <c r="G16259" s="1" t="str">
        <f t="shared" si="2"/>
        <v/>
      </c>
      <c r="J16259" s="1" t="str">
        <f t="shared" si="3"/>
        <v/>
      </c>
      <c r="K16259" s="1" t="str">
        <f t="shared" si="4"/>
        <v/>
      </c>
    </row>
    <row r="16260">
      <c r="F16260" s="1" t="str">
        <f t="shared" si="1"/>
        <v/>
      </c>
      <c r="G16260" s="1" t="str">
        <f t="shared" si="2"/>
        <v/>
      </c>
      <c r="J16260" s="1" t="str">
        <f t="shared" si="3"/>
        <v/>
      </c>
      <c r="K16260" s="1" t="str">
        <f t="shared" si="4"/>
        <v/>
      </c>
    </row>
    <row r="16261">
      <c r="F16261" s="1" t="str">
        <f t="shared" si="1"/>
        <v/>
      </c>
      <c r="G16261" s="1" t="str">
        <f t="shared" si="2"/>
        <v/>
      </c>
      <c r="J16261" s="1" t="str">
        <f t="shared" si="3"/>
        <v/>
      </c>
      <c r="K16261" s="1" t="str">
        <f t="shared" si="4"/>
        <v/>
      </c>
    </row>
    <row r="16262">
      <c r="F16262" s="1" t="str">
        <f t="shared" si="1"/>
        <v/>
      </c>
      <c r="G16262" s="1" t="str">
        <f t="shared" si="2"/>
        <v/>
      </c>
      <c r="J16262" s="1" t="str">
        <f t="shared" si="3"/>
        <v/>
      </c>
      <c r="K16262" s="1" t="str">
        <f t="shared" si="4"/>
        <v/>
      </c>
    </row>
    <row r="16263">
      <c r="F16263" s="1" t="str">
        <f t="shared" si="1"/>
        <v/>
      </c>
      <c r="G16263" s="1" t="str">
        <f t="shared" si="2"/>
        <v/>
      </c>
      <c r="J16263" s="1" t="str">
        <f t="shared" si="3"/>
        <v/>
      </c>
      <c r="K16263" s="1" t="str">
        <f t="shared" si="4"/>
        <v/>
      </c>
    </row>
    <row r="16264">
      <c r="F16264" s="1" t="str">
        <f t="shared" si="1"/>
        <v/>
      </c>
      <c r="G16264" s="1" t="str">
        <f t="shared" si="2"/>
        <v/>
      </c>
      <c r="J16264" s="1" t="str">
        <f t="shared" si="3"/>
        <v/>
      </c>
      <c r="K16264" s="1" t="str">
        <f t="shared" si="4"/>
        <v/>
      </c>
    </row>
    <row r="16265">
      <c r="F16265" s="1" t="str">
        <f t="shared" si="1"/>
        <v/>
      </c>
      <c r="G16265" s="1" t="str">
        <f t="shared" si="2"/>
        <v/>
      </c>
      <c r="J16265" s="1" t="str">
        <f t="shared" si="3"/>
        <v/>
      </c>
      <c r="K16265" s="1" t="str">
        <f t="shared" si="4"/>
        <v/>
      </c>
    </row>
    <row r="16266">
      <c r="F16266" s="1" t="str">
        <f t="shared" si="1"/>
        <v/>
      </c>
      <c r="G16266" s="1" t="str">
        <f t="shared" si="2"/>
        <v/>
      </c>
      <c r="J16266" s="1" t="str">
        <f t="shared" si="3"/>
        <v/>
      </c>
      <c r="K16266" s="1" t="str">
        <f t="shared" si="4"/>
        <v/>
      </c>
    </row>
    <row r="16267">
      <c r="F16267" s="1" t="str">
        <f t="shared" si="1"/>
        <v/>
      </c>
      <c r="G16267" s="1" t="str">
        <f t="shared" si="2"/>
        <v/>
      </c>
      <c r="J16267" s="1" t="str">
        <f t="shared" si="3"/>
        <v/>
      </c>
      <c r="K16267" s="1" t="str">
        <f t="shared" si="4"/>
        <v/>
      </c>
    </row>
    <row r="16268">
      <c r="F16268" s="1" t="str">
        <f t="shared" si="1"/>
        <v/>
      </c>
      <c r="G16268" s="1" t="str">
        <f t="shared" si="2"/>
        <v/>
      </c>
      <c r="J16268" s="1" t="str">
        <f t="shared" si="3"/>
        <v/>
      </c>
      <c r="K16268" s="1" t="str">
        <f t="shared" si="4"/>
        <v/>
      </c>
    </row>
    <row r="16269">
      <c r="F16269" s="1" t="str">
        <f t="shared" si="1"/>
        <v/>
      </c>
      <c r="G16269" s="1" t="str">
        <f t="shared" si="2"/>
        <v/>
      </c>
      <c r="J16269" s="1" t="str">
        <f t="shared" si="3"/>
        <v/>
      </c>
      <c r="K16269" s="1" t="str">
        <f t="shared" si="4"/>
        <v/>
      </c>
    </row>
    <row r="16270">
      <c r="F16270" s="1" t="str">
        <f t="shared" si="1"/>
        <v/>
      </c>
      <c r="G16270" s="1" t="str">
        <f t="shared" si="2"/>
        <v/>
      </c>
      <c r="J16270" s="1" t="str">
        <f t="shared" si="3"/>
        <v/>
      </c>
      <c r="K16270" s="1" t="str">
        <f t="shared" si="4"/>
        <v/>
      </c>
    </row>
    <row r="16271">
      <c r="F16271" s="1" t="str">
        <f t="shared" si="1"/>
        <v/>
      </c>
      <c r="G16271" s="1" t="str">
        <f t="shared" si="2"/>
        <v/>
      </c>
      <c r="J16271" s="1" t="str">
        <f t="shared" si="3"/>
        <v/>
      </c>
      <c r="K16271" s="1" t="str">
        <f t="shared" si="4"/>
        <v/>
      </c>
    </row>
    <row r="16272">
      <c r="F16272" s="1" t="str">
        <f t="shared" si="1"/>
        <v/>
      </c>
      <c r="G16272" s="1" t="str">
        <f t="shared" si="2"/>
        <v/>
      </c>
      <c r="J16272" s="1" t="str">
        <f t="shared" si="3"/>
        <v/>
      </c>
      <c r="K16272" s="1" t="str">
        <f t="shared" si="4"/>
        <v/>
      </c>
    </row>
    <row r="16273">
      <c r="F16273" s="1" t="str">
        <f t="shared" si="1"/>
        <v/>
      </c>
      <c r="G16273" s="1" t="str">
        <f t="shared" si="2"/>
        <v/>
      </c>
      <c r="J16273" s="1" t="str">
        <f t="shared" si="3"/>
        <v/>
      </c>
      <c r="K16273" s="1" t="str">
        <f t="shared" si="4"/>
        <v/>
      </c>
    </row>
    <row r="16274">
      <c r="F16274" s="1" t="str">
        <f t="shared" si="1"/>
        <v/>
      </c>
      <c r="G16274" s="1" t="str">
        <f t="shared" si="2"/>
        <v/>
      </c>
      <c r="J16274" s="1" t="str">
        <f t="shared" si="3"/>
        <v/>
      </c>
      <c r="K16274" s="1" t="str">
        <f t="shared" si="4"/>
        <v/>
      </c>
    </row>
    <row r="16275">
      <c r="F16275" s="1" t="str">
        <f t="shared" si="1"/>
        <v/>
      </c>
      <c r="G16275" s="1" t="str">
        <f t="shared" si="2"/>
        <v/>
      </c>
      <c r="J16275" s="1" t="str">
        <f t="shared" si="3"/>
        <v/>
      </c>
      <c r="K16275" s="1" t="str">
        <f t="shared" si="4"/>
        <v/>
      </c>
    </row>
    <row r="16276">
      <c r="F16276" s="1" t="str">
        <f t="shared" si="1"/>
        <v/>
      </c>
      <c r="G16276" s="1" t="str">
        <f t="shared" si="2"/>
        <v/>
      </c>
      <c r="J16276" s="1" t="str">
        <f t="shared" si="3"/>
        <v/>
      </c>
      <c r="K16276" s="1" t="str">
        <f t="shared" si="4"/>
        <v/>
      </c>
    </row>
    <row r="16277">
      <c r="F16277" s="1" t="str">
        <f t="shared" si="1"/>
        <v/>
      </c>
      <c r="G16277" s="1" t="str">
        <f t="shared" si="2"/>
        <v/>
      </c>
      <c r="J16277" s="1" t="str">
        <f t="shared" si="3"/>
        <v/>
      </c>
      <c r="K16277" s="1" t="str">
        <f t="shared" si="4"/>
        <v/>
      </c>
    </row>
    <row r="16278">
      <c r="F16278" s="1" t="str">
        <f t="shared" si="1"/>
        <v/>
      </c>
      <c r="G16278" s="1" t="str">
        <f t="shared" si="2"/>
        <v/>
      </c>
      <c r="J16278" s="1" t="str">
        <f t="shared" si="3"/>
        <v/>
      </c>
      <c r="K16278" s="1" t="str">
        <f t="shared" si="4"/>
        <v/>
      </c>
    </row>
    <row r="16279">
      <c r="F16279" s="1" t="str">
        <f t="shared" si="1"/>
        <v/>
      </c>
      <c r="G16279" s="1" t="str">
        <f t="shared" si="2"/>
        <v/>
      </c>
      <c r="J16279" s="1" t="str">
        <f t="shared" si="3"/>
        <v/>
      </c>
      <c r="K16279" s="1" t="str">
        <f t="shared" si="4"/>
        <v/>
      </c>
    </row>
    <row r="16280">
      <c r="F16280" s="1" t="str">
        <f t="shared" si="1"/>
        <v/>
      </c>
      <c r="G16280" s="1" t="str">
        <f t="shared" si="2"/>
        <v/>
      </c>
      <c r="J16280" s="1" t="str">
        <f t="shared" si="3"/>
        <v/>
      </c>
      <c r="K16280" s="1" t="str">
        <f t="shared" si="4"/>
        <v/>
      </c>
    </row>
    <row r="16281">
      <c r="F16281" s="1" t="str">
        <f t="shared" si="1"/>
        <v/>
      </c>
      <c r="G16281" s="1" t="str">
        <f t="shared" si="2"/>
        <v/>
      </c>
      <c r="J16281" s="1" t="str">
        <f t="shared" si="3"/>
        <v/>
      </c>
      <c r="K16281" s="1" t="str">
        <f t="shared" si="4"/>
        <v/>
      </c>
    </row>
    <row r="16282">
      <c r="F16282" s="1" t="str">
        <f t="shared" si="1"/>
        <v/>
      </c>
      <c r="G16282" s="1" t="str">
        <f t="shared" si="2"/>
        <v/>
      </c>
      <c r="J16282" s="1" t="str">
        <f t="shared" si="3"/>
        <v/>
      </c>
      <c r="K16282" s="1" t="str">
        <f t="shared" si="4"/>
        <v/>
      </c>
    </row>
    <row r="16283">
      <c r="F16283" s="1" t="str">
        <f t="shared" si="1"/>
        <v/>
      </c>
      <c r="G16283" s="1" t="str">
        <f t="shared" si="2"/>
        <v/>
      </c>
      <c r="J16283" s="1" t="str">
        <f t="shared" si="3"/>
        <v/>
      </c>
      <c r="K16283" s="1" t="str">
        <f t="shared" si="4"/>
        <v/>
      </c>
    </row>
    <row r="16284">
      <c r="F16284" s="1" t="str">
        <f t="shared" si="1"/>
        <v/>
      </c>
      <c r="G16284" s="1" t="str">
        <f t="shared" si="2"/>
        <v/>
      </c>
      <c r="J16284" s="1" t="str">
        <f t="shared" si="3"/>
        <v/>
      </c>
      <c r="K16284" s="1" t="str">
        <f t="shared" si="4"/>
        <v/>
      </c>
    </row>
    <row r="16285">
      <c r="F16285" s="1" t="str">
        <f t="shared" si="1"/>
        <v/>
      </c>
      <c r="G16285" s="1" t="str">
        <f t="shared" si="2"/>
        <v/>
      </c>
      <c r="J16285" s="1" t="str">
        <f t="shared" si="3"/>
        <v/>
      </c>
      <c r="K16285" s="1" t="str">
        <f t="shared" si="4"/>
        <v/>
      </c>
    </row>
    <row r="16286">
      <c r="F16286" s="1" t="str">
        <f t="shared" si="1"/>
        <v/>
      </c>
      <c r="G16286" s="1" t="str">
        <f t="shared" si="2"/>
        <v/>
      </c>
      <c r="J16286" s="1" t="str">
        <f t="shared" si="3"/>
        <v/>
      </c>
      <c r="K16286" s="1" t="str">
        <f t="shared" si="4"/>
        <v/>
      </c>
    </row>
    <row r="16287">
      <c r="F16287" s="1" t="str">
        <f t="shared" si="1"/>
        <v/>
      </c>
      <c r="G16287" s="1" t="str">
        <f t="shared" si="2"/>
        <v/>
      </c>
      <c r="J16287" s="1" t="str">
        <f t="shared" si="3"/>
        <v/>
      </c>
      <c r="K16287" s="1" t="str">
        <f t="shared" si="4"/>
        <v/>
      </c>
    </row>
    <row r="16288">
      <c r="F16288" s="1" t="str">
        <f t="shared" si="1"/>
        <v/>
      </c>
      <c r="G16288" s="1" t="str">
        <f t="shared" si="2"/>
        <v/>
      </c>
      <c r="J16288" s="1" t="str">
        <f t="shared" si="3"/>
        <v/>
      </c>
      <c r="K16288" s="1" t="str">
        <f t="shared" si="4"/>
        <v/>
      </c>
    </row>
    <row r="16289">
      <c r="F16289" s="1" t="str">
        <f t="shared" si="1"/>
        <v/>
      </c>
      <c r="G16289" s="1" t="str">
        <f t="shared" si="2"/>
        <v/>
      </c>
      <c r="J16289" s="1" t="str">
        <f t="shared" si="3"/>
        <v/>
      </c>
      <c r="K16289" s="1" t="str">
        <f t="shared" si="4"/>
        <v/>
      </c>
    </row>
    <row r="16290">
      <c r="F16290" s="1" t="str">
        <f t="shared" si="1"/>
        <v/>
      </c>
      <c r="G16290" s="1" t="str">
        <f t="shared" si="2"/>
        <v/>
      </c>
      <c r="J16290" s="1" t="str">
        <f t="shared" si="3"/>
        <v/>
      </c>
      <c r="K16290" s="1" t="str">
        <f t="shared" si="4"/>
        <v/>
      </c>
    </row>
    <row r="16291">
      <c r="F16291" s="1" t="str">
        <f t="shared" si="1"/>
        <v/>
      </c>
      <c r="G16291" s="1" t="str">
        <f t="shared" si="2"/>
        <v/>
      </c>
      <c r="J16291" s="1" t="str">
        <f t="shared" si="3"/>
        <v/>
      </c>
      <c r="K16291" s="1" t="str">
        <f t="shared" si="4"/>
        <v/>
      </c>
    </row>
    <row r="16292">
      <c r="F16292" s="1" t="str">
        <f t="shared" si="1"/>
        <v/>
      </c>
      <c r="G16292" s="1" t="str">
        <f t="shared" si="2"/>
        <v/>
      </c>
      <c r="J16292" s="1" t="str">
        <f t="shared" si="3"/>
        <v/>
      </c>
      <c r="K16292" s="1" t="str">
        <f t="shared" si="4"/>
        <v/>
      </c>
    </row>
    <row r="16293">
      <c r="F16293" s="1" t="str">
        <f t="shared" si="1"/>
        <v/>
      </c>
      <c r="G16293" s="1" t="str">
        <f t="shared" si="2"/>
        <v/>
      </c>
      <c r="J16293" s="1" t="str">
        <f t="shared" si="3"/>
        <v/>
      </c>
      <c r="K16293" s="1" t="str">
        <f t="shared" si="4"/>
        <v/>
      </c>
    </row>
    <row r="16294">
      <c r="F16294" s="1" t="str">
        <f t="shared" si="1"/>
        <v/>
      </c>
      <c r="G16294" s="1" t="str">
        <f t="shared" si="2"/>
        <v/>
      </c>
      <c r="J16294" s="1" t="str">
        <f t="shared" si="3"/>
        <v/>
      </c>
      <c r="K16294" s="1" t="str">
        <f t="shared" si="4"/>
        <v/>
      </c>
    </row>
    <row r="16295">
      <c r="F16295" s="1" t="str">
        <f t="shared" si="1"/>
        <v/>
      </c>
      <c r="G16295" s="1" t="str">
        <f t="shared" si="2"/>
        <v/>
      </c>
      <c r="J16295" s="1" t="str">
        <f t="shared" si="3"/>
        <v/>
      </c>
      <c r="K16295" s="1" t="str">
        <f t="shared" si="4"/>
        <v/>
      </c>
    </row>
    <row r="16296">
      <c r="F16296" s="1" t="str">
        <f t="shared" si="1"/>
        <v/>
      </c>
      <c r="G16296" s="1" t="str">
        <f t="shared" si="2"/>
        <v/>
      </c>
      <c r="J16296" s="1" t="str">
        <f t="shared" si="3"/>
        <v/>
      </c>
      <c r="K16296" s="1" t="str">
        <f t="shared" si="4"/>
        <v/>
      </c>
    </row>
    <row r="16297">
      <c r="F16297" s="1" t="str">
        <f t="shared" si="1"/>
        <v/>
      </c>
      <c r="G16297" s="1" t="str">
        <f t="shared" si="2"/>
        <v/>
      </c>
      <c r="J16297" s="1" t="str">
        <f t="shared" si="3"/>
        <v/>
      </c>
      <c r="K16297" s="1" t="str">
        <f t="shared" si="4"/>
        <v/>
      </c>
    </row>
    <row r="16298">
      <c r="F16298" s="1" t="str">
        <f t="shared" si="1"/>
        <v/>
      </c>
      <c r="G16298" s="1" t="str">
        <f t="shared" si="2"/>
        <v/>
      </c>
      <c r="J16298" s="1" t="str">
        <f t="shared" si="3"/>
        <v/>
      </c>
      <c r="K16298" s="1" t="str">
        <f t="shared" si="4"/>
        <v/>
      </c>
    </row>
    <row r="16299">
      <c r="F16299" s="1" t="str">
        <f t="shared" si="1"/>
        <v/>
      </c>
      <c r="G16299" s="1" t="str">
        <f t="shared" si="2"/>
        <v/>
      </c>
      <c r="J16299" s="1" t="str">
        <f t="shared" si="3"/>
        <v/>
      </c>
      <c r="K16299" s="1" t="str">
        <f t="shared" si="4"/>
        <v/>
      </c>
    </row>
    <row r="16300">
      <c r="F16300" s="1" t="str">
        <f t="shared" si="1"/>
        <v/>
      </c>
      <c r="G16300" s="1" t="str">
        <f t="shared" si="2"/>
        <v/>
      </c>
      <c r="J16300" s="1" t="str">
        <f t="shared" si="3"/>
        <v/>
      </c>
      <c r="K16300" s="1" t="str">
        <f t="shared" si="4"/>
        <v/>
      </c>
    </row>
    <row r="16301">
      <c r="F16301" s="1" t="str">
        <f t="shared" si="1"/>
        <v/>
      </c>
      <c r="G16301" s="1" t="str">
        <f t="shared" si="2"/>
        <v/>
      </c>
      <c r="J16301" s="1" t="str">
        <f t="shared" si="3"/>
        <v/>
      </c>
      <c r="K16301" s="1" t="str">
        <f t="shared" si="4"/>
        <v/>
      </c>
    </row>
    <row r="16302">
      <c r="F16302" s="1" t="str">
        <f t="shared" si="1"/>
        <v/>
      </c>
      <c r="G16302" s="1" t="str">
        <f t="shared" si="2"/>
        <v/>
      </c>
      <c r="J16302" s="1" t="str">
        <f t="shared" si="3"/>
        <v/>
      </c>
      <c r="K16302" s="1" t="str">
        <f t="shared" si="4"/>
        <v/>
      </c>
    </row>
    <row r="16303">
      <c r="F16303" s="1" t="str">
        <f t="shared" si="1"/>
        <v/>
      </c>
      <c r="G16303" s="1" t="str">
        <f t="shared" si="2"/>
        <v/>
      </c>
      <c r="J16303" s="1" t="str">
        <f t="shared" si="3"/>
        <v/>
      </c>
      <c r="K16303" s="1" t="str">
        <f t="shared" si="4"/>
        <v/>
      </c>
    </row>
    <row r="16304">
      <c r="F16304" s="1" t="str">
        <f t="shared" si="1"/>
        <v/>
      </c>
      <c r="G16304" s="1" t="str">
        <f t="shared" si="2"/>
        <v/>
      </c>
      <c r="J16304" s="1" t="str">
        <f t="shared" si="3"/>
        <v/>
      </c>
      <c r="K16304" s="1" t="str">
        <f t="shared" si="4"/>
        <v/>
      </c>
    </row>
    <row r="16305">
      <c r="F16305" s="1" t="str">
        <f t="shared" si="1"/>
        <v/>
      </c>
      <c r="G16305" s="1" t="str">
        <f t="shared" si="2"/>
        <v/>
      </c>
      <c r="J16305" s="1" t="str">
        <f t="shared" si="3"/>
        <v/>
      </c>
      <c r="K16305" s="1" t="str">
        <f t="shared" si="4"/>
        <v/>
      </c>
    </row>
    <row r="16306">
      <c r="F16306" s="1" t="str">
        <f t="shared" si="1"/>
        <v/>
      </c>
      <c r="G16306" s="1" t="str">
        <f t="shared" si="2"/>
        <v/>
      </c>
      <c r="J16306" s="1" t="str">
        <f t="shared" si="3"/>
        <v/>
      </c>
      <c r="K16306" s="1" t="str">
        <f t="shared" si="4"/>
        <v/>
      </c>
    </row>
    <row r="16307">
      <c r="F16307" s="1" t="str">
        <f t="shared" si="1"/>
        <v/>
      </c>
      <c r="G16307" s="1" t="str">
        <f t="shared" si="2"/>
        <v/>
      </c>
      <c r="J16307" s="1" t="str">
        <f t="shared" si="3"/>
        <v/>
      </c>
      <c r="K16307" s="1" t="str">
        <f t="shared" si="4"/>
        <v/>
      </c>
    </row>
    <row r="16308">
      <c r="F16308" s="1" t="str">
        <f t="shared" si="1"/>
        <v/>
      </c>
      <c r="G16308" s="1" t="str">
        <f t="shared" si="2"/>
        <v/>
      </c>
      <c r="J16308" s="1" t="str">
        <f t="shared" si="3"/>
        <v/>
      </c>
      <c r="K16308" s="1" t="str">
        <f t="shared" si="4"/>
        <v/>
      </c>
    </row>
    <row r="16309">
      <c r="F16309" s="1" t="str">
        <f t="shared" si="1"/>
        <v/>
      </c>
      <c r="G16309" s="1" t="str">
        <f t="shared" si="2"/>
        <v/>
      </c>
      <c r="J16309" s="1" t="str">
        <f t="shared" si="3"/>
        <v/>
      </c>
      <c r="K16309" s="1" t="str">
        <f t="shared" si="4"/>
        <v/>
      </c>
    </row>
    <row r="16310">
      <c r="F16310" s="1" t="str">
        <f t="shared" si="1"/>
        <v/>
      </c>
      <c r="G16310" s="1" t="str">
        <f t="shared" si="2"/>
        <v/>
      </c>
      <c r="J16310" s="1" t="str">
        <f t="shared" si="3"/>
        <v/>
      </c>
      <c r="K16310" s="1" t="str">
        <f t="shared" si="4"/>
        <v/>
      </c>
    </row>
    <row r="16311">
      <c r="F16311" s="1" t="str">
        <f t="shared" si="1"/>
        <v/>
      </c>
      <c r="G16311" s="1" t="str">
        <f t="shared" si="2"/>
        <v/>
      </c>
      <c r="J16311" s="1" t="str">
        <f t="shared" si="3"/>
        <v/>
      </c>
      <c r="K16311" s="1" t="str">
        <f t="shared" si="4"/>
        <v/>
      </c>
    </row>
    <row r="16312">
      <c r="F16312" s="1" t="str">
        <f t="shared" si="1"/>
        <v/>
      </c>
      <c r="G16312" s="1" t="str">
        <f t="shared" si="2"/>
        <v/>
      </c>
      <c r="J16312" s="1" t="str">
        <f t="shared" si="3"/>
        <v/>
      </c>
      <c r="K16312" s="1" t="str">
        <f t="shared" si="4"/>
        <v/>
      </c>
    </row>
    <row r="16313">
      <c r="F16313" s="1" t="str">
        <f t="shared" si="1"/>
        <v/>
      </c>
      <c r="G16313" s="1" t="str">
        <f t="shared" si="2"/>
        <v/>
      </c>
      <c r="J16313" s="1" t="str">
        <f t="shared" si="3"/>
        <v/>
      </c>
      <c r="K16313" s="1" t="str">
        <f t="shared" si="4"/>
        <v/>
      </c>
    </row>
    <row r="16314">
      <c r="F16314" s="1" t="str">
        <f t="shared" si="1"/>
        <v/>
      </c>
      <c r="G16314" s="1" t="str">
        <f t="shared" si="2"/>
        <v/>
      </c>
      <c r="J16314" s="1" t="str">
        <f t="shared" si="3"/>
        <v/>
      </c>
      <c r="K16314" s="1" t="str">
        <f t="shared" si="4"/>
        <v/>
      </c>
    </row>
    <row r="16315">
      <c r="F16315" s="1" t="str">
        <f t="shared" si="1"/>
        <v/>
      </c>
      <c r="G16315" s="1" t="str">
        <f t="shared" si="2"/>
        <v/>
      </c>
      <c r="J16315" s="1" t="str">
        <f t="shared" si="3"/>
        <v/>
      </c>
      <c r="K16315" s="1" t="str">
        <f t="shared" si="4"/>
        <v/>
      </c>
    </row>
    <row r="16316">
      <c r="F16316" s="1" t="str">
        <f t="shared" si="1"/>
        <v/>
      </c>
      <c r="G16316" s="1" t="str">
        <f t="shared" si="2"/>
        <v/>
      </c>
      <c r="J16316" s="1" t="str">
        <f t="shared" si="3"/>
        <v/>
      </c>
      <c r="K16316" s="1" t="str">
        <f t="shared" si="4"/>
        <v/>
      </c>
    </row>
    <row r="16317">
      <c r="F16317" s="1" t="str">
        <f t="shared" si="1"/>
        <v/>
      </c>
      <c r="G16317" s="1" t="str">
        <f t="shared" si="2"/>
        <v/>
      </c>
      <c r="J16317" s="1" t="str">
        <f t="shared" si="3"/>
        <v/>
      </c>
      <c r="K16317" s="1" t="str">
        <f t="shared" si="4"/>
        <v/>
      </c>
    </row>
    <row r="16318">
      <c r="F16318" s="1" t="str">
        <f t="shared" si="1"/>
        <v/>
      </c>
      <c r="G16318" s="1" t="str">
        <f t="shared" si="2"/>
        <v/>
      </c>
      <c r="J16318" s="1" t="str">
        <f t="shared" si="3"/>
        <v/>
      </c>
      <c r="K16318" s="1" t="str">
        <f t="shared" si="4"/>
        <v/>
      </c>
    </row>
    <row r="16319">
      <c r="F16319" s="1" t="str">
        <f t="shared" si="1"/>
        <v/>
      </c>
      <c r="G16319" s="1" t="str">
        <f t="shared" si="2"/>
        <v/>
      </c>
      <c r="J16319" s="1" t="str">
        <f t="shared" si="3"/>
        <v/>
      </c>
      <c r="K16319" s="1" t="str">
        <f t="shared" si="4"/>
        <v/>
      </c>
    </row>
    <row r="16320">
      <c r="F16320" s="1" t="str">
        <f t="shared" si="1"/>
        <v/>
      </c>
      <c r="G16320" s="1" t="str">
        <f t="shared" si="2"/>
        <v/>
      </c>
      <c r="J16320" s="1" t="str">
        <f t="shared" si="3"/>
        <v/>
      </c>
      <c r="K16320" s="1" t="str">
        <f t="shared" si="4"/>
        <v/>
      </c>
    </row>
    <row r="16321">
      <c r="F16321" s="1" t="str">
        <f t="shared" si="1"/>
        <v/>
      </c>
      <c r="G16321" s="1" t="str">
        <f t="shared" si="2"/>
        <v/>
      </c>
      <c r="J16321" s="1" t="str">
        <f t="shared" si="3"/>
        <v/>
      </c>
      <c r="K16321" s="1" t="str">
        <f t="shared" si="4"/>
        <v/>
      </c>
    </row>
    <row r="16322">
      <c r="F16322" s="1" t="str">
        <f t="shared" si="1"/>
        <v/>
      </c>
      <c r="G16322" s="1" t="str">
        <f t="shared" si="2"/>
        <v/>
      </c>
      <c r="J16322" s="1" t="str">
        <f t="shared" si="3"/>
        <v/>
      </c>
      <c r="K16322" s="1" t="str">
        <f t="shared" si="4"/>
        <v/>
      </c>
    </row>
    <row r="16323">
      <c r="F16323" s="1" t="str">
        <f t="shared" si="1"/>
        <v/>
      </c>
      <c r="G16323" s="1" t="str">
        <f t="shared" si="2"/>
        <v/>
      </c>
      <c r="J16323" s="1" t="str">
        <f t="shared" si="3"/>
        <v/>
      </c>
      <c r="K16323" s="1" t="str">
        <f t="shared" si="4"/>
        <v/>
      </c>
    </row>
    <row r="16324">
      <c r="F16324" s="1" t="str">
        <f t="shared" si="1"/>
        <v/>
      </c>
      <c r="G16324" s="1" t="str">
        <f t="shared" si="2"/>
        <v/>
      </c>
      <c r="J16324" s="1" t="str">
        <f t="shared" si="3"/>
        <v/>
      </c>
      <c r="K16324" s="1" t="str">
        <f t="shared" si="4"/>
        <v/>
      </c>
    </row>
    <row r="16325">
      <c r="F16325" s="1" t="str">
        <f t="shared" si="1"/>
        <v/>
      </c>
      <c r="G16325" s="1" t="str">
        <f t="shared" si="2"/>
        <v/>
      </c>
      <c r="J16325" s="1" t="str">
        <f t="shared" si="3"/>
        <v/>
      </c>
      <c r="K16325" s="1" t="str">
        <f t="shared" si="4"/>
        <v/>
      </c>
    </row>
    <row r="16326">
      <c r="F16326" s="1" t="str">
        <f t="shared" si="1"/>
        <v/>
      </c>
      <c r="G16326" s="1" t="str">
        <f t="shared" si="2"/>
        <v/>
      </c>
      <c r="J16326" s="1" t="str">
        <f t="shared" si="3"/>
        <v/>
      </c>
      <c r="K16326" s="1" t="str">
        <f t="shared" si="4"/>
        <v/>
      </c>
    </row>
    <row r="16327">
      <c r="F16327" s="1" t="str">
        <f t="shared" si="1"/>
        <v/>
      </c>
      <c r="G16327" s="1" t="str">
        <f t="shared" si="2"/>
        <v/>
      </c>
      <c r="J16327" s="1" t="str">
        <f t="shared" si="3"/>
        <v/>
      </c>
      <c r="K16327" s="1" t="str">
        <f t="shared" si="4"/>
        <v/>
      </c>
    </row>
    <row r="16328">
      <c r="F16328" s="1" t="str">
        <f t="shared" si="1"/>
        <v/>
      </c>
      <c r="G16328" s="1" t="str">
        <f t="shared" si="2"/>
        <v/>
      </c>
      <c r="J16328" s="1" t="str">
        <f t="shared" si="3"/>
        <v/>
      </c>
      <c r="K16328" s="1" t="str">
        <f t="shared" si="4"/>
        <v/>
      </c>
    </row>
    <row r="16329">
      <c r="F16329" s="1" t="str">
        <f t="shared" si="1"/>
        <v/>
      </c>
      <c r="G16329" s="1" t="str">
        <f t="shared" si="2"/>
        <v/>
      </c>
      <c r="J16329" s="1" t="str">
        <f t="shared" si="3"/>
        <v/>
      </c>
      <c r="K16329" s="1" t="str">
        <f t="shared" si="4"/>
        <v/>
      </c>
    </row>
    <row r="16330">
      <c r="F16330" s="1" t="str">
        <f t="shared" si="1"/>
        <v/>
      </c>
      <c r="G16330" s="1" t="str">
        <f t="shared" si="2"/>
        <v/>
      </c>
      <c r="J16330" s="1" t="str">
        <f t="shared" si="3"/>
        <v/>
      </c>
      <c r="K16330" s="1" t="str">
        <f t="shared" si="4"/>
        <v/>
      </c>
    </row>
    <row r="16331">
      <c r="F16331" s="1" t="str">
        <f t="shared" si="1"/>
        <v/>
      </c>
      <c r="G16331" s="1" t="str">
        <f t="shared" si="2"/>
        <v/>
      </c>
      <c r="J16331" s="1" t="str">
        <f t="shared" si="3"/>
        <v/>
      </c>
      <c r="K16331" s="1" t="str">
        <f t="shared" si="4"/>
        <v/>
      </c>
    </row>
    <row r="16332">
      <c r="F16332" s="1" t="str">
        <f t="shared" si="1"/>
        <v/>
      </c>
      <c r="G16332" s="1" t="str">
        <f t="shared" si="2"/>
        <v/>
      </c>
      <c r="J16332" s="1" t="str">
        <f t="shared" si="3"/>
        <v/>
      </c>
      <c r="K16332" s="1" t="str">
        <f t="shared" si="4"/>
        <v/>
      </c>
    </row>
    <row r="16333">
      <c r="F16333" s="1" t="str">
        <f t="shared" si="1"/>
        <v/>
      </c>
      <c r="G16333" s="1" t="str">
        <f t="shared" si="2"/>
        <v/>
      </c>
      <c r="J16333" s="1" t="str">
        <f t="shared" si="3"/>
        <v/>
      </c>
      <c r="K16333" s="1" t="str">
        <f t="shared" si="4"/>
        <v/>
      </c>
    </row>
    <row r="16334">
      <c r="F16334" s="1" t="str">
        <f t="shared" si="1"/>
        <v/>
      </c>
      <c r="G16334" s="1" t="str">
        <f t="shared" si="2"/>
        <v/>
      </c>
      <c r="J16334" s="1" t="str">
        <f t="shared" si="3"/>
        <v/>
      </c>
      <c r="K16334" s="1" t="str">
        <f t="shared" si="4"/>
        <v/>
      </c>
    </row>
    <row r="16335">
      <c r="F16335" s="1" t="str">
        <f t="shared" si="1"/>
        <v/>
      </c>
      <c r="G16335" s="1" t="str">
        <f t="shared" si="2"/>
        <v/>
      </c>
      <c r="J16335" s="1" t="str">
        <f t="shared" si="3"/>
        <v/>
      </c>
      <c r="K16335" s="1" t="str">
        <f t="shared" si="4"/>
        <v/>
      </c>
    </row>
    <row r="16336">
      <c r="F16336" s="1" t="str">
        <f t="shared" si="1"/>
        <v/>
      </c>
      <c r="G16336" s="1" t="str">
        <f t="shared" si="2"/>
        <v/>
      </c>
      <c r="J16336" s="1" t="str">
        <f t="shared" si="3"/>
        <v/>
      </c>
      <c r="K16336" s="1" t="str">
        <f t="shared" si="4"/>
        <v/>
      </c>
    </row>
    <row r="16337">
      <c r="F16337" s="1" t="str">
        <f t="shared" si="1"/>
        <v/>
      </c>
      <c r="G16337" s="1" t="str">
        <f t="shared" si="2"/>
        <v/>
      </c>
      <c r="J16337" s="1" t="str">
        <f t="shared" si="3"/>
        <v/>
      </c>
      <c r="K16337" s="1" t="str">
        <f t="shared" si="4"/>
        <v/>
      </c>
    </row>
    <row r="16338">
      <c r="F16338" s="1" t="str">
        <f t="shared" si="1"/>
        <v/>
      </c>
      <c r="G16338" s="1" t="str">
        <f t="shared" si="2"/>
        <v/>
      </c>
      <c r="J16338" s="1" t="str">
        <f t="shared" si="3"/>
        <v/>
      </c>
      <c r="K16338" s="1" t="str">
        <f t="shared" si="4"/>
        <v/>
      </c>
    </row>
    <row r="16339">
      <c r="F16339" s="1" t="str">
        <f t="shared" si="1"/>
        <v/>
      </c>
      <c r="G16339" s="1" t="str">
        <f t="shared" si="2"/>
        <v/>
      </c>
      <c r="J16339" s="1" t="str">
        <f t="shared" si="3"/>
        <v/>
      </c>
      <c r="K16339" s="1" t="str">
        <f t="shared" si="4"/>
        <v/>
      </c>
    </row>
    <row r="16340">
      <c r="F16340" s="1" t="str">
        <f t="shared" si="1"/>
        <v/>
      </c>
      <c r="G16340" s="1" t="str">
        <f t="shared" si="2"/>
        <v/>
      </c>
      <c r="J16340" s="1" t="str">
        <f t="shared" si="3"/>
        <v/>
      </c>
      <c r="K16340" s="1" t="str">
        <f t="shared" si="4"/>
        <v/>
      </c>
    </row>
    <row r="16341">
      <c r="F16341" s="1" t="str">
        <f t="shared" si="1"/>
        <v/>
      </c>
      <c r="G16341" s="1" t="str">
        <f t="shared" si="2"/>
        <v/>
      </c>
      <c r="J16341" s="1" t="str">
        <f t="shared" si="3"/>
        <v/>
      </c>
      <c r="K16341" s="1" t="str">
        <f t="shared" si="4"/>
        <v/>
      </c>
    </row>
    <row r="16342">
      <c r="F16342" s="1" t="str">
        <f t="shared" si="1"/>
        <v/>
      </c>
      <c r="G16342" s="1" t="str">
        <f t="shared" si="2"/>
        <v/>
      </c>
      <c r="J16342" s="1" t="str">
        <f t="shared" si="3"/>
        <v/>
      </c>
      <c r="K16342" s="1" t="str">
        <f t="shared" si="4"/>
        <v/>
      </c>
    </row>
    <row r="16343">
      <c r="F16343" s="1" t="str">
        <f t="shared" si="1"/>
        <v/>
      </c>
      <c r="G16343" s="1" t="str">
        <f t="shared" si="2"/>
        <v/>
      </c>
      <c r="J16343" s="1" t="str">
        <f t="shared" si="3"/>
        <v/>
      </c>
      <c r="K16343" s="1" t="str">
        <f t="shared" si="4"/>
        <v/>
      </c>
    </row>
    <row r="16344">
      <c r="F16344" s="1" t="str">
        <f t="shared" si="1"/>
        <v/>
      </c>
      <c r="G16344" s="1" t="str">
        <f t="shared" si="2"/>
        <v/>
      </c>
      <c r="J16344" s="1" t="str">
        <f t="shared" si="3"/>
        <v/>
      </c>
      <c r="K16344" s="1" t="str">
        <f t="shared" si="4"/>
        <v/>
      </c>
    </row>
    <row r="16345">
      <c r="F16345" s="1" t="str">
        <f t="shared" si="1"/>
        <v/>
      </c>
      <c r="G16345" s="1" t="str">
        <f t="shared" si="2"/>
        <v/>
      </c>
      <c r="J16345" s="1" t="str">
        <f t="shared" si="3"/>
        <v/>
      </c>
      <c r="K16345" s="1" t="str">
        <f t="shared" si="4"/>
        <v/>
      </c>
    </row>
    <row r="16346">
      <c r="F16346" s="1" t="str">
        <f t="shared" si="1"/>
        <v/>
      </c>
      <c r="G16346" s="1" t="str">
        <f t="shared" si="2"/>
        <v/>
      </c>
      <c r="J16346" s="1" t="str">
        <f t="shared" si="3"/>
        <v/>
      </c>
      <c r="K16346" s="1" t="str">
        <f t="shared" si="4"/>
        <v/>
      </c>
    </row>
    <row r="16347">
      <c r="F16347" s="1" t="str">
        <f t="shared" si="1"/>
        <v/>
      </c>
      <c r="G16347" s="1" t="str">
        <f t="shared" si="2"/>
        <v/>
      </c>
      <c r="J16347" s="1" t="str">
        <f t="shared" si="3"/>
        <v/>
      </c>
      <c r="K16347" s="1" t="str">
        <f t="shared" si="4"/>
        <v/>
      </c>
    </row>
    <row r="16348">
      <c r="F16348" s="1" t="str">
        <f t="shared" si="1"/>
        <v/>
      </c>
      <c r="G16348" s="1" t="str">
        <f t="shared" si="2"/>
        <v/>
      </c>
      <c r="J16348" s="1" t="str">
        <f t="shared" si="3"/>
        <v/>
      </c>
      <c r="K16348" s="1" t="str">
        <f t="shared" si="4"/>
        <v/>
      </c>
    </row>
    <row r="16349">
      <c r="F16349" s="1" t="str">
        <f t="shared" si="1"/>
        <v/>
      </c>
      <c r="G16349" s="1" t="str">
        <f t="shared" si="2"/>
        <v/>
      </c>
      <c r="J16349" s="1" t="str">
        <f t="shared" si="3"/>
        <v/>
      </c>
      <c r="K16349" s="1" t="str">
        <f t="shared" si="4"/>
        <v/>
      </c>
    </row>
    <row r="16350">
      <c r="F16350" s="1" t="str">
        <f t="shared" si="1"/>
        <v/>
      </c>
      <c r="G16350" s="1" t="str">
        <f t="shared" si="2"/>
        <v/>
      </c>
      <c r="J16350" s="1" t="str">
        <f t="shared" si="3"/>
        <v/>
      </c>
      <c r="K16350" s="1" t="str">
        <f t="shared" si="4"/>
        <v/>
      </c>
    </row>
    <row r="16351">
      <c r="F16351" s="1" t="str">
        <f t="shared" si="1"/>
        <v/>
      </c>
      <c r="G16351" s="1" t="str">
        <f t="shared" si="2"/>
        <v/>
      </c>
      <c r="J16351" s="1" t="str">
        <f t="shared" si="3"/>
        <v/>
      </c>
      <c r="K16351" s="1" t="str">
        <f t="shared" si="4"/>
        <v/>
      </c>
    </row>
    <row r="16352">
      <c r="F16352" s="1" t="str">
        <f t="shared" si="1"/>
        <v/>
      </c>
      <c r="G16352" s="1" t="str">
        <f t="shared" si="2"/>
        <v/>
      </c>
      <c r="J16352" s="1" t="str">
        <f t="shared" si="3"/>
        <v/>
      </c>
      <c r="K16352" s="1" t="str">
        <f t="shared" si="4"/>
        <v/>
      </c>
    </row>
    <row r="16353">
      <c r="F16353" s="1" t="str">
        <f t="shared" si="1"/>
        <v/>
      </c>
      <c r="G16353" s="1" t="str">
        <f t="shared" si="2"/>
        <v/>
      </c>
      <c r="J16353" s="1" t="str">
        <f t="shared" si="3"/>
        <v/>
      </c>
      <c r="K16353" s="1" t="str">
        <f t="shared" si="4"/>
        <v/>
      </c>
    </row>
    <row r="16354">
      <c r="F16354" s="1" t="str">
        <f t="shared" si="1"/>
        <v/>
      </c>
      <c r="G16354" s="1" t="str">
        <f t="shared" si="2"/>
        <v/>
      </c>
      <c r="J16354" s="1" t="str">
        <f t="shared" si="3"/>
        <v/>
      </c>
      <c r="K16354" s="1" t="str">
        <f t="shared" si="4"/>
        <v/>
      </c>
    </row>
    <row r="16355">
      <c r="F16355" s="1" t="str">
        <f t="shared" si="1"/>
        <v/>
      </c>
      <c r="G16355" s="1" t="str">
        <f t="shared" si="2"/>
        <v/>
      </c>
      <c r="J16355" s="1" t="str">
        <f t="shared" si="3"/>
        <v/>
      </c>
      <c r="K16355" s="1" t="str">
        <f t="shared" si="4"/>
        <v/>
      </c>
    </row>
    <row r="16356">
      <c r="F16356" s="1" t="str">
        <f t="shared" si="1"/>
        <v/>
      </c>
      <c r="G16356" s="1" t="str">
        <f t="shared" si="2"/>
        <v/>
      </c>
      <c r="J16356" s="1" t="str">
        <f t="shared" si="3"/>
        <v/>
      </c>
      <c r="K16356" s="1" t="str">
        <f t="shared" si="4"/>
        <v/>
      </c>
    </row>
    <row r="16357">
      <c r="F16357" s="1" t="str">
        <f t="shared" si="1"/>
        <v/>
      </c>
      <c r="G16357" s="1" t="str">
        <f t="shared" si="2"/>
        <v/>
      </c>
      <c r="J16357" s="1" t="str">
        <f t="shared" si="3"/>
        <v/>
      </c>
      <c r="K16357" s="1" t="str">
        <f t="shared" si="4"/>
        <v/>
      </c>
    </row>
    <row r="16358">
      <c r="F16358" s="1" t="str">
        <f t="shared" si="1"/>
        <v/>
      </c>
      <c r="G16358" s="1" t="str">
        <f t="shared" si="2"/>
        <v/>
      </c>
      <c r="J16358" s="1" t="str">
        <f t="shared" si="3"/>
        <v/>
      </c>
      <c r="K16358" s="1" t="str">
        <f t="shared" si="4"/>
        <v/>
      </c>
    </row>
    <row r="16359">
      <c r="F16359" s="1" t="str">
        <f t="shared" si="1"/>
        <v/>
      </c>
      <c r="G16359" s="1" t="str">
        <f t="shared" si="2"/>
        <v/>
      </c>
      <c r="J16359" s="1" t="str">
        <f t="shared" si="3"/>
        <v/>
      </c>
      <c r="K16359" s="1" t="str">
        <f t="shared" si="4"/>
        <v/>
      </c>
    </row>
    <row r="16360">
      <c r="F16360" s="1" t="str">
        <f t="shared" si="1"/>
        <v/>
      </c>
      <c r="G16360" s="1" t="str">
        <f t="shared" si="2"/>
        <v/>
      </c>
      <c r="J16360" s="1" t="str">
        <f t="shared" si="3"/>
        <v/>
      </c>
      <c r="K16360" s="1" t="str">
        <f t="shared" si="4"/>
        <v/>
      </c>
    </row>
    <row r="16361">
      <c r="F16361" s="1" t="str">
        <f t="shared" si="1"/>
        <v/>
      </c>
      <c r="G16361" s="1" t="str">
        <f t="shared" si="2"/>
        <v/>
      </c>
      <c r="J16361" s="1" t="str">
        <f t="shared" si="3"/>
        <v/>
      </c>
      <c r="K16361" s="1" t="str">
        <f t="shared" si="4"/>
        <v/>
      </c>
    </row>
    <row r="16362">
      <c r="F16362" s="1" t="str">
        <f t="shared" si="1"/>
        <v/>
      </c>
      <c r="G16362" s="1" t="str">
        <f t="shared" si="2"/>
        <v/>
      </c>
      <c r="J16362" s="1" t="str">
        <f t="shared" si="3"/>
        <v/>
      </c>
      <c r="K16362" s="1" t="str">
        <f t="shared" si="4"/>
        <v/>
      </c>
    </row>
    <row r="16363">
      <c r="F16363" s="1" t="str">
        <f t="shared" si="1"/>
        <v/>
      </c>
      <c r="G16363" s="1" t="str">
        <f t="shared" si="2"/>
        <v/>
      </c>
      <c r="J16363" s="1" t="str">
        <f t="shared" si="3"/>
        <v/>
      </c>
      <c r="K16363" s="1" t="str">
        <f t="shared" si="4"/>
        <v/>
      </c>
    </row>
    <row r="16364">
      <c r="F16364" s="1" t="str">
        <f t="shared" si="1"/>
        <v/>
      </c>
      <c r="G16364" s="1" t="str">
        <f t="shared" si="2"/>
        <v/>
      </c>
      <c r="J16364" s="1" t="str">
        <f t="shared" si="3"/>
        <v/>
      </c>
      <c r="K16364" s="1" t="str">
        <f t="shared" si="4"/>
        <v/>
      </c>
    </row>
    <row r="16365">
      <c r="F16365" s="1" t="str">
        <f t="shared" si="1"/>
        <v/>
      </c>
      <c r="G16365" s="1" t="str">
        <f t="shared" si="2"/>
        <v/>
      </c>
      <c r="J16365" s="1" t="str">
        <f t="shared" si="3"/>
        <v/>
      </c>
      <c r="K16365" s="1" t="str">
        <f t="shared" si="4"/>
        <v/>
      </c>
    </row>
    <row r="16366">
      <c r="F16366" s="1" t="str">
        <f t="shared" si="1"/>
        <v/>
      </c>
      <c r="G16366" s="1" t="str">
        <f t="shared" si="2"/>
        <v/>
      </c>
      <c r="J16366" s="1" t="str">
        <f t="shared" si="3"/>
        <v/>
      </c>
      <c r="K16366" s="1" t="str">
        <f t="shared" si="4"/>
        <v/>
      </c>
    </row>
    <row r="16367">
      <c r="F16367" s="1" t="str">
        <f t="shared" si="1"/>
        <v/>
      </c>
      <c r="G16367" s="1" t="str">
        <f t="shared" si="2"/>
        <v/>
      </c>
      <c r="J16367" s="1" t="str">
        <f t="shared" si="3"/>
        <v/>
      </c>
      <c r="K16367" s="1" t="str">
        <f t="shared" si="4"/>
        <v/>
      </c>
    </row>
    <row r="16368">
      <c r="F16368" s="1" t="str">
        <f t="shared" si="1"/>
        <v/>
      </c>
      <c r="G16368" s="1" t="str">
        <f t="shared" si="2"/>
        <v/>
      </c>
      <c r="J16368" s="1" t="str">
        <f t="shared" si="3"/>
        <v/>
      </c>
      <c r="K16368" s="1" t="str">
        <f t="shared" si="4"/>
        <v/>
      </c>
    </row>
    <row r="16369">
      <c r="F16369" s="1" t="str">
        <f t="shared" si="1"/>
        <v/>
      </c>
      <c r="G16369" s="1" t="str">
        <f t="shared" si="2"/>
        <v/>
      </c>
      <c r="J16369" s="1" t="str">
        <f t="shared" si="3"/>
        <v/>
      </c>
      <c r="K16369" s="1" t="str">
        <f t="shared" si="4"/>
        <v/>
      </c>
    </row>
    <row r="16370">
      <c r="F16370" s="1" t="str">
        <f t="shared" si="1"/>
        <v/>
      </c>
      <c r="G16370" s="1" t="str">
        <f t="shared" si="2"/>
        <v/>
      </c>
      <c r="J16370" s="1" t="str">
        <f t="shared" si="3"/>
        <v/>
      </c>
      <c r="K16370" s="1" t="str">
        <f t="shared" si="4"/>
        <v/>
      </c>
    </row>
    <row r="16371">
      <c r="F16371" s="1" t="str">
        <f t="shared" si="1"/>
        <v/>
      </c>
      <c r="G16371" s="1" t="str">
        <f t="shared" si="2"/>
        <v/>
      </c>
      <c r="J16371" s="1" t="str">
        <f t="shared" si="3"/>
        <v/>
      </c>
      <c r="K16371" s="1" t="str">
        <f t="shared" si="4"/>
        <v/>
      </c>
    </row>
    <row r="16372">
      <c r="F16372" s="1" t="str">
        <f t="shared" si="1"/>
        <v/>
      </c>
      <c r="G16372" s="1" t="str">
        <f t="shared" si="2"/>
        <v/>
      </c>
      <c r="J16372" s="1" t="str">
        <f t="shared" si="3"/>
        <v/>
      </c>
      <c r="K16372" s="1" t="str">
        <f t="shared" si="4"/>
        <v/>
      </c>
    </row>
    <row r="16373">
      <c r="F16373" s="1" t="str">
        <f t="shared" si="1"/>
        <v/>
      </c>
      <c r="G16373" s="1" t="str">
        <f t="shared" si="2"/>
        <v/>
      </c>
      <c r="J16373" s="1" t="str">
        <f t="shared" si="3"/>
        <v/>
      </c>
      <c r="K16373" s="1" t="str">
        <f t="shared" si="4"/>
        <v/>
      </c>
    </row>
    <row r="16374">
      <c r="F16374" s="1" t="str">
        <f t="shared" si="1"/>
        <v/>
      </c>
      <c r="G16374" s="1" t="str">
        <f t="shared" si="2"/>
        <v/>
      </c>
      <c r="J16374" s="1" t="str">
        <f t="shared" si="3"/>
        <v/>
      </c>
      <c r="K16374" s="1" t="str">
        <f t="shared" si="4"/>
        <v/>
      </c>
    </row>
    <row r="16375">
      <c r="F16375" s="1" t="str">
        <f t="shared" si="1"/>
        <v/>
      </c>
      <c r="G16375" s="1" t="str">
        <f t="shared" si="2"/>
        <v/>
      </c>
      <c r="J16375" s="1" t="str">
        <f t="shared" si="3"/>
        <v/>
      </c>
      <c r="K16375" s="1" t="str">
        <f t="shared" si="4"/>
        <v/>
      </c>
    </row>
    <row r="16376">
      <c r="F16376" s="1" t="str">
        <f t="shared" si="1"/>
        <v/>
      </c>
      <c r="G16376" s="1" t="str">
        <f t="shared" si="2"/>
        <v/>
      </c>
      <c r="J16376" s="1" t="str">
        <f t="shared" si="3"/>
        <v/>
      </c>
      <c r="K16376" s="1" t="str">
        <f t="shared" si="4"/>
        <v/>
      </c>
    </row>
    <row r="16377">
      <c r="F16377" s="1" t="str">
        <f t="shared" si="1"/>
        <v/>
      </c>
      <c r="G16377" s="1" t="str">
        <f t="shared" si="2"/>
        <v/>
      </c>
      <c r="J16377" s="1" t="str">
        <f t="shared" si="3"/>
        <v/>
      </c>
      <c r="K16377" s="1" t="str">
        <f t="shared" si="4"/>
        <v/>
      </c>
    </row>
    <row r="16378">
      <c r="F16378" s="1" t="str">
        <f t="shared" si="1"/>
        <v/>
      </c>
      <c r="G16378" s="1" t="str">
        <f t="shared" si="2"/>
        <v/>
      </c>
      <c r="J16378" s="1" t="str">
        <f t="shared" si="3"/>
        <v/>
      </c>
      <c r="K16378" s="1" t="str">
        <f t="shared" si="4"/>
        <v/>
      </c>
    </row>
    <row r="16379">
      <c r="F16379" s="1" t="str">
        <f t="shared" si="1"/>
        <v/>
      </c>
      <c r="G16379" s="1" t="str">
        <f t="shared" si="2"/>
        <v/>
      </c>
      <c r="J16379" s="1" t="str">
        <f t="shared" si="3"/>
        <v/>
      </c>
      <c r="K16379" s="1" t="str">
        <f t="shared" si="4"/>
        <v/>
      </c>
    </row>
    <row r="16380">
      <c r="F16380" s="1" t="str">
        <f t="shared" si="1"/>
        <v/>
      </c>
      <c r="G16380" s="1" t="str">
        <f t="shared" si="2"/>
        <v/>
      </c>
      <c r="J16380" s="1" t="str">
        <f t="shared" si="3"/>
        <v/>
      </c>
      <c r="K16380" s="1" t="str">
        <f t="shared" si="4"/>
        <v/>
      </c>
    </row>
    <row r="16381">
      <c r="F16381" s="1" t="str">
        <f t="shared" si="1"/>
        <v/>
      </c>
      <c r="G16381" s="1" t="str">
        <f t="shared" si="2"/>
        <v/>
      </c>
      <c r="J16381" s="1" t="str">
        <f t="shared" si="3"/>
        <v/>
      </c>
      <c r="K16381" s="1" t="str">
        <f t="shared" si="4"/>
        <v/>
      </c>
    </row>
    <row r="16382">
      <c r="F16382" s="1" t="str">
        <f t="shared" si="1"/>
        <v/>
      </c>
      <c r="G16382" s="1" t="str">
        <f t="shared" si="2"/>
        <v/>
      </c>
      <c r="J16382" s="1" t="str">
        <f t="shared" si="3"/>
        <v/>
      </c>
      <c r="K16382" s="1" t="str">
        <f t="shared" si="4"/>
        <v/>
      </c>
    </row>
    <row r="16383">
      <c r="F16383" s="1" t="str">
        <f t="shared" si="1"/>
        <v/>
      </c>
      <c r="G16383" s="1" t="str">
        <f t="shared" si="2"/>
        <v/>
      </c>
      <c r="J16383" s="1" t="str">
        <f t="shared" si="3"/>
        <v/>
      </c>
      <c r="K16383" s="1" t="str">
        <f t="shared" si="4"/>
        <v/>
      </c>
    </row>
    <row r="16384">
      <c r="F16384" s="1" t="str">
        <f t="shared" si="1"/>
        <v/>
      </c>
      <c r="G16384" s="1" t="str">
        <f t="shared" si="2"/>
        <v/>
      </c>
      <c r="J16384" s="1" t="str">
        <f t="shared" si="3"/>
        <v/>
      </c>
      <c r="K16384" s="1" t="str">
        <f t="shared" si="4"/>
        <v/>
      </c>
    </row>
    <row r="16385">
      <c r="F16385" s="1" t="str">
        <f t="shared" si="1"/>
        <v/>
      </c>
      <c r="G16385" s="1" t="str">
        <f t="shared" si="2"/>
        <v/>
      </c>
      <c r="J16385" s="1" t="str">
        <f t="shared" si="3"/>
        <v/>
      </c>
      <c r="K16385" s="1" t="str">
        <f t="shared" si="4"/>
        <v/>
      </c>
    </row>
    <row r="16386">
      <c r="F16386" s="1" t="str">
        <f t="shared" si="1"/>
        <v/>
      </c>
      <c r="G16386" s="1" t="str">
        <f t="shared" si="2"/>
        <v/>
      </c>
      <c r="J16386" s="1" t="str">
        <f t="shared" si="3"/>
        <v/>
      </c>
      <c r="K16386" s="1" t="str">
        <f t="shared" si="4"/>
        <v/>
      </c>
    </row>
    <row r="16387">
      <c r="F16387" s="1" t="str">
        <f t="shared" si="1"/>
        <v/>
      </c>
      <c r="G16387" s="1" t="str">
        <f t="shared" si="2"/>
        <v/>
      </c>
      <c r="J16387" s="1" t="str">
        <f t="shared" si="3"/>
        <v/>
      </c>
      <c r="K16387" s="1" t="str">
        <f t="shared" si="4"/>
        <v/>
      </c>
    </row>
    <row r="16388">
      <c r="F16388" s="1" t="str">
        <f t="shared" si="1"/>
        <v/>
      </c>
      <c r="G16388" s="1" t="str">
        <f t="shared" si="2"/>
        <v/>
      </c>
      <c r="J16388" s="1" t="str">
        <f t="shared" si="3"/>
        <v/>
      </c>
      <c r="K16388" s="1" t="str">
        <f t="shared" si="4"/>
        <v/>
      </c>
    </row>
    <row r="16389">
      <c r="F16389" s="1" t="str">
        <f t="shared" si="1"/>
        <v/>
      </c>
      <c r="G16389" s="1" t="str">
        <f t="shared" si="2"/>
        <v/>
      </c>
      <c r="J16389" s="1" t="str">
        <f t="shared" si="3"/>
        <v/>
      </c>
      <c r="K16389" s="1" t="str">
        <f t="shared" si="4"/>
        <v/>
      </c>
    </row>
    <row r="16390">
      <c r="F16390" s="1" t="str">
        <f t="shared" si="1"/>
        <v/>
      </c>
      <c r="G16390" s="1" t="str">
        <f t="shared" si="2"/>
        <v/>
      </c>
      <c r="J16390" s="1" t="str">
        <f t="shared" si="3"/>
        <v/>
      </c>
      <c r="K16390" s="1" t="str">
        <f t="shared" si="4"/>
        <v/>
      </c>
    </row>
    <row r="16391">
      <c r="F16391" s="1" t="str">
        <f t="shared" si="1"/>
        <v/>
      </c>
      <c r="G16391" s="1" t="str">
        <f t="shared" si="2"/>
        <v/>
      </c>
      <c r="J16391" s="1" t="str">
        <f t="shared" si="3"/>
        <v/>
      </c>
      <c r="K16391" s="1" t="str">
        <f t="shared" si="4"/>
        <v/>
      </c>
    </row>
    <row r="16392">
      <c r="F16392" s="1" t="str">
        <f t="shared" si="1"/>
        <v/>
      </c>
      <c r="G16392" s="1" t="str">
        <f t="shared" si="2"/>
        <v/>
      </c>
      <c r="J16392" s="1" t="str">
        <f t="shared" si="3"/>
        <v/>
      </c>
      <c r="K16392" s="1" t="str">
        <f t="shared" si="4"/>
        <v/>
      </c>
    </row>
    <row r="16393">
      <c r="F16393" s="1" t="str">
        <f t="shared" si="1"/>
        <v/>
      </c>
      <c r="G16393" s="1" t="str">
        <f t="shared" si="2"/>
        <v/>
      </c>
      <c r="J16393" s="1" t="str">
        <f t="shared" si="3"/>
        <v/>
      </c>
      <c r="K16393" s="1" t="str">
        <f t="shared" si="4"/>
        <v/>
      </c>
    </row>
    <row r="16394">
      <c r="F16394" s="1" t="str">
        <f t="shared" si="1"/>
        <v/>
      </c>
      <c r="G16394" s="1" t="str">
        <f t="shared" si="2"/>
        <v/>
      </c>
      <c r="J16394" s="1" t="str">
        <f t="shared" si="3"/>
        <v/>
      </c>
      <c r="K16394" s="1" t="str">
        <f t="shared" si="4"/>
        <v/>
      </c>
    </row>
    <row r="16395">
      <c r="F16395" s="1" t="str">
        <f t="shared" si="1"/>
        <v/>
      </c>
      <c r="G16395" s="1" t="str">
        <f t="shared" si="2"/>
        <v/>
      </c>
      <c r="J16395" s="1" t="str">
        <f t="shared" si="3"/>
        <v/>
      </c>
      <c r="K16395" s="1" t="str">
        <f t="shared" si="4"/>
        <v/>
      </c>
    </row>
    <row r="16396">
      <c r="F16396" s="1" t="str">
        <f t="shared" si="1"/>
        <v/>
      </c>
      <c r="G16396" s="1" t="str">
        <f t="shared" si="2"/>
        <v/>
      </c>
      <c r="J16396" s="1" t="str">
        <f t="shared" si="3"/>
        <v/>
      </c>
      <c r="K16396" s="1" t="str">
        <f t="shared" si="4"/>
        <v/>
      </c>
    </row>
    <row r="16397">
      <c r="F16397" s="1" t="str">
        <f t="shared" si="1"/>
        <v/>
      </c>
      <c r="G16397" s="1" t="str">
        <f t="shared" si="2"/>
        <v/>
      </c>
      <c r="J16397" s="1" t="str">
        <f t="shared" si="3"/>
        <v/>
      </c>
      <c r="K16397" s="1" t="str">
        <f t="shared" si="4"/>
        <v/>
      </c>
    </row>
    <row r="16398">
      <c r="F16398" s="1" t="str">
        <f t="shared" si="1"/>
        <v/>
      </c>
      <c r="G16398" s="1" t="str">
        <f t="shared" si="2"/>
        <v/>
      </c>
      <c r="J16398" s="1" t="str">
        <f t="shared" si="3"/>
        <v/>
      </c>
      <c r="K16398" s="1" t="str">
        <f t="shared" si="4"/>
        <v/>
      </c>
    </row>
    <row r="16399">
      <c r="F16399" s="1" t="str">
        <f t="shared" si="1"/>
        <v/>
      </c>
      <c r="G16399" s="1" t="str">
        <f t="shared" si="2"/>
        <v/>
      </c>
      <c r="J16399" s="1" t="str">
        <f t="shared" si="3"/>
        <v/>
      </c>
      <c r="K16399" s="1" t="str">
        <f t="shared" si="4"/>
        <v/>
      </c>
    </row>
    <row r="16400">
      <c r="F16400" s="1" t="str">
        <f t="shared" si="1"/>
        <v/>
      </c>
      <c r="G16400" s="1" t="str">
        <f t="shared" si="2"/>
        <v/>
      </c>
      <c r="J16400" s="1" t="str">
        <f t="shared" si="3"/>
        <v/>
      </c>
      <c r="K16400" s="1" t="str">
        <f t="shared" si="4"/>
        <v/>
      </c>
    </row>
    <row r="16401">
      <c r="F16401" s="1" t="str">
        <f t="shared" si="1"/>
        <v/>
      </c>
      <c r="G16401" s="1" t="str">
        <f t="shared" si="2"/>
        <v/>
      </c>
      <c r="J16401" s="1" t="str">
        <f t="shared" si="3"/>
        <v/>
      </c>
      <c r="K16401" s="1" t="str">
        <f t="shared" si="4"/>
        <v/>
      </c>
    </row>
    <row r="16402">
      <c r="F16402" s="1" t="str">
        <f t="shared" si="1"/>
        <v/>
      </c>
      <c r="G16402" s="1" t="str">
        <f t="shared" si="2"/>
        <v/>
      </c>
      <c r="J16402" s="1" t="str">
        <f t="shared" si="3"/>
        <v/>
      </c>
      <c r="K16402" s="1" t="str">
        <f t="shared" si="4"/>
        <v/>
      </c>
    </row>
    <row r="16403">
      <c r="F16403" s="1" t="str">
        <f t="shared" si="1"/>
        <v/>
      </c>
      <c r="G16403" s="1" t="str">
        <f t="shared" si="2"/>
        <v/>
      </c>
      <c r="J16403" s="1" t="str">
        <f t="shared" si="3"/>
        <v/>
      </c>
      <c r="K16403" s="1" t="str">
        <f t="shared" si="4"/>
        <v/>
      </c>
    </row>
    <row r="16404">
      <c r="F16404" s="1" t="str">
        <f t="shared" si="1"/>
        <v/>
      </c>
      <c r="G16404" s="1" t="str">
        <f t="shared" si="2"/>
        <v/>
      </c>
      <c r="J16404" s="1" t="str">
        <f t="shared" si="3"/>
        <v/>
      </c>
      <c r="K16404" s="1" t="str">
        <f t="shared" si="4"/>
        <v/>
      </c>
    </row>
    <row r="16405">
      <c r="F16405" s="1" t="str">
        <f t="shared" si="1"/>
        <v/>
      </c>
      <c r="G16405" s="1" t="str">
        <f t="shared" si="2"/>
        <v/>
      </c>
      <c r="J16405" s="1" t="str">
        <f t="shared" si="3"/>
        <v/>
      </c>
      <c r="K16405" s="1" t="str">
        <f t="shared" si="4"/>
        <v/>
      </c>
    </row>
    <row r="16406">
      <c r="F16406" s="1" t="str">
        <f t="shared" si="1"/>
        <v/>
      </c>
      <c r="G16406" s="1" t="str">
        <f t="shared" si="2"/>
        <v/>
      </c>
      <c r="J16406" s="1" t="str">
        <f t="shared" si="3"/>
        <v/>
      </c>
      <c r="K16406" s="1" t="str">
        <f t="shared" si="4"/>
        <v/>
      </c>
    </row>
    <row r="16407">
      <c r="F16407" s="1" t="str">
        <f t="shared" si="1"/>
        <v/>
      </c>
      <c r="G16407" s="1" t="str">
        <f t="shared" si="2"/>
        <v/>
      </c>
      <c r="J16407" s="1" t="str">
        <f t="shared" si="3"/>
        <v/>
      </c>
      <c r="K16407" s="1" t="str">
        <f t="shared" si="4"/>
        <v/>
      </c>
    </row>
    <row r="16408">
      <c r="F16408" s="1" t="str">
        <f t="shared" si="1"/>
        <v/>
      </c>
      <c r="G16408" s="1" t="str">
        <f t="shared" si="2"/>
        <v/>
      </c>
      <c r="J16408" s="1" t="str">
        <f t="shared" si="3"/>
        <v/>
      </c>
      <c r="K16408" s="1" t="str">
        <f t="shared" si="4"/>
        <v/>
      </c>
    </row>
    <row r="16409">
      <c r="F16409" s="1" t="str">
        <f t="shared" si="1"/>
        <v/>
      </c>
      <c r="G16409" s="1" t="str">
        <f t="shared" si="2"/>
        <v/>
      </c>
      <c r="J16409" s="1" t="str">
        <f t="shared" si="3"/>
        <v/>
      </c>
      <c r="K16409" s="1" t="str">
        <f t="shared" si="4"/>
        <v/>
      </c>
    </row>
    <row r="16410">
      <c r="F16410" s="1" t="str">
        <f t="shared" si="1"/>
        <v/>
      </c>
      <c r="G16410" s="1" t="str">
        <f t="shared" si="2"/>
        <v/>
      </c>
      <c r="J16410" s="1" t="str">
        <f t="shared" si="3"/>
        <v/>
      </c>
      <c r="K16410" s="1" t="str">
        <f t="shared" si="4"/>
        <v/>
      </c>
    </row>
    <row r="16411">
      <c r="F16411" s="1" t="str">
        <f t="shared" si="1"/>
        <v/>
      </c>
      <c r="G16411" s="1" t="str">
        <f t="shared" si="2"/>
        <v/>
      </c>
      <c r="J16411" s="1" t="str">
        <f t="shared" si="3"/>
        <v/>
      </c>
      <c r="K16411" s="1" t="str">
        <f t="shared" si="4"/>
        <v/>
      </c>
    </row>
    <row r="16412">
      <c r="F16412" s="1" t="str">
        <f t="shared" si="1"/>
        <v/>
      </c>
      <c r="G16412" s="1" t="str">
        <f t="shared" si="2"/>
        <v/>
      </c>
      <c r="J16412" s="1" t="str">
        <f t="shared" si="3"/>
        <v/>
      </c>
      <c r="K16412" s="1" t="str">
        <f t="shared" si="4"/>
        <v/>
      </c>
    </row>
    <row r="16413">
      <c r="F16413" s="1" t="str">
        <f t="shared" si="1"/>
        <v/>
      </c>
      <c r="G16413" s="1" t="str">
        <f t="shared" si="2"/>
        <v/>
      </c>
      <c r="J16413" s="1" t="str">
        <f t="shared" si="3"/>
        <v/>
      </c>
      <c r="K16413" s="1" t="str">
        <f t="shared" si="4"/>
        <v/>
      </c>
    </row>
    <row r="16414">
      <c r="F16414" s="1" t="str">
        <f t="shared" si="1"/>
        <v/>
      </c>
      <c r="G16414" s="1" t="str">
        <f t="shared" si="2"/>
        <v/>
      </c>
      <c r="J16414" s="1" t="str">
        <f t="shared" si="3"/>
        <v/>
      </c>
      <c r="K16414" s="1" t="str">
        <f t="shared" si="4"/>
        <v/>
      </c>
    </row>
    <row r="16415">
      <c r="F16415" s="1" t="str">
        <f t="shared" si="1"/>
        <v/>
      </c>
      <c r="G16415" s="1" t="str">
        <f t="shared" si="2"/>
        <v/>
      </c>
      <c r="J16415" s="1" t="str">
        <f t="shared" si="3"/>
        <v/>
      </c>
      <c r="K16415" s="1" t="str">
        <f t="shared" si="4"/>
        <v/>
      </c>
    </row>
    <row r="16416">
      <c r="F16416" s="1" t="str">
        <f t="shared" si="1"/>
        <v/>
      </c>
      <c r="G16416" s="1" t="str">
        <f t="shared" si="2"/>
        <v/>
      </c>
      <c r="J16416" s="1" t="str">
        <f t="shared" si="3"/>
        <v/>
      </c>
      <c r="K16416" s="1" t="str">
        <f t="shared" si="4"/>
        <v/>
      </c>
    </row>
    <row r="16417">
      <c r="F16417" s="1" t="str">
        <f t="shared" si="1"/>
        <v/>
      </c>
      <c r="G16417" s="1" t="str">
        <f t="shared" si="2"/>
        <v/>
      </c>
      <c r="J16417" s="1" t="str">
        <f t="shared" si="3"/>
        <v/>
      </c>
      <c r="K16417" s="1" t="str">
        <f t="shared" si="4"/>
        <v/>
      </c>
    </row>
    <row r="16418">
      <c r="F16418" s="1" t="str">
        <f t="shared" si="1"/>
        <v/>
      </c>
      <c r="G16418" s="1" t="str">
        <f t="shared" si="2"/>
        <v/>
      </c>
      <c r="J16418" s="1" t="str">
        <f t="shared" si="3"/>
        <v/>
      </c>
      <c r="K16418" s="1" t="str">
        <f t="shared" si="4"/>
        <v/>
      </c>
    </row>
    <row r="16419">
      <c r="F16419" s="1" t="str">
        <f t="shared" si="1"/>
        <v/>
      </c>
      <c r="G16419" s="1" t="str">
        <f t="shared" si="2"/>
        <v/>
      </c>
      <c r="J16419" s="1" t="str">
        <f t="shared" si="3"/>
        <v/>
      </c>
      <c r="K16419" s="1" t="str">
        <f t="shared" si="4"/>
        <v/>
      </c>
    </row>
    <row r="16420">
      <c r="F16420" s="1" t="str">
        <f t="shared" si="1"/>
        <v/>
      </c>
      <c r="G16420" s="1" t="str">
        <f t="shared" si="2"/>
        <v/>
      </c>
      <c r="J16420" s="1" t="str">
        <f t="shared" si="3"/>
        <v/>
      </c>
      <c r="K16420" s="1" t="str">
        <f t="shared" si="4"/>
        <v/>
      </c>
    </row>
    <row r="16421">
      <c r="F16421" s="1" t="str">
        <f t="shared" si="1"/>
        <v/>
      </c>
      <c r="G16421" s="1" t="str">
        <f t="shared" si="2"/>
        <v/>
      </c>
      <c r="J16421" s="1" t="str">
        <f t="shared" si="3"/>
        <v/>
      </c>
      <c r="K16421" s="1" t="str">
        <f t="shared" si="4"/>
        <v/>
      </c>
    </row>
    <row r="16422">
      <c r="F16422" s="1" t="str">
        <f t="shared" si="1"/>
        <v/>
      </c>
      <c r="G16422" s="1" t="str">
        <f t="shared" si="2"/>
        <v/>
      </c>
      <c r="J16422" s="1" t="str">
        <f t="shared" si="3"/>
        <v/>
      </c>
      <c r="K16422" s="1" t="str">
        <f t="shared" si="4"/>
        <v/>
      </c>
    </row>
    <row r="16423">
      <c r="F16423" s="1" t="str">
        <f t="shared" si="1"/>
        <v/>
      </c>
      <c r="G16423" s="1" t="str">
        <f t="shared" si="2"/>
        <v/>
      </c>
      <c r="J16423" s="1" t="str">
        <f t="shared" si="3"/>
        <v/>
      </c>
      <c r="K16423" s="1" t="str">
        <f t="shared" si="4"/>
        <v/>
      </c>
    </row>
    <row r="16424">
      <c r="F16424" s="1" t="str">
        <f t="shared" si="1"/>
        <v/>
      </c>
      <c r="G16424" s="1" t="str">
        <f t="shared" si="2"/>
        <v/>
      </c>
      <c r="J16424" s="1" t="str">
        <f t="shared" si="3"/>
        <v/>
      </c>
      <c r="K16424" s="1" t="str">
        <f t="shared" si="4"/>
        <v/>
      </c>
    </row>
    <row r="16425">
      <c r="F16425" s="1" t="str">
        <f t="shared" si="1"/>
        <v/>
      </c>
      <c r="G16425" s="1" t="str">
        <f t="shared" si="2"/>
        <v/>
      </c>
      <c r="J16425" s="1" t="str">
        <f t="shared" si="3"/>
        <v/>
      </c>
      <c r="K16425" s="1" t="str">
        <f t="shared" si="4"/>
        <v/>
      </c>
    </row>
    <row r="16426">
      <c r="F16426" s="1" t="str">
        <f t="shared" si="1"/>
        <v/>
      </c>
      <c r="G16426" s="1" t="str">
        <f t="shared" si="2"/>
        <v/>
      </c>
      <c r="J16426" s="1" t="str">
        <f t="shared" si="3"/>
        <v/>
      </c>
      <c r="K16426" s="1" t="str">
        <f t="shared" si="4"/>
        <v/>
      </c>
    </row>
    <row r="16427">
      <c r="F16427" s="1" t="str">
        <f t="shared" si="1"/>
        <v/>
      </c>
      <c r="G16427" s="1" t="str">
        <f t="shared" si="2"/>
        <v/>
      </c>
      <c r="J16427" s="1" t="str">
        <f t="shared" si="3"/>
        <v/>
      </c>
      <c r="K16427" s="1" t="str">
        <f t="shared" si="4"/>
        <v/>
      </c>
    </row>
    <row r="16428">
      <c r="F16428" s="1" t="str">
        <f t="shared" si="1"/>
        <v/>
      </c>
      <c r="G16428" s="1" t="str">
        <f t="shared" si="2"/>
        <v/>
      </c>
      <c r="J16428" s="1" t="str">
        <f t="shared" si="3"/>
        <v/>
      </c>
      <c r="K16428" s="1" t="str">
        <f t="shared" si="4"/>
        <v/>
      </c>
    </row>
    <row r="16429">
      <c r="F16429" s="1" t="str">
        <f t="shared" si="1"/>
        <v/>
      </c>
      <c r="G16429" s="1" t="str">
        <f t="shared" si="2"/>
        <v/>
      </c>
      <c r="J16429" s="1" t="str">
        <f t="shared" si="3"/>
        <v/>
      </c>
      <c r="K16429" s="1" t="str">
        <f t="shared" si="4"/>
        <v/>
      </c>
    </row>
    <row r="16430">
      <c r="F16430" s="1" t="str">
        <f t="shared" si="1"/>
        <v/>
      </c>
      <c r="G16430" s="1" t="str">
        <f t="shared" si="2"/>
        <v/>
      </c>
      <c r="J16430" s="1" t="str">
        <f t="shared" si="3"/>
        <v/>
      </c>
      <c r="K16430" s="1" t="str">
        <f t="shared" si="4"/>
        <v/>
      </c>
    </row>
    <row r="16431">
      <c r="F16431" s="1" t="str">
        <f t="shared" si="1"/>
        <v/>
      </c>
      <c r="G16431" s="1" t="str">
        <f t="shared" si="2"/>
        <v/>
      </c>
      <c r="J16431" s="1" t="str">
        <f t="shared" si="3"/>
        <v/>
      </c>
      <c r="K16431" s="1" t="str">
        <f t="shared" si="4"/>
        <v/>
      </c>
    </row>
    <row r="16432">
      <c r="F16432" s="1" t="str">
        <f t="shared" si="1"/>
        <v/>
      </c>
      <c r="G16432" s="1" t="str">
        <f t="shared" si="2"/>
        <v/>
      </c>
      <c r="J16432" s="1" t="str">
        <f t="shared" si="3"/>
        <v/>
      </c>
      <c r="K16432" s="1" t="str">
        <f t="shared" si="4"/>
        <v/>
      </c>
    </row>
    <row r="16433">
      <c r="F16433" s="1" t="str">
        <f t="shared" si="1"/>
        <v/>
      </c>
      <c r="G16433" s="1" t="str">
        <f t="shared" si="2"/>
        <v/>
      </c>
      <c r="J16433" s="1" t="str">
        <f t="shared" si="3"/>
        <v/>
      </c>
      <c r="K16433" s="1" t="str">
        <f t="shared" si="4"/>
        <v/>
      </c>
    </row>
    <row r="16434">
      <c r="F16434" s="1" t="str">
        <f t="shared" si="1"/>
        <v/>
      </c>
      <c r="G16434" s="1" t="str">
        <f t="shared" si="2"/>
        <v/>
      </c>
      <c r="J16434" s="1" t="str">
        <f t="shared" si="3"/>
        <v/>
      </c>
      <c r="K16434" s="1" t="str">
        <f t="shared" si="4"/>
        <v/>
      </c>
    </row>
    <row r="16435">
      <c r="F16435" s="1" t="str">
        <f t="shared" si="1"/>
        <v/>
      </c>
      <c r="G16435" s="1" t="str">
        <f t="shared" si="2"/>
        <v/>
      </c>
      <c r="J16435" s="1" t="str">
        <f t="shared" si="3"/>
        <v/>
      </c>
      <c r="K16435" s="1" t="str">
        <f t="shared" si="4"/>
        <v/>
      </c>
    </row>
    <row r="16436">
      <c r="F16436" s="1" t="str">
        <f t="shared" si="1"/>
        <v/>
      </c>
      <c r="G16436" s="1" t="str">
        <f t="shared" si="2"/>
        <v/>
      </c>
      <c r="J16436" s="1" t="str">
        <f t="shared" si="3"/>
        <v/>
      </c>
      <c r="K16436" s="1" t="str">
        <f t="shared" si="4"/>
        <v/>
      </c>
    </row>
    <row r="16437">
      <c r="F16437" s="1" t="str">
        <f t="shared" si="1"/>
        <v/>
      </c>
      <c r="G16437" s="1" t="str">
        <f t="shared" si="2"/>
        <v/>
      </c>
      <c r="J16437" s="1" t="str">
        <f t="shared" si="3"/>
        <v/>
      </c>
      <c r="K16437" s="1" t="str">
        <f t="shared" si="4"/>
        <v/>
      </c>
    </row>
    <row r="16438">
      <c r="F16438" s="1" t="str">
        <f t="shared" si="1"/>
        <v/>
      </c>
      <c r="G16438" s="1" t="str">
        <f t="shared" si="2"/>
        <v/>
      </c>
      <c r="J16438" s="1" t="str">
        <f t="shared" si="3"/>
        <v/>
      </c>
      <c r="K16438" s="1" t="str">
        <f t="shared" si="4"/>
        <v/>
      </c>
    </row>
    <row r="16439">
      <c r="F16439" s="1" t="str">
        <f t="shared" si="1"/>
        <v/>
      </c>
      <c r="G16439" s="1" t="str">
        <f t="shared" si="2"/>
        <v/>
      </c>
      <c r="J16439" s="1" t="str">
        <f t="shared" si="3"/>
        <v/>
      </c>
      <c r="K16439" s="1" t="str">
        <f t="shared" si="4"/>
        <v/>
      </c>
    </row>
    <row r="16440">
      <c r="F16440" s="1" t="str">
        <f t="shared" si="1"/>
        <v/>
      </c>
      <c r="G16440" s="1" t="str">
        <f t="shared" si="2"/>
        <v/>
      </c>
      <c r="J16440" s="1" t="str">
        <f t="shared" si="3"/>
        <v/>
      </c>
      <c r="K16440" s="1" t="str">
        <f t="shared" si="4"/>
        <v/>
      </c>
    </row>
    <row r="16441">
      <c r="F16441" s="1" t="str">
        <f t="shared" si="1"/>
        <v/>
      </c>
      <c r="G16441" s="1" t="str">
        <f t="shared" si="2"/>
        <v/>
      </c>
      <c r="J16441" s="1" t="str">
        <f t="shared" si="3"/>
        <v/>
      </c>
      <c r="K16441" s="1" t="str">
        <f t="shared" si="4"/>
        <v/>
      </c>
    </row>
    <row r="16442">
      <c r="F16442" s="1" t="str">
        <f t="shared" si="1"/>
        <v/>
      </c>
      <c r="G16442" s="1" t="str">
        <f t="shared" si="2"/>
        <v/>
      </c>
      <c r="J16442" s="1" t="str">
        <f t="shared" si="3"/>
        <v/>
      </c>
      <c r="K16442" s="1" t="str">
        <f t="shared" si="4"/>
        <v/>
      </c>
    </row>
    <row r="16443">
      <c r="F16443" s="1" t="str">
        <f t="shared" si="1"/>
        <v/>
      </c>
      <c r="G16443" s="1" t="str">
        <f t="shared" si="2"/>
        <v/>
      </c>
      <c r="J16443" s="1" t="str">
        <f t="shared" si="3"/>
        <v/>
      </c>
      <c r="K16443" s="1" t="str">
        <f t="shared" si="4"/>
        <v/>
      </c>
    </row>
    <row r="16444">
      <c r="F16444" s="1" t="str">
        <f t="shared" si="1"/>
        <v/>
      </c>
      <c r="G16444" s="1" t="str">
        <f t="shared" si="2"/>
        <v/>
      </c>
      <c r="J16444" s="1" t="str">
        <f t="shared" si="3"/>
        <v/>
      </c>
      <c r="K16444" s="1" t="str">
        <f t="shared" si="4"/>
        <v/>
      </c>
    </row>
    <row r="16445">
      <c r="F16445" s="1" t="str">
        <f t="shared" si="1"/>
        <v/>
      </c>
      <c r="G16445" s="1" t="str">
        <f t="shared" si="2"/>
        <v/>
      </c>
      <c r="J16445" s="1" t="str">
        <f t="shared" si="3"/>
        <v/>
      </c>
      <c r="K16445" s="1" t="str">
        <f t="shared" si="4"/>
        <v/>
      </c>
    </row>
    <row r="16446">
      <c r="F16446" s="1" t="str">
        <f t="shared" si="1"/>
        <v/>
      </c>
      <c r="G16446" s="1" t="str">
        <f t="shared" si="2"/>
        <v/>
      </c>
      <c r="J16446" s="1" t="str">
        <f t="shared" si="3"/>
        <v/>
      </c>
      <c r="K16446" s="1" t="str">
        <f t="shared" si="4"/>
        <v/>
      </c>
    </row>
    <row r="16447">
      <c r="F16447" s="1" t="str">
        <f t="shared" si="1"/>
        <v/>
      </c>
      <c r="G16447" s="1" t="str">
        <f t="shared" si="2"/>
        <v/>
      </c>
      <c r="J16447" s="1" t="str">
        <f t="shared" si="3"/>
        <v/>
      </c>
      <c r="K16447" s="1" t="str">
        <f t="shared" si="4"/>
        <v/>
      </c>
    </row>
    <row r="16448">
      <c r="F16448" s="1" t="str">
        <f t="shared" si="1"/>
        <v/>
      </c>
      <c r="G16448" s="1" t="str">
        <f t="shared" si="2"/>
        <v/>
      </c>
      <c r="J16448" s="1" t="str">
        <f t="shared" si="3"/>
        <v/>
      </c>
      <c r="K16448" s="1" t="str">
        <f t="shared" si="4"/>
        <v/>
      </c>
    </row>
    <row r="16449">
      <c r="F16449" s="1" t="str">
        <f t="shared" si="1"/>
        <v/>
      </c>
      <c r="G16449" s="1" t="str">
        <f t="shared" si="2"/>
        <v/>
      </c>
      <c r="J16449" s="1" t="str">
        <f t="shared" si="3"/>
        <v/>
      </c>
      <c r="K16449" s="1" t="str">
        <f t="shared" si="4"/>
        <v/>
      </c>
    </row>
    <row r="16450">
      <c r="F16450" s="1" t="str">
        <f t="shared" si="1"/>
        <v/>
      </c>
      <c r="G16450" s="1" t="str">
        <f t="shared" si="2"/>
        <v/>
      </c>
      <c r="J16450" s="1" t="str">
        <f t="shared" si="3"/>
        <v/>
      </c>
      <c r="K16450" s="1" t="str">
        <f t="shared" si="4"/>
        <v/>
      </c>
    </row>
    <row r="16451">
      <c r="F16451" s="1" t="str">
        <f t="shared" si="1"/>
        <v/>
      </c>
      <c r="G16451" s="1" t="str">
        <f t="shared" si="2"/>
        <v/>
      </c>
      <c r="J16451" s="1" t="str">
        <f t="shared" si="3"/>
        <v/>
      </c>
      <c r="K16451" s="1" t="str">
        <f t="shared" si="4"/>
        <v/>
      </c>
    </row>
    <row r="16452">
      <c r="F16452" s="1" t="str">
        <f t="shared" si="1"/>
        <v/>
      </c>
      <c r="G16452" s="1" t="str">
        <f t="shared" si="2"/>
        <v/>
      </c>
      <c r="J16452" s="1" t="str">
        <f t="shared" si="3"/>
        <v/>
      </c>
      <c r="K16452" s="1" t="str">
        <f t="shared" si="4"/>
        <v/>
      </c>
    </row>
    <row r="16453">
      <c r="F16453" s="1" t="str">
        <f t="shared" si="1"/>
        <v/>
      </c>
      <c r="G16453" s="1" t="str">
        <f t="shared" si="2"/>
        <v/>
      </c>
      <c r="J16453" s="1" t="str">
        <f t="shared" si="3"/>
        <v/>
      </c>
      <c r="K16453" s="1" t="str">
        <f t="shared" si="4"/>
        <v/>
      </c>
    </row>
    <row r="16454">
      <c r="F16454" s="1" t="str">
        <f t="shared" si="1"/>
        <v/>
      </c>
      <c r="G16454" s="1" t="str">
        <f t="shared" si="2"/>
        <v/>
      </c>
      <c r="J16454" s="1" t="str">
        <f t="shared" si="3"/>
        <v/>
      </c>
      <c r="K16454" s="1" t="str">
        <f t="shared" si="4"/>
        <v/>
      </c>
    </row>
    <row r="16455">
      <c r="F16455" s="1" t="str">
        <f t="shared" si="1"/>
        <v/>
      </c>
      <c r="G16455" s="1" t="str">
        <f t="shared" si="2"/>
        <v/>
      </c>
      <c r="J16455" s="1" t="str">
        <f t="shared" si="3"/>
        <v/>
      </c>
      <c r="K16455" s="1" t="str">
        <f t="shared" si="4"/>
        <v/>
      </c>
    </row>
    <row r="16456">
      <c r="F16456" s="1" t="str">
        <f t="shared" si="1"/>
        <v/>
      </c>
      <c r="G16456" s="1" t="str">
        <f t="shared" si="2"/>
        <v/>
      </c>
      <c r="J16456" s="1" t="str">
        <f t="shared" si="3"/>
        <v/>
      </c>
      <c r="K16456" s="1" t="str">
        <f t="shared" si="4"/>
        <v/>
      </c>
    </row>
    <row r="16457">
      <c r="F16457" s="1" t="str">
        <f t="shared" si="1"/>
        <v/>
      </c>
      <c r="G16457" s="1" t="str">
        <f t="shared" si="2"/>
        <v/>
      </c>
      <c r="J16457" s="1" t="str">
        <f t="shared" si="3"/>
        <v/>
      </c>
      <c r="K16457" s="1" t="str">
        <f t="shared" si="4"/>
        <v/>
      </c>
    </row>
    <row r="16458">
      <c r="F16458" s="1" t="str">
        <f t="shared" si="1"/>
        <v/>
      </c>
      <c r="G16458" s="1" t="str">
        <f t="shared" si="2"/>
        <v/>
      </c>
      <c r="J16458" s="1" t="str">
        <f t="shared" si="3"/>
        <v/>
      </c>
      <c r="K16458" s="1" t="str">
        <f t="shared" si="4"/>
        <v/>
      </c>
    </row>
    <row r="16459">
      <c r="F16459" s="1" t="str">
        <f t="shared" si="1"/>
        <v/>
      </c>
      <c r="G16459" s="1" t="str">
        <f t="shared" si="2"/>
        <v/>
      </c>
      <c r="J16459" s="1" t="str">
        <f t="shared" si="3"/>
        <v/>
      </c>
      <c r="K16459" s="1" t="str">
        <f t="shared" si="4"/>
        <v/>
      </c>
    </row>
    <row r="16460">
      <c r="F16460" s="1" t="str">
        <f t="shared" si="1"/>
        <v/>
      </c>
      <c r="G16460" s="1" t="str">
        <f t="shared" si="2"/>
        <v/>
      </c>
      <c r="J16460" s="1" t="str">
        <f t="shared" si="3"/>
        <v/>
      </c>
      <c r="K16460" s="1" t="str">
        <f t="shared" si="4"/>
        <v/>
      </c>
    </row>
    <row r="16461">
      <c r="F16461" s="1" t="str">
        <f t="shared" si="1"/>
        <v/>
      </c>
      <c r="G16461" s="1" t="str">
        <f t="shared" si="2"/>
        <v/>
      </c>
      <c r="J16461" s="1" t="str">
        <f t="shared" si="3"/>
        <v/>
      </c>
      <c r="K16461" s="1" t="str">
        <f t="shared" si="4"/>
        <v/>
      </c>
    </row>
    <row r="16462">
      <c r="F16462" s="1" t="str">
        <f t="shared" si="1"/>
        <v/>
      </c>
      <c r="G16462" s="1" t="str">
        <f t="shared" si="2"/>
        <v/>
      </c>
      <c r="J16462" s="1" t="str">
        <f t="shared" si="3"/>
        <v/>
      </c>
      <c r="K16462" s="1" t="str">
        <f t="shared" si="4"/>
        <v/>
      </c>
    </row>
    <row r="16463">
      <c r="F16463" s="1" t="str">
        <f t="shared" si="1"/>
        <v/>
      </c>
      <c r="G16463" s="1" t="str">
        <f t="shared" si="2"/>
        <v/>
      </c>
      <c r="J16463" s="1" t="str">
        <f t="shared" si="3"/>
        <v/>
      </c>
      <c r="K16463" s="1" t="str">
        <f t="shared" si="4"/>
        <v/>
      </c>
    </row>
    <row r="16464">
      <c r="F16464" s="1" t="str">
        <f t="shared" si="1"/>
        <v/>
      </c>
      <c r="G16464" s="1" t="str">
        <f t="shared" si="2"/>
        <v/>
      </c>
      <c r="J16464" s="1" t="str">
        <f t="shared" si="3"/>
        <v/>
      </c>
      <c r="K16464" s="1" t="str">
        <f t="shared" si="4"/>
        <v/>
      </c>
    </row>
    <row r="16465">
      <c r="F16465" s="1" t="str">
        <f t="shared" si="1"/>
        <v/>
      </c>
      <c r="G16465" s="1" t="str">
        <f t="shared" si="2"/>
        <v/>
      </c>
      <c r="J16465" s="1" t="str">
        <f t="shared" si="3"/>
        <v/>
      </c>
      <c r="K16465" s="1" t="str">
        <f t="shared" si="4"/>
        <v/>
      </c>
    </row>
    <row r="16466">
      <c r="F16466" s="1" t="str">
        <f t="shared" si="1"/>
        <v/>
      </c>
      <c r="G16466" s="1" t="str">
        <f t="shared" si="2"/>
        <v/>
      </c>
      <c r="J16466" s="1" t="str">
        <f t="shared" si="3"/>
        <v/>
      </c>
      <c r="K16466" s="1" t="str">
        <f t="shared" si="4"/>
        <v/>
      </c>
    </row>
    <row r="16467">
      <c r="F16467" s="1" t="str">
        <f t="shared" si="1"/>
        <v/>
      </c>
      <c r="G16467" s="1" t="str">
        <f t="shared" si="2"/>
        <v/>
      </c>
      <c r="J16467" s="1" t="str">
        <f t="shared" si="3"/>
        <v/>
      </c>
      <c r="K16467" s="1" t="str">
        <f t="shared" si="4"/>
        <v/>
      </c>
    </row>
    <row r="16468">
      <c r="F16468" s="1" t="str">
        <f t="shared" si="1"/>
        <v/>
      </c>
      <c r="G16468" s="1" t="str">
        <f t="shared" si="2"/>
        <v/>
      </c>
      <c r="J16468" s="1" t="str">
        <f t="shared" si="3"/>
        <v/>
      </c>
      <c r="K16468" s="1" t="str">
        <f t="shared" si="4"/>
        <v/>
      </c>
    </row>
    <row r="16469">
      <c r="F16469" s="1" t="str">
        <f t="shared" si="1"/>
        <v/>
      </c>
      <c r="G16469" s="1" t="str">
        <f t="shared" si="2"/>
        <v/>
      </c>
      <c r="J16469" s="1" t="str">
        <f t="shared" si="3"/>
        <v/>
      </c>
      <c r="K16469" s="1" t="str">
        <f t="shared" si="4"/>
        <v/>
      </c>
    </row>
    <row r="16470">
      <c r="F16470" s="1" t="str">
        <f t="shared" si="1"/>
        <v/>
      </c>
      <c r="G16470" s="1" t="str">
        <f t="shared" si="2"/>
        <v/>
      </c>
      <c r="J16470" s="1" t="str">
        <f t="shared" si="3"/>
        <v/>
      </c>
      <c r="K16470" s="1" t="str">
        <f t="shared" si="4"/>
        <v/>
      </c>
    </row>
    <row r="16471">
      <c r="F16471" s="1" t="str">
        <f t="shared" si="1"/>
        <v/>
      </c>
      <c r="G16471" s="1" t="str">
        <f t="shared" si="2"/>
        <v/>
      </c>
      <c r="J16471" s="1" t="str">
        <f t="shared" si="3"/>
        <v/>
      </c>
      <c r="K16471" s="1" t="str">
        <f t="shared" si="4"/>
        <v/>
      </c>
    </row>
    <row r="16472">
      <c r="F16472" s="1" t="str">
        <f t="shared" si="1"/>
        <v/>
      </c>
      <c r="G16472" s="1" t="str">
        <f t="shared" si="2"/>
        <v/>
      </c>
      <c r="J16472" s="1" t="str">
        <f t="shared" si="3"/>
        <v/>
      </c>
      <c r="K16472" s="1" t="str">
        <f t="shared" si="4"/>
        <v/>
      </c>
    </row>
    <row r="16473">
      <c r="F16473" s="1" t="str">
        <f t="shared" si="1"/>
        <v/>
      </c>
      <c r="G16473" s="1" t="str">
        <f t="shared" si="2"/>
        <v/>
      </c>
      <c r="J16473" s="1" t="str">
        <f t="shared" si="3"/>
        <v/>
      </c>
      <c r="K16473" s="1" t="str">
        <f t="shared" si="4"/>
        <v/>
      </c>
    </row>
    <row r="16474">
      <c r="F16474" s="1" t="str">
        <f t="shared" si="1"/>
        <v/>
      </c>
      <c r="G16474" s="1" t="str">
        <f t="shared" si="2"/>
        <v/>
      </c>
      <c r="J16474" s="1" t="str">
        <f t="shared" si="3"/>
        <v/>
      </c>
      <c r="K16474" s="1" t="str">
        <f t="shared" si="4"/>
        <v/>
      </c>
    </row>
    <row r="16475">
      <c r="F16475" s="1" t="str">
        <f t="shared" si="1"/>
        <v/>
      </c>
      <c r="G16475" s="1" t="str">
        <f t="shared" si="2"/>
        <v/>
      </c>
      <c r="J16475" s="1" t="str">
        <f t="shared" si="3"/>
        <v/>
      </c>
      <c r="K16475" s="1" t="str">
        <f t="shared" si="4"/>
        <v/>
      </c>
    </row>
    <row r="16476">
      <c r="F16476" s="1" t="str">
        <f t="shared" si="1"/>
        <v/>
      </c>
      <c r="G16476" s="1" t="str">
        <f t="shared" si="2"/>
        <v/>
      </c>
      <c r="J16476" s="1" t="str">
        <f t="shared" si="3"/>
        <v/>
      </c>
      <c r="K16476" s="1" t="str">
        <f t="shared" si="4"/>
        <v/>
      </c>
    </row>
    <row r="16477">
      <c r="F16477" s="1" t="str">
        <f t="shared" si="1"/>
        <v/>
      </c>
      <c r="G16477" s="1" t="str">
        <f t="shared" si="2"/>
        <v/>
      </c>
      <c r="J16477" s="1" t="str">
        <f t="shared" si="3"/>
        <v/>
      </c>
      <c r="K16477" s="1" t="str">
        <f t="shared" si="4"/>
        <v/>
      </c>
    </row>
    <row r="16478">
      <c r="F16478" s="1" t="str">
        <f t="shared" si="1"/>
        <v/>
      </c>
      <c r="G16478" s="1" t="str">
        <f t="shared" si="2"/>
        <v/>
      </c>
      <c r="J16478" s="1" t="str">
        <f t="shared" si="3"/>
        <v/>
      </c>
      <c r="K16478" s="1" t="str">
        <f t="shared" si="4"/>
        <v/>
      </c>
    </row>
    <row r="16479">
      <c r="F16479" s="1" t="str">
        <f t="shared" si="1"/>
        <v/>
      </c>
      <c r="G16479" s="1" t="str">
        <f t="shared" si="2"/>
        <v/>
      </c>
      <c r="J16479" s="1" t="str">
        <f t="shared" si="3"/>
        <v/>
      </c>
      <c r="K16479" s="1" t="str">
        <f t="shared" si="4"/>
        <v/>
      </c>
    </row>
    <row r="16480">
      <c r="F16480" s="1" t="str">
        <f t="shared" si="1"/>
        <v/>
      </c>
      <c r="G16480" s="1" t="str">
        <f t="shared" si="2"/>
        <v/>
      </c>
      <c r="J16480" s="1" t="str">
        <f t="shared" si="3"/>
        <v/>
      </c>
      <c r="K16480" s="1" t="str">
        <f t="shared" si="4"/>
        <v/>
      </c>
    </row>
    <row r="16481">
      <c r="F16481" s="1" t="str">
        <f t="shared" si="1"/>
        <v/>
      </c>
      <c r="G16481" s="1" t="str">
        <f t="shared" si="2"/>
        <v/>
      </c>
      <c r="J16481" s="1" t="str">
        <f t="shared" si="3"/>
        <v/>
      </c>
      <c r="K16481" s="1" t="str">
        <f t="shared" si="4"/>
        <v/>
      </c>
    </row>
    <row r="16482">
      <c r="F16482" s="1" t="str">
        <f t="shared" si="1"/>
        <v/>
      </c>
      <c r="G16482" s="1" t="str">
        <f t="shared" si="2"/>
        <v/>
      </c>
      <c r="J16482" s="1" t="str">
        <f t="shared" si="3"/>
        <v/>
      </c>
      <c r="K16482" s="1" t="str">
        <f t="shared" si="4"/>
        <v/>
      </c>
    </row>
    <row r="16483">
      <c r="F16483" s="1" t="str">
        <f t="shared" si="1"/>
        <v/>
      </c>
      <c r="G16483" s="1" t="str">
        <f t="shared" si="2"/>
        <v/>
      </c>
      <c r="J16483" s="1" t="str">
        <f t="shared" si="3"/>
        <v/>
      </c>
      <c r="K16483" s="1" t="str">
        <f t="shared" si="4"/>
        <v/>
      </c>
    </row>
    <row r="16484">
      <c r="F16484" s="1" t="str">
        <f t="shared" si="1"/>
        <v/>
      </c>
      <c r="G16484" s="1" t="str">
        <f t="shared" si="2"/>
        <v/>
      </c>
      <c r="J16484" s="1" t="str">
        <f t="shared" si="3"/>
        <v/>
      </c>
      <c r="K16484" s="1" t="str">
        <f t="shared" si="4"/>
        <v/>
      </c>
    </row>
    <row r="16485">
      <c r="F16485" s="1" t="str">
        <f t="shared" si="1"/>
        <v/>
      </c>
      <c r="G16485" s="1" t="str">
        <f t="shared" si="2"/>
        <v/>
      </c>
      <c r="J16485" s="1" t="str">
        <f t="shared" si="3"/>
        <v/>
      </c>
      <c r="K16485" s="1" t="str">
        <f t="shared" si="4"/>
        <v/>
      </c>
    </row>
    <row r="16486">
      <c r="F16486" s="1" t="str">
        <f t="shared" si="1"/>
        <v/>
      </c>
      <c r="G16486" s="1" t="str">
        <f t="shared" si="2"/>
        <v/>
      </c>
      <c r="J16486" s="1" t="str">
        <f t="shared" si="3"/>
        <v/>
      </c>
      <c r="K16486" s="1" t="str">
        <f t="shared" si="4"/>
        <v/>
      </c>
    </row>
    <row r="16487">
      <c r="F16487" s="1" t="str">
        <f t="shared" si="1"/>
        <v/>
      </c>
      <c r="G16487" s="1" t="str">
        <f t="shared" si="2"/>
        <v/>
      </c>
      <c r="J16487" s="1" t="str">
        <f t="shared" si="3"/>
        <v/>
      </c>
      <c r="K16487" s="1" t="str">
        <f t="shared" si="4"/>
        <v/>
      </c>
    </row>
    <row r="16488">
      <c r="F16488" s="1" t="str">
        <f t="shared" si="1"/>
        <v/>
      </c>
      <c r="G16488" s="1" t="str">
        <f t="shared" si="2"/>
        <v/>
      </c>
      <c r="J16488" s="1" t="str">
        <f t="shared" si="3"/>
        <v/>
      </c>
      <c r="K16488" s="1" t="str">
        <f t="shared" si="4"/>
        <v/>
      </c>
    </row>
    <row r="16489">
      <c r="F16489" s="1" t="str">
        <f t="shared" si="1"/>
        <v/>
      </c>
      <c r="G16489" s="1" t="str">
        <f t="shared" si="2"/>
        <v/>
      </c>
      <c r="J16489" s="1" t="str">
        <f t="shared" si="3"/>
        <v/>
      </c>
      <c r="K16489" s="1" t="str">
        <f t="shared" si="4"/>
        <v/>
      </c>
    </row>
    <row r="16490">
      <c r="F16490" s="1" t="str">
        <f t="shared" si="1"/>
        <v/>
      </c>
      <c r="G16490" s="1" t="str">
        <f t="shared" si="2"/>
        <v/>
      </c>
      <c r="J16490" s="1" t="str">
        <f t="shared" si="3"/>
        <v/>
      </c>
      <c r="K16490" s="1" t="str">
        <f t="shared" si="4"/>
        <v/>
      </c>
    </row>
    <row r="16491">
      <c r="F16491" s="1" t="str">
        <f t="shared" si="1"/>
        <v/>
      </c>
      <c r="G16491" s="1" t="str">
        <f t="shared" si="2"/>
        <v/>
      </c>
      <c r="J16491" s="1" t="str">
        <f t="shared" si="3"/>
        <v/>
      </c>
      <c r="K16491" s="1" t="str">
        <f t="shared" si="4"/>
        <v/>
      </c>
    </row>
    <row r="16492">
      <c r="F16492" s="1" t="str">
        <f t="shared" si="1"/>
        <v/>
      </c>
      <c r="G16492" s="1" t="str">
        <f t="shared" si="2"/>
        <v/>
      </c>
      <c r="J16492" s="1" t="str">
        <f t="shared" si="3"/>
        <v/>
      </c>
      <c r="K16492" s="1" t="str">
        <f t="shared" si="4"/>
        <v/>
      </c>
    </row>
    <row r="16493">
      <c r="F16493" s="1" t="str">
        <f t="shared" si="1"/>
        <v/>
      </c>
      <c r="G16493" s="1" t="str">
        <f t="shared" si="2"/>
        <v/>
      </c>
      <c r="J16493" s="1" t="str">
        <f t="shared" si="3"/>
        <v/>
      </c>
      <c r="K16493" s="1" t="str">
        <f t="shared" si="4"/>
        <v/>
      </c>
    </row>
    <row r="16494">
      <c r="F16494" s="1" t="str">
        <f t="shared" si="1"/>
        <v/>
      </c>
      <c r="G16494" s="1" t="str">
        <f t="shared" si="2"/>
        <v/>
      </c>
      <c r="J16494" s="1" t="str">
        <f t="shared" si="3"/>
        <v/>
      </c>
      <c r="K16494" s="1" t="str">
        <f t="shared" si="4"/>
        <v/>
      </c>
    </row>
    <row r="16495">
      <c r="F16495" s="1" t="str">
        <f t="shared" si="1"/>
        <v/>
      </c>
      <c r="G16495" s="1" t="str">
        <f t="shared" si="2"/>
        <v/>
      </c>
      <c r="J16495" s="1" t="str">
        <f t="shared" si="3"/>
        <v/>
      </c>
      <c r="K16495" s="1" t="str">
        <f t="shared" si="4"/>
        <v/>
      </c>
    </row>
    <row r="16496">
      <c r="F16496" s="1" t="str">
        <f t="shared" si="1"/>
        <v/>
      </c>
      <c r="G16496" s="1" t="str">
        <f t="shared" si="2"/>
        <v/>
      </c>
      <c r="J16496" s="1" t="str">
        <f t="shared" si="3"/>
        <v/>
      </c>
      <c r="K16496" s="1" t="str">
        <f t="shared" si="4"/>
        <v/>
      </c>
    </row>
    <row r="16497">
      <c r="F16497" s="1" t="str">
        <f t="shared" si="1"/>
        <v/>
      </c>
      <c r="G16497" s="1" t="str">
        <f t="shared" si="2"/>
        <v/>
      </c>
      <c r="J16497" s="1" t="str">
        <f t="shared" si="3"/>
        <v/>
      </c>
      <c r="K16497" s="1" t="str">
        <f t="shared" si="4"/>
        <v/>
      </c>
    </row>
    <row r="16498">
      <c r="F16498" s="1" t="str">
        <f t="shared" si="1"/>
        <v/>
      </c>
      <c r="G16498" s="1" t="str">
        <f t="shared" si="2"/>
        <v/>
      </c>
      <c r="J16498" s="1" t="str">
        <f t="shared" si="3"/>
        <v/>
      </c>
      <c r="K16498" s="1" t="str">
        <f t="shared" si="4"/>
        <v/>
      </c>
    </row>
    <row r="16499">
      <c r="F16499" s="1" t="str">
        <f t="shared" si="1"/>
        <v/>
      </c>
      <c r="G16499" s="1" t="str">
        <f t="shared" si="2"/>
        <v/>
      </c>
      <c r="J16499" s="1" t="str">
        <f t="shared" si="3"/>
        <v/>
      </c>
      <c r="K16499" s="1" t="str">
        <f t="shared" si="4"/>
        <v/>
      </c>
    </row>
    <row r="16500">
      <c r="F16500" s="1" t="str">
        <f t="shared" si="1"/>
        <v/>
      </c>
      <c r="G16500" s="1" t="str">
        <f t="shared" si="2"/>
        <v/>
      </c>
      <c r="J16500" s="1" t="str">
        <f t="shared" si="3"/>
        <v/>
      </c>
      <c r="K16500" s="1" t="str">
        <f t="shared" si="4"/>
        <v/>
      </c>
    </row>
    <row r="16501">
      <c r="F16501" s="1" t="str">
        <f t="shared" si="1"/>
        <v/>
      </c>
      <c r="G16501" s="1" t="str">
        <f t="shared" si="2"/>
        <v/>
      </c>
      <c r="J16501" s="1" t="str">
        <f t="shared" si="3"/>
        <v/>
      </c>
      <c r="K16501" s="1" t="str">
        <f t="shared" si="4"/>
        <v/>
      </c>
    </row>
    <row r="16502">
      <c r="F16502" s="1" t="str">
        <f t="shared" si="1"/>
        <v/>
      </c>
      <c r="G16502" s="1" t="str">
        <f t="shared" si="2"/>
        <v/>
      </c>
      <c r="J16502" s="1" t="str">
        <f t="shared" si="3"/>
        <v/>
      </c>
      <c r="K16502" s="1" t="str">
        <f t="shared" si="4"/>
        <v/>
      </c>
    </row>
    <row r="16503">
      <c r="F16503" s="1" t="str">
        <f t="shared" si="1"/>
        <v/>
      </c>
      <c r="G16503" s="1" t="str">
        <f t="shared" si="2"/>
        <v/>
      </c>
      <c r="J16503" s="1" t="str">
        <f t="shared" si="3"/>
        <v/>
      </c>
      <c r="K16503" s="1" t="str">
        <f t="shared" si="4"/>
        <v/>
      </c>
    </row>
    <row r="16504">
      <c r="F16504" s="1" t="str">
        <f t="shared" si="1"/>
        <v/>
      </c>
      <c r="G16504" s="1" t="str">
        <f t="shared" si="2"/>
        <v/>
      </c>
      <c r="J16504" s="1" t="str">
        <f t="shared" si="3"/>
        <v/>
      </c>
      <c r="K16504" s="1" t="str">
        <f t="shared" si="4"/>
        <v/>
      </c>
    </row>
    <row r="16505">
      <c r="F16505" s="1" t="str">
        <f t="shared" si="1"/>
        <v/>
      </c>
      <c r="G16505" s="1" t="str">
        <f t="shared" si="2"/>
        <v/>
      </c>
      <c r="J16505" s="1" t="str">
        <f t="shared" si="3"/>
        <v/>
      </c>
      <c r="K16505" s="1" t="str">
        <f t="shared" si="4"/>
        <v/>
      </c>
    </row>
    <row r="16506">
      <c r="F16506" s="1" t="str">
        <f t="shared" si="1"/>
        <v/>
      </c>
      <c r="G16506" s="1" t="str">
        <f t="shared" si="2"/>
        <v/>
      </c>
      <c r="J16506" s="1" t="str">
        <f t="shared" si="3"/>
        <v/>
      </c>
      <c r="K16506" s="1" t="str">
        <f t="shared" si="4"/>
        <v/>
      </c>
    </row>
    <row r="16507">
      <c r="F16507" s="1" t="str">
        <f t="shared" si="1"/>
        <v/>
      </c>
      <c r="G16507" s="1" t="str">
        <f t="shared" si="2"/>
        <v/>
      </c>
      <c r="J16507" s="1" t="str">
        <f t="shared" si="3"/>
        <v/>
      </c>
      <c r="K16507" s="1" t="str">
        <f t="shared" si="4"/>
        <v/>
      </c>
    </row>
    <row r="16508">
      <c r="F16508" s="1" t="str">
        <f t="shared" si="1"/>
        <v/>
      </c>
      <c r="G16508" s="1" t="str">
        <f t="shared" si="2"/>
        <v/>
      </c>
      <c r="J16508" s="1" t="str">
        <f t="shared" si="3"/>
        <v/>
      </c>
      <c r="K16508" s="1" t="str">
        <f t="shared" si="4"/>
        <v/>
      </c>
    </row>
    <row r="16509">
      <c r="F16509" s="1" t="str">
        <f t="shared" si="1"/>
        <v/>
      </c>
      <c r="G16509" s="1" t="str">
        <f t="shared" si="2"/>
        <v/>
      </c>
      <c r="J16509" s="1" t="str">
        <f t="shared" si="3"/>
        <v/>
      </c>
      <c r="K16509" s="1" t="str">
        <f t="shared" si="4"/>
        <v/>
      </c>
    </row>
    <row r="16510">
      <c r="F16510" s="1" t="str">
        <f t="shared" si="1"/>
        <v/>
      </c>
      <c r="G16510" s="1" t="str">
        <f t="shared" si="2"/>
        <v/>
      </c>
      <c r="J16510" s="1" t="str">
        <f t="shared" si="3"/>
        <v/>
      </c>
      <c r="K16510" s="1" t="str">
        <f t="shared" si="4"/>
        <v/>
      </c>
    </row>
    <row r="16511">
      <c r="F16511" s="1" t="str">
        <f t="shared" si="1"/>
        <v/>
      </c>
      <c r="G16511" s="1" t="str">
        <f t="shared" si="2"/>
        <v/>
      </c>
      <c r="J16511" s="1" t="str">
        <f t="shared" si="3"/>
        <v/>
      </c>
      <c r="K16511" s="1" t="str">
        <f t="shared" si="4"/>
        <v/>
      </c>
    </row>
    <row r="16512">
      <c r="F16512" s="1" t="str">
        <f t="shared" si="1"/>
        <v/>
      </c>
      <c r="G16512" s="1" t="str">
        <f t="shared" si="2"/>
        <v/>
      </c>
      <c r="J16512" s="1" t="str">
        <f t="shared" si="3"/>
        <v/>
      </c>
      <c r="K16512" s="1" t="str">
        <f t="shared" si="4"/>
        <v/>
      </c>
    </row>
    <row r="16513">
      <c r="F16513" s="1" t="str">
        <f t="shared" si="1"/>
        <v/>
      </c>
      <c r="G16513" s="1" t="str">
        <f t="shared" si="2"/>
        <v/>
      </c>
      <c r="J16513" s="1" t="str">
        <f t="shared" si="3"/>
        <v/>
      </c>
      <c r="K16513" s="1" t="str">
        <f t="shared" si="4"/>
        <v/>
      </c>
    </row>
    <row r="16514">
      <c r="F16514" s="1" t="str">
        <f t="shared" si="1"/>
        <v/>
      </c>
      <c r="G16514" s="1" t="str">
        <f t="shared" si="2"/>
        <v/>
      </c>
      <c r="J16514" s="1" t="str">
        <f t="shared" si="3"/>
        <v/>
      </c>
      <c r="K16514" s="1" t="str">
        <f t="shared" si="4"/>
        <v/>
      </c>
    </row>
    <row r="16515">
      <c r="F16515" s="1" t="str">
        <f t="shared" si="1"/>
        <v/>
      </c>
      <c r="G16515" s="1" t="str">
        <f t="shared" si="2"/>
        <v/>
      </c>
      <c r="J16515" s="1" t="str">
        <f t="shared" si="3"/>
        <v/>
      </c>
      <c r="K16515" s="1" t="str">
        <f t="shared" si="4"/>
        <v/>
      </c>
    </row>
    <row r="16516">
      <c r="F16516" s="1" t="str">
        <f t="shared" si="1"/>
        <v/>
      </c>
      <c r="G16516" s="1" t="str">
        <f t="shared" si="2"/>
        <v/>
      </c>
      <c r="J16516" s="1" t="str">
        <f t="shared" si="3"/>
        <v/>
      </c>
      <c r="K16516" s="1" t="str">
        <f t="shared" si="4"/>
        <v/>
      </c>
    </row>
    <row r="16517">
      <c r="F16517" s="1" t="str">
        <f t="shared" si="1"/>
        <v/>
      </c>
      <c r="G16517" s="1" t="str">
        <f t="shared" si="2"/>
        <v/>
      </c>
      <c r="J16517" s="1" t="str">
        <f t="shared" si="3"/>
        <v/>
      </c>
      <c r="K16517" s="1" t="str">
        <f t="shared" si="4"/>
        <v/>
      </c>
    </row>
    <row r="16518">
      <c r="F16518" s="1" t="str">
        <f t="shared" si="1"/>
        <v/>
      </c>
      <c r="G16518" s="1" t="str">
        <f t="shared" si="2"/>
        <v/>
      </c>
      <c r="J16518" s="1" t="str">
        <f t="shared" si="3"/>
        <v/>
      </c>
      <c r="K16518" s="1" t="str">
        <f t="shared" si="4"/>
        <v/>
      </c>
    </row>
    <row r="16519">
      <c r="F16519" s="1" t="str">
        <f t="shared" si="1"/>
        <v/>
      </c>
      <c r="G16519" s="1" t="str">
        <f t="shared" si="2"/>
        <v/>
      </c>
      <c r="J16519" s="1" t="str">
        <f t="shared" si="3"/>
        <v/>
      </c>
      <c r="K16519" s="1" t="str">
        <f t="shared" si="4"/>
        <v/>
      </c>
    </row>
    <row r="16520">
      <c r="F16520" s="1" t="str">
        <f t="shared" si="1"/>
        <v/>
      </c>
      <c r="G16520" s="1" t="str">
        <f t="shared" si="2"/>
        <v/>
      </c>
      <c r="J16520" s="1" t="str">
        <f t="shared" si="3"/>
        <v/>
      </c>
      <c r="K16520" s="1" t="str">
        <f t="shared" si="4"/>
        <v/>
      </c>
    </row>
    <row r="16521">
      <c r="F16521" s="1" t="str">
        <f t="shared" si="1"/>
        <v/>
      </c>
      <c r="G16521" s="1" t="str">
        <f t="shared" si="2"/>
        <v/>
      </c>
      <c r="J16521" s="1" t="str">
        <f t="shared" si="3"/>
        <v/>
      </c>
      <c r="K16521" s="1" t="str">
        <f t="shared" si="4"/>
        <v/>
      </c>
    </row>
    <row r="16522">
      <c r="F16522" s="1" t="str">
        <f t="shared" si="1"/>
        <v/>
      </c>
      <c r="G16522" s="1" t="str">
        <f t="shared" si="2"/>
        <v/>
      </c>
      <c r="J16522" s="1" t="str">
        <f t="shared" si="3"/>
        <v/>
      </c>
      <c r="K16522" s="1" t="str">
        <f t="shared" si="4"/>
        <v/>
      </c>
    </row>
    <row r="16523">
      <c r="F16523" s="1" t="str">
        <f t="shared" si="1"/>
        <v/>
      </c>
      <c r="G16523" s="1" t="str">
        <f t="shared" si="2"/>
        <v/>
      </c>
      <c r="J16523" s="1" t="str">
        <f t="shared" si="3"/>
        <v/>
      </c>
      <c r="K16523" s="1" t="str">
        <f t="shared" si="4"/>
        <v/>
      </c>
    </row>
    <row r="16524">
      <c r="F16524" s="1" t="str">
        <f t="shared" si="1"/>
        <v/>
      </c>
      <c r="G16524" s="1" t="str">
        <f t="shared" si="2"/>
        <v/>
      </c>
      <c r="J16524" s="1" t="str">
        <f t="shared" si="3"/>
        <v/>
      </c>
      <c r="K16524" s="1" t="str">
        <f t="shared" si="4"/>
        <v/>
      </c>
    </row>
    <row r="16525">
      <c r="F16525" s="1" t="str">
        <f t="shared" si="1"/>
        <v/>
      </c>
      <c r="G16525" s="1" t="str">
        <f t="shared" si="2"/>
        <v/>
      </c>
      <c r="J16525" s="1" t="str">
        <f t="shared" si="3"/>
        <v/>
      </c>
      <c r="K16525" s="1" t="str">
        <f t="shared" si="4"/>
        <v/>
      </c>
    </row>
    <row r="16526">
      <c r="F16526" s="1" t="str">
        <f t="shared" si="1"/>
        <v/>
      </c>
      <c r="G16526" s="1" t="str">
        <f t="shared" si="2"/>
        <v/>
      </c>
      <c r="J16526" s="1" t="str">
        <f t="shared" si="3"/>
        <v/>
      </c>
      <c r="K16526" s="1" t="str">
        <f t="shared" si="4"/>
        <v/>
      </c>
    </row>
    <row r="16527">
      <c r="F16527" s="1" t="str">
        <f t="shared" si="1"/>
        <v/>
      </c>
      <c r="G16527" s="1" t="str">
        <f t="shared" si="2"/>
        <v/>
      </c>
      <c r="J16527" s="1" t="str">
        <f t="shared" si="3"/>
        <v/>
      </c>
      <c r="K16527" s="1" t="str">
        <f t="shared" si="4"/>
        <v/>
      </c>
    </row>
    <row r="16528">
      <c r="F16528" s="1" t="str">
        <f t="shared" si="1"/>
        <v/>
      </c>
      <c r="G16528" s="1" t="str">
        <f t="shared" si="2"/>
        <v/>
      </c>
      <c r="J16528" s="1" t="str">
        <f t="shared" si="3"/>
        <v/>
      </c>
      <c r="K16528" s="1" t="str">
        <f t="shared" si="4"/>
        <v/>
      </c>
    </row>
    <row r="16529">
      <c r="F16529" s="1" t="str">
        <f t="shared" si="1"/>
        <v/>
      </c>
      <c r="G16529" s="1" t="str">
        <f t="shared" si="2"/>
        <v/>
      </c>
      <c r="J16529" s="1" t="str">
        <f t="shared" si="3"/>
        <v/>
      </c>
      <c r="K16529" s="1" t="str">
        <f t="shared" si="4"/>
        <v/>
      </c>
    </row>
    <row r="16530">
      <c r="F16530" s="1" t="str">
        <f t="shared" si="1"/>
        <v/>
      </c>
      <c r="G16530" s="1" t="str">
        <f t="shared" si="2"/>
        <v/>
      </c>
      <c r="J16530" s="1" t="str">
        <f t="shared" si="3"/>
        <v/>
      </c>
      <c r="K16530" s="1" t="str">
        <f t="shared" si="4"/>
        <v/>
      </c>
    </row>
    <row r="16531">
      <c r="F16531" s="1" t="str">
        <f t="shared" si="1"/>
        <v/>
      </c>
      <c r="G16531" s="1" t="str">
        <f t="shared" si="2"/>
        <v/>
      </c>
      <c r="J16531" s="1" t="str">
        <f t="shared" si="3"/>
        <v/>
      </c>
      <c r="K16531" s="1" t="str">
        <f t="shared" si="4"/>
        <v/>
      </c>
    </row>
    <row r="16532">
      <c r="F16532" s="1" t="str">
        <f t="shared" si="1"/>
        <v/>
      </c>
      <c r="G16532" s="1" t="str">
        <f t="shared" si="2"/>
        <v/>
      </c>
      <c r="J16532" s="1" t="str">
        <f t="shared" si="3"/>
        <v/>
      </c>
      <c r="K16532" s="1" t="str">
        <f t="shared" si="4"/>
        <v/>
      </c>
    </row>
    <row r="16533">
      <c r="F16533" s="1" t="str">
        <f t="shared" si="1"/>
        <v/>
      </c>
      <c r="G16533" s="1" t="str">
        <f t="shared" si="2"/>
        <v/>
      </c>
      <c r="J16533" s="1" t="str">
        <f t="shared" si="3"/>
        <v/>
      </c>
      <c r="K16533" s="1" t="str">
        <f t="shared" si="4"/>
        <v/>
      </c>
    </row>
    <row r="16534">
      <c r="F16534" s="1" t="str">
        <f t="shared" si="1"/>
        <v/>
      </c>
      <c r="G16534" s="1" t="str">
        <f t="shared" si="2"/>
        <v/>
      </c>
      <c r="J16534" s="1" t="str">
        <f t="shared" si="3"/>
        <v/>
      </c>
      <c r="K16534" s="1" t="str">
        <f t="shared" si="4"/>
        <v/>
      </c>
    </row>
    <row r="16535">
      <c r="F16535" s="1" t="str">
        <f t="shared" si="1"/>
        <v/>
      </c>
      <c r="G16535" s="1" t="str">
        <f t="shared" si="2"/>
        <v/>
      </c>
      <c r="J16535" s="1" t="str">
        <f t="shared" si="3"/>
        <v/>
      </c>
      <c r="K16535" s="1" t="str">
        <f t="shared" si="4"/>
        <v/>
      </c>
    </row>
    <row r="16536">
      <c r="F16536" s="1" t="str">
        <f t="shared" si="1"/>
        <v/>
      </c>
      <c r="G16536" s="1" t="str">
        <f t="shared" si="2"/>
        <v/>
      </c>
      <c r="J16536" s="1" t="str">
        <f t="shared" si="3"/>
        <v/>
      </c>
      <c r="K16536" s="1" t="str">
        <f t="shared" si="4"/>
        <v/>
      </c>
    </row>
    <row r="16537">
      <c r="F16537" s="1" t="str">
        <f t="shared" si="1"/>
        <v/>
      </c>
      <c r="G16537" s="1" t="str">
        <f t="shared" si="2"/>
        <v/>
      </c>
      <c r="J16537" s="1" t="str">
        <f t="shared" si="3"/>
        <v/>
      </c>
      <c r="K16537" s="1" t="str">
        <f t="shared" si="4"/>
        <v/>
      </c>
    </row>
    <row r="16538">
      <c r="F16538" s="1" t="str">
        <f t="shared" si="1"/>
        <v/>
      </c>
      <c r="G16538" s="1" t="str">
        <f t="shared" si="2"/>
        <v/>
      </c>
      <c r="J16538" s="1" t="str">
        <f t="shared" si="3"/>
        <v/>
      </c>
      <c r="K16538" s="1" t="str">
        <f t="shared" si="4"/>
        <v/>
      </c>
    </row>
    <row r="16539">
      <c r="F16539" s="1" t="str">
        <f t="shared" si="1"/>
        <v/>
      </c>
      <c r="G16539" s="1" t="str">
        <f t="shared" si="2"/>
        <v/>
      </c>
      <c r="J16539" s="1" t="str">
        <f t="shared" si="3"/>
        <v/>
      </c>
      <c r="K16539" s="1" t="str">
        <f t="shared" si="4"/>
        <v/>
      </c>
    </row>
    <row r="16540">
      <c r="F16540" s="1" t="str">
        <f t="shared" si="1"/>
        <v/>
      </c>
      <c r="G16540" s="1" t="str">
        <f t="shared" si="2"/>
        <v/>
      </c>
      <c r="J16540" s="1" t="str">
        <f t="shared" si="3"/>
        <v/>
      </c>
      <c r="K16540" s="1" t="str">
        <f t="shared" si="4"/>
        <v/>
      </c>
    </row>
    <row r="16541">
      <c r="F16541" s="1" t="str">
        <f t="shared" si="1"/>
        <v/>
      </c>
      <c r="G16541" s="1" t="str">
        <f t="shared" si="2"/>
        <v/>
      </c>
      <c r="J16541" s="1" t="str">
        <f t="shared" si="3"/>
        <v/>
      </c>
      <c r="K16541" s="1" t="str">
        <f t="shared" si="4"/>
        <v/>
      </c>
    </row>
    <row r="16542">
      <c r="F16542" s="1" t="str">
        <f t="shared" si="1"/>
        <v/>
      </c>
      <c r="G16542" s="1" t="str">
        <f t="shared" si="2"/>
        <v/>
      </c>
      <c r="J16542" s="1" t="str">
        <f t="shared" si="3"/>
        <v/>
      </c>
      <c r="K16542" s="1" t="str">
        <f t="shared" si="4"/>
        <v/>
      </c>
    </row>
    <row r="16543">
      <c r="F16543" s="1" t="str">
        <f t="shared" si="1"/>
        <v/>
      </c>
      <c r="G16543" s="1" t="str">
        <f t="shared" si="2"/>
        <v/>
      </c>
      <c r="J16543" s="1" t="str">
        <f t="shared" si="3"/>
        <v/>
      </c>
      <c r="K16543" s="1" t="str">
        <f t="shared" si="4"/>
        <v/>
      </c>
    </row>
    <row r="16544">
      <c r="F16544" s="1" t="str">
        <f t="shared" si="1"/>
        <v/>
      </c>
      <c r="G16544" s="1" t="str">
        <f t="shared" si="2"/>
        <v/>
      </c>
      <c r="J16544" s="1" t="str">
        <f t="shared" si="3"/>
        <v/>
      </c>
      <c r="K16544" s="1" t="str">
        <f t="shared" si="4"/>
        <v/>
      </c>
    </row>
    <row r="16545">
      <c r="F16545" s="1" t="str">
        <f t="shared" si="1"/>
        <v/>
      </c>
      <c r="G16545" s="1" t="str">
        <f t="shared" si="2"/>
        <v/>
      </c>
      <c r="J16545" s="1" t="str">
        <f t="shared" si="3"/>
        <v/>
      </c>
      <c r="K16545" s="1" t="str">
        <f t="shared" si="4"/>
        <v/>
      </c>
    </row>
    <row r="16546">
      <c r="F16546" s="1" t="str">
        <f t="shared" si="1"/>
        <v/>
      </c>
      <c r="G16546" s="1" t="str">
        <f t="shared" si="2"/>
        <v/>
      </c>
      <c r="J16546" s="1" t="str">
        <f t="shared" si="3"/>
        <v/>
      </c>
      <c r="K16546" s="1" t="str">
        <f t="shared" si="4"/>
        <v/>
      </c>
    </row>
    <row r="16547">
      <c r="F16547" s="1" t="str">
        <f t="shared" si="1"/>
        <v/>
      </c>
      <c r="G16547" s="1" t="str">
        <f t="shared" si="2"/>
        <v/>
      </c>
      <c r="J16547" s="1" t="str">
        <f t="shared" si="3"/>
        <v/>
      </c>
      <c r="K16547" s="1" t="str">
        <f t="shared" si="4"/>
        <v/>
      </c>
    </row>
    <row r="16548">
      <c r="F16548" s="1" t="str">
        <f t="shared" si="1"/>
        <v/>
      </c>
      <c r="G16548" s="1" t="str">
        <f t="shared" si="2"/>
        <v/>
      </c>
      <c r="J16548" s="1" t="str">
        <f t="shared" si="3"/>
        <v/>
      </c>
      <c r="K16548" s="1" t="str">
        <f t="shared" si="4"/>
        <v/>
      </c>
    </row>
    <row r="16549">
      <c r="F16549" s="1" t="str">
        <f t="shared" si="1"/>
        <v/>
      </c>
      <c r="G16549" s="1" t="str">
        <f t="shared" si="2"/>
        <v/>
      </c>
      <c r="J16549" s="1" t="str">
        <f t="shared" si="3"/>
        <v/>
      </c>
      <c r="K16549" s="1" t="str">
        <f t="shared" si="4"/>
        <v/>
      </c>
    </row>
    <row r="16550">
      <c r="F16550" s="1" t="str">
        <f t="shared" si="1"/>
        <v/>
      </c>
      <c r="G16550" s="1" t="str">
        <f t="shared" si="2"/>
        <v/>
      </c>
      <c r="J16550" s="1" t="str">
        <f t="shared" si="3"/>
        <v/>
      </c>
      <c r="K16550" s="1" t="str">
        <f t="shared" si="4"/>
        <v/>
      </c>
    </row>
    <row r="16551">
      <c r="F16551" s="1" t="str">
        <f t="shared" si="1"/>
        <v/>
      </c>
      <c r="G16551" s="1" t="str">
        <f t="shared" si="2"/>
        <v/>
      </c>
      <c r="J16551" s="1" t="str">
        <f t="shared" si="3"/>
        <v/>
      </c>
      <c r="K16551" s="1" t="str">
        <f t="shared" si="4"/>
        <v/>
      </c>
    </row>
    <row r="16552">
      <c r="F16552" s="1" t="str">
        <f t="shared" si="1"/>
        <v/>
      </c>
      <c r="G16552" s="1" t="str">
        <f t="shared" si="2"/>
        <v/>
      </c>
      <c r="J16552" s="1" t="str">
        <f t="shared" si="3"/>
        <v/>
      </c>
      <c r="K16552" s="1" t="str">
        <f t="shared" si="4"/>
        <v/>
      </c>
    </row>
    <row r="16553">
      <c r="F16553" s="1" t="str">
        <f t="shared" si="1"/>
        <v/>
      </c>
      <c r="G16553" s="1" t="str">
        <f t="shared" si="2"/>
        <v/>
      </c>
      <c r="J16553" s="1" t="str">
        <f t="shared" si="3"/>
        <v/>
      </c>
      <c r="K16553" s="1" t="str">
        <f t="shared" si="4"/>
        <v/>
      </c>
    </row>
    <row r="16554">
      <c r="F16554" s="1" t="str">
        <f t="shared" si="1"/>
        <v/>
      </c>
      <c r="G16554" s="1" t="str">
        <f t="shared" si="2"/>
        <v/>
      </c>
      <c r="J16554" s="1" t="str">
        <f t="shared" si="3"/>
        <v/>
      </c>
      <c r="K16554" s="1" t="str">
        <f t="shared" si="4"/>
        <v/>
      </c>
    </row>
    <row r="16555">
      <c r="F16555" s="1" t="str">
        <f t="shared" si="1"/>
        <v/>
      </c>
      <c r="G16555" s="1" t="str">
        <f t="shared" si="2"/>
        <v/>
      </c>
      <c r="J16555" s="1" t="str">
        <f t="shared" si="3"/>
        <v/>
      </c>
      <c r="K16555" s="1" t="str">
        <f t="shared" si="4"/>
        <v/>
      </c>
    </row>
    <row r="16556">
      <c r="F16556" s="1" t="str">
        <f t="shared" si="1"/>
        <v/>
      </c>
      <c r="G16556" s="1" t="str">
        <f t="shared" si="2"/>
        <v/>
      </c>
      <c r="J16556" s="1" t="str">
        <f t="shared" si="3"/>
        <v/>
      </c>
      <c r="K16556" s="1" t="str">
        <f t="shared" si="4"/>
        <v/>
      </c>
    </row>
    <row r="16557">
      <c r="F16557" s="1" t="str">
        <f t="shared" si="1"/>
        <v/>
      </c>
      <c r="G16557" s="1" t="str">
        <f t="shared" si="2"/>
        <v/>
      </c>
      <c r="J16557" s="1" t="str">
        <f t="shared" si="3"/>
        <v/>
      </c>
      <c r="K16557" s="1" t="str">
        <f t="shared" si="4"/>
        <v/>
      </c>
    </row>
    <row r="16558">
      <c r="F16558" s="1" t="str">
        <f t="shared" si="1"/>
        <v/>
      </c>
      <c r="G16558" s="1" t="str">
        <f t="shared" si="2"/>
        <v/>
      </c>
      <c r="J16558" s="1" t="str">
        <f t="shared" si="3"/>
        <v/>
      </c>
      <c r="K16558" s="1" t="str">
        <f t="shared" si="4"/>
        <v/>
      </c>
    </row>
    <row r="16559">
      <c r="F16559" s="1" t="str">
        <f t="shared" si="1"/>
        <v/>
      </c>
      <c r="G16559" s="1" t="str">
        <f t="shared" si="2"/>
        <v/>
      </c>
      <c r="J16559" s="1" t="str">
        <f t="shared" si="3"/>
        <v/>
      </c>
      <c r="K16559" s="1" t="str">
        <f t="shared" si="4"/>
        <v/>
      </c>
    </row>
    <row r="16560">
      <c r="F16560" s="1" t="str">
        <f t="shared" si="1"/>
        <v/>
      </c>
      <c r="G16560" s="1" t="str">
        <f t="shared" si="2"/>
        <v/>
      </c>
      <c r="J16560" s="1" t="str">
        <f t="shared" si="3"/>
        <v/>
      </c>
      <c r="K16560" s="1" t="str">
        <f t="shared" si="4"/>
        <v/>
      </c>
    </row>
    <row r="16561">
      <c r="F16561" s="1" t="str">
        <f t="shared" si="1"/>
        <v/>
      </c>
      <c r="G16561" s="1" t="str">
        <f t="shared" si="2"/>
        <v/>
      </c>
      <c r="J16561" s="1" t="str">
        <f t="shared" si="3"/>
        <v/>
      </c>
      <c r="K16561" s="1" t="str">
        <f t="shared" si="4"/>
        <v/>
      </c>
    </row>
    <row r="16562">
      <c r="F16562" s="1" t="str">
        <f t="shared" si="1"/>
        <v/>
      </c>
      <c r="G16562" s="1" t="str">
        <f t="shared" si="2"/>
        <v/>
      </c>
      <c r="J16562" s="1" t="str">
        <f t="shared" si="3"/>
        <v/>
      </c>
      <c r="K16562" s="1" t="str">
        <f t="shared" si="4"/>
        <v/>
      </c>
    </row>
    <row r="16563">
      <c r="F16563" s="1" t="str">
        <f t="shared" si="1"/>
        <v/>
      </c>
      <c r="G16563" s="1" t="str">
        <f t="shared" si="2"/>
        <v/>
      </c>
      <c r="J16563" s="1" t="str">
        <f t="shared" si="3"/>
        <v/>
      </c>
      <c r="K16563" s="1" t="str">
        <f t="shared" si="4"/>
        <v/>
      </c>
    </row>
    <row r="16564">
      <c r="F16564" s="1" t="str">
        <f t="shared" si="1"/>
        <v/>
      </c>
      <c r="G16564" s="1" t="str">
        <f t="shared" si="2"/>
        <v/>
      </c>
      <c r="J16564" s="1" t="str">
        <f t="shared" si="3"/>
        <v/>
      </c>
      <c r="K16564" s="1" t="str">
        <f t="shared" si="4"/>
        <v/>
      </c>
    </row>
    <row r="16565">
      <c r="F16565" s="1" t="str">
        <f t="shared" si="1"/>
        <v/>
      </c>
      <c r="G16565" s="1" t="str">
        <f t="shared" si="2"/>
        <v/>
      </c>
      <c r="J16565" s="1" t="str">
        <f t="shared" si="3"/>
        <v/>
      </c>
      <c r="K16565" s="1" t="str">
        <f t="shared" si="4"/>
        <v/>
      </c>
    </row>
    <row r="16566">
      <c r="F16566" s="1" t="str">
        <f t="shared" si="1"/>
        <v/>
      </c>
      <c r="G16566" s="1" t="str">
        <f t="shared" si="2"/>
        <v/>
      </c>
      <c r="J16566" s="1" t="str">
        <f t="shared" si="3"/>
        <v/>
      </c>
      <c r="K16566" s="1" t="str">
        <f t="shared" si="4"/>
        <v/>
      </c>
    </row>
    <row r="16567">
      <c r="F16567" s="1" t="str">
        <f t="shared" si="1"/>
        <v/>
      </c>
      <c r="G16567" s="1" t="str">
        <f t="shared" si="2"/>
        <v/>
      </c>
      <c r="J16567" s="1" t="str">
        <f t="shared" si="3"/>
        <v/>
      </c>
      <c r="K16567" s="1" t="str">
        <f t="shared" si="4"/>
        <v/>
      </c>
    </row>
    <row r="16568">
      <c r="F16568" s="1" t="str">
        <f t="shared" si="1"/>
        <v/>
      </c>
      <c r="G16568" s="1" t="str">
        <f t="shared" si="2"/>
        <v/>
      </c>
      <c r="J16568" s="1" t="str">
        <f t="shared" si="3"/>
        <v/>
      </c>
      <c r="K16568" s="1" t="str">
        <f t="shared" si="4"/>
        <v/>
      </c>
    </row>
    <row r="16569">
      <c r="F16569" s="1" t="str">
        <f t="shared" si="1"/>
        <v/>
      </c>
      <c r="G16569" s="1" t="str">
        <f t="shared" si="2"/>
        <v/>
      </c>
      <c r="J16569" s="1" t="str">
        <f t="shared" si="3"/>
        <v/>
      </c>
      <c r="K16569" s="1" t="str">
        <f t="shared" si="4"/>
        <v/>
      </c>
    </row>
    <row r="16570">
      <c r="F16570" s="1" t="str">
        <f t="shared" si="1"/>
        <v/>
      </c>
      <c r="G16570" s="1" t="str">
        <f t="shared" si="2"/>
        <v/>
      </c>
      <c r="J16570" s="1" t="str">
        <f t="shared" si="3"/>
        <v/>
      </c>
      <c r="K16570" s="1" t="str">
        <f t="shared" si="4"/>
        <v/>
      </c>
    </row>
    <row r="16571">
      <c r="F16571" s="1" t="str">
        <f t="shared" si="1"/>
        <v/>
      </c>
      <c r="G16571" s="1" t="str">
        <f t="shared" si="2"/>
        <v/>
      </c>
      <c r="J16571" s="1" t="str">
        <f t="shared" si="3"/>
        <v/>
      </c>
      <c r="K16571" s="1" t="str">
        <f t="shared" si="4"/>
        <v/>
      </c>
    </row>
    <row r="16572">
      <c r="F16572" s="1" t="str">
        <f t="shared" si="1"/>
        <v/>
      </c>
      <c r="G16572" s="1" t="str">
        <f t="shared" si="2"/>
        <v/>
      </c>
      <c r="J16572" s="1" t="str">
        <f t="shared" si="3"/>
        <v/>
      </c>
      <c r="K16572" s="1" t="str">
        <f t="shared" si="4"/>
        <v/>
      </c>
    </row>
    <row r="16573">
      <c r="F16573" s="1" t="str">
        <f t="shared" si="1"/>
        <v/>
      </c>
      <c r="G16573" s="1" t="str">
        <f t="shared" si="2"/>
        <v/>
      </c>
      <c r="J16573" s="1" t="str">
        <f t="shared" si="3"/>
        <v/>
      </c>
      <c r="K16573" s="1" t="str">
        <f t="shared" si="4"/>
        <v/>
      </c>
    </row>
    <row r="16574">
      <c r="F16574" s="1" t="str">
        <f t="shared" si="1"/>
        <v/>
      </c>
      <c r="G16574" s="1" t="str">
        <f t="shared" si="2"/>
        <v/>
      </c>
      <c r="J16574" s="1" t="str">
        <f t="shared" si="3"/>
        <v/>
      </c>
      <c r="K16574" s="1" t="str">
        <f t="shared" si="4"/>
        <v/>
      </c>
    </row>
    <row r="16575">
      <c r="F16575" s="1" t="str">
        <f t="shared" si="1"/>
        <v/>
      </c>
      <c r="G16575" s="1" t="str">
        <f t="shared" si="2"/>
        <v/>
      </c>
      <c r="J16575" s="1" t="str">
        <f t="shared" si="3"/>
        <v/>
      </c>
      <c r="K16575" s="1" t="str">
        <f t="shared" si="4"/>
        <v/>
      </c>
    </row>
    <row r="16576">
      <c r="F16576" s="1" t="str">
        <f t="shared" si="1"/>
        <v/>
      </c>
      <c r="G16576" s="1" t="str">
        <f t="shared" si="2"/>
        <v/>
      </c>
      <c r="J16576" s="1" t="str">
        <f t="shared" si="3"/>
        <v/>
      </c>
      <c r="K16576" s="1" t="str">
        <f t="shared" si="4"/>
        <v/>
      </c>
    </row>
    <row r="16577">
      <c r="F16577" s="1" t="str">
        <f t="shared" si="1"/>
        <v/>
      </c>
      <c r="G16577" s="1" t="str">
        <f t="shared" si="2"/>
        <v/>
      </c>
      <c r="J16577" s="1" t="str">
        <f t="shared" si="3"/>
        <v/>
      </c>
      <c r="K16577" s="1" t="str">
        <f t="shared" si="4"/>
        <v/>
      </c>
    </row>
    <row r="16578">
      <c r="F16578" s="1" t="str">
        <f t="shared" si="1"/>
        <v/>
      </c>
      <c r="G16578" s="1" t="str">
        <f t="shared" si="2"/>
        <v/>
      </c>
      <c r="J16578" s="1" t="str">
        <f t="shared" si="3"/>
        <v/>
      </c>
      <c r="K16578" s="1" t="str">
        <f t="shared" si="4"/>
        <v/>
      </c>
    </row>
    <row r="16579">
      <c r="F16579" s="1" t="str">
        <f t="shared" si="1"/>
        <v/>
      </c>
      <c r="G16579" s="1" t="str">
        <f t="shared" si="2"/>
        <v/>
      </c>
      <c r="J16579" s="1" t="str">
        <f t="shared" si="3"/>
        <v/>
      </c>
      <c r="K16579" s="1" t="str">
        <f t="shared" si="4"/>
        <v/>
      </c>
    </row>
    <row r="16580">
      <c r="F16580" s="1" t="str">
        <f t="shared" si="1"/>
        <v/>
      </c>
      <c r="G16580" s="1" t="str">
        <f t="shared" si="2"/>
        <v/>
      </c>
      <c r="J16580" s="1" t="str">
        <f t="shared" si="3"/>
        <v/>
      </c>
      <c r="K16580" s="1" t="str">
        <f t="shared" si="4"/>
        <v/>
      </c>
    </row>
    <row r="16581">
      <c r="F16581" s="1" t="str">
        <f t="shared" si="1"/>
        <v/>
      </c>
      <c r="G16581" s="1" t="str">
        <f t="shared" si="2"/>
        <v/>
      </c>
      <c r="J16581" s="1" t="str">
        <f t="shared" si="3"/>
        <v/>
      </c>
      <c r="K16581" s="1" t="str">
        <f t="shared" si="4"/>
        <v/>
      </c>
    </row>
    <row r="16582">
      <c r="F16582" s="1" t="str">
        <f t="shared" si="1"/>
        <v/>
      </c>
      <c r="G16582" s="1" t="str">
        <f t="shared" si="2"/>
        <v/>
      </c>
      <c r="J16582" s="1" t="str">
        <f t="shared" si="3"/>
        <v/>
      </c>
      <c r="K16582" s="1" t="str">
        <f t="shared" si="4"/>
        <v/>
      </c>
    </row>
    <row r="16583">
      <c r="F16583" s="1" t="str">
        <f t="shared" si="1"/>
        <v/>
      </c>
      <c r="G16583" s="1" t="str">
        <f t="shared" si="2"/>
        <v/>
      </c>
      <c r="J16583" s="1" t="str">
        <f t="shared" si="3"/>
        <v/>
      </c>
      <c r="K16583" s="1" t="str">
        <f t="shared" si="4"/>
        <v/>
      </c>
    </row>
    <row r="16584">
      <c r="F16584" s="1" t="str">
        <f t="shared" si="1"/>
        <v/>
      </c>
      <c r="G16584" s="1" t="str">
        <f t="shared" si="2"/>
        <v/>
      </c>
      <c r="J16584" s="1" t="str">
        <f t="shared" si="3"/>
        <v/>
      </c>
      <c r="K16584" s="1" t="str">
        <f t="shared" si="4"/>
        <v/>
      </c>
    </row>
    <row r="16585">
      <c r="F16585" s="1" t="str">
        <f t="shared" si="1"/>
        <v/>
      </c>
      <c r="G16585" s="1" t="str">
        <f t="shared" si="2"/>
        <v/>
      </c>
      <c r="J16585" s="1" t="str">
        <f t="shared" si="3"/>
        <v/>
      </c>
      <c r="K16585" s="1" t="str">
        <f t="shared" si="4"/>
        <v/>
      </c>
    </row>
    <row r="16586">
      <c r="F16586" s="1" t="str">
        <f t="shared" si="1"/>
        <v/>
      </c>
      <c r="G16586" s="1" t="str">
        <f t="shared" si="2"/>
        <v/>
      </c>
      <c r="J16586" s="1" t="str">
        <f t="shared" si="3"/>
        <v/>
      </c>
      <c r="K16586" s="1" t="str">
        <f t="shared" si="4"/>
        <v/>
      </c>
    </row>
    <row r="16587">
      <c r="F16587" s="1" t="str">
        <f t="shared" si="1"/>
        <v/>
      </c>
      <c r="G16587" s="1" t="str">
        <f t="shared" si="2"/>
        <v/>
      </c>
      <c r="J16587" s="1" t="str">
        <f t="shared" si="3"/>
        <v/>
      </c>
      <c r="K16587" s="1" t="str">
        <f t="shared" si="4"/>
        <v/>
      </c>
    </row>
    <row r="16588">
      <c r="F16588" s="1" t="str">
        <f t="shared" si="1"/>
        <v/>
      </c>
      <c r="G16588" s="1" t="str">
        <f t="shared" si="2"/>
        <v/>
      </c>
      <c r="J16588" s="1" t="str">
        <f t="shared" si="3"/>
        <v/>
      </c>
      <c r="K16588" s="1" t="str">
        <f t="shared" si="4"/>
        <v/>
      </c>
    </row>
    <row r="16589">
      <c r="F16589" s="1" t="str">
        <f t="shared" si="1"/>
        <v/>
      </c>
      <c r="G16589" s="1" t="str">
        <f t="shared" si="2"/>
        <v/>
      </c>
      <c r="J16589" s="1" t="str">
        <f t="shared" si="3"/>
        <v/>
      </c>
      <c r="K16589" s="1" t="str">
        <f t="shared" si="4"/>
        <v/>
      </c>
    </row>
    <row r="16590">
      <c r="F16590" s="1" t="str">
        <f t="shared" si="1"/>
        <v/>
      </c>
      <c r="G16590" s="1" t="str">
        <f t="shared" si="2"/>
        <v/>
      </c>
      <c r="J16590" s="1" t="str">
        <f t="shared" si="3"/>
        <v/>
      </c>
      <c r="K16590" s="1" t="str">
        <f t="shared" si="4"/>
        <v/>
      </c>
    </row>
    <row r="16591">
      <c r="F16591" s="1" t="str">
        <f t="shared" si="1"/>
        <v/>
      </c>
      <c r="G16591" s="1" t="str">
        <f t="shared" si="2"/>
        <v/>
      </c>
      <c r="J16591" s="1" t="str">
        <f t="shared" si="3"/>
        <v/>
      </c>
      <c r="K16591" s="1" t="str">
        <f t="shared" si="4"/>
        <v/>
      </c>
    </row>
    <row r="16592">
      <c r="F16592" s="1" t="str">
        <f t="shared" si="1"/>
        <v/>
      </c>
      <c r="G16592" s="1" t="str">
        <f t="shared" si="2"/>
        <v/>
      </c>
      <c r="J16592" s="1" t="str">
        <f t="shared" si="3"/>
        <v/>
      </c>
      <c r="K16592" s="1" t="str">
        <f t="shared" si="4"/>
        <v/>
      </c>
    </row>
    <row r="16593">
      <c r="F16593" s="1" t="str">
        <f t="shared" si="1"/>
        <v/>
      </c>
      <c r="G16593" s="1" t="str">
        <f t="shared" si="2"/>
        <v/>
      </c>
      <c r="J16593" s="1" t="str">
        <f t="shared" si="3"/>
        <v/>
      </c>
      <c r="K16593" s="1" t="str">
        <f t="shared" si="4"/>
        <v/>
      </c>
    </row>
    <row r="16594">
      <c r="F16594" s="1" t="str">
        <f t="shared" si="1"/>
        <v/>
      </c>
      <c r="G16594" s="1" t="str">
        <f t="shared" si="2"/>
        <v/>
      </c>
      <c r="J16594" s="1" t="str">
        <f t="shared" si="3"/>
        <v/>
      </c>
      <c r="K16594" s="1" t="str">
        <f t="shared" si="4"/>
        <v/>
      </c>
    </row>
    <row r="16595">
      <c r="F16595" s="1" t="str">
        <f t="shared" si="1"/>
        <v/>
      </c>
      <c r="G16595" s="1" t="str">
        <f t="shared" si="2"/>
        <v/>
      </c>
      <c r="J16595" s="1" t="str">
        <f t="shared" si="3"/>
        <v/>
      </c>
      <c r="K16595" s="1" t="str">
        <f t="shared" si="4"/>
        <v/>
      </c>
    </row>
    <row r="16596">
      <c r="F16596" s="1" t="str">
        <f t="shared" si="1"/>
        <v/>
      </c>
      <c r="G16596" s="1" t="str">
        <f t="shared" si="2"/>
        <v/>
      </c>
      <c r="J16596" s="1" t="str">
        <f t="shared" si="3"/>
        <v/>
      </c>
      <c r="K16596" s="1" t="str">
        <f t="shared" si="4"/>
        <v/>
      </c>
    </row>
    <row r="16597">
      <c r="F16597" s="1" t="str">
        <f t="shared" si="1"/>
        <v/>
      </c>
      <c r="G16597" s="1" t="str">
        <f t="shared" si="2"/>
        <v/>
      </c>
      <c r="J16597" s="1" t="str">
        <f t="shared" si="3"/>
        <v/>
      </c>
      <c r="K16597" s="1" t="str">
        <f t="shared" si="4"/>
        <v/>
      </c>
    </row>
    <row r="16598">
      <c r="F16598" s="1" t="str">
        <f t="shared" si="1"/>
        <v/>
      </c>
      <c r="G16598" s="1" t="str">
        <f t="shared" si="2"/>
        <v/>
      </c>
      <c r="J16598" s="1" t="str">
        <f t="shared" si="3"/>
        <v/>
      </c>
      <c r="K16598" s="1" t="str">
        <f t="shared" si="4"/>
        <v/>
      </c>
    </row>
    <row r="16599">
      <c r="F16599" s="1" t="str">
        <f t="shared" si="1"/>
        <v/>
      </c>
      <c r="G16599" s="1" t="str">
        <f t="shared" si="2"/>
        <v/>
      </c>
      <c r="J16599" s="1" t="str">
        <f t="shared" si="3"/>
        <v/>
      </c>
      <c r="K16599" s="1" t="str">
        <f t="shared" si="4"/>
        <v/>
      </c>
    </row>
    <row r="16600">
      <c r="F16600" s="1" t="str">
        <f t="shared" si="1"/>
        <v/>
      </c>
      <c r="G16600" s="1" t="str">
        <f t="shared" si="2"/>
        <v/>
      </c>
      <c r="J16600" s="1" t="str">
        <f t="shared" si="3"/>
        <v/>
      </c>
      <c r="K16600" s="1" t="str">
        <f t="shared" si="4"/>
        <v/>
      </c>
    </row>
    <row r="16601">
      <c r="F16601" s="1" t="str">
        <f t="shared" si="1"/>
        <v/>
      </c>
      <c r="G16601" s="1" t="str">
        <f t="shared" si="2"/>
        <v/>
      </c>
      <c r="J16601" s="1" t="str">
        <f t="shared" si="3"/>
        <v/>
      </c>
      <c r="K16601" s="1" t="str">
        <f t="shared" si="4"/>
        <v/>
      </c>
    </row>
    <row r="16602">
      <c r="F16602" s="1" t="str">
        <f t="shared" si="1"/>
        <v/>
      </c>
      <c r="G16602" s="1" t="str">
        <f t="shared" si="2"/>
        <v/>
      </c>
      <c r="J16602" s="1" t="str">
        <f t="shared" si="3"/>
        <v/>
      </c>
      <c r="K16602" s="1" t="str">
        <f t="shared" si="4"/>
        <v/>
      </c>
    </row>
    <row r="16603">
      <c r="F16603" s="1" t="str">
        <f t="shared" si="1"/>
        <v/>
      </c>
      <c r="G16603" s="1" t="str">
        <f t="shared" si="2"/>
        <v/>
      </c>
      <c r="J16603" s="1" t="str">
        <f t="shared" si="3"/>
        <v/>
      </c>
      <c r="K16603" s="1" t="str">
        <f t="shared" si="4"/>
        <v/>
      </c>
    </row>
    <row r="16604">
      <c r="F16604" s="1" t="str">
        <f t="shared" si="1"/>
        <v/>
      </c>
      <c r="G16604" s="1" t="str">
        <f t="shared" si="2"/>
        <v/>
      </c>
      <c r="J16604" s="1" t="str">
        <f t="shared" si="3"/>
        <v/>
      </c>
      <c r="K16604" s="1" t="str">
        <f t="shared" si="4"/>
        <v/>
      </c>
    </row>
    <row r="16605">
      <c r="F16605" s="1" t="str">
        <f t="shared" si="1"/>
        <v/>
      </c>
      <c r="G16605" s="1" t="str">
        <f t="shared" si="2"/>
        <v/>
      </c>
      <c r="J16605" s="1" t="str">
        <f t="shared" si="3"/>
        <v/>
      </c>
      <c r="K16605" s="1" t="str">
        <f t="shared" si="4"/>
        <v/>
      </c>
    </row>
    <row r="16606">
      <c r="F16606" s="1" t="str">
        <f t="shared" si="1"/>
        <v/>
      </c>
      <c r="G16606" s="1" t="str">
        <f t="shared" si="2"/>
        <v/>
      </c>
      <c r="J16606" s="1" t="str">
        <f t="shared" si="3"/>
        <v/>
      </c>
      <c r="K16606" s="1" t="str">
        <f t="shared" si="4"/>
        <v/>
      </c>
    </row>
    <row r="16607">
      <c r="F16607" s="1" t="str">
        <f t="shared" si="1"/>
        <v/>
      </c>
      <c r="G16607" s="1" t="str">
        <f t="shared" si="2"/>
        <v/>
      </c>
      <c r="J16607" s="1" t="str">
        <f t="shared" si="3"/>
        <v/>
      </c>
      <c r="K16607" s="1" t="str">
        <f t="shared" si="4"/>
        <v/>
      </c>
    </row>
    <row r="16608">
      <c r="F16608" s="1" t="str">
        <f t="shared" si="1"/>
        <v/>
      </c>
      <c r="G16608" s="1" t="str">
        <f t="shared" si="2"/>
        <v/>
      </c>
      <c r="J16608" s="1" t="str">
        <f t="shared" si="3"/>
        <v/>
      </c>
      <c r="K16608" s="1" t="str">
        <f t="shared" si="4"/>
        <v/>
      </c>
    </row>
    <row r="16609">
      <c r="F16609" s="1" t="str">
        <f t="shared" si="1"/>
        <v/>
      </c>
      <c r="G16609" s="1" t="str">
        <f t="shared" si="2"/>
        <v/>
      </c>
      <c r="J16609" s="1" t="str">
        <f t="shared" si="3"/>
        <v/>
      </c>
      <c r="K16609" s="1" t="str">
        <f t="shared" si="4"/>
        <v/>
      </c>
    </row>
    <row r="16610">
      <c r="F16610" s="1" t="str">
        <f t="shared" si="1"/>
        <v/>
      </c>
      <c r="G16610" s="1" t="str">
        <f t="shared" si="2"/>
        <v/>
      </c>
      <c r="J16610" s="1" t="str">
        <f t="shared" si="3"/>
        <v/>
      </c>
      <c r="K16610" s="1" t="str">
        <f t="shared" si="4"/>
        <v/>
      </c>
    </row>
    <row r="16611">
      <c r="F16611" s="1" t="str">
        <f t="shared" si="1"/>
        <v/>
      </c>
      <c r="G16611" s="1" t="str">
        <f t="shared" si="2"/>
        <v/>
      </c>
      <c r="J16611" s="1" t="str">
        <f t="shared" si="3"/>
        <v/>
      </c>
      <c r="K16611" s="1" t="str">
        <f t="shared" si="4"/>
        <v/>
      </c>
    </row>
    <row r="16612">
      <c r="F16612" s="1" t="str">
        <f t="shared" si="1"/>
        <v/>
      </c>
      <c r="G16612" s="1" t="str">
        <f t="shared" si="2"/>
        <v/>
      </c>
      <c r="J16612" s="1" t="str">
        <f t="shared" si="3"/>
        <v/>
      </c>
      <c r="K16612" s="1" t="str">
        <f t="shared" si="4"/>
        <v/>
      </c>
    </row>
    <row r="16613">
      <c r="F16613" s="1" t="str">
        <f t="shared" si="1"/>
        <v/>
      </c>
      <c r="G16613" s="1" t="str">
        <f t="shared" si="2"/>
        <v/>
      </c>
      <c r="J16613" s="1" t="str">
        <f t="shared" si="3"/>
        <v/>
      </c>
      <c r="K16613" s="1" t="str">
        <f t="shared" si="4"/>
        <v/>
      </c>
    </row>
    <row r="16614">
      <c r="F16614" s="1" t="str">
        <f t="shared" si="1"/>
        <v/>
      </c>
      <c r="G16614" s="1" t="str">
        <f t="shared" si="2"/>
        <v/>
      </c>
      <c r="J16614" s="1" t="str">
        <f t="shared" si="3"/>
        <v/>
      </c>
      <c r="K16614" s="1" t="str">
        <f t="shared" si="4"/>
        <v/>
      </c>
    </row>
    <row r="16615">
      <c r="F16615" s="1" t="str">
        <f t="shared" si="1"/>
        <v/>
      </c>
      <c r="G16615" s="1" t="str">
        <f t="shared" si="2"/>
        <v/>
      </c>
      <c r="J16615" s="1" t="str">
        <f t="shared" si="3"/>
        <v/>
      </c>
      <c r="K16615" s="1" t="str">
        <f t="shared" si="4"/>
        <v/>
      </c>
    </row>
    <row r="16616">
      <c r="F16616" s="1" t="str">
        <f t="shared" si="1"/>
        <v/>
      </c>
      <c r="G16616" s="1" t="str">
        <f t="shared" si="2"/>
        <v/>
      </c>
      <c r="J16616" s="1" t="str">
        <f t="shared" si="3"/>
        <v/>
      </c>
      <c r="K16616" s="1" t="str">
        <f t="shared" si="4"/>
        <v/>
      </c>
    </row>
    <row r="16617">
      <c r="F16617" s="1" t="str">
        <f t="shared" si="1"/>
        <v/>
      </c>
      <c r="G16617" s="1" t="str">
        <f t="shared" si="2"/>
        <v/>
      </c>
      <c r="J16617" s="1" t="str">
        <f t="shared" si="3"/>
        <v/>
      </c>
      <c r="K16617" s="1" t="str">
        <f t="shared" si="4"/>
        <v/>
      </c>
    </row>
    <row r="16618">
      <c r="F16618" s="1" t="str">
        <f t="shared" si="1"/>
        <v/>
      </c>
      <c r="G16618" s="1" t="str">
        <f t="shared" si="2"/>
        <v/>
      </c>
      <c r="J16618" s="1" t="str">
        <f t="shared" si="3"/>
        <v/>
      </c>
      <c r="K16618" s="1" t="str">
        <f t="shared" si="4"/>
        <v/>
      </c>
    </row>
    <row r="16619">
      <c r="F16619" s="1" t="str">
        <f t="shared" si="1"/>
        <v/>
      </c>
      <c r="G16619" s="1" t="str">
        <f t="shared" si="2"/>
        <v/>
      </c>
      <c r="J16619" s="1" t="str">
        <f t="shared" si="3"/>
        <v/>
      </c>
      <c r="K16619" s="1" t="str">
        <f t="shared" si="4"/>
        <v/>
      </c>
    </row>
    <row r="16620">
      <c r="F16620" s="1" t="str">
        <f t="shared" si="1"/>
        <v/>
      </c>
      <c r="G16620" s="1" t="str">
        <f t="shared" si="2"/>
        <v/>
      </c>
      <c r="J16620" s="1" t="str">
        <f t="shared" si="3"/>
        <v/>
      </c>
      <c r="K16620" s="1" t="str">
        <f t="shared" si="4"/>
        <v/>
      </c>
    </row>
    <row r="16621">
      <c r="F16621" s="1" t="str">
        <f t="shared" si="1"/>
        <v/>
      </c>
      <c r="G16621" s="1" t="str">
        <f t="shared" si="2"/>
        <v/>
      </c>
      <c r="J16621" s="1" t="str">
        <f t="shared" si="3"/>
        <v/>
      </c>
      <c r="K16621" s="1" t="str">
        <f t="shared" si="4"/>
        <v/>
      </c>
    </row>
    <row r="16622">
      <c r="F16622" s="1" t="str">
        <f t="shared" si="1"/>
        <v/>
      </c>
      <c r="G16622" s="1" t="str">
        <f t="shared" si="2"/>
        <v/>
      </c>
      <c r="J16622" s="1" t="str">
        <f t="shared" si="3"/>
        <v/>
      </c>
      <c r="K16622" s="1" t="str">
        <f t="shared" si="4"/>
        <v/>
      </c>
    </row>
    <row r="16623">
      <c r="F16623" s="1" t="str">
        <f t="shared" si="1"/>
        <v/>
      </c>
      <c r="G16623" s="1" t="str">
        <f t="shared" si="2"/>
        <v/>
      </c>
      <c r="J16623" s="1" t="str">
        <f t="shared" si="3"/>
        <v/>
      </c>
      <c r="K16623" s="1" t="str">
        <f t="shared" si="4"/>
        <v/>
      </c>
    </row>
    <row r="16624">
      <c r="F16624" s="1" t="str">
        <f t="shared" si="1"/>
        <v/>
      </c>
      <c r="G16624" s="1" t="str">
        <f t="shared" si="2"/>
        <v/>
      </c>
      <c r="J16624" s="1" t="str">
        <f t="shared" si="3"/>
        <v/>
      </c>
      <c r="K16624" s="1" t="str">
        <f t="shared" si="4"/>
        <v/>
      </c>
    </row>
    <row r="16625">
      <c r="F16625" s="1" t="str">
        <f t="shared" si="1"/>
        <v/>
      </c>
      <c r="G16625" s="1" t="str">
        <f t="shared" si="2"/>
        <v/>
      </c>
      <c r="J16625" s="1" t="str">
        <f t="shared" si="3"/>
        <v/>
      </c>
      <c r="K16625" s="1" t="str">
        <f t="shared" si="4"/>
        <v/>
      </c>
    </row>
    <row r="16626">
      <c r="F16626" s="1" t="str">
        <f t="shared" si="1"/>
        <v/>
      </c>
      <c r="G16626" s="1" t="str">
        <f t="shared" si="2"/>
        <v/>
      </c>
      <c r="J16626" s="1" t="str">
        <f t="shared" si="3"/>
        <v/>
      </c>
      <c r="K16626" s="1" t="str">
        <f t="shared" si="4"/>
        <v/>
      </c>
    </row>
    <row r="16627">
      <c r="F16627" s="1" t="str">
        <f t="shared" si="1"/>
        <v/>
      </c>
      <c r="G16627" s="1" t="str">
        <f t="shared" si="2"/>
        <v/>
      </c>
      <c r="J16627" s="1" t="str">
        <f t="shared" si="3"/>
        <v/>
      </c>
      <c r="K16627" s="1" t="str">
        <f t="shared" si="4"/>
        <v/>
      </c>
    </row>
    <row r="16628">
      <c r="F16628" s="1" t="str">
        <f t="shared" si="1"/>
        <v/>
      </c>
      <c r="G16628" s="1" t="str">
        <f t="shared" si="2"/>
        <v/>
      </c>
      <c r="J16628" s="1" t="str">
        <f t="shared" si="3"/>
        <v/>
      </c>
      <c r="K16628" s="1" t="str">
        <f t="shared" si="4"/>
        <v/>
      </c>
    </row>
    <row r="16629">
      <c r="F16629" s="1" t="str">
        <f t="shared" si="1"/>
        <v/>
      </c>
      <c r="G16629" s="1" t="str">
        <f t="shared" si="2"/>
        <v/>
      </c>
      <c r="J16629" s="1" t="str">
        <f t="shared" si="3"/>
        <v/>
      </c>
      <c r="K16629" s="1" t="str">
        <f t="shared" si="4"/>
        <v/>
      </c>
    </row>
    <row r="16630">
      <c r="F16630" s="1" t="str">
        <f t="shared" si="1"/>
        <v/>
      </c>
      <c r="G16630" s="1" t="str">
        <f t="shared" si="2"/>
        <v/>
      </c>
      <c r="J16630" s="1" t="str">
        <f t="shared" si="3"/>
        <v/>
      </c>
      <c r="K16630" s="1" t="str">
        <f t="shared" si="4"/>
        <v/>
      </c>
    </row>
    <row r="16631">
      <c r="F16631" s="1" t="str">
        <f t="shared" si="1"/>
        <v/>
      </c>
      <c r="G16631" s="1" t="str">
        <f t="shared" si="2"/>
        <v/>
      </c>
      <c r="J16631" s="1" t="str">
        <f t="shared" si="3"/>
        <v/>
      </c>
      <c r="K16631" s="1" t="str">
        <f t="shared" si="4"/>
        <v/>
      </c>
    </row>
    <row r="16632">
      <c r="F16632" s="1" t="str">
        <f t="shared" si="1"/>
        <v/>
      </c>
      <c r="G16632" s="1" t="str">
        <f t="shared" si="2"/>
        <v/>
      </c>
      <c r="J16632" s="1" t="str">
        <f t="shared" si="3"/>
        <v/>
      </c>
      <c r="K16632" s="1" t="str">
        <f t="shared" si="4"/>
        <v/>
      </c>
    </row>
    <row r="16633">
      <c r="F16633" s="1" t="str">
        <f t="shared" si="1"/>
        <v/>
      </c>
      <c r="G16633" s="1" t="str">
        <f t="shared" si="2"/>
        <v/>
      </c>
      <c r="J16633" s="1" t="str">
        <f t="shared" si="3"/>
        <v/>
      </c>
      <c r="K16633" s="1" t="str">
        <f t="shared" si="4"/>
        <v/>
      </c>
    </row>
    <row r="16634">
      <c r="F16634" s="1" t="str">
        <f t="shared" si="1"/>
        <v/>
      </c>
      <c r="G16634" s="1" t="str">
        <f t="shared" si="2"/>
        <v/>
      </c>
      <c r="J16634" s="1" t="str">
        <f t="shared" si="3"/>
        <v/>
      </c>
      <c r="K16634" s="1" t="str">
        <f t="shared" si="4"/>
        <v/>
      </c>
    </row>
    <row r="16635">
      <c r="F16635" s="1" t="str">
        <f t="shared" si="1"/>
        <v/>
      </c>
      <c r="G16635" s="1" t="str">
        <f t="shared" si="2"/>
        <v/>
      </c>
      <c r="J16635" s="1" t="str">
        <f t="shared" si="3"/>
        <v/>
      </c>
      <c r="K16635" s="1" t="str">
        <f t="shared" si="4"/>
        <v/>
      </c>
    </row>
    <row r="16636">
      <c r="F16636" s="1" t="str">
        <f t="shared" si="1"/>
        <v/>
      </c>
      <c r="G16636" s="1" t="str">
        <f t="shared" si="2"/>
        <v/>
      </c>
      <c r="J16636" s="1" t="str">
        <f t="shared" si="3"/>
        <v/>
      </c>
      <c r="K16636" s="1" t="str">
        <f t="shared" si="4"/>
        <v/>
      </c>
    </row>
    <row r="16637">
      <c r="F16637" s="1" t="str">
        <f t="shared" si="1"/>
        <v/>
      </c>
      <c r="G16637" s="1" t="str">
        <f t="shared" si="2"/>
        <v/>
      </c>
      <c r="J16637" s="1" t="str">
        <f t="shared" si="3"/>
        <v/>
      </c>
      <c r="K16637" s="1" t="str">
        <f t="shared" si="4"/>
        <v/>
      </c>
    </row>
    <row r="16638">
      <c r="F16638" s="1" t="str">
        <f t="shared" si="1"/>
        <v/>
      </c>
      <c r="G16638" s="1" t="str">
        <f t="shared" si="2"/>
        <v/>
      </c>
      <c r="J16638" s="1" t="str">
        <f t="shared" si="3"/>
        <v/>
      </c>
      <c r="K16638" s="1" t="str">
        <f t="shared" si="4"/>
        <v/>
      </c>
    </row>
    <row r="16639">
      <c r="F16639" s="1" t="str">
        <f t="shared" si="1"/>
        <v/>
      </c>
      <c r="G16639" s="1" t="str">
        <f t="shared" si="2"/>
        <v/>
      </c>
      <c r="J16639" s="1" t="str">
        <f t="shared" si="3"/>
        <v/>
      </c>
      <c r="K16639" s="1" t="str">
        <f t="shared" si="4"/>
        <v/>
      </c>
    </row>
    <row r="16640">
      <c r="F16640" s="1" t="str">
        <f t="shared" si="1"/>
        <v/>
      </c>
      <c r="G16640" s="1" t="str">
        <f t="shared" si="2"/>
        <v/>
      </c>
      <c r="J16640" s="1" t="str">
        <f t="shared" si="3"/>
        <v/>
      </c>
      <c r="K16640" s="1" t="str">
        <f t="shared" si="4"/>
        <v/>
      </c>
    </row>
    <row r="16641">
      <c r="F16641" s="1" t="str">
        <f t="shared" si="1"/>
        <v/>
      </c>
      <c r="G16641" s="1" t="str">
        <f t="shared" si="2"/>
        <v/>
      </c>
      <c r="J16641" s="1" t="str">
        <f t="shared" si="3"/>
        <v/>
      </c>
      <c r="K16641" s="1" t="str">
        <f t="shared" si="4"/>
        <v/>
      </c>
    </row>
    <row r="16642">
      <c r="F16642" s="1" t="str">
        <f t="shared" si="1"/>
        <v/>
      </c>
      <c r="G16642" s="1" t="str">
        <f t="shared" si="2"/>
        <v/>
      </c>
      <c r="J16642" s="1" t="str">
        <f t="shared" si="3"/>
        <v/>
      </c>
      <c r="K16642" s="1" t="str">
        <f t="shared" si="4"/>
        <v/>
      </c>
    </row>
    <row r="16643">
      <c r="F16643" s="1" t="str">
        <f t="shared" si="1"/>
        <v/>
      </c>
      <c r="G16643" s="1" t="str">
        <f t="shared" si="2"/>
        <v/>
      </c>
      <c r="J16643" s="1" t="str">
        <f t="shared" si="3"/>
        <v/>
      </c>
      <c r="K16643" s="1" t="str">
        <f t="shared" si="4"/>
        <v/>
      </c>
    </row>
    <row r="16644">
      <c r="F16644" s="1" t="str">
        <f t="shared" si="1"/>
        <v/>
      </c>
      <c r="G16644" s="1" t="str">
        <f t="shared" si="2"/>
        <v/>
      </c>
      <c r="J16644" s="1" t="str">
        <f t="shared" si="3"/>
        <v/>
      </c>
      <c r="K16644" s="1" t="str">
        <f t="shared" si="4"/>
        <v/>
      </c>
    </row>
    <row r="16645">
      <c r="F16645" s="1" t="str">
        <f t="shared" si="1"/>
        <v/>
      </c>
      <c r="G16645" s="1" t="str">
        <f t="shared" si="2"/>
        <v/>
      </c>
      <c r="J16645" s="1" t="str">
        <f t="shared" si="3"/>
        <v/>
      </c>
      <c r="K16645" s="1" t="str">
        <f t="shared" si="4"/>
        <v/>
      </c>
    </row>
    <row r="16646">
      <c r="F16646" s="1" t="str">
        <f t="shared" si="1"/>
        <v/>
      </c>
      <c r="G16646" s="1" t="str">
        <f t="shared" si="2"/>
        <v/>
      </c>
      <c r="J16646" s="1" t="str">
        <f t="shared" si="3"/>
        <v/>
      </c>
      <c r="K16646" s="1" t="str">
        <f t="shared" si="4"/>
        <v/>
      </c>
    </row>
    <row r="16647">
      <c r="F16647" s="1" t="str">
        <f t="shared" si="1"/>
        <v/>
      </c>
      <c r="G16647" s="1" t="str">
        <f t="shared" si="2"/>
        <v/>
      </c>
      <c r="J16647" s="1" t="str">
        <f t="shared" si="3"/>
        <v/>
      </c>
      <c r="K16647" s="1" t="str">
        <f t="shared" si="4"/>
        <v/>
      </c>
    </row>
    <row r="16648">
      <c r="F16648" s="1" t="str">
        <f t="shared" si="1"/>
        <v/>
      </c>
      <c r="G16648" s="1" t="str">
        <f t="shared" si="2"/>
        <v/>
      </c>
      <c r="J16648" s="1" t="str">
        <f t="shared" si="3"/>
        <v/>
      </c>
      <c r="K16648" s="1" t="str">
        <f t="shared" si="4"/>
        <v/>
      </c>
    </row>
    <row r="16649">
      <c r="F16649" s="1" t="str">
        <f t="shared" si="1"/>
        <v/>
      </c>
      <c r="G16649" s="1" t="str">
        <f t="shared" si="2"/>
        <v/>
      </c>
      <c r="J16649" s="1" t="str">
        <f t="shared" si="3"/>
        <v/>
      </c>
      <c r="K16649" s="1" t="str">
        <f t="shared" si="4"/>
        <v/>
      </c>
    </row>
    <row r="16650">
      <c r="F16650" s="1" t="str">
        <f t="shared" si="1"/>
        <v/>
      </c>
      <c r="G16650" s="1" t="str">
        <f t="shared" si="2"/>
        <v/>
      </c>
      <c r="J16650" s="1" t="str">
        <f t="shared" si="3"/>
        <v/>
      </c>
      <c r="K16650" s="1" t="str">
        <f t="shared" si="4"/>
        <v/>
      </c>
    </row>
    <row r="16651">
      <c r="F16651" s="1" t="str">
        <f t="shared" si="1"/>
        <v/>
      </c>
      <c r="G16651" s="1" t="str">
        <f t="shared" si="2"/>
        <v/>
      </c>
      <c r="J16651" s="1" t="str">
        <f t="shared" si="3"/>
        <v/>
      </c>
      <c r="K16651" s="1" t="str">
        <f t="shared" si="4"/>
        <v/>
      </c>
    </row>
    <row r="16652">
      <c r="F16652" s="1" t="str">
        <f t="shared" si="1"/>
        <v/>
      </c>
      <c r="G16652" s="1" t="str">
        <f t="shared" si="2"/>
        <v/>
      </c>
      <c r="J16652" s="1" t="str">
        <f t="shared" si="3"/>
        <v/>
      </c>
      <c r="K16652" s="1" t="str">
        <f t="shared" si="4"/>
        <v/>
      </c>
    </row>
    <row r="16653">
      <c r="F16653" s="1" t="str">
        <f t="shared" si="1"/>
        <v/>
      </c>
      <c r="G16653" s="1" t="str">
        <f t="shared" si="2"/>
        <v/>
      </c>
      <c r="J16653" s="1" t="str">
        <f t="shared" si="3"/>
        <v/>
      </c>
      <c r="K16653" s="1" t="str">
        <f t="shared" si="4"/>
        <v/>
      </c>
    </row>
    <row r="16654">
      <c r="F16654" s="1" t="str">
        <f t="shared" si="1"/>
        <v/>
      </c>
      <c r="G16654" s="1" t="str">
        <f t="shared" si="2"/>
        <v/>
      </c>
      <c r="J16654" s="1" t="str">
        <f t="shared" si="3"/>
        <v/>
      </c>
      <c r="K16654" s="1" t="str">
        <f t="shared" si="4"/>
        <v/>
      </c>
    </row>
    <row r="16655">
      <c r="F16655" s="1" t="str">
        <f t="shared" si="1"/>
        <v/>
      </c>
      <c r="G16655" s="1" t="str">
        <f t="shared" si="2"/>
        <v/>
      </c>
      <c r="J16655" s="1" t="str">
        <f t="shared" si="3"/>
        <v/>
      </c>
      <c r="K16655" s="1" t="str">
        <f t="shared" si="4"/>
        <v/>
      </c>
    </row>
    <row r="16656">
      <c r="F16656" s="1" t="str">
        <f t="shared" si="1"/>
        <v/>
      </c>
      <c r="G16656" s="1" t="str">
        <f t="shared" si="2"/>
        <v/>
      </c>
      <c r="J16656" s="1" t="str">
        <f t="shared" si="3"/>
        <v/>
      </c>
      <c r="K16656" s="1" t="str">
        <f t="shared" si="4"/>
        <v/>
      </c>
    </row>
    <row r="16657">
      <c r="F16657" s="1" t="str">
        <f t="shared" si="1"/>
        <v/>
      </c>
      <c r="G16657" s="1" t="str">
        <f t="shared" si="2"/>
        <v/>
      </c>
      <c r="J16657" s="1" t="str">
        <f t="shared" si="3"/>
        <v/>
      </c>
      <c r="K16657" s="1" t="str">
        <f t="shared" si="4"/>
        <v/>
      </c>
    </row>
    <row r="16658">
      <c r="F16658" s="1" t="str">
        <f t="shared" si="1"/>
        <v/>
      </c>
      <c r="G16658" s="1" t="str">
        <f t="shared" si="2"/>
        <v/>
      </c>
      <c r="J16658" s="1" t="str">
        <f t="shared" si="3"/>
        <v/>
      </c>
      <c r="K16658" s="1" t="str">
        <f t="shared" si="4"/>
        <v/>
      </c>
    </row>
    <row r="16659">
      <c r="F16659" s="1" t="str">
        <f t="shared" si="1"/>
        <v/>
      </c>
      <c r="G16659" s="1" t="str">
        <f t="shared" si="2"/>
        <v/>
      </c>
      <c r="J16659" s="1" t="str">
        <f t="shared" si="3"/>
        <v/>
      </c>
      <c r="K16659" s="1" t="str">
        <f t="shared" si="4"/>
        <v/>
      </c>
    </row>
    <row r="16660">
      <c r="F16660" s="1" t="str">
        <f t="shared" si="1"/>
        <v/>
      </c>
      <c r="G16660" s="1" t="str">
        <f t="shared" si="2"/>
        <v/>
      </c>
      <c r="J16660" s="1" t="str">
        <f t="shared" si="3"/>
        <v/>
      </c>
      <c r="K16660" s="1" t="str">
        <f t="shared" si="4"/>
        <v/>
      </c>
    </row>
    <row r="16661">
      <c r="F16661" s="1" t="str">
        <f t="shared" si="1"/>
        <v/>
      </c>
      <c r="G16661" s="1" t="str">
        <f t="shared" si="2"/>
        <v/>
      </c>
      <c r="J16661" s="1" t="str">
        <f t="shared" si="3"/>
        <v/>
      </c>
      <c r="K16661" s="1" t="str">
        <f t="shared" si="4"/>
        <v/>
      </c>
    </row>
    <row r="16662">
      <c r="F16662" s="1" t="str">
        <f t="shared" si="1"/>
        <v/>
      </c>
      <c r="G16662" s="1" t="str">
        <f t="shared" si="2"/>
        <v/>
      </c>
      <c r="J16662" s="1" t="str">
        <f t="shared" si="3"/>
        <v/>
      </c>
      <c r="K16662" s="1" t="str">
        <f t="shared" si="4"/>
        <v/>
      </c>
    </row>
    <row r="16663">
      <c r="F16663" s="1" t="str">
        <f t="shared" si="1"/>
        <v/>
      </c>
      <c r="G16663" s="1" t="str">
        <f t="shared" si="2"/>
        <v/>
      </c>
      <c r="J16663" s="1" t="str">
        <f t="shared" si="3"/>
        <v/>
      </c>
      <c r="K16663" s="1" t="str">
        <f t="shared" si="4"/>
        <v/>
      </c>
    </row>
    <row r="16664">
      <c r="F16664" s="1" t="str">
        <f t="shared" si="1"/>
        <v/>
      </c>
      <c r="G16664" s="1" t="str">
        <f t="shared" si="2"/>
        <v/>
      </c>
      <c r="J16664" s="1" t="str">
        <f t="shared" si="3"/>
        <v/>
      </c>
      <c r="K16664" s="1" t="str">
        <f t="shared" si="4"/>
        <v/>
      </c>
    </row>
    <row r="16665">
      <c r="F16665" s="1" t="str">
        <f t="shared" si="1"/>
        <v/>
      </c>
      <c r="G16665" s="1" t="str">
        <f t="shared" si="2"/>
        <v/>
      </c>
      <c r="J16665" s="1" t="str">
        <f t="shared" si="3"/>
        <v/>
      </c>
      <c r="K16665" s="1" t="str">
        <f t="shared" si="4"/>
        <v/>
      </c>
    </row>
    <row r="16666">
      <c r="F16666" s="1" t="str">
        <f t="shared" si="1"/>
        <v/>
      </c>
      <c r="G16666" s="1" t="str">
        <f t="shared" si="2"/>
        <v/>
      </c>
      <c r="J16666" s="1" t="str">
        <f t="shared" si="3"/>
        <v/>
      </c>
      <c r="K16666" s="1" t="str">
        <f t="shared" si="4"/>
        <v/>
      </c>
    </row>
    <row r="16667">
      <c r="F16667" s="1" t="str">
        <f t="shared" si="1"/>
        <v/>
      </c>
      <c r="G16667" s="1" t="str">
        <f t="shared" si="2"/>
        <v/>
      </c>
      <c r="J16667" s="1" t="str">
        <f t="shared" si="3"/>
        <v/>
      </c>
      <c r="K16667" s="1" t="str">
        <f t="shared" si="4"/>
        <v/>
      </c>
    </row>
    <row r="16668">
      <c r="F16668" s="1" t="str">
        <f t="shared" si="1"/>
        <v/>
      </c>
      <c r="G16668" s="1" t="str">
        <f t="shared" si="2"/>
        <v/>
      </c>
      <c r="J16668" s="1" t="str">
        <f t="shared" si="3"/>
        <v/>
      </c>
      <c r="K16668" s="1" t="str">
        <f t="shared" si="4"/>
        <v/>
      </c>
    </row>
    <row r="16669">
      <c r="F16669" s="1" t="str">
        <f t="shared" si="1"/>
        <v/>
      </c>
      <c r="G16669" s="1" t="str">
        <f t="shared" si="2"/>
        <v/>
      </c>
      <c r="J16669" s="1" t="str">
        <f t="shared" si="3"/>
        <v/>
      </c>
      <c r="K16669" s="1" t="str">
        <f t="shared" si="4"/>
        <v/>
      </c>
    </row>
    <row r="16670">
      <c r="F16670" s="1" t="str">
        <f t="shared" si="1"/>
        <v/>
      </c>
      <c r="G16670" s="1" t="str">
        <f t="shared" si="2"/>
        <v/>
      </c>
      <c r="J16670" s="1" t="str">
        <f t="shared" si="3"/>
        <v/>
      </c>
      <c r="K16670" s="1" t="str">
        <f t="shared" si="4"/>
        <v/>
      </c>
    </row>
    <row r="16671">
      <c r="F16671" s="1" t="str">
        <f t="shared" si="1"/>
        <v/>
      </c>
      <c r="G16671" s="1" t="str">
        <f t="shared" si="2"/>
        <v/>
      </c>
      <c r="J16671" s="1" t="str">
        <f t="shared" si="3"/>
        <v/>
      </c>
      <c r="K16671" s="1" t="str">
        <f t="shared" si="4"/>
        <v/>
      </c>
    </row>
    <row r="16672">
      <c r="F16672" s="1" t="str">
        <f t="shared" si="1"/>
        <v/>
      </c>
      <c r="G16672" s="1" t="str">
        <f t="shared" si="2"/>
        <v/>
      </c>
      <c r="J16672" s="1" t="str">
        <f t="shared" si="3"/>
        <v/>
      </c>
      <c r="K16672" s="1" t="str">
        <f t="shared" si="4"/>
        <v/>
      </c>
    </row>
    <row r="16673">
      <c r="F16673" s="1" t="str">
        <f t="shared" si="1"/>
        <v/>
      </c>
      <c r="G16673" s="1" t="str">
        <f t="shared" si="2"/>
        <v/>
      </c>
      <c r="J16673" s="1" t="str">
        <f t="shared" si="3"/>
        <v/>
      </c>
      <c r="K16673" s="1" t="str">
        <f t="shared" si="4"/>
        <v/>
      </c>
    </row>
    <row r="16674">
      <c r="F16674" s="1" t="str">
        <f t="shared" si="1"/>
        <v/>
      </c>
      <c r="G16674" s="1" t="str">
        <f t="shared" si="2"/>
        <v/>
      </c>
      <c r="J16674" s="1" t="str">
        <f t="shared" si="3"/>
        <v/>
      </c>
      <c r="K16674" s="1" t="str">
        <f t="shared" si="4"/>
        <v/>
      </c>
    </row>
    <row r="16675">
      <c r="F16675" s="1" t="str">
        <f t="shared" si="1"/>
        <v/>
      </c>
      <c r="G16675" s="1" t="str">
        <f t="shared" si="2"/>
        <v/>
      </c>
      <c r="J16675" s="1" t="str">
        <f t="shared" si="3"/>
        <v/>
      </c>
      <c r="K16675" s="1" t="str">
        <f t="shared" si="4"/>
        <v/>
      </c>
    </row>
    <row r="16676">
      <c r="F16676" s="1" t="str">
        <f t="shared" si="1"/>
        <v/>
      </c>
      <c r="G16676" s="1" t="str">
        <f t="shared" si="2"/>
        <v/>
      </c>
      <c r="J16676" s="1" t="str">
        <f t="shared" si="3"/>
        <v/>
      </c>
      <c r="K16676" s="1" t="str">
        <f t="shared" si="4"/>
        <v/>
      </c>
    </row>
    <row r="16677">
      <c r="F16677" s="1" t="str">
        <f t="shared" si="1"/>
        <v/>
      </c>
      <c r="G16677" s="1" t="str">
        <f t="shared" si="2"/>
        <v/>
      </c>
      <c r="J16677" s="1" t="str">
        <f t="shared" si="3"/>
        <v/>
      </c>
      <c r="K16677" s="1" t="str">
        <f t="shared" si="4"/>
        <v/>
      </c>
    </row>
    <row r="16678">
      <c r="F16678" s="1" t="str">
        <f t="shared" si="1"/>
        <v/>
      </c>
      <c r="G16678" s="1" t="str">
        <f t="shared" si="2"/>
        <v/>
      </c>
      <c r="J16678" s="1" t="str">
        <f t="shared" si="3"/>
        <v/>
      </c>
      <c r="K16678" s="1" t="str">
        <f t="shared" si="4"/>
        <v/>
      </c>
    </row>
    <row r="16679">
      <c r="F16679" s="1" t="str">
        <f t="shared" si="1"/>
        <v/>
      </c>
      <c r="G16679" s="1" t="str">
        <f t="shared" si="2"/>
        <v/>
      </c>
      <c r="J16679" s="1" t="str">
        <f t="shared" si="3"/>
        <v/>
      </c>
      <c r="K16679" s="1" t="str">
        <f t="shared" si="4"/>
        <v/>
      </c>
    </row>
    <row r="16680">
      <c r="F16680" s="1" t="str">
        <f t="shared" si="1"/>
        <v/>
      </c>
      <c r="G16680" s="1" t="str">
        <f t="shared" si="2"/>
        <v/>
      </c>
      <c r="J16680" s="1" t="str">
        <f t="shared" si="3"/>
        <v/>
      </c>
      <c r="K16680" s="1" t="str">
        <f t="shared" si="4"/>
        <v/>
      </c>
    </row>
    <row r="16681">
      <c r="F16681" s="1" t="str">
        <f t="shared" si="1"/>
        <v/>
      </c>
      <c r="G16681" s="1" t="str">
        <f t="shared" si="2"/>
        <v/>
      </c>
      <c r="J16681" s="1" t="str">
        <f t="shared" si="3"/>
        <v/>
      </c>
      <c r="K16681" s="1" t="str">
        <f t="shared" si="4"/>
        <v/>
      </c>
    </row>
    <row r="16682">
      <c r="F16682" s="1" t="str">
        <f t="shared" si="1"/>
        <v/>
      </c>
      <c r="G16682" s="1" t="str">
        <f t="shared" si="2"/>
        <v/>
      </c>
      <c r="J16682" s="1" t="str">
        <f t="shared" si="3"/>
        <v/>
      </c>
      <c r="K16682" s="1" t="str">
        <f t="shared" si="4"/>
        <v/>
      </c>
    </row>
    <row r="16683">
      <c r="F16683" s="1" t="str">
        <f t="shared" si="1"/>
        <v/>
      </c>
      <c r="G16683" s="1" t="str">
        <f t="shared" si="2"/>
        <v/>
      </c>
      <c r="J16683" s="1" t="str">
        <f t="shared" si="3"/>
        <v/>
      </c>
      <c r="K16683" s="1" t="str">
        <f t="shared" si="4"/>
        <v/>
      </c>
    </row>
    <row r="16684">
      <c r="F16684" s="1" t="str">
        <f t="shared" si="1"/>
        <v/>
      </c>
      <c r="G16684" s="1" t="str">
        <f t="shared" si="2"/>
        <v/>
      </c>
      <c r="J16684" s="1" t="str">
        <f t="shared" si="3"/>
        <v/>
      </c>
      <c r="K16684" s="1" t="str">
        <f t="shared" si="4"/>
        <v/>
      </c>
    </row>
    <row r="16685">
      <c r="F16685" s="1" t="str">
        <f t="shared" si="1"/>
        <v/>
      </c>
      <c r="G16685" s="1" t="str">
        <f t="shared" si="2"/>
        <v/>
      </c>
      <c r="J16685" s="1" t="str">
        <f t="shared" si="3"/>
        <v/>
      </c>
      <c r="K16685" s="1" t="str">
        <f t="shared" si="4"/>
        <v/>
      </c>
    </row>
    <row r="16686">
      <c r="F16686" s="1" t="str">
        <f t="shared" si="1"/>
        <v/>
      </c>
      <c r="G16686" s="1" t="str">
        <f t="shared" si="2"/>
        <v/>
      </c>
      <c r="J16686" s="1" t="str">
        <f t="shared" si="3"/>
        <v/>
      </c>
      <c r="K16686" s="1" t="str">
        <f t="shared" si="4"/>
        <v/>
      </c>
    </row>
    <row r="16687">
      <c r="F16687" s="1" t="str">
        <f t="shared" si="1"/>
        <v/>
      </c>
      <c r="G16687" s="1" t="str">
        <f t="shared" si="2"/>
        <v/>
      </c>
      <c r="J16687" s="1" t="str">
        <f t="shared" si="3"/>
        <v/>
      </c>
      <c r="K16687" s="1" t="str">
        <f t="shared" si="4"/>
        <v/>
      </c>
    </row>
    <row r="16688">
      <c r="F16688" s="1" t="str">
        <f t="shared" si="1"/>
        <v/>
      </c>
      <c r="G16688" s="1" t="str">
        <f t="shared" si="2"/>
        <v/>
      </c>
      <c r="J16688" s="1" t="str">
        <f t="shared" si="3"/>
        <v/>
      </c>
      <c r="K16688" s="1" t="str">
        <f t="shared" si="4"/>
        <v/>
      </c>
    </row>
    <row r="16689">
      <c r="F16689" s="1" t="str">
        <f t="shared" si="1"/>
        <v/>
      </c>
      <c r="G16689" s="1" t="str">
        <f t="shared" si="2"/>
        <v/>
      </c>
      <c r="J16689" s="1" t="str">
        <f t="shared" si="3"/>
        <v/>
      </c>
      <c r="K16689" s="1" t="str">
        <f t="shared" si="4"/>
        <v/>
      </c>
    </row>
    <row r="16690">
      <c r="F16690" s="1" t="str">
        <f t="shared" si="1"/>
        <v/>
      </c>
      <c r="G16690" s="1" t="str">
        <f t="shared" si="2"/>
        <v/>
      </c>
      <c r="J16690" s="1" t="str">
        <f t="shared" si="3"/>
        <v/>
      </c>
      <c r="K16690" s="1" t="str">
        <f t="shared" si="4"/>
        <v/>
      </c>
    </row>
    <row r="16691">
      <c r="F16691" s="1" t="str">
        <f t="shared" si="1"/>
        <v/>
      </c>
      <c r="G16691" s="1" t="str">
        <f t="shared" si="2"/>
        <v/>
      </c>
      <c r="J16691" s="1" t="str">
        <f t="shared" si="3"/>
        <v/>
      </c>
      <c r="K16691" s="1" t="str">
        <f t="shared" si="4"/>
        <v/>
      </c>
    </row>
    <row r="16692">
      <c r="F16692" s="1" t="str">
        <f t="shared" si="1"/>
        <v/>
      </c>
      <c r="G16692" s="1" t="str">
        <f t="shared" si="2"/>
        <v/>
      </c>
      <c r="J16692" s="1" t="str">
        <f t="shared" si="3"/>
        <v/>
      </c>
      <c r="K16692" s="1" t="str">
        <f t="shared" si="4"/>
        <v/>
      </c>
    </row>
    <row r="16693">
      <c r="F16693" s="1" t="str">
        <f t="shared" si="1"/>
        <v/>
      </c>
      <c r="G16693" s="1" t="str">
        <f t="shared" si="2"/>
        <v/>
      </c>
      <c r="J16693" s="1" t="str">
        <f t="shared" si="3"/>
        <v/>
      </c>
      <c r="K16693" s="1" t="str">
        <f t="shared" si="4"/>
        <v/>
      </c>
    </row>
    <row r="16694">
      <c r="F16694" s="1" t="str">
        <f t="shared" si="1"/>
        <v/>
      </c>
      <c r="G16694" s="1" t="str">
        <f t="shared" si="2"/>
        <v/>
      </c>
      <c r="J16694" s="1" t="str">
        <f t="shared" si="3"/>
        <v/>
      </c>
      <c r="K16694" s="1" t="str">
        <f t="shared" si="4"/>
        <v/>
      </c>
    </row>
    <row r="16695">
      <c r="F16695" s="1" t="str">
        <f t="shared" si="1"/>
        <v/>
      </c>
      <c r="G16695" s="1" t="str">
        <f t="shared" si="2"/>
        <v/>
      </c>
      <c r="J16695" s="1" t="str">
        <f t="shared" si="3"/>
        <v/>
      </c>
      <c r="K16695" s="1" t="str">
        <f t="shared" si="4"/>
        <v/>
      </c>
    </row>
    <row r="16696">
      <c r="F16696" s="1" t="str">
        <f t="shared" si="1"/>
        <v/>
      </c>
      <c r="G16696" s="1" t="str">
        <f t="shared" si="2"/>
        <v/>
      </c>
      <c r="J16696" s="1" t="str">
        <f t="shared" si="3"/>
        <v/>
      </c>
      <c r="K16696" s="1" t="str">
        <f t="shared" si="4"/>
        <v/>
      </c>
    </row>
    <row r="16697">
      <c r="F16697" s="1" t="str">
        <f t="shared" si="1"/>
        <v/>
      </c>
      <c r="G16697" s="1" t="str">
        <f t="shared" si="2"/>
        <v/>
      </c>
      <c r="J16697" s="1" t="str">
        <f t="shared" si="3"/>
        <v/>
      </c>
      <c r="K16697" s="1" t="str">
        <f t="shared" si="4"/>
        <v/>
      </c>
    </row>
    <row r="16698">
      <c r="F16698" s="1" t="str">
        <f t="shared" si="1"/>
        <v/>
      </c>
      <c r="G16698" s="1" t="str">
        <f t="shared" si="2"/>
        <v/>
      </c>
      <c r="J16698" s="1" t="str">
        <f t="shared" si="3"/>
        <v/>
      </c>
      <c r="K16698" s="1" t="str">
        <f t="shared" si="4"/>
        <v/>
      </c>
    </row>
    <row r="16699">
      <c r="F16699" s="1" t="str">
        <f t="shared" si="1"/>
        <v/>
      </c>
      <c r="G16699" s="1" t="str">
        <f t="shared" si="2"/>
        <v/>
      </c>
      <c r="J16699" s="1" t="str">
        <f t="shared" si="3"/>
        <v/>
      </c>
      <c r="K16699" s="1" t="str">
        <f t="shared" si="4"/>
        <v/>
      </c>
    </row>
    <row r="16700">
      <c r="F16700" s="1" t="str">
        <f t="shared" si="1"/>
        <v/>
      </c>
      <c r="G16700" s="1" t="str">
        <f t="shared" si="2"/>
        <v/>
      </c>
      <c r="J16700" s="1" t="str">
        <f t="shared" si="3"/>
        <v/>
      </c>
      <c r="K16700" s="1" t="str">
        <f t="shared" si="4"/>
        <v/>
      </c>
    </row>
    <row r="16701">
      <c r="F16701" s="1" t="str">
        <f t="shared" si="1"/>
        <v/>
      </c>
      <c r="G16701" s="1" t="str">
        <f t="shared" si="2"/>
        <v/>
      </c>
      <c r="J16701" s="1" t="str">
        <f t="shared" si="3"/>
        <v/>
      </c>
      <c r="K16701" s="1" t="str">
        <f t="shared" si="4"/>
        <v/>
      </c>
    </row>
    <row r="16702">
      <c r="F16702" s="1" t="str">
        <f t="shared" si="1"/>
        <v/>
      </c>
      <c r="G16702" s="1" t="str">
        <f t="shared" si="2"/>
        <v/>
      </c>
      <c r="J16702" s="1" t="str">
        <f t="shared" si="3"/>
        <v/>
      </c>
      <c r="K16702" s="1" t="str">
        <f t="shared" si="4"/>
        <v/>
      </c>
    </row>
    <row r="16703">
      <c r="F16703" s="1" t="str">
        <f t="shared" si="1"/>
        <v/>
      </c>
      <c r="G16703" s="1" t="str">
        <f t="shared" si="2"/>
        <v/>
      </c>
      <c r="J16703" s="1" t="str">
        <f t="shared" si="3"/>
        <v/>
      </c>
      <c r="K16703" s="1" t="str">
        <f t="shared" si="4"/>
        <v/>
      </c>
    </row>
    <row r="16704">
      <c r="F16704" s="1" t="str">
        <f t="shared" si="1"/>
        <v/>
      </c>
      <c r="G16704" s="1" t="str">
        <f t="shared" si="2"/>
        <v/>
      </c>
      <c r="J16704" s="1" t="str">
        <f t="shared" si="3"/>
        <v/>
      </c>
      <c r="K16704" s="1" t="str">
        <f t="shared" si="4"/>
        <v/>
      </c>
    </row>
    <row r="16705">
      <c r="F16705" s="1" t="str">
        <f t="shared" si="1"/>
        <v/>
      </c>
      <c r="G16705" s="1" t="str">
        <f t="shared" si="2"/>
        <v/>
      </c>
      <c r="J16705" s="1" t="str">
        <f t="shared" si="3"/>
        <v/>
      </c>
      <c r="K16705" s="1" t="str">
        <f t="shared" si="4"/>
        <v/>
      </c>
    </row>
    <row r="16706">
      <c r="F16706" s="1" t="str">
        <f t="shared" si="1"/>
        <v/>
      </c>
      <c r="G16706" s="1" t="str">
        <f t="shared" si="2"/>
        <v/>
      </c>
      <c r="J16706" s="1" t="str">
        <f t="shared" si="3"/>
        <v/>
      </c>
      <c r="K16706" s="1" t="str">
        <f t="shared" si="4"/>
        <v/>
      </c>
    </row>
    <row r="16707">
      <c r="F16707" s="1" t="str">
        <f t="shared" si="1"/>
        <v/>
      </c>
      <c r="G16707" s="1" t="str">
        <f t="shared" si="2"/>
        <v/>
      </c>
      <c r="J16707" s="1" t="str">
        <f t="shared" si="3"/>
        <v/>
      </c>
      <c r="K16707" s="1" t="str">
        <f t="shared" si="4"/>
        <v/>
      </c>
    </row>
    <row r="16708">
      <c r="F16708" s="1" t="str">
        <f t="shared" si="1"/>
        <v/>
      </c>
      <c r="G16708" s="1" t="str">
        <f t="shared" si="2"/>
        <v/>
      </c>
      <c r="J16708" s="1" t="str">
        <f t="shared" si="3"/>
        <v/>
      </c>
      <c r="K16708" s="1" t="str">
        <f t="shared" si="4"/>
        <v/>
      </c>
    </row>
    <row r="16709">
      <c r="F16709" s="1" t="str">
        <f t="shared" si="1"/>
        <v/>
      </c>
      <c r="G16709" s="1" t="str">
        <f t="shared" si="2"/>
        <v/>
      </c>
      <c r="J16709" s="1" t="str">
        <f t="shared" si="3"/>
        <v/>
      </c>
      <c r="K16709" s="1" t="str">
        <f t="shared" si="4"/>
        <v/>
      </c>
    </row>
    <row r="16710">
      <c r="F16710" s="1" t="str">
        <f t="shared" si="1"/>
        <v/>
      </c>
      <c r="G16710" s="1" t="str">
        <f t="shared" si="2"/>
        <v/>
      </c>
      <c r="J16710" s="1" t="str">
        <f t="shared" si="3"/>
        <v/>
      </c>
      <c r="K16710" s="1" t="str">
        <f t="shared" si="4"/>
        <v/>
      </c>
    </row>
    <row r="16711">
      <c r="F16711" s="1" t="str">
        <f t="shared" si="1"/>
        <v/>
      </c>
      <c r="G16711" s="1" t="str">
        <f t="shared" si="2"/>
        <v/>
      </c>
      <c r="J16711" s="1" t="str">
        <f t="shared" si="3"/>
        <v/>
      </c>
      <c r="K16711" s="1" t="str">
        <f t="shared" si="4"/>
        <v/>
      </c>
    </row>
    <row r="16712">
      <c r="F16712" s="1" t="str">
        <f t="shared" si="1"/>
        <v/>
      </c>
      <c r="G16712" s="1" t="str">
        <f t="shared" si="2"/>
        <v/>
      </c>
      <c r="J16712" s="1" t="str">
        <f t="shared" si="3"/>
        <v/>
      </c>
      <c r="K16712" s="1" t="str">
        <f t="shared" si="4"/>
        <v/>
      </c>
    </row>
    <row r="16713">
      <c r="F16713" s="1" t="str">
        <f t="shared" si="1"/>
        <v/>
      </c>
      <c r="G16713" s="1" t="str">
        <f t="shared" si="2"/>
        <v/>
      </c>
      <c r="J16713" s="1" t="str">
        <f t="shared" si="3"/>
        <v/>
      </c>
      <c r="K16713" s="1" t="str">
        <f t="shared" si="4"/>
        <v/>
      </c>
    </row>
    <row r="16714">
      <c r="F16714" s="1" t="str">
        <f t="shared" si="1"/>
        <v/>
      </c>
      <c r="G16714" s="1" t="str">
        <f t="shared" si="2"/>
        <v/>
      </c>
      <c r="J16714" s="1" t="str">
        <f t="shared" si="3"/>
        <v/>
      </c>
      <c r="K16714" s="1" t="str">
        <f t="shared" si="4"/>
        <v/>
      </c>
    </row>
    <row r="16715">
      <c r="F16715" s="1" t="str">
        <f t="shared" si="1"/>
        <v/>
      </c>
      <c r="G16715" s="1" t="str">
        <f t="shared" si="2"/>
        <v/>
      </c>
      <c r="J16715" s="1" t="str">
        <f t="shared" si="3"/>
        <v/>
      </c>
      <c r="K16715" s="1" t="str">
        <f t="shared" si="4"/>
        <v/>
      </c>
    </row>
    <row r="16716">
      <c r="F16716" s="1" t="str">
        <f t="shared" si="1"/>
        <v/>
      </c>
      <c r="G16716" s="1" t="str">
        <f t="shared" si="2"/>
        <v/>
      </c>
      <c r="J16716" s="1" t="str">
        <f t="shared" si="3"/>
        <v/>
      </c>
      <c r="K16716" s="1" t="str">
        <f t="shared" si="4"/>
        <v/>
      </c>
    </row>
    <row r="16717">
      <c r="F16717" s="1" t="str">
        <f t="shared" si="1"/>
        <v/>
      </c>
      <c r="G16717" s="1" t="str">
        <f t="shared" si="2"/>
        <v/>
      </c>
      <c r="J16717" s="1" t="str">
        <f t="shared" si="3"/>
        <v/>
      </c>
      <c r="K16717" s="1" t="str">
        <f t="shared" si="4"/>
        <v/>
      </c>
    </row>
    <row r="16718">
      <c r="F16718" s="1" t="str">
        <f t="shared" si="1"/>
        <v/>
      </c>
      <c r="G16718" s="1" t="str">
        <f t="shared" si="2"/>
        <v/>
      </c>
      <c r="J16718" s="1" t="str">
        <f t="shared" si="3"/>
        <v/>
      </c>
      <c r="K16718" s="1" t="str">
        <f t="shared" si="4"/>
        <v/>
      </c>
    </row>
    <row r="16719">
      <c r="F16719" s="1" t="str">
        <f t="shared" si="1"/>
        <v/>
      </c>
      <c r="G16719" s="1" t="str">
        <f t="shared" si="2"/>
        <v/>
      </c>
      <c r="J16719" s="1" t="str">
        <f t="shared" si="3"/>
        <v/>
      </c>
      <c r="K16719" s="1" t="str">
        <f t="shared" si="4"/>
        <v/>
      </c>
    </row>
    <row r="16720">
      <c r="F16720" s="1" t="str">
        <f t="shared" si="1"/>
        <v/>
      </c>
      <c r="G16720" s="1" t="str">
        <f t="shared" si="2"/>
        <v/>
      </c>
      <c r="J16720" s="1" t="str">
        <f t="shared" si="3"/>
        <v/>
      </c>
      <c r="K16720" s="1" t="str">
        <f t="shared" si="4"/>
        <v/>
      </c>
    </row>
    <row r="16721">
      <c r="F16721" s="1" t="str">
        <f t="shared" si="1"/>
        <v/>
      </c>
      <c r="G16721" s="1" t="str">
        <f t="shared" si="2"/>
        <v/>
      </c>
      <c r="J16721" s="1" t="str">
        <f t="shared" si="3"/>
        <v/>
      </c>
      <c r="K16721" s="1" t="str">
        <f t="shared" si="4"/>
        <v/>
      </c>
    </row>
    <row r="16722">
      <c r="F16722" s="1" t="str">
        <f t="shared" si="1"/>
        <v/>
      </c>
      <c r="G16722" s="1" t="str">
        <f t="shared" si="2"/>
        <v/>
      </c>
      <c r="J16722" s="1" t="str">
        <f t="shared" si="3"/>
        <v/>
      </c>
      <c r="K16722" s="1" t="str">
        <f t="shared" si="4"/>
        <v/>
      </c>
    </row>
    <row r="16723">
      <c r="F16723" s="1" t="str">
        <f t="shared" si="1"/>
        <v/>
      </c>
      <c r="G16723" s="1" t="str">
        <f t="shared" si="2"/>
        <v/>
      </c>
      <c r="J16723" s="1" t="str">
        <f t="shared" si="3"/>
        <v/>
      </c>
      <c r="K16723" s="1" t="str">
        <f t="shared" si="4"/>
        <v/>
      </c>
    </row>
    <row r="16724">
      <c r="F16724" s="1" t="str">
        <f t="shared" si="1"/>
        <v/>
      </c>
      <c r="G16724" s="1" t="str">
        <f t="shared" si="2"/>
        <v/>
      </c>
      <c r="J16724" s="1" t="str">
        <f t="shared" si="3"/>
        <v/>
      </c>
      <c r="K16724" s="1" t="str">
        <f t="shared" si="4"/>
        <v/>
      </c>
    </row>
    <row r="16725">
      <c r="F16725" s="1" t="str">
        <f t="shared" si="1"/>
        <v/>
      </c>
      <c r="G16725" s="1" t="str">
        <f t="shared" si="2"/>
        <v/>
      </c>
      <c r="J16725" s="1" t="str">
        <f t="shared" si="3"/>
        <v/>
      </c>
      <c r="K16725" s="1" t="str">
        <f t="shared" si="4"/>
        <v/>
      </c>
    </row>
    <row r="16726">
      <c r="F16726" s="1" t="str">
        <f t="shared" si="1"/>
        <v/>
      </c>
      <c r="G16726" s="1" t="str">
        <f t="shared" si="2"/>
        <v/>
      </c>
      <c r="J16726" s="1" t="str">
        <f t="shared" si="3"/>
        <v/>
      </c>
      <c r="K16726" s="1" t="str">
        <f t="shared" si="4"/>
        <v/>
      </c>
    </row>
    <row r="16727">
      <c r="F16727" s="1" t="str">
        <f t="shared" si="1"/>
        <v/>
      </c>
      <c r="G16727" s="1" t="str">
        <f t="shared" si="2"/>
        <v/>
      </c>
      <c r="J16727" s="1" t="str">
        <f t="shared" si="3"/>
        <v/>
      </c>
      <c r="K16727" s="1" t="str">
        <f t="shared" si="4"/>
        <v/>
      </c>
    </row>
    <row r="16728">
      <c r="F16728" s="1" t="str">
        <f t="shared" si="1"/>
        <v/>
      </c>
      <c r="G16728" s="1" t="str">
        <f t="shared" si="2"/>
        <v/>
      </c>
      <c r="J16728" s="1" t="str">
        <f t="shared" si="3"/>
        <v/>
      </c>
      <c r="K16728" s="1" t="str">
        <f t="shared" si="4"/>
        <v/>
      </c>
    </row>
    <row r="16729">
      <c r="F16729" s="1" t="str">
        <f t="shared" si="1"/>
        <v/>
      </c>
      <c r="G16729" s="1" t="str">
        <f t="shared" si="2"/>
        <v/>
      </c>
      <c r="J16729" s="1" t="str">
        <f t="shared" si="3"/>
        <v/>
      </c>
      <c r="K16729" s="1" t="str">
        <f t="shared" si="4"/>
        <v/>
      </c>
    </row>
    <row r="16730">
      <c r="F16730" s="1" t="str">
        <f t="shared" si="1"/>
        <v/>
      </c>
      <c r="G16730" s="1" t="str">
        <f t="shared" si="2"/>
        <v/>
      </c>
      <c r="J16730" s="1" t="str">
        <f t="shared" si="3"/>
        <v/>
      </c>
      <c r="K16730" s="1" t="str">
        <f t="shared" si="4"/>
        <v/>
      </c>
    </row>
    <row r="16731">
      <c r="F16731" s="1" t="str">
        <f t="shared" si="1"/>
        <v/>
      </c>
      <c r="G16731" s="1" t="str">
        <f t="shared" si="2"/>
        <v/>
      </c>
      <c r="J16731" s="1" t="str">
        <f t="shared" si="3"/>
        <v/>
      </c>
      <c r="K16731" s="1" t="str">
        <f t="shared" si="4"/>
        <v/>
      </c>
    </row>
    <row r="16732">
      <c r="F16732" s="1" t="str">
        <f t="shared" si="1"/>
        <v/>
      </c>
      <c r="G16732" s="1" t="str">
        <f t="shared" si="2"/>
        <v/>
      </c>
      <c r="J16732" s="1" t="str">
        <f t="shared" si="3"/>
        <v/>
      </c>
      <c r="K16732" s="1" t="str">
        <f t="shared" si="4"/>
        <v/>
      </c>
    </row>
    <row r="16733">
      <c r="F16733" s="1" t="str">
        <f t="shared" si="1"/>
        <v/>
      </c>
      <c r="G16733" s="1" t="str">
        <f t="shared" si="2"/>
        <v/>
      </c>
      <c r="J16733" s="1" t="str">
        <f t="shared" si="3"/>
        <v/>
      </c>
      <c r="K16733" s="1" t="str">
        <f t="shared" si="4"/>
        <v/>
      </c>
    </row>
    <row r="16734">
      <c r="F16734" s="1" t="str">
        <f t="shared" si="1"/>
        <v/>
      </c>
      <c r="G16734" s="1" t="str">
        <f t="shared" si="2"/>
        <v/>
      </c>
      <c r="J16734" s="1" t="str">
        <f t="shared" si="3"/>
        <v/>
      </c>
      <c r="K16734" s="1" t="str">
        <f t="shared" si="4"/>
        <v/>
      </c>
    </row>
    <row r="16735">
      <c r="F16735" s="1" t="str">
        <f t="shared" si="1"/>
        <v/>
      </c>
      <c r="G16735" s="1" t="str">
        <f t="shared" si="2"/>
        <v/>
      </c>
      <c r="J16735" s="1" t="str">
        <f t="shared" si="3"/>
        <v/>
      </c>
      <c r="K16735" s="1" t="str">
        <f t="shared" si="4"/>
        <v/>
      </c>
    </row>
    <row r="16736">
      <c r="F16736" s="1" t="str">
        <f t="shared" si="1"/>
        <v/>
      </c>
      <c r="G16736" s="1" t="str">
        <f t="shared" si="2"/>
        <v/>
      </c>
      <c r="J16736" s="1" t="str">
        <f t="shared" si="3"/>
        <v/>
      </c>
      <c r="K16736" s="1" t="str">
        <f t="shared" si="4"/>
        <v/>
      </c>
    </row>
    <row r="16737">
      <c r="F16737" s="1" t="str">
        <f t="shared" si="1"/>
        <v/>
      </c>
      <c r="G16737" s="1" t="str">
        <f t="shared" si="2"/>
        <v/>
      </c>
      <c r="J16737" s="1" t="str">
        <f t="shared" si="3"/>
        <v/>
      </c>
      <c r="K16737" s="1" t="str">
        <f t="shared" si="4"/>
        <v/>
      </c>
    </row>
    <row r="16738">
      <c r="F16738" s="1" t="str">
        <f t="shared" si="1"/>
        <v/>
      </c>
      <c r="G16738" s="1" t="str">
        <f t="shared" si="2"/>
        <v/>
      </c>
      <c r="J16738" s="1" t="str">
        <f t="shared" si="3"/>
        <v/>
      </c>
      <c r="K16738" s="1" t="str">
        <f t="shared" si="4"/>
        <v/>
      </c>
    </row>
    <row r="16739">
      <c r="F16739" s="1" t="str">
        <f t="shared" si="1"/>
        <v/>
      </c>
      <c r="G16739" s="1" t="str">
        <f t="shared" si="2"/>
        <v/>
      </c>
      <c r="J16739" s="1" t="str">
        <f t="shared" si="3"/>
        <v/>
      </c>
      <c r="K16739" s="1" t="str">
        <f t="shared" si="4"/>
        <v/>
      </c>
    </row>
    <row r="16740">
      <c r="F16740" s="1" t="str">
        <f t="shared" si="1"/>
        <v/>
      </c>
      <c r="G16740" s="1" t="str">
        <f t="shared" si="2"/>
        <v/>
      </c>
      <c r="J16740" s="1" t="str">
        <f t="shared" si="3"/>
        <v/>
      </c>
      <c r="K16740" s="1" t="str">
        <f t="shared" si="4"/>
        <v/>
      </c>
    </row>
    <row r="16741">
      <c r="F16741" s="1" t="str">
        <f t="shared" si="1"/>
        <v/>
      </c>
      <c r="G16741" s="1" t="str">
        <f t="shared" si="2"/>
        <v/>
      </c>
      <c r="J16741" s="1" t="str">
        <f t="shared" si="3"/>
        <v/>
      </c>
      <c r="K16741" s="1" t="str">
        <f t="shared" si="4"/>
        <v/>
      </c>
    </row>
    <row r="16742">
      <c r="F16742" s="1" t="str">
        <f t="shared" si="1"/>
        <v/>
      </c>
      <c r="G16742" s="1" t="str">
        <f t="shared" si="2"/>
        <v/>
      </c>
      <c r="J16742" s="1" t="str">
        <f t="shared" si="3"/>
        <v/>
      </c>
      <c r="K16742" s="1" t="str">
        <f t="shared" si="4"/>
        <v/>
      </c>
    </row>
    <row r="16743">
      <c r="F16743" s="1" t="str">
        <f t="shared" si="1"/>
        <v/>
      </c>
      <c r="G16743" s="1" t="str">
        <f t="shared" si="2"/>
        <v/>
      </c>
      <c r="J16743" s="1" t="str">
        <f t="shared" si="3"/>
        <v/>
      </c>
      <c r="K16743" s="1" t="str">
        <f t="shared" si="4"/>
        <v/>
      </c>
    </row>
    <row r="16744">
      <c r="F16744" s="1" t="str">
        <f t="shared" si="1"/>
        <v/>
      </c>
      <c r="G16744" s="1" t="str">
        <f t="shared" si="2"/>
        <v/>
      </c>
      <c r="J16744" s="1" t="str">
        <f t="shared" si="3"/>
        <v/>
      </c>
      <c r="K16744" s="1" t="str">
        <f t="shared" si="4"/>
        <v/>
      </c>
    </row>
    <row r="16745">
      <c r="F16745" s="1" t="str">
        <f t="shared" si="1"/>
        <v/>
      </c>
      <c r="G16745" s="1" t="str">
        <f t="shared" si="2"/>
        <v/>
      </c>
      <c r="J16745" s="1" t="str">
        <f t="shared" si="3"/>
        <v/>
      </c>
      <c r="K16745" s="1" t="str">
        <f t="shared" si="4"/>
        <v/>
      </c>
    </row>
    <row r="16746">
      <c r="F16746" s="1" t="str">
        <f t="shared" si="1"/>
        <v/>
      </c>
      <c r="G16746" s="1" t="str">
        <f t="shared" si="2"/>
        <v/>
      </c>
      <c r="J16746" s="1" t="str">
        <f t="shared" si="3"/>
        <v/>
      </c>
      <c r="K16746" s="1" t="str">
        <f t="shared" si="4"/>
        <v/>
      </c>
    </row>
    <row r="16747">
      <c r="F16747" s="1" t="str">
        <f t="shared" si="1"/>
        <v/>
      </c>
      <c r="G16747" s="1" t="str">
        <f t="shared" si="2"/>
        <v/>
      </c>
      <c r="J16747" s="1" t="str">
        <f t="shared" si="3"/>
        <v/>
      </c>
      <c r="K16747" s="1" t="str">
        <f t="shared" si="4"/>
        <v/>
      </c>
    </row>
    <row r="16748">
      <c r="F16748" s="1" t="str">
        <f t="shared" si="1"/>
        <v/>
      </c>
      <c r="G16748" s="1" t="str">
        <f t="shared" si="2"/>
        <v/>
      </c>
      <c r="J16748" s="1" t="str">
        <f t="shared" si="3"/>
        <v/>
      </c>
      <c r="K16748" s="1" t="str">
        <f t="shared" si="4"/>
        <v/>
      </c>
    </row>
    <row r="16749">
      <c r="F16749" s="1" t="str">
        <f t="shared" si="1"/>
        <v/>
      </c>
      <c r="G16749" s="1" t="str">
        <f t="shared" si="2"/>
        <v/>
      </c>
      <c r="J16749" s="1" t="str">
        <f t="shared" si="3"/>
        <v/>
      </c>
      <c r="K16749" s="1" t="str">
        <f t="shared" si="4"/>
        <v/>
      </c>
    </row>
    <row r="16750">
      <c r="F16750" s="1" t="str">
        <f t="shared" si="1"/>
        <v/>
      </c>
      <c r="G16750" s="1" t="str">
        <f t="shared" si="2"/>
        <v/>
      </c>
      <c r="J16750" s="1" t="str">
        <f t="shared" si="3"/>
        <v/>
      </c>
      <c r="K16750" s="1" t="str">
        <f t="shared" si="4"/>
        <v/>
      </c>
    </row>
    <row r="16751">
      <c r="F16751" s="1" t="str">
        <f t="shared" si="1"/>
        <v/>
      </c>
      <c r="G16751" s="1" t="str">
        <f t="shared" si="2"/>
        <v/>
      </c>
      <c r="J16751" s="1" t="str">
        <f t="shared" si="3"/>
        <v/>
      </c>
      <c r="K16751" s="1" t="str">
        <f t="shared" si="4"/>
        <v/>
      </c>
    </row>
    <row r="16752">
      <c r="F16752" s="1" t="str">
        <f t="shared" si="1"/>
        <v/>
      </c>
      <c r="G16752" s="1" t="str">
        <f t="shared" si="2"/>
        <v/>
      </c>
      <c r="J16752" s="1" t="str">
        <f t="shared" si="3"/>
        <v/>
      </c>
      <c r="K16752" s="1" t="str">
        <f t="shared" si="4"/>
        <v/>
      </c>
    </row>
    <row r="16753">
      <c r="F16753" s="1" t="str">
        <f t="shared" si="1"/>
        <v/>
      </c>
      <c r="G16753" s="1" t="str">
        <f t="shared" si="2"/>
        <v/>
      </c>
      <c r="J16753" s="1" t="str">
        <f t="shared" si="3"/>
        <v/>
      </c>
      <c r="K16753" s="1" t="str">
        <f t="shared" si="4"/>
        <v/>
      </c>
    </row>
    <row r="16754">
      <c r="F16754" s="1" t="str">
        <f t="shared" si="1"/>
        <v/>
      </c>
      <c r="G16754" s="1" t="str">
        <f t="shared" si="2"/>
        <v/>
      </c>
      <c r="J16754" s="1" t="str">
        <f t="shared" si="3"/>
        <v/>
      </c>
      <c r="K16754" s="1" t="str">
        <f t="shared" si="4"/>
        <v/>
      </c>
    </row>
    <row r="16755">
      <c r="F16755" s="1" t="str">
        <f t="shared" si="1"/>
        <v/>
      </c>
      <c r="G16755" s="1" t="str">
        <f t="shared" si="2"/>
        <v/>
      </c>
      <c r="J16755" s="1" t="str">
        <f t="shared" si="3"/>
        <v/>
      </c>
      <c r="K16755" s="1" t="str">
        <f t="shared" si="4"/>
        <v/>
      </c>
    </row>
    <row r="16756">
      <c r="F16756" s="1" t="str">
        <f t="shared" si="1"/>
        <v/>
      </c>
      <c r="G16756" s="1" t="str">
        <f t="shared" si="2"/>
        <v/>
      </c>
      <c r="J16756" s="1" t="str">
        <f t="shared" si="3"/>
        <v/>
      </c>
      <c r="K16756" s="1" t="str">
        <f t="shared" si="4"/>
        <v/>
      </c>
    </row>
    <row r="16757">
      <c r="F16757" s="1" t="str">
        <f t="shared" si="1"/>
        <v/>
      </c>
      <c r="G16757" s="1" t="str">
        <f t="shared" si="2"/>
        <v/>
      </c>
      <c r="J16757" s="1" t="str">
        <f t="shared" si="3"/>
        <v/>
      </c>
      <c r="K16757" s="1" t="str">
        <f t="shared" si="4"/>
        <v/>
      </c>
    </row>
    <row r="16758">
      <c r="F16758" s="1" t="str">
        <f t="shared" si="1"/>
        <v/>
      </c>
      <c r="G16758" s="1" t="str">
        <f t="shared" si="2"/>
        <v/>
      </c>
      <c r="J16758" s="1" t="str">
        <f t="shared" si="3"/>
        <v/>
      </c>
      <c r="K16758" s="1" t="str">
        <f t="shared" si="4"/>
        <v/>
      </c>
    </row>
    <row r="16759">
      <c r="F16759" s="1" t="str">
        <f t="shared" si="1"/>
        <v/>
      </c>
      <c r="G16759" s="1" t="str">
        <f t="shared" si="2"/>
        <v/>
      </c>
      <c r="J16759" s="1" t="str">
        <f t="shared" si="3"/>
        <v/>
      </c>
      <c r="K16759" s="1" t="str">
        <f t="shared" si="4"/>
        <v/>
      </c>
    </row>
    <row r="16760">
      <c r="F16760" s="1" t="str">
        <f t="shared" si="1"/>
        <v/>
      </c>
      <c r="G16760" s="1" t="str">
        <f t="shared" si="2"/>
        <v/>
      </c>
      <c r="J16760" s="1" t="str">
        <f t="shared" si="3"/>
        <v/>
      </c>
      <c r="K16760" s="1" t="str">
        <f t="shared" si="4"/>
        <v/>
      </c>
    </row>
    <row r="16761">
      <c r="F16761" s="1" t="str">
        <f t="shared" si="1"/>
        <v/>
      </c>
      <c r="G16761" s="1" t="str">
        <f t="shared" si="2"/>
        <v/>
      </c>
      <c r="J16761" s="1" t="str">
        <f t="shared" si="3"/>
        <v/>
      </c>
      <c r="K16761" s="1" t="str">
        <f t="shared" si="4"/>
        <v/>
      </c>
    </row>
    <row r="16762">
      <c r="F16762" s="1" t="str">
        <f t="shared" si="1"/>
        <v/>
      </c>
      <c r="G16762" s="1" t="str">
        <f t="shared" si="2"/>
        <v/>
      </c>
      <c r="J16762" s="1" t="str">
        <f t="shared" si="3"/>
        <v/>
      </c>
      <c r="K16762" s="1" t="str">
        <f t="shared" si="4"/>
        <v/>
      </c>
    </row>
    <row r="16763">
      <c r="F16763" s="1" t="str">
        <f t="shared" si="1"/>
        <v/>
      </c>
      <c r="G16763" s="1" t="str">
        <f t="shared" si="2"/>
        <v/>
      </c>
      <c r="J16763" s="1" t="str">
        <f t="shared" si="3"/>
        <v/>
      </c>
      <c r="K16763" s="1" t="str">
        <f t="shared" si="4"/>
        <v/>
      </c>
    </row>
    <row r="16764">
      <c r="F16764" s="1" t="str">
        <f t="shared" si="1"/>
        <v/>
      </c>
      <c r="G16764" s="1" t="str">
        <f t="shared" si="2"/>
        <v/>
      </c>
      <c r="J16764" s="1" t="str">
        <f t="shared" si="3"/>
        <v/>
      </c>
      <c r="K16764" s="1" t="str">
        <f t="shared" si="4"/>
        <v/>
      </c>
    </row>
    <row r="16765">
      <c r="F16765" s="1" t="str">
        <f t="shared" si="1"/>
        <v/>
      </c>
      <c r="G16765" s="1" t="str">
        <f t="shared" si="2"/>
        <v/>
      </c>
      <c r="J16765" s="1" t="str">
        <f t="shared" si="3"/>
        <v/>
      </c>
      <c r="K16765" s="1" t="str">
        <f t="shared" si="4"/>
        <v/>
      </c>
    </row>
    <row r="16766">
      <c r="F16766" s="1" t="str">
        <f t="shared" si="1"/>
        <v/>
      </c>
      <c r="G16766" s="1" t="str">
        <f t="shared" si="2"/>
        <v/>
      </c>
      <c r="J16766" s="1" t="str">
        <f t="shared" si="3"/>
        <v/>
      </c>
      <c r="K16766" s="1" t="str">
        <f t="shared" si="4"/>
        <v/>
      </c>
    </row>
    <row r="16767">
      <c r="F16767" s="1" t="str">
        <f t="shared" si="1"/>
        <v/>
      </c>
      <c r="G16767" s="1" t="str">
        <f t="shared" si="2"/>
        <v/>
      </c>
      <c r="J16767" s="1" t="str">
        <f t="shared" si="3"/>
        <v/>
      </c>
      <c r="K16767" s="1" t="str">
        <f t="shared" si="4"/>
        <v/>
      </c>
    </row>
    <row r="16768">
      <c r="F16768" s="1" t="str">
        <f t="shared" si="1"/>
        <v/>
      </c>
      <c r="G16768" s="1" t="str">
        <f t="shared" si="2"/>
        <v/>
      </c>
      <c r="J16768" s="1" t="str">
        <f t="shared" si="3"/>
        <v/>
      </c>
      <c r="K16768" s="1" t="str">
        <f t="shared" si="4"/>
        <v/>
      </c>
    </row>
    <row r="16769">
      <c r="F16769" s="1" t="str">
        <f t="shared" si="1"/>
        <v/>
      </c>
      <c r="G16769" s="1" t="str">
        <f t="shared" si="2"/>
        <v/>
      </c>
      <c r="J16769" s="1" t="str">
        <f t="shared" si="3"/>
        <v/>
      </c>
      <c r="K16769" s="1" t="str">
        <f t="shared" si="4"/>
        <v/>
      </c>
    </row>
    <row r="16770">
      <c r="F16770" s="1" t="str">
        <f t="shared" si="1"/>
        <v/>
      </c>
      <c r="G16770" s="1" t="str">
        <f t="shared" si="2"/>
        <v/>
      </c>
      <c r="J16770" s="1" t="str">
        <f t="shared" si="3"/>
        <v/>
      </c>
      <c r="K16770" s="1" t="str">
        <f t="shared" si="4"/>
        <v/>
      </c>
    </row>
    <row r="16771">
      <c r="F16771" s="1" t="str">
        <f t="shared" si="1"/>
        <v/>
      </c>
      <c r="G16771" s="1" t="str">
        <f t="shared" si="2"/>
        <v/>
      </c>
      <c r="J16771" s="1" t="str">
        <f t="shared" si="3"/>
        <v/>
      </c>
      <c r="K16771" s="1" t="str">
        <f t="shared" si="4"/>
        <v/>
      </c>
    </row>
    <row r="16772">
      <c r="F16772" s="1" t="str">
        <f t="shared" si="1"/>
        <v/>
      </c>
      <c r="G16772" s="1" t="str">
        <f t="shared" si="2"/>
        <v/>
      </c>
      <c r="J16772" s="1" t="str">
        <f t="shared" si="3"/>
        <v/>
      </c>
      <c r="K16772" s="1" t="str">
        <f t="shared" si="4"/>
        <v/>
      </c>
    </row>
    <row r="16773">
      <c r="F16773" s="1" t="str">
        <f t="shared" si="1"/>
        <v/>
      </c>
      <c r="G16773" s="1" t="str">
        <f t="shared" si="2"/>
        <v/>
      </c>
      <c r="J16773" s="1" t="str">
        <f t="shared" si="3"/>
        <v/>
      </c>
      <c r="K16773" s="1" t="str">
        <f t="shared" si="4"/>
        <v/>
      </c>
    </row>
    <row r="16774">
      <c r="F16774" s="1" t="str">
        <f t="shared" si="1"/>
        <v/>
      </c>
      <c r="G16774" s="1" t="str">
        <f t="shared" si="2"/>
        <v/>
      </c>
      <c r="J16774" s="1" t="str">
        <f t="shared" si="3"/>
        <v/>
      </c>
      <c r="K16774" s="1" t="str">
        <f t="shared" si="4"/>
        <v/>
      </c>
    </row>
    <row r="16775">
      <c r="F16775" s="1" t="str">
        <f t="shared" si="1"/>
        <v/>
      </c>
      <c r="G16775" s="1" t="str">
        <f t="shared" si="2"/>
        <v/>
      </c>
      <c r="J16775" s="1" t="str">
        <f t="shared" si="3"/>
        <v/>
      </c>
      <c r="K16775" s="1" t="str">
        <f t="shared" si="4"/>
        <v/>
      </c>
    </row>
    <row r="16776">
      <c r="F16776" s="1" t="str">
        <f t="shared" si="1"/>
        <v/>
      </c>
      <c r="G16776" s="1" t="str">
        <f t="shared" si="2"/>
        <v/>
      </c>
      <c r="J16776" s="1" t="str">
        <f t="shared" si="3"/>
        <v/>
      </c>
      <c r="K16776" s="1" t="str">
        <f t="shared" si="4"/>
        <v/>
      </c>
    </row>
    <row r="16777">
      <c r="F16777" s="1" t="str">
        <f t="shared" si="1"/>
        <v/>
      </c>
      <c r="G16777" s="1" t="str">
        <f t="shared" si="2"/>
        <v/>
      </c>
      <c r="J16777" s="1" t="str">
        <f t="shared" si="3"/>
        <v/>
      </c>
      <c r="K16777" s="1" t="str">
        <f t="shared" si="4"/>
        <v/>
      </c>
    </row>
    <row r="16778">
      <c r="F16778" s="1" t="str">
        <f t="shared" si="1"/>
        <v/>
      </c>
      <c r="G16778" s="1" t="str">
        <f t="shared" si="2"/>
        <v/>
      </c>
      <c r="J16778" s="1" t="str">
        <f t="shared" si="3"/>
        <v/>
      </c>
      <c r="K16778" s="1" t="str">
        <f t="shared" si="4"/>
        <v/>
      </c>
    </row>
    <row r="16779">
      <c r="F16779" s="1" t="str">
        <f t="shared" si="1"/>
        <v/>
      </c>
      <c r="G16779" s="1" t="str">
        <f t="shared" si="2"/>
        <v/>
      </c>
      <c r="J16779" s="1" t="str">
        <f t="shared" si="3"/>
        <v/>
      </c>
      <c r="K16779" s="1" t="str">
        <f t="shared" si="4"/>
        <v/>
      </c>
    </row>
    <row r="16780">
      <c r="F16780" s="1" t="str">
        <f t="shared" si="1"/>
        <v/>
      </c>
      <c r="G16780" s="1" t="str">
        <f t="shared" si="2"/>
        <v/>
      </c>
      <c r="J16780" s="1" t="str">
        <f t="shared" si="3"/>
        <v/>
      </c>
      <c r="K16780" s="1" t="str">
        <f t="shared" si="4"/>
        <v/>
      </c>
    </row>
    <row r="16781">
      <c r="F16781" s="1" t="str">
        <f t="shared" si="1"/>
        <v/>
      </c>
      <c r="G16781" s="1" t="str">
        <f t="shared" si="2"/>
        <v/>
      </c>
      <c r="J16781" s="1" t="str">
        <f t="shared" si="3"/>
        <v/>
      </c>
      <c r="K16781" s="1" t="str">
        <f t="shared" si="4"/>
        <v/>
      </c>
    </row>
    <row r="16782">
      <c r="F16782" s="1" t="str">
        <f t="shared" si="1"/>
        <v/>
      </c>
      <c r="G16782" s="1" t="str">
        <f t="shared" si="2"/>
        <v/>
      </c>
      <c r="J16782" s="1" t="str">
        <f t="shared" si="3"/>
        <v/>
      </c>
      <c r="K16782" s="1" t="str">
        <f t="shared" si="4"/>
        <v/>
      </c>
    </row>
    <row r="16783">
      <c r="F16783" s="1" t="str">
        <f t="shared" si="1"/>
        <v/>
      </c>
      <c r="G16783" s="1" t="str">
        <f t="shared" si="2"/>
        <v/>
      </c>
      <c r="J16783" s="1" t="str">
        <f t="shared" si="3"/>
        <v/>
      </c>
      <c r="K16783" s="1" t="str">
        <f t="shared" si="4"/>
        <v/>
      </c>
    </row>
    <row r="16784">
      <c r="F16784" s="1" t="str">
        <f t="shared" si="1"/>
        <v/>
      </c>
      <c r="G16784" s="1" t="str">
        <f t="shared" si="2"/>
        <v/>
      </c>
      <c r="J16784" s="1" t="str">
        <f t="shared" si="3"/>
        <v/>
      </c>
      <c r="K16784" s="1" t="str">
        <f t="shared" si="4"/>
        <v/>
      </c>
    </row>
    <row r="16785">
      <c r="F16785" s="1" t="str">
        <f t="shared" si="1"/>
        <v/>
      </c>
      <c r="G16785" s="1" t="str">
        <f t="shared" si="2"/>
        <v/>
      </c>
      <c r="J16785" s="1" t="str">
        <f t="shared" si="3"/>
        <v/>
      </c>
      <c r="K16785" s="1" t="str">
        <f t="shared" si="4"/>
        <v/>
      </c>
    </row>
    <row r="16786">
      <c r="F16786" s="1" t="str">
        <f t="shared" si="1"/>
        <v/>
      </c>
      <c r="G16786" s="1" t="str">
        <f t="shared" si="2"/>
        <v/>
      </c>
      <c r="J16786" s="1" t="str">
        <f t="shared" si="3"/>
        <v/>
      </c>
      <c r="K16786" s="1" t="str">
        <f t="shared" si="4"/>
        <v/>
      </c>
    </row>
    <row r="16787">
      <c r="F16787" s="1" t="str">
        <f t="shared" si="1"/>
        <v/>
      </c>
      <c r="G16787" s="1" t="str">
        <f t="shared" si="2"/>
        <v/>
      </c>
      <c r="J16787" s="1" t="str">
        <f t="shared" si="3"/>
        <v/>
      </c>
      <c r="K16787" s="1" t="str">
        <f t="shared" si="4"/>
        <v/>
      </c>
    </row>
    <row r="16788">
      <c r="F16788" s="1" t="str">
        <f t="shared" si="1"/>
        <v/>
      </c>
      <c r="G16788" s="1" t="str">
        <f t="shared" si="2"/>
        <v/>
      </c>
      <c r="J16788" s="1" t="str">
        <f t="shared" si="3"/>
        <v/>
      </c>
      <c r="K16788" s="1" t="str">
        <f t="shared" si="4"/>
        <v/>
      </c>
    </row>
    <row r="16789">
      <c r="F16789" s="1" t="str">
        <f t="shared" si="1"/>
        <v/>
      </c>
      <c r="G16789" s="1" t="str">
        <f t="shared" si="2"/>
        <v/>
      </c>
      <c r="J16789" s="1" t="str">
        <f t="shared" si="3"/>
        <v/>
      </c>
      <c r="K16789" s="1" t="str">
        <f t="shared" si="4"/>
        <v/>
      </c>
    </row>
    <row r="16790">
      <c r="F16790" s="1" t="str">
        <f t="shared" si="1"/>
        <v/>
      </c>
      <c r="G16790" s="1" t="str">
        <f t="shared" si="2"/>
        <v/>
      </c>
      <c r="J16790" s="1" t="str">
        <f t="shared" si="3"/>
        <v/>
      </c>
      <c r="K16790" s="1" t="str">
        <f t="shared" si="4"/>
        <v/>
      </c>
    </row>
    <row r="16791">
      <c r="F16791" s="1" t="str">
        <f t="shared" si="1"/>
        <v/>
      </c>
      <c r="G16791" s="1" t="str">
        <f t="shared" si="2"/>
        <v/>
      </c>
      <c r="J16791" s="1" t="str">
        <f t="shared" si="3"/>
        <v/>
      </c>
      <c r="K16791" s="1" t="str">
        <f t="shared" si="4"/>
        <v/>
      </c>
    </row>
    <row r="16792">
      <c r="F16792" s="1" t="str">
        <f t="shared" si="1"/>
        <v/>
      </c>
      <c r="G16792" s="1" t="str">
        <f t="shared" si="2"/>
        <v/>
      </c>
      <c r="J16792" s="1" t="str">
        <f t="shared" si="3"/>
        <v/>
      </c>
      <c r="K16792" s="1" t="str">
        <f t="shared" si="4"/>
        <v/>
      </c>
    </row>
    <row r="16793">
      <c r="F16793" s="1" t="str">
        <f t="shared" si="1"/>
        <v/>
      </c>
      <c r="G16793" s="1" t="str">
        <f t="shared" si="2"/>
        <v/>
      </c>
      <c r="J16793" s="1" t="str">
        <f t="shared" si="3"/>
        <v/>
      </c>
      <c r="K16793" s="1" t="str">
        <f t="shared" si="4"/>
        <v/>
      </c>
    </row>
    <row r="16794">
      <c r="F16794" s="1" t="str">
        <f t="shared" si="1"/>
        <v/>
      </c>
      <c r="G16794" s="1" t="str">
        <f t="shared" si="2"/>
        <v/>
      </c>
      <c r="J16794" s="1" t="str">
        <f t="shared" si="3"/>
        <v/>
      </c>
      <c r="K16794" s="1" t="str">
        <f t="shared" si="4"/>
        <v/>
      </c>
    </row>
    <row r="16795">
      <c r="F16795" s="1" t="str">
        <f t="shared" si="1"/>
        <v/>
      </c>
      <c r="G16795" s="1" t="str">
        <f t="shared" si="2"/>
        <v/>
      </c>
      <c r="J16795" s="1" t="str">
        <f t="shared" si="3"/>
        <v/>
      </c>
      <c r="K16795" s="1" t="str">
        <f t="shared" si="4"/>
        <v/>
      </c>
    </row>
    <row r="16796">
      <c r="F16796" s="1" t="str">
        <f t="shared" si="1"/>
        <v/>
      </c>
      <c r="G16796" s="1" t="str">
        <f t="shared" si="2"/>
        <v/>
      </c>
      <c r="J16796" s="1" t="str">
        <f t="shared" si="3"/>
        <v/>
      </c>
      <c r="K16796" s="1" t="str">
        <f t="shared" si="4"/>
        <v/>
      </c>
    </row>
    <row r="16797">
      <c r="F16797" s="1" t="str">
        <f t="shared" si="1"/>
        <v/>
      </c>
      <c r="G16797" s="1" t="str">
        <f t="shared" si="2"/>
        <v/>
      </c>
      <c r="J16797" s="1" t="str">
        <f t="shared" si="3"/>
        <v/>
      </c>
      <c r="K16797" s="1" t="str">
        <f t="shared" si="4"/>
        <v/>
      </c>
    </row>
    <row r="16798">
      <c r="F16798" s="1" t="str">
        <f t="shared" si="1"/>
        <v/>
      </c>
      <c r="G16798" s="1" t="str">
        <f t="shared" si="2"/>
        <v/>
      </c>
      <c r="J16798" s="1" t="str">
        <f t="shared" si="3"/>
        <v/>
      </c>
      <c r="K16798" s="1" t="str">
        <f t="shared" si="4"/>
        <v/>
      </c>
    </row>
    <row r="16799">
      <c r="F16799" s="1" t="str">
        <f t="shared" si="1"/>
        <v/>
      </c>
      <c r="G16799" s="1" t="str">
        <f t="shared" si="2"/>
        <v/>
      </c>
      <c r="J16799" s="1" t="str">
        <f t="shared" si="3"/>
        <v/>
      </c>
      <c r="K16799" s="1" t="str">
        <f t="shared" si="4"/>
        <v/>
      </c>
    </row>
    <row r="16800">
      <c r="F16800" s="1" t="str">
        <f t="shared" si="1"/>
        <v/>
      </c>
      <c r="G16800" s="1" t="str">
        <f t="shared" si="2"/>
        <v/>
      </c>
      <c r="J16800" s="1" t="str">
        <f t="shared" si="3"/>
        <v/>
      </c>
      <c r="K16800" s="1" t="str">
        <f t="shared" si="4"/>
        <v/>
      </c>
    </row>
    <row r="16801">
      <c r="F16801" s="1" t="str">
        <f t="shared" si="1"/>
        <v/>
      </c>
      <c r="G16801" s="1" t="str">
        <f t="shared" si="2"/>
        <v/>
      </c>
      <c r="J16801" s="1" t="str">
        <f t="shared" si="3"/>
        <v/>
      </c>
      <c r="K16801" s="1" t="str">
        <f t="shared" si="4"/>
        <v/>
      </c>
    </row>
    <row r="16802">
      <c r="F16802" s="1" t="str">
        <f t="shared" si="1"/>
        <v/>
      </c>
      <c r="G16802" s="1" t="str">
        <f t="shared" si="2"/>
        <v/>
      </c>
      <c r="J16802" s="1" t="str">
        <f t="shared" si="3"/>
        <v/>
      </c>
      <c r="K16802" s="1" t="str">
        <f t="shared" si="4"/>
        <v/>
      </c>
    </row>
    <row r="16803">
      <c r="F16803" s="1" t="str">
        <f t="shared" si="1"/>
        <v/>
      </c>
      <c r="G16803" s="1" t="str">
        <f t="shared" si="2"/>
        <v/>
      </c>
      <c r="J16803" s="1" t="str">
        <f t="shared" si="3"/>
        <v/>
      </c>
      <c r="K16803" s="1" t="str">
        <f t="shared" si="4"/>
        <v/>
      </c>
    </row>
    <row r="16804">
      <c r="F16804" s="1" t="str">
        <f t="shared" si="1"/>
        <v/>
      </c>
      <c r="G16804" s="1" t="str">
        <f t="shared" si="2"/>
        <v/>
      </c>
      <c r="J16804" s="1" t="str">
        <f t="shared" si="3"/>
        <v/>
      </c>
      <c r="K16804" s="1" t="str">
        <f t="shared" si="4"/>
        <v/>
      </c>
    </row>
    <row r="16805">
      <c r="F16805" s="1" t="str">
        <f t="shared" si="1"/>
        <v/>
      </c>
      <c r="G16805" s="1" t="str">
        <f t="shared" si="2"/>
        <v/>
      </c>
      <c r="J16805" s="1" t="str">
        <f t="shared" si="3"/>
        <v/>
      </c>
      <c r="K16805" s="1" t="str">
        <f t="shared" si="4"/>
        <v/>
      </c>
    </row>
    <row r="16806">
      <c r="F16806" s="1" t="str">
        <f t="shared" si="1"/>
        <v/>
      </c>
      <c r="G16806" s="1" t="str">
        <f t="shared" si="2"/>
        <v/>
      </c>
      <c r="J16806" s="1" t="str">
        <f t="shared" si="3"/>
        <v/>
      </c>
      <c r="K16806" s="1" t="str">
        <f t="shared" si="4"/>
        <v/>
      </c>
    </row>
    <row r="16807">
      <c r="F16807" s="1" t="str">
        <f t="shared" si="1"/>
        <v/>
      </c>
      <c r="G16807" s="1" t="str">
        <f t="shared" si="2"/>
        <v/>
      </c>
      <c r="J16807" s="1" t="str">
        <f t="shared" si="3"/>
        <v/>
      </c>
      <c r="K16807" s="1" t="str">
        <f t="shared" si="4"/>
        <v/>
      </c>
    </row>
    <row r="16808">
      <c r="F16808" s="1" t="str">
        <f t="shared" si="1"/>
        <v/>
      </c>
      <c r="G16808" s="1" t="str">
        <f t="shared" si="2"/>
        <v/>
      </c>
      <c r="J16808" s="1" t="str">
        <f t="shared" si="3"/>
        <v/>
      </c>
      <c r="K16808" s="1" t="str">
        <f t="shared" si="4"/>
        <v/>
      </c>
    </row>
    <row r="16809">
      <c r="F16809" s="1" t="str">
        <f t="shared" si="1"/>
        <v/>
      </c>
      <c r="G16809" s="1" t="str">
        <f t="shared" si="2"/>
        <v/>
      </c>
      <c r="J16809" s="1" t="str">
        <f t="shared" si="3"/>
        <v/>
      </c>
      <c r="K16809" s="1" t="str">
        <f t="shared" si="4"/>
        <v/>
      </c>
    </row>
    <row r="16810">
      <c r="F16810" s="1" t="str">
        <f t="shared" si="1"/>
        <v/>
      </c>
      <c r="G16810" s="1" t="str">
        <f t="shared" si="2"/>
        <v/>
      </c>
      <c r="J16810" s="1" t="str">
        <f t="shared" si="3"/>
        <v/>
      </c>
      <c r="K16810" s="1" t="str">
        <f t="shared" si="4"/>
        <v/>
      </c>
    </row>
    <row r="16811">
      <c r="F16811" s="1" t="str">
        <f t="shared" si="1"/>
        <v/>
      </c>
      <c r="G16811" s="1" t="str">
        <f t="shared" si="2"/>
        <v/>
      </c>
      <c r="J16811" s="1" t="str">
        <f t="shared" si="3"/>
        <v/>
      </c>
      <c r="K16811" s="1" t="str">
        <f t="shared" si="4"/>
        <v/>
      </c>
    </row>
    <row r="16812">
      <c r="F16812" s="1" t="str">
        <f t="shared" si="1"/>
        <v/>
      </c>
      <c r="G16812" s="1" t="str">
        <f t="shared" si="2"/>
        <v/>
      </c>
      <c r="J16812" s="1" t="str">
        <f t="shared" si="3"/>
        <v/>
      </c>
      <c r="K16812" s="1" t="str">
        <f t="shared" si="4"/>
        <v/>
      </c>
    </row>
    <row r="16813">
      <c r="F16813" s="1" t="str">
        <f t="shared" si="1"/>
        <v/>
      </c>
      <c r="G16813" s="1" t="str">
        <f t="shared" si="2"/>
        <v/>
      </c>
      <c r="J16813" s="1" t="str">
        <f t="shared" si="3"/>
        <v/>
      </c>
      <c r="K16813" s="1" t="str">
        <f t="shared" si="4"/>
        <v/>
      </c>
    </row>
    <row r="16814">
      <c r="F16814" s="1" t="str">
        <f t="shared" si="1"/>
        <v/>
      </c>
      <c r="G16814" s="1" t="str">
        <f t="shared" si="2"/>
        <v/>
      </c>
      <c r="J16814" s="1" t="str">
        <f t="shared" si="3"/>
        <v/>
      </c>
      <c r="K16814" s="1" t="str">
        <f t="shared" si="4"/>
        <v/>
      </c>
    </row>
    <row r="16815">
      <c r="F16815" s="1" t="str">
        <f t="shared" si="1"/>
        <v/>
      </c>
      <c r="G16815" s="1" t="str">
        <f t="shared" si="2"/>
        <v/>
      </c>
      <c r="J16815" s="1" t="str">
        <f t="shared" si="3"/>
        <v/>
      </c>
      <c r="K16815" s="1" t="str">
        <f t="shared" si="4"/>
        <v/>
      </c>
    </row>
    <row r="16816">
      <c r="F16816" s="1" t="str">
        <f t="shared" si="1"/>
        <v/>
      </c>
      <c r="G16816" s="1" t="str">
        <f t="shared" si="2"/>
        <v/>
      </c>
      <c r="J16816" s="1" t="str">
        <f t="shared" si="3"/>
        <v/>
      </c>
      <c r="K16816" s="1" t="str">
        <f t="shared" si="4"/>
        <v/>
      </c>
    </row>
    <row r="16817">
      <c r="F16817" s="1" t="str">
        <f t="shared" si="1"/>
        <v/>
      </c>
      <c r="G16817" s="1" t="str">
        <f t="shared" si="2"/>
        <v/>
      </c>
      <c r="J16817" s="1" t="str">
        <f t="shared" si="3"/>
        <v/>
      </c>
      <c r="K16817" s="1" t="str">
        <f t="shared" si="4"/>
        <v/>
      </c>
    </row>
    <row r="16818">
      <c r="F16818" s="1" t="str">
        <f t="shared" si="1"/>
        <v/>
      </c>
      <c r="G16818" s="1" t="str">
        <f t="shared" si="2"/>
        <v/>
      </c>
      <c r="J16818" s="1" t="str">
        <f t="shared" si="3"/>
        <v/>
      </c>
      <c r="K16818" s="1" t="str">
        <f t="shared" si="4"/>
        <v/>
      </c>
    </row>
    <row r="16819">
      <c r="F16819" s="1" t="str">
        <f t="shared" si="1"/>
        <v/>
      </c>
      <c r="G16819" s="1" t="str">
        <f t="shared" si="2"/>
        <v/>
      </c>
      <c r="J16819" s="1" t="str">
        <f t="shared" si="3"/>
        <v/>
      </c>
      <c r="K16819" s="1" t="str">
        <f t="shared" si="4"/>
        <v/>
      </c>
    </row>
    <row r="16820">
      <c r="F16820" s="1" t="str">
        <f t="shared" si="1"/>
        <v/>
      </c>
      <c r="G16820" s="1" t="str">
        <f t="shared" si="2"/>
        <v/>
      </c>
      <c r="J16820" s="1" t="str">
        <f t="shared" si="3"/>
        <v/>
      </c>
      <c r="K16820" s="1" t="str">
        <f t="shared" si="4"/>
        <v/>
      </c>
    </row>
    <row r="16821">
      <c r="F16821" s="1" t="str">
        <f t="shared" si="1"/>
        <v/>
      </c>
      <c r="G16821" s="1" t="str">
        <f t="shared" si="2"/>
        <v/>
      </c>
      <c r="J16821" s="1" t="str">
        <f t="shared" si="3"/>
        <v/>
      </c>
      <c r="K16821" s="1" t="str">
        <f t="shared" si="4"/>
        <v/>
      </c>
    </row>
    <row r="16822">
      <c r="F16822" s="1" t="str">
        <f t="shared" si="1"/>
        <v/>
      </c>
      <c r="G16822" s="1" t="str">
        <f t="shared" si="2"/>
        <v/>
      </c>
      <c r="J16822" s="1" t="str">
        <f t="shared" si="3"/>
        <v/>
      </c>
      <c r="K16822" s="1" t="str">
        <f t="shared" si="4"/>
        <v/>
      </c>
    </row>
    <row r="16823">
      <c r="F16823" s="1" t="str">
        <f t="shared" si="1"/>
        <v/>
      </c>
      <c r="G16823" s="1" t="str">
        <f t="shared" si="2"/>
        <v/>
      </c>
      <c r="J16823" s="1" t="str">
        <f t="shared" si="3"/>
        <v/>
      </c>
      <c r="K16823" s="1" t="str">
        <f t="shared" si="4"/>
        <v/>
      </c>
    </row>
    <row r="16824">
      <c r="F16824" s="1" t="str">
        <f t="shared" si="1"/>
        <v/>
      </c>
      <c r="G16824" s="1" t="str">
        <f t="shared" si="2"/>
        <v/>
      </c>
      <c r="J16824" s="1" t="str">
        <f t="shared" si="3"/>
        <v/>
      </c>
      <c r="K16824" s="1" t="str">
        <f t="shared" si="4"/>
        <v/>
      </c>
    </row>
    <row r="16825">
      <c r="F16825" s="1" t="str">
        <f t="shared" si="1"/>
        <v/>
      </c>
      <c r="G16825" s="1" t="str">
        <f t="shared" si="2"/>
        <v/>
      </c>
      <c r="J16825" s="1" t="str">
        <f t="shared" si="3"/>
        <v/>
      </c>
      <c r="K16825" s="1" t="str">
        <f t="shared" si="4"/>
        <v/>
      </c>
    </row>
    <row r="16826">
      <c r="F16826" s="1" t="str">
        <f t="shared" si="1"/>
        <v/>
      </c>
      <c r="G16826" s="1" t="str">
        <f t="shared" si="2"/>
        <v/>
      </c>
      <c r="J16826" s="1" t="str">
        <f t="shared" si="3"/>
        <v/>
      </c>
      <c r="K16826" s="1" t="str">
        <f t="shared" si="4"/>
        <v/>
      </c>
    </row>
    <row r="16827">
      <c r="F16827" s="1" t="str">
        <f t="shared" si="1"/>
        <v/>
      </c>
      <c r="G16827" s="1" t="str">
        <f t="shared" si="2"/>
        <v/>
      </c>
      <c r="J16827" s="1" t="str">
        <f t="shared" si="3"/>
        <v/>
      </c>
      <c r="K16827" s="1" t="str">
        <f t="shared" si="4"/>
        <v/>
      </c>
    </row>
    <row r="16828">
      <c r="F16828" s="1" t="str">
        <f t="shared" si="1"/>
        <v/>
      </c>
      <c r="G16828" s="1" t="str">
        <f t="shared" si="2"/>
        <v/>
      </c>
      <c r="J16828" s="1" t="str">
        <f t="shared" si="3"/>
        <v/>
      </c>
      <c r="K16828" s="1" t="str">
        <f t="shared" si="4"/>
        <v/>
      </c>
    </row>
    <row r="16829">
      <c r="F16829" s="1" t="str">
        <f t="shared" si="1"/>
        <v/>
      </c>
      <c r="G16829" s="1" t="str">
        <f t="shared" si="2"/>
        <v/>
      </c>
      <c r="J16829" s="1" t="str">
        <f t="shared" si="3"/>
        <v/>
      </c>
      <c r="K16829" s="1" t="str">
        <f t="shared" si="4"/>
        <v/>
      </c>
    </row>
    <row r="16830">
      <c r="F16830" s="1" t="str">
        <f t="shared" si="1"/>
        <v/>
      </c>
      <c r="G16830" s="1" t="str">
        <f t="shared" si="2"/>
        <v/>
      </c>
      <c r="J16830" s="1" t="str">
        <f t="shared" si="3"/>
        <v/>
      </c>
      <c r="K16830" s="1" t="str">
        <f t="shared" si="4"/>
        <v/>
      </c>
    </row>
    <row r="16831">
      <c r="F16831" s="1" t="str">
        <f t="shared" si="1"/>
        <v/>
      </c>
      <c r="G16831" s="1" t="str">
        <f t="shared" si="2"/>
        <v/>
      </c>
      <c r="J16831" s="1" t="str">
        <f t="shared" si="3"/>
        <v/>
      </c>
      <c r="K16831" s="1" t="str">
        <f t="shared" si="4"/>
        <v/>
      </c>
    </row>
    <row r="16832">
      <c r="F16832" s="1" t="str">
        <f t="shared" si="1"/>
        <v/>
      </c>
      <c r="G16832" s="1" t="str">
        <f t="shared" si="2"/>
        <v/>
      </c>
      <c r="J16832" s="1" t="str">
        <f t="shared" si="3"/>
        <v/>
      </c>
      <c r="K16832" s="1" t="str">
        <f t="shared" si="4"/>
        <v/>
      </c>
    </row>
    <row r="16833">
      <c r="F16833" s="1" t="str">
        <f t="shared" si="1"/>
        <v/>
      </c>
      <c r="G16833" s="1" t="str">
        <f t="shared" si="2"/>
        <v/>
      </c>
      <c r="J16833" s="1" t="str">
        <f t="shared" si="3"/>
        <v/>
      </c>
      <c r="K16833" s="1" t="str">
        <f t="shared" si="4"/>
        <v/>
      </c>
    </row>
    <row r="16834">
      <c r="F16834" s="1" t="str">
        <f t="shared" si="1"/>
        <v/>
      </c>
      <c r="G16834" s="1" t="str">
        <f t="shared" si="2"/>
        <v/>
      </c>
      <c r="J16834" s="1" t="str">
        <f t="shared" si="3"/>
        <v/>
      </c>
      <c r="K16834" s="1" t="str">
        <f t="shared" si="4"/>
        <v/>
      </c>
    </row>
    <row r="16835">
      <c r="F16835" s="1" t="str">
        <f t="shared" si="1"/>
        <v/>
      </c>
      <c r="G16835" s="1" t="str">
        <f t="shared" si="2"/>
        <v/>
      </c>
      <c r="J16835" s="1" t="str">
        <f t="shared" si="3"/>
        <v/>
      </c>
      <c r="K16835" s="1" t="str">
        <f t="shared" si="4"/>
        <v/>
      </c>
    </row>
    <row r="16836">
      <c r="F16836" s="1" t="str">
        <f t="shared" si="1"/>
        <v/>
      </c>
      <c r="G16836" s="1" t="str">
        <f t="shared" si="2"/>
        <v/>
      </c>
      <c r="J16836" s="1" t="str">
        <f t="shared" si="3"/>
        <v/>
      </c>
      <c r="K16836" s="1" t="str">
        <f t="shared" si="4"/>
        <v/>
      </c>
    </row>
    <row r="16837">
      <c r="F16837" s="1" t="str">
        <f t="shared" si="1"/>
        <v/>
      </c>
      <c r="G16837" s="1" t="str">
        <f t="shared" si="2"/>
        <v/>
      </c>
      <c r="J16837" s="1" t="str">
        <f t="shared" si="3"/>
        <v/>
      </c>
      <c r="K16837" s="1" t="str">
        <f t="shared" si="4"/>
        <v/>
      </c>
    </row>
    <row r="16838">
      <c r="F16838" s="1" t="str">
        <f t="shared" si="1"/>
        <v/>
      </c>
      <c r="G16838" s="1" t="str">
        <f t="shared" si="2"/>
        <v/>
      </c>
      <c r="J16838" s="1" t="str">
        <f t="shared" si="3"/>
        <v/>
      </c>
      <c r="K16838" s="1" t="str">
        <f t="shared" si="4"/>
        <v/>
      </c>
    </row>
    <row r="16839">
      <c r="F16839" s="1" t="str">
        <f t="shared" si="1"/>
        <v/>
      </c>
      <c r="G16839" s="1" t="str">
        <f t="shared" si="2"/>
        <v/>
      </c>
      <c r="J16839" s="1" t="str">
        <f t="shared" si="3"/>
        <v/>
      </c>
      <c r="K16839" s="1" t="str">
        <f t="shared" si="4"/>
        <v/>
      </c>
    </row>
    <row r="16840">
      <c r="F16840" s="1" t="str">
        <f t="shared" si="1"/>
        <v/>
      </c>
      <c r="G16840" s="1" t="str">
        <f t="shared" si="2"/>
        <v/>
      </c>
      <c r="J16840" s="1" t="str">
        <f t="shared" si="3"/>
        <v/>
      </c>
      <c r="K16840" s="1" t="str">
        <f t="shared" si="4"/>
        <v/>
      </c>
    </row>
    <row r="16841">
      <c r="F16841" s="1" t="str">
        <f t="shared" si="1"/>
        <v/>
      </c>
      <c r="G16841" s="1" t="str">
        <f t="shared" si="2"/>
        <v/>
      </c>
      <c r="J16841" s="1" t="str">
        <f t="shared" si="3"/>
        <v/>
      </c>
      <c r="K16841" s="1" t="str">
        <f t="shared" si="4"/>
        <v/>
      </c>
    </row>
    <row r="16842">
      <c r="F16842" s="1" t="str">
        <f t="shared" si="1"/>
        <v/>
      </c>
      <c r="G16842" s="1" t="str">
        <f t="shared" si="2"/>
        <v/>
      </c>
      <c r="J16842" s="1" t="str">
        <f t="shared" si="3"/>
        <v/>
      </c>
      <c r="K16842" s="1" t="str">
        <f t="shared" si="4"/>
        <v/>
      </c>
    </row>
    <row r="16843">
      <c r="F16843" s="1" t="str">
        <f t="shared" si="1"/>
        <v/>
      </c>
      <c r="G16843" s="1" t="str">
        <f t="shared" si="2"/>
        <v/>
      </c>
      <c r="J16843" s="1" t="str">
        <f t="shared" si="3"/>
        <v/>
      </c>
      <c r="K16843" s="1" t="str">
        <f t="shared" si="4"/>
        <v/>
      </c>
    </row>
    <row r="16844">
      <c r="F16844" s="1" t="str">
        <f t="shared" si="1"/>
        <v/>
      </c>
      <c r="G16844" s="1" t="str">
        <f t="shared" si="2"/>
        <v/>
      </c>
      <c r="J16844" s="1" t="str">
        <f t="shared" si="3"/>
        <v/>
      </c>
      <c r="K16844" s="1" t="str">
        <f t="shared" si="4"/>
        <v/>
      </c>
    </row>
    <row r="16845">
      <c r="F16845" s="1" t="str">
        <f t="shared" si="1"/>
        <v/>
      </c>
      <c r="G16845" s="1" t="str">
        <f t="shared" si="2"/>
        <v/>
      </c>
      <c r="J16845" s="1" t="str">
        <f t="shared" si="3"/>
        <v/>
      </c>
      <c r="K16845" s="1" t="str">
        <f t="shared" si="4"/>
        <v/>
      </c>
    </row>
    <row r="16846">
      <c r="F16846" s="1" t="str">
        <f t="shared" si="1"/>
        <v/>
      </c>
      <c r="G16846" s="1" t="str">
        <f t="shared" si="2"/>
        <v/>
      </c>
      <c r="J16846" s="1" t="str">
        <f t="shared" si="3"/>
        <v/>
      </c>
      <c r="K16846" s="1" t="str">
        <f t="shared" si="4"/>
        <v/>
      </c>
    </row>
    <row r="16847">
      <c r="F16847" s="1" t="str">
        <f t="shared" si="1"/>
        <v/>
      </c>
      <c r="G16847" s="1" t="str">
        <f t="shared" si="2"/>
        <v/>
      </c>
      <c r="J16847" s="1" t="str">
        <f t="shared" si="3"/>
        <v/>
      </c>
      <c r="K16847" s="1" t="str">
        <f t="shared" si="4"/>
        <v/>
      </c>
    </row>
    <row r="16848">
      <c r="F16848" s="1" t="str">
        <f t="shared" si="1"/>
        <v/>
      </c>
      <c r="G16848" s="1" t="str">
        <f t="shared" si="2"/>
        <v/>
      </c>
      <c r="J16848" s="1" t="str">
        <f t="shared" si="3"/>
        <v/>
      </c>
      <c r="K16848" s="1" t="str">
        <f t="shared" si="4"/>
        <v/>
      </c>
    </row>
    <row r="16849">
      <c r="F16849" s="1" t="str">
        <f t="shared" si="1"/>
        <v/>
      </c>
      <c r="G16849" s="1" t="str">
        <f t="shared" si="2"/>
        <v/>
      </c>
      <c r="J16849" s="1" t="str">
        <f t="shared" si="3"/>
        <v/>
      </c>
      <c r="K16849" s="1" t="str">
        <f t="shared" si="4"/>
        <v/>
      </c>
    </row>
    <row r="16850">
      <c r="F16850" s="1" t="str">
        <f t="shared" si="1"/>
        <v/>
      </c>
      <c r="G16850" s="1" t="str">
        <f t="shared" si="2"/>
        <v/>
      </c>
      <c r="J16850" s="1" t="str">
        <f t="shared" si="3"/>
        <v/>
      </c>
      <c r="K16850" s="1" t="str">
        <f t="shared" si="4"/>
        <v/>
      </c>
    </row>
    <row r="16851">
      <c r="F16851" s="1" t="str">
        <f t="shared" si="1"/>
        <v/>
      </c>
      <c r="G16851" s="1" t="str">
        <f t="shared" si="2"/>
        <v/>
      </c>
      <c r="J16851" s="1" t="str">
        <f t="shared" si="3"/>
        <v/>
      </c>
      <c r="K16851" s="1" t="str">
        <f t="shared" si="4"/>
        <v/>
      </c>
    </row>
    <row r="16852">
      <c r="F16852" s="1" t="str">
        <f t="shared" si="1"/>
        <v/>
      </c>
      <c r="G16852" s="1" t="str">
        <f t="shared" si="2"/>
        <v/>
      </c>
      <c r="J16852" s="1" t="str">
        <f t="shared" si="3"/>
        <v/>
      </c>
      <c r="K16852" s="1" t="str">
        <f t="shared" si="4"/>
        <v/>
      </c>
    </row>
    <row r="16853">
      <c r="F16853" s="1" t="str">
        <f t="shared" si="1"/>
        <v/>
      </c>
      <c r="G16853" s="1" t="str">
        <f t="shared" si="2"/>
        <v/>
      </c>
      <c r="J16853" s="1" t="str">
        <f t="shared" si="3"/>
        <v/>
      </c>
      <c r="K16853" s="1" t="str">
        <f t="shared" si="4"/>
        <v/>
      </c>
    </row>
    <row r="16854">
      <c r="F16854" s="1" t="str">
        <f t="shared" si="1"/>
        <v/>
      </c>
      <c r="G16854" s="1" t="str">
        <f t="shared" si="2"/>
        <v/>
      </c>
      <c r="J16854" s="1" t="str">
        <f t="shared" si="3"/>
        <v/>
      </c>
      <c r="K16854" s="1" t="str">
        <f t="shared" si="4"/>
        <v/>
      </c>
    </row>
    <row r="16855">
      <c r="F16855" s="1" t="str">
        <f t="shared" si="1"/>
        <v/>
      </c>
      <c r="G16855" s="1" t="str">
        <f t="shared" si="2"/>
        <v/>
      </c>
      <c r="J16855" s="1" t="str">
        <f t="shared" si="3"/>
        <v/>
      </c>
      <c r="K16855" s="1" t="str">
        <f t="shared" si="4"/>
        <v/>
      </c>
    </row>
    <row r="16856">
      <c r="F16856" s="1" t="str">
        <f t="shared" si="1"/>
        <v/>
      </c>
      <c r="G16856" s="1" t="str">
        <f t="shared" si="2"/>
        <v/>
      </c>
      <c r="J16856" s="1" t="str">
        <f t="shared" si="3"/>
        <v/>
      </c>
      <c r="K16856" s="1" t="str">
        <f t="shared" si="4"/>
        <v/>
      </c>
    </row>
    <row r="16857">
      <c r="F16857" s="1" t="str">
        <f t="shared" si="1"/>
        <v/>
      </c>
      <c r="G16857" s="1" t="str">
        <f t="shared" si="2"/>
        <v/>
      </c>
      <c r="J16857" s="1" t="str">
        <f t="shared" si="3"/>
        <v/>
      </c>
      <c r="K16857" s="1" t="str">
        <f t="shared" si="4"/>
        <v/>
      </c>
    </row>
    <row r="16858">
      <c r="F16858" s="1" t="str">
        <f t="shared" si="1"/>
        <v/>
      </c>
      <c r="G16858" s="1" t="str">
        <f t="shared" si="2"/>
        <v/>
      </c>
      <c r="J16858" s="1" t="str">
        <f t="shared" si="3"/>
        <v/>
      </c>
      <c r="K16858" s="1" t="str">
        <f t="shared" si="4"/>
        <v/>
      </c>
    </row>
    <row r="16859">
      <c r="F16859" s="1" t="str">
        <f t="shared" si="1"/>
        <v/>
      </c>
      <c r="G16859" s="1" t="str">
        <f t="shared" si="2"/>
        <v/>
      </c>
      <c r="J16859" s="1" t="str">
        <f t="shared" si="3"/>
        <v/>
      </c>
      <c r="K16859" s="1" t="str">
        <f t="shared" si="4"/>
        <v/>
      </c>
    </row>
    <row r="16860">
      <c r="F16860" s="1" t="str">
        <f t="shared" si="1"/>
        <v/>
      </c>
      <c r="G16860" s="1" t="str">
        <f t="shared" si="2"/>
        <v/>
      </c>
      <c r="J16860" s="1" t="str">
        <f t="shared" si="3"/>
        <v/>
      </c>
      <c r="K16860" s="1" t="str">
        <f t="shared" si="4"/>
        <v/>
      </c>
    </row>
    <row r="16861">
      <c r="F16861" s="1" t="str">
        <f t="shared" si="1"/>
        <v/>
      </c>
      <c r="G16861" s="1" t="str">
        <f t="shared" si="2"/>
        <v/>
      </c>
      <c r="J16861" s="1" t="str">
        <f t="shared" si="3"/>
        <v/>
      </c>
      <c r="K16861" s="1" t="str">
        <f t="shared" si="4"/>
        <v/>
      </c>
    </row>
    <row r="16862">
      <c r="F16862" s="1" t="str">
        <f t="shared" si="1"/>
        <v/>
      </c>
      <c r="G16862" s="1" t="str">
        <f t="shared" si="2"/>
        <v/>
      </c>
      <c r="J16862" s="1" t="str">
        <f t="shared" si="3"/>
        <v/>
      </c>
      <c r="K16862" s="1" t="str">
        <f t="shared" si="4"/>
        <v/>
      </c>
    </row>
    <row r="16863">
      <c r="F16863" s="1" t="str">
        <f t="shared" si="1"/>
        <v/>
      </c>
      <c r="G16863" s="1" t="str">
        <f t="shared" si="2"/>
        <v/>
      </c>
      <c r="J16863" s="1" t="str">
        <f t="shared" si="3"/>
        <v/>
      </c>
      <c r="K16863" s="1" t="str">
        <f t="shared" si="4"/>
        <v/>
      </c>
    </row>
    <row r="16864">
      <c r="F16864" s="1" t="str">
        <f t="shared" si="1"/>
        <v/>
      </c>
      <c r="G16864" s="1" t="str">
        <f t="shared" si="2"/>
        <v/>
      </c>
      <c r="J16864" s="1" t="str">
        <f t="shared" si="3"/>
        <v/>
      </c>
      <c r="K16864" s="1" t="str">
        <f t="shared" si="4"/>
        <v/>
      </c>
    </row>
    <row r="16865">
      <c r="F16865" s="1" t="str">
        <f t="shared" si="1"/>
        <v/>
      </c>
      <c r="G16865" s="1" t="str">
        <f t="shared" si="2"/>
        <v/>
      </c>
      <c r="J16865" s="1" t="str">
        <f t="shared" si="3"/>
        <v/>
      </c>
      <c r="K16865" s="1" t="str">
        <f t="shared" si="4"/>
        <v/>
      </c>
    </row>
    <row r="16866">
      <c r="F16866" s="1" t="str">
        <f t="shared" si="1"/>
        <v/>
      </c>
      <c r="G16866" s="1" t="str">
        <f t="shared" si="2"/>
        <v/>
      </c>
      <c r="J16866" s="1" t="str">
        <f t="shared" si="3"/>
        <v/>
      </c>
      <c r="K16866" s="1" t="str">
        <f t="shared" si="4"/>
        <v/>
      </c>
    </row>
    <row r="16867">
      <c r="F16867" s="1" t="str">
        <f t="shared" si="1"/>
        <v/>
      </c>
      <c r="G16867" s="1" t="str">
        <f t="shared" si="2"/>
        <v/>
      </c>
      <c r="J16867" s="1" t="str">
        <f t="shared" si="3"/>
        <v/>
      </c>
      <c r="K16867" s="1" t="str">
        <f t="shared" si="4"/>
        <v/>
      </c>
    </row>
    <row r="16868">
      <c r="F16868" s="1" t="str">
        <f t="shared" si="1"/>
        <v/>
      </c>
      <c r="G16868" s="1" t="str">
        <f t="shared" si="2"/>
        <v/>
      </c>
      <c r="J16868" s="1" t="str">
        <f t="shared" si="3"/>
        <v/>
      </c>
      <c r="K16868" s="1" t="str">
        <f t="shared" si="4"/>
        <v/>
      </c>
    </row>
    <row r="16869">
      <c r="F16869" s="1" t="str">
        <f t="shared" si="1"/>
        <v/>
      </c>
      <c r="G16869" s="1" t="str">
        <f t="shared" si="2"/>
        <v/>
      </c>
      <c r="J16869" s="1" t="str">
        <f t="shared" si="3"/>
        <v/>
      </c>
      <c r="K16869" s="1" t="str">
        <f t="shared" si="4"/>
        <v/>
      </c>
    </row>
    <row r="16870">
      <c r="F16870" s="1" t="str">
        <f t="shared" si="1"/>
        <v/>
      </c>
      <c r="G16870" s="1" t="str">
        <f t="shared" si="2"/>
        <v/>
      </c>
      <c r="J16870" s="1" t="str">
        <f t="shared" si="3"/>
        <v/>
      </c>
      <c r="K16870" s="1" t="str">
        <f t="shared" si="4"/>
        <v/>
      </c>
    </row>
    <row r="16871">
      <c r="F16871" s="1" t="str">
        <f t="shared" si="1"/>
        <v/>
      </c>
      <c r="G16871" s="1" t="str">
        <f t="shared" si="2"/>
        <v/>
      </c>
      <c r="J16871" s="1" t="str">
        <f t="shared" si="3"/>
        <v/>
      </c>
      <c r="K16871" s="1" t="str">
        <f t="shared" si="4"/>
        <v/>
      </c>
    </row>
    <row r="16872">
      <c r="F16872" s="1" t="str">
        <f t="shared" si="1"/>
        <v/>
      </c>
      <c r="G16872" s="1" t="str">
        <f t="shared" si="2"/>
        <v/>
      </c>
      <c r="J16872" s="1" t="str">
        <f t="shared" si="3"/>
        <v/>
      </c>
      <c r="K16872" s="1" t="str">
        <f t="shared" si="4"/>
        <v/>
      </c>
    </row>
    <row r="16873">
      <c r="F16873" s="1" t="str">
        <f t="shared" si="1"/>
        <v/>
      </c>
      <c r="G16873" s="1" t="str">
        <f t="shared" si="2"/>
        <v/>
      </c>
      <c r="J16873" s="1" t="str">
        <f t="shared" si="3"/>
        <v/>
      </c>
      <c r="K16873" s="1" t="str">
        <f t="shared" si="4"/>
        <v/>
      </c>
    </row>
    <row r="16874">
      <c r="F16874" s="1" t="str">
        <f t="shared" si="1"/>
        <v/>
      </c>
      <c r="G16874" s="1" t="str">
        <f t="shared" si="2"/>
        <v/>
      </c>
      <c r="J16874" s="1" t="str">
        <f t="shared" si="3"/>
        <v/>
      </c>
      <c r="K16874" s="1" t="str">
        <f t="shared" si="4"/>
        <v/>
      </c>
    </row>
    <row r="16875">
      <c r="F16875" s="1" t="str">
        <f t="shared" si="1"/>
        <v/>
      </c>
      <c r="G16875" s="1" t="str">
        <f t="shared" si="2"/>
        <v/>
      </c>
      <c r="J16875" s="1" t="str">
        <f t="shared" si="3"/>
        <v/>
      </c>
      <c r="K16875" s="1" t="str">
        <f t="shared" si="4"/>
        <v/>
      </c>
    </row>
    <row r="16876">
      <c r="F16876" s="1" t="str">
        <f t="shared" si="1"/>
        <v/>
      </c>
      <c r="G16876" s="1" t="str">
        <f t="shared" si="2"/>
        <v/>
      </c>
      <c r="J16876" s="1" t="str">
        <f t="shared" si="3"/>
        <v/>
      </c>
      <c r="K16876" s="1" t="str">
        <f t="shared" si="4"/>
        <v/>
      </c>
    </row>
    <row r="16877">
      <c r="F16877" s="1" t="str">
        <f t="shared" si="1"/>
        <v/>
      </c>
      <c r="G16877" s="1" t="str">
        <f t="shared" si="2"/>
        <v/>
      </c>
      <c r="J16877" s="1" t="str">
        <f t="shared" si="3"/>
        <v/>
      </c>
      <c r="K16877" s="1" t="str">
        <f t="shared" si="4"/>
        <v/>
      </c>
    </row>
    <row r="16878">
      <c r="F16878" s="1" t="str">
        <f t="shared" si="1"/>
        <v/>
      </c>
      <c r="G16878" s="1" t="str">
        <f t="shared" si="2"/>
        <v/>
      </c>
      <c r="J16878" s="1" t="str">
        <f t="shared" si="3"/>
        <v/>
      </c>
      <c r="K16878" s="1" t="str">
        <f t="shared" si="4"/>
        <v/>
      </c>
    </row>
    <row r="16879">
      <c r="F16879" s="1" t="str">
        <f t="shared" si="1"/>
        <v/>
      </c>
      <c r="G16879" s="1" t="str">
        <f t="shared" si="2"/>
        <v/>
      </c>
      <c r="J16879" s="1" t="str">
        <f t="shared" si="3"/>
        <v/>
      </c>
      <c r="K16879" s="1" t="str">
        <f t="shared" si="4"/>
        <v/>
      </c>
    </row>
    <row r="16880">
      <c r="F16880" s="1" t="str">
        <f t="shared" si="1"/>
        <v/>
      </c>
      <c r="G16880" s="1" t="str">
        <f t="shared" si="2"/>
        <v/>
      </c>
      <c r="J16880" s="1" t="str">
        <f t="shared" si="3"/>
        <v/>
      </c>
      <c r="K16880" s="1" t="str">
        <f t="shared" si="4"/>
        <v/>
      </c>
    </row>
    <row r="16881">
      <c r="F16881" s="1" t="str">
        <f t="shared" si="1"/>
        <v/>
      </c>
      <c r="G16881" s="1" t="str">
        <f t="shared" si="2"/>
        <v/>
      </c>
      <c r="J16881" s="1" t="str">
        <f t="shared" si="3"/>
        <v/>
      </c>
      <c r="K16881" s="1" t="str">
        <f t="shared" si="4"/>
        <v/>
      </c>
    </row>
    <row r="16882">
      <c r="F16882" s="1" t="str">
        <f t="shared" si="1"/>
        <v/>
      </c>
      <c r="G16882" s="1" t="str">
        <f t="shared" si="2"/>
        <v/>
      </c>
      <c r="J16882" s="1" t="str">
        <f t="shared" si="3"/>
        <v/>
      </c>
      <c r="K16882" s="1" t="str">
        <f t="shared" si="4"/>
        <v/>
      </c>
    </row>
    <row r="16883">
      <c r="F16883" s="1" t="str">
        <f t="shared" si="1"/>
        <v/>
      </c>
      <c r="G16883" s="1" t="str">
        <f t="shared" si="2"/>
        <v/>
      </c>
      <c r="J16883" s="1" t="str">
        <f t="shared" si="3"/>
        <v/>
      </c>
      <c r="K16883" s="1" t="str">
        <f t="shared" si="4"/>
        <v/>
      </c>
    </row>
    <row r="16884">
      <c r="F16884" s="1" t="str">
        <f t="shared" si="1"/>
        <v/>
      </c>
      <c r="G16884" s="1" t="str">
        <f t="shared" si="2"/>
        <v/>
      </c>
      <c r="J16884" s="1" t="str">
        <f t="shared" si="3"/>
        <v/>
      </c>
      <c r="K16884" s="1" t="str">
        <f t="shared" si="4"/>
        <v/>
      </c>
    </row>
    <row r="16885">
      <c r="F16885" s="1" t="str">
        <f t="shared" si="1"/>
        <v/>
      </c>
      <c r="G16885" s="1" t="str">
        <f t="shared" si="2"/>
        <v/>
      </c>
      <c r="J16885" s="1" t="str">
        <f t="shared" si="3"/>
        <v/>
      </c>
      <c r="K16885" s="1" t="str">
        <f t="shared" si="4"/>
        <v/>
      </c>
    </row>
    <row r="16886">
      <c r="F16886" s="1" t="str">
        <f t="shared" si="1"/>
        <v/>
      </c>
      <c r="G16886" s="1" t="str">
        <f t="shared" si="2"/>
        <v/>
      </c>
      <c r="J16886" s="1" t="str">
        <f t="shared" si="3"/>
        <v/>
      </c>
      <c r="K16886" s="1" t="str">
        <f t="shared" si="4"/>
        <v/>
      </c>
    </row>
    <row r="16887">
      <c r="F16887" s="1" t="str">
        <f t="shared" si="1"/>
        <v/>
      </c>
      <c r="G16887" s="1" t="str">
        <f t="shared" si="2"/>
        <v/>
      </c>
      <c r="J16887" s="1" t="str">
        <f t="shared" si="3"/>
        <v/>
      </c>
      <c r="K16887" s="1" t="str">
        <f t="shared" si="4"/>
        <v/>
      </c>
    </row>
    <row r="16888">
      <c r="F16888" s="1" t="str">
        <f t="shared" si="1"/>
        <v/>
      </c>
      <c r="G16888" s="1" t="str">
        <f t="shared" si="2"/>
        <v/>
      </c>
      <c r="J16888" s="1" t="str">
        <f t="shared" si="3"/>
        <v/>
      </c>
      <c r="K16888" s="1" t="str">
        <f t="shared" si="4"/>
        <v/>
      </c>
    </row>
    <row r="16889">
      <c r="F16889" s="1" t="str">
        <f t="shared" si="1"/>
        <v/>
      </c>
      <c r="G16889" s="1" t="str">
        <f t="shared" si="2"/>
        <v/>
      </c>
      <c r="J16889" s="1" t="str">
        <f t="shared" si="3"/>
        <v/>
      </c>
      <c r="K16889" s="1" t="str">
        <f t="shared" si="4"/>
        <v/>
      </c>
    </row>
    <row r="16890">
      <c r="F16890" s="1" t="str">
        <f t="shared" si="1"/>
        <v/>
      </c>
      <c r="G16890" s="1" t="str">
        <f t="shared" si="2"/>
        <v/>
      </c>
      <c r="J16890" s="1" t="str">
        <f t="shared" si="3"/>
        <v/>
      </c>
      <c r="K16890" s="1" t="str">
        <f t="shared" si="4"/>
        <v/>
      </c>
    </row>
    <row r="16891">
      <c r="F16891" s="1" t="str">
        <f t="shared" si="1"/>
        <v/>
      </c>
      <c r="G16891" s="1" t="str">
        <f t="shared" si="2"/>
        <v/>
      </c>
      <c r="J16891" s="1" t="str">
        <f t="shared" si="3"/>
        <v/>
      </c>
      <c r="K16891" s="1" t="str">
        <f t="shared" si="4"/>
        <v/>
      </c>
    </row>
    <row r="16892">
      <c r="F16892" s="1" t="str">
        <f t="shared" si="1"/>
        <v/>
      </c>
      <c r="G16892" s="1" t="str">
        <f t="shared" si="2"/>
        <v/>
      </c>
      <c r="J16892" s="1" t="str">
        <f t="shared" si="3"/>
        <v/>
      </c>
      <c r="K16892" s="1" t="str">
        <f t="shared" si="4"/>
        <v/>
      </c>
    </row>
    <row r="16893">
      <c r="F16893" s="1" t="str">
        <f t="shared" si="1"/>
        <v/>
      </c>
      <c r="G16893" s="1" t="str">
        <f t="shared" si="2"/>
        <v/>
      </c>
      <c r="J16893" s="1" t="str">
        <f t="shared" si="3"/>
        <v/>
      </c>
      <c r="K16893" s="1" t="str">
        <f t="shared" si="4"/>
        <v/>
      </c>
    </row>
    <row r="16894">
      <c r="F16894" s="1" t="str">
        <f t="shared" si="1"/>
        <v/>
      </c>
      <c r="G16894" s="1" t="str">
        <f t="shared" si="2"/>
        <v/>
      </c>
      <c r="J16894" s="1" t="str">
        <f t="shared" si="3"/>
        <v/>
      </c>
      <c r="K16894" s="1" t="str">
        <f t="shared" si="4"/>
        <v/>
      </c>
    </row>
    <row r="16895">
      <c r="F16895" s="1" t="str">
        <f t="shared" si="1"/>
        <v/>
      </c>
      <c r="G16895" s="1" t="str">
        <f t="shared" si="2"/>
        <v/>
      </c>
      <c r="J16895" s="1" t="str">
        <f t="shared" si="3"/>
        <v/>
      </c>
      <c r="K16895" s="1" t="str">
        <f t="shared" si="4"/>
        <v/>
      </c>
    </row>
    <row r="16896">
      <c r="F16896" s="1" t="str">
        <f t="shared" si="1"/>
        <v/>
      </c>
      <c r="G16896" s="1" t="str">
        <f t="shared" si="2"/>
        <v/>
      </c>
      <c r="J16896" s="1" t="str">
        <f t="shared" si="3"/>
        <v/>
      </c>
      <c r="K16896" s="1" t="str">
        <f t="shared" si="4"/>
        <v/>
      </c>
    </row>
    <row r="16897">
      <c r="F16897" s="1" t="str">
        <f t="shared" si="1"/>
        <v/>
      </c>
      <c r="G16897" s="1" t="str">
        <f t="shared" si="2"/>
        <v/>
      </c>
      <c r="J16897" s="1" t="str">
        <f t="shared" si="3"/>
        <v/>
      </c>
      <c r="K16897" s="1" t="str">
        <f t="shared" si="4"/>
        <v/>
      </c>
    </row>
    <row r="16898">
      <c r="F16898" s="1" t="str">
        <f t="shared" si="1"/>
        <v/>
      </c>
      <c r="G16898" s="1" t="str">
        <f t="shared" si="2"/>
        <v/>
      </c>
      <c r="J16898" s="1" t="str">
        <f t="shared" si="3"/>
        <v/>
      </c>
      <c r="K16898" s="1" t="str">
        <f t="shared" si="4"/>
        <v/>
      </c>
    </row>
    <row r="16899">
      <c r="F16899" s="1" t="str">
        <f t="shared" si="1"/>
        <v/>
      </c>
      <c r="G16899" s="1" t="str">
        <f t="shared" si="2"/>
        <v/>
      </c>
      <c r="J16899" s="1" t="str">
        <f t="shared" si="3"/>
        <v/>
      </c>
      <c r="K16899" s="1" t="str">
        <f t="shared" si="4"/>
        <v/>
      </c>
    </row>
    <row r="16900">
      <c r="F16900" s="1" t="str">
        <f t="shared" si="1"/>
        <v/>
      </c>
      <c r="G16900" s="1" t="str">
        <f t="shared" si="2"/>
        <v/>
      </c>
      <c r="J16900" s="1" t="str">
        <f t="shared" si="3"/>
        <v/>
      </c>
      <c r="K16900" s="1" t="str">
        <f t="shared" si="4"/>
        <v/>
      </c>
    </row>
    <row r="16901">
      <c r="F16901" s="1" t="str">
        <f t="shared" si="1"/>
        <v/>
      </c>
      <c r="G16901" s="1" t="str">
        <f t="shared" si="2"/>
        <v/>
      </c>
      <c r="J16901" s="1" t="str">
        <f t="shared" si="3"/>
        <v/>
      </c>
      <c r="K16901" s="1" t="str">
        <f t="shared" si="4"/>
        <v/>
      </c>
    </row>
    <row r="16902">
      <c r="F16902" s="1" t="str">
        <f t="shared" si="1"/>
        <v/>
      </c>
      <c r="G16902" s="1" t="str">
        <f t="shared" si="2"/>
        <v/>
      </c>
      <c r="J16902" s="1" t="str">
        <f t="shared" si="3"/>
        <v/>
      </c>
      <c r="K16902" s="1" t="str">
        <f t="shared" si="4"/>
        <v/>
      </c>
    </row>
    <row r="16903">
      <c r="F16903" s="1" t="str">
        <f t="shared" si="1"/>
        <v/>
      </c>
      <c r="G16903" s="1" t="str">
        <f t="shared" si="2"/>
        <v/>
      </c>
      <c r="J16903" s="1" t="str">
        <f t="shared" si="3"/>
        <v/>
      </c>
      <c r="K16903" s="1" t="str">
        <f t="shared" si="4"/>
        <v/>
      </c>
    </row>
    <row r="16904">
      <c r="F16904" s="1" t="str">
        <f t="shared" si="1"/>
        <v/>
      </c>
      <c r="G16904" s="1" t="str">
        <f t="shared" si="2"/>
        <v/>
      </c>
      <c r="J16904" s="1" t="str">
        <f t="shared" si="3"/>
        <v/>
      </c>
      <c r="K16904" s="1" t="str">
        <f t="shared" si="4"/>
        <v/>
      </c>
    </row>
    <row r="16905">
      <c r="F16905" s="1" t="str">
        <f t="shared" si="1"/>
        <v/>
      </c>
      <c r="G16905" s="1" t="str">
        <f t="shared" si="2"/>
        <v/>
      </c>
      <c r="J16905" s="1" t="str">
        <f t="shared" si="3"/>
        <v/>
      </c>
      <c r="K16905" s="1" t="str">
        <f t="shared" si="4"/>
        <v/>
      </c>
    </row>
    <row r="16906">
      <c r="F16906" s="1" t="str">
        <f t="shared" si="1"/>
        <v/>
      </c>
      <c r="G16906" s="1" t="str">
        <f t="shared" si="2"/>
        <v/>
      </c>
      <c r="J16906" s="1" t="str">
        <f t="shared" si="3"/>
        <v/>
      </c>
      <c r="K16906" s="1" t="str">
        <f t="shared" si="4"/>
        <v/>
      </c>
    </row>
    <row r="16907">
      <c r="F16907" s="1" t="str">
        <f t="shared" si="1"/>
        <v/>
      </c>
      <c r="G16907" s="1" t="str">
        <f t="shared" si="2"/>
        <v/>
      </c>
      <c r="J16907" s="1" t="str">
        <f t="shared" si="3"/>
        <v/>
      </c>
      <c r="K16907" s="1" t="str">
        <f t="shared" si="4"/>
        <v/>
      </c>
    </row>
    <row r="16908">
      <c r="F16908" s="1" t="str">
        <f t="shared" si="1"/>
        <v/>
      </c>
      <c r="G16908" s="1" t="str">
        <f t="shared" si="2"/>
        <v/>
      </c>
      <c r="J16908" s="1" t="str">
        <f t="shared" si="3"/>
        <v/>
      </c>
      <c r="K16908" s="1" t="str">
        <f t="shared" si="4"/>
        <v/>
      </c>
    </row>
    <row r="16909">
      <c r="F16909" s="1" t="str">
        <f t="shared" si="1"/>
        <v/>
      </c>
      <c r="G16909" s="1" t="str">
        <f t="shared" si="2"/>
        <v/>
      </c>
      <c r="J16909" s="1" t="str">
        <f t="shared" si="3"/>
        <v/>
      </c>
      <c r="K16909" s="1" t="str">
        <f t="shared" si="4"/>
        <v/>
      </c>
    </row>
    <row r="16910">
      <c r="F16910" s="1" t="str">
        <f t="shared" si="1"/>
        <v/>
      </c>
      <c r="G16910" s="1" t="str">
        <f t="shared" si="2"/>
        <v/>
      </c>
      <c r="J16910" s="1" t="str">
        <f t="shared" si="3"/>
        <v/>
      </c>
      <c r="K16910" s="1" t="str">
        <f t="shared" si="4"/>
        <v/>
      </c>
    </row>
    <row r="16911">
      <c r="F16911" s="1" t="str">
        <f t="shared" si="1"/>
        <v/>
      </c>
      <c r="G16911" s="1" t="str">
        <f t="shared" si="2"/>
        <v/>
      </c>
      <c r="J16911" s="1" t="str">
        <f t="shared" si="3"/>
        <v/>
      </c>
      <c r="K16911" s="1" t="str">
        <f t="shared" si="4"/>
        <v/>
      </c>
    </row>
    <row r="16912">
      <c r="F16912" s="1" t="str">
        <f t="shared" si="1"/>
        <v/>
      </c>
      <c r="G16912" s="1" t="str">
        <f t="shared" si="2"/>
        <v/>
      </c>
      <c r="J16912" s="1" t="str">
        <f t="shared" si="3"/>
        <v/>
      </c>
      <c r="K16912" s="1" t="str">
        <f t="shared" si="4"/>
        <v/>
      </c>
    </row>
    <row r="16913">
      <c r="F16913" s="1" t="str">
        <f t="shared" si="1"/>
        <v/>
      </c>
      <c r="G16913" s="1" t="str">
        <f t="shared" si="2"/>
        <v/>
      </c>
      <c r="J16913" s="1" t="str">
        <f t="shared" si="3"/>
        <v/>
      </c>
      <c r="K16913" s="1" t="str">
        <f t="shared" si="4"/>
        <v/>
      </c>
    </row>
    <row r="16914">
      <c r="F16914" s="1" t="str">
        <f t="shared" si="1"/>
        <v/>
      </c>
      <c r="G16914" s="1" t="str">
        <f t="shared" si="2"/>
        <v/>
      </c>
      <c r="J16914" s="1" t="str">
        <f t="shared" si="3"/>
        <v/>
      </c>
      <c r="K16914" s="1" t="str">
        <f t="shared" si="4"/>
        <v/>
      </c>
    </row>
    <row r="16915">
      <c r="F16915" s="1" t="str">
        <f t="shared" si="1"/>
        <v/>
      </c>
      <c r="G16915" s="1" t="str">
        <f t="shared" si="2"/>
        <v/>
      </c>
      <c r="J16915" s="1" t="str">
        <f t="shared" si="3"/>
        <v/>
      </c>
      <c r="K16915" s="1" t="str">
        <f t="shared" si="4"/>
        <v/>
      </c>
    </row>
    <row r="16916">
      <c r="F16916" s="1" t="str">
        <f t="shared" si="1"/>
        <v/>
      </c>
      <c r="G16916" s="1" t="str">
        <f t="shared" si="2"/>
        <v/>
      </c>
      <c r="J16916" s="1" t="str">
        <f t="shared" si="3"/>
        <v/>
      </c>
      <c r="K16916" s="1" t="str">
        <f t="shared" si="4"/>
        <v/>
      </c>
    </row>
    <row r="16917">
      <c r="F16917" s="1" t="str">
        <f t="shared" si="1"/>
        <v/>
      </c>
      <c r="G16917" s="1" t="str">
        <f t="shared" si="2"/>
        <v/>
      </c>
      <c r="J16917" s="1" t="str">
        <f t="shared" si="3"/>
        <v/>
      </c>
      <c r="K16917" s="1" t="str">
        <f t="shared" si="4"/>
        <v/>
      </c>
    </row>
    <row r="16918">
      <c r="F16918" s="1" t="str">
        <f t="shared" si="1"/>
        <v/>
      </c>
      <c r="G16918" s="1" t="str">
        <f t="shared" si="2"/>
        <v/>
      </c>
      <c r="J16918" s="1" t="str">
        <f t="shared" si="3"/>
        <v/>
      </c>
      <c r="K16918" s="1" t="str">
        <f t="shared" si="4"/>
        <v/>
      </c>
    </row>
    <row r="16919">
      <c r="F16919" s="1" t="str">
        <f t="shared" si="1"/>
        <v/>
      </c>
      <c r="G16919" s="1" t="str">
        <f t="shared" si="2"/>
        <v/>
      </c>
      <c r="J16919" s="1" t="str">
        <f t="shared" si="3"/>
        <v/>
      </c>
      <c r="K16919" s="1" t="str">
        <f t="shared" si="4"/>
        <v/>
      </c>
    </row>
    <row r="16920">
      <c r="F16920" s="1" t="str">
        <f t="shared" si="1"/>
        <v/>
      </c>
      <c r="G16920" s="1" t="str">
        <f t="shared" si="2"/>
        <v/>
      </c>
      <c r="J16920" s="1" t="str">
        <f t="shared" si="3"/>
        <v/>
      </c>
      <c r="K16920" s="1" t="str">
        <f t="shared" si="4"/>
        <v/>
      </c>
    </row>
    <row r="16921">
      <c r="F16921" s="1" t="str">
        <f t="shared" si="1"/>
        <v/>
      </c>
      <c r="G16921" s="1" t="str">
        <f t="shared" si="2"/>
        <v/>
      </c>
      <c r="J16921" s="1" t="str">
        <f t="shared" si="3"/>
        <v/>
      </c>
      <c r="K16921" s="1" t="str">
        <f t="shared" si="4"/>
        <v/>
      </c>
    </row>
    <row r="16922">
      <c r="F16922" s="1" t="str">
        <f t="shared" si="1"/>
        <v/>
      </c>
      <c r="G16922" s="1" t="str">
        <f t="shared" si="2"/>
        <v/>
      </c>
      <c r="J16922" s="1" t="str">
        <f t="shared" si="3"/>
        <v/>
      </c>
      <c r="K16922" s="1" t="str">
        <f t="shared" si="4"/>
        <v/>
      </c>
    </row>
    <row r="16923">
      <c r="F16923" s="1" t="str">
        <f t="shared" si="1"/>
        <v/>
      </c>
      <c r="G16923" s="1" t="str">
        <f t="shared" si="2"/>
        <v/>
      </c>
      <c r="J16923" s="1" t="str">
        <f t="shared" si="3"/>
        <v/>
      </c>
      <c r="K16923" s="1" t="str">
        <f t="shared" si="4"/>
        <v/>
      </c>
    </row>
    <row r="16924">
      <c r="F16924" s="1" t="str">
        <f t="shared" si="1"/>
        <v/>
      </c>
      <c r="G16924" s="1" t="str">
        <f t="shared" si="2"/>
        <v/>
      </c>
      <c r="J16924" s="1" t="str">
        <f t="shared" si="3"/>
        <v/>
      </c>
      <c r="K16924" s="1" t="str">
        <f t="shared" si="4"/>
        <v/>
      </c>
    </row>
    <row r="16925">
      <c r="F16925" s="1" t="str">
        <f t="shared" si="1"/>
        <v/>
      </c>
      <c r="G16925" s="1" t="str">
        <f t="shared" si="2"/>
        <v/>
      </c>
      <c r="J16925" s="1" t="str">
        <f t="shared" si="3"/>
        <v/>
      </c>
      <c r="K16925" s="1" t="str">
        <f t="shared" si="4"/>
        <v/>
      </c>
    </row>
    <row r="16926">
      <c r="F16926" s="1" t="str">
        <f t="shared" si="1"/>
        <v/>
      </c>
      <c r="G16926" s="1" t="str">
        <f t="shared" si="2"/>
        <v/>
      </c>
      <c r="J16926" s="1" t="str">
        <f t="shared" si="3"/>
        <v/>
      </c>
      <c r="K16926" s="1" t="str">
        <f t="shared" si="4"/>
        <v/>
      </c>
    </row>
    <row r="16927">
      <c r="F16927" s="1" t="str">
        <f t="shared" si="1"/>
        <v/>
      </c>
      <c r="G16927" s="1" t="str">
        <f t="shared" si="2"/>
        <v/>
      </c>
      <c r="J16927" s="1" t="str">
        <f t="shared" si="3"/>
        <v/>
      </c>
      <c r="K16927" s="1" t="str">
        <f t="shared" si="4"/>
        <v/>
      </c>
    </row>
    <row r="16928">
      <c r="F16928" s="1" t="str">
        <f t="shared" si="1"/>
        <v/>
      </c>
      <c r="G16928" s="1" t="str">
        <f t="shared" si="2"/>
        <v/>
      </c>
      <c r="J16928" s="1" t="str">
        <f t="shared" si="3"/>
        <v/>
      </c>
      <c r="K16928" s="1" t="str">
        <f t="shared" si="4"/>
        <v/>
      </c>
    </row>
    <row r="16929">
      <c r="F16929" s="1" t="str">
        <f t="shared" si="1"/>
        <v/>
      </c>
      <c r="G16929" s="1" t="str">
        <f t="shared" si="2"/>
        <v/>
      </c>
      <c r="J16929" s="1" t="str">
        <f t="shared" si="3"/>
        <v/>
      </c>
      <c r="K16929" s="1" t="str">
        <f t="shared" si="4"/>
        <v/>
      </c>
    </row>
    <row r="16930">
      <c r="F16930" s="1" t="str">
        <f t="shared" si="1"/>
        <v/>
      </c>
      <c r="G16930" s="1" t="str">
        <f t="shared" si="2"/>
        <v/>
      </c>
      <c r="J16930" s="1" t="str">
        <f t="shared" si="3"/>
        <v/>
      </c>
      <c r="K16930" s="1" t="str">
        <f t="shared" si="4"/>
        <v/>
      </c>
    </row>
    <row r="16931">
      <c r="F16931" s="1" t="str">
        <f t="shared" si="1"/>
        <v/>
      </c>
      <c r="G16931" s="1" t="str">
        <f t="shared" si="2"/>
        <v/>
      </c>
      <c r="J16931" s="1" t="str">
        <f t="shared" si="3"/>
        <v/>
      </c>
      <c r="K16931" s="1" t="str">
        <f t="shared" si="4"/>
        <v/>
      </c>
    </row>
    <row r="16932">
      <c r="F16932" s="1" t="str">
        <f t="shared" si="1"/>
        <v/>
      </c>
      <c r="G16932" s="1" t="str">
        <f t="shared" si="2"/>
        <v/>
      </c>
      <c r="J16932" s="1" t="str">
        <f t="shared" si="3"/>
        <v/>
      </c>
      <c r="K16932" s="1" t="str">
        <f t="shared" si="4"/>
        <v/>
      </c>
    </row>
    <row r="16933">
      <c r="F16933" s="1" t="str">
        <f t="shared" si="1"/>
        <v/>
      </c>
      <c r="G16933" s="1" t="str">
        <f t="shared" si="2"/>
        <v/>
      </c>
      <c r="J16933" s="1" t="str">
        <f t="shared" si="3"/>
        <v/>
      </c>
      <c r="K16933" s="1" t="str">
        <f t="shared" si="4"/>
        <v/>
      </c>
    </row>
    <row r="16934">
      <c r="F16934" s="1" t="str">
        <f t="shared" si="1"/>
        <v/>
      </c>
      <c r="G16934" s="1" t="str">
        <f t="shared" si="2"/>
        <v/>
      </c>
      <c r="J16934" s="1" t="str">
        <f t="shared" si="3"/>
        <v/>
      </c>
      <c r="K16934" s="1" t="str">
        <f t="shared" si="4"/>
        <v/>
      </c>
    </row>
    <row r="16935">
      <c r="F16935" s="1" t="str">
        <f t="shared" si="1"/>
        <v/>
      </c>
      <c r="G16935" s="1" t="str">
        <f t="shared" si="2"/>
        <v/>
      </c>
      <c r="J16935" s="1" t="str">
        <f t="shared" si="3"/>
        <v/>
      </c>
      <c r="K16935" s="1" t="str">
        <f t="shared" si="4"/>
        <v/>
      </c>
    </row>
    <row r="16936">
      <c r="F16936" s="1" t="str">
        <f t="shared" si="1"/>
        <v/>
      </c>
      <c r="G16936" s="1" t="str">
        <f t="shared" si="2"/>
        <v/>
      </c>
      <c r="J16936" s="1" t="str">
        <f t="shared" si="3"/>
        <v/>
      </c>
      <c r="K16936" s="1" t="str">
        <f t="shared" si="4"/>
        <v/>
      </c>
    </row>
    <row r="16937">
      <c r="F16937" s="1" t="str">
        <f t="shared" si="1"/>
        <v/>
      </c>
      <c r="G16937" s="1" t="str">
        <f t="shared" si="2"/>
        <v/>
      </c>
      <c r="J16937" s="1" t="str">
        <f t="shared" si="3"/>
        <v/>
      </c>
      <c r="K16937" s="1" t="str">
        <f t="shared" si="4"/>
        <v/>
      </c>
    </row>
    <row r="16938">
      <c r="F16938" s="1" t="str">
        <f t="shared" si="1"/>
        <v/>
      </c>
      <c r="G16938" s="1" t="str">
        <f t="shared" si="2"/>
        <v/>
      </c>
      <c r="J16938" s="1" t="str">
        <f t="shared" si="3"/>
        <v/>
      </c>
      <c r="K16938" s="1" t="str">
        <f t="shared" si="4"/>
        <v/>
      </c>
    </row>
    <row r="16939">
      <c r="F16939" s="1" t="str">
        <f t="shared" si="1"/>
        <v/>
      </c>
      <c r="G16939" s="1" t="str">
        <f t="shared" si="2"/>
        <v/>
      </c>
      <c r="J16939" s="1" t="str">
        <f t="shared" si="3"/>
        <v/>
      </c>
      <c r="K16939" s="1" t="str">
        <f t="shared" si="4"/>
        <v/>
      </c>
    </row>
    <row r="16940">
      <c r="F16940" s="1" t="str">
        <f t="shared" si="1"/>
        <v/>
      </c>
      <c r="G16940" s="1" t="str">
        <f t="shared" si="2"/>
        <v/>
      </c>
      <c r="J16940" s="1" t="str">
        <f t="shared" si="3"/>
        <v/>
      </c>
      <c r="K16940" s="1" t="str">
        <f t="shared" si="4"/>
        <v/>
      </c>
    </row>
    <row r="16941">
      <c r="F16941" s="1" t="str">
        <f t="shared" si="1"/>
        <v/>
      </c>
      <c r="G16941" s="1" t="str">
        <f t="shared" si="2"/>
        <v/>
      </c>
      <c r="J16941" s="1" t="str">
        <f t="shared" si="3"/>
        <v/>
      </c>
      <c r="K16941" s="1" t="str">
        <f t="shared" si="4"/>
        <v/>
      </c>
    </row>
    <row r="16942">
      <c r="F16942" s="1" t="str">
        <f t="shared" si="1"/>
        <v/>
      </c>
      <c r="G16942" s="1" t="str">
        <f t="shared" si="2"/>
        <v/>
      </c>
      <c r="J16942" s="1" t="str">
        <f t="shared" si="3"/>
        <v/>
      </c>
      <c r="K16942" s="1" t="str">
        <f t="shared" si="4"/>
        <v/>
      </c>
    </row>
    <row r="16943">
      <c r="F16943" s="1" t="str">
        <f t="shared" si="1"/>
        <v/>
      </c>
      <c r="G16943" s="1" t="str">
        <f t="shared" si="2"/>
        <v/>
      </c>
      <c r="J16943" s="1" t="str">
        <f t="shared" si="3"/>
        <v/>
      </c>
      <c r="K16943" s="1" t="str">
        <f t="shared" si="4"/>
        <v/>
      </c>
    </row>
    <row r="16944">
      <c r="F16944" s="1" t="str">
        <f t="shared" si="1"/>
        <v/>
      </c>
      <c r="G16944" s="1" t="str">
        <f t="shared" si="2"/>
        <v/>
      </c>
      <c r="J16944" s="1" t="str">
        <f t="shared" si="3"/>
        <v/>
      </c>
      <c r="K16944" s="1" t="str">
        <f t="shared" si="4"/>
        <v/>
      </c>
    </row>
    <row r="16945">
      <c r="F16945" s="1" t="str">
        <f t="shared" si="1"/>
        <v/>
      </c>
      <c r="G16945" s="1" t="str">
        <f t="shared" si="2"/>
        <v/>
      </c>
      <c r="J16945" s="1" t="str">
        <f t="shared" si="3"/>
        <v/>
      </c>
      <c r="K16945" s="1" t="str">
        <f t="shared" si="4"/>
        <v/>
      </c>
    </row>
    <row r="16946">
      <c r="F16946" s="1" t="str">
        <f t="shared" si="1"/>
        <v/>
      </c>
      <c r="G16946" s="1" t="str">
        <f t="shared" si="2"/>
        <v/>
      </c>
      <c r="J16946" s="1" t="str">
        <f t="shared" si="3"/>
        <v/>
      </c>
      <c r="K16946" s="1" t="str">
        <f t="shared" si="4"/>
        <v/>
      </c>
    </row>
    <row r="16947">
      <c r="F16947" s="1" t="str">
        <f t="shared" si="1"/>
        <v/>
      </c>
      <c r="G16947" s="1" t="str">
        <f t="shared" si="2"/>
        <v/>
      </c>
      <c r="J16947" s="1" t="str">
        <f t="shared" si="3"/>
        <v/>
      </c>
      <c r="K16947" s="1" t="str">
        <f t="shared" si="4"/>
        <v/>
      </c>
    </row>
    <row r="16948">
      <c r="F16948" s="1" t="str">
        <f t="shared" si="1"/>
        <v/>
      </c>
      <c r="G16948" s="1" t="str">
        <f t="shared" si="2"/>
        <v/>
      </c>
      <c r="J16948" s="1" t="str">
        <f t="shared" si="3"/>
        <v/>
      </c>
      <c r="K16948" s="1" t="str">
        <f t="shared" si="4"/>
        <v/>
      </c>
    </row>
    <row r="16949">
      <c r="F16949" s="1" t="str">
        <f t="shared" si="1"/>
        <v/>
      </c>
      <c r="G16949" s="1" t="str">
        <f t="shared" si="2"/>
        <v/>
      </c>
      <c r="J16949" s="1" t="str">
        <f t="shared" si="3"/>
        <v/>
      </c>
      <c r="K16949" s="1" t="str">
        <f t="shared" si="4"/>
        <v/>
      </c>
    </row>
    <row r="16950">
      <c r="F16950" s="1" t="str">
        <f t="shared" si="1"/>
        <v/>
      </c>
      <c r="G16950" s="1" t="str">
        <f t="shared" si="2"/>
        <v/>
      </c>
      <c r="J16950" s="1" t="str">
        <f t="shared" si="3"/>
        <v/>
      </c>
      <c r="K16950" s="1" t="str">
        <f t="shared" si="4"/>
        <v/>
      </c>
    </row>
    <row r="16951">
      <c r="F16951" s="1" t="str">
        <f t="shared" si="1"/>
        <v/>
      </c>
      <c r="G16951" s="1" t="str">
        <f t="shared" si="2"/>
        <v/>
      </c>
      <c r="J16951" s="1" t="str">
        <f t="shared" si="3"/>
        <v/>
      </c>
      <c r="K16951" s="1" t="str">
        <f t="shared" si="4"/>
        <v/>
      </c>
    </row>
    <row r="16952">
      <c r="F16952" s="1" t="str">
        <f t="shared" si="1"/>
        <v/>
      </c>
      <c r="G16952" s="1" t="str">
        <f t="shared" si="2"/>
        <v/>
      </c>
      <c r="J16952" s="1" t="str">
        <f t="shared" si="3"/>
        <v/>
      </c>
      <c r="K16952" s="1" t="str">
        <f t="shared" si="4"/>
        <v/>
      </c>
    </row>
    <row r="16953">
      <c r="F16953" s="1" t="str">
        <f t="shared" si="1"/>
        <v/>
      </c>
      <c r="G16953" s="1" t="str">
        <f t="shared" si="2"/>
        <v/>
      </c>
      <c r="J16953" s="1" t="str">
        <f t="shared" si="3"/>
        <v/>
      </c>
      <c r="K16953" s="1" t="str">
        <f t="shared" si="4"/>
        <v/>
      </c>
    </row>
    <row r="16954">
      <c r="F16954" s="1" t="str">
        <f t="shared" si="1"/>
        <v/>
      </c>
      <c r="G16954" s="1" t="str">
        <f t="shared" si="2"/>
        <v/>
      </c>
      <c r="J16954" s="1" t="str">
        <f t="shared" si="3"/>
        <v/>
      </c>
      <c r="K16954" s="1" t="str">
        <f t="shared" si="4"/>
        <v/>
      </c>
    </row>
    <row r="16955">
      <c r="F16955" s="1" t="str">
        <f t="shared" si="1"/>
        <v/>
      </c>
      <c r="G16955" s="1" t="str">
        <f t="shared" si="2"/>
        <v/>
      </c>
      <c r="J16955" s="1" t="str">
        <f t="shared" si="3"/>
        <v/>
      </c>
      <c r="K16955" s="1" t="str">
        <f t="shared" si="4"/>
        <v/>
      </c>
    </row>
    <row r="16956">
      <c r="F16956" s="1" t="str">
        <f t="shared" si="1"/>
        <v/>
      </c>
      <c r="G16956" s="1" t="str">
        <f t="shared" si="2"/>
        <v/>
      </c>
      <c r="J16956" s="1" t="str">
        <f t="shared" si="3"/>
        <v/>
      </c>
      <c r="K16956" s="1" t="str">
        <f t="shared" si="4"/>
        <v/>
      </c>
    </row>
    <row r="16957">
      <c r="F16957" s="1" t="str">
        <f t="shared" si="1"/>
        <v/>
      </c>
      <c r="G16957" s="1" t="str">
        <f t="shared" si="2"/>
        <v/>
      </c>
      <c r="J16957" s="1" t="str">
        <f t="shared" si="3"/>
        <v/>
      </c>
      <c r="K16957" s="1" t="str">
        <f t="shared" si="4"/>
        <v/>
      </c>
    </row>
    <row r="16958">
      <c r="F16958" s="1" t="str">
        <f t="shared" si="1"/>
        <v/>
      </c>
      <c r="G16958" s="1" t="str">
        <f t="shared" si="2"/>
        <v/>
      </c>
      <c r="J16958" s="1" t="str">
        <f t="shared" si="3"/>
        <v/>
      </c>
      <c r="K16958" s="1" t="str">
        <f t="shared" si="4"/>
        <v/>
      </c>
    </row>
    <row r="16959">
      <c r="F16959" s="1" t="str">
        <f t="shared" si="1"/>
        <v/>
      </c>
      <c r="G16959" s="1" t="str">
        <f t="shared" si="2"/>
        <v/>
      </c>
      <c r="J16959" s="1" t="str">
        <f t="shared" si="3"/>
        <v/>
      </c>
      <c r="K16959" s="1" t="str">
        <f t="shared" si="4"/>
        <v/>
      </c>
    </row>
    <row r="16960">
      <c r="F16960" s="1" t="str">
        <f t="shared" si="1"/>
        <v/>
      </c>
      <c r="G16960" s="1" t="str">
        <f t="shared" si="2"/>
        <v/>
      </c>
      <c r="J16960" s="1" t="str">
        <f t="shared" si="3"/>
        <v/>
      </c>
      <c r="K16960" s="1" t="str">
        <f t="shared" si="4"/>
        <v/>
      </c>
    </row>
    <row r="16961">
      <c r="F16961" s="1" t="str">
        <f t="shared" si="1"/>
        <v/>
      </c>
      <c r="G16961" s="1" t="str">
        <f t="shared" si="2"/>
        <v/>
      </c>
      <c r="J16961" s="1" t="str">
        <f t="shared" si="3"/>
        <v/>
      </c>
      <c r="K16961" s="1" t="str">
        <f t="shared" si="4"/>
        <v/>
      </c>
    </row>
    <row r="16962">
      <c r="F16962" s="1" t="str">
        <f t="shared" si="1"/>
        <v/>
      </c>
      <c r="G16962" s="1" t="str">
        <f t="shared" si="2"/>
        <v/>
      </c>
      <c r="J16962" s="1" t="str">
        <f t="shared" si="3"/>
        <v/>
      </c>
      <c r="K16962" s="1" t="str">
        <f t="shared" si="4"/>
        <v/>
      </c>
    </row>
    <row r="16963">
      <c r="F16963" s="1" t="str">
        <f t="shared" si="1"/>
        <v/>
      </c>
      <c r="G16963" s="1" t="str">
        <f t="shared" si="2"/>
        <v/>
      </c>
      <c r="J16963" s="1" t="str">
        <f t="shared" si="3"/>
        <v/>
      </c>
      <c r="K16963" s="1" t="str">
        <f t="shared" si="4"/>
        <v/>
      </c>
    </row>
    <row r="16964">
      <c r="F16964" s="1" t="str">
        <f t="shared" si="1"/>
        <v/>
      </c>
      <c r="G16964" s="1" t="str">
        <f t="shared" si="2"/>
        <v/>
      </c>
      <c r="J16964" s="1" t="str">
        <f t="shared" si="3"/>
        <v/>
      </c>
      <c r="K16964" s="1" t="str">
        <f t="shared" si="4"/>
        <v/>
      </c>
    </row>
    <row r="16965">
      <c r="F16965" s="1" t="str">
        <f t="shared" si="1"/>
        <v/>
      </c>
      <c r="G16965" s="1" t="str">
        <f t="shared" si="2"/>
        <v/>
      </c>
      <c r="J16965" s="1" t="str">
        <f t="shared" si="3"/>
        <v/>
      </c>
      <c r="K16965" s="1" t="str">
        <f t="shared" si="4"/>
        <v/>
      </c>
    </row>
    <row r="16966">
      <c r="F16966" s="1" t="str">
        <f t="shared" si="1"/>
        <v/>
      </c>
      <c r="G16966" s="1" t="str">
        <f t="shared" si="2"/>
        <v/>
      </c>
      <c r="J16966" s="1" t="str">
        <f t="shared" si="3"/>
        <v/>
      </c>
      <c r="K16966" s="1" t="str">
        <f t="shared" si="4"/>
        <v/>
      </c>
    </row>
    <row r="16967">
      <c r="F16967" s="1" t="str">
        <f t="shared" si="1"/>
        <v/>
      </c>
      <c r="G16967" s="1" t="str">
        <f t="shared" si="2"/>
        <v/>
      </c>
      <c r="J16967" s="1" t="str">
        <f t="shared" si="3"/>
        <v/>
      </c>
      <c r="K16967" s="1" t="str">
        <f t="shared" si="4"/>
        <v/>
      </c>
    </row>
    <row r="16968">
      <c r="F16968" s="1" t="str">
        <f t="shared" si="1"/>
        <v/>
      </c>
      <c r="G16968" s="1" t="str">
        <f t="shared" si="2"/>
        <v/>
      </c>
      <c r="J16968" s="1" t="str">
        <f t="shared" si="3"/>
        <v/>
      </c>
      <c r="K16968" s="1" t="str">
        <f t="shared" si="4"/>
        <v/>
      </c>
    </row>
    <row r="16969">
      <c r="F16969" s="1" t="str">
        <f t="shared" si="1"/>
        <v/>
      </c>
      <c r="G16969" s="1" t="str">
        <f t="shared" si="2"/>
        <v/>
      </c>
      <c r="J16969" s="1" t="str">
        <f t="shared" si="3"/>
        <v/>
      </c>
      <c r="K16969" s="1" t="str">
        <f t="shared" si="4"/>
        <v/>
      </c>
    </row>
    <row r="16970">
      <c r="F16970" s="1" t="str">
        <f t="shared" si="1"/>
        <v/>
      </c>
      <c r="G16970" s="1" t="str">
        <f t="shared" si="2"/>
        <v/>
      </c>
      <c r="J16970" s="1" t="str">
        <f t="shared" si="3"/>
        <v/>
      </c>
      <c r="K16970" s="1" t="str">
        <f t="shared" si="4"/>
        <v/>
      </c>
    </row>
    <row r="16971">
      <c r="F16971" s="1" t="str">
        <f t="shared" si="1"/>
        <v/>
      </c>
      <c r="G16971" s="1" t="str">
        <f t="shared" si="2"/>
        <v/>
      </c>
      <c r="J16971" s="1" t="str">
        <f t="shared" si="3"/>
        <v/>
      </c>
      <c r="K16971" s="1" t="str">
        <f t="shared" si="4"/>
        <v/>
      </c>
    </row>
    <row r="16972">
      <c r="F16972" s="1" t="str">
        <f t="shared" si="1"/>
        <v/>
      </c>
      <c r="G16972" s="1" t="str">
        <f t="shared" si="2"/>
        <v/>
      </c>
      <c r="J16972" s="1" t="str">
        <f t="shared" si="3"/>
        <v/>
      </c>
      <c r="K16972" s="1" t="str">
        <f t="shared" si="4"/>
        <v/>
      </c>
    </row>
    <row r="16973">
      <c r="F16973" s="1" t="str">
        <f t="shared" si="1"/>
        <v/>
      </c>
      <c r="G16973" s="1" t="str">
        <f t="shared" si="2"/>
        <v/>
      </c>
      <c r="J16973" s="1" t="str">
        <f t="shared" si="3"/>
        <v/>
      </c>
      <c r="K16973" s="1" t="str">
        <f t="shared" si="4"/>
        <v/>
      </c>
    </row>
    <row r="16974">
      <c r="F16974" s="1" t="str">
        <f t="shared" si="1"/>
        <v/>
      </c>
      <c r="G16974" s="1" t="str">
        <f t="shared" si="2"/>
        <v/>
      </c>
      <c r="J16974" s="1" t="str">
        <f t="shared" si="3"/>
        <v/>
      </c>
      <c r="K16974" s="1" t="str">
        <f t="shared" si="4"/>
        <v/>
      </c>
    </row>
    <row r="16975">
      <c r="F16975" s="1" t="str">
        <f t="shared" si="1"/>
        <v/>
      </c>
      <c r="G16975" s="1" t="str">
        <f t="shared" si="2"/>
        <v/>
      </c>
      <c r="J16975" s="1" t="str">
        <f t="shared" si="3"/>
        <v/>
      </c>
      <c r="K16975" s="1" t="str">
        <f t="shared" si="4"/>
        <v/>
      </c>
    </row>
    <row r="16976">
      <c r="F16976" s="1" t="str">
        <f t="shared" si="1"/>
        <v/>
      </c>
      <c r="G16976" s="1" t="str">
        <f t="shared" si="2"/>
        <v/>
      </c>
      <c r="J16976" s="1" t="str">
        <f t="shared" si="3"/>
        <v/>
      </c>
      <c r="K16976" s="1" t="str">
        <f t="shared" si="4"/>
        <v/>
      </c>
    </row>
    <row r="16977">
      <c r="F16977" s="1" t="str">
        <f t="shared" si="1"/>
        <v/>
      </c>
      <c r="G16977" s="1" t="str">
        <f t="shared" si="2"/>
        <v/>
      </c>
      <c r="J16977" s="1" t="str">
        <f t="shared" si="3"/>
        <v/>
      </c>
      <c r="K16977" s="1" t="str">
        <f t="shared" si="4"/>
        <v/>
      </c>
    </row>
    <row r="16978">
      <c r="F16978" s="1" t="str">
        <f t="shared" si="1"/>
        <v/>
      </c>
      <c r="G16978" s="1" t="str">
        <f t="shared" si="2"/>
        <v/>
      </c>
      <c r="J16978" s="1" t="str">
        <f t="shared" si="3"/>
        <v/>
      </c>
      <c r="K16978" s="1" t="str">
        <f t="shared" si="4"/>
        <v/>
      </c>
    </row>
    <row r="16979">
      <c r="F16979" s="1" t="str">
        <f t="shared" si="1"/>
        <v/>
      </c>
      <c r="G16979" s="1" t="str">
        <f t="shared" si="2"/>
        <v/>
      </c>
      <c r="J16979" s="1" t="str">
        <f t="shared" si="3"/>
        <v/>
      </c>
      <c r="K16979" s="1" t="str">
        <f t="shared" si="4"/>
        <v/>
      </c>
    </row>
    <row r="16980">
      <c r="F16980" s="1" t="str">
        <f t="shared" si="1"/>
        <v/>
      </c>
      <c r="G16980" s="1" t="str">
        <f t="shared" si="2"/>
        <v/>
      </c>
      <c r="J16980" s="1" t="str">
        <f t="shared" si="3"/>
        <v/>
      </c>
      <c r="K16980" s="1" t="str">
        <f t="shared" si="4"/>
        <v/>
      </c>
    </row>
    <row r="16981">
      <c r="F16981" s="1" t="str">
        <f t="shared" si="1"/>
        <v/>
      </c>
      <c r="G16981" s="1" t="str">
        <f t="shared" si="2"/>
        <v/>
      </c>
      <c r="J16981" s="1" t="str">
        <f t="shared" si="3"/>
        <v/>
      </c>
      <c r="K16981" s="1" t="str">
        <f t="shared" si="4"/>
        <v/>
      </c>
    </row>
    <row r="16982">
      <c r="F16982" s="1" t="str">
        <f t="shared" si="1"/>
        <v/>
      </c>
      <c r="G16982" s="1" t="str">
        <f t="shared" si="2"/>
        <v/>
      </c>
      <c r="J16982" s="1" t="str">
        <f t="shared" si="3"/>
        <v/>
      </c>
      <c r="K16982" s="1" t="str">
        <f t="shared" si="4"/>
        <v/>
      </c>
    </row>
    <row r="16983">
      <c r="F16983" s="1" t="str">
        <f t="shared" si="1"/>
        <v/>
      </c>
      <c r="G16983" s="1" t="str">
        <f t="shared" si="2"/>
        <v/>
      </c>
      <c r="J16983" s="1" t="str">
        <f t="shared" si="3"/>
        <v/>
      </c>
      <c r="K16983" s="1" t="str">
        <f t="shared" si="4"/>
        <v/>
      </c>
    </row>
    <row r="16984">
      <c r="F16984" s="1" t="str">
        <f t="shared" si="1"/>
        <v/>
      </c>
      <c r="G16984" s="1" t="str">
        <f t="shared" si="2"/>
        <v/>
      </c>
      <c r="J16984" s="1" t="str">
        <f t="shared" si="3"/>
        <v/>
      </c>
      <c r="K16984" s="1" t="str">
        <f t="shared" si="4"/>
        <v/>
      </c>
    </row>
    <row r="16985">
      <c r="F16985" s="1" t="str">
        <f t="shared" si="1"/>
        <v/>
      </c>
      <c r="G16985" s="1" t="str">
        <f t="shared" si="2"/>
        <v/>
      </c>
      <c r="J16985" s="1" t="str">
        <f t="shared" si="3"/>
        <v/>
      </c>
      <c r="K16985" s="1" t="str">
        <f t="shared" si="4"/>
        <v/>
      </c>
    </row>
    <row r="16986">
      <c r="F16986" s="1" t="str">
        <f t="shared" si="1"/>
        <v/>
      </c>
      <c r="G16986" s="1" t="str">
        <f t="shared" si="2"/>
        <v/>
      </c>
      <c r="J16986" s="1" t="str">
        <f t="shared" si="3"/>
        <v/>
      </c>
      <c r="K16986" s="1" t="str">
        <f t="shared" si="4"/>
        <v/>
      </c>
    </row>
    <row r="16987">
      <c r="F16987" s="1" t="str">
        <f t="shared" si="1"/>
        <v/>
      </c>
      <c r="G16987" s="1" t="str">
        <f t="shared" si="2"/>
        <v/>
      </c>
      <c r="J16987" s="1" t="str">
        <f t="shared" si="3"/>
        <v/>
      </c>
      <c r="K16987" s="1" t="str">
        <f t="shared" si="4"/>
        <v/>
      </c>
    </row>
    <row r="16988">
      <c r="F16988" s="1" t="str">
        <f t="shared" si="1"/>
        <v/>
      </c>
      <c r="G16988" s="1" t="str">
        <f t="shared" si="2"/>
        <v/>
      </c>
      <c r="J16988" s="1" t="str">
        <f t="shared" si="3"/>
        <v/>
      </c>
      <c r="K16988" s="1" t="str">
        <f t="shared" si="4"/>
        <v/>
      </c>
    </row>
    <row r="16989">
      <c r="F16989" s="1" t="str">
        <f t="shared" si="1"/>
        <v/>
      </c>
      <c r="G16989" s="1" t="str">
        <f t="shared" si="2"/>
        <v/>
      </c>
      <c r="J16989" s="1" t="str">
        <f t="shared" si="3"/>
        <v/>
      </c>
      <c r="K16989" s="1" t="str">
        <f t="shared" si="4"/>
        <v/>
      </c>
    </row>
    <row r="16990">
      <c r="F16990" s="1" t="str">
        <f t="shared" si="1"/>
        <v/>
      </c>
      <c r="G16990" s="1" t="str">
        <f t="shared" si="2"/>
        <v/>
      </c>
      <c r="J16990" s="1" t="str">
        <f t="shared" si="3"/>
        <v/>
      </c>
      <c r="K16990" s="1" t="str">
        <f t="shared" si="4"/>
        <v/>
      </c>
    </row>
    <row r="16991">
      <c r="F16991" s="1" t="str">
        <f t="shared" si="1"/>
        <v/>
      </c>
      <c r="G16991" s="1" t="str">
        <f t="shared" si="2"/>
        <v/>
      </c>
      <c r="J16991" s="1" t="str">
        <f t="shared" si="3"/>
        <v/>
      </c>
      <c r="K16991" s="1" t="str">
        <f t="shared" si="4"/>
        <v/>
      </c>
    </row>
    <row r="16992">
      <c r="F16992" s="1" t="str">
        <f t="shared" si="1"/>
        <v/>
      </c>
      <c r="G16992" s="1" t="str">
        <f t="shared" si="2"/>
        <v/>
      </c>
      <c r="J16992" s="1" t="str">
        <f t="shared" si="3"/>
        <v/>
      </c>
      <c r="K16992" s="1" t="str">
        <f t="shared" si="4"/>
        <v/>
      </c>
    </row>
    <row r="16993">
      <c r="F16993" s="1" t="str">
        <f t="shared" si="1"/>
        <v/>
      </c>
      <c r="G16993" s="1" t="str">
        <f t="shared" si="2"/>
        <v/>
      </c>
      <c r="J16993" s="1" t="str">
        <f t="shared" si="3"/>
        <v/>
      </c>
      <c r="K16993" s="1" t="str">
        <f t="shared" si="4"/>
        <v/>
      </c>
    </row>
    <row r="16994">
      <c r="F16994" s="1" t="str">
        <f t="shared" si="1"/>
        <v/>
      </c>
      <c r="G16994" s="1" t="str">
        <f t="shared" si="2"/>
        <v/>
      </c>
      <c r="J16994" s="1" t="str">
        <f t="shared" si="3"/>
        <v/>
      </c>
      <c r="K16994" s="1" t="str">
        <f t="shared" si="4"/>
        <v/>
      </c>
    </row>
    <row r="16995">
      <c r="F16995" s="1" t="str">
        <f t="shared" si="1"/>
        <v/>
      </c>
      <c r="G16995" s="1" t="str">
        <f t="shared" si="2"/>
        <v/>
      </c>
      <c r="J16995" s="1" t="str">
        <f t="shared" si="3"/>
        <v/>
      </c>
      <c r="K16995" s="1" t="str">
        <f t="shared" si="4"/>
        <v/>
      </c>
    </row>
    <row r="16996">
      <c r="F16996" s="1" t="str">
        <f t="shared" si="1"/>
        <v/>
      </c>
      <c r="G16996" s="1" t="str">
        <f t="shared" si="2"/>
        <v/>
      </c>
      <c r="J16996" s="1" t="str">
        <f t="shared" si="3"/>
        <v/>
      </c>
      <c r="K16996" s="1" t="str">
        <f t="shared" si="4"/>
        <v/>
      </c>
    </row>
    <row r="16997">
      <c r="F16997" s="1" t="str">
        <f t="shared" si="1"/>
        <v/>
      </c>
      <c r="G16997" s="1" t="str">
        <f t="shared" si="2"/>
        <v/>
      </c>
      <c r="J16997" s="1" t="str">
        <f t="shared" si="3"/>
        <v/>
      </c>
      <c r="K16997" s="1" t="str">
        <f t="shared" si="4"/>
        <v/>
      </c>
    </row>
    <row r="16998">
      <c r="F16998" s="1" t="str">
        <f t="shared" si="1"/>
        <v/>
      </c>
      <c r="G16998" s="1" t="str">
        <f t="shared" si="2"/>
        <v/>
      </c>
      <c r="J16998" s="1" t="str">
        <f t="shared" si="3"/>
        <v/>
      </c>
      <c r="K16998" s="1" t="str">
        <f t="shared" si="4"/>
        <v/>
      </c>
    </row>
    <row r="16999">
      <c r="F16999" s="1" t="str">
        <f t="shared" si="1"/>
        <v/>
      </c>
      <c r="G16999" s="1" t="str">
        <f t="shared" si="2"/>
        <v/>
      </c>
      <c r="J16999" s="1" t="str">
        <f t="shared" si="3"/>
        <v/>
      </c>
      <c r="K16999" s="1" t="str">
        <f t="shared" si="4"/>
        <v/>
      </c>
    </row>
    <row r="17000">
      <c r="F17000" s="1" t="str">
        <f t="shared" si="1"/>
        <v/>
      </c>
      <c r="G17000" s="1" t="str">
        <f t="shared" si="2"/>
        <v/>
      </c>
      <c r="J17000" s="1" t="str">
        <f t="shared" si="3"/>
        <v/>
      </c>
      <c r="K17000" s="1" t="str">
        <f t="shared" si="4"/>
        <v/>
      </c>
    </row>
    <row r="17001">
      <c r="F17001" s="1" t="str">
        <f t="shared" si="1"/>
        <v/>
      </c>
      <c r="G17001" s="1" t="str">
        <f t="shared" si="2"/>
        <v/>
      </c>
      <c r="J17001" s="1" t="str">
        <f t="shared" si="3"/>
        <v/>
      </c>
      <c r="K17001" s="1" t="str">
        <f t="shared" si="4"/>
        <v/>
      </c>
    </row>
    <row r="17002">
      <c r="F17002" s="1" t="str">
        <f t="shared" si="1"/>
        <v/>
      </c>
      <c r="G17002" s="1" t="str">
        <f t="shared" si="2"/>
        <v/>
      </c>
      <c r="J17002" s="1" t="str">
        <f t="shared" si="3"/>
        <v/>
      </c>
      <c r="K17002" s="1" t="str">
        <f t="shared" si="4"/>
        <v/>
      </c>
    </row>
    <row r="17003">
      <c r="F17003" s="1" t="str">
        <f t="shared" si="1"/>
        <v/>
      </c>
      <c r="G17003" s="1" t="str">
        <f t="shared" si="2"/>
        <v/>
      </c>
      <c r="J17003" s="1" t="str">
        <f t="shared" si="3"/>
        <v/>
      </c>
      <c r="K17003" s="1" t="str">
        <f t="shared" si="4"/>
        <v/>
      </c>
    </row>
    <row r="17004">
      <c r="F17004" s="1" t="str">
        <f t="shared" si="1"/>
        <v/>
      </c>
      <c r="G17004" s="1" t="str">
        <f t="shared" si="2"/>
        <v/>
      </c>
      <c r="J17004" s="1" t="str">
        <f t="shared" si="3"/>
        <v/>
      </c>
      <c r="K17004" s="1" t="str">
        <f t="shared" si="4"/>
        <v/>
      </c>
    </row>
    <row r="17005">
      <c r="F17005" s="1" t="str">
        <f t="shared" si="1"/>
        <v/>
      </c>
      <c r="G17005" s="1" t="str">
        <f t="shared" si="2"/>
        <v/>
      </c>
      <c r="J17005" s="1" t="str">
        <f t="shared" si="3"/>
        <v/>
      </c>
      <c r="K17005" s="1" t="str">
        <f t="shared" si="4"/>
        <v/>
      </c>
    </row>
    <row r="17006">
      <c r="F17006" s="1" t="str">
        <f t="shared" si="1"/>
        <v/>
      </c>
      <c r="G17006" s="1" t="str">
        <f t="shared" si="2"/>
        <v/>
      </c>
      <c r="J17006" s="1" t="str">
        <f t="shared" si="3"/>
        <v/>
      </c>
      <c r="K17006" s="1" t="str">
        <f t="shared" si="4"/>
        <v/>
      </c>
    </row>
    <row r="17007">
      <c r="F17007" s="1" t="str">
        <f t="shared" si="1"/>
        <v/>
      </c>
      <c r="G17007" s="1" t="str">
        <f t="shared" si="2"/>
        <v/>
      </c>
      <c r="J17007" s="1" t="str">
        <f t="shared" si="3"/>
        <v/>
      </c>
      <c r="K17007" s="1" t="str">
        <f t="shared" si="4"/>
        <v/>
      </c>
    </row>
    <row r="17008">
      <c r="F17008" s="1" t="str">
        <f t="shared" si="1"/>
        <v/>
      </c>
      <c r="G17008" s="1" t="str">
        <f t="shared" si="2"/>
        <v/>
      </c>
      <c r="J17008" s="1" t="str">
        <f t="shared" si="3"/>
        <v/>
      </c>
      <c r="K17008" s="1" t="str">
        <f t="shared" si="4"/>
        <v/>
      </c>
    </row>
    <row r="17009">
      <c r="F17009" s="1" t="str">
        <f t="shared" si="1"/>
        <v/>
      </c>
      <c r="G17009" s="1" t="str">
        <f t="shared" si="2"/>
        <v/>
      </c>
      <c r="J17009" s="1" t="str">
        <f t="shared" si="3"/>
        <v/>
      </c>
      <c r="K17009" s="1" t="str">
        <f t="shared" si="4"/>
        <v/>
      </c>
    </row>
    <row r="17010">
      <c r="F17010" s="1" t="str">
        <f t="shared" si="1"/>
        <v/>
      </c>
      <c r="G17010" s="1" t="str">
        <f t="shared" si="2"/>
        <v/>
      </c>
      <c r="J17010" s="1" t="str">
        <f t="shared" si="3"/>
        <v/>
      </c>
      <c r="K17010" s="1" t="str">
        <f t="shared" si="4"/>
        <v/>
      </c>
    </row>
    <row r="17011">
      <c r="F17011" s="1" t="str">
        <f t="shared" si="1"/>
        <v/>
      </c>
      <c r="G17011" s="1" t="str">
        <f t="shared" si="2"/>
        <v/>
      </c>
      <c r="J17011" s="1" t="str">
        <f t="shared" si="3"/>
        <v/>
      </c>
      <c r="K17011" s="1" t="str">
        <f t="shared" si="4"/>
        <v/>
      </c>
    </row>
    <row r="17012">
      <c r="F17012" s="1" t="str">
        <f t="shared" si="1"/>
        <v/>
      </c>
      <c r="G17012" s="1" t="str">
        <f t="shared" si="2"/>
        <v/>
      </c>
      <c r="J17012" s="1" t="str">
        <f t="shared" si="3"/>
        <v/>
      </c>
      <c r="K17012" s="1" t="str">
        <f t="shared" si="4"/>
        <v/>
      </c>
    </row>
    <row r="17013">
      <c r="F17013" s="1" t="str">
        <f t="shared" si="1"/>
        <v/>
      </c>
      <c r="G17013" s="1" t="str">
        <f t="shared" si="2"/>
        <v/>
      </c>
      <c r="J17013" s="1" t="str">
        <f t="shared" si="3"/>
        <v/>
      </c>
      <c r="K17013" s="1" t="str">
        <f t="shared" si="4"/>
        <v/>
      </c>
    </row>
    <row r="17014">
      <c r="F17014" s="1" t="str">
        <f t="shared" si="1"/>
        <v/>
      </c>
      <c r="G17014" s="1" t="str">
        <f t="shared" si="2"/>
        <v/>
      </c>
      <c r="J17014" s="1" t="str">
        <f t="shared" si="3"/>
        <v/>
      </c>
      <c r="K17014" s="1" t="str">
        <f t="shared" si="4"/>
        <v/>
      </c>
    </row>
    <row r="17015">
      <c r="F17015" s="1" t="str">
        <f t="shared" si="1"/>
        <v/>
      </c>
      <c r="G17015" s="1" t="str">
        <f t="shared" si="2"/>
        <v/>
      </c>
      <c r="J17015" s="1" t="str">
        <f t="shared" si="3"/>
        <v/>
      </c>
      <c r="K17015" s="1" t="str">
        <f t="shared" si="4"/>
        <v/>
      </c>
    </row>
    <row r="17016">
      <c r="F17016" s="1" t="str">
        <f t="shared" si="1"/>
        <v/>
      </c>
      <c r="G17016" s="1" t="str">
        <f t="shared" si="2"/>
        <v/>
      </c>
      <c r="J17016" s="1" t="str">
        <f t="shared" si="3"/>
        <v/>
      </c>
      <c r="K17016" s="1" t="str">
        <f t="shared" si="4"/>
        <v/>
      </c>
    </row>
    <row r="17017">
      <c r="F17017" s="1" t="str">
        <f t="shared" si="1"/>
        <v/>
      </c>
      <c r="G17017" s="1" t="str">
        <f t="shared" si="2"/>
        <v/>
      </c>
      <c r="J17017" s="1" t="str">
        <f t="shared" si="3"/>
        <v/>
      </c>
      <c r="K17017" s="1" t="str">
        <f t="shared" si="4"/>
        <v/>
      </c>
    </row>
    <row r="17018">
      <c r="F17018" s="1" t="str">
        <f t="shared" si="1"/>
        <v/>
      </c>
      <c r="G17018" s="1" t="str">
        <f t="shared" si="2"/>
        <v/>
      </c>
      <c r="J17018" s="1" t="str">
        <f t="shared" si="3"/>
        <v/>
      </c>
      <c r="K17018" s="1" t="str">
        <f t="shared" si="4"/>
        <v/>
      </c>
    </row>
    <row r="17019">
      <c r="F17019" s="1" t="str">
        <f t="shared" si="1"/>
        <v/>
      </c>
      <c r="G17019" s="1" t="str">
        <f t="shared" si="2"/>
        <v/>
      </c>
      <c r="J17019" s="1" t="str">
        <f t="shared" si="3"/>
        <v/>
      </c>
      <c r="K17019" s="1" t="str">
        <f t="shared" si="4"/>
        <v/>
      </c>
    </row>
    <row r="17020">
      <c r="F17020" s="1" t="str">
        <f t="shared" si="1"/>
        <v/>
      </c>
      <c r="G17020" s="1" t="str">
        <f t="shared" si="2"/>
        <v/>
      </c>
      <c r="J17020" s="1" t="str">
        <f t="shared" si="3"/>
        <v/>
      </c>
      <c r="K17020" s="1" t="str">
        <f t="shared" si="4"/>
        <v/>
      </c>
    </row>
    <row r="17021">
      <c r="F17021" s="1" t="str">
        <f t="shared" si="1"/>
        <v/>
      </c>
      <c r="G17021" s="1" t="str">
        <f t="shared" si="2"/>
        <v/>
      </c>
      <c r="J17021" s="1" t="str">
        <f t="shared" si="3"/>
        <v/>
      </c>
      <c r="K17021" s="1" t="str">
        <f t="shared" si="4"/>
        <v/>
      </c>
    </row>
    <row r="17022">
      <c r="F17022" s="1" t="str">
        <f t="shared" si="1"/>
        <v/>
      </c>
      <c r="G17022" s="1" t="str">
        <f t="shared" si="2"/>
        <v/>
      </c>
      <c r="J17022" s="1" t="str">
        <f t="shared" si="3"/>
        <v/>
      </c>
      <c r="K17022" s="1" t="str">
        <f t="shared" si="4"/>
        <v/>
      </c>
    </row>
    <row r="17023">
      <c r="F17023" s="1" t="str">
        <f t="shared" si="1"/>
        <v/>
      </c>
      <c r="G17023" s="1" t="str">
        <f t="shared" si="2"/>
        <v/>
      </c>
      <c r="J17023" s="1" t="str">
        <f t="shared" si="3"/>
        <v/>
      </c>
      <c r="K17023" s="1" t="str">
        <f t="shared" si="4"/>
        <v/>
      </c>
    </row>
    <row r="17024">
      <c r="F17024" s="1" t="str">
        <f t="shared" si="1"/>
        <v/>
      </c>
      <c r="G17024" s="1" t="str">
        <f t="shared" si="2"/>
        <v/>
      </c>
      <c r="J17024" s="1" t="str">
        <f t="shared" si="3"/>
        <v/>
      </c>
      <c r="K17024" s="1" t="str">
        <f t="shared" si="4"/>
        <v/>
      </c>
    </row>
    <row r="17025">
      <c r="F17025" s="1" t="str">
        <f t="shared" si="1"/>
        <v/>
      </c>
      <c r="G17025" s="1" t="str">
        <f t="shared" si="2"/>
        <v/>
      </c>
      <c r="J17025" s="1" t="str">
        <f t="shared" si="3"/>
        <v/>
      </c>
      <c r="K17025" s="1" t="str">
        <f t="shared" si="4"/>
        <v/>
      </c>
    </row>
    <row r="17026">
      <c r="F17026" s="1" t="str">
        <f t="shared" si="1"/>
        <v/>
      </c>
      <c r="G17026" s="1" t="str">
        <f t="shared" si="2"/>
        <v/>
      </c>
      <c r="J17026" s="1" t="str">
        <f t="shared" si="3"/>
        <v/>
      </c>
      <c r="K17026" s="1" t="str">
        <f t="shared" si="4"/>
        <v/>
      </c>
    </row>
    <row r="17027">
      <c r="F17027" s="1" t="str">
        <f t="shared" si="1"/>
        <v/>
      </c>
      <c r="G17027" s="1" t="str">
        <f t="shared" si="2"/>
        <v/>
      </c>
      <c r="J17027" s="1" t="str">
        <f t="shared" si="3"/>
        <v/>
      </c>
      <c r="K17027" s="1" t="str">
        <f t="shared" si="4"/>
        <v/>
      </c>
    </row>
    <row r="17028">
      <c r="F17028" s="1" t="str">
        <f t="shared" si="1"/>
        <v/>
      </c>
      <c r="G17028" s="1" t="str">
        <f t="shared" si="2"/>
        <v/>
      </c>
      <c r="J17028" s="1" t="str">
        <f t="shared" si="3"/>
        <v/>
      </c>
      <c r="K17028" s="1" t="str">
        <f t="shared" si="4"/>
        <v/>
      </c>
    </row>
    <row r="17029">
      <c r="F17029" s="1" t="str">
        <f t="shared" si="1"/>
        <v/>
      </c>
      <c r="G17029" s="1" t="str">
        <f t="shared" si="2"/>
        <v/>
      </c>
      <c r="J17029" s="1" t="str">
        <f t="shared" si="3"/>
        <v/>
      </c>
      <c r="K17029" s="1" t="str">
        <f t="shared" si="4"/>
        <v/>
      </c>
    </row>
    <row r="17030">
      <c r="F17030" s="1" t="str">
        <f t="shared" si="1"/>
        <v/>
      </c>
      <c r="G17030" s="1" t="str">
        <f t="shared" si="2"/>
        <v/>
      </c>
      <c r="J17030" s="1" t="str">
        <f t="shared" si="3"/>
        <v/>
      </c>
      <c r="K17030" s="1" t="str">
        <f t="shared" si="4"/>
        <v/>
      </c>
    </row>
    <row r="17031">
      <c r="F17031" s="1" t="str">
        <f t="shared" si="1"/>
        <v/>
      </c>
      <c r="G17031" s="1" t="str">
        <f t="shared" si="2"/>
        <v/>
      </c>
      <c r="J17031" s="1" t="str">
        <f t="shared" si="3"/>
        <v/>
      </c>
      <c r="K17031" s="1" t="str">
        <f t="shared" si="4"/>
        <v/>
      </c>
    </row>
    <row r="17032">
      <c r="F17032" s="1" t="str">
        <f t="shared" si="1"/>
        <v/>
      </c>
      <c r="G17032" s="1" t="str">
        <f t="shared" si="2"/>
        <v/>
      </c>
      <c r="J17032" s="1" t="str">
        <f t="shared" si="3"/>
        <v/>
      </c>
      <c r="K17032" s="1" t="str">
        <f t="shared" si="4"/>
        <v/>
      </c>
    </row>
    <row r="17033">
      <c r="F17033" s="1" t="str">
        <f t="shared" si="1"/>
        <v/>
      </c>
      <c r="G17033" s="1" t="str">
        <f t="shared" si="2"/>
        <v/>
      </c>
      <c r="J17033" s="1" t="str">
        <f t="shared" si="3"/>
        <v/>
      </c>
      <c r="K17033" s="1" t="str">
        <f t="shared" si="4"/>
        <v/>
      </c>
    </row>
    <row r="17034">
      <c r="F17034" s="1" t="str">
        <f t="shared" si="1"/>
        <v/>
      </c>
      <c r="G17034" s="1" t="str">
        <f t="shared" si="2"/>
        <v/>
      </c>
      <c r="J17034" s="1" t="str">
        <f t="shared" si="3"/>
        <v/>
      </c>
      <c r="K17034" s="1" t="str">
        <f t="shared" si="4"/>
        <v/>
      </c>
    </row>
    <row r="17035">
      <c r="F17035" s="1" t="str">
        <f t="shared" si="1"/>
        <v/>
      </c>
      <c r="G17035" s="1" t="str">
        <f t="shared" si="2"/>
        <v/>
      </c>
      <c r="J17035" s="1" t="str">
        <f t="shared" si="3"/>
        <v/>
      </c>
      <c r="K17035" s="1" t="str">
        <f t="shared" si="4"/>
        <v/>
      </c>
    </row>
    <row r="17036">
      <c r="F17036" s="1" t="str">
        <f t="shared" si="1"/>
        <v/>
      </c>
      <c r="G17036" s="1" t="str">
        <f t="shared" si="2"/>
        <v/>
      </c>
      <c r="J17036" s="1" t="str">
        <f t="shared" si="3"/>
        <v/>
      </c>
      <c r="K17036" s="1" t="str">
        <f t="shared" si="4"/>
        <v/>
      </c>
    </row>
    <row r="17037">
      <c r="F17037" s="1" t="str">
        <f t="shared" si="1"/>
        <v/>
      </c>
      <c r="G17037" s="1" t="str">
        <f t="shared" si="2"/>
        <v/>
      </c>
      <c r="J17037" s="1" t="str">
        <f t="shared" si="3"/>
        <v/>
      </c>
      <c r="K17037" s="1" t="str">
        <f t="shared" si="4"/>
        <v/>
      </c>
    </row>
    <row r="17038">
      <c r="F17038" s="1" t="str">
        <f t="shared" si="1"/>
        <v/>
      </c>
      <c r="G17038" s="1" t="str">
        <f t="shared" si="2"/>
        <v/>
      </c>
      <c r="J17038" s="1" t="str">
        <f t="shared" si="3"/>
        <v/>
      </c>
      <c r="K17038" s="1" t="str">
        <f t="shared" si="4"/>
        <v/>
      </c>
    </row>
    <row r="17039">
      <c r="F17039" s="1" t="str">
        <f t="shared" si="1"/>
        <v/>
      </c>
      <c r="G17039" s="1" t="str">
        <f t="shared" si="2"/>
        <v/>
      </c>
      <c r="J17039" s="1" t="str">
        <f t="shared" si="3"/>
        <v/>
      </c>
      <c r="K17039" s="1" t="str">
        <f t="shared" si="4"/>
        <v/>
      </c>
    </row>
    <row r="17040">
      <c r="F17040" s="1" t="str">
        <f t="shared" si="1"/>
        <v/>
      </c>
      <c r="G17040" s="1" t="str">
        <f t="shared" si="2"/>
        <v/>
      </c>
      <c r="J17040" s="1" t="str">
        <f t="shared" si="3"/>
        <v/>
      </c>
      <c r="K17040" s="1" t="str">
        <f t="shared" si="4"/>
        <v/>
      </c>
    </row>
    <row r="17041">
      <c r="F17041" s="1" t="str">
        <f t="shared" si="1"/>
        <v/>
      </c>
      <c r="G17041" s="1" t="str">
        <f t="shared" si="2"/>
        <v/>
      </c>
      <c r="J17041" s="1" t="str">
        <f t="shared" si="3"/>
        <v/>
      </c>
      <c r="K17041" s="1" t="str">
        <f t="shared" si="4"/>
        <v/>
      </c>
    </row>
    <row r="17042">
      <c r="F17042" s="1" t="str">
        <f t="shared" si="1"/>
        <v/>
      </c>
      <c r="G17042" s="1" t="str">
        <f t="shared" si="2"/>
        <v/>
      </c>
      <c r="J17042" s="1" t="str">
        <f t="shared" si="3"/>
        <v/>
      </c>
      <c r="K17042" s="1" t="str">
        <f t="shared" si="4"/>
        <v/>
      </c>
    </row>
    <row r="17043">
      <c r="F17043" s="1" t="str">
        <f t="shared" si="1"/>
        <v/>
      </c>
      <c r="G17043" s="1" t="str">
        <f t="shared" si="2"/>
        <v/>
      </c>
      <c r="J17043" s="1" t="str">
        <f t="shared" si="3"/>
        <v/>
      </c>
      <c r="K17043" s="1" t="str">
        <f t="shared" si="4"/>
        <v/>
      </c>
    </row>
    <row r="17044">
      <c r="F17044" s="1" t="str">
        <f t="shared" si="1"/>
        <v/>
      </c>
      <c r="G17044" s="1" t="str">
        <f t="shared" si="2"/>
        <v/>
      </c>
      <c r="J17044" s="1" t="str">
        <f t="shared" si="3"/>
        <v/>
      </c>
      <c r="K17044" s="1" t="str">
        <f t="shared" si="4"/>
        <v/>
      </c>
    </row>
    <row r="17045">
      <c r="F17045" s="1" t="str">
        <f t="shared" si="1"/>
        <v/>
      </c>
      <c r="G17045" s="1" t="str">
        <f t="shared" si="2"/>
        <v/>
      </c>
      <c r="J17045" s="1" t="str">
        <f t="shared" si="3"/>
        <v/>
      </c>
      <c r="K17045" s="1" t="str">
        <f t="shared" si="4"/>
        <v/>
      </c>
    </row>
    <row r="17046">
      <c r="F17046" s="1" t="str">
        <f t="shared" si="1"/>
        <v/>
      </c>
      <c r="G17046" s="1" t="str">
        <f t="shared" si="2"/>
        <v/>
      </c>
      <c r="J17046" s="1" t="str">
        <f t="shared" si="3"/>
        <v/>
      </c>
      <c r="K17046" s="1" t="str">
        <f t="shared" si="4"/>
        <v/>
      </c>
    </row>
    <row r="17047">
      <c r="F17047" s="1" t="str">
        <f t="shared" si="1"/>
        <v/>
      </c>
      <c r="G17047" s="1" t="str">
        <f t="shared" si="2"/>
        <v/>
      </c>
      <c r="J17047" s="1" t="str">
        <f t="shared" si="3"/>
        <v/>
      </c>
      <c r="K17047" s="1" t="str">
        <f t="shared" si="4"/>
        <v/>
      </c>
    </row>
    <row r="17048">
      <c r="F17048" s="1" t="str">
        <f t="shared" si="1"/>
        <v/>
      </c>
      <c r="G17048" s="1" t="str">
        <f t="shared" si="2"/>
        <v/>
      </c>
      <c r="J17048" s="1" t="str">
        <f t="shared" si="3"/>
        <v/>
      </c>
      <c r="K17048" s="1" t="str">
        <f t="shared" si="4"/>
        <v/>
      </c>
    </row>
    <row r="17049">
      <c r="F17049" s="1" t="str">
        <f t="shared" si="1"/>
        <v/>
      </c>
      <c r="G17049" s="1" t="str">
        <f t="shared" si="2"/>
        <v/>
      </c>
      <c r="J17049" s="1" t="str">
        <f t="shared" si="3"/>
        <v/>
      </c>
      <c r="K17049" s="1" t="str">
        <f t="shared" si="4"/>
        <v/>
      </c>
    </row>
    <row r="17050">
      <c r="F17050" s="1" t="str">
        <f t="shared" si="1"/>
        <v/>
      </c>
      <c r="G17050" s="1" t="str">
        <f t="shared" si="2"/>
        <v/>
      </c>
      <c r="J17050" s="1" t="str">
        <f t="shared" si="3"/>
        <v/>
      </c>
      <c r="K17050" s="1" t="str">
        <f t="shared" si="4"/>
        <v/>
      </c>
    </row>
    <row r="17051">
      <c r="F17051" s="1" t="str">
        <f t="shared" si="1"/>
        <v/>
      </c>
      <c r="G17051" s="1" t="str">
        <f t="shared" si="2"/>
        <v/>
      </c>
      <c r="J17051" s="1" t="str">
        <f t="shared" si="3"/>
        <v/>
      </c>
      <c r="K17051" s="1" t="str">
        <f t="shared" si="4"/>
        <v/>
      </c>
    </row>
    <row r="17052">
      <c r="F17052" s="1" t="str">
        <f t="shared" si="1"/>
        <v/>
      </c>
      <c r="G17052" s="1" t="str">
        <f t="shared" si="2"/>
        <v/>
      </c>
      <c r="J17052" s="1" t="str">
        <f t="shared" si="3"/>
        <v/>
      </c>
      <c r="K17052" s="1" t="str">
        <f t="shared" si="4"/>
        <v/>
      </c>
    </row>
    <row r="17053">
      <c r="F17053" s="1" t="str">
        <f t="shared" si="1"/>
        <v/>
      </c>
      <c r="G17053" s="1" t="str">
        <f t="shared" si="2"/>
        <v/>
      </c>
      <c r="J17053" s="1" t="str">
        <f t="shared" si="3"/>
        <v/>
      </c>
      <c r="K17053" s="1" t="str">
        <f t="shared" si="4"/>
        <v/>
      </c>
    </row>
    <row r="17054">
      <c r="F17054" s="1" t="str">
        <f t="shared" si="1"/>
        <v/>
      </c>
      <c r="G17054" s="1" t="str">
        <f t="shared" si="2"/>
        <v/>
      </c>
      <c r="J17054" s="1" t="str">
        <f t="shared" si="3"/>
        <v/>
      </c>
      <c r="K17054" s="1" t="str">
        <f t="shared" si="4"/>
        <v/>
      </c>
    </row>
    <row r="17055">
      <c r="F17055" s="1" t="str">
        <f t="shared" si="1"/>
        <v/>
      </c>
      <c r="G17055" s="1" t="str">
        <f t="shared" si="2"/>
        <v/>
      </c>
      <c r="J17055" s="1" t="str">
        <f t="shared" si="3"/>
        <v/>
      </c>
      <c r="K17055" s="1" t="str">
        <f t="shared" si="4"/>
        <v/>
      </c>
    </row>
    <row r="17056">
      <c r="F17056" s="1" t="str">
        <f t="shared" si="1"/>
        <v/>
      </c>
      <c r="G17056" s="1" t="str">
        <f t="shared" si="2"/>
        <v/>
      </c>
      <c r="J17056" s="1" t="str">
        <f t="shared" si="3"/>
        <v/>
      </c>
      <c r="K17056" s="1" t="str">
        <f t="shared" si="4"/>
        <v/>
      </c>
    </row>
    <row r="17057">
      <c r="F17057" s="1" t="str">
        <f t="shared" si="1"/>
        <v/>
      </c>
      <c r="G17057" s="1" t="str">
        <f t="shared" si="2"/>
        <v/>
      </c>
      <c r="J17057" s="1" t="str">
        <f t="shared" si="3"/>
        <v/>
      </c>
      <c r="K17057" s="1" t="str">
        <f t="shared" si="4"/>
        <v/>
      </c>
    </row>
    <row r="17058">
      <c r="F17058" s="1" t="str">
        <f t="shared" si="1"/>
        <v/>
      </c>
      <c r="G17058" s="1" t="str">
        <f t="shared" si="2"/>
        <v/>
      </c>
      <c r="J17058" s="1" t="str">
        <f t="shared" si="3"/>
        <v/>
      </c>
      <c r="K17058" s="1" t="str">
        <f t="shared" si="4"/>
        <v/>
      </c>
    </row>
    <row r="17059">
      <c r="F17059" s="1" t="str">
        <f t="shared" si="1"/>
        <v/>
      </c>
      <c r="G17059" s="1" t="str">
        <f t="shared" si="2"/>
        <v/>
      </c>
      <c r="J17059" s="1" t="str">
        <f t="shared" si="3"/>
        <v/>
      </c>
      <c r="K17059" s="1" t="str">
        <f t="shared" si="4"/>
        <v/>
      </c>
    </row>
    <row r="17060">
      <c r="F17060" s="1" t="str">
        <f t="shared" si="1"/>
        <v/>
      </c>
      <c r="G17060" s="1" t="str">
        <f t="shared" si="2"/>
        <v/>
      </c>
      <c r="J17060" s="1" t="str">
        <f t="shared" si="3"/>
        <v/>
      </c>
      <c r="K17060" s="1" t="str">
        <f t="shared" si="4"/>
        <v/>
      </c>
    </row>
    <row r="17061">
      <c r="F17061" s="1" t="str">
        <f t="shared" si="1"/>
        <v/>
      </c>
      <c r="G17061" s="1" t="str">
        <f t="shared" si="2"/>
        <v/>
      </c>
      <c r="J17061" s="1" t="str">
        <f t="shared" si="3"/>
        <v/>
      </c>
      <c r="K17061" s="1" t="str">
        <f t="shared" si="4"/>
        <v/>
      </c>
    </row>
    <row r="17062">
      <c r="F17062" s="1" t="str">
        <f t="shared" si="1"/>
        <v/>
      </c>
      <c r="G17062" s="1" t="str">
        <f t="shared" si="2"/>
        <v/>
      </c>
      <c r="J17062" s="1" t="str">
        <f t="shared" si="3"/>
        <v/>
      </c>
      <c r="K17062" s="1" t="str">
        <f t="shared" si="4"/>
        <v/>
      </c>
    </row>
    <row r="17063">
      <c r="F17063" s="1" t="str">
        <f t="shared" si="1"/>
        <v/>
      </c>
      <c r="G17063" s="1" t="str">
        <f t="shared" si="2"/>
        <v/>
      </c>
      <c r="J17063" s="1" t="str">
        <f t="shared" si="3"/>
        <v/>
      </c>
      <c r="K17063" s="1" t="str">
        <f t="shared" si="4"/>
        <v/>
      </c>
    </row>
    <row r="17064">
      <c r="F17064" s="1" t="str">
        <f t="shared" si="1"/>
        <v/>
      </c>
      <c r="G17064" s="1" t="str">
        <f t="shared" si="2"/>
        <v/>
      </c>
      <c r="J17064" s="1" t="str">
        <f t="shared" si="3"/>
        <v/>
      </c>
      <c r="K17064" s="1" t="str">
        <f t="shared" si="4"/>
        <v/>
      </c>
    </row>
    <row r="17065">
      <c r="F17065" s="1" t="str">
        <f t="shared" si="1"/>
        <v/>
      </c>
      <c r="G17065" s="1" t="str">
        <f t="shared" si="2"/>
        <v/>
      </c>
      <c r="J17065" s="1" t="str">
        <f t="shared" si="3"/>
        <v/>
      </c>
      <c r="K17065" s="1" t="str">
        <f t="shared" si="4"/>
        <v/>
      </c>
    </row>
    <row r="17066">
      <c r="F17066" s="1" t="str">
        <f t="shared" si="1"/>
        <v/>
      </c>
      <c r="G17066" s="1" t="str">
        <f t="shared" si="2"/>
        <v/>
      </c>
      <c r="J17066" s="1" t="str">
        <f t="shared" si="3"/>
        <v/>
      </c>
      <c r="K17066" s="1" t="str">
        <f t="shared" si="4"/>
        <v/>
      </c>
    </row>
    <row r="17067">
      <c r="F17067" s="1" t="str">
        <f t="shared" si="1"/>
        <v/>
      </c>
      <c r="G17067" s="1" t="str">
        <f t="shared" si="2"/>
        <v/>
      </c>
      <c r="J17067" s="1" t="str">
        <f t="shared" si="3"/>
        <v/>
      </c>
      <c r="K17067" s="1" t="str">
        <f t="shared" si="4"/>
        <v/>
      </c>
    </row>
    <row r="17068">
      <c r="F17068" s="1" t="str">
        <f t="shared" si="1"/>
        <v/>
      </c>
      <c r="G17068" s="1" t="str">
        <f t="shared" si="2"/>
        <v/>
      </c>
      <c r="J17068" s="1" t="str">
        <f t="shared" si="3"/>
        <v/>
      </c>
      <c r="K17068" s="1" t="str">
        <f t="shared" si="4"/>
        <v/>
      </c>
    </row>
    <row r="17069">
      <c r="F17069" s="1" t="str">
        <f t="shared" si="1"/>
        <v/>
      </c>
      <c r="G17069" s="1" t="str">
        <f t="shared" si="2"/>
        <v/>
      </c>
      <c r="J17069" s="1" t="str">
        <f t="shared" si="3"/>
        <v/>
      </c>
      <c r="K17069" s="1" t="str">
        <f t="shared" si="4"/>
        <v/>
      </c>
    </row>
    <row r="17070">
      <c r="F17070" s="1" t="str">
        <f t="shared" si="1"/>
        <v/>
      </c>
      <c r="G17070" s="1" t="str">
        <f t="shared" si="2"/>
        <v/>
      </c>
      <c r="J17070" s="1" t="str">
        <f t="shared" si="3"/>
        <v/>
      </c>
      <c r="K17070" s="1" t="str">
        <f t="shared" si="4"/>
        <v/>
      </c>
    </row>
    <row r="17071">
      <c r="F17071" s="1" t="str">
        <f t="shared" si="1"/>
        <v/>
      </c>
      <c r="G17071" s="1" t="str">
        <f t="shared" si="2"/>
        <v/>
      </c>
      <c r="J17071" s="1" t="str">
        <f t="shared" si="3"/>
        <v/>
      </c>
      <c r="K17071" s="1" t="str">
        <f t="shared" si="4"/>
        <v/>
      </c>
    </row>
    <row r="17072">
      <c r="F17072" s="1" t="str">
        <f t="shared" si="1"/>
        <v/>
      </c>
      <c r="G17072" s="1" t="str">
        <f t="shared" si="2"/>
        <v/>
      </c>
      <c r="J17072" s="1" t="str">
        <f t="shared" si="3"/>
        <v/>
      </c>
      <c r="K17072" s="1" t="str">
        <f t="shared" si="4"/>
        <v/>
      </c>
    </row>
    <row r="17073">
      <c r="F17073" s="1" t="str">
        <f t="shared" si="1"/>
        <v/>
      </c>
      <c r="G17073" s="1" t="str">
        <f t="shared" si="2"/>
        <v/>
      </c>
      <c r="J17073" s="1" t="str">
        <f t="shared" si="3"/>
        <v/>
      </c>
      <c r="K17073" s="1" t="str">
        <f t="shared" si="4"/>
        <v/>
      </c>
    </row>
    <row r="17074">
      <c r="F17074" s="1" t="str">
        <f t="shared" si="1"/>
        <v/>
      </c>
      <c r="G17074" s="1" t="str">
        <f t="shared" si="2"/>
        <v/>
      </c>
      <c r="J17074" s="1" t="str">
        <f t="shared" si="3"/>
        <v/>
      </c>
      <c r="K17074" s="1" t="str">
        <f t="shared" si="4"/>
        <v/>
      </c>
    </row>
    <row r="17075">
      <c r="F17075" s="1" t="str">
        <f t="shared" si="1"/>
        <v/>
      </c>
      <c r="G17075" s="1" t="str">
        <f t="shared" si="2"/>
        <v/>
      </c>
      <c r="J17075" s="1" t="str">
        <f t="shared" si="3"/>
        <v/>
      </c>
      <c r="K17075" s="1" t="str">
        <f t="shared" si="4"/>
        <v/>
      </c>
    </row>
    <row r="17076">
      <c r="F17076" s="1" t="str">
        <f t="shared" si="1"/>
        <v/>
      </c>
      <c r="G17076" s="1" t="str">
        <f t="shared" si="2"/>
        <v/>
      </c>
      <c r="J17076" s="1" t="str">
        <f t="shared" si="3"/>
        <v/>
      </c>
      <c r="K17076" s="1" t="str">
        <f t="shared" si="4"/>
        <v/>
      </c>
    </row>
    <row r="17077">
      <c r="F17077" s="1" t="str">
        <f t="shared" si="1"/>
        <v/>
      </c>
      <c r="G17077" s="1" t="str">
        <f t="shared" si="2"/>
        <v/>
      </c>
      <c r="J17077" s="1" t="str">
        <f t="shared" si="3"/>
        <v/>
      </c>
      <c r="K17077" s="1" t="str">
        <f t="shared" si="4"/>
        <v/>
      </c>
    </row>
    <row r="17078">
      <c r="F17078" s="1" t="str">
        <f t="shared" si="1"/>
        <v/>
      </c>
      <c r="G17078" s="1" t="str">
        <f t="shared" si="2"/>
        <v/>
      </c>
      <c r="J17078" s="1" t="str">
        <f t="shared" si="3"/>
        <v/>
      </c>
      <c r="K17078" s="1" t="str">
        <f t="shared" si="4"/>
        <v/>
      </c>
    </row>
    <row r="17079">
      <c r="F17079" s="1" t="str">
        <f t="shared" si="1"/>
        <v/>
      </c>
      <c r="G17079" s="1" t="str">
        <f t="shared" si="2"/>
        <v/>
      </c>
      <c r="J17079" s="1" t="str">
        <f t="shared" si="3"/>
        <v/>
      </c>
      <c r="K17079" s="1" t="str">
        <f t="shared" si="4"/>
        <v/>
      </c>
    </row>
    <row r="17080">
      <c r="F17080" s="1" t="str">
        <f t="shared" si="1"/>
        <v/>
      </c>
      <c r="G17080" s="1" t="str">
        <f t="shared" si="2"/>
        <v/>
      </c>
      <c r="J17080" s="1" t="str">
        <f t="shared" si="3"/>
        <v/>
      </c>
      <c r="K17080" s="1" t="str">
        <f t="shared" si="4"/>
        <v/>
      </c>
    </row>
    <row r="17081">
      <c r="F17081" s="1" t="str">
        <f t="shared" si="1"/>
        <v/>
      </c>
      <c r="G17081" s="1" t="str">
        <f t="shared" si="2"/>
        <v/>
      </c>
      <c r="J17081" s="1" t="str">
        <f t="shared" si="3"/>
        <v/>
      </c>
      <c r="K17081" s="1" t="str">
        <f t="shared" si="4"/>
        <v/>
      </c>
    </row>
    <row r="17082">
      <c r="F17082" s="1" t="str">
        <f t="shared" si="1"/>
        <v/>
      </c>
      <c r="G17082" s="1" t="str">
        <f t="shared" si="2"/>
        <v/>
      </c>
      <c r="J17082" s="1" t="str">
        <f t="shared" si="3"/>
        <v/>
      </c>
      <c r="K17082" s="1" t="str">
        <f t="shared" si="4"/>
        <v/>
      </c>
    </row>
    <row r="17083">
      <c r="F17083" s="1" t="str">
        <f t="shared" si="1"/>
        <v/>
      </c>
      <c r="G17083" s="1" t="str">
        <f t="shared" si="2"/>
        <v/>
      </c>
      <c r="J17083" s="1" t="str">
        <f t="shared" si="3"/>
        <v/>
      </c>
      <c r="K17083" s="1" t="str">
        <f t="shared" si="4"/>
        <v/>
      </c>
    </row>
    <row r="17084">
      <c r="F17084" s="1" t="str">
        <f t="shared" si="1"/>
        <v/>
      </c>
      <c r="G17084" s="1" t="str">
        <f t="shared" si="2"/>
        <v/>
      </c>
      <c r="J17084" s="1" t="str">
        <f t="shared" si="3"/>
        <v/>
      </c>
      <c r="K17084" s="1" t="str">
        <f t="shared" si="4"/>
        <v/>
      </c>
    </row>
    <row r="17085">
      <c r="F17085" s="1" t="str">
        <f t="shared" si="1"/>
        <v/>
      </c>
      <c r="G17085" s="1" t="str">
        <f t="shared" si="2"/>
        <v/>
      </c>
      <c r="J17085" s="1" t="str">
        <f t="shared" si="3"/>
        <v/>
      </c>
      <c r="K17085" s="1" t="str">
        <f t="shared" si="4"/>
        <v/>
      </c>
    </row>
    <row r="17086">
      <c r="F17086" s="1" t="str">
        <f t="shared" si="1"/>
        <v/>
      </c>
      <c r="G17086" s="1" t="str">
        <f t="shared" si="2"/>
        <v/>
      </c>
      <c r="J17086" s="1" t="str">
        <f t="shared" si="3"/>
        <v/>
      </c>
      <c r="K17086" s="1" t="str">
        <f t="shared" si="4"/>
        <v/>
      </c>
    </row>
    <row r="17087">
      <c r="F17087" s="1" t="str">
        <f t="shared" si="1"/>
        <v/>
      </c>
      <c r="G17087" s="1" t="str">
        <f t="shared" si="2"/>
        <v/>
      </c>
      <c r="J17087" s="1" t="str">
        <f t="shared" si="3"/>
        <v/>
      </c>
      <c r="K17087" s="1" t="str">
        <f t="shared" si="4"/>
        <v/>
      </c>
    </row>
    <row r="17088">
      <c r="F17088" s="1" t="str">
        <f t="shared" si="1"/>
        <v/>
      </c>
      <c r="G17088" s="1" t="str">
        <f t="shared" si="2"/>
        <v/>
      </c>
      <c r="J17088" s="1" t="str">
        <f t="shared" si="3"/>
        <v/>
      </c>
      <c r="K17088" s="1" t="str">
        <f t="shared" si="4"/>
        <v/>
      </c>
    </row>
    <row r="17089">
      <c r="F17089" s="1" t="str">
        <f t="shared" si="1"/>
        <v/>
      </c>
      <c r="G17089" s="1" t="str">
        <f t="shared" si="2"/>
        <v/>
      </c>
      <c r="J17089" s="1" t="str">
        <f t="shared" si="3"/>
        <v/>
      </c>
      <c r="K17089" s="1" t="str">
        <f t="shared" si="4"/>
        <v/>
      </c>
    </row>
    <row r="17090">
      <c r="F17090" s="1" t="str">
        <f t="shared" si="1"/>
        <v/>
      </c>
      <c r="G17090" s="1" t="str">
        <f t="shared" si="2"/>
        <v/>
      </c>
      <c r="J17090" s="1" t="str">
        <f t="shared" si="3"/>
        <v/>
      </c>
      <c r="K17090" s="1" t="str">
        <f t="shared" si="4"/>
        <v/>
      </c>
    </row>
    <row r="17091">
      <c r="F17091" s="1" t="str">
        <f t="shared" si="1"/>
        <v/>
      </c>
      <c r="G17091" s="1" t="str">
        <f t="shared" si="2"/>
        <v/>
      </c>
      <c r="J17091" s="1" t="str">
        <f t="shared" si="3"/>
        <v/>
      </c>
      <c r="K17091" s="1" t="str">
        <f t="shared" si="4"/>
        <v/>
      </c>
    </row>
    <row r="17092">
      <c r="F17092" s="1" t="str">
        <f t="shared" si="1"/>
        <v/>
      </c>
      <c r="G17092" s="1" t="str">
        <f t="shared" si="2"/>
        <v/>
      </c>
      <c r="J17092" s="1" t="str">
        <f t="shared" si="3"/>
        <v/>
      </c>
      <c r="K17092" s="1" t="str">
        <f t="shared" si="4"/>
        <v/>
      </c>
    </row>
    <row r="17093">
      <c r="F17093" s="1" t="str">
        <f t="shared" si="1"/>
        <v/>
      </c>
      <c r="G17093" s="1" t="str">
        <f t="shared" si="2"/>
        <v/>
      </c>
      <c r="J17093" s="1" t="str">
        <f t="shared" si="3"/>
        <v/>
      </c>
      <c r="K17093" s="1" t="str">
        <f t="shared" si="4"/>
        <v/>
      </c>
    </row>
    <row r="17094">
      <c r="F17094" s="1" t="str">
        <f t="shared" si="1"/>
        <v/>
      </c>
      <c r="G17094" s="1" t="str">
        <f t="shared" si="2"/>
        <v/>
      </c>
      <c r="J17094" s="1" t="str">
        <f t="shared" si="3"/>
        <v/>
      </c>
      <c r="K17094" s="1" t="str">
        <f t="shared" si="4"/>
        <v/>
      </c>
    </row>
    <row r="17095">
      <c r="F17095" s="1" t="str">
        <f t="shared" si="1"/>
        <v/>
      </c>
      <c r="G17095" s="1" t="str">
        <f t="shared" si="2"/>
        <v/>
      </c>
      <c r="J17095" s="1" t="str">
        <f t="shared" si="3"/>
        <v/>
      </c>
      <c r="K17095" s="1" t="str">
        <f t="shared" si="4"/>
        <v/>
      </c>
    </row>
    <row r="17096">
      <c r="F17096" s="1" t="str">
        <f t="shared" si="1"/>
        <v/>
      </c>
      <c r="G17096" s="1" t="str">
        <f t="shared" si="2"/>
        <v/>
      </c>
      <c r="J17096" s="1" t="str">
        <f t="shared" si="3"/>
        <v/>
      </c>
      <c r="K17096" s="1" t="str">
        <f t="shared" si="4"/>
        <v/>
      </c>
    </row>
    <row r="17097">
      <c r="F17097" s="1" t="str">
        <f t="shared" si="1"/>
        <v/>
      </c>
      <c r="G17097" s="1" t="str">
        <f t="shared" si="2"/>
        <v/>
      </c>
      <c r="J17097" s="1" t="str">
        <f t="shared" si="3"/>
        <v/>
      </c>
      <c r="K17097" s="1" t="str">
        <f t="shared" si="4"/>
        <v/>
      </c>
    </row>
    <row r="17098">
      <c r="F17098" s="1" t="str">
        <f t="shared" si="1"/>
        <v/>
      </c>
      <c r="G17098" s="1" t="str">
        <f t="shared" si="2"/>
        <v/>
      </c>
      <c r="J17098" s="1" t="str">
        <f t="shared" si="3"/>
        <v/>
      </c>
      <c r="K17098" s="1" t="str">
        <f t="shared" si="4"/>
        <v/>
      </c>
    </row>
    <row r="17099">
      <c r="F17099" s="1" t="str">
        <f t="shared" si="1"/>
        <v/>
      </c>
      <c r="G17099" s="1" t="str">
        <f t="shared" si="2"/>
        <v/>
      </c>
      <c r="J17099" s="1" t="str">
        <f t="shared" si="3"/>
        <v/>
      </c>
      <c r="K17099" s="1" t="str">
        <f t="shared" si="4"/>
        <v/>
      </c>
    </row>
    <row r="17100">
      <c r="F17100" s="1" t="str">
        <f t="shared" si="1"/>
        <v/>
      </c>
      <c r="G17100" s="1" t="str">
        <f t="shared" si="2"/>
        <v/>
      </c>
      <c r="J17100" s="1" t="str">
        <f t="shared" si="3"/>
        <v/>
      </c>
      <c r="K17100" s="1" t="str">
        <f t="shared" si="4"/>
        <v/>
      </c>
    </row>
    <row r="17101">
      <c r="F17101" s="1" t="str">
        <f t="shared" si="1"/>
        <v/>
      </c>
      <c r="G17101" s="1" t="str">
        <f t="shared" si="2"/>
        <v/>
      </c>
      <c r="J17101" s="1" t="str">
        <f t="shared" si="3"/>
        <v/>
      </c>
      <c r="K17101" s="1" t="str">
        <f t="shared" si="4"/>
        <v/>
      </c>
    </row>
    <row r="17102">
      <c r="F17102" s="1" t="str">
        <f t="shared" si="1"/>
        <v/>
      </c>
      <c r="G17102" s="1" t="str">
        <f t="shared" si="2"/>
        <v/>
      </c>
      <c r="J17102" s="1" t="str">
        <f t="shared" si="3"/>
        <v/>
      </c>
      <c r="K17102" s="1" t="str">
        <f t="shared" si="4"/>
        <v/>
      </c>
    </row>
    <row r="17103">
      <c r="F17103" s="1" t="str">
        <f t="shared" si="1"/>
        <v/>
      </c>
      <c r="G17103" s="1" t="str">
        <f t="shared" si="2"/>
        <v/>
      </c>
      <c r="J17103" s="1" t="str">
        <f t="shared" si="3"/>
        <v/>
      </c>
      <c r="K17103" s="1" t="str">
        <f t="shared" si="4"/>
        <v/>
      </c>
    </row>
    <row r="17104">
      <c r="F17104" s="1" t="str">
        <f t="shared" si="1"/>
        <v/>
      </c>
      <c r="G17104" s="1" t="str">
        <f t="shared" si="2"/>
        <v/>
      </c>
      <c r="J17104" s="1" t="str">
        <f t="shared" si="3"/>
        <v/>
      </c>
      <c r="K17104" s="1" t="str">
        <f t="shared" si="4"/>
        <v/>
      </c>
    </row>
    <row r="17105">
      <c r="F17105" s="1" t="str">
        <f t="shared" si="1"/>
        <v/>
      </c>
      <c r="G17105" s="1" t="str">
        <f t="shared" si="2"/>
        <v/>
      </c>
      <c r="J17105" s="1" t="str">
        <f t="shared" si="3"/>
        <v/>
      </c>
      <c r="K17105" s="1" t="str">
        <f t="shared" si="4"/>
        <v/>
      </c>
    </row>
    <row r="17106">
      <c r="F17106" s="1" t="str">
        <f t="shared" si="1"/>
        <v/>
      </c>
      <c r="G17106" s="1" t="str">
        <f t="shared" si="2"/>
        <v/>
      </c>
      <c r="J17106" s="1" t="str">
        <f t="shared" si="3"/>
        <v/>
      </c>
      <c r="K17106" s="1" t="str">
        <f t="shared" si="4"/>
        <v/>
      </c>
    </row>
    <row r="17107">
      <c r="F17107" s="1" t="str">
        <f t="shared" si="1"/>
        <v/>
      </c>
      <c r="G17107" s="1" t="str">
        <f t="shared" si="2"/>
        <v/>
      </c>
      <c r="J17107" s="1" t="str">
        <f t="shared" si="3"/>
        <v/>
      </c>
      <c r="K17107" s="1" t="str">
        <f t="shared" si="4"/>
        <v/>
      </c>
    </row>
    <row r="17108">
      <c r="F17108" s="1" t="str">
        <f t="shared" si="1"/>
        <v/>
      </c>
      <c r="G17108" s="1" t="str">
        <f t="shared" si="2"/>
        <v/>
      </c>
      <c r="J17108" s="1" t="str">
        <f t="shared" si="3"/>
        <v/>
      </c>
      <c r="K17108" s="1" t="str">
        <f t="shared" si="4"/>
        <v/>
      </c>
    </row>
    <row r="17109">
      <c r="F17109" s="1" t="str">
        <f t="shared" si="1"/>
        <v/>
      </c>
      <c r="G17109" s="1" t="str">
        <f t="shared" si="2"/>
        <v/>
      </c>
      <c r="J17109" s="1" t="str">
        <f t="shared" si="3"/>
        <v/>
      </c>
      <c r="K17109" s="1" t="str">
        <f t="shared" si="4"/>
        <v/>
      </c>
    </row>
    <row r="17110">
      <c r="F17110" s="1" t="str">
        <f t="shared" si="1"/>
        <v/>
      </c>
      <c r="G17110" s="1" t="str">
        <f t="shared" si="2"/>
        <v/>
      </c>
      <c r="J17110" s="1" t="str">
        <f t="shared" si="3"/>
        <v/>
      </c>
      <c r="K17110" s="1" t="str">
        <f t="shared" si="4"/>
        <v/>
      </c>
    </row>
    <row r="17111">
      <c r="F17111" s="1" t="str">
        <f t="shared" si="1"/>
        <v/>
      </c>
      <c r="G17111" s="1" t="str">
        <f t="shared" si="2"/>
        <v/>
      </c>
      <c r="J17111" s="1" t="str">
        <f t="shared" si="3"/>
        <v/>
      </c>
      <c r="K17111" s="1" t="str">
        <f t="shared" si="4"/>
        <v/>
      </c>
    </row>
    <row r="17112">
      <c r="F17112" s="1" t="str">
        <f t="shared" si="1"/>
        <v/>
      </c>
      <c r="G17112" s="1" t="str">
        <f t="shared" si="2"/>
        <v/>
      </c>
      <c r="J17112" s="1" t="str">
        <f t="shared" si="3"/>
        <v/>
      </c>
      <c r="K17112" s="1" t="str">
        <f t="shared" si="4"/>
        <v/>
      </c>
    </row>
    <row r="17113">
      <c r="F17113" s="1" t="str">
        <f t="shared" si="1"/>
        <v/>
      </c>
      <c r="G17113" s="1" t="str">
        <f t="shared" si="2"/>
        <v/>
      </c>
      <c r="J17113" s="1" t="str">
        <f t="shared" si="3"/>
        <v/>
      </c>
      <c r="K17113" s="1" t="str">
        <f t="shared" si="4"/>
        <v/>
      </c>
    </row>
    <row r="17114">
      <c r="F17114" s="1" t="str">
        <f t="shared" si="1"/>
        <v/>
      </c>
      <c r="G17114" s="1" t="str">
        <f t="shared" si="2"/>
        <v/>
      </c>
      <c r="J17114" s="1" t="str">
        <f t="shared" si="3"/>
        <v/>
      </c>
      <c r="K17114" s="1" t="str">
        <f t="shared" si="4"/>
        <v/>
      </c>
    </row>
    <row r="17115">
      <c r="F17115" s="1" t="str">
        <f t="shared" si="1"/>
        <v/>
      </c>
      <c r="G17115" s="1" t="str">
        <f t="shared" si="2"/>
        <v/>
      </c>
      <c r="J17115" s="1" t="str">
        <f t="shared" si="3"/>
        <v/>
      </c>
      <c r="K17115" s="1" t="str">
        <f t="shared" si="4"/>
        <v/>
      </c>
    </row>
    <row r="17116">
      <c r="F17116" s="1" t="str">
        <f t="shared" si="1"/>
        <v/>
      </c>
      <c r="G17116" s="1" t="str">
        <f t="shared" si="2"/>
        <v/>
      </c>
      <c r="J17116" s="1" t="str">
        <f t="shared" si="3"/>
        <v/>
      </c>
      <c r="K17116" s="1" t="str">
        <f t="shared" si="4"/>
        <v/>
      </c>
    </row>
    <row r="17117">
      <c r="F17117" s="1" t="str">
        <f t="shared" si="1"/>
        <v/>
      </c>
      <c r="G17117" s="1" t="str">
        <f t="shared" si="2"/>
        <v/>
      </c>
      <c r="J17117" s="1" t="str">
        <f t="shared" si="3"/>
        <v/>
      </c>
      <c r="K17117" s="1" t="str">
        <f t="shared" si="4"/>
        <v/>
      </c>
    </row>
    <row r="17118">
      <c r="F17118" s="1" t="str">
        <f t="shared" si="1"/>
        <v/>
      </c>
      <c r="G17118" s="1" t="str">
        <f t="shared" si="2"/>
        <v/>
      </c>
      <c r="J17118" s="1" t="str">
        <f t="shared" si="3"/>
        <v/>
      </c>
      <c r="K17118" s="1" t="str">
        <f t="shared" si="4"/>
        <v/>
      </c>
    </row>
    <row r="17119">
      <c r="F17119" s="1" t="str">
        <f t="shared" si="1"/>
        <v/>
      </c>
      <c r="G17119" s="1" t="str">
        <f t="shared" si="2"/>
        <v/>
      </c>
      <c r="J17119" s="1" t="str">
        <f t="shared" si="3"/>
        <v/>
      </c>
      <c r="K17119" s="1" t="str">
        <f t="shared" si="4"/>
        <v/>
      </c>
    </row>
    <row r="17120">
      <c r="F17120" s="1" t="str">
        <f t="shared" si="1"/>
        <v/>
      </c>
      <c r="G17120" s="1" t="str">
        <f t="shared" si="2"/>
        <v/>
      </c>
      <c r="J17120" s="1" t="str">
        <f t="shared" si="3"/>
        <v/>
      </c>
      <c r="K17120" s="1" t="str">
        <f t="shared" si="4"/>
        <v/>
      </c>
    </row>
    <row r="17121">
      <c r="F17121" s="1" t="str">
        <f t="shared" si="1"/>
        <v/>
      </c>
      <c r="G17121" s="1" t="str">
        <f t="shared" si="2"/>
        <v/>
      </c>
      <c r="J17121" s="1" t="str">
        <f t="shared" si="3"/>
        <v/>
      </c>
      <c r="K17121" s="1" t="str">
        <f t="shared" si="4"/>
        <v/>
      </c>
    </row>
    <row r="17122">
      <c r="F17122" s="1" t="str">
        <f t="shared" si="1"/>
        <v/>
      </c>
      <c r="G17122" s="1" t="str">
        <f t="shared" si="2"/>
        <v/>
      </c>
      <c r="J17122" s="1" t="str">
        <f t="shared" si="3"/>
        <v/>
      </c>
      <c r="K17122" s="1" t="str">
        <f t="shared" si="4"/>
        <v/>
      </c>
    </row>
    <row r="17123">
      <c r="F17123" s="1" t="str">
        <f t="shared" si="1"/>
        <v/>
      </c>
      <c r="G17123" s="1" t="str">
        <f t="shared" si="2"/>
        <v/>
      </c>
      <c r="J17123" s="1" t="str">
        <f t="shared" si="3"/>
        <v/>
      </c>
      <c r="K17123" s="1" t="str">
        <f t="shared" si="4"/>
        <v/>
      </c>
    </row>
    <row r="17124">
      <c r="F17124" s="1" t="str">
        <f t="shared" si="1"/>
        <v/>
      </c>
      <c r="G17124" s="1" t="str">
        <f t="shared" si="2"/>
        <v/>
      </c>
      <c r="J17124" s="1" t="str">
        <f t="shared" si="3"/>
        <v/>
      </c>
      <c r="K17124" s="1" t="str">
        <f t="shared" si="4"/>
        <v/>
      </c>
    </row>
    <row r="17125">
      <c r="F17125" s="1" t="str">
        <f t="shared" si="1"/>
        <v/>
      </c>
      <c r="G17125" s="1" t="str">
        <f t="shared" si="2"/>
        <v/>
      </c>
      <c r="J17125" s="1" t="str">
        <f t="shared" si="3"/>
        <v/>
      </c>
      <c r="K17125" s="1" t="str">
        <f t="shared" si="4"/>
        <v/>
      </c>
    </row>
    <row r="17126">
      <c r="F17126" s="1" t="str">
        <f t="shared" si="1"/>
        <v/>
      </c>
      <c r="G17126" s="1" t="str">
        <f t="shared" si="2"/>
        <v/>
      </c>
      <c r="J17126" s="1" t="str">
        <f t="shared" si="3"/>
        <v/>
      </c>
      <c r="K17126" s="1" t="str">
        <f t="shared" si="4"/>
        <v/>
      </c>
    </row>
    <row r="17127">
      <c r="F17127" s="1" t="str">
        <f t="shared" si="1"/>
        <v/>
      </c>
      <c r="G17127" s="1" t="str">
        <f t="shared" si="2"/>
        <v/>
      </c>
      <c r="J17127" s="1" t="str">
        <f t="shared" si="3"/>
        <v/>
      </c>
      <c r="K17127" s="1" t="str">
        <f t="shared" si="4"/>
        <v/>
      </c>
    </row>
    <row r="17128">
      <c r="F17128" s="1" t="str">
        <f t="shared" si="1"/>
        <v/>
      </c>
      <c r="G17128" s="1" t="str">
        <f t="shared" si="2"/>
        <v/>
      </c>
      <c r="J17128" s="1" t="str">
        <f t="shared" si="3"/>
        <v/>
      </c>
      <c r="K17128" s="1" t="str">
        <f t="shared" si="4"/>
        <v/>
      </c>
    </row>
    <row r="17129">
      <c r="F17129" s="1" t="str">
        <f t="shared" si="1"/>
        <v/>
      </c>
      <c r="G17129" s="1" t="str">
        <f t="shared" si="2"/>
        <v/>
      </c>
      <c r="J17129" s="1" t="str">
        <f t="shared" si="3"/>
        <v/>
      </c>
      <c r="K17129" s="1" t="str">
        <f t="shared" si="4"/>
        <v/>
      </c>
    </row>
    <row r="17130">
      <c r="F17130" s="1" t="str">
        <f t="shared" si="1"/>
        <v/>
      </c>
      <c r="G17130" s="1" t="str">
        <f t="shared" si="2"/>
        <v/>
      </c>
      <c r="J17130" s="1" t="str">
        <f t="shared" si="3"/>
        <v/>
      </c>
      <c r="K17130" s="1" t="str">
        <f t="shared" si="4"/>
        <v/>
      </c>
    </row>
    <row r="17131">
      <c r="F17131" s="1" t="str">
        <f t="shared" si="1"/>
        <v/>
      </c>
      <c r="G17131" s="1" t="str">
        <f t="shared" si="2"/>
        <v/>
      </c>
      <c r="J17131" s="1" t="str">
        <f t="shared" si="3"/>
        <v/>
      </c>
      <c r="K17131" s="1" t="str">
        <f t="shared" si="4"/>
        <v/>
      </c>
    </row>
    <row r="17132">
      <c r="F17132" s="1" t="str">
        <f t="shared" si="1"/>
        <v/>
      </c>
      <c r="G17132" s="1" t="str">
        <f t="shared" si="2"/>
        <v/>
      </c>
      <c r="J17132" s="1" t="str">
        <f t="shared" si="3"/>
        <v/>
      </c>
      <c r="K17132" s="1" t="str">
        <f t="shared" si="4"/>
        <v/>
      </c>
    </row>
    <row r="17133">
      <c r="F17133" s="1" t="str">
        <f t="shared" si="1"/>
        <v/>
      </c>
      <c r="G17133" s="1" t="str">
        <f t="shared" si="2"/>
        <v/>
      </c>
      <c r="J17133" s="1" t="str">
        <f t="shared" si="3"/>
        <v/>
      </c>
      <c r="K17133" s="1" t="str">
        <f t="shared" si="4"/>
        <v/>
      </c>
    </row>
    <row r="17134">
      <c r="F17134" s="1" t="str">
        <f t="shared" si="1"/>
        <v/>
      </c>
      <c r="G17134" s="1" t="str">
        <f t="shared" si="2"/>
        <v/>
      </c>
      <c r="J17134" s="1" t="str">
        <f t="shared" si="3"/>
        <v/>
      </c>
      <c r="K17134" s="1" t="str">
        <f t="shared" si="4"/>
        <v/>
      </c>
    </row>
    <row r="17135">
      <c r="F17135" s="1" t="str">
        <f t="shared" si="1"/>
        <v/>
      </c>
      <c r="G17135" s="1" t="str">
        <f t="shared" si="2"/>
        <v/>
      </c>
      <c r="J17135" s="1" t="str">
        <f t="shared" si="3"/>
        <v/>
      </c>
      <c r="K17135" s="1" t="str">
        <f t="shared" si="4"/>
        <v/>
      </c>
    </row>
    <row r="17136">
      <c r="F17136" s="1" t="str">
        <f t="shared" si="1"/>
        <v/>
      </c>
      <c r="G17136" s="1" t="str">
        <f t="shared" si="2"/>
        <v/>
      </c>
      <c r="J17136" s="1" t="str">
        <f t="shared" si="3"/>
        <v/>
      </c>
      <c r="K17136" s="1" t="str">
        <f t="shared" si="4"/>
        <v/>
      </c>
    </row>
    <row r="17137">
      <c r="F17137" s="1" t="str">
        <f t="shared" si="1"/>
        <v/>
      </c>
      <c r="G17137" s="1" t="str">
        <f t="shared" si="2"/>
        <v/>
      </c>
      <c r="J17137" s="1" t="str">
        <f t="shared" si="3"/>
        <v/>
      </c>
      <c r="K17137" s="1" t="str">
        <f t="shared" si="4"/>
        <v/>
      </c>
    </row>
    <row r="17138">
      <c r="F17138" s="1" t="str">
        <f t="shared" si="1"/>
        <v/>
      </c>
      <c r="G17138" s="1" t="str">
        <f t="shared" si="2"/>
        <v/>
      </c>
      <c r="J17138" s="1" t="str">
        <f t="shared" si="3"/>
        <v/>
      </c>
      <c r="K17138" s="1" t="str">
        <f t="shared" si="4"/>
        <v/>
      </c>
    </row>
    <row r="17139">
      <c r="F17139" s="1" t="str">
        <f t="shared" si="1"/>
        <v/>
      </c>
      <c r="G17139" s="1" t="str">
        <f t="shared" si="2"/>
        <v/>
      </c>
      <c r="J17139" s="1" t="str">
        <f t="shared" si="3"/>
        <v/>
      </c>
      <c r="K17139" s="1" t="str">
        <f t="shared" si="4"/>
        <v/>
      </c>
    </row>
    <row r="17140">
      <c r="F17140" s="1" t="str">
        <f t="shared" si="1"/>
        <v/>
      </c>
      <c r="G17140" s="1" t="str">
        <f t="shared" si="2"/>
        <v/>
      </c>
      <c r="J17140" s="1" t="str">
        <f t="shared" si="3"/>
        <v/>
      </c>
      <c r="K17140" s="1" t="str">
        <f t="shared" si="4"/>
        <v/>
      </c>
    </row>
    <row r="17141">
      <c r="F17141" s="1" t="str">
        <f t="shared" si="1"/>
        <v/>
      </c>
      <c r="G17141" s="1" t="str">
        <f t="shared" si="2"/>
        <v/>
      </c>
      <c r="J17141" s="1" t="str">
        <f t="shared" si="3"/>
        <v/>
      </c>
      <c r="K17141" s="1" t="str">
        <f t="shared" si="4"/>
        <v/>
      </c>
    </row>
    <row r="17142">
      <c r="F17142" s="1" t="str">
        <f t="shared" si="1"/>
        <v/>
      </c>
      <c r="G17142" s="1" t="str">
        <f t="shared" si="2"/>
        <v/>
      </c>
      <c r="J17142" s="1" t="str">
        <f t="shared" si="3"/>
        <v/>
      </c>
      <c r="K17142" s="1" t="str">
        <f t="shared" si="4"/>
        <v/>
      </c>
    </row>
    <row r="17143">
      <c r="F17143" s="1" t="str">
        <f t="shared" si="1"/>
        <v/>
      </c>
      <c r="G17143" s="1" t="str">
        <f t="shared" si="2"/>
        <v/>
      </c>
      <c r="J17143" s="1" t="str">
        <f t="shared" si="3"/>
        <v/>
      </c>
      <c r="K17143" s="1" t="str">
        <f t="shared" si="4"/>
        <v/>
      </c>
    </row>
    <row r="17144">
      <c r="F17144" s="1" t="str">
        <f t="shared" si="1"/>
        <v/>
      </c>
      <c r="G17144" s="1" t="str">
        <f t="shared" si="2"/>
        <v/>
      </c>
      <c r="J17144" s="1" t="str">
        <f t="shared" si="3"/>
        <v/>
      </c>
      <c r="K17144" s="1" t="str">
        <f t="shared" si="4"/>
        <v/>
      </c>
    </row>
    <row r="17145">
      <c r="F17145" s="1" t="str">
        <f t="shared" si="1"/>
        <v/>
      </c>
      <c r="G17145" s="1" t="str">
        <f t="shared" si="2"/>
        <v/>
      </c>
      <c r="J17145" s="1" t="str">
        <f t="shared" si="3"/>
        <v/>
      </c>
      <c r="K17145" s="1" t="str">
        <f t="shared" si="4"/>
        <v/>
      </c>
    </row>
    <row r="17146">
      <c r="F17146" s="1" t="str">
        <f t="shared" si="1"/>
        <v/>
      </c>
      <c r="G17146" s="1" t="str">
        <f t="shared" si="2"/>
        <v/>
      </c>
      <c r="J17146" s="1" t="str">
        <f t="shared" si="3"/>
        <v/>
      </c>
      <c r="K17146" s="1" t="str">
        <f t="shared" si="4"/>
        <v/>
      </c>
    </row>
    <row r="17147">
      <c r="F17147" s="1" t="str">
        <f t="shared" si="1"/>
        <v/>
      </c>
      <c r="G17147" s="1" t="str">
        <f t="shared" si="2"/>
        <v/>
      </c>
      <c r="J17147" s="1" t="str">
        <f t="shared" si="3"/>
        <v/>
      </c>
      <c r="K17147" s="1" t="str">
        <f t="shared" si="4"/>
        <v/>
      </c>
    </row>
    <row r="17148">
      <c r="F17148" s="1" t="str">
        <f t="shared" si="1"/>
        <v/>
      </c>
      <c r="G17148" s="1" t="str">
        <f t="shared" si="2"/>
        <v/>
      </c>
      <c r="J17148" s="1" t="str">
        <f t="shared" si="3"/>
        <v/>
      </c>
      <c r="K17148" s="1" t="str">
        <f t="shared" si="4"/>
        <v/>
      </c>
    </row>
    <row r="17149">
      <c r="F17149" s="1" t="str">
        <f t="shared" si="1"/>
        <v/>
      </c>
      <c r="G17149" s="1" t="str">
        <f t="shared" si="2"/>
        <v/>
      </c>
      <c r="J17149" s="1" t="str">
        <f t="shared" si="3"/>
        <v/>
      </c>
      <c r="K17149" s="1" t="str">
        <f t="shared" si="4"/>
        <v/>
      </c>
    </row>
    <row r="17150">
      <c r="F17150" s="1" t="str">
        <f t="shared" si="1"/>
        <v/>
      </c>
      <c r="G17150" s="1" t="str">
        <f t="shared" si="2"/>
        <v/>
      </c>
      <c r="J17150" s="1" t="str">
        <f t="shared" si="3"/>
        <v/>
      </c>
      <c r="K17150" s="1" t="str">
        <f t="shared" si="4"/>
        <v/>
      </c>
    </row>
    <row r="17151">
      <c r="F17151" s="1" t="str">
        <f t="shared" si="1"/>
        <v/>
      </c>
      <c r="G17151" s="1" t="str">
        <f t="shared" si="2"/>
        <v/>
      </c>
      <c r="J17151" s="1" t="str">
        <f t="shared" si="3"/>
        <v/>
      </c>
      <c r="K17151" s="1" t="str">
        <f t="shared" si="4"/>
        <v/>
      </c>
    </row>
    <row r="17152">
      <c r="F17152" s="1" t="str">
        <f t="shared" si="1"/>
        <v/>
      </c>
      <c r="G17152" s="1" t="str">
        <f t="shared" si="2"/>
        <v/>
      </c>
      <c r="J17152" s="1" t="str">
        <f t="shared" si="3"/>
        <v/>
      </c>
      <c r="K17152" s="1" t="str">
        <f t="shared" si="4"/>
        <v/>
      </c>
    </row>
    <row r="17153">
      <c r="F17153" s="1" t="str">
        <f t="shared" si="1"/>
        <v/>
      </c>
      <c r="G17153" s="1" t="str">
        <f t="shared" si="2"/>
        <v/>
      </c>
      <c r="J17153" s="1" t="str">
        <f t="shared" si="3"/>
        <v/>
      </c>
      <c r="K17153" s="1" t="str">
        <f t="shared" si="4"/>
        <v/>
      </c>
    </row>
    <row r="17154">
      <c r="F17154" s="1" t="str">
        <f t="shared" si="1"/>
        <v/>
      </c>
      <c r="G17154" s="1" t="str">
        <f t="shared" si="2"/>
        <v/>
      </c>
      <c r="J17154" s="1" t="str">
        <f t="shared" si="3"/>
        <v/>
      </c>
      <c r="K17154" s="1" t="str">
        <f t="shared" si="4"/>
        <v/>
      </c>
    </row>
    <row r="17155">
      <c r="F17155" s="1" t="str">
        <f t="shared" si="1"/>
        <v/>
      </c>
      <c r="G17155" s="1" t="str">
        <f t="shared" si="2"/>
        <v/>
      </c>
      <c r="J17155" s="1" t="str">
        <f t="shared" si="3"/>
        <v/>
      </c>
      <c r="K17155" s="1" t="str">
        <f t="shared" si="4"/>
        <v/>
      </c>
    </row>
    <row r="17156">
      <c r="F17156" s="1" t="str">
        <f t="shared" si="1"/>
        <v/>
      </c>
      <c r="G17156" s="1" t="str">
        <f t="shared" si="2"/>
        <v/>
      </c>
      <c r="J17156" s="1" t="str">
        <f t="shared" si="3"/>
        <v/>
      </c>
      <c r="K17156" s="1" t="str">
        <f t="shared" si="4"/>
        <v/>
      </c>
    </row>
    <row r="17157">
      <c r="F17157" s="1" t="str">
        <f t="shared" si="1"/>
        <v/>
      </c>
      <c r="G17157" s="1" t="str">
        <f t="shared" si="2"/>
        <v/>
      </c>
      <c r="J17157" s="1" t="str">
        <f t="shared" si="3"/>
        <v/>
      </c>
      <c r="K17157" s="1" t="str">
        <f t="shared" si="4"/>
        <v/>
      </c>
    </row>
    <row r="17158">
      <c r="F17158" s="1" t="str">
        <f t="shared" si="1"/>
        <v/>
      </c>
      <c r="G17158" s="1" t="str">
        <f t="shared" si="2"/>
        <v/>
      </c>
      <c r="J17158" s="1" t="str">
        <f t="shared" si="3"/>
        <v/>
      </c>
      <c r="K17158" s="1" t="str">
        <f t="shared" si="4"/>
        <v/>
      </c>
    </row>
    <row r="17159">
      <c r="F17159" s="1" t="str">
        <f t="shared" si="1"/>
        <v/>
      </c>
      <c r="G17159" s="1" t="str">
        <f t="shared" si="2"/>
        <v/>
      </c>
      <c r="J17159" s="1" t="str">
        <f t="shared" si="3"/>
        <v/>
      </c>
      <c r="K17159" s="1" t="str">
        <f t="shared" si="4"/>
        <v/>
      </c>
    </row>
    <row r="17160">
      <c r="F17160" s="1" t="str">
        <f t="shared" si="1"/>
        <v/>
      </c>
      <c r="G17160" s="1" t="str">
        <f t="shared" si="2"/>
        <v/>
      </c>
      <c r="J17160" s="1" t="str">
        <f t="shared" si="3"/>
        <v/>
      </c>
      <c r="K17160" s="1" t="str">
        <f t="shared" si="4"/>
        <v/>
      </c>
    </row>
    <row r="17161">
      <c r="F17161" s="1" t="str">
        <f t="shared" si="1"/>
        <v/>
      </c>
      <c r="G17161" s="1" t="str">
        <f t="shared" si="2"/>
        <v/>
      </c>
      <c r="J17161" s="1" t="str">
        <f t="shared" si="3"/>
        <v/>
      </c>
      <c r="K17161" s="1" t="str">
        <f t="shared" si="4"/>
        <v/>
      </c>
    </row>
    <row r="17162">
      <c r="F17162" s="1" t="str">
        <f t="shared" si="1"/>
        <v/>
      </c>
      <c r="G17162" s="1" t="str">
        <f t="shared" si="2"/>
        <v/>
      </c>
      <c r="J17162" s="1" t="str">
        <f t="shared" si="3"/>
        <v/>
      </c>
      <c r="K17162" s="1" t="str">
        <f t="shared" si="4"/>
        <v/>
      </c>
    </row>
    <row r="17163">
      <c r="F17163" s="1" t="str">
        <f t="shared" si="1"/>
        <v/>
      </c>
      <c r="G17163" s="1" t="str">
        <f t="shared" si="2"/>
        <v/>
      </c>
      <c r="J17163" s="1" t="str">
        <f t="shared" si="3"/>
        <v/>
      </c>
      <c r="K17163" s="1" t="str">
        <f t="shared" si="4"/>
        <v/>
      </c>
    </row>
    <row r="17164">
      <c r="F17164" s="1" t="str">
        <f t="shared" si="1"/>
        <v/>
      </c>
      <c r="G17164" s="1" t="str">
        <f t="shared" si="2"/>
        <v/>
      </c>
      <c r="J17164" s="1" t="str">
        <f t="shared" si="3"/>
        <v/>
      </c>
      <c r="K17164" s="1" t="str">
        <f t="shared" si="4"/>
        <v/>
      </c>
    </row>
    <row r="17165">
      <c r="F17165" s="1" t="str">
        <f t="shared" si="1"/>
        <v/>
      </c>
      <c r="G17165" s="1" t="str">
        <f t="shared" si="2"/>
        <v/>
      </c>
      <c r="J17165" s="1" t="str">
        <f t="shared" si="3"/>
        <v/>
      </c>
      <c r="K17165" s="1" t="str">
        <f t="shared" si="4"/>
        <v/>
      </c>
    </row>
    <row r="17166">
      <c r="F17166" s="1" t="str">
        <f t="shared" si="1"/>
        <v/>
      </c>
      <c r="G17166" s="1" t="str">
        <f t="shared" si="2"/>
        <v/>
      </c>
      <c r="J17166" s="1" t="str">
        <f t="shared" si="3"/>
        <v/>
      </c>
      <c r="K17166" s="1" t="str">
        <f t="shared" si="4"/>
        <v/>
      </c>
    </row>
    <row r="17167">
      <c r="F17167" s="1" t="str">
        <f t="shared" si="1"/>
        <v/>
      </c>
      <c r="G17167" s="1" t="str">
        <f t="shared" si="2"/>
        <v/>
      </c>
      <c r="J17167" s="1" t="str">
        <f t="shared" si="3"/>
        <v/>
      </c>
      <c r="K17167" s="1" t="str">
        <f t="shared" si="4"/>
        <v/>
      </c>
    </row>
    <row r="17168">
      <c r="F17168" s="1" t="str">
        <f t="shared" si="1"/>
        <v/>
      </c>
      <c r="G17168" s="1" t="str">
        <f t="shared" si="2"/>
        <v/>
      </c>
      <c r="J17168" s="1" t="str">
        <f t="shared" si="3"/>
        <v/>
      </c>
      <c r="K17168" s="1" t="str">
        <f t="shared" si="4"/>
        <v/>
      </c>
    </row>
    <row r="17169">
      <c r="F17169" s="1" t="str">
        <f t="shared" si="1"/>
        <v/>
      </c>
      <c r="G17169" s="1" t="str">
        <f t="shared" si="2"/>
        <v/>
      </c>
      <c r="J17169" s="1" t="str">
        <f t="shared" si="3"/>
        <v/>
      </c>
      <c r="K17169" s="1" t="str">
        <f t="shared" si="4"/>
        <v/>
      </c>
    </row>
    <row r="17170">
      <c r="F17170" s="1" t="str">
        <f t="shared" si="1"/>
        <v/>
      </c>
      <c r="G17170" s="1" t="str">
        <f t="shared" si="2"/>
        <v/>
      </c>
      <c r="J17170" s="1" t="str">
        <f t="shared" si="3"/>
        <v/>
      </c>
      <c r="K17170" s="1" t="str">
        <f t="shared" si="4"/>
        <v/>
      </c>
    </row>
    <row r="17171">
      <c r="F17171" s="1" t="str">
        <f t="shared" si="1"/>
        <v/>
      </c>
      <c r="G17171" s="1" t="str">
        <f t="shared" si="2"/>
        <v/>
      </c>
      <c r="J17171" s="1" t="str">
        <f t="shared" si="3"/>
        <v/>
      </c>
      <c r="K17171" s="1" t="str">
        <f t="shared" si="4"/>
        <v/>
      </c>
    </row>
    <row r="17172">
      <c r="F17172" s="1" t="str">
        <f t="shared" si="1"/>
        <v/>
      </c>
      <c r="G17172" s="1" t="str">
        <f t="shared" si="2"/>
        <v/>
      </c>
      <c r="J17172" s="1" t="str">
        <f t="shared" si="3"/>
        <v/>
      </c>
      <c r="K17172" s="1" t="str">
        <f t="shared" si="4"/>
        <v/>
      </c>
    </row>
    <row r="17173">
      <c r="F17173" s="1" t="str">
        <f t="shared" si="1"/>
        <v/>
      </c>
      <c r="G17173" s="1" t="str">
        <f t="shared" si="2"/>
        <v/>
      </c>
      <c r="J17173" s="1" t="str">
        <f t="shared" si="3"/>
        <v/>
      </c>
      <c r="K17173" s="1" t="str">
        <f t="shared" si="4"/>
        <v/>
      </c>
    </row>
    <row r="17174">
      <c r="F17174" s="1" t="str">
        <f t="shared" si="1"/>
        <v/>
      </c>
      <c r="G17174" s="1" t="str">
        <f t="shared" si="2"/>
        <v/>
      </c>
      <c r="J17174" s="1" t="str">
        <f t="shared" si="3"/>
        <v/>
      </c>
      <c r="K17174" s="1" t="str">
        <f t="shared" si="4"/>
        <v/>
      </c>
    </row>
    <row r="17175">
      <c r="F17175" s="1" t="str">
        <f t="shared" si="1"/>
        <v/>
      </c>
      <c r="G17175" s="1" t="str">
        <f t="shared" si="2"/>
        <v/>
      </c>
      <c r="J17175" s="1" t="str">
        <f t="shared" si="3"/>
        <v/>
      </c>
      <c r="K17175" s="1" t="str">
        <f t="shared" si="4"/>
        <v/>
      </c>
    </row>
    <row r="17176">
      <c r="F17176" s="1" t="str">
        <f t="shared" si="1"/>
        <v/>
      </c>
      <c r="G17176" s="1" t="str">
        <f t="shared" si="2"/>
        <v/>
      </c>
      <c r="J17176" s="1" t="str">
        <f t="shared" si="3"/>
        <v/>
      </c>
      <c r="K17176" s="1" t="str">
        <f t="shared" si="4"/>
        <v/>
      </c>
    </row>
    <row r="17177">
      <c r="F17177" s="1" t="str">
        <f t="shared" si="1"/>
        <v/>
      </c>
      <c r="G17177" s="1" t="str">
        <f t="shared" si="2"/>
        <v/>
      </c>
      <c r="J17177" s="1" t="str">
        <f t="shared" si="3"/>
        <v/>
      </c>
      <c r="K17177" s="1" t="str">
        <f t="shared" si="4"/>
        <v/>
      </c>
    </row>
    <row r="17178">
      <c r="F17178" s="1" t="str">
        <f t="shared" si="1"/>
        <v/>
      </c>
      <c r="G17178" s="1" t="str">
        <f t="shared" si="2"/>
        <v/>
      </c>
      <c r="J17178" s="1" t="str">
        <f t="shared" si="3"/>
        <v/>
      </c>
      <c r="K17178" s="1" t="str">
        <f t="shared" si="4"/>
        <v/>
      </c>
    </row>
    <row r="17179">
      <c r="F17179" s="1" t="str">
        <f t="shared" si="1"/>
        <v/>
      </c>
      <c r="G17179" s="1" t="str">
        <f t="shared" si="2"/>
        <v/>
      </c>
      <c r="J17179" s="1" t="str">
        <f t="shared" si="3"/>
        <v/>
      </c>
      <c r="K17179" s="1" t="str">
        <f t="shared" si="4"/>
        <v/>
      </c>
    </row>
    <row r="17180">
      <c r="F17180" s="1" t="str">
        <f t="shared" si="1"/>
        <v/>
      </c>
      <c r="G17180" s="1" t="str">
        <f t="shared" si="2"/>
        <v/>
      </c>
      <c r="J17180" s="1" t="str">
        <f t="shared" si="3"/>
        <v/>
      </c>
      <c r="K17180" s="1" t="str">
        <f t="shared" si="4"/>
        <v/>
      </c>
    </row>
    <row r="17181">
      <c r="F17181" s="1" t="str">
        <f t="shared" si="1"/>
        <v/>
      </c>
      <c r="G17181" s="1" t="str">
        <f t="shared" si="2"/>
        <v/>
      </c>
      <c r="J17181" s="1" t="str">
        <f t="shared" si="3"/>
        <v/>
      </c>
      <c r="K17181" s="1" t="str">
        <f t="shared" si="4"/>
        <v/>
      </c>
    </row>
    <row r="17182">
      <c r="F17182" s="1" t="str">
        <f t="shared" si="1"/>
        <v/>
      </c>
      <c r="G17182" s="1" t="str">
        <f t="shared" si="2"/>
        <v/>
      </c>
      <c r="J17182" s="1" t="str">
        <f t="shared" si="3"/>
        <v/>
      </c>
      <c r="K17182" s="1" t="str">
        <f t="shared" si="4"/>
        <v/>
      </c>
    </row>
    <row r="17183">
      <c r="F17183" s="1" t="str">
        <f t="shared" si="1"/>
        <v/>
      </c>
      <c r="G17183" s="1" t="str">
        <f t="shared" si="2"/>
        <v/>
      </c>
      <c r="J17183" s="1" t="str">
        <f t="shared" si="3"/>
        <v/>
      </c>
      <c r="K17183" s="1" t="str">
        <f t="shared" si="4"/>
        <v/>
      </c>
    </row>
    <row r="17184">
      <c r="F17184" s="1" t="str">
        <f t="shared" si="1"/>
        <v/>
      </c>
      <c r="G17184" s="1" t="str">
        <f t="shared" si="2"/>
        <v/>
      </c>
      <c r="J17184" s="1" t="str">
        <f t="shared" si="3"/>
        <v/>
      </c>
      <c r="K17184" s="1" t="str">
        <f t="shared" si="4"/>
        <v/>
      </c>
    </row>
    <row r="17185">
      <c r="F17185" s="1" t="str">
        <f t="shared" si="1"/>
        <v/>
      </c>
      <c r="G17185" s="1" t="str">
        <f t="shared" si="2"/>
        <v/>
      </c>
      <c r="J17185" s="1" t="str">
        <f t="shared" si="3"/>
        <v/>
      </c>
      <c r="K17185" s="1" t="str">
        <f t="shared" si="4"/>
        <v/>
      </c>
    </row>
    <row r="17186">
      <c r="F17186" s="1" t="str">
        <f t="shared" si="1"/>
        <v/>
      </c>
      <c r="G17186" s="1" t="str">
        <f t="shared" si="2"/>
        <v/>
      </c>
      <c r="J17186" s="1" t="str">
        <f t="shared" si="3"/>
        <v/>
      </c>
      <c r="K17186" s="1" t="str">
        <f t="shared" si="4"/>
        <v/>
      </c>
    </row>
    <row r="17187">
      <c r="F17187" s="1" t="str">
        <f t="shared" si="1"/>
        <v/>
      </c>
      <c r="G17187" s="1" t="str">
        <f t="shared" si="2"/>
        <v/>
      </c>
      <c r="J17187" s="1" t="str">
        <f t="shared" si="3"/>
        <v/>
      </c>
      <c r="K17187" s="1" t="str">
        <f t="shared" si="4"/>
        <v/>
      </c>
    </row>
    <row r="17188">
      <c r="F17188" s="1" t="str">
        <f t="shared" si="1"/>
        <v/>
      </c>
      <c r="G17188" s="1" t="str">
        <f t="shared" si="2"/>
        <v/>
      </c>
      <c r="J17188" s="1" t="str">
        <f t="shared" si="3"/>
        <v/>
      </c>
      <c r="K17188" s="1" t="str">
        <f t="shared" si="4"/>
        <v/>
      </c>
    </row>
    <row r="17189">
      <c r="F17189" s="1" t="str">
        <f t="shared" si="1"/>
        <v/>
      </c>
      <c r="G17189" s="1" t="str">
        <f t="shared" si="2"/>
        <v/>
      </c>
      <c r="J17189" s="1" t="str">
        <f t="shared" si="3"/>
        <v/>
      </c>
      <c r="K17189" s="1" t="str">
        <f t="shared" si="4"/>
        <v/>
      </c>
    </row>
    <row r="17190">
      <c r="F17190" s="1" t="str">
        <f t="shared" si="1"/>
        <v/>
      </c>
      <c r="G17190" s="1" t="str">
        <f t="shared" si="2"/>
        <v/>
      </c>
      <c r="J17190" s="1" t="str">
        <f t="shared" si="3"/>
        <v/>
      </c>
      <c r="K17190" s="1" t="str">
        <f t="shared" si="4"/>
        <v/>
      </c>
    </row>
    <row r="17191">
      <c r="F17191" s="1" t="str">
        <f t="shared" si="1"/>
        <v/>
      </c>
      <c r="G17191" s="1" t="str">
        <f t="shared" si="2"/>
        <v/>
      </c>
      <c r="J17191" s="1" t="str">
        <f t="shared" si="3"/>
        <v/>
      </c>
      <c r="K17191" s="1" t="str">
        <f t="shared" si="4"/>
        <v/>
      </c>
    </row>
    <row r="17192">
      <c r="F17192" s="1" t="str">
        <f t="shared" si="1"/>
        <v/>
      </c>
      <c r="G17192" s="1" t="str">
        <f t="shared" si="2"/>
        <v/>
      </c>
      <c r="J17192" s="1" t="str">
        <f t="shared" si="3"/>
        <v/>
      </c>
      <c r="K17192" s="1" t="str">
        <f t="shared" si="4"/>
        <v/>
      </c>
    </row>
    <row r="17193">
      <c r="F17193" s="1" t="str">
        <f t="shared" si="1"/>
        <v/>
      </c>
      <c r="G17193" s="1" t="str">
        <f t="shared" si="2"/>
        <v/>
      </c>
      <c r="J17193" s="1" t="str">
        <f t="shared" si="3"/>
        <v/>
      </c>
      <c r="K17193" s="1" t="str">
        <f t="shared" si="4"/>
        <v/>
      </c>
    </row>
    <row r="17194">
      <c r="F17194" s="1" t="str">
        <f t="shared" si="1"/>
        <v/>
      </c>
      <c r="G17194" s="1" t="str">
        <f t="shared" si="2"/>
        <v/>
      </c>
      <c r="J17194" s="1" t="str">
        <f t="shared" si="3"/>
        <v/>
      </c>
      <c r="K17194" s="1" t="str">
        <f t="shared" si="4"/>
        <v/>
      </c>
    </row>
    <row r="17195">
      <c r="F17195" s="1" t="str">
        <f t="shared" si="1"/>
        <v/>
      </c>
      <c r="G17195" s="1" t="str">
        <f t="shared" si="2"/>
        <v/>
      </c>
      <c r="J17195" s="1" t="str">
        <f t="shared" si="3"/>
        <v/>
      </c>
      <c r="K17195" s="1" t="str">
        <f t="shared" si="4"/>
        <v/>
      </c>
    </row>
    <row r="17196">
      <c r="F17196" s="1" t="str">
        <f t="shared" si="1"/>
        <v/>
      </c>
      <c r="G17196" s="1" t="str">
        <f t="shared" si="2"/>
        <v/>
      </c>
      <c r="J17196" s="1" t="str">
        <f t="shared" si="3"/>
        <v/>
      </c>
      <c r="K17196" s="1" t="str">
        <f t="shared" si="4"/>
        <v/>
      </c>
    </row>
    <row r="17197">
      <c r="F17197" s="1" t="str">
        <f t="shared" si="1"/>
        <v/>
      </c>
      <c r="G17197" s="1" t="str">
        <f t="shared" si="2"/>
        <v/>
      </c>
      <c r="J17197" s="1" t="str">
        <f t="shared" si="3"/>
        <v/>
      </c>
      <c r="K17197" s="1" t="str">
        <f t="shared" si="4"/>
        <v/>
      </c>
    </row>
    <row r="17198">
      <c r="F17198" s="1" t="str">
        <f t="shared" si="1"/>
        <v/>
      </c>
      <c r="G17198" s="1" t="str">
        <f t="shared" si="2"/>
        <v/>
      </c>
      <c r="J17198" s="1" t="str">
        <f t="shared" si="3"/>
        <v/>
      </c>
      <c r="K17198" s="1" t="str">
        <f t="shared" si="4"/>
        <v/>
      </c>
    </row>
    <row r="17199">
      <c r="F17199" s="1" t="str">
        <f t="shared" si="1"/>
        <v/>
      </c>
      <c r="G17199" s="1" t="str">
        <f t="shared" si="2"/>
        <v/>
      </c>
      <c r="J17199" s="1" t="str">
        <f t="shared" si="3"/>
        <v/>
      </c>
      <c r="K17199" s="1" t="str">
        <f t="shared" si="4"/>
        <v/>
      </c>
    </row>
    <row r="17200">
      <c r="F17200" s="1" t="str">
        <f t="shared" si="1"/>
        <v/>
      </c>
      <c r="G17200" s="1" t="str">
        <f t="shared" si="2"/>
        <v/>
      </c>
      <c r="J17200" s="1" t="str">
        <f t="shared" si="3"/>
        <v/>
      </c>
      <c r="K17200" s="1" t="str">
        <f t="shared" si="4"/>
        <v/>
      </c>
    </row>
    <row r="17201">
      <c r="F17201" s="1" t="str">
        <f t="shared" si="1"/>
        <v/>
      </c>
      <c r="G17201" s="1" t="str">
        <f t="shared" si="2"/>
        <v/>
      </c>
      <c r="J17201" s="1" t="str">
        <f t="shared" si="3"/>
        <v/>
      </c>
      <c r="K17201" s="1" t="str">
        <f t="shared" si="4"/>
        <v/>
      </c>
    </row>
    <row r="17202">
      <c r="F17202" s="1" t="str">
        <f t="shared" si="1"/>
        <v/>
      </c>
      <c r="G17202" s="1" t="str">
        <f t="shared" si="2"/>
        <v/>
      </c>
      <c r="J17202" s="1" t="str">
        <f t="shared" si="3"/>
        <v/>
      </c>
      <c r="K17202" s="1" t="str">
        <f t="shared" si="4"/>
        <v/>
      </c>
    </row>
    <row r="17203">
      <c r="F17203" s="1" t="str">
        <f t="shared" si="1"/>
        <v/>
      </c>
      <c r="G17203" s="1" t="str">
        <f t="shared" si="2"/>
        <v/>
      </c>
      <c r="J17203" s="1" t="str">
        <f t="shared" si="3"/>
        <v/>
      </c>
      <c r="K17203" s="1" t="str">
        <f t="shared" si="4"/>
        <v/>
      </c>
    </row>
    <row r="17204">
      <c r="F17204" s="1" t="str">
        <f t="shared" si="1"/>
        <v/>
      </c>
      <c r="G17204" s="1" t="str">
        <f t="shared" si="2"/>
        <v/>
      </c>
      <c r="J17204" s="1" t="str">
        <f t="shared" si="3"/>
        <v/>
      </c>
      <c r="K17204" s="1" t="str">
        <f t="shared" si="4"/>
        <v/>
      </c>
    </row>
    <row r="17205">
      <c r="F17205" s="1" t="str">
        <f t="shared" si="1"/>
        <v/>
      </c>
      <c r="G17205" s="1" t="str">
        <f t="shared" si="2"/>
        <v/>
      </c>
      <c r="J17205" s="1" t="str">
        <f t="shared" si="3"/>
        <v/>
      </c>
      <c r="K17205" s="1" t="str">
        <f t="shared" si="4"/>
        <v/>
      </c>
    </row>
    <row r="17206">
      <c r="F17206" s="1" t="str">
        <f t="shared" si="1"/>
        <v/>
      </c>
      <c r="G17206" s="1" t="str">
        <f t="shared" si="2"/>
        <v/>
      </c>
      <c r="J17206" s="1" t="str">
        <f t="shared" si="3"/>
        <v/>
      </c>
      <c r="K17206" s="1" t="str">
        <f t="shared" si="4"/>
        <v/>
      </c>
    </row>
    <row r="17207">
      <c r="F17207" s="1" t="str">
        <f t="shared" si="1"/>
        <v/>
      </c>
      <c r="G17207" s="1" t="str">
        <f t="shared" si="2"/>
        <v/>
      </c>
      <c r="J17207" s="1" t="str">
        <f t="shared" si="3"/>
        <v/>
      </c>
      <c r="K17207" s="1" t="str">
        <f t="shared" si="4"/>
        <v/>
      </c>
    </row>
    <row r="17208">
      <c r="F17208" s="1" t="str">
        <f t="shared" si="1"/>
        <v/>
      </c>
      <c r="G17208" s="1" t="str">
        <f t="shared" si="2"/>
        <v/>
      </c>
      <c r="J17208" s="1" t="str">
        <f t="shared" si="3"/>
        <v/>
      </c>
      <c r="K17208" s="1" t="str">
        <f t="shared" si="4"/>
        <v/>
      </c>
    </row>
    <row r="17209">
      <c r="F17209" s="1" t="str">
        <f t="shared" si="1"/>
        <v/>
      </c>
      <c r="G17209" s="1" t="str">
        <f t="shared" si="2"/>
        <v/>
      </c>
      <c r="J17209" s="1" t="str">
        <f t="shared" si="3"/>
        <v/>
      </c>
      <c r="K17209" s="1" t="str">
        <f t="shared" si="4"/>
        <v/>
      </c>
    </row>
    <row r="17210">
      <c r="F17210" s="1" t="str">
        <f t="shared" si="1"/>
        <v/>
      </c>
      <c r="G17210" s="1" t="str">
        <f t="shared" si="2"/>
        <v/>
      </c>
      <c r="J17210" s="1" t="str">
        <f t="shared" si="3"/>
        <v/>
      </c>
      <c r="K17210" s="1" t="str">
        <f t="shared" si="4"/>
        <v/>
      </c>
    </row>
    <row r="17211">
      <c r="F17211" s="1" t="str">
        <f t="shared" si="1"/>
        <v/>
      </c>
      <c r="G17211" s="1" t="str">
        <f t="shared" si="2"/>
        <v/>
      </c>
      <c r="J17211" s="1" t="str">
        <f t="shared" si="3"/>
        <v/>
      </c>
      <c r="K17211" s="1" t="str">
        <f t="shared" si="4"/>
        <v/>
      </c>
    </row>
    <row r="17212">
      <c r="F17212" s="1" t="str">
        <f t="shared" si="1"/>
        <v/>
      </c>
      <c r="G17212" s="1" t="str">
        <f t="shared" si="2"/>
        <v/>
      </c>
      <c r="J17212" s="1" t="str">
        <f t="shared" si="3"/>
        <v/>
      </c>
      <c r="K17212" s="1" t="str">
        <f t="shared" si="4"/>
        <v/>
      </c>
    </row>
    <row r="17213">
      <c r="F17213" s="1" t="str">
        <f t="shared" si="1"/>
        <v/>
      </c>
      <c r="G17213" s="1" t="str">
        <f t="shared" si="2"/>
        <v/>
      </c>
      <c r="J17213" s="1" t="str">
        <f t="shared" si="3"/>
        <v/>
      </c>
      <c r="K17213" s="1" t="str">
        <f t="shared" si="4"/>
        <v/>
      </c>
    </row>
    <row r="17214">
      <c r="F17214" s="1" t="str">
        <f t="shared" si="1"/>
        <v/>
      </c>
      <c r="G17214" s="1" t="str">
        <f t="shared" si="2"/>
        <v/>
      </c>
      <c r="J17214" s="1" t="str">
        <f t="shared" si="3"/>
        <v/>
      </c>
      <c r="K17214" s="1" t="str">
        <f t="shared" si="4"/>
        <v/>
      </c>
    </row>
    <row r="17215">
      <c r="F17215" s="1" t="str">
        <f t="shared" si="1"/>
        <v/>
      </c>
      <c r="G17215" s="1" t="str">
        <f t="shared" si="2"/>
        <v/>
      </c>
      <c r="J17215" s="1" t="str">
        <f t="shared" si="3"/>
        <v/>
      </c>
      <c r="K17215" s="1" t="str">
        <f t="shared" si="4"/>
        <v/>
      </c>
    </row>
    <row r="17216">
      <c r="F17216" s="1" t="str">
        <f t="shared" si="1"/>
        <v/>
      </c>
      <c r="G17216" s="1" t="str">
        <f t="shared" si="2"/>
        <v/>
      </c>
      <c r="J17216" s="1" t="str">
        <f t="shared" si="3"/>
        <v/>
      </c>
      <c r="K17216" s="1" t="str">
        <f t="shared" si="4"/>
        <v/>
      </c>
    </row>
    <row r="17217">
      <c r="F17217" s="1" t="str">
        <f t="shared" si="1"/>
        <v/>
      </c>
      <c r="G17217" s="1" t="str">
        <f t="shared" si="2"/>
        <v/>
      </c>
      <c r="J17217" s="1" t="str">
        <f t="shared" si="3"/>
        <v/>
      </c>
      <c r="K17217" s="1" t="str">
        <f t="shared" si="4"/>
        <v/>
      </c>
    </row>
    <row r="17218">
      <c r="F17218" s="1" t="str">
        <f t="shared" si="1"/>
        <v/>
      </c>
      <c r="G17218" s="1" t="str">
        <f t="shared" si="2"/>
        <v/>
      </c>
      <c r="J17218" s="1" t="str">
        <f t="shared" si="3"/>
        <v/>
      </c>
      <c r="K17218" s="1" t="str">
        <f t="shared" si="4"/>
        <v/>
      </c>
    </row>
    <row r="17219">
      <c r="F17219" s="1" t="str">
        <f t="shared" si="1"/>
        <v/>
      </c>
      <c r="G17219" s="1" t="str">
        <f t="shared" si="2"/>
        <v/>
      </c>
      <c r="J17219" s="1" t="str">
        <f t="shared" si="3"/>
        <v/>
      </c>
      <c r="K17219" s="1" t="str">
        <f t="shared" si="4"/>
        <v/>
      </c>
    </row>
    <row r="17220">
      <c r="F17220" s="1" t="str">
        <f t="shared" si="1"/>
        <v/>
      </c>
      <c r="G17220" s="1" t="str">
        <f t="shared" si="2"/>
        <v/>
      </c>
      <c r="J17220" s="1" t="str">
        <f t="shared" si="3"/>
        <v/>
      </c>
      <c r="K17220" s="1" t="str">
        <f t="shared" si="4"/>
        <v/>
      </c>
    </row>
    <row r="17221">
      <c r="F17221" s="1" t="str">
        <f t="shared" si="1"/>
        <v/>
      </c>
      <c r="G17221" s="1" t="str">
        <f t="shared" si="2"/>
        <v/>
      </c>
      <c r="J17221" s="1" t="str">
        <f t="shared" si="3"/>
        <v/>
      </c>
      <c r="K17221" s="1" t="str">
        <f t="shared" si="4"/>
        <v/>
      </c>
    </row>
    <row r="17222">
      <c r="F17222" s="1" t="str">
        <f t="shared" si="1"/>
        <v/>
      </c>
      <c r="G17222" s="1" t="str">
        <f t="shared" si="2"/>
        <v/>
      </c>
      <c r="J17222" s="1" t="str">
        <f t="shared" si="3"/>
        <v/>
      </c>
      <c r="K17222" s="1" t="str">
        <f t="shared" si="4"/>
        <v/>
      </c>
    </row>
    <row r="17223">
      <c r="F17223" s="1" t="str">
        <f t="shared" si="1"/>
        <v/>
      </c>
      <c r="G17223" s="1" t="str">
        <f t="shared" si="2"/>
        <v/>
      </c>
      <c r="J17223" s="1" t="str">
        <f t="shared" si="3"/>
        <v/>
      </c>
      <c r="K17223" s="1" t="str">
        <f t="shared" si="4"/>
        <v/>
      </c>
    </row>
    <row r="17224">
      <c r="F17224" s="1" t="str">
        <f t="shared" si="1"/>
        <v/>
      </c>
      <c r="G17224" s="1" t="str">
        <f t="shared" si="2"/>
        <v/>
      </c>
      <c r="J17224" s="1" t="str">
        <f t="shared" si="3"/>
        <v/>
      </c>
      <c r="K17224" s="1" t="str">
        <f t="shared" si="4"/>
        <v/>
      </c>
    </row>
    <row r="17225">
      <c r="F17225" s="1" t="str">
        <f t="shared" si="1"/>
        <v/>
      </c>
      <c r="G17225" s="1" t="str">
        <f t="shared" si="2"/>
        <v/>
      </c>
      <c r="J17225" s="1" t="str">
        <f t="shared" si="3"/>
        <v/>
      </c>
      <c r="K17225" s="1" t="str">
        <f t="shared" si="4"/>
        <v/>
      </c>
    </row>
    <row r="17226">
      <c r="F17226" s="1" t="str">
        <f t="shared" si="1"/>
        <v/>
      </c>
      <c r="G17226" s="1" t="str">
        <f t="shared" si="2"/>
        <v/>
      </c>
      <c r="J17226" s="1" t="str">
        <f t="shared" si="3"/>
        <v/>
      </c>
      <c r="K17226" s="1" t="str">
        <f t="shared" si="4"/>
        <v/>
      </c>
    </row>
    <row r="17227">
      <c r="F17227" s="1" t="str">
        <f t="shared" si="1"/>
        <v/>
      </c>
      <c r="G17227" s="1" t="str">
        <f t="shared" si="2"/>
        <v/>
      </c>
      <c r="J17227" s="1" t="str">
        <f t="shared" si="3"/>
        <v/>
      </c>
      <c r="K17227" s="1" t="str">
        <f t="shared" si="4"/>
        <v/>
      </c>
    </row>
    <row r="17228">
      <c r="F17228" s="1" t="str">
        <f t="shared" si="1"/>
        <v/>
      </c>
      <c r="G17228" s="1" t="str">
        <f t="shared" si="2"/>
        <v/>
      </c>
      <c r="J17228" s="1" t="str">
        <f t="shared" si="3"/>
        <v/>
      </c>
      <c r="K17228" s="1" t="str">
        <f t="shared" si="4"/>
        <v/>
      </c>
    </row>
    <row r="17229">
      <c r="F17229" s="1" t="str">
        <f t="shared" si="1"/>
        <v/>
      </c>
      <c r="G17229" s="1" t="str">
        <f t="shared" si="2"/>
        <v/>
      </c>
      <c r="J17229" s="1" t="str">
        <f t="shared" si="3"/>
        <v/>
      </c>
      <c r="K17229" s="1" t="str">
        <f t="shared" si="4"/>
        <v/>
      </c>
    </row>
    <row r="17230">
      <c r="F17230" s="1" t="str">
        <f t="shared" si="1"/>
        <v/>
      </c>
      <c r="G17230" s="1" t="str">
        <f t="shared" si="2"/>
        <v/>
      </c>
      <c r="J17230" s="1" t="str">
        <f t="shared" si="3"/>
        <v/>
      </c>
      <c r="K17230" s="1" t="str">
        <f t="shared" si="4"/>
        <v/>
      </c>
    </row>
    <row r="17231">
      <c r="F17231" s="1" t="str">
        <f t="shared" si="1"/>
        <v/>
      </c>
      <c r="G17231" s="1" t="str">
        <f t="shared" si="2"/>
        <v/>
      </c>
      <c r="J17231" s="1" t="str">
        <f t="shared" si="3"/>
        <v/>
      </c>
      <c r="K17231" s="1" t="str">
        <f t="shared" si="4"/>
        <v/>
      </c>
    </row>
    <row r="17232">
      <c r="F17232" s="1" t="str">
        <f t="shared" si="1"/>
        <v/>
      </c>
      <c r="G17232" s="1" t="str">
        <f t="shared" si="2"/>
        <v/>
      </c>
      <c r="J17232" s="1" t="str">
        <f t="shared" si="3"/>
        <v/>
      </c>
      <c r="K17232" s="1" t="str">
        <f t="shared" si="4"/>
        <v/>
      </c>
    </row>
    <row r="17233">
      <c r="F17233" s="1" t="str">
        <f t="shared" si="1"/>
        <v/>
      </c>
      <c r="G17233" s="1" t="str">
        <f t="shared" si="2"/>
        <v/>
      </c>
      <c r="J17233" s="1" t="str">
        <f t="shared" si="3"/>
        <v/>
      </c>
      <c r="K17233" s="1" t="str">
        <f t="shared" si="4"/>
        <v/>
      </c>
    </row>
    <row r="17234">
      <c r="F17234" s="1" t="str">
        <f t="shared" si="1"/>
        <v/>
      </c>
      <c r="G17234" s="1" t="str">
        <f t="shared" si="2"/>
        <v/>
      </c>
      <c r="J17234" s="1" t="str">
        <f t="shared" si="3"/>
        <v/>
      </c>
      <c r="K17234" s="1" t="str">
        <f t="shared" si="4"/>
        <v/>
      </c>
    </row>
    <row r="17235">
      <c r="F17235" s="1" t="str">
        <f t="shared" si="1"/>
        <v/>
      </c>
      <c r="G17235" s="1" t="str">
        <f t="shared" si="2"/>
        <v/>
      </c>
      <c r="J17235" s="1" t="str">
        <f t="shared" si="3"/>
        <v/>
      </c>
      <c r="K17235" s="1" t="str">
        <f t="shared" si="4"/>
        <v/>
      </c>
    </row>
    <row r="17236">
      <c r="F17236" s="1" t="str">
        <f t="shared" si="1"/>
        <v/>
      </c>
      <c r="G17236" s="1" t="str">
        <f t="shared" si="2"/>
        <v/>
      </c>
      <c r="J17236" s="1" t="str">
        <f t="shared" si="3"/>
        <v/>
      </c>
      <c r="K17236" s="1" t="str">
        <f t="shared" si="4"/>
        <v/>
      </c>
    </row>
    <row r="17237">
      <c r="F17237" s="1" t="str">
        <f t="shared" si="1"/>
        <v/>
      </c>
      <c r="G17237" s="1" t="str">
        <f t="shared" si="2"/>
        <v/>
      </c>
      <c r="J17237" s="1" t="str">
        <f t="shared" si="3"/>
        <v/>
      </c>
      <c r="K17237" s="1" t="str">
        <f t="shared" si="4"/>
        <v/>
      </c>
    </row>
    <row r="17238">
      <c r="F17238" s="1" t="str">
        <f t="shared" si="1"/>
        <v/>
      </c>
      <c r="G17238" s="1" t="str">
        <f t="shared" si="2"/>
        <v/>
      </c>
      <c r="J17238" s="1" t="str">
        <f t="shared" si="3"/>
        <v/>
      </c>
      <c r="K17238" s="1" t="str">
        <f t="shared" si="4"/>
        <v/>
      </c>
    </row>
    <row r="17239">
      <c r="F17239" s="1" t="str">
        <f t="shared" si="1"/>
        <v/>
      </c>
      <c r="G17239" s="1" t="str">
        <f t="shared" si="2"/>
        <v/>
      </c>
      <c r="J17239" s="1" t="str">
        <f t="shared" si="3"/>
        <v/>
      </c>
      <c r="K17239" s="1" t="str">
        <f t="shared" si="4"/>
        <v/>
      </c>
    </row>
    <row r="17240">
      <c r="F17240" s="1" t="str">
        <f t="shared" si="1"/>
        <v/>
      </c>
      <c r="G17240" s="1" t="str">
        <f t="shared" si="2"/>
        <v/>
      </c>
      <c r="J17240" s="1" t="str">
        <f t="shared" si="3"/>
        <v/>
      </c>
      <c r="K17240" s="1" t="str">
        <f t="shared" si="4"/>
        <v/>
      </c>
    </row>
    <row r="17241">
      <c r="F17241" s="1" t="str">
        <f t="shared" si="1"/>
        <v/>
      </c>
      <c r="G17241" s="1" t="str">
        <f t="shared" si="2"/>
        <v/>
      </c>
      <c r="J17241" s="1" t="str">
        <f t="shared" si="3"/>
        <v/>
      </c>
      <c r="K17241" s="1" t="str">
        <f t="shared" si="4"/>
        <v/>
      </c>
    </row>
    <row r="17242">
      <c r="F17242" s="1" t="str">
        <f t="shared" si="1"/>
        <v/>
      </c>
      <c r="G17242" s="1" t="str">
        <f t="shared" si="2"/>
        <v/>
      </c>
      <c r="J17242" s="1" t="str">
        <f t="shared" si="3"/>
        <v/>
      </c>
      <c r="K17242" s="1" t="str">
        <f t="shared" si="4"/>
        <v/>
      </c>
    </row>
    <row r="17243">
      <c r="F17243" s="1" t="str">
        <f t="shared" si="1"/>
        <v/>
      </c>
      <c r="G17243" s="1" t="str">
        <f t="shared" si="2"/>
        <v/>
      </c>
      <c r="J17243" s="1" t="str">
        <f t="shared" si="3"/>
        <v/>
      </c>
      <c r="K17243" s="1" t="str">
        <f t="shared" si="4"/>
        <v/>
      </c>
    </row>
    <row r="17244">
      <c r="F17244" s="1" t="str">
        <f t="shared" si="1"/>
        <v/>
      </c>
      <c r="G17244" s="1" t="str">
        <f t="shared" si="2"/>
        <v/>
      </c>
      <c r="J17244" s="1" t="str">
        <f t="shared" si="3"/>
        <v/>
      </c>
      <c r="K17244" s="1" t="str">
        <f t="shared" si="4"/>
        <v/>
      </c>
    </row>
    <row r="17245">
      <c r="F17245" s="1" t="str">
        <f t="shared" si="1"/>
        <v/>
      </c>
      <c r="G17245" s="1" t="str">
        <f t="shared" si="2"/>
        <v/>
      </c>
      <c r="J17245" s="1" t="str">
        <f t="shared" si="3"/>
        <v/>
      </c>
      <c r="K17245" s="1" t="str">
        <f t="shared" si="4"/>
        <v/>
      </c>
    </row>
    <row r="17246">
      <c r="F17246" s="1" t="str">
        <f t="shared" si="1"/>
        <v/>
      </c>
      <c r="G17246" s="1" t="str">
        <f t="shared" si="2"/>
        <v/>
      </c>
      <c r="J17246" s="1" t="str">
        <f t="shared" si="3"/>
        <v/>
      </c>
      <c r="K17246" s="1" t="str">
        <f t="shared" si="4"/>
        <v/>
      </c>
    </row>
    <row r="17247">
      <c r="F17247" s="1" t="str">
        <f t="shared" si="1"/>
        <v/>
      </c>
      <c r="G17247" s="1" t="str">
        <f t="shared" si="2"/>
        <v/>
      </c>
      <c r="J17247" s="1" t="str">
        <f t="shared" si="3"/>
        <v/>
      </c>
      <c r="K17247" s="1" t="str">
        <f t="shared" si="4"/>
        <v/>
      </c>
    </row>
    <row r="17248">
      <c r="F17248" s="1" t="str">
        <f t="shared" si="1"/>
        <v/>
      </c>
      <c r="G17248" s="1" t="str">
        <f t="shared" si="2"/>
        <v/>
      </c>
      <c r="J17248" s="1" t="str">
        <f t="shared" si="3"/>
        <v/>
      </c>
      <c r="K17248" s="1" t="str">
        <f t="shared" si="4"/>
        <v/>
      </c>
    </row>
    <row r="17249">
      <c r="F17249" s="1" t="str">
        <f t="shared" si="1"/>
        <v/>
      </c>
      <c r="G17249" s="1" t="str">
        <f t="shared" si="2"/>
        <v/>
      </c>
      <c r="J17249" s="1" t="str">
        <f t="shared" si="3"/>
        <v/>
      </c>
      <c r="K17249" s="1" t="str">
        <f t="shared" si="4"/>
        <v/>
      </c>
    </row>
    <row r="17250">
      <c r="F17250" s="1" t="str">
        <f t="shared" si="1"/>
        <v/>
      </c>
      <c r="G17250" s="1" t="str">
        <f t="shared" si="2"/>
        <v/>
      </c>
      <c r="J17250" s="1" t="str">
        <f t="shared" si="3"/>
        <v/>
      </c>
      <c r="K17250" s="1" t="str">
        <f t="shared" si="4"/>
        <v/>
      </c>
    </row>
    <row r="17251">
      <c r="F17251" s="1" t="str">
        <f t="shared" si="1"/>
        <v/>
      </c>
      <c r="G17251" s="1" t="str">
        <f t="shared" si="2"/>
        <v/>
      </c>
      <c r="J17251" s="1" t="str">
        <f t="shared" si="3"/>
        <v/>
      </c>
      <c r="K17251" s="1" t="str">
        <f t="shared" si="4"/>
        <v/>
      </c>
    </row>
    <row r="17252">
      <c r="F17252" s="1" t="str">
        <f t="shared" si="1"/>
        <v/>
      </c>
      <c r="G17252" s="1" t="str">
        <f t="shared" si="2"/>
        <v/>
      </c>
      <c r="J17252" s="1" t="str">
        <f t="shared" si="3"/>
        <v/>
      </c>
      <c r="K17252" s="1" t="str">
        <f t="shared" si="4"/>
        <v/>
      </c>
    </row>
    <row r="17253">
      <c r="F17253" s="1" t="str">
        <f t="shared" si="1"/>
        <v/>
      </c>
      <c r="G17253" s="1" t="str">
        <f t="shared" si="2"/>
        <v/>
      </c>
      <c r="J17253" s="1" t="str">
        <f t="shared" si="3"/>
        <v/>
      </c>
      <c r="K17253" s="1" t="str">
        <f t="shared" si="4"/>
        <v/>
      </c>
    </row>
    <row r="17254">
      <c r="F17254" s="1" t="str">
        <f t="shared" si="1"/>
        <v/>
      </c>
      <c r="G17254" s="1" t="str">
        <f t="shared" si="2"/>
        <v/>
      </c>
      <c r="J17254" s="1" t="str">
        <f t="shared" si="3"/>
        <v/>
      </c>
      <c r="K17254" s="1" t="str">
        <f t="shared" si="4"/>
        <v/>
      </c>
    </row>
    <row r="17255">
      <c r="F17255" s="1" t="str">
        <f t="shared" si="1"/>
        <v/>
      </c>
      <c r="G17255" s="1" t="str">
        <f t="shared" si="2"/>
        <v/>
      </c>
      <c r="J17255" s="1" t="str">
        <f t="shared" si="3"/>
        <v/>
      </c>
      <c r="K17255" s="1" t="str">
        <f t="shared" si="4"/>
        <v/>
      </c>
    </row>
    <row r="17256">
      <c r="F17256" s="1" t="str">
        <f t="shared" si="1"/>
        <v/>
      </c>
      <c r="G17256" s="1" t="str">
        <f t="shared" si="2"/>
        <v/>
      </c>
      <c r="J17256" s="1" t="str">
        <f t="shared" si="3"/>
        <v/>
      </c>
      <c r="K17256" s="1" t="str">
        <f t="shared" si="4"/>
        <v/>
      </c>
    </row>
    <row r="17257">
      <c r="F17257" s="1" t="str">
        <f t="shared" si="1"/>
        <v/>
      </c>
      <c r="G17257" s="1" t="str">
        <f t="shared" si="2"/>
        <v/>
      </c>
      <c r="J17257" s="1" t="str">
        <f t="shared" si="3"/>
        <v/>
      </c>
      <c r="K17257" s="1" t="str">
        <f t="shared" si="4"/>
        <v/>
      </c>
    </row>
    <row r="17258">
      <c r="F17258" s="1" t="str">
        <f t="shared" si="1"/>
        <v/>
      </c>
      <c r="G17258" s="1" t="str">
        <f t="shared" si="2"/>
        <v/>
      </c>
      <c r="J17258" s="1" t="str">
        <f t="shared" si="3"/>
        <v/>
      </c>
      <c r="K17258" s="1" t="str">
        <f t="shared" si="4"/>
        <v/>
      </c>
    </row>
    <row r="17259">
      <c r="F17259" s="1" t="str">
        <f t="shared" si="1"/>
        <v/>
      </c>
      <c r="G17259" s="1" t="str">
        <f t="shared" si="2"/>
        <v/>
      </c>
      <c r="J17259" s="1" t="str">
        <f t="shared" si="3"/>
        <v/>
      </c>
      <c r="K17259" s="1" t="str">
        <f t="shared" si="4"/>
        <v/>
      </c>
    </row>
    <row r="17260">
      <c r="F17260" s="1" t="str">
        <f t="shared" si="1"/>
        <v/>
      </c>
      <c r="G17260" s="1" t="str">
        <f t="shared" si="2"/>
        <v/>
      </c>
      <c r="J17260" s="1" t="str">
        <f t="shared" si="3"/>
        <v/>
      </c>
      <c r="K17260" s="1" t="str">
        <f t="shared" si="4"/>
        <v/>
      </c>
    </row>
    <row r="17261">
      <c r="F17261" s="1" t="str">
        <f t="shared" si="1"/>
        <v/>
      </c>
      <c r="G17261" s="1" t="str">
        <f t="shared" si="2"/>
        <v/>
      </c>
      <c r="J17261" s="1" t="str">
        <f t="shared" si="3"/>
        <v/>
      </c>
      <c r="K17261" s="1" t="str">
        <f t="shared" si="4"/>
        <v/>
      </c>
    </row>
    <row r="17262">
      <c r="F17262" s="1" t="str">
        <f t="shared" si="1"/>
        <v/>
      </c>
      <c r="G17262" s="1" t="str">
        <f t="shared" si="2"/>
        <v/>
      </c>
      <c r="J17262" s="1" t="str">
        <f t="shared" si="3"/>
        <v/>
      </c>
      <c r="K17262" s="1" t="str">
        <f t="shared" si="4"/>
        <v/>
      </c>
    </row>
    <row r="17263">
      <c r="F17263" s="1" t="str">
        <f t="shared" si="1"/>
        <v/>
      </c>
      <c r="G17263" s="1" t="str">
        <f t="shared" si="2"/>
        <v/>
      </c>
      <c r="J17263" s="1" t="str">
        <f t="shared" si="3"/>
        <v/>
      </c>
      <c r="K17263" s="1" t="str">
        <f t="shared" si="4"/>
        <v/>
      </c>
    </row>
    <row r="17264">
      <c r="F17264" s="1" t="str">
        <f t="shared" si="1"/>
        <v/>
      </c>
      <c r="G17264" s="1" t="str">
        <f t="shared" si="2"/>
        <v/>
      </c>
      <c r="J17264" s="1" t="str">
        <f t="shared" si="3"/>
        <v/>
      </c>
      <c r="K17264" s="1" t="str">
        <f t="shared" si="4"/>
        <v/>
      </c>
    </row>
    <row r="17265">
      <c r="F17265" s="1" t="str">
        <f t="shared" si="1"/>
        <v/>
      </c>
      <c r="G17265" s="1" t="str">
        <f t="shared" si="2"/>
        <v/>
      </c>
      <c r="J17265" s="1" t="str">
        <f t="shared" si="3"/>
        <v/>
      </c>
      <c r="K17265" s="1" t="str">
        <f t="shared" si="4"/>
        <v/>
      </c>
    </row>
    <row r="17266">
      <c r="F17266" s="1" t="str">
        <f t="shared" si="1"/>
        <v/>
      </c>
      <c r="G17266" s="1" t="str">
        <f t="shared" si="2"/>
        <v/>
      </c>
      <c r="J17266" s="1" t="str">
        <f t="shared" si="3"/>
        <v/>
      </c>
      <c r="K17266" s="1" t="str">
        <f t="shared" si="4"/>
        <v/>
      </c>
    </row>
    <row r="17267">
      <c r="F17267" s="1" t="str">
        <f t="shared" si="1"/>
        <v/>
      </c>
      <c r="G17267" s="1" t="str">
        <f t="shared" si="2"/>
        <v/>
      </c>
      <c r="J17267" s="1" t="str">
        <f t="shared" si="3"/>
        <v/>
      </c>
      <c r="K17267" s="1" t="str">
        <f t="shared" si="4"/>
        <v/>
      </c>
    </row>
    <row r="17268">
      <c r="F17268" s="1" t="str">
        <f t="shared" si="1"/>
        <v/>
      </c>
      <c r="G17268" s="1" t="str">
        <f t="shared" si="2"/>
        <v/>
      </c>
      <c r="J17268" s="1" t="str">
        <f t="shared" si="3"/>
        <v/>
      </c>
      <c r="K17268" s="1" t="str">
        <f t="shared" si="4"/>
        <v/>
      </c>
    </row>
    <row r="17269">
      <c r="F17269" s="1" t="str">
        <f t="shared" si="1"/>
        <v/>
      </c>
      <c r="G17269" s="1" t="str">
        <f t="shared" si="2"/>
        <v/>
      </c>
      <c r="J17269" s="1" t="str">
        <f t="shared" si="3"/>
        <v/>
      </c>
      <c r="K17269" s="1" t="str">
        <f t="shared" si="4"/>
        <v/>
      </c>
    </row>
    <row r="17270">
      <c r="F17270" s="1" t="str">
        <f t="shared" si="1"/>
        <v/>
      </c>
      <c r="G17270" s="1" t="str">
        <f t="shared" si="2"/>
        <v/>
      </c>
      <c r="J17270" s="1" t="str">
        <f t="shared" si="3"/>
        <v/>
      </c>
      <c r="K17270" s="1" t="str">
        <f t="shared" si="4"/>
        <v/>
      </c>
    </row>
    <row r="17271">
      <c r="F17271" s="1" t="str">
        <f t="shared" si="1"/>
        <v/>
      </c>
      <c r="G17271" s="1" t="str">
        <f t="shared" si="2"/>
        <v/>
      </c>
      <c r="J17271" s="1" t="str">
        <f t="shared" si="3"/>
        <v/>
      </c>
      <c r="K17271" s="1" t="str">
        <f t="shared" si="4"/>
        <v/>
      </c>
    </row>
    <row r="17272">
      <c r="F17272" s="1" t="str">
        <f t="shared" si="1"/>
        <v/>
      </c>
      <c r="G17272" s="1" t="str">
        <f t="shared" si="2"/>
        <v/>
      </c>
      <c r="J17272" s="1" t="str">
        <f t="shared" si="3"/>
        <v/>
      </c>
      <c r="K17272" s="1" t="str">
        <f t="shared" si="4"/>
        <v/>
      </c>
    </row>
    <row r="17273">
      <c r="F17273" s="1" t="str">
        <f t="shared" si="1"/>
        <v/>
      </c>
      <c r="G17273" s="1" t="str">
        <f t="shared" si="2"/>
        <v/>
      </c>
      <c r="J17273" s="1" t="str">
        <f t="shared" si="3"/>
        <v/>
      </c>
      <c r="K17273" s="1" t="str">
        <f t="shared" si="4"/>
        <v/>
      </c>
    </row>
    <row r="17274">
      <c r="F17274" s="1" t="str">
        <f t="shared" si="1"/>
        <v/>
      </c>
      <c r="G17274" s="1" t="str">
        <f t="shared" si="2"/>
        <v/>
      </c>
      <c r="J17274" s="1" t="str">
        <f t="shared" si="3"/>
        <v/>
      </c>
      <c r="K17274" s="1" t="str">
        <f t="shared" si="4"/>
        <v/>
      </c>
    </row>
    <row r="17275">
      <c r="F17275" s="1" t="str">
        <f t="shared" si="1"/>
        <v/>
      </c>
      <c r="G17275" s="1" t="str">
        <f t="shared" si="2"/>
        <v/>
      </c>
      <c r="J17275" s="1" t="str">
        <f t="shared" si="3"/>
        <v/>
      </c>
      <c r="K17275" s="1" t="str">
        <f t="shared" si="4"/>
        <v/>
      </c>
    </row>
    <row r="17276">
      <c r="F17276" s="1" t="str">
        <f t="shared" si="1"/>
        <v/>
      </c>
      <c r="G17276" s="1" t="str">
        <f t="shared" si="2"/>
        <v/>
      </c>
      <c r="J17276" s="1" t="str">
        <f t="shared" si="3"/>
        <v/>
      </c>
      <c r="K17276" s="1" t="str">
        <f t="shared" si="4"/>
        <v/>
      </c>
    </row>
    <row r="17277">
      <c r="F17277" s="1" t="str">
        <f t="shared" si="1"/>
        <v/>
      </c>
      <c r="G17277" s="1" t="str">
        <f t="shared" si="2"/>
        <v/>
      </c>
      <c r="J17277" s="1" t="str">
        <f t="shared" si="3"/>
        <v/>
      </c>
      <c r="K17277" s="1" t="str">
        <f t="shared" si="4"/>
        <v/>
      </c>
    </row>
    <row r="17278">
      <c r="F17278" s="1" t="str">
        <f t="shared" si="1"/>
        <v/>
      </c>
      <c r="G17278" s="1" t="str">
        <f t="shared" si="2"/>
        <v/>
      </c>
      <c r="J17278" s="1" t="str">
        <f t="shared" si="3"/>
        <v/>
      </c>
      <c r="K17278" s="1" t="str">
        <f t="shared" si="4"/>
        <v/>
      </c>
    </row>
    <row r="17279">
      <c r="F17279" s="1" t="str">
        <f t="shared" si="1"/>
        <v/>
      </c>
      <c r="G17279" s="1" t="str">
        <f t="shared" si="2"/>
        <v/>
      </c>
      <c r="J17279" s="1" t="str">
        <f t="shared" si="3"/>
        <v/>
      </c>
      <c r="K17279" s="1" t="str">
        <f t="shared" si="4"/>
        <v/>
      </c>
    </row>
    <row r="17280">
      <c r="F17280" s="1" t="str">
        <f t="shared" si="1"/>
        <v/>
      </c>
      <c r="G17280" s="1" t="str">
        <f t="shared" si="2"/>
        <v/>
      </c>
      <c r="J17280" s="1" t="str">
        <f t="shared" si="3"/>
        <v/>
      </c>
      <c r="K17280" s="1" t="str">
        <f t="shared" si="4"/>
        <v/>
      </c>
    </row>
    <row r="17281">
      <c r="F17281" s="1" t="str">
        <f t="shared" si="1"/>
        <v/>
      </c>
      <c r="G17281" s="1" t="str">
        <f t="shared" si="2"/>
        <v/>
      </c>
      <c r="J17281" s="1" t="str">
        <f t="shared" si="3"/>
        <v/>
      </c>
      <c r="K17281" s="1" t="str">
        <f t="shared" si="4"/>
        <v/>
      </c>
    </row>
    <row r="17282">
      <c r="F17282" s="1" t="str">
        <f t="shared" si="1"/>
        <v/>
      </c>
      <c r="G17282" s="1" t="str">
        <f t="shared" si="2"/>
        <v/>
      </c>
      <c r="J17282" s="1" t="str">
        <f t="shared" si="3"/>
        <v/>
      </c>
      <c r="K17282" s="1" t="str">
        <f t="shared" si="4"/>
        <v/>
      </c>
    </row>
    <row r="17283">
      <c r="F17283" s="1" t="str">
        <f t="shared" si="1"/>
        <v/>
      </c>
      <c r="G17283" s="1" t="str">
        <f t="shared" si="2"/>
        <v/>
      </c>
      <c r="J17283" s="1" t="str">
        <f t="shared" si="3"/>
        <v/>
      </c>
      <c r="K17283" s="1" t="str">
        <f t="shared" si="4"/>
        <v/>
      </c>
    </row>
    <row r="17284">
      <c r="F17284" s="1" t="str">
        <f t="shared" si="1"/>
        <v/>
      </c>
      <c r="G17284" s="1" t="str">
        <f t="shared" si="2"/>
        <v/>
      </c>
      <c r="J17284" s="1" t="str">
        <f t="shared" si="3"/>
        <v/>
      </c>
      <c r="K17284" s="1" t="str">
        <f t="shared" si="4"/>
        <v/>
      </c>
    </row>
    <row r="17285">
      <c r="F17285" s="1" t="str">
        <f t="shared" si="1"/>
        <v/>
      </c>
      <c r="G17285" s="1" t="str">
        <f t="shared" si="2"/>
        <v/>
      </c>
      <c r="J17285" s="1" t="str">
        <f t="shared" si="3"/>
        <v/>
      </c>
      <c r="K17285" s="1" t="str">
        <f t="shared" si="4"/>
        <v/>
      </c>
    </row>
    <row r="17286">
      <c r="F17286" s="1" t="str">
        <f t="shared" si="1"/>
        <v/>
      </c>
      <c r="G17286" s="1" t="str">
        <f t="shared" si="2"/>
        <v/>
      </c>
      <c r="J17286" s="1" t="str">
        <f t="shared" si="3"/>
        <v/>
      </c>
      <c r="K17286" s="1" t="str">
        <f t="shared" si="4"/>
        <v/>
      </c>
    </row>
    <row r="17287">
      <c r="F17287" s="1" t="str">
        <f t="shared" si="1"/>
        <v/>
      </c>
      <c r="G17287" s="1" t="str">
        <f t="shared" si="2"/>
        <v/>
      </c>
      <c r="J17287" s="1" t="str">
        <f t="shared" si="3"/>
        <v/>
      </c>
      <c r="K17287" s="1" t="str">
        <f t="shared" si="4"/>
        <v/>
      </c>
    </row>
    <row r="17288">
      <c r="F17288" s="1" t="str">
        <f t="shared" si="1"/>
        <v/>
      </c>
      <c r="G17288" s="1" t="str">
        <f t="shared" si="2"/>
        <v/>
      </c>
      <c r="J17288" s="1" t="str">
        <f t="shared" si="3"/>
        <v/>
      </c>
      <c r="K17288" s="1" t="str">
        <f t="shared" si="4"/>
        <v/>
      </c>
    </row>
    <row r="17289">
      <c r="F17289" s="1" t="str">
        <f t="shared" si="1"/>
        <v/>
      </c>
      <c r="G17289" s="1" t="str">
        <f t="shared" si="2"/>
        <v/>
      </c>
      <c r="J17289" s="1" t="str">
        <f t="shared" si="3"/>
        <v/>
      </c>
      <c r="K17289" s="1" t="str">
        <f t="shared" si="4"/>
        <v/>
      </c>
    </row>
    <row r="17290">
      <c r="F17290" s="1" t="str">
        <f t="shared" si="1"/>
        <v/>
      </c>
      <c r="G17290" s="1" t="str">
        <f t="shared" si="2"/>
        <v/>
      </c>
      <c r="J17290" s="1" t="str">
        <f t="shared" si="3"/>
        <v/>
      </c>
      <c r="K17290" s="1" t="str">
        <f t="shared" si="4"/>
        <v/>
      </c>
    </row>
    <row r="17291">
      <c r="F17291" s="1" t="str">
        <f t="shared" si="1"/>
        <v/>
      </c>
      <c r="G17291" s="1" t="str">
        <f t="shared" si="2"/>
        <v/>
      </c>
      <c r="J17291" s="1" t="str">
        <f t="shared" si="3"/>
        <v/>
      </c>
      <c r="K17291" s="1" t="str">
        <f t="shared" si="4"/>
        <v/>
      </c>
    </row>
    <row r="17292">
      <c r="F17292" s="1" t="str">
        <f t="shared" si="1"/>
        <v/>
      </c>
      <c r="G17292" s="1" t="str">
        <f t="shared" si="2"/>
        <v/>
      </c>
      <c r="J17292" s="1" t="str">
        <f t="shared" si="3"/>
        <v/>
      </c>
      <c r="K17292" s="1" t="str">
        <f t="shared" si="4"/>
        <v/>
      </c>
    </row>
    <row r="17293">
      <c r="F17293" s="1" t="str">
        <f t="shared" si="1"/>
        <v/>
      </c>
      <c r="G17293" s="1" t="str">
        <f t="shared" si="2"/>
        <v/>
      </c>
      <c r="J17293" s="1" t="str">
        <f t="shared" si="3"/>
        <v/>
      </c>
      <c r="K17293" s="1" t="str">
        <f t="shared" si="4"/>
        <v/>
      </c>
    </row>
    <row r="17294">
      <c r="F17294" s="1" t="str">
        <f t="shared" si="1"/>
        <v/>
      </c>
      <c r="G17294" s="1" t="str">
        <f t="shared" si="2"/>
        <v/>
      </c>
      <c r="J17294" s="1" t="str">
        <f t="shared" si="3"/>
        <v/>
      </c>
      <c r="K17294" s="1" t="str">
        <f t="shared" si="4"/>
        <v/>
      </c>
    </row>
    <row r="17295">
      <c r="F17295" s="1" t="str">
        <f t="shared" si="1"/>
        <v/>
      </c>
      <c r="G17295" s="1" t="str">
        <f t="shared" si="2"/>
        <v/>
      </c>
      <c r="J17295" s="1" t="str">
        <f t="shared" si="3"/>
        <v/>
      </c>
      <c r="K17295" s="1" t="str">
        <f t="shared" si="4"/>
        <v/>
      </c>
    </row>
    <row r="17296">
      <c r="F17296" s="1" t="str">
        <f t="shared" si="1"/>
        <v/>
      </c>
      <c r="G17296" s="1" t="str">
        <f t="shared" si="2"/>
        <v/>
      </c>
      <c r="J17296" s="1" t="str">
        <f t="shared" si="3"/>
        <v/>
      </c>
      <c r="K17296" s="1" t="str">
        <f t="shared" si="4"/>
        <v/>
      </c>
    </row>
    <row r="17297">
      <c r="F17297" s="1" t="str">
        <f t="shared" si="1"/>
        <v/>
      </c>
      <c r="G17297" s="1" t="str">
        <f t="shared" si="2"/>
        <v/>
      </c>
      <c r="J17297" s="1" t="str">
        <f t="shared" si="3"/>
        <v/>
      </c>
      <c r="K17297" s="1" t="str">
        <f t="shared" si="4"/>
        <v/>
      </c>
    </row>
    <row r="17298">
      <c r="F17298" s="1" t="str">
        <f t="shared" si="1"/>
        <v/>
      </c>
      <c r="G17298" s="1" t="str">
        <f t="shared" si="2"/>
        <v/>
      </c>
      <c r="J17298" s="1" t="str">
        <f t="shared" si="3"/>
        <v/>
      </c>
      <c r="K17298" s="1" t="str">
        <f t="shared" si="4"/>
        <v/>
      </c>
    </row>
    <row r="17299">
      <c r="F17299" s="1" t="str">
        <f t="shared" si="1"/>
        <v/>
      </c>
      <c r="G17299" s="1" t="str">
        <f t="shared" si="2"/>
        <v/>
      </c>
      <c r="J17299" s="1" t="str">
        <f t="shared" si="3"/>
        <v/>
      </c>
      <c r="K17299" s="1" t="str">
        <f t="shared" si="4"/>
        <v/>
      </c>
    </row>
    <row r="17300">
      <c r="F17300" s="1" t="str">
        <f t="shared" si="1"/>
        <v/>
      </c>
      <c r="G17300" s="1" t="str">
        <f t="shared" si="2"/>
        <v/>
      </c>
      <c r="J17300" s="1" t="str">
        <f t="shared" si="3"/>
        <v/>
      </c>
      <c r="K17300" s="1" t="str">
        <f t="shared" si="4"/>
        <v/>
      </c>
    </row>
    <row r="17301">
      <c r="F17301" s="1" t="str">
        <f t="shared" si="1"/>
        <v/>
      </c>
      <c r="G17301" s="1" t="str">
        <f t="shared" si="2"/>
        <v/>
      </c>
      <c r="J17301" s="1" t="str">
        <f t="shared" si="3"/>
        <v/>
      </c>
      <c r="K17301" s="1" t="str">
        <f t="shared" si="4"/>
        <v/>
      </c>
    </row>
    <row r="17302">
      <c r="F17302" s="1" t="str">
        <f t="shared" si="1"/>
        <v/>
      </c>
      <c r="G17302" s="1" t="str">
        <f t="shared" si="2"/>
        <v/>
      </c>
      <c r="J17302" s="1" t="str">
        <f t="shared" si="3"/>
        <v/>
      </c>
      <c r="K17302" s="1" t="str">
        <f t="shared" si="4"/>
        <v/>
      </c>
    </row>
    <row r="17303">
      <c r="F17303" s="1" t="str">
        <f t="shared" si="1"/>
        <v/>
      </c>
      <c r="G17303" s="1" t="str">
        <f t="shared" si="2"/>
        <v/>
      </c>
      <c r="J17303" s="1" t="str">
        <f t="shared" si="3"/>
        <v/>
      </c>
      <c r="K17303" s="1" t="str">
        <f t="shared" si="4"/>
        <v/>
      </c>
    </row>
    <row r="17304">
      <c r="F17304" s="1" t="str">
        <f t="shared" si="1"/>
        <v/>
      </c>
      <c r="G17304" s="1" t="str">
        <f t="shared" si="2"/>
        <v/>
      </c>
      <c r="J17304" s="1" t="str">
        <f t="shared" si="3"/>
        <v/>
      </c>
      <c r="K17304" s="1" t="str">
        <f t="shared" si="4"/>
        <v/>
      </c>
    </row>
    <row r="17305">
      <c r="F17305" s="1" t="str">
        <f t="shared" si="1"/>
        <v/>
      </c>
      <c r="G17305" s="1" t="str">
        <f t="shared" si="2"/>
        <v/>
      </c>
      <c r="J17305" s="1" t="str">
        <f t="shared" si="3"/>
        <v/>
      </c>
      <c r="K17305" s="1" t="str">
        <f t="shared" si="4"/>
        <v/>
      </c>
    </row>
    <row r="17306">
      <c r="F17306" s="1" t="str">
        <f t="shared" si="1"/>
        <v/>
      </c>
      <c r="G17306" s="1" t="str">
        <f t="shared" si="2"/>
        <v/>
      </c>
      <c r="J17306" s="1" t="str">
        <f t="shared" si="3"/>
        <v/>
      </c>
      <c r="K17306" s="1" t="str">
        <f t="shared" si="4"/>
        <v/>
      </c>
    </row>
    <row r="17307">
      <c r="F17307" s="1" t="str">
        <f t="shared" si="1"/>
        <v/>
      </c>
      <c r="G17307" s="1" t="str">
        <f t="shared" si="2"/>
        <v/>
      </c>
      <c r="J17307" s="1" t="str">
        <f t="shared" si="3"/>
        <v/>
      </c>
      <c r="K17307" s="1" t="str">
        <f t="shared" si="4"/>
        <v/>
      </c>
    </row>
    <row r="17308">
      <c r="F17308" s="1" t="str">
        <f t="shared" si="1"/>
        <v/>
      </c>
      <c r="G17308" s="1" t="str">
        <f t="shared" si="2"/>
        <v/>
      </c>
      <c r="J17308" s="1" t="str">
        <f t="shared" si="3"/>
        <v/>
      </c>
      <c r="K17308" s="1" t="str">
        <f t="shared" si="4"/>
        <v/>
      </c>
    </row>
    <row r="17309">
      <c r="F17309" s="1" t="str">
        <f t="shared" si="1"/>
        <v/>
      </c>
      <c r="G17309" s="1" t="str">
        <f t="shared" si="2"/>
        <v/>
      </c>
      <c r="J17309" s="1" t="str">
        <f t="shared" si="3"/>
        <v/>
      </c>
      <c r="K17309" s="1" t="str">
        <f t="shared" si="4"/>
        <v/>
      </c>
    </row>
    <row r="17310">
      <c r="F17310" s="1" t="str">
        <f t="shared" si="1"/>
        <v/>
      </c>
      <c r="G17310" s="1" t="str">
        <f t="shared" si="2"/>
        <v/>
      </c>
      <c r="J17310" s="1" t="str">
        <f t="shared" si="3"/>
        <v/>
      </c>
      <c r="K17310" s="1" t="str">
        <f t="shared" si="4"/>
        <v/>
      </c>
    </row>
    <row r="17311">
      <c r="F17311" s="1" t="str">
        <f t="shared" si="1"/>
        <v/>
      </c>
      <c r="G17311" s="1" t="str">
        <f t="shared" si="2"/>
        <v/>
      </c>
      <c r="J17311" s="1" t="str">
        <f t="shared" si="3"/>
        <v/>
      </c>
      <c r="K17311" s="1" t="str">
        <f t="shared" si="4"/>
        <v/>
      </c>
    </row>
    <row r="17312">
      <c r="F17312" s="1" t="str">
        <f t="shared" si="1"/>
        <v/>
      </c>
      <c r="G17312" s="1" t="str">
        <f t="shared" si="2"/>
        <v/>
      </c>
      <c r="J17312" s="1" t="str">
        <f t="shared" si="3"/>
        <v/>
      </c>
      <c r="K17312" s="1" t="str">
        <f t="shared" si="4"/>
        <v/>
      </c>
    </row>
    <row r="17313">
      <c r="F17313" s="1" t="str">
        <f t="shared" si="1"/>
        <v/>
      </c>
      <c r="G17313" s="1" t="str">
        <f t="shared" si="2"/>
        <v/>
      </c>
      <c r="J17313" s="1" t="str">
        <f t="shared" si="3"/>
        <v/>
      </c>
      <c r="K17313" s="1" t="str">
        <f t="shared" si="4"/>
        <v/>
      </c>
    </row>
    <row r="17314">
      <c r="F17314" s="1" t="str">
        <f t="shared" si="1"/>
        <v/>
      </c>
      <c r="G17314" s="1" t="str">
        <f t="shared" si="2"/>
        <v/>
      </c>
      <c r="J17314" s="1" t="str">
        <f t="shared" si="3"/>
        <v/>
      </c>
      <c r="K17314" s="1" t="str">
        <f t="shared" si="4"/>
        <v/>
      </c>
    </row>
    <row r="17315">
      <c r="F17315" s="1" t="str">
        <f t="shared" si="1"/>
        <v/>
      </c>
      <c r="G17315" s="1" t="str">
        <f t="shared" si="2"/>
        <v/>
      </c>
      <c r="J17315" s="1" t="str">
        <f t="shared" si="3"/>
        <v/>
      </c>
      <c r="K17315" s="1" t="str">
        <f t="shared" si="4"/>
        <v/>
      </c>
    </row>
    <row r="17316">
      <c r="F17316" s="1" t="str">
        <f t="shared" si="1"/>
        <v/>
      </c>
      <c r="G17316" s="1" t="str">
        <f t="shared" si="2"/>
        <v/>
      </c>
      <c r="J17316" s="1" t="str">
        <f t="shared" si="3"/>
        <v/>
      </c>
      <c r="K17316" s="1" t="str">
        <f t="shared" si="4"/>
        <v/>
      </c>
    </row>
    <row r="17317">
      <c r="F17317" s="1" t="str">
        <f t="shared" si="1"/>
        <v/>
      </c>
      <c r="G17317" s="1" t="str">
        <f t="shared" si="2"/>
        <v/>
      </c>
      <c r="J17317" s="1" t="str">
        <f t="shared" si="3"/>
        <v/>
      </c>
      <c r="K17317" s="1" t="str">
        <f t="shared" si="4"/>
        <v/>
      </c>
    </row>
    <row r="17318">
      <c r="F17318" s="1" t="str">
        <f t="shared" si="1"/>
        <v/>
      </c>
      <c r="G17318" s="1" t="str">
        <f t="shared" si="2"/>
        <v/>
      </c>
      <c r="J17318" s="1" t="str">
        <f t="shared" si="3"/>
        <v/>
      </c>
      <c r="K17318" s="1" t="str">
        <f t="shared" si="4"/>
        <v/>
      </c>
    </row>
    <row r="17319">
      <c r="F17319" s="1" t="str">
        <f t="shared" si="1"/>
        <v/>
      </c>
      <c r="G17319" s="1" t="str">
        <f t="shared" si="2"/>
        <v/>
      </c>
      <c r="J17319" s="1" t="str">
        <f t="shared" si="3"/>
        <v/>
      </c>
      <c r="K17319" s="1" t="str">
        <f t="shared" si="4"/>
        <v/>
      </c>
    </row>
    <row r="17320">
      <c r="F17320" s="1" t="str">
        <f t="shared" si="1"/>
        <v/>
      </c>
      <c r="G17320" s="1" t="str">
        <f t="shared" si="2"/>
        <v/>
      </c>
      <c r="J17320" s="1" t="str">
        <f t="shared" si="3"/>
        <v/>
      </c>
      <c r="K17320" s="1" t="str">
        <f t="shared" si="4"/>
        <v/>
      </c>
    </row>
    <row r="17321">
      <c r="F17321" s="1" t="str">
        <f t="shared" si="1"/>
        <v/>
      </c>
      <c r="G17321" s="1" t="str">
        <f t="shared" si="2"/>
        <v/>
      </c>
      <c r="J17321" s="1" t="str">
        <f t="shared" si="3"/>
        <v/>
      </c>
      <c r="K17321" s="1" t="str">
        <f t="shared" si="4"/>
        <v/>
      </c>
    </row>
    <row r="17322">
      <c r="F17322" s="1" t="str">
        <f t="shared" si="1"/>
        <v/>
      </c>
      <c r="G17322" s="1" t="str">
        <f t="shared" si="2"/>
        <v/>
      </c>
      <c r="J17322" s="1" t="str">
        <f t="shared" si="3"/>
        <v/>
      </c>
      <c r="K17322" s="1" t="str">
        <f t="shared" si="4"/>
        <v/>
      </c>
    </row>
    <row r="17323">
      <c r="F17323" s="1" t="str">
        <f t="shared" si="1"/>
        <v/>
      </c>
      <c r="G17323" s="1" t="str">
        <f t="shared" si="2"/>
        <v/>
      </c>
      <c r="J17323" s="1" t="str">
        <f t="shared" si="3"/>
        <v/>
      </c>
      <c r="K17323" s="1" t="str">
        <f t="shared" si="4"/>
        <v/>
      </c>
    </row>
    <row r="17324">
      <c r="F17324" s="1" t="str">
        <f t="shared" si="1"/>
        <v/>
      </c>
      <c r="G17324" s="1" t="str">
        <f t="shared" si="2"/>
        <v/>
      </c>
      <c r="J17324" s="1" t="str">
        <f t="shared" si="3"/>
        <v/>
      </c>
      <c r="K17324" s="1" t="str">
        <f t="shared" si="4"/>
        <v/>
      </c>
    </row>
    <row r="17325">
      <c r="F17325" s="1" t="str">
        <f t="shared" si="1"/>
        <v/>
      </c>
      <c r="G17325" s="1" t="str">
        <f t="shared" si="2"/>
        <v/>
      </c>
      <c r="J17325" s="1" t="str">
        <f t="shared" si="3"/>
        <v/>
      </c>
      <c r="K17325" s="1" t="str">
        <f t="shared" si="4"/>
        <v/>
      </c>
    </row>
    <row r="17326">
      <c r="F17326" s="1" t="str">
        <f t="shared" si="1"/>
        <v/>
      </c>
      <c r="G17326" s="1" t="str">
        <f t="shared" si="2"/>
        <v/>
      </c>
      <c r="J17326" s="1" t="str">
        <f t="shared" si="3"/>
        <v/>
      </c>
      <c r="K17326" s="1" t="str">
        <f t="shared" si="4"/>
        <v/>
      </c>
    </row>
    <row r="17327">
      <c r="F17327" s="1" t="str">
        <f t="shared" si="1"/>
        <v/>
      </c>
      <c r="G17327" s="1" t="str">
        <f t="shared" si="2"/>
        <v/>
      </c>
      <c r="J17327" s="1" t="str">
        <f t="shared" si="3"/>
        <v/>
      </c>
      <c r="K17327" s="1" t="str">
        <f t="shared" si="4"/>
        <v/>
      </c>
    </row>
    <row r="17328">
      <c r="F17328" s="1" t="str">
        <f t="shared" si="1"/>
        <v/>
      </c>
      <c r="G17328" s="1" t="str">
        <f t="shared" si="2"/>
        <v/>
      </c>
      <c r="J17328" s="1" t="str">
        <f t="shared" si="3"/>
        <v/>
      </c>
      <c r="K17328" s="1" t="str">
        <f t="shared" si="4"/>
        <v/>
      </c>
    </row>
    <row r="17329">
      <c r="F17329" s="1" t="str">
        <f t="shared" si="1"/>
        <v/>
      </c>
      <c r="G17329" s="1" t="str">
        <f t="shared" si="2"/>
        <v/>
      </c>
      <c r="J17329" s="1" t="str">
        <f t="shared" si="3"/>
        <v/>
      </c>
      <c r="K17329" s="1" t="str">
        <f t="shared" si="4"/>
        <v/>
      </c>
    </row>
    <row r="17330">
      <c r="F17330" s="1" t="str">
        <f t="shared" si="1"/>
        <v/>
      </c>
      <c r="G17330" s="1" t="str">
        <f t="shared" si="2"/>
        <v/>
      </c>
      <c r="J17330" s="1" t="str">
        <f t="shared" si="3"/>
        <v/>
      </c>
      <c r="K17330" s="1" t="str">
        <f t="shared" si="4"/>
        <v/>
      </c>
    </row>
    <row r="17331">
      <c r="F17331" s="1" t="str">
        <f t="shared" si="1"/>
        <v/>
      </c>
      <c r="G17331" s="1" t="str">
        <f t="shared" si="2"/>
        <v/>
      </c>
      <c r="J17331" s="1" t="str">
        <f t="shared" si="3"/>
        <v/>
      </c>
      <c r="K17331" s="1" t="str">
        <f t="shared" si="4"/>
        <v/>
      </c>
    </row>
    <row r="17332">
      <c r="F17332" s="1" t="str">
        <f t="shared" si="1"/>
        <v/>
      </c>
      <c r="G17332" s="1" t="str">
        <f t="shared" si="2"/>
        <v/>
      </c>
      <c r="J17332" s="1" t="str">
        <f t="shared" si="3"/>
        <v/>
      </c>
      <c r="K17332" s="1" t="str">
        <f t="shared" si="4"/>
        <v/>
      </c>
    </row>
    <row r="17333">
      <c r="F17333" s="1" t="str">
        <f t="shared" si="1"/>
        <v/>
      </c>
      <c r="G17333" s="1" t="str">
        <f t="shared" si="2"/>
        <v/>
      </c>
      <c r="J17333" s="1" t="str">
        <f t="shared" si="3"/>
        <v/>
      </c>
      <c r="K17333" s="1" t="str">
        <f t="shared" si="4"/>
        <v/>
      </c>
    </row>
    <row r="17334">
      <c r="F17334" s="1" t="str">
        <f t="shared" si="1"/>
        <v/>
      </c>
      <c r="G17334" s="1" t="str">
        <f t="shared" si="2"/>
        <v/>
      </c>
      <c r="J17334" s="1" t="str">
        <f t="shared" si="3"/>
        <v/>
      </c>
      <c r="K17334" s="1" t="str">
        <f t="shared" si="4"/>
        <v/>
      </c>
    </row>
    <row r="17335">
      <c r="F17335" s="1" t="str">
        <f t="shared" si="1"/>
        <v/>
      </c>
      <c r="G17335" s="1" t="str">
        <f t="shared" si="2"/>
        <v/>
      </c>
      <c r="J17335" s="1" t="str">
        <f t="shared" si="3"/>
        <v/>
      </c>
      <c r="K17335" s="1" t="str">
        <f t="shared" si="4"/>
        <v/>
      </c>
    </row>
    <row r="17336">
      <c r="F17336" s="1" t="str">
        <f t="shared" si="1"/>
        <v/>
      </c>
      <c r="G17336" s="1" t="str">
        <f t="shared" si="2"/>
        <v/>
      </c>
      <c r="J17336" s="1" t="str">
        <f t="shared" si="3"/>
        <v/>
      </c>
      <c r="K17336" s="1" t="str">
        <f t="shared" si="4"/>
        <v/>
      </c>
    </row>
    <row r="17337">
      <c r="F17337" s="1" t="str">
        <f t="shared" si="1"/>
        <v/>
      </c>
      <c r="G17337" s="1" t="str">
        <f t="shared" si="2"/>
        <v/>
      </c>
      <c r="J17337" s="1" t="str">
        <f t="shared" si="3"/>
        <v/>
      </c>
      <c r="K17337" s="1" t="str">
        <f t="shared" si="4"/>
        <v/>
      </c>
    </row>
    <row r="17338">
      <c r="F17338" s="1" t="str">
        <f t="shared" si="1"/>
        <v/>
      </c>
      <c r="G17338" s="1" t="str">
        <f t="shared" si="2"/>
        <v/>
      </c>
      <c r="J17338" s="1" t="str">
        <f t="shared" si="3"/>
        <v/>
      </c>
      <c r="K17338" s="1" t="str">
        <f t="shared" si="4"/>
        <v/>
      </c>
    </row>
    <row r="17339">
      <c r="F17339" s="1" t="str">
        <f t="shared" si="1"/>
        <v/>
      </c>
      <c r="G17339" s="1" t="str">
        <f t="shared" si="2"/>
        <v/>
      </c>
      <c r="J17339" s="1" t="str">
        <f t="shared" si="3"/>
        <v/>
      </c>
      <c r="K17339" s="1" t="str">
        <f t="shared" si="4"/>
        <v/>
      </c>
    </row>
    <row r="17340">
      <c r="F17340" s="1" t="str">
        <f t="shared" si="1"/>
        <v/>
      </c>
      <c r="G17340" s="1" t="str">
        <f t="shared" si="2"/>
        <v/>
      </c>
      <c r="J17340" s="1" t="str">
        <f t="shared" si="3"/>
        <v/>
      </c>
      <c r="K17340" s="1" t="str">
        <f t="shared" si="4"/>
        <v/>
      </c>
    </row>
    <row r="17341">
      <c r="F17341" s="1" t="str">
        <f t="shared" si="1"/>
        <v/>
      </c>
      <c r="G17341" s="1" t="str">
        <f t="shared" si="2"/>
        <v/>
      </c>
      <c r="J17341" s="1" t="str">
        <f t="shared" si="3"/>
        <v/>
      </c>
      <c r="K17341" s="1" t="str">
        <f t="shared" si="4"/>
        <v/>
      </c>
    </row>
    <row r="17342">
      <c r="F17342" s="1" t="str">
        <f t="shared" si="1"/>
        <v/>
      </c>
      <c r="G17342" s="1" t="str">
        <f t="shared" si="2"/>
        <v/>
      </c>
      <c r="J17342" s="1" t="str">
        <f t="shared" si="3"/>
        <v/>
      </c>
      <c r="K17342" s="1" t="str">
        <f t="shared" si="4"/>
        <v/>
      </c>
    </row>
    <row r="17343">
      <c r="F17343" s="1" t="str">
        <f t="shared" si="1"/>
        <v/>
      </c>
      <c r="G17343" s="1" t="str">
        <f t="shared" si="2"/>
        <v/>
      </c>
      <c r="J17343" s="1" t="str">
        <f t="shared" si="3"/>
        <v/>
      </c>
      <c r="K17343" s="1" t="str">
        <f t="shared" si="4"/>
        <v/>
      </c>
    </row>
    <row r="17344">
      <c r="F17344" s="1" t="str">
        <f t="shared" si="1"/>
        <v/>
      </c>
      <c r="G17344" s="1" t="str">
        <f t="shared" si="2"/>
        <v/>
      </c>
      <c r="J17344" s="1" t="str">
        <f t="shared" si="3"/>
        <v/>
      </c>
      <c r="K17344" s="1" t="str">
        <f t="shared" si="4"/>
        <v/>
      </c>
    </row>
    <row r="17345">
      <c r="F17345" s="1" t="str">
        <f t="shared" si="1"/>
        <v/>
      </c>
      <c r="G17345" s="1" t="str">
        <f t="shared" si="2"/>
        <v/>
      </c>
      <c r="J17345" s="1" t="str">
        <f t="shared" si="3"/>
        <v/>
      </c>
      <c r="K17345" s="1" t="str">
        <f t="shared" si="4"/>
        <v/>
      </c>
    </row>
    <row r="17346">
      <c r="F17346" s="1" t="str">
        <f t="shared" si="1"/>
        <v/>
      </c>
      <c r="G17346" s="1" t="str">
        <f t="shared" si="2"/>
        <v/>
      </c>
      <c r="J17346" s="1" t="str">
        <f t="shared" si="3"/>
        <v/>
      </c>
      <c r="K17346" s="1" t="str">
        <f t="shared" si="4"/>
        <v/>
      </c>
    </row>
    <row r="17347">
      <c r="F17347" s="1" t="str">
        <f t="shared" si="1"/>
        <v/>
      </c>
      <c r="G17347" s="1" t="str">
        <f t="shared" si="2"/>
        <v/>
      </c>
      <c r="J17347" s="1" t="str">
        <f t="shared" si="3"/>
        <v/>
      </c>
      <c r="K17347" s="1" t="str">
        <f t="shared" si="4"/>
        <v/>
      </c>
    </row>
    <row r="17348">
      <c r="F17348" s="1" t="str">
        <f t="shared" si="1"/>
        <v/>
      </c>
      <c r="G17348" s="1" t="str">
        <f t="shared" si="2"/>
        <v/>
      </c>
      <c r="J17348" s="1" t="str">
        <f t="shared" si="3"/>
        <v/>
      </c>
      <c r="K17348" s="1" t="str">
        <f t="shared" si="4"/>
        <v/>
      </c>
    </row>
    <row r="17349">
      <c r="F17349" s="1" t="str">
        <f t="shared" si="1"/>
        <v/>
      </c>
      <c r="G17349" s="1" t="str">
        <f t="shared" si="2"/>
        <v/>
      </c>
      <c r="J17349" s="1" t="str">
        <f t="shared" si="3"/>
        <v/>
      </c>
      <c r="K17349" s="1" t="str">
        <f t="shared" si="4"/>
        <v/>
      </c>
    </row>
    <row r="17350">
      <c r="F17350" s="1" t="str">
        <f t="shared" si="1"/>
        <v/>
      </c>
      <c r="G17350" s="1" t="str">
        <f t="shared" si="2"/>
        <v/>
      </c>
      <c r="J17350" s="1" t="str">
        <f t="shared" si="3"/>
        <v/>
      </c>
      <c r="K17350" s="1" t="str">
        <f t="shared" si="4"/>
        <v/>
      </c>
    </row>
    <row r="17351">
      <c r="F17351" s="1" t="str">
        <f t="shared" si="1"/>
        <v/>
      </c>
      <c r="G17351" s="1" t="str">
        <f t="shared" si="2"/>
        <v/>
      </c>
      <c r="J17351" s="1" t="str">
        <f t="shared" si="3"/>
        <v/>
      </c>
      <c r="K17351" s="1" t="str">
        <f t="shared" si="4"/>
        <v/>
      </c>
    </row>
    <row r="17352">
      <c r="F17352" s="1" t="str">
        <f t="shared" si="1"/>
        <v/>
      </c>
      <c r="G17352" s="1" t="str">
        <f t="shared" si="2"/>
        <v/>
      </c>
      <c r="J17352" s="1" t="str">
        <f t="shared" si="3"/>
        <v/>
      </c>
      <c r="K17352" s="1" t="str">
        <f t="shared" si="4"/>
        <v/>
      </c>
    </row>
    <row r="17353">
      <c r="F17353" s="1" t="str">
        <f t="shared" si="1"/>
        <v/>
      </c>
      <c r="G17353" s="1" t="str">
        <f t="shared" si="2"/>
        <v/>
      </c>
      <c r="J17353" s="1" t="str">
        <f t="shared" si="3"/>
        <v/>
      </c>
      <c r="K17353" s="1" t="str">
        <f t="shared" si="4"/>
        <v/>
      </c>
    </row>
    <row r="17354">
      <c r="F17354" s="1" t="str">
        <f t="shared" si="1"/>
        <v/>
      </c>
      <c r="G17354" s="1" t="str">
        <f t="shared" si="2"/>
        <v/>
      </c>
      <c r="J17354" s="1" t="str">
        <f t="shared" si="3"/>
        <v/>
      </c>
      <c r="K17354" s="1" t="str">
        <f t="shared" si="4"/>
        <v/>
      </c>
    </row>
    <row r="17355">
      <c r="F17355" s="1" t="str">
        <f t="shared" si="1"/>
        <v/>
      </c>
      <c r="G17355" s="1" t="str">
        <f t="shared" si="2"/>
        <v/>
      </c>
      <c r="J17355" s="1" t="str">
        <f t="shared" si="3"/>
        <v/>
      </c>
      <c r="K17355" s="1" t="str">
        <f t="shared" si="4"/>
        <v/>
      </c>
    </row>
    <row r="17356">
      <c r="F17356" s="1" t="str">
        <f t="shared" si="1"/>
        <v/>
      </c>
      <c r="G17356" s="1" t="str">
        <f t="shared" si="2"/>
        <v/>
      </c>
      <c r="J17356" s="1" t="str">
        <f t="shared" si="3"/>
        <v/>
      </c>
      <c r="K17356" s="1" t="str">
        <f t="shared" si="4"/>
        <v/>
      </c>
    </row>
    <row r="17357">
      <c r="F17357" s="1" t="str">
        <f t="shared" si="1"/>
        <v/>
      </c>
      <c r="G17357" s="1" t="str">
        <f t="shared" si="2"/>
        <v/>
      </c>
      <c r="J17357" s="1" t="str">
        <f t="shared" si="3"/>
        <v/>
      </c>
      <c r="K17357" s="1" t="str">
        <f t="shared" si="4"/>
        <v/>
      </c>
    </row>
    <row r="17358">
      <c r="F17358" s="1" t="str">
        <f t="shared" si="1"/>
        <v/>
      </c>
      <c r="G17358" s="1" t="str">
        <f t="shared" si="2"/>
        <v/>
      </c>
      <c r="J17358" s="1" t="str">
        <f t="shared" si="3"/>
        <v/>
      </c>
      <c r="K17358" s="1" t="str">
        <f t="shared" si="4"/>
        <v/>
      </c>
    </row>
    <row r="17359">
      <c r="F17359" s="1" t="str">
        <f t="shared" si="1"/>
        <v/>
      </c>
      <c r="G17359" s="1" t="str">
        <f t="shared" si="2"/>
        <v/>
      </c>
      <c r="J17359" s="1" t="str">
        <f t="shared" si="3"/>
        <v/>
      </c>
      <c r="K17359" s="1" t="str">
        <f t="shared" si="4"/>
        <v/>
      </c>
    </row>
    <row r="17360">
      <c r="F17360" s="1" t="str">
        <f t="shared" si="1"/>
        <v/>
      </c>
      <c r="G17360" s="1" t="str">
        <f t="shared" si="2"/>
        <v/>
      </c>
      <c r="J17360" s="1" t="str">
        <f t="shared" si="3"/>
        <v/>
      </c>
      <c r="K17360" s="1" t="str">
        <f t="shared" si="4"/>
        <v/>
      </c>
    </row>
    <row r="17361">
      <c r="F17361" s="1" t="str">
        <f t="shared" si="1"/>
        <v/>
      </c>
      <c r="G17361" s="1" t="str">
        <f t="shared" si="2"/>
        <v/>
      </c>
      <c r="J17361" s="1" t="str">
        <f t="shared" si="3"/>
        <v/>
      </c>
      <c r="K17361" s="1" t="str">
        <f t="shared" si="4"/>
        <v/>
      </c>
    </row>
    <row r="17362">
      <c r="F17362" s="1" t="str">
        <f t="shared" si="1"/>
        <v/>
      </c>
      <c r="G17362" s="1" t="str">
        <f t="shared" si="2"/>
        <v/>
      </c>
      <c r="J17362" s="1" t="str">
        <f t="shared" si="3"/>
        <v/>
      </c>
      <c r="K17362" s="1" t="str">
        <f t="shared" si="4"/>
        <v/>
      </c>
    </row>
    <row r="17363">
      <c r="F17363" s="1" t="str">
        <f t="shared" si="1"/>
        <v/>
      </c>
      <c r="G17363" s="1" t="str">
        <f t="shared" si="2"/>
        <v/>
      </c>
      <c r="J17363" s="1" t="str">
        <f t="shared" si="3"/>
        <v/>
      </c>
      <c r="K17363" s="1" t="str">
        <f t="shared" si="4"/>
        <v/>
      </c>
    </row>
    <row r="17364">
      <c r="F17364" s="1" t="str">
        <f t="shared" si="1"/>
        <v/>
      </c>
      <c r="G17364" s="1" t="str">
        <f t="shared" si="2"/>
        <v/>
      </c>
      <c r="J17364" s="1" t="str">
        <f t="shared" si="3"/>
        <v/>
      </c>
      <c r="K17364" s="1" t="str">
        <f t="shared" si="4"/>
        <v/>
      </c>
    </row>
    <row r="17365">
      <c r="F17365" s="1" t="str">
        <f t="shared" si="1"/>
        <v/>
      </c>
      <c r="G17365" s="1" t="str">
        <f t="shared" si="2"/>
        <v/>
      </c>
      <c r="J17365" s="1" t="str">
        <f t="shared" si="3"/>
        <v/>
      </c>
      <c r="K17365" s="1" t="str">
        <f t="shared" si="4"/>
        <v/>
      </c>
    </row>
    <row r="17366">
      <c r="F17366" s="1" t="str">
        <f t="shared" si="1"/>
        <v/>
      </c>
      <c r="G17366" s="1" t="str">
        <f t="shared" si="2"/>
        <v/>
      </c>
      <c r="J17366" s="1" t="str">
        <f t="shared" si="3"/>
        <v/>
      </c>
      <c r="K17366" s="1" t="str">
        <f t="shared" si="4"/>
        <v/>
      </c>
    </row>
    <row r="17367">
      <c r="F17367" s="1" t="str">
        <f t="shared" si="1"/>
        <v/>
      </c>
      <c r="G17367" s="1" t="str">
        <f t="shared" si="2"/>
        <v/>
      </c>
      <c r="J17367" s="1" t="str">
        <f t="shared" si="3"/>
        <v/>
      </c>
      <c r="K17367" s="1" t="str">
        <f t="shared" si="4"/>
        <v/>
      </c>
    </row>
    <row r="17368">
      <c r="F17368" s="1" t="str">
        <f t="shared" si="1"/>
        <v/>
      </c>
      <c r="G17368" s="1" t="str">
        <f t="shared" si="2"/>
        <v/>
      </c>
      <c r="J17368" s="1" t="str">
        <f t="shared" si="3"/>
        <v/>
      </c>
      <c r="K17368" s="1" t="str">
        <f t="shared" si="4"/>
        <v/>
      </c>
    </row>
    <row r="17369">
      <c r="F17369" s="1" t="str">
        <f t="shared" si="1"/>
        <v/>
      </c>
      <c r="G17369" s="1" t="str">
        <f t="shared" si="2"/>
        <v/>
      </c>
      <c r="J17369" s="1" t="str">
        <f t="shared" si="3"/>
        <v/>
      </c>
      <c r="K17369" s="1" t="str">
        <f t="shared" si="4"/>
        <v/>
      </c>
    </row>
    <row r="17370">
      <c r="F17370" s="1" t="str">
        <f t="shared" si="1"/>
        <v/>
      </c>
      <c r="G17370" s="1" t="str">
        <f t="shared" si="2"/>
        <v/>
      </c>
      <c r="J17370" s="1" t="str">
        <f t="shared" si="3"/>
        <v/>
      </c>
      <c r="K17370" s="1" t="str">
        <f t="shared" si="4"/>
        <v/>
      </c>
    </row>
    <row r="17371">
      <c r="F17371" s="1" t="str">
        <f t="shared" si="1"/>
        <v/>
      </c>
      <c r="G17371" s="1" t="str">
        <f t="shared" si="2"/>
        <v/>
      </c>
      <c r="J17371" s="1" t="str">
        <f t="shared" si="3"/>
        <v/>
      </c>
      <c r="K17371" s="1" t="str">
        <f t="shared" si="4"/>
        <v/>
      </c>
    </row>
    <row r="17372">
      <c r="F17372" s="1" t="str">
        <f t="shared" si="1"/>
        <v/>
      </c>
      <c r="G17372" s="1" t="str">
        <f t="shared" si="2"/>
        <v/>
      </c>
      <c r="J17372" s="1" t="str">
        <f t="shared" si="3"/>
        <v/>
      </c>
      <c r="K17372" s="1" t="str">
        <f t="shared" si="4"/>
        <v/>
      </c>
    </row>
    <row r="17373">
      <c r="F17373" s="1" t="str">
        <f t="shared" si="1"/>
        <v/>
      </c>
      <c r="G17373" s="1" t="str">
        <f t="shared" si="2"/>
        <v/>
      </c>
      <c r="J17373" s="1" t="str">
        <f t="shared" si="3"/>
        <v/>
      </c>
      <c r="K17373" s="1" t="str">
        <f t="shared" si="4"/>
        <v/>
      </c>
    </row>
    <row r="17374">
      <c r="F17374" s="1" t="str">
        <f t="shared" si="1"/>
        <v/>
      </c>
      <c r="G17374" s="1" t="str">
        <f t="shared" si="2"/>
        <v/>
      </c>
      <c r="J17374" s="1" t="str">
        <f t="shared" si="3"/>
        <v/>
      </c>
      <c r="K17374" s="1" t="str">
        <f t="shared" si="4"/>
        <v/>
      </c>
    </row>
    <row r="17375">
      <c r="F17375" s="1" t="str">
        <f t="shared" si="1"/>
        <v/>
      </c>
      <c r="G17375" s="1" t="str">
        <f t="shared" si="2"/>
        <v/>
      </c>
      <c r="J17375" s="1" t="str">
        <f t="shared" si="3"/>
        <v/>
      </c>
      <c r="K17375" s="1" t="str">
        <f t="shared" si="4"/>
        <v/>
      </c>
    </row>
    <row r="17376">
      <c r="F17376" s="1" t="str">
        <f t="shared" si="1"/>
        <v/>
      </c>
      <c r="G17376" s="1" t="str">
        <f t="shared" si="2"/>
        <v/>
      </c>
      <c r="J17376" s="1" t="str">
        <f t="shared" si="3"/>
        <v/>
      </c>
      <c r="K17376" s="1" t="str">
        <f t="shared" si="4"/>
        <v/>
      </c>
    </row>
    <row r="17377">
      <c r="F17377" s="1" t="str">
        <f t="shared" si="1"/>
        <v/>
      </c>
      <c r="G17377" s="1" t="str">
        <f t="shared" si="2"/>
        <v/>
      </c>
      <c r="J17377" s="1" t="str">
        <f t="shared" si="3"/>
        <v/>
      </c>
      <c r="K17377" s="1" t="str">
        <f t="shared" si="4"/>
        <v/>
      </c>
    </row>
    <row r="17378">
      <c r="F17378" s="1" t="str">
        <f t="shared" si="1"/>
        <v/>
      </c>
      <c r="G17378" s="1" t="str">
        <f t="shared" si="2"/>
        <v/>
      </c>
      <c r="J17378" s="1" t="str">
        <f t="shared" si="3"/>
        <v/>
      </c>
      <c r="K17378" s="1" t="str">
        <f t="shared" si="4"/>
        <v/>
      </c>
    </row>
    <row r="17379">
      <c r="F17379" s="1" t="str">
        <f t="shared" si="1"/>
        <v/>
      </c>
      <c r="G17379" s="1" t="str">
        <f t="shared" si="2"/>
        <v/>
      </c>
      <c r="J17379" s="1" t="str">
        <f t="shared" si="3"/>
        <v/>
      </c>
      <c r="K17379" s="1" t="str">
        <f t="shared" si="4"/>
        <v/>
      </c>
    </row>
    <row r="17380">
      <c r="F17380" s="1" t="str">
        <f t="shared" si="1"/>
        <v/>
      </c>
      <c r="G17380" s="1" t="str">
        <f t="shared" si="2"/>
        <v/>
      </c>
      <c r="J17380" s="1" t="str">
        <f t="shared" si="3"/>
        <v/>
      </c>
      <c r="K17380" s="1" t="str">
        <f t="shared" si="4"/>
        <v/>
      </c>
    </row>
    <row r="17381">
      <c r="F17381" s="1" t="str">
        <f t="shared" si="1"/>
        <v/>
      </c>
      <c r="G17381" s="1" t="str">
        <f t="shared" si="2"/>
        <v/>
      </c>
      <c r="J17381" s="1" t="str">
        <f t="shared" si="3"/>
        <v/>
      </c>
      <c r="K17381" s="1" t="str">
        <f t="shared" si="4"/>
        <v/>
      </c>
    </row>
    <row r="17382">
      <c r="F17382" s="1" t="str">
        <f t="shared" si="1"/>
        <v/>
      </c>
      <c r="G17382" s="1" t="str">
        <f t="shared" si="2"/>
        <v/>
      </c>
      <c r="J17382" s="1" t="str">
        <f t="shared" si="3"/>
        <v/>
      </c>
      <c r="K17382" s="1" t="str">
        <f t="shared" si="4"/>
        <v/>
      </c>
    </row>
    <row r="17383">
      <c r="F17383" s="1" t="str">
        <f t="shared" si="1"/>
        <v/>
      </c>
      <c r="G17383" s="1" t="str">
        <f t="shared" si="2"/>
        <v/>
      </c>
      <c r="J17383" s="1" t="str">
        <f t="shared" si="3"/>
        <v/>
      </c>
      <c r="K17383" s="1" t="str">
        <f t="shared" si="4"/>
        <v/>
      </c>
    </row>
    <row r="17384">
      <c r="F17384" s="1" t="str">
        <f t="shared" si="1"/>
        <v/>
      </c>
      <c r="G17384" s="1" t="str">
        <f t="shared" si="2"/>
        <v/>
      </c>
      <c r="J17384" s="1" t="str">
        <f t="shared" si="3"/>
        <v/>
      </c>
      <c r="K17384" s="1" t="str">
        <f t="shared" si="4"/>
        <v/>
      </c>
    </row>
    <row r="17385">
      <c r="F17385" s="1" t="str">
        <f t="shared" si="1"/>
        <v/>
      </c>
      <c r="G17385" s="1" t="str">
        <f t="shared" si="2"/>
        <v/>
      </c>
      <c r="J17385" s="1" t="str">
        <f t="shared" si="3"/>
        <v/>
      </c>
      <c r="K17385" s="1" t="str">
        <f t="shared" si="4"/>
        <v/>
      </c>
    </row>
    <row r="17386">
      <c r="F17386" s="1" t="str">
        <f t="shared" si="1"/>
        <v/>
      </c>
      <c r="G17386" s="1" t="str">
        <f t="shared" si="2"/>
        <v/>
      </c>
      <c r="J17386" s="1" t="str">
        <f t="shared" si="3"/>
        <v/>
      </c>
      <c r="K17386" s="1" t="str">
        <f t="shared" si="4"/>
        <v/>
      </c>
    </row>
    <row r="17387">
      <c r="F17387" s="1" t="str">
        <f t="shared" si="1"/>
        <v/>
      </c>
      <c r="G17387" s="1" t="str">
        <f t="shared" si="2"/>
        <v/>
      </c>
      <c r="J17387" s="1" t="str">
        <f t="shared" si="3"/>
        <v/>
      </c>
      <c r="K17387" s="1" t="str">
        <f t="shared" si="4"/>
        <v/>
      </c>
    </row>
    <row r="17388">
      <c r="F17388" s="1" t="str">
        <f t="shared" si="1"/>
        <v/>
      </c>
      <c r="G17388" s="1" t="str">
        <f t="shared" si="2"/>
        <v/>
      </c>
      <c r="J17388" s="1" t="str">
        <f t="shared" si="3"/>
        <v/>
      </c>
      <c r="K17388" s="1" t="str">
        <f t="shared" si="4"/>
        <v/>
      </c>
    </row>
    <row r="17389">
      <c r="F17389" s="1" t="str">
        <f t="shared" si="1"/>
        <v/>
      </c>
      <c r="G17389" s="1" t="str">
        <f t="shared" si="2"/>
        <v/>
      </c>
      <c r="J17389" s="1" t="str">
        <f t="shared" si="3"/>
        <v/>
      </c>
      <c r="K17389" s="1" t="str">
        <f t="shared" si="4"/>
        <v/>
      </c>
    </row>
    <row r="17390">
      <c r="F17390" s="1" t="str">
        <f t="shared" si="1"/>
        <v/>
      </c>
      <c r="G17390" s="1" t="str">
        <f t="shared" si="2"/>
        <v/>
      </c>
      <c r="J17390" s="1" t="str">
        <f t="shared" si="3"/>
        <v/>
      </c>
      <c r="K17390" s="1" t="str">
        <f t="shared" si="4"/>
        <v/>
      </c>
    </row>
    <row r="17391">
      <c r="F17391" s="1" t="str">
        <f t="shared" si="1"/>
        <v/>
      </c>
      <c r="G17391" s="1" t="str">
        <f t="shared" si="2"/>
        <v/>
      </c>
      <c r="J17391" s="1" t="str">
        <f t="shared" si="3"/>
        <v/>
      </c>
      <c r="K17391" s="1" t="str">
        <f t="shared" si="4"/>
        <v/>
      </c>
    </row>
    <row r="17392">
      <c r="F17392" s="1" t="str">
        <f t="shared" si="1"/>
        <v/>
      </c>
      <c r="G17392" s="1" t="str">
        <f t="shared" si="2"/>
        <v/>
      </c>
      <c r="J17392" s="1" t="str">
        <f t="shared" si="3"/>
        <v/>
      </c>
      <c r="K17392" s="1" t="str">
        <f t="shared" si="4"/>
        <v/>
      </c>
    </row>
    <row r="17393">
      <c r="F17393" s="1" t="str">
        <f t="shared" si="1"/>
        <v/>
      </c>
      <c r="G17393" s="1" t="str">
        <f t="shared" si="2"/>
        <v/>
      </c>
      <c r="J17393" s="1" t="str">
        <f t="shared" si="3"/>
        <v/>
      </c>
      <c r="K17393" s="1" t="str">
        <f t="shared" si="4"/>
        <v/>
      </c>
    </row>
    <row r="17394">
      <c r="F17394" s="1" t="str">
        <f t="shared" si="1"/>
        <v/>
      </c>
      <c r="G17394" s="1" t="str">
        <f t="shared" si="2"/>
        <v/>
      </c>
      <c r="J17394" s="1" t="str">
        <f t="shared" si="3"/>
        <v/>
      </c>
      <c r="K17394" s="1" t="str">
        <f t="shared" si="4"/>
        <v/>
      </c>
    </row>
    <row r="17395">
      <c r="F17395" s="1" t="str">
        <f t="shared" si="1"/>
        <v/>
      </c>
      <c r="G17395" s="1" t="str">
        <f t="shared" si="2"/>
        <v/>
      </c>
      <c r="J17395" s="1" t="str">
        <f t="shared" si="3"/>
        <v/>
      </c>
      <c r="K17395" s="1" t="str">
        <f t="shared" si="4"/>
        <v/>
      </c>
    </row>
    <row r="17396">
      <c r="F17396" s="1" t="str">
        <f t="shared" si="1"/>
        <v/>
      </c>
      <c r="G17396" s="1" t="str">
        <f t="shared" si="2"/>
        <v/>
      </c>
      <c r="J17396" s="1" t="str">
        <f t="shared" si="3"/>
        <v/>
      </c>
      <c r="K17396" s="1" t="str">
        <f t="shared" si="4"/>
        <v/>
      </c>
    </row>
    <row r="17397">
      <c r="F17397" s="1" t="str">
        <f t="shared" si="1"/>
        <v/>
      </c>
      <c r="G17397" s="1" t="str">
        <f t="shared" si="2"/>
        <v/>
      </c>
      <c r="J17397" s="1" t="str">
        <f t="shared" si="3"/>
        <v/>
      </c>
      <c r="K17397" s="1" t="str">
        <f t="shared" si="4"/>
        <v/>
      </c>
    </row>
    <row r="17398">
      <c r="F17398" s="1" t="str">
        <f t="shared" si="1"/>
        <v/>
      </c>
      <c r="G17398" s="1" t="str">
        <f t="shared" si="2"/>
        <v/>
      </c>
      <c r="J17398" s="1" t="str">
        <f t="shared" si="3"/>
        <v/>
      </c>
      <c r="K17398" s="1" t="str">
        <f t="shared" si="4"/>
        <v/>
      </c>
    </row>
    <row r="17399">
      <c r="F17399" s="1" t="str">
        <f t="shared" si="1"/>
        <v/>
      </c>
      <c r="G17399" s="1" t="str">
        <f t="shared" si="2"/>
        <v/>
      </c>
      <c r="J17399" s="1" t="str">
        <f t="shared" si="3"/>
        <v/>
      </c>
      <c r="K17399" s="1" t="str">
        <f t="shared" si="4"/>
        <v/>
      </c>
    </row>
    <row r="17400">
      <c r="F17400" s="1" t="str">
        <f t="shared" si="1"/>
        <v/>
      </c>
      <c r="G17400" s="1" t="str">
        <f t="shared" si="2"/>
        <v/>
      </c>
      <c r="J17400" s="1" t="str">
        <f t="shared" si="3"/>
        <v/>
      </c>
      <c r="K17400" s="1" t="str">
        <f t="shared" si="4"/>
        <v/>
      </c>
    </row>
    <row r="17401">
      <c r="F17401" s="1" t="str">
        <f t="shared" si="1"/>
        <v/>
      </c>
      <c r="G17401" s="1" t="str">
        <f t="shared" si="2"/>
        <v/>
      </c>
      <c r="J17401" s="1" t="str">
        <f t="shared" si="3"/>
        <v/>
      </c>
      <c r="K17401" s="1" t="str">
        <f t="shared" si="4"/>
        <v/>
      </c>
    </row>
    <row r="17402">
      <c r="F17402" s="1" t="str">
        <f t="shared" si="1"/>
        <v/>
      </c>
      <c r="G17402" s="1" t="str">
        <f t="shared" si="2"/>
        <v/>
      </c>
      <c r="J17402" s="1" t="str">
        <f t="shared" si="3"/>
        <v/>
      </c>
      <c r="K17402" s="1" t="str">
        <f t="shared" si="4"/>
        <v/>
      </c>
    </row>
    <row r="17403">
      <c r="F17403" s="1" t="str">
        <f t="shared" si="1"/>
        <v/>
      </c>
      <c r="G17403" s="1" t="str">
        <f t="shared" si="2"/>
        <v/>
      </c>
      <c r="J17403" s="1" t="str">
        <f t="shared" si="3"/>
        <v/>
      </c>
      <c r="K17403" s="1" t="str">
        <f t="shared" si="4"/>
        <v/>
      </c>
    </row>
    <row r="17404">
      <c r="F17404" s="1" t="str">
        <f t="shared" si="1"/>
        <v/>
      </c>
      <c r="G17404" s="1" t="str">
        <f t="shared" si="2"/>
        <v/>
      </c>
      <c r="J17404" s="1" t="str">
        <f t="shared" si="3"/>
        <v/>
      </c>
      <c r="K17404" s="1" t="str">
        <f t="shared" si="4"/>
        <v/>
      </c>
    </row>
    <row r="17405">
      <c r="F17405" s="1" t="str">
        <f t="shared" si="1"/>
        <v/>
      </c>
      <c r="G17405" s="1" t="str">
        <f t="shared" si="2"/>
        <v/>
      </c>
      <c r="J17405" s="1" t="str">
        <f t="shared" si="3"/>
        <v/>
      </c>
      <c r="K17405" s="1" t="str">
        <f t="shared" si="4"/>
        <v/>
      </c>
    </row>
    <row r="17406">
      <c r="F17406" s="1" t="str">
        <f t="shared" si="1"/>
        <v/>
      </c>
      <c r="G17406" s="1" t="str">
        <f t="shared" si="2"/>
        <v/>
      </c>
      <c r="J17406" s="1" t="str">
        <f t="shared" si="3"/>
        <v/>
      </c>
      <c r="K17406" s="1" t="str">
        <f t="shared" si="4"/>
        <v/>
      </c>
    </row>
    <row r="17407">
      <c r="F17407" s="1" t="str">
        <f t="shared" si="1"/>
        <v/>
      </c>
      <c r="G17407" s="1" t="str">
        <f t="shared" si="2"/>
        <v/>
      </c>
      <c r="J17407" s="1" t="str">
        <f t="shared" si="3"/>
        <v/>
      </c>
      <c r="K17407" s="1" t="str">
        <f t="shared" si="4"/>
        <v/>
      </c>
    </row>
    <row r="17408">
      <c r="F17408" s="1" t="str">
        <f t="shared" si="1"/>
        <v/>
      </c>
      <c r="G17408" s="1" t="str">
        <f t="shared" si="2"/>
        <v/>
      </c>
      <c r="J17408" s="1" t="str">
        <f t="shared" si="3"/>
        <v/>
      </c>
      <c r="K17408" s="1" t="str">
        <f t="shared" si="4"/>
        <v/>
      </c>
    </row>
    <row r="17409">
      <c r="F17409" s="1" t="str">
        <f t="shared" si="1"/>
        <v/>
      </c>
      <c r="G17409" s="1" t="str">
        <f t="shared" si="2"/>
        <v/>
      </c>
      <c r="J17409" s="1" t="str">
        <f t="shared" si="3"/>
        <v/>
      </c>
      <c r="K17409" s="1" t="str">
        <f t="shared" si="4"/>
        <v/>
      </c>
    </row>
    <row r="17410">
      <c r="F17410" s="1" t="str">
        <f t="shared" si="1"/>
        <v/>
      </c>
      <c r="G17410" s="1" t="str">
        <f t="shared" si="2"/>
        <v/>
      </c>
      <c r="J17410" s="1" t="str">
        <f t="shared" si="3"/>
        <v/>
      </c>
      <c r="K17410" s="1" t="str">
        <f t="shared" si="4"/>
        <v/>
      </c>
    </row>
    <row r="17411">
      <c r="F17411" s="1" t="str">
        <f t="shared" si="1"/>
        <v/>
      </c>
      <c r="G17411" s="1" t="str">
        <f t="shared" si="2"/>
        <v/>
      </c>
      <c r="J17411" s="1" t="str">
        <f t="shared" si="3"/>
        <v/>
      </c>
      <c r="K17411" s="1" t="str">
        <f t="shared" si="4"/>
        <v/>
      </c>
    </row>
    <row r="17412">
      <c r="F17412" s="1" t="str">
        <f t="shared" si="1"/>
        <v/>
      </c>
      <c r="G17412" s="1" t="str">
        <f t="shared" si="2"/>
        <v/>
      </c>
      <c r="J17412" s="1" t="str">
        <f t="shared" si="3"/>
        <v/>
      </c>
      <c r="K17412" s="1" t="str">
        <f t="shared" si="4"/>
        <v/>
      </c>
    </row>
    <row r="17413">
      <c r="F17413" s="1" t="str">
        <f t="shared" si="1"/>
        <v/>
      </c>
      <c r="G17413" s="1" t="str">
        <f t="shared" si="2"/>
        <v/>
      </c>
      <c r="J17413" s="1" t="str">
        <f t="shared" si="3"/>
        <v/>
      </c>
      <c r="K17413" s="1" t="str">
        <f t="shared" si="4"/>
        <v/>
      </c>
    </row>
    <row r="17414">
      <c r="F17414" s="1" t="str">
        <f t="shared" si="1"/>
        <v/>
      </c>
      <c r="G17414" s="1" t="str">
        <f t="shared" si="2"/>
        <v/>
      </c>
      <c r="J17414" s="1" t="str">
        <f t="shared" si="3"/>
        <v/>
      </c>
      <c r="K17414" s="1" t="str">
        <f t="shared" si="4"/>
        <v/>
      </c>
    </row>
    <row r="17415">
      <c r="F17415" s="1" t="str">
        <f t="shared" si="1"/>
        <v/>
      </c>
      <c r="G17415" s="1" t="str">
        <f t="shared" si="2"/>
        <v/>
      </c>
      <c r="J17415" s="1" t="str">
        <f t="shared" si="3"/>
        <v/>
      </c>
      <c r="K17415" s="1" t="str">
        <f t="shared" si="4"/>
        <v/>
      </c>
    </row>
    <row r="17416">
      <c r="F17416" s="1" t="str">
        <f t="shared" si="1"/>
        <v/>
      </c>
      <c r="G17416" s="1" t="str">
        <f t="shared" si="2"/>
        <v/>
      </c>
      <c r="J17416" s="1" t="str">
        <f t="shared" si="3"/>
        <v/>
      </c>
      <c r="K17416" s="1" t="str">
        <f t="shared" si="4"/>
        <v/>
      </c>
    </row>
    <row r="17417">
      <c r="F17417" s="1" t="str">
        <f t="shared" si="1"/>
        <v/>
      </c>
      <c r="G17417" s="1" t="str">
        <f t="shared" si="2"/>
        <v/>
      </c>
      <c r="J17417" s="1" t="str">
        <f t="shared" si="3"/>
        <v/>
      </c>
      <c r="K17417" s="1" t="str">
        <f t="shared" si="4"/>
        <v/>
      </c>
    </row>
    <row r="17418">
      <c r="F17418" s="1" t="str">
        <f t="shared" si="1"/>
        <v/>
      </c>
      <c r="G17418" s="1" t="str">
        <f t="shared" si="2"/>
        <v/>
      </c>
      <c r="J17418" s="1" t="str">
        <f t="shared" si="3"/>
        <v/>
      </c>
      <c r="K17418" s="1" t="str">
        <f t="shared" si="4"/>
        <v/>
      </c>
    </row>
    <row r="17419">
      <c r="F17419" s="1" t="str">
        <f t="shared" si="1"/>
        <v/>
      </c>
      <c r="G17419" s="1" t="str">
        <f t="shared" si="2"/>
        <v/>
      </c>
      <c r="J17419" s="1" t="str">
        <f t="shared" si="3"/>
        <v/>
      </c>
      <c r="K17419" s="1" t="str">
        <f t="shared" si="4"/>
        <v/>
      </c>
    </row>
    <row r="17420">
      <c r="F17420" s="1" t="str">
        <f t="shared" si="1"/>
        <v/>
      </c>
      <c r="G17420" s="1" t="str">
        <f t="shared" si="2"/>
        <v/>
      </c>
      <c r="J17420" s="1" t="str">
        <f t="shared" si="3"/>
        <v/>
      </c>
      <c r="K17420" s="1" t="str">
        <f t="shared" si="4"/>
        <v/>
      </c>
    </row>
    <row r="17421">
      <c r="F17421" s="1" t="str">
        <f t="shared" si="1"/>
        <v/>
      </c>
      <c r="G17421" s="1" t="str">
        <f t="shared" si="2"/>
        <v/>
      </c>
      <c r="J17421" s="1" t="str">
        <f t="shared" si="3"/>
        <v/>
      </c>
      <c r="K17421" s="1" t="str">
        <f t="shared" si="4"/>
        <v/>
      </c>
    </row>
    <row r="17422">
      <c r="F17422" s="1" t="str">
        <f t="shared" si="1"/>
        <v/>
      </c>
      <c r="G17422" s="1" t="str">
        <f t="shared" si="2"/>
        <v/>
      </c>
      <c r="J17422" s="1" t="str">
        <f t="shared" si="3"/>
        <v/>
      </c>
      <c r="K17422" s="1" t="str">
        <f t="shared" si="4"/>
        <v/>
      </c>
    </row>
    <row r="17423">
      <c r="F17423" s="1" t="str">
        <f t="shared" si="1"/>
        <v/>
      </c>
      <c r="G17423" s="1" t="str">
        <f t="shared" si="2"/>
        <v/>
      </c>
      <c r="J17423" s="1" t="str">
        <f t="shared" si="3"/>
        <v/>
      </c>
      <c r="K17423" s="1" t="str">
        <f t="shared" si="4"/>
        <v/>
      </c>
    </row>
    <row r="17424">
      <c r="F17424" s="1" t="str">
        <f t="shared" si="1"/>
        <v/>
      </c>
      <c r="G17424" s="1" t="str">
        <f t="shared" si="2"/>
        <v/>
      </c>
      <c r="J17424" s="1" t="str">
        <f t="shared" si="3"/>
        <v/>
      </c>
      <c r="K17424" s="1" t="str">
        <f t="shared" si="4"/>
        <v/>
      </c>
    </row>
    <row r="17425">
      <c r="F17425" s="1" t="str">
        <f t="shared" si="1"/>
        <v/>
      </c>
      <c r="G17425" s="1" t="str">
        <f t="shared" si="2"/>
        <v/>
      </c>
      <c r="J17425" s="1" t="str">
        <f t="shared" si="3"/>
        <v/>
      </c>
      <c r="K17425" s="1" t="str">
        <f t="shared" si="4"/>
        <v/>
      </c>
    </row>
    <row r="17426">
      <c r="F17426" s="1" t="str">
        <f t="shared" si="1"/>
        <v/>
      </c>
      <c r="G17426" s="1" t="str">
        <f t="shared" si="2"/>
        <v/>
      </c>
      <c r="J17426" s="1" t="str">
        <f t="shared" si="3"/>
        <v/>
      </c>
      <c r="K17426" s="1" t="str">
        <f t="shared" si="4"/>
        <v/>
      </c>
    </row>
    <row r="17427">
      <c r="F17427" s="1" t="str">
        <f t="shared" si="1"/>
        <v/>
      </c>
      <c r="G17427" s="1" t="str">
        <f t="shared" si="2"/>
        <v/>
      </c>
      <c r="J17427" s="1" t="str">
        <f t="shared" si="3"/>
        <v/>
      </c>
      <c r="K17427" s="1" t="str">
        <f t="shared" si="4"/>
        <v/>
      </c>
    </row>
    <row r="17428">
      <c r="F17428" s="1" t="str">
        <f t="shared" si="1"/>
        <v/>
      </c>
      <c r="G17428" s="1" t="str">
        <f t="shared" si="2"/>
        <v/>
      </c>
      <c r="J17428" s="1" t="str">
        <f t="shared" si="3"/>
        <v/>
      </c>
      <c r="K17428" s="1" t="str">
        <f t="shared" si="4"/>
        <v/>
      </c>
    </row>
    <row r="17429">
      <c r="F17429" s="1" t="str">
        <f t="shared" si="1"/>
        <v/>
      </c>
      <c r="G17429" s="1" t="str">
        <f t="shared" si="2"/>
        <v/>
      </c>
      <c r="J17429" s="1" t="str">
        <f t="shared" si="3"/>
        <v/>
      </c>
      <c r="K17429" s="1" t="str">
        <f t="shared" si="4"/>
        <v/>
      </c>
    </row>
    <row r="17430">
      <c r="F17430" s="1" t="str">
        <f t="shared" si="1"/>
        <v/>
      </c>
      <c r="G17430" s="1" t="str">
        <f t="shared" si="2"/>
        <v/>
      </c>
      <c r="J17430" s="1" t="str">
        <f t="shared" si="3"/>
        <v/>
      </c>
      <c r="K17430" s="1" t="str">
        <f t="shared" si="4"/>
        <v/>
      </c>
    </row>
    <row r="17431">
      <c r="F17431" s="1" t="str">
        <f t="shared" si="1"/>
        <v/>
      </c>
      <c r="G17431" s="1" t="str">
        <f t="shared" si="2"/>
        <v/>
      </c>
      <c r="J17431" s="1" t="str">
        <f t="shared" si="3"/>
        <v/>
      </c>
      <c r="K17431" s="1" t="str">
        <f t="shared" si="4"/>
        <v/>
      </c>
    </row>
    <row r="17432">
      <c r="F17432" s="1" t="str">
        <f t="shared" si="1"/>
        <v/>
      </c>
      <c r="G17432" s="1" t="str">
        <f t="shared" si="2"/>
        <v/>
      </c>
      <c r="J17432" s="1" t="str">
        <f t="shared" si="3"/>
        <v/>
      </c>
      <c r="K17432" s="1" t="str">
        <f t="shared" si="4"/>
        <v/>
      </c>
    </row>
    <row r="17433">
      <c r="F17433" s="1" t="str">
        <f t="shared" si="1"/>
        <v/>
      </c>
      <c r="G17433" s="1" t="str">
        <f t="shared" si="2"/>
        <v/>
      </c>
      <c r="J17433" s="1" t="str">
        <f t="shared" si="3"/>
        <v/>
      </c>
      <c r="K17433" s="1" t="str">
        <f t="shared" si="4"/>
        <v/>
      </c>
    </row>
    <row r="17434">
      <c r="F17434" s="1" t="str">
        <f t="shared" si="1"/>
        <v/>
      </c>
      <c r="G17434" s="1" t="str">
        <f t="shared" si="2"/>
        <v/>
      </c>
      <c r="J17434" s="1" t="str">
        <f t="shared" si="3"/>
        <v/>
      </c>
      <c r="K17434" s="1" t="str">
        <f t="shared" si="4"/>
        <v/>
      </c>
    </row>
    <row r="17435">
      <c r="F17435" s="1" t="str">
        <f t="shared" si="1"/>
        <v/>
      </c>
      <c r="G17435" s="1" t="str">
        <f t="shared" si="2"/>
        <v/>
      </c>
      <c r="J17435" s="1" t="str">
        <f t="shared" si="3"/>
        <v/>
      </c>
      <c r="K17435" s="1" t="str">
        <f t="shared" si="4"/>
        <v/>
      </c>
    </row>
    <row r="17436">
      <c r="F17436" s="1" t="str">
        <f t="shared" si="1"/>
        <v/>
      </c>
      <c r="G17436" s="1" t="str">
        <f t="shared" si="2"/>
        <v/>
      </c>
      <c r="J17436" s="1" t="str">
        <f t="shared" si="3"/>
        <v/>
      </c>
      <c r="K17436" s="1" t="str">
        <f t="shared" si="4"/>
        <v/>
      </c>
    </row>
    <row r="17437">
      <c r="F17437" s="1" t="str">
        <f t="shared" si="1"/>
        <v/>
      </c>
      <c r="G17437" s="1" t="str">
        <f t="shared" si="2"/>
        <v/>
      </c>
      <c r="J17437" s="1" t="str">
        <f t="shared" si="3"/>
        <v/>
      </c>
      <c r="K17437" s="1" t="str">
        <f t="shared" si="4"/>
        <v/>
      </c>
    </row>
    <row r="17438">
      <c r="F17438" s="1" t="str">
        <f t="shared" si="1"/>
        <v/>
      </c>
      <c r="G17438" s="1" t="str">
        <f t="shared" si="2"/>
        <v/>
      </c>
      <c r="J17438" s="1" t="str">
        <f t="shared" si="3"/>
        <v/>
      </c>
      <c r="K17438" s="1" t="str">
        <f t="shared" si="4"/>
        <v/>
      </c>
    </row>
    <row r="17439">
      <c r="F17439" s="1" t="str">
        <f t="shared" si="1"/>
        <v/>
      </c>
      <c r="G17439" s="1" t="str">
        <f t="shared" si="2"/>
        <v/>
      </c>
      <c r="J17439" s="1" t="str">
        <f t="shared" si="3"/>
        <v/>
      </c>
      <c r="K17439" s="1" t="str">
        <f t="shared" si="4"/>
        <v/>
      </c>
    </row>
    <row r="17440">
      <c r="F17440" s="1" t="str">
        <f t="shared" si="1"/>
        <v/>
      </c>
      <c r="G17440" s="1" t="str">
        <f t="shared" si="2"/>
        <v/>
      </c>
      <c r="J17440" s="1" t="str">
        <f t="shared" si="3"/>
        <v/>
      </c>
      <c r="K17440" s="1" t="str">
        <f t="shared" si="4"/>
        <v/>
      </c>
    </row>
    <row r="17441">
      <c r="F17441" s="1" t="str">
        <f t="shared" si="1"/>
        <v/>
      </c>
      <c r="G17441" s="1" t="str">
        <f t="shared" si="2"/>
        <v/>
      </c>
      <c r="J17441" s="1" t="str">
        <f t="shared" si="3"/>
        <v/>
      </c>
      <c r="K17441" s="1" t="str">
        <f t="shared" si="4"/>
        <v/>
      </c>
    </row>
    <row r="17442">
      <c r="F17442" s="1" t="str">
        <f t="shared" si="1"/>
        <v/>
      </c>
      <c r="G17442" s="1" t="str">
        <f t="shared" si="2"/>
        <v/>
      </c>
      <c r="J17442" s="1" t="str">
        <f t="shared" si="3"/>
        <v/>
      </c>
      <c r="K17442" s="1" t="str">
        <f t="shared" si="4"/>
        <v/>
      </c>
    </row>
    <row r="17443">
      <c r="F17443" s="1" t="str">
        <f t="shared" si="1"/>
        <v/>
      </c>
      <c r="G17443" s="1" t="str">
        <f t="shared" si="2"/>
        <v/>
      </c>
      <c r="J17443" s="1" t="str">
        <f t="shared" si="3"/>
        <v/>
      </c>
      <c r="K17443" s="1" t="str">
        <f t="shared" si="4"/>
        <v/>
      </c>
    </row>
    <row r="17444">
      <c r="F17444" s="1" t="str">
        <f t="shared" si="1"/>
        <v/>
      </c>
      <c r="G17444" s="1" t="str">
        <f t="shared" si="2"/>
        <v/>
      </c>
      <c r="J17444" s="1" t="str">
        <f t="shared" si="3"/>
        <v/>
      </c>
      <c r="K17444" s="1" t="str">
        <f t="shared" si="4"/>
        <v/>
      </c>
    </row>
    <row r="17445">
      <c r="F17445" s="1" t="str">
        <f t="shared" si="1"/>
        <v/>
      </c>
      <c r="G17445" s="1" t="str">
        <f t="shared" si="2"/>
        <v/>
      </c>
      <c r="J17445" s="1" t="str">
        <f t="shared" si="3"/>
        <v/>
      </c>
      <c r="K17445" s="1" t="str">
        <f t="shared" si="4"/>
        <v/>
      </c>
    </row>
    <row r="17446">
      <c r="F17446" s="1" t="str">
        <f t="shared" si="1"/>
        <v/>
      </c>
      <c r="G17446" s="1" t="str">
        <f t="shared" si="2"/>
        <v/>
      </c>
      <c r="J17446" s="1" t="str">
        <f t="shared" si="3"/>
        <v/>
      </c>
      <c r="K17446" s="1" t="str">
        <f t="shared" si="4"/>
        <v/>
      </c>
    </row>
    <row r="17447">
      <c r="F17447" s="1" t="str">
        <f t="shared" si="1"/>
        <v/>
      </c>
      <c r="G17447" s="1" t="str">
        <f t="shared" si="2"/>
        <v/>
      </c>
      <c r="J17447" s="1" t="str">
        <f t="shared" si="3"/>
        <v/>
      </c>
      <c r="K17447" s="1" t="str">
        <f t="shared" si="4"/>
        <v/>
      </c>
    </row>
    <row r="17448">
      <c r="F17448" s="1" t="str">
        <f t="shared" si="1"/>
        <v/>
      </c>
      <c r="G17448" s="1" t="str">
        <f t="shared" si="2"/>
        <v/>
      </c>
      <c r="J17448" s="1" t="str">
        <f t="shared" si="3"/>
        <v/>
      </c>
      <c r="K17448" s="1" t="str">
        <f t="shared" si="4"/>
        <v/>
      </c>
    </row>
    <row r="17449">
      <c r="F17449" s="1" t="str">
        <f t="shared" si="1"/>
        <v/>
      </c>
      <c r="G17449" s="1" t="str">
        <f t="shared" si="2"/>
        <v/>
      </c>
      <c r="J17449" s="1" t="str">
        <f t="shared" si="3"/>
        <v/>
      </c>
      <c r="K17449" s="1" t="str">
        <f t="shared" si="4"/>
        <v/>
      </c>
    </row>
    <row r="17450">
      <c r="F17450" s="1" t="str">
        <f t="shared" si="1"/>
        <v/>
      </c>
      <c r="G17450" s="1" t="str">
        <f t="shared" si="2"/>
        <v/>
      </c>
      <c r="J17450" s="1" t="str">
        <f t="shared" si="3"/>
        <v/>
      </c>
      <c r="K17450" s="1" t="str">
        <f t="shared" si="4"/>
        <v/>
      </c>
    </row>
    <row r="17451">
      <c r="F17451" s="1" t="str">
        <f t="shared" si="1"/>
        <v/>
      </c>
      <c r="G17451" s="1" t="str">
        <f t="shared" si="2"/>
        <v/>
      </c>
      <c r="J17451" s="1" t="str">
        <f t="shared" si="3"/>
        <v/>
      </c>
      <c r="K17451" s="1" t="str">
        <f t="shared" si="4"/>
        <v/>
      </c>
    </row>
    <row r="17452">
      <c r="F17452" s="1" t="str">
        <f t="shared" si="1"/>
        <v/>
      </c>
      <c r="G17452" s="1" t="str">
        <f t="shared" si="2"/>
        <v/>
      </c>
      <c r="J17452" s="1" t="str">
        <f t="shared" si="3"/>
        <v/>
      </c>
      <c r="K17452" s="1" t="str">
        <f t="shared" si="4"/>
        <v/>
      </c>
    </row>
    <row r="17453">
      <c r="F17453" s="1" t="str">
        <f t="shared" si="1"/>
        <v/>
      </c>
      <c r="G17453" s="1" t="str">
        <f t="shared" si="2"/>
        <v/>
      </c>
      <c r="J17453" s="1" t="str">
        <f t="shared" si="3"/>
        <v/>
      </c>
      <c r="K17453" s="1" t="str">
        <f t="shared" si="4"/>
        <v/>
      </c>
    </row>
    <row r="17454">
      <c r="F17454" s="1" t="str">
        <f t="shared" si="1"/>
        <v/>
      </c>
      <c r="G17454" s="1" t="str">
        <f t="shared" si="2"/>
        <v/>
      </c>
      <c r="J17454" s="1" t="str">
        <f t="shared" si="3"/>
        <v/>
      </c>
      <c r="K17454" s="1" t="str">
        <f t="shared" si="4"/>
        <v/>
      </c>
    </row>
    <row r="17455">
      <c r="F17455" s="1" t="str">
        <f t="shared" si="1"/>
        <v/>
      </c>
      <c r="G17455" s="1" t="str">
        <f t="shared" si="2"/>
        <v/>
      </c>
      <c r="J17455" s="1" t="str">
        <f t="shared" si="3"/>
        <v/>
      </c>
      <c r="K17455" s="1" t="str">
        <f t="shared" si="4"/>
        <v/>
      </c>
    </row>
    <row r="17456">
      <c r="F17456" s="1" t="str">
        <f t="shared" si="1"/>
        <v/>
      </c>
      <c r="G17456" s="1" t="str">
        <f t="shared" si="2"/>
        <v/>
      </c>
      <c r="J17456" s="1" t="str">
        <f t="shared" si="3"/>
        <v/>
      </c>
      <c r="K17456" s="1" t="str">
        <f t="shared" si="4"/>
        <v/>
      </c>
    </row>
    <row r="17457">
      <c r="F17457" s="1" t="str">
        <f t="shared" si="1"/>
        <v/>
      </c>
      <c r="G17457" s="1" t="str">
        <f t="shared" si="2"/>
        <v/>
      </c>
      <c r="J17457" s="1" t="str">
        <f t="shared" si="3"/>
        <v/>
      </c>
      <c r="K17457" s="1" t="str">
        <f t="shared" si="4"/>
        <v/>
      </c>
    </row>
    <row r="17458">
      <c r="F17458" s="1" t="str">
        <f t="shared" si="1"/>
        <v/>
      </c>
      <c r="G17458" s="1" t="str">
        <f t="shared" si="2"/>
        <v/>
      </c>
      <c r="J17458" s="1" t="str">
        <f t="shared" si="3"/>
        <v/>
      </c>
      <c r="K17458" s="1" t="str">
        <f t="shared" si="4"/>
        <v/>
      </c>
    </row>
    <row r="17459">
      <c r="F17459" s="1" t="str">
        <f t="shared" si="1"/>
        <v/>
      </c>
      <c r="G17459" s="1" t="str">
        <f t="shared" si="2"/>
        <v/>
      </c>
      <c r="J17459" s="1" t="str">
        <f t="shared" si="3"/>
        <v/>
      </c>
      <c r="K17459" s="1" t="str">
        <f t="shared" si="4"/>
        <v/>
      </c>
    </row>
    <row r="17460">
      <c r="F17460" s="1" t="str">
        <f t="shared" si="1"/>
        <v/>
      </c>
      <c r="G17460" s="1" t="str">
        <f t="shared" si="2"/>
        <v/>
      </c>
      <c r="J17460" s="1" t="str">
        <f t="shared" si="3"/>
        <v/>
      </c>
      <c r="K17460" s="1" t="str">
        <f t="shared" si="4"/>
        <v/>
      </c>
    </row>
    <row r="17461">
      <c r="F17461" s="1" t="str">
        <f t="shared" si="1"/>
        <v/>
      </c>
      <c r="G17461" s="1" t="str">
        <f t="shared" si="2"/>
        <v/>
      </c>
      <c r="J17461" s="1" t="str">
        <f t="shared" si="3"/>
        <v/>
      </c>
      <c r="K17461" s="1" t="str">
        <f t="shared" si="4"/>
        <v/>
      </c>
    </row>
    <row r="17462">
      <c r="F17462" s="1" t="str">
        <f t="shared" si="1"/>
        <v/>
      </c>
      <c r="G17462" s="1" t="str">
        <f t="shared" si="2"/>
        <v/>
      </c>
      <c r="J17462" s="1" t="str">
        <f t="shared" si="3"/>
        <v/>
      </c>
      <c r="K17462" s="1" t="str">
        <f t="shared" si="4"/>
        <v/>
      </c>
    </row>
    <row r="17463">
      <c r="F17463" s="1" t="str">
        <f t="shared" si="1"/>
        <v/>
      </c>
      <c r="G17463" s="1" t="str">
        <f t="shared" si="2"/>
        <v/>
      </c>
      <c r="J17463" s="1" t="str">
        <f t="shared" si="3"/>
        <v/>
      </c>
      <c r="K17463" s="1" t="str">
        <f t="shared" si="4"/>
        <v/>
      </c>
    </row>
    <row r="17464">
      <c r="F17464" s="1" t="str">
        <f t="shared" si="1"/>
        <v/>
      </c>
      <c r="G17464" s="1" t="str">
        <f t="shared" si="2"/>
        <v/>
      </c>
      <c r="J17464" s="1" t="str">
        <f t="shared" si="3"/>
        <v/>
      </c>
      <c r="K17464" s="1" t="str">
        <f t="shared" si="4"/>
        <v/>
      </c>
    </row>
    <row r="17465">
      <c r="F17465" s="1" t="str">
        <f t="shared" si="1"/>
        <v/>
      </c>
      <c r="G17465" s="1" t="str">
        <f t="shared" si="2"/>
        <v/>
      </c>
      <c r="J17465" s="1" t="str">
        <f t="shared" si="3"/>
        <v/>
      </c>
      <c r="K17465" s="1" t="str">
        <f t="shared" si="4"/>
        <v/>
      </c>
    </row>
    <row r="17466">
      <c r="F17466" s="1" t="str">
        <f t="shared" si="1"/>
        <v/>
      </c>
      <c r="G17466" s="1" t="str">
        <f t="shared" si="2"/>
        <v/>
      </c>
      <c r="J17466" s="1" t="str">
        <f t="shared" si="3"/>
        <v/>
      </c>
      <c r="K17466" s="1" t="str">
        <f t="shared" si="4"/>
        <v/>
      </c>
    </row>
    <row r="17467">
      <c r="F17467" s="1" t="str">
        <f t="shared" si="1"/>
        <v/>
      </c>
      <c r="G17467" s="1" t="str">
        <f t="shared" si="2"/>
        <v/>
      </c>
      <c r="J17467" s="1" t="str">
        <f t="shared" si="3"/>
        <v/>
      </c>
      <c r="K17467" s="1" t="str">
        <f t="shared" si="4"/>
        <v/>
      </c>
    </row>
    <row r="17468">
      <c r="F17468" s="1" t="str">
        <f t="shared" si="1"/>
        <v/>
      </c>
      <c r="G17468" s="1" t="str">
        <f t="shared" si="2"/>
        <v/>
      </c>
      <c r="J17468" s="1" t="str">
        <f t="shared" si="3"/>
        <v/>
      </c>
      <c r="K17468" s="1" t="str">
        <f t="shared" si="4"/>
        <v/>
      </c>
    </row>
    <row r="17469">
      <c r="F17469" s="1" t="str">
        <f t="shared" si="1"/>
        <v/>
      </c>
      <c r="G17469" s="1" t="str">
        <f t="shared" si="2"/>
        <v/>
      </c>
      <c r="J17469" s="1" t="str">
        <f t="shared" si="3"/>
        <v/>
      </c>
      <c r="K17469" s="1" t="str">
        <f t="shared" si="4"/>
        <v/>
      </c>
    </row>
    <row r="17470">
      <c r="F17470" s="1" t="str">
        <f t="shared" si="1"/>
        <v/>
      </c>
      <c r="G17470" s="1" t="str">
        <f t="shared" si="2"/>
        <v/>
      </c>
      <c r="J17470" s="1" t="str">
        <f t="shared" si="3"/>
        <v/>
      </c>
      <c r="K17470" s="1" t="str">
        <f t="shared" si="4"/>
        <v/>
      </c>
    </row>
    <row r="17471">
      <c r="F17471" s="1" t="str">
        <f t="shared" si="1"/>
        <v/>
      </c>
      <c r="G17471" s="1" t="str">
        <f t="shared" si="2"/>
        <v/>
      </c>
      <c r="J17471" s="1" t="str">
        <f t="shared" si="3"/>
        <v/>
      </c>
      <c r="K17471" s="1" t="str">
        <f t="shared" si="4"/>
        <v/>
      </c>
    </row>
    <row r="17472">
      <c r="F17472" s="1" t="str">
        <f t="shared" si="1"/>
        <v/>
      </c>
      <c r="G17472" s="1" t="str">
        <f t="shared" si="2"/>
        <v/>
      </c>
      <c r="J17472" s="1" t="str">
        <f t="shared" si="3"/>
        <v/>
      </c>
      <c r="K17472" s="1" t="str">
        <f t="shared" si="4"/>
        <v/>
      </c>
    </row>
    <row r="17473">
      <c r="F17473" s="1" t="str">
        <f t="shared" si="1"/>
        <v/>
      </c>
      <c r="G17473" s="1" t="str">
        <f t="shared" si="2"/>
        <v/>
      </c>
      <c r="J17473" s="1" t="str">
        <f t="shared" si="3"/>
        <v/>
      </c>
      <c r="K17473" s="1" t="str">
        <f t="shared" si="4"/>
        <v/>
      </c>
    </row>
    <row r="17474">
      <c r="F17474" s="1" t="str">
        <f t="shared" si="1"/>
        <v/>
      </c>
      <c r="G17474" s="1" t="str">
        <f t="shared" si="2"/>
        <v/>
      </c>
      <c r="J17474" s="1" t="str">
        <f t="shared" si="3"/>
        <v/>
      </c>
      <c r="K17474" s="1" t="str">
        <f t="shared" si="4"/>
        <v/>
      </c>
    </row>
    <row r="17475">
      <c r="F17475" s="1" t="str">
        <f t="shared" si="1"/>
        <v/>
      </c>
      <c r="G17475" s="1" t="str">
        <f t="shared" si="2"/>
        <v/>
      </c>
      <c r="J17475" s="1" t="str">
        <f t="shared" si="3"/>
        <v/>
      </c>
      <c r="K17475" s="1" t="str">
        <f t="shared" si="4"/>
        <v/>
      </c>
    </row>
    <row r="17476">
      <c r="F17476" s="1" t="str">
        <f t="shared" si="1"/>
        <v/>
      </c>
      <c r="G17476" s="1" t="str">
        <f t="shared" si="2"/>
        <v/>
      </c>
      <c r="J17476" s="1" t="str">
        <f t="shared" si="3"/>
        <v/>
      </c>
      <c r="K17476" s="1" t="str">
        <f t="shared" si="4"/>
        <v/>
      </c>
    </row>
    <row r="17477">
      <c r="F17477" s="1" t="str">
        <f t="shared" si="1"/>
        <v/>
      </c>
      <c r="G17477" s="1" t="str">
        <f t="shared" si="2"/>
        <v/>
      </c>
      <c r="J17477" s="1" t="str">
        <f t="shared" si="3"/>
        <v/>
      </c>
      <c r="K17477" s="1" t="str">
        <f t="shared" si="4"/>
        <v/>
      </c>
    </row>
    <row r="17478">
      <c r="F17478" s="1" t="str">
        <f t="shared" si="1"/>
        <v/>
      </c>
      <c r="G17478" s="1" t="str">
        <f t="shared" si="2"/>
        <v/>
      </c>
      <c r="J17478" s="1" t="str">
        <f t="shared" si="3"/>
        <v/>
      </c>
      <c r="K17478" s="1" t="str">
        <f t="shared" si="4"/>
        <v/>
      </c>
    </row>
    <row r="17479">
      <c r="F17479" s="1" t="str">
        <f t="shared" si="1"/>
        <v/>
      </c>
      <c r="G17479" s="1" t="str">
        <f t="shared" si="2"/>
        <v/>
      </c>
      <c r="J17479" s="1" t="str">
        <f t="shared" si="3"/>
        <v/>
      </c>
      <c r="K17479" s="1" t="str">
        <f t="shared" si="4"/>
        <v/>
      </c>
    </row>
    <row r="17480">
      <c r="F17480" s="1" t="str">
        <f t="shared" si="1"/>
        <v/>
      </c>
      <c r="G17480" s="1" t="str">
        <f t="shared" si="2"/>
        <v/>
      </c>
      <c r="J17480" s="1" t="str">
        <f t="shared" si="3"/>
        <v/>
      </c>
      <c r="K17480" s="1" t="str">
        <f t="shared" si="4"/>
        <v/>
      </c>
    </row>
    <row r="17481">
      <c r="F17481" s="1" t="str">
        <f t="shared" si="1"/>
        <v/>
      </c>
      <c r="G17481" s="1" t="str">
        <f t="shared" si="2"/>
        <v/>
      </c>
      <c r="J17481" s="1" t="str">
        <f t="shared" si="3"/>
        <v/>
      </c>
      <c r="K17481" s="1" t="str">
        <f t="shared" si="4"/>
        <v/>
      </c>
    </row>
    <row r="17482">
      <c r="F17482" s="1" t="str">
        <f t="shared" si="1"/>
        <v/>
      </c>
      <c r="G17482" s="1" t="str">
        <f t="shared" si="2"/>
        <v/>
      </c>
      <c r="J17482" s="1" t="str">
        <f t="shared" si="3"/>
        <v/>
      </c>
      <c r="K17482" s="1" t="str">
        <f t="shared" si="4"/>
        <v/>
      </c>
    </row>
    <row r="17483">
      <c r="F17483" s="1" t="str">
        <f t="shared" si="1"/>
        <v/>
      </c>
      <c r="G17483" s="1" t="str">
        <f t="shared" si="2"/>
        <v/>
      </c>
      <c r="J17483" s="1" t="str">
        <f t="shared" si="3"/>
        <v/>
      </c>
      <c r="K17483" s="1" t="str">
        <f t="shared" si="4"/>
        <v/>
      </c>
    </row>
    <row r="17484">
      <c r="F17484" s="1" t="str">
        <f t="shared" si="1"/>
        <v/>
      </c>
      <c r="G17484" s="1" t="str">
        <f t="shared" si="2"/>
        <v/>
      </c>
      <c r="J17484" s="1" t="str">
        <f t="shared" si="3"/>
        <v/>
      </c>
      <c r="K17484" s="1" t="str">
        <f t="shared" si="4"/>
        <v/>
      </c>
    </row>
    <row r="17485">
      <c r="F17485" s="1" t="str">
        <f t="shared" si="1"/>
        <v/>
      </c>
      <c r="G17485" s="1" t="str">
        <f t="shared" si="2"/>
        <v/>
      </c>
      <c r="J17485" s="1" t="str">
        <f t="shared" si="3"/>
        <v/>
      </c>
      <c r="K17485" s="1" t="str">
        <f t="shared" si="4"/>
        <v/>
      </c>
    </row>
    <row r="17486">
      <c r="F17486" s="1" t="str">
        <f t="shared" si="1"/>
        <v/>
      </c>
      <c r="G17486" s="1" t="str">
        <f t="shared" si="2"/>
        <v/>
      </c>
      <c r="J17486" s="1" t="str">
        <f t="shared" si="3"/>
        <v/>
      </c>
      <c r="K17486" s="1" t="str">
        <f t="shared" si="4"/>
        <v/>
      </c>
    </row>
    <row r="17487">
      <c r="F17487" s="1" t="str">
        <f t="shared" si="1"/>
        <v/>
      </c>
      <c r="G17487" s="1" t="str">
        <f t="shared" si="2"/>
        <v/>
      </c>
      <c r="J17487" s="1" t="str">
        <f t="shared" si="3"/>
        <v/>
      </c>
      <c r="K17487" s="1" t="str">
        <f t="shared" si="4"/>
        <v/>
      </c>
    </row>
    <row r="17488">
      <c r="F17488" s="1" t="str">
        <f t="shared" si="1"/>
        <v/>
      </c>
      <c r="G17488" s="1" t="str">
        <f t="shared" si="2"/>
        <v/>
      </c>
      <c r="J17488" s="1" t="str">
        <f t="shared" si="3"/>
        <v/>
      </c>
      <c r="K17488" s="1" t="str">
        <f t="shared" si="4"/>
        <v/>
      </c>
    </row>
    <row r="17489">
      <c r="F17489" s="1" t="str">
        <f t="shared" si="1"/>
        <v/>
      </c>
      <c r="G17489" s="1" t="str">
        <f t="shared" si="2"/>
        <v/>
      </c>
      <c r="J17489" s="1" t="str">
        <f t="shared" si="3"/>
        <v/>
      </c>
      <c r="K17489" s="1" t="str">
        <f t="shared" si="4"/>
        <v/>
      </c>
    </row>
    <row r="17490">
      <c r="F17490" s="1" t="str">
        <f t="shared" si="1"/>
        <v/>
      </c>
      <c r="G17490" s="1" t="str">
        <f t="shared" si="2"/>
        <v/>
      </c>
      <c r="J17490" s="1" t="str">
        <f t="shared" si="3"/>
        <v/>
      </c>
      <c r="K17490" s="1" t="str">
        <f t="shared" si="4"/>
        <v/>
      </c>
    </row>
    <row r="17491">
      <c r="F17491" s="1" t="str">
        <f t="shared" si="1"/>
        <v/>
      </c>
      <c r="G17491" s="1" t="str">
        <f t="shared" si="2"/>
        <v/>
      </c>
      <c r="J17491" s="1" t="str">
        <f t="shared" si="3"/>
        <v/>
      </c>
      <c r="K17491" s="1" t="str">
        <f t="shared" si="4"/>
        <v/>
      </c>
    </row>
    <row r="17492">
      <c r="F17492" s="1" t="str">
        <f t="shared" si="1"/>
        <v/>
      </c>
      <c r="G17492" s="1" t="str">
        <f t="shared" si="2"/>
        <v/>
      </c>
      <c r="J17492" s="1" t="str">
        <f t="shared" si="3"/>
        <v/>
      </c>
      <c r="K17492" s="1" t="str">
        <f t="shared" si="4"/>
        <v/>
      </c>
    </row>
    <row r="17493">
      <c r="F17493" s="1" t="str">
        <f t="shared" si="1"/>
        <v/>
      </c>
      <c r="G17493" s="1" t="str">
        <f t="shared" si="2"/>
        <v/>
      </c>
      <c r="J17493" s="1" t="str">
        <f t="shared" si="3"/>
        <v/>
      </c>
      <c r="K17493" s="1" t="str">
        <f t="shared" si="4"/>
        <v/>
      </c>
    </row>
    <row r="17494">
      <c r="F17494" s="1" t="str">
        <f t="shared" si="1"/>
        <v/>
      </c>
      <c r="G17494" s="1" t="str">
        <f t="shared" si="2"/>
        <v/>
      </c>
      <c r="J17494" s="1" t="str">
        <f t="shared" si="3"/>
        <v/>
      </c>
      <c r="K17494" s="1" t="str">
        <f t="shared" si="4"/>
        <v/>
      </c>
    </row>
    <row r="17495">
      <c r="F17495" s="1" t="str">
        <f t="shared" si="1"/>
        <v/>
      </c>
      <c r="G17495" s="1" t="str">
        <f t="shared" si="2"/>
        <v/>
      </c>
      <c r="J17495" s="1" t="str">
        <f t="shared" si="3"/>
        <v/>
      </c>
      <c r="K17495" s="1" t="str">
        <f t="shared" si="4"/>
        <v/>
      </c>
    </row>
    <row r="17496">
      <c r="F17496" s="1" t="str">
        <f t="shared" si="1"/>
        <v/>
      </c>
      <c r="G17496" s="1" t="str">
        <f t="shared" si="2"/>
        <v/>
      </c>
      <c r="J17496" s="1" t="str">
        <f t="shared" si="3"/>
        <v/>
      </c>
      <c r="K17496" s="1" t="str">
        <f t="shared" si="4"/>
        <v/>
      </c>
    </row>
    <row r="17497">
      <c r="F17497" s="1" t="str">
        <f t="shared" si="1"/>
        <v/>
      </c>
      <c r="G17497" s="1" t="str">
        <f t="shared" si="2"/>
        <v/>
      </c>
      <c r="J17497" s="1" t="str">
        <f t="shared" si="3"/>
        <v/>
      </c>
      <c r="K17497" s="1" t="str">
        <f t="shared" si="4"/>
        <v/>
      </c>
    </row>
    <row r="17498">
      <c r="F17498" s="1" t="str">
        <f t="shared" si="1"/>
        <v/>
      </c>
      <c r="G17498" s="1" t="str">
        <f t="shared" si="2"/>
        <v/>
      </c>
      <c r="J17498" s="1" t="str">
        <f t="shared" si="3"/>
        <v/>
      </c>
      <c r="K17498" s="1" t="str">
        <f t="shared" si="4"/>
        <v/>
      </c>
    </row>
    <row r="17499">
      <c r="F17499" s="1" t="str">
        <f t="shared" si="1"/>
        <v/>
      </c>
      <c r="G17499" s="1" t="str">
        <f t="shared" si="2"/>
        <v/>
      </c>
      <c r="J17499" s="1" t="str">
        <f t="shared" si="3"/>
        <v/>
      </c>
      <c r="K17499" s="1" t="str">
        <f t="shared" si="4"/>
        <v/>
      </c>
    </row>
    <row r="17500">
      <c r="F17500" s="1" t="str">
        <f t="shared" si="1"/>
        <v/>
      </c>
      <c r="G17500" s="1" t="str">
        <f t="shared" si="2"/>
        <v/>
      </c>
      <c r="J17500" s="1" t="str">
        <f t="shared" si="3"/>
        <v/>
      </c>
      <c r="K17500" s="1" t="str">
        <f t="shared" si="4"/>
        <v/>
      </c>
    </row>
    <row r="17501">
      <c r="F17501" s="1" t="str">
        <f t="shared" si="1"/>
        <v/>
      </c>
      <c r="G17501" s="1" t="str">
        <f t="shared" si="2"/>
        <v/>
      </c>
      <c r="J17501" s="1" t="str">
        <f t="shared" si="3"/>
        <v/>
      </c>
      <c r="K17501" s="1" t="str">
        <f t="shared" si="4"/>
        <v/>
      </c>
    </row>
    <row r="17502">
      <c r="F17502" s="1" t="str">
        <f t="shared" si="1"/>
        <v/>
      </c>
      <c r="G17502" s="1" t="str">
        <f t="shared" si="2"/>
        <v/>
      </c>
      <c r="J17502" s="1" t="str">
        <f t="shared" si="3"/>
        <v/>
      </c>
      <c r="K17502" s="1" t="str">
        <f t="shared" si="4"/>
        <v/>
      </c>
    </row>
    <row r="17503">
      <c r="F17503" s="1" t="str">
        <f t="shared" si="1"/>
        <v/>
      </c>
      <c r="G17503" s="1" t="str">
        <f t="shared" si="2"/>
        <v/>
      </c>
      <c r="J17503" s="1" t="str">
        <f t="shared" si="3"/>
        <v/>
      </c>
      <c r="K17503" s="1" t="str">
        <f t="shared" si="4"/>
        <v/>
      </c>
    </row>
    <row r="17504">
      <c r="F17504" s="1" t="str">
        <f t="shared" si="1"/>
        <v/>
      </c>
      <c r="G17504" s="1" t="str">
        <f t="shared" si="2"/>
        <v/>
      </c>
      <c r="J17504" s="1" t="str">
        <f t="shared" si="3"/>
        <v/>
      </c>
      <c r="K17504" s="1" t="str">
        <f t="shared" si="4"/>
        <v/>
      </c>
    </row>
    <row r="17505">
      <c r="F17505" s="1" t="str">
        <f t="shared" si="1"/>
        <v/>
      </c>
      <c r="G17505" s="1" t="str">
        <f t="shared" si="2"/>
        <v/>
      </c>
      <c r="J17505" s="1" t="str">
        <f t="shared" si="3"/>
        <v/>
      </c>
      <c r="K17505" s="1" t="str">
        <f t="shared" si="4"/>
        <v/>
      </c>
    </row>
    <row r="17506">
      <c r="F17506" s="1" t="str">
        <f t="shared" si="1"/>
        <v/>
      </c>
      <c r="G17506" s="1" t="str">
        <f t="shared" si="2"/>
        <v/>
      </c>
      <c r="J17506" s="1" t="str">
        <f t="shared" si="3"/>
        <v/>
      </c>
      <c r="K17506" s="1" t="str">
        <f t="shared" si="4"/>
        <v/>
      </c>
    </row>
    <row r="17507">
      <c r="F17507" s="1" t="str">
        <f t="shared" si="1"/>
        <v/>
      </c>
      <c r="G17507" s="1" t="str">
        <f t="shared" si="2"/>
        <v/>
      </c>
      <c r="J17507" s="1" t="str">
        <f t="shared" si="3"/>
        <v/>
      </c>
      <c r="K17507" s="1" t="str">
        <f t="shared" si="4"/>
        <v/>
      </c>
    </row>
    <row r="17508">
      <c r="F17508" s="1" t="str">
        <f t="shared" si="1"/>
        <v/>
      </c>
      <c r="G17508" s="1" t="str">
        <f t="shared" si="2"/>
        <v/>
      </c>
      <c r="J17508" s="1" t="str">
        <f t="shared" si="3"/>
        <v/>
      </c>
      <c r="K17508" s="1" t="str">
        <f t="shared" si="4"/>
        <v/>
      </c>
    </row>
    <row r="17509">
      <c r="F17509" s="1" t="str">
        <f t="shared" si="1"/>
        <v/>
      </c>
      <c r="G17509" s="1" t="str">
        <f t="shared" si="2"/>
        <v/>
      </c>
      <c r="J17509" s="1" t="str">
        <f t="shared" si="3"/>
        <v/>
      </c>
      <c r="K17509" s="1" t="str">
        <f t="shared" si="4"/>
        <v/>
      </c>
    </row>
    <row r="17510">
      <c r="F17510" s="1" t="str">
        <f t="shared" si="1"/>
        <v/>
      </c>
      <c r="G17510" s="1" t="str">
        <f t="shared" si="2"/>
        <v/>
      </c>
      <c r="J17510" s="1" t="str">
        <f t="shared" si="3"/>
        <v/>
      </c>
      <c r="K17510" s="1" t="str">
        <f t="shared" si="4"/>
        <v/>
      </c>
    </row>
    <row r="17511">
      <c r="F17511" s="1" t="str">
        <f t="shared" si="1"/>
        <v/>
      </c>
      <c r="G17511" s="1" t="str">
        <f t="shared" si="2"/>
        <v/>
      </c>
      <c r="J17511" s="1" t="str">
        <f t="shared" si="3"/>
        <v/>
      </c>
      <c r="K17511" s="1" t="str">
        <f t="shared" si="4"/>
        <v/>
      </c>
    </row>
    <row r="17512">
      <c r="F17512" s="1" t="str">
        <f t="shared" si="1"/>
        <v/>
      </c>
      <c r="G17512" s="1" t="str">
        <f t="shared" si="2"/>
        <v/>
      </c>
      <c r="J17512" s="1" t="str">
        <f t="shared" si="3"/>
        <v/>
      </c>
      <c r="K17512" s="1" t="str">
        <f t="shared" si="4"/>
        <v/>
      </c>
    </row>
    <row r="17513">
      <c r="F17513" s="1" t="str">
        <f t="shared" si="1"/>
        <v/>
      </c>
      <c r="G17513" s="1" t="str">
        <f t="shared" si="2"/>
        <v/>
      </c>
      <c r="J17513" s="1" t="str">
        <f t="shared" si="3"/>
        <v/>
      </c>
      <c r="K17513" s="1" t="str">
        <f t="shared" si="4"/>
        <v/>
      </c>
    </row>
    <row r="17514">
      <c r="F17514" s="1" t="str">
        <f t="shared" si="1"/>
        <v/>
      </c>
      <c r="G17514" s="1" t="str">
        <f t="shared" si="2"/>
        <v/>
      </c>
      <c r="J17514" s="1" t="str">
        <f t="shared" si="3"/>
        <v/>
      </c>
      <c r="K17514" s="1" t="str">
        <f t="shared" si="4"/>
        <v/>
      </c>
    </row>
    <row r="17515">
      <c r="F17515" s="1" t="str">
        <f t="shared" si="1"/>
        <v/>
      </c>
      <c r="G17515" s="1" t="str">
        <f t="shared" si="2"/>
        <v/>
      </c>
      <c r="J17515" s="1" t="str">
        <f t="shared" si="3"/>
        <v/>
      </c>
      <c r="K17515" s="1" t="str">
        <f t="shared" si="4"/>
        <v/>
      </c>
    </row>
    <row r="17516">
      <c r="F17516" s="1" t="str">
        <f t="shared" si="1"/>
        <v/>
      </c>
      <c r="G17516" s="1" t="str">
        <f t="shared" si="2"/>
        <v/>
      </c>
      <c r="J17516" s="1" t="str">
        <f t="shared" si="3"/>
        <v/>
      </c>
      <c r="K17516" s="1" t="str">
        <f t="shared" si="4"/>
        <v/>
      </c>
    </row>
    <row r="17517">
      <c r="F17517" s="1" t="str">
        <f t="shared" si="1"/>
        <v/>
      </c>
      <c r="G17517" s="1" t="str">
        <f t="shared" si="2"/>
        <v/>
      </c>
      <c r="J17517" s="1" t="str">
        <f t="shared" si="3"/>
        <v/>
      </c>
      <c r="K17517" s="1" t="str">
        <f t="shared" si="4"/>
        <v/>
      </c>
    </row>
    <row r="17518">
      <c r="F17518" s="1" t="str">
        <f t="shared" si="1"/>
        <v/>
      </c>
      <c r="G17518" s="1" t="str">
        <f t="shared" si="2"/>
        <v/>
      </c>
      <c r="J17518" s="1" t="str">
        <f t="shared" si="3"/>
        <v/>
      </c>
      <c r="K17518" s="1" t="str">
        <f t="shared" si="4"/>
        <v/>
      </c>
    </row>
    <row r="17519">
      <c r="F17519" s="1" t="str">
        <f t="shared" si="1"/>
        <v/>
      </c>
      <c r="G17519" s="1" t="str">
        <f t="shared" si="2"/>
        <v/>
      </c>
      <c r="J17519" s="1" t="str">
        <f t="shared" si="3"/>
        <v/>
      </c>
      <c r="K17519" s="1" t="str">
        <f t="shared" si="4"/>
        <v/>
      </c>
    </row>
    <row r="17520">
      <c r="F17520" s="1" t="str">
        <f t="shared" si="1"/>
        <v/>
      </c>
      <c r="G17520" s="1" t="str">
        <f t="shared" si="2"/>
        <v/>
      </c>
      <c r="J17520" s="1" t="str">
        <f t="shared" si="3"/>
        <v/>
      </c>
      <c r="K17520" s="1" t="str">
        <f t="shared" si="4"/>
        <v/>
      </c>
    </row>
    <row r="17521">
      <c r="F17521" s="1" t="str">
        <f t="shared" si="1"/>
        <v/>
      </c>
      <c r="G17521" s="1" t="str">
        <f t="shared" si="2"/>
        <v/>
      </c>
      <c r="J17521" s="1" t="str">
        <f t="shared" si="3"/>
        <v/>
      </c>
      <c r="K17521" s="1" t="str">
        <f t="shared" si="4"/>
        <v/>
      </c>
    </row>
    <row r="17522">
      <c r="F17522" s="1" t="str">
        <f t="shared" si="1"/>
        <v/>
      </c>
      <c r="G17522" s="1" t="str">
        <f t="shared" si="2"/>
        <v/>
      </c>
      <c r="J17522" s="1" t="str">
        <f t="shared" si="3"/>
        <v/>
      </c>
      <c r="K17522" s="1" t="str">
        <f t="shared" si="4"/>
        <v/>
      </c>
    </row>
    <row r="17523">
      <c r="F17523" s="1" t="str">
        <f t="shared" si="1"/>
        <v/>
      </c>
      <c r="G17523" s="1" t="str">
        <f t="shared" si="2"/>
        <v/>
      </c>
      <c r="J17523" s="1" t="str">
        <f t="shared" si="3"/>
        <v/>
      </c>
      <c r="K17523" s="1" t="str">
        <f t="shared" si="4"/>
        <v/>
      </c>
    </row>
    <row r="17524">
      <c r="F17524" s="1" t="str">
        <f t="shared" si="1"/>
        <v/>
      </c>
      <c r="G17524" s="1" t="str">
        <f t="shared" si="2"/>
        <v/>
      </c>
      <c r="J17524" s="1" t="str">
        <f t="shared" si="3"/>
        <v/>
      </c>
      <c r="K17524" s="1" t="str">
        <f t="shared" si="4"/>
        <v/>
      </c>
    </row>
    <row r="17525">
      <c r="F17525" s="1" t="str">
        <f t="shared" si="1"/>
        <v/>
      </c>
      <c r="G17525" s="1" t="str">
        <f t="shared" si="2"/>
        <v/>
      </c>
      <c r="J17525" s="1" t="str">
        <f t="shared" si="3"/>
        <v/>
      </c>
      <c r="K17525" s="1" t="str">
        <f t="shared" si="4"/>
        <v/>
      </c>
    </row>
    <row r="17526">
      <c r="F17526" s="1" t="str">
        <f t="shared" si="1"/>
        <v/>
      </c>
      <c r="G17526" s="1" t="str">
        <f t="shared" si="2"/>
        <v/>
      </c>
      <c r="J17526" s="1" t="str">
        <f t="shared" si="3"/>
        <v/>
      </c>
      <c r="K17526" s="1" t="str">
        <f t="shared" si="4"/>
        <v/>
      </c>
    </row>
    <row r="17527">
      <c r="F17527" s="1" t="str">
        <f t="shared" si="1"/>
        <v/>
      </c>
      <c r="G17527" s="1" t="str">
        <f t="shared" si="2"/>
        <v/>
      </c>
      <c r="J17527" s="1" t="str">
        <f t="shared" si="3"/>
        <v/>
      </c>
      <c r="K17527" s="1" t="str">
        <f t="shared" si="4"/>
        <v/>
      </c>
    </row>
    <row r="17528">
      <c r="F17528" s="1" t="str">
        <f t="shared" si="1"/>
        <v/>
      </c>
      <c r="G17528" s="1" t="str">
        <f t="shared" si="2"/>
        <v/>
      </c>
      <c r="J17528" s="1" t="str">
        <f t="shared" si="3"/>
        <v/>
      </c>
      <c r="K17528" s="1" t="str">
        <f t="shared" si="4"/>
        <v/>
      </c>
    </row>
    <row r="17529">
      <c r="F17529" s="1" t="str">
        <f t="shared" si="1"/>
        <v/>
      </c>
      <c r="G17529" s="1" t="str">
        <f t="shared" si="2"/>
        <v/>
      </c>
      <c r="J17529" s="1" t="str">
        <f t="shared" si="3"/>
        <v/>
      </c>
      <c r="K17529" s="1" t="str">
        <f t="shared" si="4"/>
        <v/>
      </c>
    </row>
    <row r="17530">
      <c r="F17530" s="1" t="str">
        <f t="shared" si="1"/>
        <v/>
      </c>
      <c r="G17530" s="1" t="str">
        <f t="shared" si="2"/>
        <v/>
      </c>
      <c r="J17530" s="1" t="str">
        <f t="shared" si="3"/>
        <v/>
      </c>
      <c r="K17530" s="1" t="str">
        <f t="shared" si="4"/>
        <v/>
      </c>
    </row>
    <row r="17531">
      <c r="F17531" s="1" t="str">
        <f t="shared" si="1"/>
        <v/>
      </c>
      <c r="G17531" s="1" t="str">
        <f t="shared" si="2"/>
        <v/>
      </c>
      <c r="J17531" s="1" t="str">
        <f t="shared" si="3"/>
        <v/>
      </c>
      <c r="K17531" s="1" t="str">
        <f t="shared" si="4"/>
        <v/>
      </c>
    </row>
    <row r="17532">
      <c r="F17532" s="1" t="str">
        <f t="shared" si="1"/>
        <v/>
      </c>
      <c r="G17532" s="1" t="str">
        <f t="shared" si="2"/>
        <v/>
      </c>
      <c r="J17532" s="1" t="str">
        <f t="shared" si="3"/>
        <v/>
      </c>
      <c r="K17532" s="1" t="str">
        <f t="shared" si="4"/>
        <v/>
      </c>
    </row>
    <row r="17533">
      <c r="F17533" s="1" t="str">
        <f t="shared" si="1"/>
        <v/>
      </c>
      <c r="G17533" s="1" t="str">
        <f t="shared" si="2"/>
        <v/>
      </c>
      <c r="J17533" s="1" t="str">
        <f t="shared" si="3"/>
        <v/>
      </c>
      <c r="K17533" s="1" t="str">
        <f t="shared" si="4"/>
        <v/>
      </c>
    </row>
    <row r="17534">
      <c r="F17534" s="1" t="str">
        <f t="shared" si="1"/>
        <v/>
      </c>
      <c r="G17534" s="1" t="str">
        <f t="shared" si="2"/>
        <v/>
      </c>
      <c r="J17534" s="1" t="str">
        <f t="shared" si="3"/>
        <v/>
      </c>
      <c r="K17534" s="1" t="str">
        <f t="shared" si="4"/>
        <v/>
      </c>
    </row>
    <row r="17535">
      <c r="F17535" s="1" t="str">
        <f t="shared" si="1"/>
        <v/>
      </c>
      <c r="G17535" s="1" t="str">
        <f t="shared" si="2"/>
        <v/>
      </c>
      <c r="J17535" s="1" t="str">
        <f t="shared" si="3"/>
        <v/>
      </c>
      <c r="K17535" s="1" t="str">
        <f t="shared" si="4"/>
        <v/>
      </c>
    </row>
    <row r="17536">
      <c r="F17536" s="1" t="str">
        <f t="shared" si="1"/>
        <v/>
      </c>
      <c r="G17536" s="1" t="str">
        <f t="shared" si="2"/>
        <v/>
      </c>
      <c r="J17536" s="1" t="str">
        <f t="shared" si="3"/>
        <v/>
      </c>
      <c r="K17536" s="1" t="str">
        <f t="shared" si="4"/>
        <v/>
      </c>
    </row>
    <row r="17537">
      <c r="F17537" s="1" t="str">
        <f t="shared" si="1"/>
        <v/>
      </c>
      <c r="G17537" s="1" t="str">
        <f t="shared" si="2"/>
        <v/>
      </c>
      <c r="J17537" s="1" t="str">
        <f t="shared" si="3"/>
        <v/>
      </c>
      <c r="K17537" s="1" t="str">
        <f t="shared" si="4"/>
        <v/>
      </c>
    </row>
    <row r="17538">
      <c r="F17538" s="1" t="str">
        <f t="shared" si="1"/>
        <v/>
      </c>
      <c r="G17538" s="1" t="str">
        <f t="shared" si="2"/>
        <v/>
      </c>
      <c r="J17538" s="1" t="str">
        <f t="shared" si="3"/>
        <v/>
      </c>
      <c r="K17538" s="1" t="str">
        <f t="shared" si="4"/>
        <v/>
      </c>
    </row>
    <row r="17539">
      <c r="F17539" s="1" t="str">
        <f t="shared" si="1"/>
        <v/>
      </c>
      <c r="G17539" s="1" t="str">
        <f t="shared" si="2"/>
        <v/>
      </c>
      <c r="J17539" s="1" t="str">
        <f t="shared" si="3"/>
        <v/>
      </c>
      <c r="K17539" s="1" t="str">
        <f t="shared" si="4"/>
        <v/>
      </c>
    </row>
    <row r="17540">
      <c r="F17540" s="1" t="str">
        <f t="shared" si="1"/>
        <v/>
      </c>
      <c r="G17540" s="1" t="str">
        <f t="shared" si="2"/>
        <v/>
      </c>
      <c r="J17540" s="1" t="str">
        <f t="shared" si="3"/>
        <v/>
      </c>
      <c r="K17540" s="1" t="str">
        <f t="shared" si="4"/>
        <v/>
      </c>
    </row>
    <row r="17541">
      <c r="F17541" s="1" t="str">
        <f t="shared" si="1"/>
        <v/>
      </c>
      <c r="G17541" s="1" t="str">
        <f t="shared" si="2"/>
        <v/>
      </c>
      <c r="J17541" s="1" t="str">
        <f t="shared" si="3"/>
        <v/>
      </c>
      <c r="K17541" s="1" t="str">
        <f t="shared" si="4"/>
        <v/>
      </c>
    </row>
    <row r="17542">
      <c r="F17542" s="1" t="str">
        <f t="shared" si="1"/>
        <v/>
      </c>
      <c r="G17542" s="1" t="str">
        <f t="shared" si="2"/>
        <v/>
      </c>
      <c r="J17542" s="1" t="str">
        <f t="shared" si="3"/>
        <v/>
      </c>
      <c r="K17542" s="1" t="str">
        <f t="shared" si="4"/>
        <v/>
      </c>
    </row>
    <row r="17543">
      <c r="F17543" s="1" t="str">
        <f t="shared" si="1"/>
        <v/>
      </c>
      <c r="G17543" s="1" t="str">
        <f t="shared" si="2"/>
        <v/>
      </c>
      <c r="J17543" s="1" t="str">
        <f t="shared" si="3"/>
        <v/>
      </c>
      <c r="K17543" s="1" t="str">
        <f t="shared" si="4"/>
        <v/>
      </c>
    </row>
    <row r="17544">
      <c r="F17544" s="1" t="str">
        <f t="shared" si="1"/>
        <v/>
      </c>
      <c r="G17544" s="1" t="str">
        <f t="shared" si="2"/>
        <v/>
      </c>
      <c r="J17544" s="1" t="str">
        <f t="shared" si="3"/>
        <v/>
      </c>
      <c r="K17544" s="1" t="str">
        <f t="shared" si="4"/>
        <v/>
      </c>
    </row>
    <row r="17545">
      <c r="F17545" s="1" t="str">
        <f t="shared" si="1"/>
        <v/>
      </c>
      <c r="G17545" s="1" t="str">
        <f t="shared" si="2"/>
        <v/>
      </c>
      <c r="J17545" s="1" t="str">
        <f t="shared" si="3"/>
        <v/>
      </c>
      <c r="K17545" s="1" t="str">
        <f t="shared" si="4"/>
        <v/>
      </c>
    </row>
    <row r="17546">
      <c r="F17546" s="1" t="str">
        <f t="shared" si="1"/>
        <v/>
      </c>
      <c r="G17546" s="1" t="str">
        <f t="shared" si="2"/>
        <v/>
      </c>
      <c r="J17546" s="1" t="str">
        <f t="shared" si="3"/>
        <v/>
      </c>
      <c r="K17546" s="1" t="str">
        <f t="shared" si="4"/>
        <v/>
      </c>
    </row>
    <row r="17547">
      <c r="F17547" s="1" t="str">
        <f t="shared" si="1"/>
        <v/>
      </c>
      <c r="G17547" s="1" t="str">
        <f t="shared" si="2"/>
        <v/>
      </c>
      <c r="J17547" s="1" t="str">
        <f t="shared" si="3"/>
        <v/>
      </c>
      <c r="K17547" s="1" t="str">
        <f t="shared" si="4"/>
        <v/>
      </c>
    </row>
    <row r="17548">
      <c r="F17548" s="1" t="str">
        <f t="shared" si="1"/>
        <v/>
      </c>
      <c r="G17548" s="1" t="str">
        <f t="shared" si="2"/>
        <v/>
      </c>
      <c r="J17548" s="1" t="str">
        <f t="shared" si="3"/>
        <v/>
      </c>
      <c r="K17548" s="1" t="str">
        <f t="shared" si="4"/>
        <v/>
      </c>
    </row>
    <row r="17549">
      <c r="F17549" s="1" t="str">
        <f t="shared" si="1"/>
        <v/>
      </c>
      <c r="G17549" s="1" t="str">
        <f t="shared" si="2"/>
        <v/>
      </c>
      <c r="J17549" s="1" t="str">
        <f t="shared" si="3"/>
        <v/>
      </c>
      <c r="K17549" s="1" t="str">
        <f t="shared" si="4"/>
        <v/>
      </c>
    </row>
    <row r="17550">
      <c r="F17550" s="1" t="str">
        <f t="shared" si="1"/>
        <v/>
      </c>
      <c r="G17550" s="1" t="str">
        <f t="shared" si="2"/>
        <v/>
      </c>
      <c r="J17550" s="1" t="str">
        <f t="shared" si="3"/>
        <v/>
      </c>
      <c r="K17550" s="1" t="str">
        <f t="shared" si="4"/>
        <v/>
      </c>
    </row>
    <row r="17551">
      <c r="F17551" s="1" t="str">
        <f t="shared" si="1"/>
        <v/>
      </c>
      <c r="G17551" s="1" t="str">
        <f t="shared" si="2"/>
        <v/>
      </c>
      <c r="J17551" s="1" t="str">
        <f t="shared" si="3"/>
        <v/>
      </c>
      <c r="K17551" s="1" t="str">
        <f t="shared" si="4"/>
        <v/>
      </c>
    </row>
    <row r="17552">
      <c r="F17552" s="1" t="str">
        <f t="shared" si="1"/>
        <v/>
      </c>
      <c r="G17552" s="1" t="str">
        <f t="shared" si="2"/>
        <v/>
      </c>
      <c r="J17552" s="1" t="str">
        <f t="shared" si="3"/>
        <v/>
      </c>
      <c r="K17552" s="1" t="str">
        <f t="shared" si="4"/>
        <v/>
      </c>
    </row>
    <row r="17553">
      <c r="F17553" s="1" t="str">
        <f t="shared" si="1"/>
        <v/>
      </c>
      <c r="G17553" s="1" t="str">
        <f t="shared" si="2"/>
        <v/>
      </c>
      <c r="J17553" s="1" t="str">
        <f t="shared" si="3"/>
        <v/>
      </c>
      <c r="K17553" s="1" t="str">
        <f t="shared" si="4"/>
        <v/>
      </c>
    </row>
    <row r="17554">
      <c r="F17554" s="1" t="str">
        <f t="shared" si="1"/>
        <v/>
      </c>
      <c r="G17554" s="1" t="str">
        <f t="shared" si="2"/>
        <v/>
      </c>
      <c r="J17554" s="1" t="str">
        <f t="shared" si="3"/>
        <v/>
      </c>
      <c r="K17554" s="1" t="str">
        <f t="shared" si="4"/>
        <v/>
      </c>
    </row>
    <row r="17555">
      <c r="F17555" s="1" t="str">
        <f t="shared" si="1"/>
        <v/>
      </c>
      <c r="G17555" s="1" t="str">
        <f t="shared" si="2"/>
        <v/>
      </c>
      <c r="J17555" s="1" t="str">
        <f t="shared" si="3"/>
        <v/>
      </c>
      <c r="K17555" s="1" t="str">
        <f t="shared" si="4"/>
        <v/>
      </c>
    </row>
    <row r="17556">
      <c r="F17556" s="1" t="str">
        <f t="shared" si="1"/>
        <v/>
      </c>
      <c r="G17556" s="1" t="str">
        <f t="shared" si="2"/>
        <v/>
      </c>
      <c r="J17556" s="1" t="str">
        <f t="shared" si="3"/>
        <v/>
      </c>
      <c r="K17556" s="1" t="str">
        <f t="shared" si="4"/>
        <v/>
      </c>
    </row>
    <row r="17557">
      <c r="F17557" s="1" t="str">
        <f t="shared" si="1"/>
        <v/>
      </c>
      <c r="G17557" s="1" t="str">
        <f t="shared" si="2"/>
        <v/>
      </c>
      <c r="J17557" s="1" t="str">
        <f t="shared" si="3"/>
        <v/>
      </c>
      <c r="K17557" s="1" t="str">
        <f t="shared" si="4"/>
        <v/>
      </c>
    </row>
    <row r="17558">
      <c r="F17558" s="1" t="str">
        <f t="shared" si="1"/>
        <v/>
      </c>
      <c r="G17558" s="1" t="str">
        <f t="shared" si="2"/>
        <v/>
      </c>
      <c r="J17558" s="1" t="str">
        <f t="shared" si="3"/>
        <v/>
      </c>
      <c r="K17558" s="1" t="str">
        <f t="shared" si="4"/>
        <v/>
      </c>
    </row>
    <row r="17559">
      <c r="F17559" s="1" t="str">
        <f t="shared" si="1"/>
        <v/>
      </c>
      <c r="G17559" s="1" t="str">
        <f t="shared" si="2"/>
        <v/>
      </c>
      <c r="J17559" s="1" t="str">
        <f t="shared" si="3"/>
        <v/>
      </c>
      <c r="K17559" s="1" t="str">
        <f t="shared" si="4"/>
        <v/>
      </c>
    </row>
    <row r="17560">
      <c r="F17560" s="1" t="str">
        <f t="shared" si="1"/>
        <v/>
      </c>
      <c r="G17560" s="1" t="str">
        <f t="shared" si="2"/>
        <v/>
      </c>
      <c r="J17560" s="1" t="str">
        <f t="shared" si="3"/>
        <v/>
      </c>
      <c r="K17560" s="1" t="str">
        <f t="shared" si="4"/>
        <v/>
      </c>
    </row>
    <row r="17561">
      <c r="F17561" s="1" t="str">
        <f t="shared" si="1"/>
        <v/>
      </c>
      <c r="G17561" s="1" t="str">
        <f t="shared" si="2"/>
        <v/>
      </c>
      <c r="J17561" s="1" t="str">
        <f t="shared" si="3"/>
        <v/>
      </c>
      <c r="K17561" s="1" t="str">
        <f t="shared" si="4"/>
        <v/>
      </c>
    </row>
    <row r="17562">
      <c r="F17562" s="1" t="str">
        <f t="shared" si="1"/>
        <v/>
      </c>
      <c r="G17562" s="1" t="str">
        <f t="shared" si="2"/>
        <v/>
      </c>
      <c r="J17562" s="1" t="str">
        <f t="shared" si="3"/>
        <v/>
      </c>
      <c r="K17562" s="1" t="str">
        <f t="shared" si="4"/>
        <v/>
      </c>
    </row>
    <row r="17563">
      <c r="F17563" s="1" t="str">
        <f t="shared" si="1"/>
        <v/>
      </c>
      <c r="G17563" s="1" t="str">
        <f t="shared" si="2"/>
        <v/>
      </c>
      <c r="J17563" s="1" t="str">
        <f t="shared" si="3"/>
        <v/>
      </c>
      <c r="K17563" s="1" t="str">
        <f t="shared" si="4"/>
        <v/>
      </c>
    </row>
    <row r="17564">
      <c r="F17564" s="1" t="str">
        <f t="shared" si="1"/>
        <v/>
      </c>
      <c r="G17564" s="1" t="str">
        <f t="shared" si="2"/>
        <v/>
      </c>
      <c r="J17564" s="1" t="str">
        <f t="shared" si="3"/>
        <v/>
      </c>
      <c r="K17564" s="1" t="str">
        <f t="shared" si="4"/>
        <v/>
      </c>
    </row>
    <row r="17565">
      <c r="F17565" s="1" t="str">
        <f t="shared" si="1"/>
        <v/>
      </c>
      <c r="G17565" s="1" t="str">
        <f t="shared" si="2"/>
        <v/>
      </c>
      <c r="J17565" s="1" t="str">
        <f t="shared" si="3"/>
        <v/>
      </c>
      <c r="K17565" s="1" t="str">
        <f t="shared" si="4"/>
        <v/>
      </c>
    </row>
    <row r="17566">
      <c r="F17566" s="1" t="str">
        <f t="shared" si="1"/>
        <v/>
      </c>
      <c r="G17566" s="1" t="str">
        <f t="shared" si="2"/>
        <v/>
      </c>
      <c r="J17566" s="1" t="str">
        <f t="shared" si="3"/>
        <v/>
      </c>
      <c r="K17566" s="1" t="str">
        <f t="shared" si="4"/>
        <v/>
      </c>
    </row>
    <row r="17567">
      <c r="F17567" s="1" t="str">
        <f t="shared" si="1"/>
        <v/>
      </c>
      <c r="G17567" s="1" t="str">
        <f t="shared" si="2"/>
        <v/>
      </c>
      <c r="J17567" s="1" t="str">
        <f t="shared" si="3"/>
        <v/>
      </c>
      <c r="K17567" s="1" t="str">
        <f t="shared" si="4"/>
        <v/>
      </c>
    </row>
    <row r="17568">
      <c r="F17568" s="1" t="str">
        <f t="shared" si="1"/>
        <v/>
      </c>
      <c r="G17568" s="1" t="str">
        <f t="shared" si="2"/>
        <v/>
      </c>
      <c r="J17568" s="1" t="str">
        <f t="shared" si="3"/>
        <v/>
      </c>
      <c r="K17568" s="1" t="str">
        <f t="shared" si="4"/>
        <v/>
      </c>
    </row>
    <row r="17569">
      <c r="F17569" s="1" t="str">
        <f t="shared" si="1"/>
        <v/>
      </c>
      <c r="G17569" s="1" t="str">
        <f t="shared" si="2"/>
        <v/>
      </c>
      <c r="J17569" s="1" t="str">
        <f t="shared" si="3"/>
        <v/>
      </c>
      <c r="K17569" s="1" t="str">
        <f t="shared" si="4"/>
        <v/>
      </c>
    </row>
    <row r="17570">
      <c r="F17570" s="1" t="str">
        <f t="shared" si="1"/>
        <v/>
      </c>
      <c r="G17570" s="1" t="str">
        <f t="shared" si="2"/>
        <v/>
      </c>
      <c r="J17570" s="1" t="str">
        <f t="shared" si="3"/>
        <v/>
      </c>
      <c r="K17570" s="1" t="str">
        <f t="shared" si="4"/>
        <v/>
      </c>
    </row>
    <row r="17571">
      <c r="F17571" s="1" t="str">
        <f t="shared" si="1"/>
        <v/>
      </c>
      <c r="G17571" s="1" t="str">
        <f t="shared" si="2"/>
        <v/>
      </c>
      <c r="J17571" s="1" t="str">
        <f t="shared" si="3"/>
        <v/>
      </c>
      <c r="K17571" s="1" t="str">
        <f t="shared" si="4"/>
        <v/>
      </c>
    </row>
    <row r="17572">
      <c r="F17572" s="1" t="str">
        <f t="shared" si="1"/>
        <v/>
      </c>
      <c r="G17572" s="1" t="str">
        <f t="shared" si="2"/>
        <v/>
      </c>
      <c r="J17572" s="1" t="str">
        <f t="shared" si="3"/>
        <v/>
      </c>
      <c r="K17572" s="1" t="str">
        <f t="shared" si="4"/>
        <v/>
      </c>
    </row>
    <row r="17573">
      <c r="F17573" s="1" t="str">
        <f t="shared" si="1"/>
        <v/>
      </c>
      <c r="G17573" s="1" t="str">
        <f t="shared" si="2"/>
        <v/>
      </c>
      <c r="J17573" s="1" t="str">
        <f t="shared" si="3"/>
        <v/>
      </c>
      <c r="K17573" s="1" t="str">
        <f t="shared" si="4"/>
        <v/>
      </c>
    </row>
    <row r="17574">
      <c r="F17574" s="1" t="str">
        <f t="shared" si="1"/>
        <v/>
      </c>
      <c r="G17574" s="1" t="str">
        <f t="shared" si="2"/>
        <v/>
      </c>
      <c r="J17574" s="1" t="str">
        <f t="shared" si="3"/>
        <v/>
      </c>
      <c r="K17574" s="1" t="str">
        <f t="shared" si="4"/>
        <v/>
      </c>
    </row>
    <row r="17575">
      <c r="F17575" s="1" t="str">
        <f t="shared" si="1"/>
        <v/>
      </c>
      <c r="G17575" s="1" t="str">
        <f t="shared" si="2"/>
        <v/>
      </c>
      <c r="J17575" s="1" t="str">
        <f t="shared" si="3"/>
        <v/>
      </c>
      <c r="K17575" s="1" t="str">
        <f t="shared" si="4"/>
        <v/>
      </c>
    </row>
    <row r="17576">
      <c r="F17576" s="1" t="str">
        <f t="shared" si="1"/>
        <v/>
      </c>
      <c r="G17576" s="1" t="str">
        <f t="shared" si="2"/>
        <v/>
      </c>
      <c r="J17576" s="1" t="str">
        <f t="shared" si="3"/>
        <v/>
      </c>
      <c r="K17576" s="1" t="str">
        <f t="shared" si="4"/>
        <v/>
      </c>
    </row>
    <row r="17577">
      <c r="F17577" s="1" t="str">
        <f t="shared" si="1"/>
        <v/>
      </c>
      <c r="G17577" s="1" t="str">
        <f t="shared" si="2"/>
        <v/>
      </c>
      <c r="J17577" s="1" t="str">
        <f t="shared" si="3"/>
        <v/>
      </c>
      <c r="K17577" s="1" t="str">
        <f t="shared" si="4"/>
        <v/>
      </c>
    </row>
    <row r="17578">
      <c r="F17578" s="1" t="str">
        <f t="shared" si="1"/>
        <v/>
      </c>
      <c r="G17578" s="1" t="str">
        <f t="shared" si="2"/>
        <v/>
      </c>
      <c r="J17578" s="1" t="str">
        <f t="shared" si="3"/>
        <v/>
      </c>
      <c r="K17578" s="1" t="str">
        <f t="shared" si="4"/>
        <v/>
      </c>
    </row>
    <row r="17579">
      <c r="F17579" s="1" t="str">
        <f t="shared" si="1"/>
        <v/>
      </c>
      <c r="G17579" s="1" t="str">
        <f t="shared" si="2"/>
        <v/>
      </c>
      <c r="J17579" s="1" t="str">
        <f t="shared" si="3"/>
        <v/>
      </c>
      <c r="K17579" s="1" t="str">
        <f t="shared" si="4"/>
        <v/>
      </c>
    </row>
    <row r="17580">
      <c r="F17580" s="1" t="str">
        <f t="shared" si="1"/>
        <v/>
      </c>
      <c r="G17580" s="1" t="str">
        <f t="shared" si="2"/>
        <v/>
      </c>
      <c r="J17580" s="1" t="str">
        <f t="shared" si="3"/>
        <v/>
      </c>
      <c r="K17580" s="1" t="str">
        <f t="shared" si="4"/>
        <v/>
      </c>
    </row>
    <row r="17581">
      <c r="F17581" s="1" t="str">
        <f t="shared" si="1"/>
        <v/>
      </c>
      <c r="G17581" s="1" t="str">
        <f t="shared" si="2"/>
        <v/>
      </c>
      <c r="J17581" s="1" t="str">
        <f t="shared" si="3"/>
        <v/>
      </c>
      <c r="K17581" s="1" t="str">
        <f t="shared" si="4"/>
        <v/>
      </c>
    </row>
    <row r="17582">
      <c r="F17582" s="1" t="str">
        <f t="shared" si="1"/>
        <v/>
      </c>
      <c r="G17582" s="1" t="str">
        <f t="shared" si="2"/>
        <v/>
      </c>
      <c r="J17582" s="1" t="str">
        <f t="shared" si="3"/>
        <v/>
      </c>
      <c r="K17582" s="1" t="str">
        <f t="shared" si="4"/>
        <v/>
      </c>
    </row>
    <row r="17583">
      <c r="F17583" s="1" t="str">
        <f t="shared" si="1"/>
        <v/>
      </c>
      <c r="G17583" s="1" t="str">
        <f t="shared" si="2"/>
        <v/>
      </c>
      <c r="J17583" s="1" t="str">
        <f t="shared" si="3"/>
        <v/>
      </c>
      <c r="K17583" s="1" t="str">
        <f t="shared" si="4"/>
        <v/>
      </c>
    </row>
    <row r="17584">
      <c r="F17584" s="1" t="str">
        <f t="shared" si="1"/>
        <v/>
      </c>
      <c r="G17584" s="1" t="str">
        <f t="shared" si="2"/>
        <v/>
      </c>
      <c r="J17584" s="1" t="str">
        <f t="shared" si="3"/>
        <v/>
      </c>
      <c r="K17584" s="1" t="str">
        <f t="shared" si="4"/>
        <v/>
      </c>
    </row>
    <row r="17585">
      <c r="F17585" s="1" t="str">
        <f t="shared" si="1"/>
        <v/>
      </c>
      <c r="G17585" s="1" t="str">
        <f t="shared" si="2"/>
        <v/>
      </c>
      <c r="J17585" s="1" t="str">
        <f t="shared" si="3"/>
        <v/>
      </c>
      <c r="K17585" s="1" t="str">
        <f t="shared" si="4"/>
        <v/>
      </c>
    </row>
    <row r="17586">
      <c r="F17586" s="1" t="str">
        <f t="shared" si="1"/>
        <v/>
      </c>
      <c r="G17586" s="1" t="str">
        <f t="shared" si="2"/>
        <v/>
      </c>
      <c r="J17586" s="1" t="str">
        <f t="shared" si="3"/>
        <v/>
      </c>
      <c r="K17586" s="1" t="str">
        <f t="shared" si="4"/>
        <v/>
      </c>
    </row>
    <row r="17587">
      <c r="F17587" s="1" t="str">
        <f t="shared" si="1"/>
        <v/>
      </c>
      <c r="G17587" s="1" t="str">
        <f t="shared" si="2"/>
        <v/>
      </c>
      <c r="J17587" s="1" t="str">
        <f t="shared" si="3"/>
        <v/>
      </c>
      <c r="K17587" s="1" t="str">
        <f t="shared" si="4"/>
        <v/>
      </c>
    </row>
    <row r="17588">
      <c r="F17588" s="1" t="str">
        <f t="shared" si="1"/>
        <v/>
      </c>
      <c r="G17588" s="1" t="str">
        <f t="shared" si="2"/>
        <v/>
      </c>
      <c r="J17588" s="1" t="str">
        <f t="shared" si="3"/>
        <v/>
      </c>
      <c r="K17588" s="1" t="str">
        <f t="shared" si="4"/>
        <v/>
      </c>
    </row>
    <row r="17589">
      <c r="F17589" s="1" t="str">
        <f t="shared" si="1"/>
        <v/>
      </c>
      <c r="G17589" s="1" t="str">
        <f t="shared" si="2"/>
        <v/>
      </c>
      <c r="J17589" s="1" t="str">
        <f t="shared" si="3"/>
        <v/>
      </c>
      <c r="K17589" s="1" t="str">
        <f t="shared" si="4"/>
        <v/>
      </c>
    </row>
    <row r="17590">
      <c r="F17590" s="1" t="str">
        <f t="shared" si="1"/>
        <v/>
      </c>
      <c r="G17590" s="1" t="str">
        <f t="shared" si="2"/>
        <v/>
      </c>
      <c r="J17590" s="1" t="str">
        <f t="shared" si="3"/>
        <v/>
      </c>
      <c r="K17590" s="1" t="str">
        <f t="shared" si="4"/>
        <v/>
      </c>
    </row>
    <row r="17591">
      <c r="F17591" s="1" t="str">
        <f t="shared" si="1"/>
        <v/>
      </c>
      <c r="G17591" s="1" t="str">
        <f t="shared" si="2"/>
        <v/>
      </c>
      <c r="J17591" s="1" t="str">
        <f t="shared" si="3"/>
        <v/>
      </c>
      <c r="K17591" s="1" t="str">
        <f t="shared" si="4"/>
        <v/>
      </c>
    </row>
    <row r="17592">
      <c r="F17592" s="1" t="str">
        <f t="shared" si="1"/>
        <v/>
      </c>
      <c r="G17592" s="1" t="str">
        <f t="shared" si="2"/>
        <v/>
      </c>
      <c r="J17592" s="1" t="str">
        <f t="shared" si="3"/>
        <v/>
      </c>
      <c r="K17592" s="1" t="str">
        <f t="shared" si="4"/>
        <v/>
      </c>
    </row>
    <row r="17593">
      <c r="F17593" s="1" t="str">
        <f t="shared" si="1"/>
        <v/>
      </c>
      <c r="G17593" s="1" t="str">
        <f t="shared" si="2"/>
        <v/>
      </c>
      <c r="J17593" s="1" t="str">
        <f t="shared" si="3"/>
        <v/>
      </c>
      <c r="K17593" s="1" t="str">
        <f t="shared" si="4"/>
        <v/>
      </c>
    </row>
    <row r="17594">
      <c r="F17594" s="1" t="str">
        <f t="shared" si="1"/>
        <v/>
      </c>
      <c r="G17594" s="1" t="str">
        <f t="shared" si="2"/>
        <v/>
      </c>
      <c r="J17594" s="1" t="str">
        <f t="shared" si="3"/>
        <v/>
      </c>
      <c r="K17594" s="1" t="str">
        <f t="shared" si="4"/>
        <v/>
      </c>
    </row>
    <row r="17595">
      <c r="F17595" s="1" t="str">
        <f t="shared" si="1"/>
        <v/>
      </c>
      <c r="G17595" s="1" t="str">
        <f t="shared" si="2"/>
        <v/>
      </c>
      <c r="J17595" s="1" t="str">
        <f t="shared" si="3"/>
        <v/>
      </c>
      <c r="K17595" s="1" t="str">
        <f t="shared" si="4"/>
        <v/>
      </c>
    </row>
    <row r="17596">
      <c r="F17596" s="1" t="str">
        <f t="shared" si="1"/>
        <v/>
      </c>
      <c r="G17596" s="1" t="str">
        <f t="shared" si="2"/>
        <v/>
      </c>
      <c r="J17596" s="1" t="str">
        <f t="shared" si="3"/>
        <v/>
      </c>
      <c r="K17596" s="1" t="str">
        <f t="shared" si="4"/>
        <v/>
      </c>
    </row>
    <row r="17597">
      <c r="F17597" s="1" t="str">
        <f t="shared" si="1"/>
        <v/>
      </c>
      <c r="G17597" s="1" t="str">
        <f t="shared" si="2"/>
        <v/>
      </c>
      <c r="J17597" s="1" t="str">
        <f t="shared" si="3"/>
        <v/>
      </c>
      <c r="K17597" s="1" t="str">
        <f t="shared" si="4"/>
        <v/>
      </c>
    </row>
    <row r="17598">
      <c r="F17598" s="1" t="str">
        <f t="shared" si="1"/>
        <v/>
      </c>
      <c r="G17598" s="1" t="str">
        <f t="shared" si="2"/>
        <v/>
      </c>
      <c r="J17598" s="1" t="str">
        <f t="shared" si="3"/>
        <v/>
      </c>
      <c r="K17598" s="1" t="str">
        <f t="shared" si="4"/>
        <v/>
      </c>
    </row>
    <row r="17599">
      <c r="F17599" s="1" t="str">
        <f t="shared" si="1"/>
        <v/>
      </c>
      <c r="G17599" s="1" t="str">
        <f t="shared" si="2"/>
        <v/>
      </c>
      <c r="J17599" s="1" t="str">
        <f t="shared" si="3"/>
        <v/>
      </c>
      <c r="K17599" s="1" t="str">
        <f t="shared" si="4"/>
        <v/>
      </c>
    </row>
    <row r="17600">
      <c r="F17600" s="1" t="str">
        <f t="shared" si="1"/>
        <v/>
      </c>
      <c r="G17600" s="1" t="str">
        <f t="shared" si="2"/>
        <v/>
      </c>
      <c r="J17600" s="1" t="str">
        <f t="shared" si="3"/>
        <v/>
      </c>
      <c r="K17600" s="1" t="str">
        <f t="shared" si="4"/>
        <v/>
      </c>
    </row>
    <row r="17601">
      <c r="F17601" s="1" t="str">
        <f t="shared" si="1"/>
        <v/>
      </c>
      <c r="G17601" s="1" t="str">
        <f t="shared" si="2"/>
        <v/>
      </c>
      <c r="J17601" s="1" t="str">
        <f t="shared" si="3"/>
        <v/>
      </c>
      <c r="K17601" s="1" t="str">
        <f t="shared" si="4"/>
        <v/>
      </c>
    </row>
    <row r="17602">
      <c r="F17602" s="1" t="str">
        <f t="shared" si="1"/>
        <v/>
      </c>
      <c r="G17602" s="1" t="str">
        <f t="shared" si="2"/>
        <v/>
      </c>
      <c r="J17602" s="1" t="str">
        <f t="shared" si="3"/>
        <v/>
      </c>
      <c r="K17602" s="1" t="str">
        <f t="shared" si="4"/>
        <v/>
      </c>
    </row>
    <row r="17603">
      <c r="F17603" s="1" t="str">
        <f t="shared" si="1"/>
        <v/>
      </c>
      <c r="G17603" s="1" t="str">
        <f t="shared" si="2"/>
        <v/>
      </c>
      <c r="J17603" s="1" t="str">
        <f t="shared" si="3"/>
        <v/>
      </c>
      <c r="K17603" s="1" t="str">
        <f t="shared" si="4"/>
        <v/>
      </c>
    </row>
    <row r="17604">
      <c r="F17604" s="1" t="str">
        <f t="shared" si="1"/>
        <v/>
      </c>
      <c r="G17604" s="1" t="str">
        <f t="shared" si="2"/>
        <v/>
      </c>
      <c r="J17604" s="1" t="str">
        <f t="shared" si="3"/>
        <v/>
      </c>
      <c r="K17604" s="1" t="str">
        <f t="shared" si="4"/>
        <v/>
      </c>
    </row>
    <row r="17605">
      <c r="F17605" s="1" t="str">
        <f t="shared" si="1"/>
        <v/>
      </c>
      <c r="G17605" s="1" t="str">
        <f t="shared" si="2"/>
        <v/>
      </c>
      <c r="J17605" s="1" t="str">
        <f t="shared" si="3"/>
        <v/>
      </c>
      <c r="K17605" s="1" t="str">
        <f t="shared" si="4"/>
        <v/>
      </c>
    </row>
    <row r="17606">
      <c r="F17606" s="1" t="str">
        <f t="shared" si="1"/>
        <v/>
      </c>
      <c r="G17606" s="1" t="str">
        <f t="shared" si="2"/>
        <v/>
      </c>
      <c r="J17606" s="1" t="str">
        <f t="shared" si="3"/>
        <v/>
      </c>
      <c r="K17606" s="1" t="str">
        <f t="shared" si="4"/>
        <v/>
      </c>
    </row>
    <row r="17607">
      <c r="F17607" s="1" t="str">
        <f t="shared" si="1"/>
        <v/>
      </c>
      <c r="G17607" s="1" t="str">
        <f t="shared" si="2"/>
        <v/>
      </c>
      <c r="J17607" s="1" t="str">
        <f t="shared" si="3"/>
        <v/>
      </c>
      <c r="K17607" s="1" t="str">
        <f t="shared" si="4"/>
        <v/>
      </c>
    </row>
    <row r="17608">
      <c r="F17608" s="1" t="str">
        <f t="shared" si="1"/>
        <v/>
      </c>
      <c r="G17608" s="1" t="str">
        <f t="shared" si="2"/>
        <v/>
      </c>
      <c r="J17608" s="1" t="str">
        <f t="shared" si="3"/>
        <v/>
      </c>
      <c r="K17608" s="1" t="str">
        <f t="shared" si="4"/>
        <v/>
      </c>
    </row>
    <row r="17609">
      <c r="F17609" s="1" t="str">
        <f t="shared" si="1"/>
        <v/>
      </c>
      <c r="G17609" s="1" t="str">
        <f t="shared" si="2"/>
        <v/>
      </c>
      <c r="J17609" s="1" t="str">
        <f t="shared" si="3"/>
        <v/>
      </c>
      <c r="K17609" s="1" t="str">
        <f t="shared" si="4"/>
        <v/>
      </c>
    </row>
    <row r="17610">
      <c r="F17610" s="1" t="str">
        <f t="shared" si="1"/>
        <v/>
      </c>
      <c r="G17610" s="1" t="str">
        <f t="shared" si="2"/>
        <v/>
      </c>
      <c r="J17610" s="1" t="str">
        <f t="shared" si="3"/>
        <v/>
      </c>
      <c r="K17610" s="1" t="str">
        <f t="shared" si="4"/>
        <v/>
      </c>
    </row>
    <row r="17611">
      <c r="F17611" s="1" t="str">
        <f t="shared" si="1"/>
        <v/>
      </c>
      <c r="G17611" s="1" t="str">
        <f t="shared" si="2"/>
        <v/>
      </c>
      <c r="J17611" s="1" t="str">
        <f t="shared" si="3"/>
        <v/>
      </c>
      <c r="K17611" s="1" t="str">
        <f t="shared" si="4"/>
        <v/>
      </c>
    </row>
    <row r="17612">
      <c r="F17612" s="1" t="str">
        <f t="shared" si="1"/>
        <v/>
      </c>
      <c r="G17612" s="1" t="str">
        <f t="shared" si="2"/>
        <v/>
      </c>
      <c r="J17612" s="1" t="str">
        <f t="shared" si="3"/>
        <v/>
      </c>
      <c r="K17612" s="1" t="str">
        <f t="shared" si="4"/>
        <v/>
      </c>
    </row>
    <row r="17613">
      <c r="F17613" s="1" t="str">
        <f t="shared" si="1"/>
        <v/>
      </c>
      <c r="G17613" s="1" t="str">
        <f t="shared" si="2"/>
        <v/>
      </c>
      <c r="J17613" s="1" t="str">
        <f t="shared" si="3"/>
        <v/>
      </c>
      <c r="K17613" s="1" t="str">
        <f t="shared" si="4"/>
        <v/>
      </c>
    </row>
    <row r="17614">
      <c r="F17614" s="1" t="str">
        <f t="shared" si="1"/>
        <v/>
      </c>
      <c r="G17614" s="1" t="str">
        <f t="shared" si="2"/>
        <v/>
      </c>
      <c r="J17614" s="1" t="str">
        <f t="shared" si="3"/>
        <v/>
      </c>
      <c r="K17614" s="1" t="str">
        <f t="shared" si="4"/>
        <v/>
      </c>
    </row>
    <row r="17615">
      <c r="F17615" s="1" t="str">
        <f t="shared" si="1"/>
        <v/>
      </c>
      <c r="G17615" s="1" t="str">
        <f t="shared" si="2"/>
        <v/>
      </c>
      <c r="J17615" s="1" t="str">
        <f t="shared" si="3"/>
        <v/>
      </c>
      <c r="K17615" s="1" t="str">
        <f t="shared" si="4"/>
        <v/>
      </c>
    </row>
    <row r="17616">
      <c r="F17616" s="1" t="str">
        <f t="shared" si="1"/>
        <v/>
      </c>
      <c r="G17616" s="1" t="str">
        <f t="shared" si="2"/>
        <v/>
      </c>
      <c r="J17616" s="1" t="str">
        <f t="shared" si="3"/>
        <v/>
      </c>
      <c r="K17616" s="1" t="str">
        <f t="shared" si="4"/>
        <v/>
      </c>
    </row>
    <row r="17617">
      <c r="F17617" s="1" t="str">
        <f t="shared" si="1"/>
        <v/>
      </c>
      <c r="G17617" s="1" t="str">
        <f t="shared" si="2"/>
        <v/>
      </c>
      <c r="J17617" s="1" t="str">
        <f t="shared" si="3"/>
        <v/>
      </c>
      <c r="K17617" s="1" t="str">
        <f t="shared" si="4"/>
        <v/>
      </c>
    </row>
    <row r="17618">
      <c r="F17618" s="1" t="str">
        <f t="shared" si="1"/>
        <v/>
      </c>
      <c r="G17618" s="1" t="str">
        <f t="shared" si="2"/>
        <v/>
      </c>
      <c r="J17618" s="1" t="str">
        <f t="shared" si="3"/>
        <v/>
      </c>
      <c r="K17618" s="1" t="str">
        <f t="shared" si="4"/>
        <v/>
      </c>
    </row>
    <row r="17619">
      <c r="F17619" s="1" t="str">
        <f t="shared" si="1"/>
        <v/>
      </c>
      <c r="G17619" s="1" t="str">
        <f t="shared" si="2"/>
        <v/>
      </c>
      <c r="J17619" s="1" t="str">
        <f t="shared" si="3"/>
        <v/>
      </c>
      <c r="K17619" s="1" t="str">
        <f t="shared" si="4"/>
        <v/>
      </c>
    </row>
    <row r="17620">
      <c r="F17620" s="1" t="str">
        <f t="shared" si="1"/>
        <v/>
      </c>
      <c r="G17620" s="1" t="str">
        <f t="shared" si="2"/>
        <v/>
      </c>
      <c r="J17620" s="1" t="str">
        <f t="shared" si="3"/>
        <v/>
      </c>
      <c r="K17620" s="1" t="str">
        <f t="shared" si="4"/>
        <v/>
      </c>
    </row>
    <row r="17621">
      <c r="F17621" s="1" t="str">
        <f t="shared" si="1"/>
        <v/>
      </c>
      <c r="G17621" s="1" t="str">
        <f t="shared" si="2"/>
        <v/>
      </c>
      <c r="J17621" s="1" t="str">
        <f t="shared" si="3"/>
        <v/>
      </c>
      <c r="K17621" s="1" t="str">
        <f t="shared" si="4"/>
        <v/>
      </c>
    </row>
    <row r="17622">
      <c r="F17622" s="1" t="str">
        <f t="shared" si="1"/>
        <v/>
      </c>
      <c r="G17622" s="1" t="str">
        <f t="shared" si="2"/>
        <v/>
      </c>
      <c r="J17622" s="1" t="str">
        <f t="shared" si="3"/>
        <v/>
      </c>
      <c r="K17622" s="1" t="str">
        <f t="shared" si="4"/>
        <v/>
      </c>
    </row>
    <row r="17623">
      <c r="F17623" s="1" t="str">
        <f t="shared" si="1"/>
        <v/>
      </c>
      <c r="G17623" s="1" t="str">
        <f t="shared" si="2"/>
        <v/>
      </c>
      <c r="J17623" s="1" t="str">
        <f t="shared" si="3"/>
        <v/>
      </c>
      <c r="K17623" s="1" t="str">
        <f t="shared" si="4"/>
        <v/>
      </c>
    </row>
    <row r="17624">
      <c r="F17624" s="1" t="str">
        <f t="shared" si="1"/>
        <v/>
      </c>
      <c r="G17624" s="1" t="str">
        <f t="shared" si="2"/>
        <v/>
      </c>
      <c r="J17624" s="1" t="str">
        <f t="shared" si="3"/>
        <v/>
      </c>
      <c r="K17624" s="1" t="str">
        <f t="shared" si="4"/>
        <v/>
      </c>
    </row>
    <row r="17625">
      <c r="F17625" s="1" t="str">
        <f t="shared" si="1"/>
        <v/>
      </c>
      <c r="G17625" s="1" t="str">
        <f t="shared" si="2"/>
        <v/>
      </c>
      <c r="J17625" s="1" t="str">
        <f t="shared" si="3"/>
        <v/>
      </c>
      <c r="K17625" s="1" t="str">
        <f t="shared" si="4"/>
        <v/>
      </c>
    </row>
    <row r="17626">
      <c r="F17626" s="1" t="str">
        <f t="shared" si="1"/>
        <v/>
      </c>
      <c r="G17626" s="1" t="str">
        <f t="shared" si="2"/>
        <v/>
      </c>
      <c r="J17626" s="1" t="str">
        <f t="shared" si="3"/>
        <v/>
      </c>
      <c r="K17626" s="1" t="str">
        <f t="shared" si="4"/>
        <v/>
      </c>
    </row>
    <row r="17627">
      <c r="F17627" s="1" t="str">
        <f t="shared" si="1"/>
        <v/>
      </c>
      <c r="G17627" s="1" t="str">
        <f t="shared" si="2"/>
        <v/>
      </c>
      <c r="J17627" s="1" t="str">
        <f t="shared" si="3"/>
        <v/>
      </c>
      <c r="K17627" s="1" t="str">
        <f t="shared" si="4"/>
        <v/>
      </c>
    </row>
    <row r="17628">
      <c r="F17628" s="1" t="str">
        <f t="shared" si="1"/>
        <v/>
      </c>
      <c r="G17628" s="1" t="str">
        <f t="shared" si="2"/>
        <v/>
      </c>
      <c r="J17628" s="1" t="str">
        <f t="shared" si="3"/>
        <v/>
      </c>
      <c r="K17628" s="1" t="str">
        <f t="shared" si="4"/>
        <v/>
      </c>
    </row>
    <row r="17629">
      <c r="F17629" s="1" t="str">
        <f t="shared" si="1"/>
        <v/>
      </c>
      <c r="G17629" s="1" t="str">
        <f t="shared" si="2"/>
        <v/>
      </c>
      <c r="J17629" s="1" t="str">
        <f t="shared" si="3"/>
        <v/>
      </c>
      <c r="K17629" s="1" t="str">
        <f t="shared" si="4"/>
        <v/>
      </c>
    </row>
    <row r="17630">
      <c r="F17630" s="1" t="str">
        <f t="shared" si="1"/>
        <v/>
      </c>
      <c r="G17630" s="1" t="str">
        <f t="shared" si="2"/>
        <v/>
      </c>
      <c r="J17630" s="1" t="str">
        <f t="shared" si="3"/>
        <v/>
      </c>
      <c r="K17630" s="1" t="str">
        <f t="shared" si="4"/>
        <v/>
      </c>
    </row>
    <row r="17631">
      <c r="F17631" s="1" t="str">
        <f t="shared" si="1"/>
        <v/>
      </c>
      <c r="G17631" s="1" t="str">
        <f t="shared" si="2"/>
        <v/>
      </c>
      <c r="J17631" s="1" t="str">
        <f t="shared" si="3"/>
        <v/>
      </c>
      <c r="K17631" s="1" t="str">
        <f t="shared" si="4"/>
        <v/>
      </c>
    </row>
    <row r="17632">
      <c r="F17632" s="1" t="str">
        <f t="shared" si="1"/>
        <v/>
      </c>
      <c r="G17632" s="1" t="str">
        <f t="shared" si="2"/>
        <v/>
      </c>
      <c r="J17632" s="1" t="str">
        <f t="shared" si="3"/>
        <v/>
      </c>
      <c r="K17632" s="1" t="str">
        <f t="shared" si="4"/>
        <v/>
      </c>
    </row>
    <row r="17633">
      <c r="F17633" s="1" t="str">
        <f t="shared" si="1"/>
        <v/>
      </c>
      <c r="G17633" s="1" t="str">
        <f t="shared" si="2"/>
        <v/>
      </c>
      <c r="J17633" s="1" t="str">
        <f t="shared" si="3"/>
        <v/>
      </c>
      <c r="K17633" s="1" t="str">
        <f t="shared" si="4"/>
        <v/>
      </c>
    </row>
    <row r="17634">
      <c r="F17634" s="1" t="str">
        <f t="shared" si="1"/>
        <v/>
      </c>
      <c r="G17634" s="1" t="str">
        <f t="shared" si="2"/>
        <v/>
      </c>
      <c r="J17634" s="1" t="str">
        <f t="shared" si="3"/>
        <v/>
      </c>
      <c r="K17634" s="1" t="str">
        <f t="shared" si="4"/>
        <v/>
      </c>
    </row>
    <row r="17635">
      <c r="F17635" s="1" t="str">
        <f t="shared" si="1"/>
        <v/>
      </c>
      <c r="G17635" s="1" t="str">
        <f t="shared" si="2"/>
        <v/>
      </c>
      <c r="J17635" s="1" t="str">
        <f t="shared" si="3"/>
        <v/>
      </c>
      <c r="K17635" s="1" t="str">
        <f t="shared" si="4"/>
        <v/>
      </c>
    </row>
    <row r="17636">
      <c r="F17636" s="1" t="str">
        <f t="shared" si="1"/>
        <v/>
      </c>
      <c r="G17636" s="1" t="str">
        <f t="shared" si="2"/>
        <v/>
      </c>
      <c r="J17636" s="1" t="str">
        <f t="shared" si="3"/>
        <v/>
      </c>
      <c r="K17636" s="1" t="str">
        <f t="shared" si="4"/>
        <v/>
      </c>
    </row>
    <row r="17637">
      <c r="F17637" s="1" t="str">
        <f t="shared" si="1"/>
        <v/>
      </c>
      <c r="G17637" s="1" t="str">
        <f t="shared" si="2"/>
        <v/>
      </c>
      <c r="J17637" s="1" t="str">
        <f t="shared" si="3"/>
        <v/>
      </c>
      <c r="K17637" s="1" t="str">
        <f t="shared" si="4"/>
        <v/>
      </c>
    </row>
    <row r="17638">
      <c r="F17638" s="1" t="str">
        <f t="shared" si="1"/>
        <v/>
      </c>
      <c r="G17638" s="1" t="str">
        <f t="shared" si="2"/>
        <v/>
      </c>
      <c r="J17638" s="1" t="str">
        <f t="shared" si="3"/>
        <v/>
      </c>
      <c r="K17638" s="1" t="str">
        <f t="shared" si="4"/>
        <v/>
      </c>
    </row>
    <row r="17639">
      <c r="F17639" s="1" t="str">
        <f t="shared" si="1"/>
        <v/>
      </c>
      <c r="G17639" s="1" t="str">
        <f t="shared" si="2"/>
        <v/>
      </c>
      <c r="J17639" s="1" t="str">
        <f t="shared" si="3"/>
        <v/>
      </c>
      <c r="K17639" s="1" t="str">
        <f t="shared" si="4"/>
        <v/>
      </c>
    </row>
    <row r="17640">
      <c r="F17640" s="1" t="str">
        <f t="shared" si="1"/>
        <v/>
      </c>
      <c r="G17640" s="1" t="str">
        <f t="shared" si="2"/>
        <v/>
      </c>
      <c r="J17640" s="1" t="str">
        <f t="shared" si="3"/>
        <v/>
      </c>
      <c r="K17640" s="1" t="str">
        <f t="shared" si="4"/>
        <v/>
      </c>
    </row>
    <row r="17641">
      <c r="F17641" s="1" t="str">
        <f t="shared" si="1"/>
        <v/>
      </c>
      <c r="G17641" s="1" t="str">
        <f t="shared" si="2"/>
        <v/>
      </c>
      <c r="J17641" s="1" t="str">
        <f t="shared" si="3"/>
        <v/>
      </c>
      <c r="K17641" s="1" t="str">
        <f t="shared" si="4"/>
        <v/>
      </c>
    </row>
    <row r="17642">
      <c r="F17642" s="1" t="str">
        <f t="shared" si="1"/>
        <v/>
      </c>
      <c r="G17642" s="1" t="str">
        <f t="shared" si="2"/>
        <v/>
      </c>
      <c r="J17642" s="1" t="str">
        <f t="shared" si="3"/>
        <v/>
      </c>
      <c r="K17642" s="1" t="str">
        <f t="shared" si="4"/>
        <v/>
      </c>
    </row>
    <row r="17643">
      <c r="F17643" s="1" t="str">
        <f t="shared" si="1"/>
        <v/>
      </c>
      <c r="G17643" s="1" t="str">
        <f t="shared" si="2"/>
        <v/>
      </c>
      <c r="J17643" s="1" t="str">
        <f t="shared" si="3"/>
        <v/>
      </c>
      <c r="K17643" s="1" t="str">
        <f t="shared" si="4"/>
        <v/>
      </c>
    </row>
    <row r="17644">
      <c r="F17644" s="1" t="str">
        <f t="shared" si="1"/>
        <v/>
      </c>
      <c r="G17644" s="1" t="str">
        <f t="shared" si="2"/>
        <v/>
      </c>
      <c r="J17644" s="1" t="str">
        <f t="shared" si="3"/>
        <v/>
      </c>
      <c r="K17644" s="1" t="str">
        <f t="shared" si="4"/>
        <v/>
      </c>
    </row>
    <row r="17645">
      <c r="F17645" s="1" t="str">
        <f t="shared" si="1"/>
        <v/>
      </c>
      <c r="G17645" s="1" t="str">
        <f t="shared" si="2"/>
        <v/>
      </c>
      <c r="J17645" s="1" t="str">
        <f t="shared" si="3"/>
        <v/>
      </c>
      <c r="K17645" s="1" t="str">
        <f t="shared" si="4"/>
        <v/>
      </c>
    </row>
    <row r="17646">
      <c r="F17646" s="1" t="str">
        <f t="shared" si="1"/>
        <v/>
      </c>
      <c r="G17646" s="1" t="str">
        <f t="shared" si="2"/>
        <v/>
      </c>
      <c r="J17646" s="1" t="str">
        <f t="shared" si="3"/>
        <v/>
      </c>
      <c r="K17646" s="1" t="str">
        <f t="shared" si="4"/>
        <v/>
      </c>
    </row>
    <row r="17647">
      <c r="F17647" s="1" t="str">
        <f t="shared" si="1"/>
        <v/>
      </c>
      <c r="G17647" s="1" t="str">
        <f t="shared" si="2"/>
        <v/>
      </c>
      <c r="J17647" s="1" t="str">
        <f t="shared" si="3"/>
        <v/>
      </c>
      <c r="K17647" s="1" t="str">
        <f t="shared" si="4"/>
        <v/>
      </c>
    </row>
    <row r="17648">
      <c r="F17648" s="1" t="str">
        <f t="shared" si="1"/>
        <v/>
      </c>
      <c r="G17648" s="1" t="str">
        <f t="shared" si="2"/>
        <v/>
      </c>
      <c r="J17648" s="1" t="str">
        <f t="shared" si="3"/>
        <v/>
      </c>
      <c r="K17648" s="1" t="str">
        <f t="shared" si="4"/>
        <v/>
      </c>
    </row>
    <row r="17649">
      <c r="F17649" s="1" t="str">
        <f t="shared" si="1"/>
        <v/>
      </c>
      <c r="G17649" s="1" t="str">
        <f t="shared" si="2"/>
        <v/>
      </c>
      <c r="J17649" s="1" t="str">
        <f t="shared" si="3"/>
        <v/>
      </c>
      <c r="K17649" s="1" t="str">
        <f t="shared" si="4"/>
        <v/>
      </c>
    </row>
    <row r="17650">
      <c r="F17650" s="1" t="str">
        <f t="shared" si="1"/>
        <v/>
      </c>
      <c r="G17650" s="1" t="str">
        <f t="shared" si="2"/>
        <v/>
      </c>
      <c r="J17650" s="1" t="str">
        <f t="shared" si="3"/>
        <v/>
      </c>
      <c r="K17650" s="1" t="str">
        <f t="shared" si="4"/>
        <v/>
      </c>
    </row>
    <row r="17651">
      <c r="F17651" s="1" t="str">
        <f t="shared" si="1"/>
        <v/>
      </c>
      <c r="G17651" s="1" t="str">
        <f t="shared" si="2"/>
        <v/>
      </c>
      <c r="J17651" s="1" t="str">
        <f t="shared" si="3"/>
        <v/>
      </c>
      <c r="K17651" s="1" t="str">
        <f t="shared" si="4"/>
        <v/>
      </c>
    </row>
    <row r="17652">
      <c r="F17652" s="1" t="str">
        <f t="shared" si="1"/>
        <v/>
      </c>
      <c r="G17652" s="1" t="str">
        <f t="shared" si="2"/>
        <v/>
      </c>
      <c r="J17652" s="1" t="str">
        <f t="shared" si="3"/>
        <v/>
      </c>
      <c r="K17652" s="1" t="str">
        <f t="shared" si="4"/>
        <v/>
      </c>
    </row>
    <row r="17653">
      <c r="F17653" s="1" t="str">
        <f t="shared" si="1"/>
        <v/>
      </c>
      <c r="G17653" s="1" t="str">
        <f t="shared" si="2"/>
        <v/>
      </c>
      <c r="J17653" s="1" t="str">
        <f t="shared" si="3"/>
        <v/>
      </c>
      <c r="K17653" s="1" t="str">
        <f t="shared" si="4"/>
        <v/>
      </c>
    </row>
    <row r="17654">
      <c r="F17654" s="1" t="str">
        <f t="shared" si="1"/>
        <v/>
      </c>
      <c r="G17654" s="1" t="str">
        <f t="shared" si="2"/>
        <v/>
      </c>
      <c r="J17654" s="1" t="str">
        <f t="shared" si="3"/>
        <v/>
      </c>
      <c r="K17654" s="1" t="str">
        <f t="shared" si="4"/>
        <v/>
      </c>
    </row>
    <row r="17655">
      <c r="F17655" s="1" t="str">
        <f t="shared" si="1"/>
        <v/>
      </c>
      <c r="G17655" s="1" t="str">
        <f t="shared" si="2"/>
        <v/>
      </c>
      <c r="J17655" s="1" t="str">
        <f t="shared" si="3"/>
        <v/>
      </c>
      <c r="K17655" s="1" t="str">
        <f t="shared" si="4"/>
        <v/>
      </c>
    </row>
    <row r="17656">
      <c r="F17656" s="1" t="str">
        <f t="shared" si="1"/>
        <v/>
      </c>
      <c r="G17656" s="1" t="str">
        <f t="shared" si="2"/>
        <v/>
      </c>
      <c r="J17656" s="1" t="str">
        <f t="shared" si="3"/>
        <v/>
      </c>
      <c r="K17656" s="1" t="str">
        <f t="shared" si="4"/>
        <v/>
      </c>
    </row>
    <row r="17657">
      <c r="F17657" s="1" t="str">
        <f t="shared" si="1"/>
        <v/>
      </c>
      <c r="G17657" s="1" t="str">
        <f t="shared" si="2"/>
        <v/>
      </c>
      <c r="J17657" s="1" t="str">
        <f t="shared" si="3"/>
        <v/>
      </c>
      <c r="K17657" s="1" t="str">
        <f t="shared" si="4"/>
        <v/>
      </c>
    </row>
    <row r="17658">
      <c r="F17658" s="1" t="str">
        <f t="shared" si="1"/>
        <v/>
      </c>
      <c r="G17658" s="1" t="str">
        <f t="shared" si="2"/>
        <v/>
      </c>
      <c r="J17658" s="1" t="str">
        <f t="shared" si="3"/>
        <v/>
      </c>
      <c r="K17658" s="1" t="str">
        <f t="shared" si="4"/>
        <v/>
      </c>
    </row>
    <row r="17659">
      <c r="F17659" s="1" t="str">
        <f t="shared" si="1"/>
        <v/>
      </c>
      <c r="G17659" s="1" t="str">
        <f t="shared" si="2"/>
        <v/>
      </c>
      <c r="J17659" s="1" t="str">
        <f t="shared" si="3"/>
        <v/>
      </c>
      <c r="K17659" s="1" t="str">
        <f t="shared" si="4"/>
        <v/>
      </c>
    </row>
    <row r="17660">
      <c r="F17660" s="1" t="str">
        <f t="shared" si="1"/>
        <v/>
      </c>
      <c r="G17660" s="1" t="str">
        <f t="shared" si="2"/>
        <v/>
      </c>
      <c r="J17660" s="1" t="str">
        <f t="shared" si="3"/>
        <v/>
      </c>
      <c r="K17660" s="1" t="str">
        <f t="shared" si="4"/>
        <v/>
      </c>
    </row>
    <row r="17661">
      <c r="F17661" s="1" t="str">
        <f t="shared" si="1"/>
        <v/>
      </c>
      <c r="G17661" s="1" t="str">
        <f t="shared" si="2"/>
        <v/>
      </c>
      <c r="J17661" s="1" t="str">
        <f t="shared" si="3"/>
        <v/>
      </c>
      <c r="K17661" s="1" t="str">
        <f t="shared" si="4"/>
        <v/>
      </c>
    </row>
    <row r="17662">
      <c r="F17662" s="1" t="str">
        <f t="shared" si="1"/>
        <v/>
      </c>
      <c r="G17662" s="1" t="str">
        <f t="shared" si="2"/>
        <v/>
      </c>
      <c r="J17662" s="1" t="str">
        <f t="shared" si="3"/>
        <v/>
      </c>
      <c r="K17662" s="1" t="str">
        <f t="shared" si="4"/>
        <v/>
      </c>
    </row>
    <row r="17663">
      <c r="F17663" s="1" t="str">
        <f t="shared" si="1"/>
        <v/>
      </c>
      <c r="G17663" s="1" t="str">
        <f t="shared" si="2"/>
        <v/>
      </c>
      <c r="J17663" s="1" t="str">
        <f t="shared" si="3"/>
        <v/>
      </c>
      <c r="K17663" s="1" t="str">
        <f t="shared" si="4"/>
        <v/>
      </c>
    </row>
    <row r="17664">
      <c r="F17664" s="1" t="str">
        <f t="shared" si="1"/>
        <v/>
      </c>
      <c r="G17664" s="1" t="str">
        <f t="shared" si="2"/>
        <v/>
      </c>
      <c r="J17664" s="1" t="str">
        <f t="shared" si="3"/>
        <v/>
      </c>
      <c r="K17664" s="1" t="str">
        <f t="shared" si="4"/>
        <v/>
      </c>
    </row>
    <row r="17665">
      <c r="F17665" s="1" t="str">
        <f t="shared" si="1"/>
        <v/>
      </c>
      <c r="G17665" s="1" t="str">
        <f t="shared" si="2"/>
        <v/>
      </c>
      <c r="J17665" s="1" t="str">
        <f t="shared" si="3"/>
        <v/>
      </c>
      <c r="K17665" s="1" t="str">
        <f t="shared" si="4"/>
        <v/>
      </c>
    </row>
    <row r="17666">
      <c r="F17666" s="1" t="str">
        <f t="shared" si="1"/>
        <v/>
      </c>
      <c r="G17666" s="1" t="str">
        <f t="shared" si="2"/>
        <v/>
      </c>
      <c r="J17666" s="1" t="str">
        <f t="shared" si="3"/>
        <v/>
      </c>
      <c r="K17666" s="1" t="str">
        <f t="shared" si="4"/>
        <v/>
      </c>
    </row>
    <row r="17667">
      <c r="F17667" s="1" t="str">
        <f t="shared" si="1"/>
        <v/>
      </c>
      <c r="G17667" s="1" t="str">
        <f t="shared" si="2"/>
        <v/>
      </c>
      <c r="J17667" s="1" t="str">
        <f t="shared" si="3"/>
        <v/>
      </c>
      <c r="K17667" s="1" t="str">
        <f t="shared" si="4"/>
        <v/>
      </c>
    </row>
    <row r="17668">
      <c r="F17668" s="1" t="str">
        <f t="shared" si="1"/>
        <v/>
      </c>
      <c r="G17668" s="1" t="str">
        <f t="shared" si="2"/>
        <v/>
      </c>
      <c r="J17668" s="1" t="str">
        <f t="shared" si="3"/>
        <v/>
      </c>
      <c r="K17668" s="1" t="str">
        <f t="shared" si="4"/>
        <v/>
      </c>
    </row>
    <row r="17669">
      <c r="F17669" s="1" t="str">
        <f t="shared" si="1"/>
        <v/>
      </c>
      <c r="G17669" s="1" t="str">
        <f t="shared" si="2"/>
        <v/>
      </c>
      <c r="J17669" s="1" t="str">
        <f t="shared" si="3"/>
        <v/>
      </c>
      <c r="K17669" s="1" t="str">
        <f t="shared" si="4"/>
        <v/>
      </c>
    </row>
    <row r="17670">
      <c r="F17670" s="1" t="str">
        <f t="shared" si="1"/>
        <v/>
      </c>
      <c r="G17670" s="1" t="str">
        <f t="shared" si="2"/>
        <v/>
      </c>
      <c r="J17670" s="1" t="str">
        <f t="shared" si="3"/>
        <v/>
      </c>
      <c r="K17670" s="1" t="str">
        <f t="shared" si="4"/>
        <v/>
      </c>
    </row>
    <row r="17671">
      <c r="F17671" s="1" t="str">
        <f t="shared" si="1"/>
        <v/>
      </c>
      <c r="G17671" s="1" t="str">
        <f t="shared" si="2"/>
        <v/>
      </c>
      <c r="J17671" s="1" t="str">
        <f t="shared" si="3"/>
        <v/>
      </c>
      <c r="K17671" s="1" t="str">
        <f t="shared" si="4"/>
        <v/>
      </c>
    </row>
    <row r="17672">
      <c r="F17672" s="1" t="str">
        <f t="shared" si="1"/>
        <v/>
      </c>
      <c r="G17672" s="1" t="str">
        <f t="shared" si="2"/>
        <v/>
      </c>
      <c r="J17672" s="1" t="str">
        <f t="shared" si="3"/>
        <v/>
      </c>
      <c r="K17672" s="1" t="str">
        <f t="shared" si="4"/>
        <v/>
      </c>
    </row>
    <row r="17673">
      <c r="F17673" s="1" t="str">
        <f t="shared" si="1"/>
        <v/>
      </c>
      <c r="G17673" s="1" t="str">
        <f t="shared" si="2"/>
        <v/>
      </c>
      <c r="J17673" s="1" t="str">
        <f t="shared" si="3"/>
        <v/>
      </c>
      <c r="K17673" s="1" t="str">
        <f t="shared" si="4"/>
        <v/>
      </c>
    </row>
    <row r="17674">
      <c r="F17674" s="1" t="str">
        <f t="shared" si="1"/>
        <v/>
      </c>
      <c r="G17674" s="1" t="str">
        <f t="shared" si="2"/>
        <v/>
      </c>
      <c r="J17674" s="1" t="str">
        <f t="shared" si="3"/>
        <v/>
      </c>
      <c r="K17674" s="1" t="str">
        <f t="shared" si="4"/>
        <v/>
      </c>
    </row>
    <row r="17675">
      <c r="F17675" s="1" t="str">
        <f t="shared" si="1"/>
        <v/>
      </c>
      <c r="G17675" s="1" t="str">
        <f t="shared" si="2"/>
        <v/>
      </c>
      <c r="J17675" s="1" t="str">
        <f t="shared" si="3"/>
        <v/>
      </c>
      <c r="K17675" s="1" t="str">
        <f t="shared" si="4"/>
        <v/>
      </c>
    </row>
    <row r="17676">
      <c r="F17676" s="1" t="str">
        <f t="shared" si="1"/>
        <v/>
      </c>
      <c r="G17676" s="1" t="str">
        <f t="shared" si="2"/>
        <v/>
      </c>
      <c r="J17676" s="1" t="str">
        <f t="shared" si="3"/>
        <v/>
      </c>
      <c r="K17676" s="1" t="str">
        <f t="shared" si="4"/>
        <v/>
      </c>
    </row>
    <row r="17677">
      <c r="F17677" s="1" t="str">
        <f t="shared" si="1"/>
        <v/>
      </c>
      <c r="G17677" s="1" t="str">
        <f t="shared" si="2"/>
        <v/>
      </c>
      <c r="J17677" s="1" t="str">
        <f t="shared" si="3"/>
        <v/>
      </c>
      <c r="K17677" s="1" t="str">
        <f t="shared" si="4"/>
        <v/>
      </c>
    </row>
    <row r="17678">
      <c r="F17678" s="1" t="str">
        <f t="shared" si="1"/>
        <v/>
      </c>
      <c r="G17678" s="1" t="str">
        <f t="shared" si="2"/>
        <v/>
      </c>
      <c r="J17678" s="1" t="str">
        <f t="shared" si="3"/>
        <v/>
      </c>
      <c r="K17678" s="1" t="str">
        <f t="shared" si="4"/>
        <v/>
      </c>
    </row>
    <row r="17679">
      <c r="F17679" s="1" t="str">
        <f t="shared" si="1"/>
        <v/>
      </c>
      <c r="G17679" s="1" t="str">
        <f t="shared" si="2"/>
        <v/>
      </c>
      <c r="J17679" s="1" t="str">
        <f t="shared" si="3"/>
        <v/>
      </c>
      <c r="K17679" s="1" t="str">
        <f t="shared" si="4"/>
        <v/>
      </c>
    </row>
    <row r="17680">
      <c r="F17680" s="1" t="str">
        <f t="shared" si="1"/>
        <v/>
      </c>
      <c r="G17680" s="1" t="str">
        <f t="shared" si="2"/>
        <v/>
      </c>
      <c r="J17680" s="1" t="str">
        <f t="shared" si="3"/>
        <v/>
      </c>
      <c r="K17680" s="1" t="str">
        <f t="shared" si="4"/>
        <v/>
      </c>
    </row>
    <row r="17681">
      <c r="F17681" s="1" t="str">
        <f t="shared" si="1"/>
        <v/>
      </c>
      <c r="G17681" s="1" t="str">
        <f t="shared" si="2"/>
        <v/>
      </c>
      <c r="J17681" s="1" t="str">
        <f t="shared" si="3"/>
        <v/>
      </c>
      <c r="K17681" s="1" t="str">
        <f t="shared" si="4"/>
        <v/>
      </c>
    </row>
    <row r="17682">
      <c r="F17682" s="1" t="str">
        <f t="shared" si="1"/>
        <v/>
      </c>
      <c r="G17682" s="1" t="str">
        <f t="shared" si="2"/>
        <v/>
      </c>
      <c r="J17682" s="1" t="str">
        <f t="shared" si="3"/>
        <v/>
      </c>
      <c r="K17682" s="1" t="str">
        <f t="shared" si="4"/>
        <v/>
      </c>
    </row>
    <row r="17683">
      <c r="F17683" s="1" t="str">
        <f t="shared" si="1"/>
        <v/>
      </c>
      <c r="G17683" s="1" t="str">
        <f t="shared" si="2"/>
        <v/>
      </c>
      <c r="J17683" s="1" t="str">
        <f t="shared" si="3"/>
        <v/>
      </c>
      <c r="K17683" s="1" t="str">
        <f t="shared" si="4"/>
        <v/>
      </c>
    </row>
    <row r="17684">
      <c r="F17684" s="1" t="str">
        <f t="shared" si="1"/>
        <v/>
      </c>
      <c r="G17684" s="1" t="str">
        <f t="shared" si="2"/>
        <v/>
      </c>
      <c r="J17684" s="1" t="str">
        <f t="shared" si="3"/>
        <v/>
      </c>
      <c r="K17684" s="1" t="str">
        <f t="shared" si="4"/>
        <v/>
      </c>
    </row>
    <row r="17685">
      <c r="F17685" s="1" t="str">
        <f t="shared" si="1"/>
        <v/>
      </c>
      <c r="G17685" s="1" t="str">
        <f t="shared" si="2"/>
        <v/>
      </c>
      <c r="J17685" s="1" t="str">
        <f t="shared" si="3"/>
        <v/>
      </c>
      <c r="K17685" s="1" t="str">
        <f t="shared" si="4"/>
        <v/>
      </c>
    </row>
    <row r="17686">
      <c r="F17686" s="1" t="str">
        <f t="shared" si="1"/>
        <v/>
      </c>
      <c r="G17686" s="1" t="str">
        <f t="shared" si="2"/>
        <v/>
      </c>
      <c r="J17686" s="1" t="str">
        <f t="shared" si="3"/>
        <v/>
      </c>
      <c r="K17686" s="1" t="str">
        <f t="shared" si="4"/>
        <v/>
      </c>
    </row>
    <row r="17687">
      <c r="F17687" s="1" t="str">
        <f t="shared" si="1"/>
        <v/>
      </c>
      <c r="G17687" s="1" t="str">
        <f t="shared" si="2"/>
        <v/>
      </c>
      <c r="J17687" s="1" t="str">
        <f t="shared" si="3"/>
        <v/>
      </c>
      <c r="K17687" s="1" t="str">
        <f t="shared" si="4"/>
        <v/>
      </c>
    </row>
    <row r="17688">
      <c r="F17688" s="1" t="str">
        <f t="shared" si="1"/>
        <v/>
      </c>
      <c r="G17688" s="1" t="str">
        <f t="shared" si="2"/>
        <v/>
      </c>
      <c r="J17688" s="1" t="str">
        <f t="shared" si="3"/>
        <v/>
      </c>
      <c r="K17688" s="1" t="str">
        <f t="shared" si="4"/>
        <v/>
      </c>
    </row>
    <row r="17689">
      <c r="F17689" s="1" t="str">
        <f t="shared" si="1"/>
        <v/>
      </c>
      <c r="G17689" s="1" t="str">
        <f t="shared" si="2"/>
        <v/>
      </c>
      <c r="J17689" s="1" t="str">
        <f t="shared" si="3"/>
        <v/>
      </c>
      <c r="K17689" s="1" t="str">
        <f t="shared" si="4"/>
        <v/>
      </c>
    </row>
    <row r="17690">
      <c r="F17690" s="1" t="str">
        <f t="shared" si="1"/>
        <v/>
      </c>
      <c r="G17690" s="1" t="str">
        <f t="shared" si="2"/>
        <v/>
      </c>
      <c r="J17690" s="1" t="str">
        <f t="shared" si="3"/>
        <v/>
      </c>
      <c r="K17690" s="1" t="str">
        <f t="shared" si="4"/>
        <v/>
      </c>
    </row>
    <row r="17691">
      <c r="F17691" s="1" t="str">
        <f t="shared" si="1"/>
        <v/>
      </c>
      <c r="G17691" s="1" t="str">
        <f t="shared" si="2"/>
        <v/>
      </c>
      <c r="J17691" s="1" t="str">
        <f t="shared" si="3"/>
        <v/>
      </c>
      <c r="K17691" s="1" t="str">
        <f t="shared" si="4"/>
        <v/>
      </c>
    </row>
    <row r="17692">
      <c r="F17692" s="1" t="str">
        <f t="shared" si="1"/>
        <v/>
      </c>
      <c r="G17692" s="1" t="str">
        <f t="shared" si="2"/>
        <v/>
      </c>
      <c r="J17692" s="1" t="str">
        <f t="shared" si="3"/>
        <v/>
      </c>
      <c r="K17692" s="1" t="str">
        <f t="shared" si="4"/>
        <v/>
      </c>
    </row>
    <row r="17693">
      <c r="F17693" s="1" t="str">
        <f t="shared" si="1"/>
        <v/>
      </c>
      <c r="G17693" s="1" t="str">
        <f t="shared" si="2"/>
        <v/>
      </c>
      <c r="J17693" s="1" t="str">
        <f t="shared" si="3"/>
        <v/>
      </c>
      <c r="K17693" s="1" t="str">
        <f t="shared" si="4"/>
        <v/>
      </c>
    </row>
    <row r="17694">
      <c r="F17694" s="1" t="str">
        <f t="shared" si="1"/>
        <v/>
      </c>
      <c r="G17694" s="1" t="str">
        <f t="shared" si="2"/>
        <v/>
      </c>
      <c r="J17694" s="1" t="str">
        <f t="shared" si="3"/>
        <v/>
      </c>
      <c r="K17694" s="1" t="str">
        <f t="shared" si="4"/>
        <v/>
      </c>
    </row>
    <row r="17695">
      <c r="F17695" s="1" t="str">
        <f t="shared" si="1"/>
        <v/>
      </c>
      <c r="G17695" s="1" t="str">
        <f t="shared" si="2"/>
        <v/>
      </c>
      <c r="J17695" s="1" t="str">
        <f t="shared" si="3"/>
        <v/>
      </c>
      <c r="K17695" s="1" t="str">
        <f t="shared" si="4"/>
        <v/>
      </c>
    </row>
    <row r="17696">
      <c r="F17696" s="1" t="str">
        <f t="shared" si="1"/>
        <v/>
      </c>
      <c r="G17696" s="1" t="str">
        <f t="shared" si="2"/>
        <v/>
      </c>
      <c r="J17696" s="1" t="str">
        <f t="shared" si="3"/>
        <v/>
      </c>
      <c r="K17696" s="1" t="str">
        <f t="shared" si="4"/>
        <v/>
      </c>
    </row>
    <row r="17697">
      <c r="F17697" s="1" t="str">
        <f t="shared" si="1"/>
        <v/>
      </c>
      <c r="G17697" s="1" t="str">
        <f t="shared" si="2"/>
        <v/>
      </c>
      <c r="J17697" s="1" t="str">
        <f t="shared" si="3"/>
        <v/>
      </c>
      <c r="K17697" s="1" t="str">
        <f t="shared" si="4"/>
        <v/>
      </c>
    </row>
    <row r="17698">
      <c r="F17698" s="1" t="str">
        <f t="shared" si="1"/>
        <v/>
      </c>
      <c r="G17698" s="1" t="str">
        <f t="shared" si="2"/>
        <v/>
      </c>
      <c r="J17698" s="1" t="str">
        <f t="shared" si="3"/>
        <v/>
      </c>
      <c r="K17698" s="1" t="str">
        <f t="shared" si="4"/>
        <v/>
      </c>
    </row>
    <row r="17699">
      <c r="F17699" s="1" t="str">
        <f t="shared" si="1"/>
        <v/>
      </c>
      <c r="G17699" s="1" t="str">
        <f t="shared" si="2"/>
        <v/>
      </c>
      <c r="J17699" s="1" t="str">
        <f t="shared" si="3"/>
        <v/>
      </c>
      <c r="K17699" s="1" t="str">
        <f t="shared" si="4"/>
        <v/>
      </c>
    </row>
    <row r="17700">
      <c r="F17700" s="1" t="str">
        <f t="shared" si="1"/>
        <v/>
      </c>
      <c r="G17700" s="1" t="str">
        <f t="shared" si="2"/>
        <v/>
      </c>
      <c r="J17700" s="1" t="str">
        <f t="shared" si="3"/>
        <v/>
      </c>
      <c r="K17700" s="1" t="str">
        <f t="shared" si="4"/>
        <v/>
      </c>
    </row>
    <row r="17701">
      <c r="F17701" s="1" t="str">
        <f t="shared" si="1"/>
        <v/>
      </c>
      <c r="G17701" s="1" t="str">
        <f t="shared" si="2"/>
        <v/>
      </c>
      <c r="J17701" s="1" t="str">
        <f t="shared" si="3"/>
        <v/>
      </c>
      <c r="K17701" s="1" t="str">
        <f t="shared" si="4"/>
        <v/>
      </c>
    </row>
    <row r="17702">
      <c r="F17702" s="1" t="str">
        <f t="shared" si="1"/>
        <v/>
      </c>
      <c r="G17702" s="1" t="str">
        <f t="shared" si="2"/>
        <v/>
      </c>
      <c r="J17702" s="1" t="str">
        <f t="shared" si="3"/>
        <v/>
      </c>
      <c r="K17702" s="1" t="str">
        <f t="shared" si="4"/>
        <v/>
      </c>
    </row>
    <row r="17703">
      <c r="F17703" s="1" t="str">
        <f t="shared" si="1"/>
        <v/>
      </c>
      <c r="G17703" s="1" t="str">
        <f t="shared" si="2"/>
        <v/>
      </c>
      <c r="J17703" s="1" t="str">
        <f t="shared" si="3"/>
        <v/>
      </c>
      <c r="K17703" s="1" t="str">
        <f t="shared" si="4"/>
        <v/>
      </c>
    </row>
    <row r="17704">
      <c r="F17704" s="1" t="str">
        <f t="shared" si="1"/>
        <v/>
      </c>
      <c r="G17704" s="1" t="str">
        <f t="shared" si="2"/>
        <v/>
      </c>
      <c r="J17704" s="1" t="str">
        <f t="shared" si="3"/>
        <v/>
      </c>
      <c r="K17704" s="1" t="str">
        <f t="shared" si="4"/>
        <v/>
      </c>
    </row>
    <row r="17705">
      <c r="F17705" s="1" t="str">
        <f t="shared" si="1"/>
        <v/>
      </c>
      <c r="G17705" s="1" t="str">
        <f t="shared" si="2"/>
        <v/>
      </c>
      <c r="J17705" s="1" t="str">
        <f t="shared" si="3"/>
        <v/>
      </c>
      <c r="K17705" s="1" t="str">
        <f t="shared" si="4"/>
        <v/>
      </c>
    </row>
    <row r="17706">
      <c r="F17706" s="1" t="str">
        <f t="shared" si="1"/>
        <v/>
      </c>
      <c r="G17706" s="1" t="str">
        <f t="shared" si="2"/>
        <v/>
      </c>
      <c r="J17706" s="1" t="str">
        <f t="shared" si="3"/>
        <v/>
      </c>
      <c r="K17706" s="1" t="str">
        <f t="shared" si="4"/>
        <v/>
      </c>
    </row>
    <row r="17707">
      <c r="F17707" s="1" t="str">
        <f t="shared" si="1"/>
        <v/>
      </c>
      <c r="G17707" s="1" t="str">
        <f t="shared" si="2"/>
        <v/>
      </c>
      <c r="J17707" s="1" t="str">
        <f t="shared" si="3"/>
        <v/>
      </c>
      <c r="K17707" s="1" t="str">
        <f t="shared" si="4"/>
        <v/>
      </c>
    </row>
    <row r="17708">
      <c r="F17708" s="1" t="str">
        <f t="shared" si="1"/>
        <v/>
      </c>
      <c r="G17708" s="1" t="str">
        <f t="shared" si="2"/>
        <v/>
      </c>
      <c r="J17708" s="1" t="str">
        <f t="shared" si="3"/>
        <v/>
      </c>
      <c r="K17708" s="1" t="str">
        <f t="shared" si="4"/>
        <v/>
      </c>
    </row>
    <row r="17709">
      <c r="F17709" s="1" t="str">
        <f t="shared" si="1"/>
        <v/>
      </c>
      <c r="G17709" s="1" t="str">
        <f t="shared" si="2"/>
        <v/>
      </c>
      <c r="J17709" s="1" t="str">
        <f t="shared" si="3"/>
        <v/>
      </c>
      <c r="K17709" s="1" t="str">
        <f t="shared" si="4"/>
        <v/>
      </c>
    </row>
    <row r="17710">
      <c r="F17710" s="1" t="str">
        <f t="shared" si="1"/>
        <v/>
      </c>
      <c r="G17710" s="1" t="str">
        <f t="shared" si="2"/>
        <v/>
      </c>
      <c r="J17710" s="1" t="str">
        <f t="shared" si="3"/>
        <v/>
      </c>
      <c r="K17710" s="1" t="str">
        <f t="shared" si="4"/>
        <v/>
      </c>
    </row>
    <row r="17711">
      <c r="F17711" s="1" t="str">
        <f t="shared" si="1"/>
        <v/>
      </c>
      <c r="G17711" s="1" t="str">
        <f t="shared" si="2"/>
        <v/>
      </c>
      <c r="J17711" s="1" t="str">
        <f t="shared" si="3"/>
        <v/>
      </c>
      <c r="K17711" s="1" t="str">
        <f t="shared" si="4"/>
        <v/>
      </c>
    </row>
    <row r="17712">
      <c r="F17712" s="1" t="str">
        <f t="shared" si="1"/>
        <v/>
      </c>
      <c r="G17712" s="1" t="str">
        <f t="shared" si="2"/>
        <v/>
      </c>
      <c r="J17712" s="1" t="str">
        <f t="shared" si="3"/>
        <v/>
      </c>
      <c r="K17712" s="1" t="str">
        <f t="shared" si="4"/>
        <v/>
      </c>
    </row>
    <row r="17713">
      <c r="F17713" s="1" t="str">
        <f t="shared" si="1"/>
        <v/>
      </c>
      <c r="G17713" s="1" t="str">
        <f t="shared" si="2"/>
        <v/>
      </c>
      <c r="J17713" s="1" t="str">
        <f t="shared" si="3"/>
        <v/>
      </c>
      <c r="K17713" s="1" t="str">
        <f t="shared" si="4"/>
        <v/>
      </c>
    </row>
    <row r="17714">
      <c r="F17714" s="1" t="str">
        <f t="shared" si="1"/>
        <v/>
      </c>
      <c r="G17714" s="1" t="str">
        <f t="shared" si="2"/>
        <v/>
      </c>
      <c r="J17714" s="1" t="str">
        <f t="shared" si="3"/>
        <v/>
      </c>
      <c r="K17714" s="1" t="str">
        <f t="shared" si="4"/>
        <v/>
      </c>
    </row>
    <row r="17715">
      <c r="F17715" s="1" t="str">
        <f t="shared" si="1"/>
        <v/>
      </c>
      <c r="G17715" s="1" t="str">
        <f t="shared" si="2"/>
        <v/>
      </c>
      <c r="J17715" s="1" t="str">
        <f t="shared" si="3"/>
        <v/>
      </c>
      <c r="K17715" s="1" t="str">
        <f t="shared" si="4"/>
        <v/>
      </c>
    </row>
    <row r="17716">
      <c r="F17716" s="1" t="str">
        <f t="shared" si="1"/>
        <v/>
      </c>
      <c r="G17716" s="1" t="str">
        <f t="shared" si="2"/>
        <v/>
      </c>
      <c r="J17716" s="1" t="str">
        <f t="shared" si="3"/>
        <v/>
      </c>
      <c r="K17716" s="1" t="str">
        <f t="shared" si="4"/>
        <v/>
      </c>
    </row>
    <row r="17717">
      <c r="F17717" s="1" t="str">
        <f t="shared" si="1"/>
        <v/>
      </c>
      <c r="G17717" s="1" t="str">
        <f t="shared" si="2"/>
        <v/>
      </c>
      <c r="J17717" s="1" t="str">
        <f t="shared" si="3"/>
        <v/>
      </c>
      <c r="K17717" s="1" t="str">
        <f t="shared" si="4"/>
        <v/>
      </c>
    </row>
    <row r="17718">
      <c r="F17718" s="1" t="str">
        <f t="shared" si="1"/>
        <v/>
      </c>
      <c r="G17718" s="1" t="str">
        <f t="shared" si="2"/>
        <v/>
      </c>
      <c r="J17718" s="1" t="str">
        <f t="shared" si="3"/>
        <v/>
      </c>
      <c r="K17718" s="1" t="str">
        <f t="shared" si="4"/>
        <v/>
      </c>
    </row>
    <row r="17719">
      <c r="F17719" s="1" t="str">
        <f t="shared" si="1"/>
        <v/>
      </c>
      <c r="G17719" s="1" t="str">
        <f t="shared" si="2"/>
        <v/>
      </c>
      <c r="J17719" s="1" t="str">
        <f t="shared" si="3"/>
        <v/>
      </c>
      <c r="K17719" s="1" t="str">
        <f t="shared" si="4"/>
        <v/>
      </c>
    </row>
    <row r="17720">
      <c r="F17720" s="1" t="str">
        <f t="shared" si="1"/>
        <v/>
      </c>
      <c r="G17720" s="1" t="str">
        <f t="shared" si="2"/>
        <v/>
      </c>
      <c r="J17720" s="1" t="str">
        <f t="shared" si="3"/>
        <v/>
      </c>
      <c r="K17720" s="1" t="str">
        <f t="shared" si="4"/>
        <v/>
      </c>
    </row>
    <row r="17721">
      <c r="F17721" s="1" t="str">
        <f t="shared" si="1"/>
        <v/>
      </c>
      <c r="G17721" s="1" t="str">
        <f t="shared" si="2"/>
        <v/>
      </c>
      <c r="J17721" s="1" t="str">
        <f t="shared" si="3"/>
        <v/>
      </c>
      <c r="K17721" s="1" t="str">
        <f t="shared" si="4"/>
        <v/>
      </c>
    </row>
    <row r="17722">
      <c r="F17722" s="1" t="str">
        <f t="shared" si="1"/>
        <v/>
      </c>
      <c r="G17722" s="1" t="str">
        <f t="shared" si="2"/>
        <v/>
      </c>
      <c r="J17722" s="1" t="str">
        <f t="shared" si="3"/>
        <v/>
      </c>
      <c r="K17722" s="1" t="str">
        <f t="shared" si="4"/>
        <v/>
      </c>
    </row>
    <row r="17723">
      <c r="F17723" s="1" t="str">
        <f t="shared" si="1"/>
        <v/>
      </c>
      <c r="G17723" s="1" t="str">
        <f t="shared" si="2"/>
        <v/>
      </c>
      <c r="J17723" s="1" t="str">
        <f t="shared" si="3"/>
        <v/>
      </c>
      <c r="K17723" s="1" t="str">
        <f t="shared" si="4"/>
        <v/>
      </c>
    </row>
    <row r="17724">
      <c r="F17724" s="1" t="str">
        <f t="shared" si="1"/>
        <v/>
      </c>
      <c r="G17724" s="1" t="str">
        <f t="shared" si="2"/>
        <v/>
      </c>
      <c r="J17724" s="1" t="str">
        <f t="shared" si="3"/>
        <v/>
      </c>
      <c r="K17724" s="1" t="str">
        <f t="shared" si="4"/>
        <v/>
      </c>
    </row>
    <row r="17725">
      <c r="F17725" s="1" t="str">
        <f t="shared" si="1"/>
        <v/>
      </c>
      <c r="G17725" s="1" t="str">
        <f t="shared" si="2"/>
        <v/>
      </c>
      <c r="J17725" s="1" t="str">
        <f t="shared" si="3"/>
        <v/>
      </c>
      <c r="K17725" s="1" t="str">
        <f t="shared" si="4"/>
        <v/>
      </c>
    </row>
    <row r="17726">
      <c r="F17726" s="1" t="str">
        <f t="shared" si="1"/>
        <v/>
      </c>
      <c r="G17726" s="1" t="str">
        <f t="shared" si="2"/>
        <v/>
      </c>
      <c r="J17726" s="1" t="str">
        <f t="shared" si="3"/>
        <v/>
      </c>
      <c r="K17726" s="1" t="str">
        <f t="shared" si="4"/>
        <v/>
      </c>
    </row>
    <row r="17727">
      <c r="F17727" s="1" t="str">
        <f t="shared" si="1"/>
        <v/>
      </c>
      <c r="G17727" s="1" t="str">
        <f t="shared" si="2"/>
        <v/>
      </c>
      <c r="J17727" s="1" t="str">
        <f t="shared" si="3"/>
        <v/>
      </c>
      <c r="K17727" s="1" t="str">
        <f t="shared" si="4"/>
        <v/>
      </c>
    </row>
    <row r="17728">
      <c r="F17728" s="1" t="str">
        <f t="shared" si="1"/>
        <v/>
      </c>
      <c r="G17728" s="1" t="str">
        <f t="shared" si="2"/>
        <v/>
      </c>
      <c r="J17728" s="1" t="str">
        <f t="shared" si="3"/>
        <v/>
      </c>
      <c r="K17728" s="1" t="str">
        <f t="shared" si="4"/>
        <v/>
      </c>
    </row>
    <row r="17729">
      <c r="F17729" s="1" t="str">
        <f t="shared" si="1"/>
        <v/>
      </c>
      <c r="G17729" s="1" t="str">
        <f t="shared" si="2"/>
        <v/>
      </c>
      <c r="J17729" s="1" t="str">
        <f t="shared" si="3"/>
        <v/>
      </c>
      <c r="K17729" s="1" t="str">
        <f t="shared" si="4"/>
        <v/>
      </c>
    </row>
    <row r="17730">
      <c r="F17730" s="1" t="str">
        <f t="shared" si="1"/>
        <v/>
      </c>
      <c r="G17730" s="1" t="str">
        <f t="shared" si="2"/>
        <v/>
      </c>
      <c r="J17730" s="1" t="str">
        <f t="shared" si="3"/>
        <v/>
      </c>
      <c r="K17730" s="1" t="str">
        <f t="shared" si="4"/>
        <v/>
      </c>
    </row>
    <row r="17731">
      <c r="F17731" s="1" t="str">
        <f t="shared" si="1"/>
        <v/>
      </c>
      <c r="G17731" s="1" t="str">
        <f t="shared" si="2"/>
        <v/>
      </c>
      <c r="J17731" s="1" t="str">
        <f t="shared" si="3"/>
        <v/>
      </c>
      <c r="K17731" s="1" t="str">
        <f t="shared" si="4"/>
        <v/>
      </c>
    </row>
    <row r="17732">
      <c r="F17732" s="1" t="str">
        <f t="shared" si="1"/>
        <v/>
      </c>
      <c r="G17732" s="1" t="str">
        <f t="shared" si="2"/>
        <v/>
      </c>
      <c r="J17732" s="1" t="str">
        <f t="shared" si="3"/>
        <v/>
      </c>
      <c r="K17732" s="1" t="str">
        <f t="shared" si="4"/>
        <v/>
      </c>
    </row>
    <row r="17733">
      <c r="F17733" s="1" t="str">
        <f t="shared" si="1"/>
        <v/>
      </c>
      <c r="G17733" s="1" t="str">
        <f t="shared" si="2"/>
        <v/>
      </c>
      <c r="J17733" s="1" t="str">
        <f t="shared" si="3"/>
        <v/>
      </c>
      <c r="K17733" s="1" t="str">
        <f t="shared" si="4"/>
        <v/>
      </c>
    </row>
    <row r="17734">
      <c r="F17734" s="1" t="str">
        <f t="shared" si="1"/>
        <v/>
      </c>
      <c r="G17734" s="1" t="str">
        <f t="shared" si="2"/>
        <v/>
      </c>
      <c r="J17734" s="1" t="str">
        <f t="shared" si="3"/>
        <v/>
      </c>
      <c r="K17734" s="1" t="str">
        <f t="shared" si="4"/>
        <v/>
      </c>
    </row>
    <row r="17735">
      <c r="F17735" s="1" t="str">
        <f t="shared" si="1"/>
        <v/>
      </c>
      <c r="G17735" s="1" t="str">
        <f t="shared" si="2"/>
        <v/>
      </c>
      <c r="J17735" s="1" t="str">
        <f t="shared" si="3"/>
        <v/>
      </c>
      <c r="K17735" s="1" t="str">
        <f t="shared" si="4"/>
        <v/>
      </c>
    </row>
    <row r="17736">
      <c r="F17736" s="1" t="str">
        <f t="shared" si="1"/>
        <v/>
      </c>
      <c r="G17736" s="1" t="str">
        <f t="shared" si="2"/>
        <v/>
      </c>
      <c r="J17736" s="1" t="str">
        <f t="shared" si="3"/>
        <v/>
      </c>
      <c r="K17736" s="1" t="str">
        <f t="shared" si="4"/>
        <v/>
      </c>
    </row>
    <row r="17737">
      <c r="F17737" s="1" t="str">
        <f t="shared" si="1"/>
        <v/>
      </c>
      <c r="G17737" s="1" t="str">
        <f t="shared" si="2"/>
        <v/>
      </c>
      <c r="J17737" s="1" t="str">
        <f t="shared" si="3"/>
        <v/>
      </c>
      <c r="K17737" s="1" t="str">
        <f t="shared" si="4"/>
        <v/>
      </c>
    </row>
    <row r="17738">
      <c r="F17738" s="1" t="str">
        <f t="shared" si="1"/>
        <v/>
      </c>
      <c r="G17738" s="1" t="str">
        <f t="shared" si="2"/>
        <v/>
      </c>
      <c r="J17738" s="1" t="str">
        <f t="shared" si="3"/>
        <v/>
      </c>
      <c r="K17738" s="1" t="str">
        <f t="shared" si="4"/>
        <v/>
      </c>
    </row>
    <row r="17739">
      <c r="F17739" s="1" t="str">
        <f t="shared" si="1"/>
        <v/>
      </c>
      <c r="G17739" s="1" t="str">
        <f t="shared" si="2"/>
        <v/>
      </c>
      <c r="J17739" s="1" t="str">
        <f t="shared" si="3"/>
        <v/>
      </c>
      <c r="K17739" s="1" t="str">
        <f t="shared" si="4"/>
        <v/>
      </c>
    </row>
    <row r="17740">
      <c r="F17740" s="1" t="str">
        <f t="shared" si="1"/>
        <v/>
      </c>
      <c r="G17740" s="1" t="str">
        <f t="shared" si="2"/>
        <v/>
      </c>
      <c r="J17740" s="1" t="str">
        <f t="shared" si="3"/>
        <v/>
      </c>
      <c r="K17740" s="1" t="str">
        <f t="shared" si="4"/>
        <v/>
      </c>
    </row>
    <row r="17741">
      <c r="F17741" s="1" t="str">
        <f t="shared" si="1"/>
        <v/>
      </c>
      <c r="G17741" s="1" t="str">
        <f t="shared" si="2"/>
        <v/>
      </c>
      <c r="J17741" s="1" t="str">
        <f t="shared" si="3"/>
        <v/>
      </c>
      <c r="K17741" s="1" t="str">
        <f t="shared" si="4"/>
        <v/>
      </c>
    </row>
    <row r="17742">
      <c r="F17742" s="1" t="str">
        <f t="shared" si="1"/>
        <v/>
      </c>
      <c r="G17742" s="1" t="str">
        <f t="shared" si="2"/>
        <v/>
      </c>
      <c r="J17742" s="1" t="str">
        <f t="shared" si="3"/>
        <v/>
      </c>
      <c r="K17742" s="1" t="str">
        <f t="shared" si="4"/>
        <v/>
      </c>
    </row>
    <row r="17743">
      <c r="F17743" s="1" t="str">
        <f t="shared" si="1"/>
        <v/>
      </c>
      <c r="G17743" s="1" t="str">
        <f t="shared" si="2"/>
        <v/>
      </c>
      <c r="J17743" s="1" t="str">
        <f t="shared" si="3"/>
        <v/>
      </c>
      <c r="K17743" s="1" t="str">
        <f t="shared" si="4"/>
        <v/>
      </c>
    </row>
    <row r="17744">
      <c r="F17744" s="1" t="str">
        <f t="shared" si="1"/>
        <v/>
      </c>
      <c r="G17744" s="1" t="str">
        <f t="shared" si="2"/>
        <v/>
      </c>
      <c r="J17744" s="1" t="str">
        <f t="shared" si="3"/>
        <v/>
      </c>
      <c r="K17744" s="1" t="str">
        <f t="shared" si="4"/>
        <v/>
      </c>
    </row>
    <row r="17745">
      <c r="F17745" s="1" t="str">
        <f t="shared" si="1"/>
        <v/>
      </c>
      <c r="G17745" s="1" t="str">
        <f t="shared" si="2"/>
        <v/>
      </c>
      <c r="J17745" s="1" t="str">
        <f t="shared" si="3"/>
        <v/>
      </c>
      <c r="K17745" s="1" t="str">
        <f t="shared" si="4"/>
        <v/>
      </c>
    </row>
    <row r="17746">
      <c r="F17746" s="1" t="str">
        <f t="shared" si="1"/>
        <v/>
      </c>
      <c r="G17746" s="1" t="str">
        <f t="shared" si="2"/>
        <v/>
      </c>
      <c r="J17746" s="1" t="str">
        <f t="shared" si="3"/>
        <v/>
      </c>
      <c r="K17746" s="1" t="str">
        <f t="shared" si="4"/>
        <v/>
      </c>
    </row>
    <row r="17747">
      <c r="F17747" s="1" t="str">
        <f t="shared" si="1"/>
        <v/>
      </c>
      <c r="G17747" s="1" t="str">
        <f t="shared" si="2"/>
        <v/>
      </c>
      <c r="J17747" s="1" t="str">
        <f t="shared" si="3"/>
        <v/>
      </c>
      <c r="K17747" s="1" t="str">
        <f t="shared" si="4"/>
        <v/>
      </c>
    </row>
    <row r="17748">
      <c r="F17748" s="1" t="str">
        <f t="shared" si="1"/>
        <v/>
      </c>
      <c r="G17748" s="1" t="str">
        <f t="shared" si="2"/>
        <v/>
      </c>
      <c r="J17748" s="1" t="str">
        <f t="shared" si="3"/>
        <v/>
      </c>
      <c r="K17748" s="1" t="str">
        <f t="shared" si="4"/>
        <v/>
      </c>
    </row>
    <row r="17749">
      <c r="F17749" s="1" t="str">
        <f t="shared" si="1"/>
        <v/>
      </c>
      <c r="G17749" s="1" t="str">
        <f t="shared" si="2"/>
        <v/>
      </c>
      <c r="J17749" s="1" t="str">
        <f t="shared" si="3"/>
        <v/>
      </c>
      <c r="K17749" s="1" t="str">
        <f t="shared" si="4"/>
        <v/>
      </c>
    </row>
    <row r="17750">
      <c r="F17750" s="1" t="str">
        <f t="shared" si="1"/>
        <v/>
      </c>
      <c r="G17750" s="1" t="str">
        <f t="shared" si="2"/>
        <v/>
      </c>
      <c r="J17750" s="1" t="str">
        <f t="shared" si="3"/>
        <v/>
      </c>
      <c r="K17750" s="1" t="str">
        <f t="shared" si="4"/>
        <v/>
      </c>
    </row>
    <row r="17751">
      <c r="F17751" s="1" t="str">
        <f t="shared" si="1"/>
        <v/>
      </c>
      <c r="G17751" s="1" t="str">
        <f t="shared" si="2"/>
        <v/>
      </c>
      <c r="J17751" s="1" t="str">
        <f t="shared" si="3"/>
        <v/>
      </c>
      <c r="K17751" s="1" t="str">
        <f t="shared" si="4"/>
        <v/>
      </c>
    </row>
    <row r="17752">
      <c r="F17752" s="1" t="str">
        <f t="shared" si="1"/>
        <v/>
      </c>
      <c r="G17752" s="1" t="str">
        <f t="shared" si="2"/>
        <v/>
      </c>
      <c r="J17752" s="1" t="str">
        <f t="shared" si="3"/>
        <v/>
      </c>
      <c r="K17752" s="1" t="str">
        <f t="shared" si="4"/>
        <v/>
      </c>
    </row>
    <row r="17753">
      <c r="F17753" s="1" t="str">
        <f t="shared" si="1"/>
        <v/>
      </c>
      <c r="G17753" s="1" t="str">
        <f t="shared" si="2"/>
        <v/>
      </c>
      <c r="J17753" s="1" t="str">
        <f t="shared" si="3"/>
        <v/>
      </c>
      <c r="K17753" s="1" t="str">
        <f t="shared" si="4"/>
        <v/>
      </c>
    </row>
    <row r="17754">
      <c r="F17754" s="1" t="str">
        <f t="shared" si="1"/>
        <v/>
      </c>
      <c r="G17754" s="1" t="str">
        <f t="shared" si="2"/>
        <v/>
      </c>
      <c r="J17754" s="1" t="str">
        <f t="shared" si="3"/>
        <v/>
      </c>
      <c r="K17754" s="1" t="str">
        <f t="shared" si="4"/>
        <v/>
      </c>
    </row>
    <row r="17755">
      <c r="F17755" s="1" t="str">
        <f t="shared" si="1"/>
        <v/>
      </c>
      <c r="G17755" s="1" t="str">
        <f t="shared" si="2"/>
        <v/>
      </c>
      <c r="J17755" s="1" t="str">
        <f t="shared" si="3"/>
        <v/>
      </c>
      <c r="K17755" s="1" t="str">
        <f t="shared" si="4"/>
        <v/>
      </c>
    </row>
    <row r="17756">
      <c r="F17756" s="1" t="str">
        <f t="shared" si="1"/>
        <v/>
      </c>
      <c r="G17756" s="1" t="str">
        <f t="shared" si="2"/>
        <v/>
      </c>
      <c r="J17756" s="1" t="str">
        <f t="shared" si="3"/>
        <v/>
      </c>
      <c r="K17756" s="1" t="str">
        <f t="shared" si="4"/>
        <v/>
      </c>
    </row>
    <row r="17757">
      <c r="F17757" s="1" t="str">
        <f t="shared" si="1"/>
        <v/>
      </c>
      <c r="G17757" s="1" t="str">
        <f t="shared" si="2"/>
        <v/>
      </c>
      <c r="J17757" s="1" t="str">
        <f t="shared" si="3"/>
        <v/>
      </c>
      <c r="K17757" s="1" t="str">
        <f t="shared" si="4"/>
        <v/>
      </c>
    </row>
    <row r="17758">
      <c r="F17758" s="1" t="str">
        <f t="shared" si="1"/>
        <v/>
      </c>
      <c r="G17758" s="1" t="str">
        <f t="shared" si="2"/>
        <v/>
      </c>
      <c r="J17758" s="1" t="str">
        <f t="shared" si="3"/>
        <v/>
      </c>
      <c r="K17758" s="1" t="str">
        <f t="shared" si="4"/>
        <v/>
      </c>
    </row>
    <row r="17759">
      <c r="F17759" s="1" t="str">
        <f t="shared" si="1"/>
        <v/>
      </c>
      <c r="G17759" s="1" t="str">
        <f t="shared" si="2"/>
        <v/>
      </c>
      <c r="J17759" s="1" t="str">
        <f t="shared" si="3"/>
        <v/>
      </c>
      <c r="K17759" s="1" t="str">
        <f t="shared" si="4"/>
        <v/>
      </c>
    </row>
    <row r="17760">
      <c r="F17760" s="1" t="str">
        <f t="shared" si="1"/>
        <v/>
      </c>
      <c r="G17760" s="1" t="str">
        <f t="shared" si="2"/>
        <v/>
      </c>
      <c r="J17760" s="1" t="str">
        <f t="shared" si="3"/>
        <v/>
      </c>
      <c r="K17760" s="1" t="str">
        <f t="shared" si="4"/>
        <v/>
      </c>
    </row>
    <row r="17761">
      <c r="F17761" s="1" t="str">
        <f t="shared" si="1"/>
        <v/>
      </c>
      <c r="G17761" s="1" t="str">
        <f t="shared" si="2"/>
        <v/>
      </c>
      <c r="J17761" s="1" t="str">
        <f t="shared" si="3"/>
        <v/>
      </c>
      <c r="K17761" s="1" t="str">
        <f t="shared" si="4"/>
        <v/>
      </c>
    </row>
    <row r="17762">
      <c r="F17762" s="1" t="str">
        <f t="shared" si="1"/>
        <v/>
      </c>
      <c r="G17762" s="1" t="str">
        <f t="shared" si="2"/>
        <v/>
      </c>
      <c r="J17762" s="1" t="str">
        <f t="shared" si="3"/>
        <v/>
      </c>
      <c r="K17762" s="1" t="str">
        <f t="shared" si="4"/>
        <v/>
      </c>
    </row>
    <row r="17763">
      <c r="F17763" s="1" t="str">
        <f t="shared" si="1"/>
        <v/>
      </c>
      <c r="G17763" s="1" t="str">
        <f t="shared" si="2"/>
        <v/>
      </c>
      <c r="J17763" s="1" t="str">
        <f t="shared" si="3"/>
        <v/>
      </c>
      <c r="K17763" s="1" t="str">
        <f t="shared" si="4"/>
        <v/>
      </c>
    </row>
    <row r="17764">
      <c r="F17764" s="1" t="str">
        <f t="shared" si="1"/>
        <v/>
      </c>
      <c r="G17764" s="1" t="str">
        <f t="shared" si="2"/>
        <v/>
      </c>
      <c r="J17764" s="1" t="str">
        <f t="shared" si="3"/>
        <v/>
      </c>
      <c r="K17764" s="1" t="str">
        <f t="shared" si="4"/>
        <v/>
      </c>
    </row>
    <row r="17765">
      <c r="F17765" s="1" t="str">
        <f t="shared" si="1"/>
        <v/>
      </c>
      <c r="G17765" s="1" t="str">
        <f t="shared" si="2"/>
        <v/>
      </c>
      <c r="J17765" s="1" t="str">
        <f t="shared" si="3"/>
        <v/>
      </c>
      <c r="K17765" s="1" t="str">
        <f t="shared" si="4"/>
        <v/>
      </c>
    </row>
    <row r="17766">
      <c r="F17766" s="1" t="str">
        <f t="shared" si="1"/>
        <v/>
      </c>
      <c r="G17766" s="1" t="str">
        <f t="shared" si="2"/>
        <v/>
      </c>
      <c r="J17766" s="1" t="str">
        <f t="shared" si="3"/>
        <v/>
      </c>
      <c r="K17766" s="1" t="str">
        <f t="shared" si="4"/>
        <v/>
      </c>
    </row>
    <row r="17767">
      <c r="F17767" s="1" t="str">
        <f t="shared" si="1"/>
        <v/>
      </c>
      <c r="G17767" s="1" t="str">
        <f t="shared" si="2"/>
        <v/>
      </c>
      <c r="J17767" s="1" t="str">
        <f t="shared" si="3"/>
        <v/>
      </c>
      <c r="K17767" s="1" t="str">
        <f t="shared" si="4"/>
        <v/>
      </c>
    </row>
    <row r="17768">
      <c r="F17768" s="1" t="str">
        <f t="shared" si="1"/>
        <v/>
      </c>
      <c r="G17768" s="1" t="str">
        <f t="shared" si="2"/>
        <v/>
      </c>
      <c r="J17768" s="1" t="str">
        <f t="shared" si="3"/>
        <v/>
      </c>
      <c r="K17768" s="1" t="str">
        <f t="shared" si="4"/>
        <v/>
      </c>
    </row>
    <row r="17769">
      <c r="F17769" s="1" t="str">
        <f t="shared" si="1"/>
        <v/>
      </c>
      <c r="G17769" s="1" t="str">
        <f t="shared" si="2"/>
        <v/>
      </c>
      <c r="J17769" s="1" t="str">
        <f t="shared" si="3"/>
        <v/>
      </c>
      <c r="K17769" s="1" t="str">
        <f t="shared" si="4"/>
        <v/>
      </c>
    </row>
    <row r="17770">
      <c r="F17770" s="1" t="str">
        <f t="shared" si="1"/>
        <v/>
      </c>
      <c r="G17770" s="1" t="str">
        <f t="shared" si="2"/>
        <v/>
      </c>
      <c r="J17770" s="1" t="str">
        <f t="shared" si="3"/>
        <v/>
      </c>
      <c r="K17770" s="1" t="str">
        <f t="shared" si="4"/>
        <v/>
      </c>
    </row>
    <row r="17771">
      <c r="F17771" s="1" t="str">
        <f t="shared" si="1"/>
        <v/>
      </c>
      <c r="G17771" s="1" t="str">
        <f t="shared" si="2"/>
        <v/>
      </c>
      <c r="J17771" s="1" t="str">
        <f t="shared" si="3"/>
        <v/>
      </c>
      <c r="K17771" s="1" t="str">
        <f t="shared" si="4"/>
        <v/>
      </c>
    </row>
    <row r="17772">
      <c r="F17772" s="1" t="str">
        <f t="shared" si="1"/>
        <v/>
      </c>
      <c r="G17772" s="1" t="str">
        <f t="shared" si="2"/>
        <v/>
      </c>
      <c r="J17772" s="1" t="str">
        <f t="shared" si="3"/>
        <v/>
      </c>
      <c r="K17772" s="1" t="str">
        <f t="shared" si="4"/>
        <v/>
      </c>
    </row>
    <row r="17773">
      <c r="F17773" s="1" t="str">
        <f t="shared" si="1"/>
        <v/>
      </c>
      <c r="G17773" s="1" t="str">
        <f t="shared" si="2"/>
        <v/>
      </c>
      <c r="J17773" s="1" t="str">
        <f t="shared" si="3"/>
        <v/>
      </c>
      <c r="K17773" s="1" t="str">
        <f t="shared" si="4"/>
        <v/>
      </c>
    </row>
    <row r="17774">
      <c r="F17774" s="1" t="str">
        <f t="shared" si="1"/>
        <v/>
      </c>
      <c r="G17774" s="1" t="str">
        <f t="shared" si="2"/>
        <v/>
      </c>
      <c r="J17774" s="1" t="str">
        <f t="shared" si="3"/>
        <v/>
      </c>
      <c r="K17774" s="1" t="str">
        <f t="shared" si="4"/>
        <v/>
      </c>
    </row>
    <row r="17775">
      <c r="F17775" s="1" t="str">
        <f t="shared" si="1"/>
        <v/>
      </c>
      <c r="G17775" s="1" t="str">
        <f t="shared" si="2"/>
        <v/>
      </c>
      <c r="J17775" s="1" t="str">
        <f t="shared" si="3"/>
        <v/>
      </c>
      <c r="K17775" s="1" t="str">
        <f t="shared" si="4"/>
        <v/>
      </c>
    </row>
    <row r="17776">
      <c r="F17776" s="1" t="str">
        <f t="shared" si="1"/>
        <v/>
      </c>
      <c r="G17776" s="1" t="str">
        <f t="shared" si="2"/>
        <v/>
      </c>
      <c r="J17776" s="1" t="str">
        <f t="shared" si="3"/>
        <v/>
      </c>
      <c r="K17776" s="1" t="str">
        <f t="shared" si="4"/>
        <v/>
      </c>
    </row>
    <row r="17777">
      <c r="F17777" s="1" t="str">
        <f t="shared" si="1"/>
        <v/>
      </c>
      <c r="G17777" s="1" t="str">
        <f t="shared" si="2"/>
        <v/>
      </c>
      <c r="J17777" s="1" t="str">
        <f t="shared" si="3"/>
        <v/>
      </c>
      <c r="K17777" s="1" t="str">
        <f t="shared" si="4"/>
        <v/>
      </c>
    </row>
    <row r="17778">
      <c r="F17778" s="1" t="str">
        <f t="shared" si="1"/>
        <v/>
      </c>
      <c r="G17778" s="1" t="str">
        <f t="shared" si="2"/>
        <v/>
      </c>
      <c r="J17778" s="1" t="str">
        <f t="shared" si="3"/>
        <v/>
      </c>
      <c r="K17778" s="1" t="str">
        <f t="shared" si="4"/>
        <v/>
      </c>
    </row>
    <row r="17779">
      <c r="F17779" s="1" t="str">
        <f t="shared" si="1"/>
        <v/>
      </c>
      <c r="G17779" s="1" t="str">
        <f t="shared" si="2"/>
        <v/>
      </c>
      <c r="J17779" s="1" t="str">
        <f t="shared" si="3"/>
        <v/>
      </c>
      <c r="K17779" s="1" t="str">
        <f t="shared" si="4"/>
        <v/>
      </c>
    </row>
    <row r="17780">
      <c r="F17780" s="1" t="str">
        <f t="shared" si="1"/>
        <v/>
      </c>
      <c r="G17780" s="1" t="str">
        <f t="shared" si="2"/>
        <v/>
      </c>
      <c r="J17780" s="1" t="str">
        <f t="shared" si="3"/>
        <v/>
      </c>
      <c r="K17780" s="1" t="str">
        <f t="shared" si="4"/>
        <v/>
      </c>
    </row>
    <row r="17781">
      <c r="F17781" s="1" t="str">
        <f t="shared" si="1"/>
        <v/>
      </c>
      <c r="G17781" s="1" t="str">
        <f t="shared" si="2"/>
        <v/>
      </c>
      <c r="J17781" s="1" t="str">
        <f t="shared" si="3"/>
        <v/>
      </c>
      <c r="K17781" s="1" t="str">
        <f t="shared" si="4"/>
        <v/>
      </c>
    </row>
    <row r="17782">
      <c r="F17782" s="1" t="str">
        <f t="shared" si="1"/>
        <v/>
      </c>
      <c r="G17782" s="1" t="str">
        <f t="shared" si="2"/>
        <v/>
      </c>
      <c r="J17782" s="1" t="str">
        <f t="shared" si="3"/>
        <v/>
      </c>
      <c r="K17782" s="1" t="str">
        <f t="shared" si="4"/>
        <v/>
      </c>
    </row>
    <row r="17783">
      <c r="F17783" s="1" t="str">
        <f t="shared" si="1"/>
        <v/>
      </c>
      <c r="G17783" s="1" t="str">
        <f t="shared" si="2"/>
        <v/>
      </c>
      <c r="J17783" s="1" t="str">
        <f t="shared" si="3"/>
        <v/>
      </c>
      <c r="K17783" s="1" t="str">
        <f t="shared" si="4"/>
        <v/>
      </c>
    </row>
    <row r="17784">
      <c r="F17784" s="1" t="str">
        <f t="shared" si="1"/>
        <v/>
      </c>
      <c r="G17784" s="1" t="str">
        <f t="shared" si="2"/>
        <v/>
      </c>
      <c r="J17784" s="1" t="str">
        <f t="shared" si="3"/>
        <v/>
      </c>
      <c r="K17784" s="1" t="str">
        <f t="shared" si="4"/>
        <v/>
      </c>
    </row>
    <row r="17785">
      <c r="F17785" s="1" t="str">
        <f t="shared" si="1"/>
        <v/>
      </c>
      <c r="G17785" s="1" t="str">
        <f t="shared" si="2"/>
        <v/>
      </c>
      <c r="J17785" s="1" t="str">
        <f t="shared" si="3"/>
        <v/>
      </c>
      <c r="K17785" s="1" t="str">
        <f t="shared" si="4"/>
        <v/>
      </c>
    </row>
    <row r="17786">
      <c r="F17786" s="1" t="str">
        <f t="shared" si="1"/>
        <v/>
      </c>
      <c r="G17786" s="1" t="str">
        <f t="shared" si="2"/>
        <v/>
      </c>
      <c r="J17786" s="1" t="str">
        <f t="shared" si="3"/>
        <v/>
      </c>
      <c r="K17786" s="1" t="str">
        <f t="shared" si="4"/>
        <v/>
      </c>
    </row>
    <row r="17787">
      <c r="F17787" s="1" t="str">
        <f t="shared" si="1"/>
        <v/>
      </c>
      <c r="G17787" s="1" t="str">
        <f t="shared" si="2"/>
        <v/>
      </c>
      <c r="J17787" s="1" t="str">
        <f t="shared" si="3"/>
        <v/>
      </c>
      <c r="K17787" s="1" t="str">
        <f t="shared" si="4"/>
        <v/>
      </c>
    </row>
    <row r="17788">
      <c r="F17788" s="1" t="str">
        <f t="shared" si="1"/>
        <v/>
      </c>
      <c r="G17788" s="1" t="str">
        <f t="shared" si="2"/>
        <v/>
      </c>
      <c r="J17788" s="1" t="str">
        <f t="shared" si="3"/>
        <v/>
      </c>
      <c r="K17788" s="1" t="str">
        <f t="shared" si="4"/>
        <v/>
      </c>
    </row>
    <row r="17789">
      <c r="F17789" s="1" t="str">
        <f t="shared" si="1"/>
        <v/>
      </c>
      <c r="G17789" s="1" t="str">
        <f t="shared" si="2"/>
        <v/>
      </c>
      <c r="J17789" s="1" t="str">
        <f t="shared" si="3"/>
        <v/>
      </c>
      <c r="K17789" s="1" t="str">
        <f t="shared" si="4"/>
        <v/>
      </c>
    </row>
    <row r="17790">
      <c r="F17790" s="1" t="str">
        <f t="shared" si="1"/>
        <v/>
      </c>
      <c r="G17790" s="1" t="str">
        <f t="shared" si="2"/>
        <v/>
      </c>
      <c r="J17790" s="1" t="str">
        <f t="shared" si="3"/>
        <v/>
      </c>
      <c r="K17790" s="1" t="str">
        <f t="shared" si="4"/>
        <v/>
      </c>
    </row>
    <row r="17791">
      <c r="F17791" s="1" t="str">
        <f t="shared" si="1"/>
        <v/>
      </c>
      <c r="G17791" s="1" t="str">
        <f t="shared" si="2"/>
        <v/>
      </c>
      <c r="J17791" s="1" t="str">
        <f t="shared" si="3"/>
        <v/>
      </c>
      <c r="K17791" s="1" t="str">
        <f t="shared" si="4"/>
        <v/>
      </c>
    </row>
    <row r="17792">
      <c r="F17792" s="1" t="str">
        <f t="shared" si="1"/>
        <v/>
      </c>
      <c r="G17792" s="1" t="str">
        <f t="shared" si="2"/>
        <v/>
      </c>
      <c r="J17792" s="1" t="str">
        <f t="shared" si="3"/>
        <v/>
      </c>
      <c r="K17792" s="1" t="str">
        <f t="shared" si="4"/>
        <v/>
      </c>
    </row>
    <row r="17793">
      <c r="F17793" s="1" t="str">
        <f t="shared" si="1"/>
        <v/>
      </c>
      <c r="G17793" s="1" t="str">
        <f t="shared" si="2"/>
        <v/>
      </c>
      <c r="J17793" s="1" t="str">
        <f t="shared" si="3"/>
        <v/>
      </c>
      <c r="K17793" s="1" t="str">
        <f t="shared" si="4"/>
        <v/>
      </c>
    </row>
    <row r="17794">
      <c r="F17794" s="1" t="str">
        <f t="shared" si="1"/>
        <v/>
      </c>
      <c r="G17794" s="1" t="str">
        <f t="shared" si="2"/>
        <v/>
      </c>
      <c r="J17794" s="1" t="str">
        <f t="shared" si="3"/>
        <v/>
      </c>
      <c r="K17794" s="1" t="str">
        <f t="shared" si="4"/>
        <v/>
      </c>
    </row>
    <row r="17795">
      <c r="F17795" s="1" t="str">
        <f t="shared" si="1"/>
        <v/>
      </c>
      <c r="G17795" s="1" t="str">
        <f t="shared" si="2"/>
        <v/>
      </c>
      <c r="J17795" s="1" t="str">
        <f t="shared" si="3"/>
        <v/>
      </c>
      <c r="K17795" s="1" t="str">
        <f t="shared" si="4"/>
        <v/>
      </c>
    </row>
    <row r="17796">
      <c r="F17796" s="1" t="str">
        <f t="shared" si="1"/>
        <v/>
      </c>
      <c r="G17796" s="1" t="str">
        <f t="shared" si="2"/>
        <v/>
      </c>
      <c r="J17796" s="1" t="str">
        <f t="shared" si="3"/>
        <v/>
      </c>
      <c r="K17796" s="1" t="str">
        <f t="shared" si="4"/>
        <v/>
      </c>
    </row>
    <row r="17797">
      <c r="F17797" s="1" t="str">
        <f t="shared" si="1"/>
        <v/>
      </c>
      <c r="G17797" s="1" t="str">
        <f t="shared" si="2"/>
        <v/>
      </c>
      <c r="J17797" s="1" t="str">
        <f t="shared" si="3"/>
        <v/>
      </c>
      <c r="K17797" s="1" t="str">
        <f t="shared" si="4"/>
        <v/>
      </c>
    </row>
    <row r="17798">
      <c r="F17798" s="1" t="str">
        <f t="shared" si="1"/>
        <v/>
      </c>
      <c r="G17798" s="1" t="str">
        <f t="shared" si="2"/>
        <v/>
      </c>
      <c r="J17798" s="1" t="str">
        <f t="shared" si="3"/>
        <v/>
      </c>
      <c r="K17798" s="1" t="str">
        <f t="shared" si="4"/>
        <v/>
      </c>
    </row>
    <row r="17799">
      <c r="F17799" s="1" t="str">
        <f t="shared" si="1"/>
        <v/>
      </c>
      <c r="G17799" s="1" t="str">
        <f t="shared" si="2"/>
        <v/>
      </c>
      <c r="J17799" s="1" t="str">
        <f t="shared" si="3"/>
        <v/>
      </c>
      <c r="K17799" s="1" t="str">
        <f t="shared" si="4"/>
        <v/>
      </c>
    </row>
    <row r="17800">
      <c r="F17800" s="1" t="str">
        <f t="shared" si="1"/>
        <v/>
      </c>
      <c r="G17800" s="1" t="str">
        <f t="shared" si="2"/>
        <v/>
      </c>
      <c r="J17800" s="1" t="str">
        <f t="shared" si="3"/>
        <v/>
      </c>
      <c r="K17800" s="1" t="str">
        <f t="shared" si="4"/>
        <v/>
      </c>
    </row>
    <row r="17801">
      <c r="F17801" s="1" t="str">
        <f t="shared" si="1"/>
        <v/>
      </c>
      <c r="G17801" s="1" t="str">
        <f t="shared" si="2"/>
        <v/>
      </c>
      <c r="J17801" s="1" t="str">
        <f t="shared" si="3"/>
        <v/>
      </c>
      <c r="K17801" s="1" t="str">
        <f t="shared" si="4"/>
        <v/>
      </c>
    </row>
    <row r="17802">
      <c r="F17802" s="1" t="str">
        <f t="shared" si="1"/>
        <v/>
      </c>
      <c r="G17802" s="1" t="str">
        <f t="shared" si="2"/>
        <v/>
      </c>
      <c r="J17802" s="1" t="str">
        <f t="shared" si="3"/>
        <v/>
      </c>
      <c r="K17802" s="1" t="str">
        <f t="shared" si="4"/>
        <v/>
      </c>
    </row>
    <row r="17803">
      <c r="F17803" s="1" t="str">
        <f t="shared" si="1"/>
        <v/>
      </c>
      <c r="G17803" s="1" t="str">
        <f t="shared" si="2"/>
        <v/>
      </c>
      <c r="J17803" s="1" t="str">
        <f t="shared" si="3"/>
        <v/>
      </c>
      <c r="K17803" s="1" t="str">
        <f t="shared" si="4"/>
        <v/>
      </c>
    </row>
    <row r="17804">
      <c r="F17804" s="1" t="str">
        <f t="shared" si="1"/>
        <v/>
      </c>
      <c r="G17804" s="1" t="str">
        <f t="shared" si="2"/>
        <v/>
      </c>
      <c r="J17804" s="1" t="str">
        <f t="shared" si="3"/>
        <v/>
      </c>
      <c r="K17804" s="1" t="str">
        <f t="shared" si="4"/>
        <v/>
      </c>
    </row>
    <row r="17805">
      <c r="F17805" s="1" t="str">
        <f t="shared" si="1"/>
        <v/>
      </c>
      <c r="G17805" s="1" t="str">
        <f t="shared" si="2"/>
        <v/>
      </c>
      <c r="J17805" s="1" t="str">
        <f t="shared" si="3"/>
        <v/>
      </c>
      <c r="K17805" s="1" t="str">
        <f t="shared" si="4"/>
        <v/>
      </c>
    </row>
    <row r="17806">
      <c r="F17806" s="1" t="str">
        <f t="shared" si="1"/>
        <v/>
      </c>
      <c r="G17806" s="1" t="str">
        <f t="shared" si="2"/>
        <v/>
      </c>
      <c r="J17806" s="1" t="str">
        <f t="shared" si="3"/>
        <v/>
      </c>
      <c r="K17806" s="1" t="str">
        <f t="shared" si="4"/>
        <v/>
      </c>
    </row>
    <row r="17807">
      <c r="F17807" s="1" t="str">
        <f t="shared" si="1"/>
        <v/>
      </c>
      <c r="G17807" s="1" t="str">
        <f t="shared" si="2"/>
        <v/>
      </c>
      <c r="J17807" s="1" t="str">
        <f t="shared" si="3"/>
        <v/>
      </c>
      <c r="K17807" s="1" t="str">
        <f t="shared" si="4"/>
        <v/>
      </c>
    </row>
    <row r="17808">
      <c r="F17808" s="1" t="str">
        <f t="shared" si="1"/>
        <v/>
      </c>
      <c r="G17808" s="1" t="str">
        <f t="shared" si="2"/>
        <v/>
      </c>
      <c r="J17808" s="1" t="str">
        <f t="shared" si="3"/>
        <v/>
      </c>
      <c r="K17808" s="1" t="str">
        <f t="shared" si="4"/>
        <v/>
      </c>
    </row>
    <row r="17809">
      <c r="F17809" s="1" t="str">
        <f t="shared" si="1"/>
        <v/>
      </c>
      <c r="G17809" s="1" t="str">
        <f t="shared" si="2"/>
        <v/>
      </c>
      <c r="J17809" s="1" t="str">
        <f t="shared" si="3"/>
        <v/>
      </c>
      <c r="K17809" s="1" t="str">
        <f t="shared" si="4"/>
        <v/>
      </c>
    </row>
    <row r="17810">
      <c r="F17810" s="1" t="str">
        <f t="shared" si="1"/>
        <v/>
      </c>
      <c r="G17810" s="1" t="str">
        <f t="shared" si="2"/>
        <v/>
      </c>
      <c r="J17810" s="1" t="str">
        <f t="shared" si="3"/>
        <v/>
      </c>
      <c r="K17810" s="1" t="str">
        <f t="shared" si="4"/>
        <v/>
      </c>
    </row>
    <row r="17811">
      <c r="F17811" s="1" t="str">
        <f t="shared" si="1"/>
        <v/>
      </c>
      <c r="G17811" s="1" t="str">
        <f t="shared" si="2"/>
        <v/>
      </c>
      <c r="J17811" s="1" t="str">
        <f t="shared" si="3"/>
        <v/>
      </c>
      <c r="K17811" s="1" t="str">
        <f t="shared" si="4"/>
        <v/>
      </c>
    </row>
    <row r="17812">
      <c r="F17812" s="1" t="str">
        <f t="shared" si="1"/>
        <v/>
      </c>
      <c r="G17812" s="1" t="str">
        <f t="shared" si="2"/>
        <v/>
      </c>
      <c r="J17812" s="1" t="str">
        <f t="shared" si="3"/>
        <v/>
      </c>
      <c r="K17812" s="1" t="str">
        <f t="shared" si="4"/>
        <v/>
      </c>
    </row>
    <row r="17813">
      <c r="F17813" s="1" t="str">
        <f t="shared" si="1"/>
        <v/>
      </c>
      <c r="G17813" s="1" t="str">
        <f t="shared" si="2"/>
        <v/>
      </c>
      <c r="J17813" s="1" t="str">
        <f t="shared" si="3"/>
        <v/>
      </c>
      <c r="K17813" s="1" t="str">
        <f t="shared" si="4"/>
        <v/>
      </c>
    </row>
    <row r="17814">
      <c r="F17814" s="1" t="str">
        <f t="shared" si="1"/>
        <v/>
      </c>
      <c r="G17814" s="1" t="str">
        <f t="shared" si="2"/>
        <v/>
      </c>
      <c r="J17814" s="1" t="str">
        <f t="shared" si="3"/>
        <v/>
      </c>
      <c r="K17814" s="1" t="str">
        <f t="shared" si="4"/>
        <v/>
      </c>
    </row>
    <row r="17815">
      <c r="F17815" s="1" t="str">
        <f t="shared" si="1"/>
        <v/>
      </c>
      <c r="G17815" s="1" t="str">
        <f t="shared" si="2"/>
        <v/>
      </c>
      <c r="J17815" s="1" t="str">
        <f t="shared" si="3"/>
        <v/>
      </c>
      <c r="K17815" s="1" t="str">
        <f t="shared" si="4"/>
        <v/>
      </c>
    </row>
    <row r="17816">
      <c r="F17816" s="1" t="str">
        <f t="shared" si="1"/>
        <v/>
      </c>
      <c r="G17816" s="1" t="str">
        <f t="shared" si="2"/>
        <v/>
      </c>
      <c r="J17816" s="1" t="str">
        <f t="shared" si="3"/>
        <v/>
      </c>
      <c r="K17816" s="1" t="str">
        <f t="shared" si="4"/>
        <v/>
      </c>
    </row>
    <row r="17817">
      <c r="F17817" s="1" t="str">
        <f t="shared" si="1"/>
        <v/>
      </c>
      <c r="G17817" s="1" t="str">
        <f t="shared" si="2"/>
        <v/>
      </c>
      <c r="J17817" s="1" t="str">
        <f t="shared" si="3"/>
        <v/>
      </c>
      <c r="K17817" s="1" t="str">
        <f t="shared" si="4"/>
        <v/>
      </c>
    </row>
    <row r="17818">
      <c r="F17818" s="1" t="str">
        <f t="shared" si="1"/>
        <v/>
      </c>
      <c r="G17818" s="1" t="str">
        <f t="shared" si="2"/>
        <v/>
      </c>
      <c r="J17818" s="1" t="str">
        <f t="shared" si="3"/>
        <v/>
      </c>
      <c r="K17818" s="1" t="str">
        <f t="shared" si="4"/>
        <v/>
      </c>
    </row>
    <row r="17819">
      <c r="F17819" s="1" t="str">
        <f t="shared" si="1"/>
        <v/>
      </c>
      <c r="G17819" s="1" t="str">
        <f t="shared" si="2"/>
        <v/>
      </c>
      <c r="J17819" s="1" t="str">
        <f t="shared" si="3"/>
        <v/>
      </c>
      <c r="K17819" s="1" t="str">
        <f t="shared" si="4"/>
        <v/>
      </c>
    </row>
    <row r="17820">
      <c r="F17820" s="1" t="str">
        <f t="shared" si="1"/>
        <v/>
      </c>
      <c r="G17820" s="1" t="str">
        <f t="shared" si="2"/>
        <v/>
      </c>
      <c r="J17820" s="1" t="str">
        <f t="shared" si="3"/>
        <v/>
      </c>
      <c r="K17820" s="1" t="str">
        <f t="shared" si="4"/>
        <v/>
      </c>
    </row>
    <row r="17821">
      <c r="F17821" s="1" t="str">
        <f t="shared" si="1"/>
        <v/>
      </c>
      <c r="G17821" s="1" t="str">
        <f t="shared" si="2"/>
        <v/>
      </c>
      <c r="J17821" s="1" t="str">
        <f t="shared" si="3"/>
        <v/>
      </c>
      <c r="K17821" s="1" t="str">
        <f t="shared" si="4"/>
        <v/>
      </c>
    </row>
    <row r="17822">
      <c r="F17822" s="1" t="str">
        <f t="shared" si="1"/>
        <v/>
      </c>
      <c r="G17822" s="1" t="str">
        <f t="shared" si="2"/>
        <v/>
      </c>
      <c r="J17822" s="1" t="str">
        <f t="shared" si="3"/>
        <v/>
      </c>
      <c r="K17822" s="1" t="str">
        <f t="shared" si="4"/>
        <v/>
      </c>
    </row>
    <row r="17823">
      <c r="F17823" s="1" t="str">
        <f t="shared" si="1"/>
        <v/>
      </c>
      <c r="G17823" s="1" t="str">
        <f t="shared" si="2"/>
        <v/>
      </c>
      <c r="J17823" s="1" t="str">
        <f t="shared" si="3"/>
        <v/>
      </c>
      <c r="K17823" s="1" t="str">
        <f t="shared" si="4"/>
        <v/>
      </c>
    </row>
    <row r="17824">
      <c r="F17824" s="1" t="str">
        <f t="shared" si="1"/>
        <v/>
      </c>
      <c r="G17824" s="1" t="str">
        <f t="shared" si="2"/>
        <v/>
      </c>
      <c r="J17824" s="1" t="str">
        <f t="shared" si="3"/>
        <v/>
      </c>
      <c r="K17824" s="1" t="str">
        <f t="shared" si="4"/>
        <v/>
      </c>
    </row>
    <row r="17825">
      <c r="F17825" s="1" t="str">
        <f t="shared" si="1"/>
        <v/>
      </c>
      <c r="G17825" s="1" t="str">
        <f t="shared" si="2"/>
        <v/>
      </c>
      <c r="J17825" s="1" t="str">
        <f t="shared" si="3"/>
        <v/>
      </c>
      <c r="K17825" s="1" t="str">
        <f t="shared" si="4"/>
        <v/>
      </c>
    </row>
    <row r="17826">
      <c r="F17826" s="1" t="str">
        <f t="shared" si="1"/>
        <v/>
      </c>
      <c r="G17826" s="1" t="str">
        <f t="shared" si="2"/>
        <v/>
      </c>
      <c r="J17826" s="1" t="str">
        <f t="shared" si="3"/>
        <v/>
      </c>
      <c r="K17826" s="1" t="str">
        <f t="shared" si="4"/>
        <v/>
      </c>
    </row>
    <row r="17827">
      <c r="F17827" s="1" t="str">
        <f t="shared" si="1"/>
        <v/>
      </c>
      <c r="G17827" s="1" t="str">
        <f t="shared" si="2"/>
        <v/>
      </c>
      <c r="J17827" s="1" t="str">
        <f t="shared" si="3"/>
        <v/>
      </c>
      <c r="K17827" s="1" t="str">
        <f t="shared" si="4"/>
        <v/>
      </c>
    </row>
    <row r="17828">
      <c r="F17828" s="1" t="str">
        <f t="shared" si="1"/>
        <v/>
      </c>
      <c r="G17828" s="1" t="str">
        <f t="shared" si="2"/>
        <v/>
      </c>
      <c r="J17828" s="1" t="str">
        <f t="shared" si="3"/>
        <v/>
      </c>
      <c r="K17828" s="1" t="str">
        <f t="shared" si="4"/>
        <v/>
      </c>
    </row>
    <row r="17829">
      <c r="F17829" s="1" t="str">
        <f t="shared" si="1"/>
        <v/>
      </c>
      <c r="G17829" s="1" t="str">
        <f t="shared" si="2"/>
        <v/>
      </c>
      <c r="J17829" s="1" t="str">
        <f t="shared" si="3"/>
        <v/>
      </c>
      <c r="K17829" s="1" t="str">
        <f t="shared" si="4"/>
        <v/>
      </c>
    </row>
    <row r="17830">
      <c r="F17830" s="1" t="str">
        <f t="shared" si="1"/>
        <v/>
      </c>
      <c r="G17830" s="1" t="str">
        <f t="shared" si="2"/>
        <v/>
      </c>
      <c r="J17830" s="1" t="str">
        <f t="shared" si="3"/>
        <v/>
      </c>
      <c r="K17830" s="1" t="str">
        <f t="shared" si="4"/>
        <v/>
      </c>
    </row>
    <row r="17831">
      <c r="F17831" s="1" t="str">
        <f t="shared" si="1"/>
        <v/>
      </c>
      <c r="G17831" s="1" t="str">
        <f t="shared" si="2"/>
        <v/>
      </c>
      <c r="J17831" s="1" t="str">
        <f t="shared" si="3"/>
        <v/>
      </c>
      <c r="K17831" s="1" t="str">
        <f t="shared" si="4"/>
        <v/>
      </c>
    </row>
    <row r="17832">
      <c r="F17832" s="1" t="str">
        <f t="shared" si="1"/>
        <v/>
      </c>
      <c r="G17832" s="1" t="str">
        <f t="shared" si="2"/>
        <v/>
      </c>
      <c r="J17832" s="1" t="str">
        <f t="shared" si="3"/>
        <v/>
      </c>
      <c r="K17832" s="1" t="str">
        <f t="shared" si="4"/>
        <v/>
      </c>
    </row>
    <row r="17833">
      <c r="F17833" s="1" t="str">
        <f t="shared" si="1"/>
        <v/>
      </c>
      <c r="G17833" s="1" t="str">
        <f t="shared" si="2"/>
        <v/>
      </c>
      <c r="J17833" s="1" t="str">
        <f t="shared" si="3"/>
        <v/>
      </c>
      <c r="K17833" s="1" t="str">
        <f t="shared" si="4"/>
        <v/>
      </c>
    </row>
    <row r="17834">
      <c r="F17834" s="1" t="str">
        <f t="shared" si="1"/>
        <v/>
      </c>
      <c r="G17834" s="1" t="str">
        <f t="shared" si="2"/>
        <v/>
      </c>
      <c r="J17834" s="1" t="str">
        <f t="shared" si="3"/>
        <v/>
      </c>
      <c r="K17834" s="1" t="str">
        <f t="shared" si="4"/>
        <v/>
      </c>
    </row>
    <row r="17835">
      <c r="F17835" s="1" t="str">
        <f t="shared" si="1"/>
        <v/>
      </c>
      <c r="G17835" s="1" t="str">
        <f t="shared" si="2"/>
        <v/>
      </c>
      <c r="J17835" s="1" t="str">
        <f t="shared" si="3"/>
        <v/>
      </c>
      <c r="K17835" s="1" t="str">
        <f t="shared" si="4"/>
        <v/>
      </c>
    </row>
    <row r="17836">
      <c r="F17836" s="1" t="str">
        <f t="shared" si="1"/>
        <v/>
      </c>
      <c r="G17836" s="1" t="str">
        <f t="shared" si="2"/>
        <v/>
      </c>
      <c r="J17836" s="1" t="str">
        <f t="shared" si="3"/>
        <v/>
      </c>
      <c r="K17836" s="1" t="str">
        <f t="shared" si="4"/>
        <v/>
      </c>
    </row>
    <row r="17837">
      <c r="F17837" s="1" t="str">
        <f t="shared" si="1"/>
        <v/>
      </c>
      <c r="G17837" s="1" t="str">
        <f t="shared" si="2"/>
        <v/>
      </c>
      <c r="J17837" s="1" t="str">
        <f t="shared" si="3"/>
        <v/>
      </c>
      <c r="K17837" s="1" t="str">
        <f t="shared" si="4"/>
        <v/>
      </c>
    </row>
    <row r="17838">
      <c r="F17838" s="1" t="str">
        <f t="shared" si="1"/>
        <v/>
      </c>
      <c r="G17838" s="1" t="str">
        <f t="shared" si="2"/>
        <v/>
      </c>
      <c r="J17838" s="1" t="str">
        <f t="shared" si="3"/>
        <v/>
      </c>
      <c r="K17838" s="1" t="str">
        <f t="shared" si="4"/>
        <v/>
      </c>
    </row>
    <row r="17839">
      <c r="F17839" s="1" t="str">
        <f t="shared" si="1"/>
        <v/>
      </c>
      <c r="G17839" s="1" t="str">
        <f t="shared" si="2"/>
        <v/>
      </c>
      <c r="J17839" s="1" t="str">
        <f t="shared" si="3"/>
        <v/>
      </c>
      <c r="K17839" s="1" t="str">
        <f t="shared" si="4"/>
        <v/>
      </c>
    </row>
    <row r="17840">
      <c r="F17840" s="1" t="str">
        <f t="shared" si="1"/>
        <v/>
      </c>
      <c r="G17840" s="1" t="str">
        <f t="shared" si="2"/>
        <v/>
      </c>
      <c r="J17840" s="1" t="str">
        <f t="shared" si="3"/>
        <v/>
      </c>
      <c r="K17840" s="1" t="str">
        <f t="shared" si="4"/>
        <v/>
      </c>
    </row>
    <row r="17841">
      <c r="F17841" s="1" t="str">
        <f t="shared" si="1"/>
        <v/>
      </c>
      <c r="G17841" s="1" t="str">
        <f t="shared" si="2"/>
        <v/>
      </c>
      <c r="J17841" s="1" t="str">
        <f t="shared" si="3"/>
        <v/>
      </c>
      <c r="K17841" s="1" t="str">
        <f t="shared" si="4"/>
        <v/>
      </c>
    </row>
    <row r="17842">
      <c r="F17842" s="1" t="str">
        <f t="shared" si="1"/>
        <v/>
      </c>
      <c r="G17842" s="1" t="str">
        <f t="shared" si="2"/>
        <v/>
      </c>
      <c r="J17842" s="1" t="str">
        <f t="shared" si="3"/>
        <v/>
      </c>
      <c r="K17842" s="1" t="str">
        <f t="shared" si="4"/>
        <v/>
      </c>
    </row>
    <row r="17843">
      <c r="F17843" s="1" t="str">
        <f t="shared" si="1"/>
        <v/>
      </c>
      <c r="G17843" s="1" t="str">
        <f t="shared" si="2"/>
        <v/>
      </c>
      <c r="J17843" s="1" t="str">
        <f t="shared" si="3"/>
        <v/>
      </c>
      <c r="K17843" s="1" t="str">
        <f t="shared" si="4"/>
        <v/>
      </c>
    </row>
    <row r="17844">
      <c r="F17844" s="1" t="str">
        <f t="shared" si="1"/>
        <v/>
      </c>
      <c r="G17844" s="1" t="str">
        <f t="shared" si="2"/>
        <v/>
      </c>
      <c r="J17844" s="1" t="str">
        <f t="shared" si="3"/>
        <v/>
      </c>
      <c r="K17844" s="1" t="str">
        <f t="shared" si="4"/>
        <v/>
      </c>
    </row>
    <row r="17845">
      <c r="F17845" s="1" t="str">
        <f t="shared" si="1"/>
        <v/>
      </c>
      <c r="G17845" s="1" t="str">
        <f t="shared" si="2"/>
        <v/>
      </c>
      <c r="J17845" s="1" t="str">
        <f t="shared" si="3"/>
        <v/>
      </c>
      <c r="K17845" s="1" t="str">
        <f t="shared" si="4"/>
        <v/>
      </c>
    </row>
    <row r="17846">
      <c r="F17846" s="1" t="str">
        <f t="shared" si="1"/>
        <v/>
      </c>
      <c r="G17846" s="1" t="str">
        <f t="shared" si="2"/>
        <v/>
      </c>
      <c r="J17846" s="1" t="str">
        <f t="shared" si="3"/>
        <v/>
      </c>
      <c r="K17846" s="1" t="str">
        <f t="shared" si="4"/>
        <v/>
      </c>
    </row>
    <row r="17847">
      <c r="F17847" s="1" t="str">
        <f t="shared" si="1"/>
        <v/>
      </c>
      <c r="G17847" s="1" t="str">
        <f t="shared" si="2"/>
        <v/>
      </c>
      <c r="J17847" s="1" t="str">
        <f t="shared" si="3"/>
        <v/>
      </c>
      <c r="K17847" s="1" t="str">
        <f t="shared" si="4"/>
        <v/>
      </c>
    </row>
    <row r="17848">
      <c r="F17848" s="1" t="str">
        <f t="shared" si="1"/>
        <v/>
      </c>
      <c r="G17848" s="1" t="str">
        <f t="shared" si="2"/>
        <v/>
      </c>
      <c r="J17848" s="1" t="str">
        <f t="shared" si="3"/>
        <v/>
      </c>
      <c r="K17848" s="1" t="str">
        <f t="shared" si="4"/>
        <v/>
      </c>
    </row>
    <row r="17849">
      <c r="F17849" s="1" t="str">
        <f t="shared" si="1"/>
        <v/>
      </c>
      <c r="G17849" s="1" t="str">
        <f t="shared" si="2"/>
        <v/>
      </c>
      <c r="J17849" s="1" t="str">
        <f t="shared" si="3"/>
        <v/>
      </c>
      <c r="K17849" s="1" t="str">
        <f t="shared" si="4"/>
        <v/>
      </c>
    </row>
    <row r="17850">
      <c r="F17850" s="1" t="str">
        <f t="shared" si="1"/>
        <v/>
      </c>
      <c r="G17850" s="1" t="str">
        <f t="shared" si="2"/>
        <v/>
      </c>
      <c r="J17850" s="1" t="str">
        <f t="shared" si="3"/>
        <v/>
      </c>
      <c r="K17850" s="1" t="str">
        <f t="shared" si="4"/>
        <v/>
      </c>
    </row>
    <row r="17851">
      <c r="F17851" s="1" t="str">
        <f t="shared" si="1"/>
        <v/>
      </c>
      <c r="G17851" s="1" t="str">
        <f t="shared" si="2"/>
        <v/>
      </c>
      <c r="J17851" s="1" t="str">
        <f t="shared" si="3"/>
        <v/>
      </c>
      <c r="K17851" s="1" t="str">
        <f t="shared" si="4"/>
        <v/>
      </c>
    </row>
    <row r="17852">
      <c r="F17852" s="1" t="str">
        <f t="shared" si="1"/>
        <v/>
      </c>
      <c r="G17852" s="1" t="str">
        <f t="shared" si="2"/>
        <v/>
      </c>
      <c r="J17852" s="1" t="str">
        <f t="shared" si="3"/>
        <v/>
      </c>
      <c r="K17852" s="1" t="str">
        <f t="shared" si="4"/>
        <v/>
      </c>
    </row>
    <row r="17853">
      <c r="F17853" s="1" t="str">
        <f t="shared" si="1"/>
        <v/>
      </c>
      <c r="G17853" s="1" t="str">
        <f t="shared" si="2"/>
        <v/>
      </c>
      <c r="J17853" s="1" t="str">
        <f t="shared" si="3"/>
        <v/>
      </c>
      <c r="K17853" s="1" t="str">
        <f t="shared" si="4"/>
        <v/>
      </c>
    </row>
    <row r="17854">
      <c r="F17854" s="1" t="str">
        <f t="shared" si="1"/>
        <v/>
      </c>
      <c r="G17854" s="1" t="str">
        <f t="shared" si="2"/>
        <v/>
      </c>
      <c r="J17854" s="1" t="str">
        <f t="shared" si="3"/>
        <v/>
      </c>
      <c r="K17854" s="1" t="str">
        <f t="shared" si="4"/>
        <v/>
      </c>
    </row>
    <row r="17855">
      <c r="F17855" s="1" t="str">
        <f t="shared" si="1"/>
        <v/>
      </c>
      <c r="G17855" s="1" t="str">
        <f t="shared" si="2"/>
        <v/>
      </c>
      <c r="J17855" s="1" t="str">
        <f t="shared" si="3"/>
        <v/>
      </c>
      <c r="K17855" s="1" t="str">
        <f t="shared" si="4"/>
        <v/>
      </c>
    </row>
    <row r="17856">
      <c r="F17856" s="1" t="str">
        <f t="shared" si="1"/>
        <v/>
      </c>
      <c r="G17856" s="1" t="str">
        <f t="shared" si="2"/>
        <v/>
      </c>
      <c r="J17856" s="1" t="str">
        <f t="shared" si="3"/>
        <v/>
      </c>
      <c r="K17856" s="1" t="str">
        <f t="shared" si="4"/>
        <v/>
      </c>
    </row>
    <row r="17857">
      <c r="F17857" s="1" t="str">
        <f t="shared" si="1"/>
        <v/>
      </c>
      <c r="G17857" s="1" t="str">
        <f t="shared" si="2"/>
        <v/>
      </c>
      <c r="J17857" s="1" t="str">
        <f t="shared" si="3"/>
        <v/>
      </c>
      <c r="K17857" s="1" t="str">
        <f t="shared" si="4"/>
        <v/>
      </c>
    </row>
    <row r="17858">
      <c r="F17858" s="1" t="str">
        <f t="shared" si="1"/>
        <v/>
      </c>
      <c r="G17858" s="1" t="str">
        <f t="shared" si="2"/>
        <v/>
      </c>
      <c r="J17858" s="1" t="str">
        <f t="shared" si="3"/>
        <v/>
      </c>
      <c r="K17858" s="1" t="str">
        <f t="shared" si="4"/>
        <v/>
      </c>
    </row>
    <row r="17859">
      <c r="F17859" s="1" t="str">
        <f t="shared" si="1"/>
        <v/>
      </c>
      <c r="G17859" s="1" t="str">
        <f t="shared" si="2"/>
        <v/>
      </c>
      <c r="J17859" s="1" t="str">
        <f t="shared" si="3"/>
        <v/>
      </c>
      <c r="K17859" s="1" t="str">
        <f t="shared" si="4"/>
        <v/>
      </c>
    </row>
    <row r="17860">
      <c r="F17860" s="1" t="str">
        <f t="shared" si="1"/>
        <v/>
      </c>
      <c r="G17860" s="1" t="str">
        <f t="shared" si="2"/>
        <v/>
      </c>
      <c r="J17860" s="1" t="str">
        <f t="shared" si="3"/>
        <v/>
      </c>
      <c r="K17860" s="1" t="str">
        <f t="shared" si="4"/>
        <v/>
      </c>
    </row>
    <row r="17861">
      <c r="F17861" s="1" t="str">
        <f t="shared" si="1"/>
        <v/>
      </c>
      <c r="G17861" s="1" t="str">
        <f t="shared" si="2"/>
        <v/>
      </c>
      <c r="J17861" s="1" t="str">
        <f t="shared" si="3"/>
        <v/>
      </c>
      <c r="K17861" s="1" t="str">
        <f t="shared" si="4"/>
        <v/>
      </c>
    </row>
    <row r="17862">
      <c r="F17862" s="1" t="str">
        <f t="shared" si="1"/>
        <v/>
      </c>
      <c r="G17862" s="1" t="str">
        <f t="shared" si="2"/>
        <v/>
      </c>
      <c r="J17862" s="1" t="str">
        <f t="shared" si="3"/>
        <v/>
      </c>
      <c r="K17862" s="1" t="str">
        <f t="shared" si="4"/>
        <v/>
      </c>
    </row>
    <row r="17863">
      <c r="F17863" s="1" t="str">
        <f t="shared" si="1"/>
        <v/>
      </c>
      <c r="G17863" s="1" t="str">
        <f t="shared" si="2"/>
        <v/>
      </c>
      <c r="J17863" s="1" t="str">
        <f t="shared" si="3"/>
        <v/>
      </c>
      <c r="K17863" s="1" t="str">
        <f t="shared" si="4"/>
        <v/>
      </c>
    </row>
    <row r="17864">
      <c r="F17864" s="1" t="str">
        <f t="shared" si="1"/>
        <v/>
      </c>
      <c r="G17864" s="1" t="str">
        <f t="shared" si="2"/>
        <v/>
      </c>
      <c r="J17864" s="1" t="str">
        <f t="shared" si="3"/>
        <v/>
      </c>
      <c r="K17864" s="1" t="str">
        <f t="shared" si="4"/>
        <v/>
      </c>
    </row>
    <row r="17865">
      <c r="F17865" s="1" t="str">
        <f t="shared" si="1"/>
        <v/>
      </c>
      <c r="G17865" s="1" t="str">
        <f t="shared" si="2"/>
        <v/>
      </c>
      <c r="J17865" s="1" t="str">
        <f t="shared" si="3"/>
        <v/>
      </c>
      <c r="K17865" s="1" t="str">
        <f t="shared" si="4"/>
        <v/>
      </c>
    </row>
    <row r="17866">
      <c r="F17866" s="1" t="str">
        <f t="shared" si="1"/>
        <v/>
      </c>
      <c r="G17866" s="1" t="str">
        <f t="shared" si="2"/>
        <v/>
      </c>
      <c r="J17866" s="1" t="str">
        <f t="shared" si="3"/>
        <v/>
      </c>
      <c r="K17866" s="1" t="str">
        <f t="shared" si="4"/>
        <v/>
      </c>
    </row>
    <row r="17867">
      <c r="F17867" s="1" t="str">
        <f t="shared" si="1"/>
        <v/>
      </c>
      <c r="G17867" s="1" t="str">
        <f t="shared" si="2"/>
        <v/>
      </c>
      <c r="J17867" s="1" t="str">
        <f t="shared" si="3"/>
        <v/>
      </c>
      <c r="K17867" s="1" t="str">
        <f t="shared" si="4"/>
        <v/>
      </c>
    </row>
    <row r="17868">
      <c r="F17868" s="1" t="str">
        <f t="shared" si="1"/>
        <v/>
      </c>
      <c r="G17868" s="1" t="str">
        <f t="shared" si="2"/>
        <v/>
      </c>
      <c r="J17868" s="1" t="str">
        <f t="shared" si="3"/>
        <v/>
      </c>
      <c r="K17868" s="1" t="str">
        <f t="shared" si="4"/>
        <v/>
      </c>
    </row>
    <row r="17869">
      <c r="F17869" s="1" t="str">
        <f t="shared" si="1"/>
        <v/>
      </c>
      <c r="G17869" s="1" t="str">
        <f t="shared" si="2"/>
        <v/>
      </c>
      <c r="J17869" s="1" t="str">
        <f t="shared" si="3"/>
        <v/>
      </c>
      <c r="K17869" s="1" t="str">
        <f t="shared" si="4"/>
        <v/>
      </c>
    </row>
    <row r="17870">
      <c r="F17870" s="1" t="str">
        <f t="shared" si="1"/>
        <v/>
      </c>
      <c r="G17870" s="1" t="str">
        <f t="shared" si="2"/>
        <v/>
      </c>
      <c r="J17870" s="1" t="str">
        <f t="shared" si="3"/>
        <v/>
      </c>
      <c r="K17870" s="1" t="str">
        <f t="shared" si="4"/>
        <v/>
      </c>
    </row>
    <row r="17871">
      <c r="F17871" s="1" t="str">
        <f t="shared" si="1"/>
        <v/>
      </c>
      <c r="G17871" s="1" t="str">
        <f t="shared" si="2"/>
        <v/>
      </c>
      <c r="J17871" s="1" t="str">
        <f t="shared" si="3"/>
        <v/>
      </c>
      <c r="K17871" s="1" t="str">
        <f t="shared" si="4"/>
        <v/>
      </c>
    </row>
    <row r="17872">
      <c r="F17872" s="1" t="str">
        <f t="shared" si="1"/>
        <v/>
      </c>
      <c r="G17872" s="1" t="str">
        <f t="shared" si="2"/>
        <v/>
      </c>
      <c r="J17872" s="1" t="str">
        <f t="shared" si="3"/>
        <v/>
      </c>
      <c r="K17872" s="1" t="str">
        <f t="shared" si="4"/>
        <v/>
      </c>
    </row>
    <row r="17873">
      <c r="F17873" s="1" t="str">
        <f t="shared" si="1"/>
        <v/>
      </c>
      <c r="G17873" s="1" t="str">
        <f t="shared" si="2"/>
        <v/>
      </c>
      <c r="J17873" s="1" t="str">
        <f t="shared" si="3"/>
        <v/>
      </c>
      <c r="K17873" s="1" t="str">
        <f t="shared" si="4"/>
        <v/>
      </c>
    </row>
    <row r="17874">
      <c r="F17874" s="1" t="str">
        <f t="shared" si="1"/>
        <v/>
      </c>
      <c r="G17874" s="1" t="str">
        <f t="shared" si="2"/>
        <v/>
      </c>
      <c r="J17874" s="1" t="str">
        <f t="shared" si="3"/>
        <v/>
      </c>
      <c r="K17874" s="1" t="str">
        <f t="shared" si="4"/>
        <v/>
      </c>
    </row>
    <row r="17875">
      <c r="F17875" s="1" t="str">
        <f t="shared" si="1"/>
        <v/>
      </c>
      <c r="G17875" s="1" t="str">
        <f t="shared" si="2"/>
        <v/>
      </c>
      <c r="J17875" s="1" t="str">
        <f t="shared" si="3"/>
        <v/>
      </c>
      <c r="K17875" s="1" t="str">
        <f t="shared" si="4"/>
        <v/>
      </c>
    </row>
    <row r="17876">
      <c r="F17876" s="1" t="str">
        <f t="shared" si="1"/>
        <v/>
      </c>
      <c r="G17876" s="1" t="str">
        <f t="shared" si="2"/>
        <v/>
      </c>
      <c r="J17876" s="1" t="str">
        <f t="shared" si="3"/>
        <v/>
      </c>
      <c r="K17876" s="1" t="str">
        <f t="shared" si="4"/>
        <v/>
      </c>
    </row>
    <row r="17877">
      <c r="F17877" s="1" t="str">
        <f t="shared" si="1"/>
        <v/>
      </c>
      <c r="G17877" s="1" t="str">
        <f t="shared" si="2"/>
        <v/>
      </c>
      <c r="J17877" s="1" t="str">
        <f t="shared" si="3"/>
        <v/>
      </c>
      <c r="K17877" s="1" t="str">
        <f t="shared" si="4"/>
        <v/>
      </c>
    </row>
    <row r="17878">
      <c r="F17878" s="1" t="str">
        <f t="shared" si="1"/>
        <v/>
      </c>
      <c r="G17878" s="1" t="str">
        <f t="shared" si="2"/>
        <v/>
      </c>
      <c r="J17878" s="1" t="str">
        <f t="shared" si="3"/>
        <v/>
      </c>
      <c r="K17878" s="1" t="str">
        <f t="shared" si="4"/>
        <v/>
      </c>
    </row>
    <row r="17879">
      <c r="F17879" s="1" t="str">
        <f t="shared" si="1"/>
        <v/>
      </c>
      <c r="G17879" s="1" t="str">
        <f t="shared" si="2"/>
        <v/>
      </c>
      <c r="J17879" s="1" t="str">
        <f t="shared" si="3"/>
        <v/>
      </c>
      <c r="K17879" s="1" t="str">
        <f t="shared" si="4"/>
        <v/>
      </c>
    </row>
    <row r="17880">
      <c r="F17880" s="1" t="str">
        <f t="shared" si="1"/>
        <v/>
      </c>
      <c r="G17880" s="1" t="str">
        <f t="shared" si="2"/>
        <v/>
      </c>
      <c r="J17880" s="1" t="str">
        <f t="shared" si="3"/>
        <v/>
      </c>
      <c r="K17880" s="1" t="str">
        <f t="shared" si="4"/>
        <v/>
      </c>
    </row>
    <row r="17881">
      <c r="F17881" s="1" t="str">
        <f t="shared" si="1"/>
        <v/>
      </c>
      <c r="G17881" s="1" t="str">
        <f t="shared" si="2"/>
        <v/>
      </c>
      <c r="J17881" s="1" t="str">
        <f t="shared" si="3"/>
        <v/>
      </c>
      <c r="K17881" s="1" t="str">
        <f t="shared" si="4"/>
        <v/>
      </c>
    </row>
    <row r="17882">
      <c r="F17882" s="1" t="str">
        <f t="shared" si="1"/>
        <v/>
      </c>
      <c r="G17882" s="1" t="str">
        <f t="shared" si="2"/>
        <v/>
      </c>
      <c r="J17882" s="1" t="str">
        <f t="shared" si="3"/>
        <v/>
      </c>
      <c r="K17882" s="1" t="str">
        <f t="shared" si="4"/>
        <v/>
      </c>
    </row>
    <row r="17883">
      <c r="F17883" s="1" t="str">
        <f t="shared" si="1"/>
        <v/>
      </c>
      <c r="G17883" s="1" t="str">
        <f t="shared" si="2"/>
        <v/>
      </c>
      <c r="J17883" s="1" t="str">
        <f t="shared" si="3"/>
        <v/>
      </c>
      <c r="K17883" s="1" t="str">
        <f t="shared" si="4"/>
        <v/>
      </c>
    </row>
    <row r="17884">
      <c r="F17884" s="1" t="str">
        <f t="shared" si="1"/>
        <v/>
      </c>
      <c r="G17884" s="1" t="str">
        <f t="shared" si="2"/>
        <v/>
      </c>
      <c r="J17884" s="1" t="str">
        <f t="shared" si="3"/>
        <v/>
      </c>
      <c r="K17884" s="1" t="str">
        <f t="shared" si="4"/>
        <v/>
      </c>
    </row>
    <row r="17885">
      <c r="F17885" s="1" t="str">
        <f t="shared" si="1"/>
        <v/>
      </c>
      <c r="G17885" s="1" t="str">
        <f t="shared" si="2"/>
        <v/>
      </c>
      <c r="J17885" s="1" t="str">
        <f t="shared" si="3"/>
        <v/>
      </c>
      <c r="K17885" s="1" t="str">
        <f t="shared" si="4"/>
        <v/>
      </c>
    </row>
    <row r="17886">
      <c r="F17886" s="1" t="str">
        <f t="shared" si="1"/>
        <v/>
      </c>
      <c r="G17886" s="1" t="str">
        <f t="shared" si="2"/>
        <v/>
      </c>
      <c r="J17886" s="1" t="str">
        <f t="shared" si="3"/>
        <v/>
      </c>
      <c r="K17886" s="1" t="str">
        <f t="shared" si="4"/>
        <v/>
      </c>
    </row>
    <row r="17887">
      <c r="F17887" s="1" t="str">
        <f t="shared" si="1"/>
        <v/>
      </c>
      <c r="G17887" s="1" t="str">
        <f t="shared" si="2"/>
        <v/>
      </c>
      <c r="J17887" s="1" t="str">
        <f t="shared" si="3"/>
        <v/>
      </c>
      <c r="K17887" s="1" t="str">
        <f t="shared" si="4"/>
        <v/>
      </c>
    </row>
    <row r="17888">
      <c r="F17888" s="1" t="str">
        <f t="shared" si="1"/>
        <v/>
      </c>
      <c r="G17888" s="1" t="str">
        <f t="shared" si="2"/>
        <v/>
      </c>
      <c r="J17888" s="1" t="str">
        <f t="shared" si="3"/>
        <v/>
      </c>
      <c r="K17888" s="1" t="str">
        <f t="shared" si="4"/>
        <v/>
      </c>
    </row>
    <row r="17889">
      <c r="F17889" s="1" t="str">
        <f t="shared" si="1"/>
        <v/>
      </c>
      <c r="G17889" s="1" t="str">
        <f t="shared" si="2"/>
        <v/>
      </c>
      <c r="J17889" s="1" t="str">
        <f t="shared" si="3"/>
        <v/>
      </c>
      <c r="K17889" s="1" t="str">
        <f t="shared" si="4"/>
        <v/>
      </c>
    </row>
    <row r="17890">
      <c r="F17890" s="1" t="str">
        <f t="shared" si="1"/>
        <v/>
      </c>
      <c r="G17890" s="1" t="str">
        <f t="shared" si="2"/>
        <v/>
      </c>
      <c r="J17890" s="1" t="str">
        <f t="shared" si="3"/>
        <v/>
      </c>
      <c r="K17890" s="1" t="str">
        <f t="shared" si="4"/>
        <v/>
      </c>
    </row>
    <row r="17891">
      <c r="F17891" s="1" t="str">
        <f t="shared" si="1"/>
        <v/>
      </c>
      <c r="G17891" s="1" t="str">
        <f t="shared" si="2"/>
        <v/>
      </c>
      <c r="J17891" s="1" t="str">
        <f t="shared" si="3"/>
        <v/>
      </c>
      <c r="K17891" s="1" t="str">
        <f t="shared" si="4"/>
        <v/>
      </c>
    </row>
    <row r="17892">
      <c r="F17892" s="1" t="str">
        <f t="shared" si="1"/>
        <v/>
      </c>
      <c r="G17892" s="1" t="str">
        <f t="shared" si="2"/>
        <v/>
      </c>
      <c r="J17892" s="1" t="str">
        <f t="shared" si="3"/>
        <v/>
      </c>
      <c r="K17892" s="1" t="str">
        <f t="shared" si="4"/>
        <v/>
      </c>
    </row>
    <row r="17893">
      <c r="F17893" s="1" t="str">
        <f t="shared" si="1"/>
        <v/>
      </c>
      <c r="G17893" s="1" t="str">
        <f t="shared" si="2"/>
        <v/>
      </c>
      <c r="J17893" s="1" t="str">
        <f t="shared" si="3"/>
        <v/>
      </c>
      <c r="K17893" s="1" t="str">
        <f t="shared" si="4"/>
        <v/>
      </c>
    </row>
    <row r="17894">
      <c r="F17894" s="1" t="str">
        <f t="shared" si="1"/>
        <v/>
      </c>
      <c r="G17894" s="1" t="str">
        <f t="shared" si="2"/>
        <v/>
      </c>
      <c r="J17894" s="1" t="str">
        <f t="shared" si="3"/>
        <v/>
      </c>
      <c r="K17894" s="1" t="str">
        <f t="shared" si="4"/>
        <v/>
      </c>
    </row>
    <row r="17895">
      <c r="F17895" s="1" t="str">
        <f t="shared" si="1"/>
        <v/>
      </c>
      <c r="G17895" s="1" t="str">
        <f t="shared" si="2"/>
        <v/>
      </c>
      <c r="J17895" s="1" t="str">
        <f t="shared" si="3"/>
        <v/>
      </c>
      <c r="K17895" s="1" t="str">
        <f t="shared" si="4"/>
        <v/>
      </c>
    </row>
    <row r="17896">
      <c r="F17896" s="1" t="str">
        <f t="shared" si="1"/>
        <v/>
      </c>
      <c r="G17896" s="1" t="str">
        <f t="shared" si="2"/>
        <v/>
      </c>
      <c r="J17896" s="1" t="str">
        <f t="shared" si="3"/>
        <v/>
      </c>
      <c r="K17896" s="1" t="str">
        <f t="shared" si="4"/>
        <v/>
      </c>
    </row>
    <row r="17897">
      <c r="F17897" s="1" t="str">
        <f t="shared" si="1"/>
        <v/>
      </c>
      <c r="G17897" s="1" t="str">
        <f t="shared" si="2"/>
        <v/>
      </c>
      <c r="J17897" s="1" t="str">
        <f t="shared" si="3"/>
        <v/>
      </c>
      <c r="K17897" s="1" t="str">
        <f t="shared" si="4"/>
        <v/>
      </c>
    </row>
    <row r="17898">
      <c r="F17898" s="1" t="str">
        <f t="shared" si="1"/>
        <v/>
      </c>
      <c r="G17898" s="1" t="str">
        <f t="shared" si="2"/>
        <v/>
      </c>
      <c r="J17898" s="1" t="str">
        <f t="shared" si="3"/>
        <v/>
      </c>
      <c r="K17898" s="1" t="str">
        <f t="shared" si="4"/>
        <v/>
      </c>
    </row>
    <row r="17899">
      <c r="F17899" s="1" t="str">
        <f t="shared" si="1"/>
        <v/>
      </c>
      <c r="G17899" s="1" t="str">
        <f t="shared" si="2"/>
        <v/>
      </c>
      <c r="J17899" s="1" t="str">
        <f t="shared" si="3"/>
        <v/>
      </c>
      <c r="K17899" s="1" t="str">
        <f t="shared" si="4"/>
        <v/>
      </c>
    </row>
    <row r="17900">
      <c r="F17900" s="1" t="str">
        <f t="shared" si="1"/>
        <v/>
      </c>
      <c r="G17900" s="1" t="str">
        <f t="shared" si="2"/>
        <v/>
      </c>
      <c r="J17900" s="1" t="str">
        <f t="shared" si="3"/>
        <v/>
      </c>
      <c r="K17900" s="1" t="str">
        <f t="shared" si="4"/>
        <v/>
      </c>
    </row>
    <row r="17901">
      <c r="F17901" s="1" t="str">
        <f t="shared" si="1"/>
        <v/>
      </c>
      <c r="G17901" s="1" t="str">
        <f t="shared" si="2"/>
        <v/>
      </c>
      <c r="J17901" s="1" t="str">
        <f t="shared" si="3"/>
        <v/>
      </c>
      <c r="K17901" s="1" t="str">
        <f t="shared" si="4"/>
        <v/>
      </c>
    </row>
    <row r="17902">
      <c r="F17902" s="1" t="str">
        <f t="shared" si="1"/>
        <v/>
      </c>
      <c r="G17902" s="1" t="str">
        <f t="shared" si="2"/>
        <v/>
      </c>
      <c r="J17902" s="1" t="str">
        <f t="shared" si="3"/>
        <v/>
      </c>
      <c r="K17902" s="1" t="str">
        <f t="shared" si="4"/>
        <v/>
      </c>
    </row>
    <row r="17903">
      <c r="F17903" s="1" t="str">
        <f t="shared" si="1"/>
        <v/>
      </c>
      <c r="G17903" s="1" t="str">
        <f t="shared" si="2"/>
        <v/>
      </c>
      <c r="J17903" s="1" t="str">
        <f t="shared" si="3"/>
        <v/>
      </c>
      <c r="K17903" s="1" t="str">
        <f t="shared" si="4"/>
        <v/>
      </c>
    </row>
    <row r="17904">
      <c r="F17904" s="1" t="str">
        <f t="shared" si="1"/>
        <v/>
      </c>
      <c r="G17904" s="1" t="str">
        <f t="shared" si="2"/>
        <v/>
      </c>
      <c r="J17904" s="1" t="str">
        <f t="shared" si="3"/>
        <v/>
      </c>
      <c r="K17904" s="1" t="str">
        <f t="shared" si="4"/>
        <v/>
      </c>
    </row>
    <row r="17905">
      <c r="F17905" s="1" t="str">
        <f t="shared" si="1"/>
        <v/>
      </c>
      <c r="G17905" s="1" t="str">
        <f t="shared" si="2"/>
        <v/>
      </c>
      <c r="J17905" s="1" t="str">
        <f t="shared" si="3"/>
        <v/>
      </c>
      <c r="K17905" s="1" t="str">
        <f t="shared" si="4"/>
        <v/>
      </c>
    </row>
    <row r="17906">
      <c r="F17906" s="1" t="str">
        <f t="shared" si="1"/>
        <v/>
      </c>
      <c r="G17906" s="1" t="str">
        <f t="shared" si="2"/>
        <v/>
      </c>
      <c r="J17906" s="1" t="str">
        <f t="shared" si="3"/>
        <v/>
      </c>
      <c r="K17906" s="1" t="str">
        <f t="shared" si="4"/>
        <v/>
      </c>
    </row>
    <row r="17907">
      <c r="F17907" s="1" t="str">
        <f t="shared" si="1"/>
        <v/>
      </c>
      <c r="G17907" s="1" t="str">
        <f t="shared" si="2"/>
        <v/>
      </c>
      <c r="J17907" s="1" t="str">
        <f t="shared" si="3"/>
        <v/>
      </c>
      <c r="K17907" s="1" t="str">
        <f t="shared" si="4"/>
        <v/>
      </c>
    </row>
    <row r="17908">
      <c r="F17908" s="1" t="str">
        <f t="shared" si="1"/>
        <v/>
      </c>
      <c r="G17908" s="1" t="str">
        <f t="shared" si="2"/>
        <v/>
      </c>
      <c r="J17908" s="1" t="str">
        <f t="shared" si="3"/>
        <v/>
      </c>
      <c r="K17908" s="1" t="str">
        <f t="shared" si="4"/>
        <v/>
      </c>
    </row>
    <row r="17909">
      <c r="F17909" s="1" t="str">
        <f t="shared" si="1"/>
        <v/>
      </c>
      <c r="G17909" s="1" t="str">
        <f t="shared" si="2"/>
        <v/>
      </c>
      <c r="J17909" s="1" t="str">
        <f t="shared" si="3"/>
        <v/>
      </c>
      <c r="K17909" s="1" t="str">
        <f t="shared" si="4"/>
        <v/>
      </c>
    </row>
    <row r="17910">
      <c r="F17910" s="1" t="str">
        <f t="shared" si="1"/>
        <v/>
      </c>
      <c r="G17910" s="1" t="str">
        <f t="shared" si="2"/>
        <v/>
      </c>
      <c r="J17910" s="1" t="str">
        <f t="shared" si="3"/>
        <v/>
      </c>
      <c r="K17910" s="1" t="str">
        <f t="shared" si="4"/>
        <v/>
      </c>
    </row>
    <row r="17911">
      <c r="F17911" s="1" t="str">
        <f t="shared" si="1"/>
        <v/>
      </c>
      <c r="G17911" s="1" t="str">
        <f t="shared" si="2"/>
        <v/>
      </c>
      <c r="J17911" s="1" t="str">
        <f t="shared" si="3"/>
        <v/>
      </c>
      <c r="K17911" s="1" t="str">
        <f t="shared" si="4"/>
        <v/>
      </c>
    </row>
    <row r="17912">
      <c r="F17912" s="1" t="str">
        <f t="shared" si="1"/>
        <v/>
      </c>
      <c r="G17912" s="1" t="str">
        <f t="shared" si="2"/>
        <v/>
      </c>
      <c r="J17912" s="1" t="str">
        <f t="shared" si="3"/>
        <v/>
      </c>
      <c r="K17912" s="1" t="str">
        <f t="shared" si="4"/>
        <v/>
      </c>
    </row>
    <row r="17913">
      <c r="F17913" s="1" t="str">
        <f t="shared" si="1"/>
        <v/>
      </c>
      <c r="G17913" s="1" t="str">
        <f t="shared" si="2"/>
        <v/>
      </c>
      <c r="J17913" s="1" t="str">
        <f t="shared" si="3"/>
        <v/>
      </c>
      <c r="K17913" s="1" t="str">
        <f t="shared" si="4"/>
        <v/>
      </c>
    </row>
    <row r="17914">
      <c r="F17914" s="1" t="str">
        <f t="shared" si="1"/>
        <v/>
      </c>
      <c r="G17914" s="1" t="str">
        <f t="shared" si="2"/>
        <v/>
      </c>
      <c r="J17914" s="1" t="str">
        <f t="shared" si="3"/>
        <v/>
      </c>
      <c r="K17914" s="1" t="str">
        <f t="shared" si="4"/>
        <v/>
      </c>
    </row>
    <row r="17915">
      <c r="F17915" s="1" t="str">
        <f t="shared" si="1"/>
        <v/>
      </c>
      <c r="G17915" s="1" t="str">
        <f t="shared" si="2"/>
        <v/>
      </c>
      <c r="J17915" s="1" t="str">
        <f t="shared" si="3"/>
        <v/>
      </c>
      <c r="K17915" s="1" t="str">
        <f t="shared" si="4"/>
        <v/>
      </c>
    </row>
    <row r="17916">
      <c r="F17916" s="1" t="str">
        <f t="shared" si="1"/>
        <v/>
      </c>
      <c r="G17916" s="1" t="str">
        <f t="shared" si="2"/>
        <v/>
      </c>
      <c r="J17916" s="1" t="str">
        <f t="shared" si="3"/>
        <v/>
      </c>
      <c r="K17916" s="1" t="str">
        <f t="shared" si="4"/>
        <v/>
      </c>
    </row>
    <row r="17917">
      <c r="F17917" s="1" t="str">
        <f t="shared" si="1"/>
        <v/>
      </c>
      <c r="G17917" s="1" t="str">
        <f t="shared" si="2"/>
        <v/>
      </c>
      <c r="J17917" s="1" t="str">
        <f t="shared" si="3"/>
        <v/>
      </c>
      <c r="K17917" s="1" t="str">
        <f t="shared" si="4"/>
        <v/>
      </c>
    </row>
    <row r="17918">
      <c r="F17918" s="1" t="str">
        <f t="shared" si="1"/>
        <v/>
      </c>
      <c r="G17918" s="1" t="str">
        <f t="shared" si="2"/>
        <v/>
      </c>
      <c r="J17918" s="1" t="str">
        <f t="shared" si="3"/>
        <v/>
      </c>
      <c r="K17918" s="1" t="str">
        <f t="shared" si="4"/>
        <v/>
      </c>
    </row>
    <row r="17919">
      <c r="F17919" s="1" t="str">
        <f t="shared" si="1"/>
        <v/>
      </c>
      <c r="G17919" s="1" t="str">
        <f t="shared" si="2"/>
        <v/>
      </c>
      <c r="J17919" s="1" t="str">
        <f t="shared" si="3"/>
        <v/>
      </c>
      <c r="K17919" s="1" t="str">
        <f t="shared" si="4"/>
        <v/>
      </c>
    </row>
    <row r="17920">
      <c r="F17920" s="1" t="str">
        <f t="shared" si="1"/>
        <v/>
      </c>
      <c r="G17920" s="1" t="str">
        <f t="shared" si="2"/>
        <v/>
      </c>
      <c r="J17920" s="1" t="str">
        <f t="shared" si="3"/>
        <v/>
      </c>
      <c r="K17920" s="1" t="str">
        <f t="shared" si="4"/>
        <v/>
      </c>
    </row>
    <row r="17921">
      <c r="F17921" s="1" t="str">
        <f t="shared" si="1"/>
        <v/>
      </c>
      <c r="G17921" s="1" t="str">
        <f t="shared" si="2"/>
        <v/>
      </c>
      <c r="J17921" s="1" t="str">
        <f t="shared" si="3"/>
        <v/>
      </c>
      <c r="K17921" s="1" t="str">
        <f t="shared" si="4"/>
        <v/>
      </c>
    </row>
    <row r="17922">
      <c r="F17922" s="1" t="str">
        <f t="shared" si="1"/>
        <v/>
      </c>
      <c r="G17922" s="1" t="str">
        <f t="shared" si="2"/>
        <v/>
      </c>
      <c r="J17922" s="1" t="str">
        <f t="shared" si="3"/>
        <v/>
      </c>
      <c r="K17922" s="1" t="str">
        <f t="shared" si="4"/>
        <v/>
      </c>
    </row>
    <row r="17923">
      <c r="F17923" s="1" t="str">
        <f t="shared" si="1"/>
        <v/>
      </c>
      <c r="G17923" s="1" t="str">
        <f t="shared" si="2"/>
        <v/>
      </c>
      <c r="J17923" s="1" t="str">
        <f t="shared" si="3"/>
        <v/>
      </c>
      <c r="K17923" s="1" t="str">
        <f t="shared" si="4"/>
        <v/>
      </c>
    </row>
    <row r="17924">
      <c r="F17924" s="1" t="str">
        <f t="shared" si="1"/>
        <v/>
      </c>
      <c r="G17924" s="1" t="str">
        <f t="shared" si="2"/>
        <v/>
      </c>
      <c r="J17924" s="1" t="str">
        <f t="shared" si="3"/>
        <v/>
      </c>
      <c r="K17924" s="1" t="str">
        <f t="shared" si="4"/>
        <v/>
      </c>
    </row>
    <row r="17925">
      <c r="F17925" s="1" t="str">
        <f t="shared" si="1"/>
        <v/>
      </c>
      <c r="G17925" s="1" t="str">
        <f t="shared" si="2"/>
        <v/>
      </c>
      <c r="J17925" s="1" t="str">
        <f t="shared" si="3"/>
        <v/>
      </c>
      <c r="K17925" s="1" t="str">
        <f t="shared" si="4"/>
        <v/>
      </c>
    </row>
    <row r="17926">
      <c r="F17926" s="1" t="str">
        <f t="shared" si="1"/>
        <v/>
      </c>
      <c r="G17926" s="1" t="str">
        <f t="shared" si="2"/>
        <v/>
      </c>
      <c r="J17926" s="1" t="str">
        <f t="shared" si="3"/>
        <v/>
      </c>
      <c r="K17926" s="1" t="str">
        <f t="shared" si="4"/>
        <v/>
      </c>
    </row>
    <row r="17927">
      <c r="F17927" s="1" t="str">
        <f t="shared" si="1"/>
        <v/>
      </c>
      <c r="G17927" s="1" t="str">
        <f t="shared" si="2"/>
        <v/>
      </c>
      <c r="J17927" s="1" t="str">
        <f t="shared" si="3"/>
        <v/>
      </c>
      <c r="K17927" s="1" t="str">
        <f t="shared" si="4"/>
        <v/>
      </c>
    </row>
    <row r="17928">
      <c r="F17928" s="1" t="str">
        <f t="shared" si="1"/>
        <v/>
      </c>
      <c r="G17928" s="1" t="str">
        <f t="shared" si="2"/>
        <v/>
      </c>
      <c r="J17928" s="1" t="str">
        <f t="shared" si="3"/>
        <v/>
      </c>
      <c r="K17928" s="1" t="str">
        <f t="shared" si="4"/>
        <v/>
      </c>
    </row>
    <row r="17929">
      <c r="F17929" s="1" t="str">
        <f t="shared" si="1"/>
        <v/>
      </c>
      <c r="G17929" s="1" t="str">
        <f t="shared" si="2"/>
        <v/>
      </c>
      <c r="J17929" s="1" t="str">
        <f t="shared" si="3"/>
        <v/>
      </c>
      <c r="K17929" s="1" t="str">
        <f t="shared" si="4"/>
        <v/>
      </c>
    </row>
    <row r="17930">
      <c r="F17930" s="1" t="str">
        <f t="shared" si="1"/>
        <v/>
      </c>
      <c r="G17930" s="1" t="str">
        <f t="shared" si="2"/>
        <v/>
      </c>
      <c r="J17930" s="1" t="str">
        <f t="shared" si="3"/>
        <v/>
      </c>
      <c r="K17930" s="1" t="str">
        <f t="shared" si="4"/>
        <v/>
      </c>
    </row>
    <row r="17931">
      <c r="F17931" s="1" t="str">
        <f t="shared" si="1"/>
        <v/>
      </c>
      <c r="G17931" s="1" t="str">
        <f t="shared" si="2"/>
        <v/>
      </c>
      <c r="J17931" s="1" t="str">
        <f t="shared" si="3"/>
        <v/>
      </c>
      <c r="K17931" s="1" t="str">
        <f t="shared" si="4"/>
        <v/>
      </c>
    </row>
    <row r="17932">
      <c r="F17932" s="1" t="str">
        <f t="shared" si="1"/>
        <v/>
      </c>
      <c r="G17932" s="1" t="str">
        <f t="shared" si="2"/>
        <v/>
      </c>
      <c r="J17932" s="1" t="str">
        <f t="shared" si="3"/>
        <v/>
      </c>
      <c r="K17932" s="1" t="str">
        <f t="shared" si="4"/>
        <v/>
      </c>
    </row>
    <row r="17933">
      <c r="F17933" s="1" t="str">
        <f t="shared" si="1"/>
        <v/>
      </c>
      <c r="G17933" s="1" t="str">
        <f t="shared" si="2"/>
        <v/>
      </c>
      <c r="J17933" s="1" t="str">
        <f t="shared" si="3"/>
        <v/>
      </c>
      <c r="K17933" s="1" t="str">
        <f t="shared" si="4"/>
        <v/>
      </c>
    </row>
    <row r="17934">
      <c r="F17934" s="1" t="str">
        <f t="shared" si="1"/>
        <v/>
      </c>
      <c r="G17934" s="1" t="str">
        <f t="shared" si="2"/>
        <v/>
      </c>
      <c r="J17934" s="1" t="str">
        <f t="shared" si="3"/>
        <v/>
      </c>
      <c r="K17934" s="1" t="str">
        <f t="shared" si="4"/>
        <v/>
      </c>
    </row>
    <row r="17935">
      <c r="F17935" s="1" t="str">
        <f t="shared" si="1"/>
        <v/>
      </c>
      <c r="G17935" s="1" t="str">
        <f t="shared" si="2"/>
        <v/>
      </c>
      <c r="J17935" s="1" t="str">
        <f t="shared" si="3"/>
        <v/>
      </c>
      <c r="K17935" s="1" t="str">
        <f t="shared" si="4"/>
        <v/>
      </c>
    </row>
    <row r="17936">
      <c r="F17936" s="1" t="str">
        <f t="shared" si="1"/>
        <v/>
      </c>
      <c r="G17936" s="1" t="str">
        <f t="shared" si="2"/>
        <v/>
      </c>
      <c r="J17936" s="1" t="str">
        <f t="shared" si="3"/>
        <v/>
      </c>
      <c r="K17936" s="1" t="str">
        <f t="shared" si="4"/>
        <v/>
      </c>
    </row>
    <row r="17937">
      <c r="F17937" s="1" t="str">
        <f t="shared" si="1"/>
        <v/>
      </c>
      <c r="G17937" s="1" t="str">
        <f t="shared" si="2"/>
        <v/>
      </c>
      <c r="J17937" s="1" t="str">
        <f t="shared" si="3"/>
        <v/>
      </c>
      <c r="K17937" s="1" t="str">
        <f t="shared" si="4"/>
        <v/>
      </c>
    </row>
    <row r="17938">
      <c r="F17938" s="1" t="str">
        <f t="shared" si="1"/>
        <v/>
      </c>
      <c r="G17938" s="1" t="str">
        <f t="shared" si="2"/>
        <v/>
      </c>
      <c r="J17938" s="1" t="str">
        <f t="shared" si="3"/>
        <v/>
      </c>
      <c r="K17938" s="1" t="str">
        <f t="shared" si="4"/>
        <v/>
      </c>
    </row>
    <row r="17939">
      <c r="F17939" s="1" t="str">
        <f t="shared" si="1"/>
        <v/>
      </c>
      <c r="G17939" s="1" t="str">
        <f t="shared" si="2"/>
        <v/>
      </c>
      <c r="J17939" s="1" t="str">
        <f t="shared" si="3"/>
        <v/>
      </c>
      <c r="K17939" s="1" t="str">
        <f t="shared" si="4"/>
        <v/>
      </c>
    </row>
    <row r="17940">
      <c r="F17940" s="1" t="str">
        <f t="shared" si="1"/>
        <v/>
      </c>
      <c r="G17940" s="1" t="str">
        <f t="shared" si="2"/>
        <v/>
      </c>
      <c r="J17940" s="1" t="str">
        <f t="shared" si="3"/>
        <v/>
      </c>
      <c r="K17940" s="1" t="str">
        <f t="shared" si="4"/>
        <v/>
      </c>
    </row>
    <row r="17941">
      <c r="F17941" s="1" t="str">
        <f t="shared" si="1"/>
        <v/>
      </c>
      <c r="G17941" s="1" t="str">
        <f t="shared" si="2"/>
        <v/>
      </c>
      <c r="J17941" s="1" t="str">
        <f t="shared" si="3"/>
        <v/>
      </c>
      <c r="K17941" s="1" t="str">
        <f t="shared" si="4"/>
        <v/>
      </c>
    </row>
    <row r="17942">
      <c r="F17942" s="1" t="str">
        <f t="shared" si="1"/>
        <v/>
      </c>
      <c r="G17942" s="1" t="str">
        <f t="shared" si="2"/>
        <v/>
      </c>
      <c r="J17942" s="1" t="str">
        <f t="shared" si="3"/>
        <v/>
      </c>
      <c r="K17942" s="1" t="str">
        <f t="shared" si="4"/>
        <v/>
      </c>
    </row>
    <row r="17943">
      <c r="F17943" s="1" t="str">
        <f t="shared" si="1"/>
        <v/>
      </c>
      <c r="G17943" s="1" t="str">
        <f t="shared" si="2"/>
        <v/>
      </c>
      <c r="J17943" s="1" t="str">
        <f t="shared" si="3"/>
        <v/>
      </c>
      <c r="K17943" s="1" t="str">
        <f t="shared" si="4"/>
        <v/>
      </c>
    </row>
    <row r="17944">
      <c r="F17944" s="1" t="str">
        <f t="shared" si="1"/>
        <v/>
      </c>
      <c r="G17944" s="1" t="str">
        <f t="shared" si="2"/>
        <v/>
      </c>
      <c r="J17944" s="1" t="str">
        <f t="shared" si="3"/>
        <v/>
      </c>
      <c r="K17944" s="1" t="str">
        <f t="shared" si="4"/>
        <v/>
      </c>
    </row>
    <row r="17945">
      <c r="F17945" s="1" t="str">
        <f t="shared" si="1"/>
        <v/>
      </c>
      <c r="G17945" s="1" t="str">
        <f t="shared" si="2"/>
        <v/>
      </c>
      <c r="J17945" s="1" t="str">
        <f t="shared" si="3"/>
        <v/>
      </c>
      <c r="K17945" s="1" t="str">
        <f t="shared" si="4"/>
        <v/>
      </c>
    </row>
    <row r="17946">
      <c r="F17946" s="1" t="str">
        <f t="shared" si="1"/>
        <v/>
      </c>
      <c r="G17946" s="1" t="str">
        <f t="shared" si="2"/>
        <v/>
      </c>
      <c r="J17946" s="1" t="str">
        <f t="shared" si="3"/>
        <v/>
      </c>
      <c r="K17946" s="1" t="str">
        <f t="shared" si="4"/>
        <v/>
      </c>
    </row>
    <row r="17947">
      <c r="F17947" s="1" t="str">
        <f t="shared" si="1"/>
        <v/>
      </c>
      <c r="G17947" s="1" t="str">
        <f t="shared" si="2"/>
        <v/>
      </c>
      <c r="J17947" s="1" t="str">
        <f t="shared" si="3"/>
        <v/>
      </c>
      <c r="K17947" s="1" t="str">
        <f t="shared" si="4"/>
        <v/>
      </c>
    </row>
    <row r="17948">
      <c r="F17948" s="1" t="str">
        <f t="shared" si="1"/>
        <v/>
      </c>
      <c r="G17948" s="1" t="str">
        <f t="shared" si="2"/>
        <v/>
      </c>
      <c r="J17948" s="1" t="str">
        <f t="shared" si="3"/>
        <v/>
      </c>
      <c r="K17948" s="1" t="str">
        <f t="shared" si="4"/>
        <v/>
      </c>
    </row>
    <row r="17949">
      <c r="F17949" s="1" t="str">
        <f t="shared" si="1"/>
        <v/>
      </c>
      <c r="G17949" s="1" t="str">
        <f t="shared" si="2"/>
        <v/>
      </c>
      <c r="J17949" s="1" t="str">
        <f t="shared" si="3"/>
        <v/>
      </c>
      <c r="K17949" s="1" t="str">
        <f t="shared" si="4"/>
        <v/>
      </c>
    </row>
    <row r="17950">
      <c r="F17950" s="1" t="str">
        <f t="shared" si="1"/>
        <v/>
      </c>
      <c r="G17950" s="1" t="str">
        <f t="shared" si="2"/>
        <v/>
      </c>
      <c r="J17950" s="1" t="str">
        <f t="shared" si="3"/>
        <v/>
      </c>
      <c r="K17950" s="1" t="str">
        <f t="shared" si="4"/>
        <v/>
      </c>
    </row>
    <row r="17951">
      <c r="F17951" s="1" t="str">
        <f t="shared" si="1"/>
        <v/>
      </c>
      <c r="G17951" s="1" t="str">
        <f t="shared" si="2"/>
        <v/>
      </c>
      <c r="J17951" s="1" t="str">
        <f t="shared" si="3"/>
        <v/>
      </c>
      <c r="K17951" s="1" t="str">
        <f t="shared" si="4"/>
        <v/>
      </c>
    </row>
    <row r="17952">
      <c r="F17952" s="1" t="str">
        <f t="shared" si="1"/>
        <v/>
      </c>
      <c r="G17952" s="1" t="str">
        <f t="shared" si="2"/>
        <v/>
      </c>
      <c r="J17952" s="1" t="str">
        <f t="shared" si="3"/>
        <v/>
      </c>
      <c r="K17952" s="1" t="str">
        <f t="shared" si="4"/>
        <v/>
      </c>
    </row>
    <row r="17953">
      <c r="F17953" s="1" t="str">
        <f t="shared" si="1"/>
        <v/>
      </c>
      <c r="G17953" s="1" t="str">
        <f t="shared" si="2"/>
        <v/>
      </c>
      <c r="J17953" s="1" t="str">
        <f t="shared" si="3"/>
        <v/>
      </c>
      <c r="K17953" s="1" t="str">
        <f t="shared" si="4"/>
        <v/>
      </c>
    </row>
    <row r="17954">
      <c r="F17954" s="1" t="str">
        <f t="shared" si="1"/>
        <v/>
      </c>
      <c r="G17954" s="1" t="str">
        <f t="shared" si="2"/>
        <v/>
      </c>
      <c r="J17954" s="1" t="str">
        <f t="shared" si="3"/>
        <v/>
      </c>
      <c r="K17954" s="1" t="str">
        <f t="shared" si="4"/>
        <v/>
      </c>
    </row>
    <row r="17955">
      <c r="F17955" s="1" t="str">
        <f t="shared" si="1"/>
        <v/>
      </c>
      <c r="G17955" s="1" t="str">
        <f t="shared" si="2"/>
        <v/>
      </c>
      <c r="J17955" s="1" t="str">
        <f t="shared" si="3"/>
        <v/>
      </c>
      <c r="K17955" s="1" t="str">
        <f t="shared" si="4"/>
        <v/>
      </c>
    </row>
    <row r="17956">
      <c r="F17956" s="1" t="str">
        <f t="shared" si="1"/>
        <v/>
      </c>
      <c r="G17956" s="1" t="str">
        <f t="shared" si="2"/>
        <v/>
      </c>
      <c r="J17956" s="1" t="str">
        <f t="shared" si="3"/>
        <v/>
      </c>
      <c r="K17956" s="1" t="str">
        <f t="shared" si="4"/>
        <v/>
      </c>
    </row>
    <row r="17957">
      <c r="F17957" s="1" t="str">
        <f t="shared" si="1"/>
        <v/>
      </c>
      <c r="G17957" s="1" t="str">
        <f t="shared" si="2"/>
        <v/>
      </c>
      <c r="J17957" s="1" t="str">
        <f t="shared" si="3"/>
        <v/>
      </c>
      <c r="K17957" s="1" t="str">
        <f t="shared" si="4"/>
        <v/>
      </c>
    </row>
    <row r="17958">
      <c r="F17958" s="1" t="str">
        <f t="shared" si="1"/>
        <v/>
      </c>
      <c r="G17958" s="1" t="str">
        <f t="shared" si="2"/>
        <v/>
      </c>
      <c r="J17958" s="1" t="str">
        <f t="shared" si="3"/>
        <v/>
      </c>
      <c r="K17958" s="1" t="str">
        <f t="shared" si="4"/>
        <v/>
      </c>
    </row>
    <row r="17959">
      <c r="F17959" s="1" t="str">
        <f t="shared" si="1"/>
        <v/>
      </c>
      <c r="G17959" s="1" t="str">
        <f t="shared" si="2"/>
        <v/>
      </c>
      <c r="J17959" s="1" t="str">
        <f t="shared" si="3"/>
        <v/>
      </c>
      <c r="K17959" s="1" t="str">
        <f t="shared" si="4"/>
        <v/>
      </c>
    </row>
    <row r="17960">
      <c r="F17960" s="1" t="str">
        <f t="shared" si="1"/>
        <v/>
      </c>
      <c r="G17960" s="1" t="str">
        <f t="shared" si="2"/>
        <v/>
      </c>
      <c r="J17960" s="1" t="str">
        <f t="shared" si="3"/>
        <v/>
      </c>
      <c r="K17960" s="1" t="str">
        <f t="shared" si="4"/>
        <v/>
      </c>
    </row>
    <row r="17961">
      <c r="F17961" s="1" t="str">
        <f t="shared" si="1"/>
        <v/>
      </c>
      <c r="G17961" s="1" t="str">
        <f t="shared" si="2"/>
        <v/>
      </c>
      <c r="J17961" s="1" t="str">
        <f t="shared" si="3"/>
        <v/>
      </c>
      <c r="K17961" s="1" t="str">
        <f t="shared" si="4"/>
        <v/>
      </c>
    </row>
    <row r="17962">
      <c r="F17962" s="1" t="str">
        <f t="shared" si="1"/>
        <v/>
      </c>
      <c r="G17962" s="1" t="str">
        <f t="shared" si="2"/>
        <v/>
      </c>
      <c r="J17962" s="1" t="str">
        <f t="shared" si="3"/>
        <v/>
      </c>
      <c r="K17962" s="1" t="str">
        <f t="shared" si="4"/>
        <v/>
      </c>
    </row>
    <row r="17963">
      <c r="F17963" s="1" t="str">
        <f t="shared" si="1"/>
        <v/>
      </c>
      <c r="G17963" s="1" t="str">
        <f t="shared" si="2"/>
        <v/>
      </c>
      <c r="J17963" s="1" t="str">
        <f t="shared" si="3"/>
        <v/>
      </c>
      <c r="K17963" s="1" t="str">
        <f t="shared" si="4"/>
        <v/>
      </c>
    </row>
    <row r="17964">
      <c r="F17964" s="1" t="str">
        <f t="shared" si="1"/>
        <v/>
      </c>
      <c r="G17964" s="1" t="str">
        <f t="shared" si="2"/>
        <v/>
      </c>
      <c r="J17964" s="1" t="str">
        <f t="shared" si="3"/>
        <v/>
      </c>
      <c r="K17964" s="1" t="str">
        <f t="shared" si="4"/>
        <v/>
      </c>
    </row>
    <row r="17965">
      <c r="F17965" s="1" t="str">
        <f t="shared" si="1"/>
        <v/>
      </c>
      <c r="G17965" s="1" t="str">
        <f t="shared" si="2"/>
        <v/>
      </c>
      <c r="J17965" s="1" t="str">
        <f t="shared" si="3"/>
        <v/>
      </c>
      <c r="K17965" s="1" t="str">
        <f t="shared" si="4"/>
        <v/>
      </c>
    </row>
    <row r="17966">
      <c r="F17966" s="1" t="str">
        <f t="shared" si="1"/>
        <v/>
      </c>
      <c r="G17966" s="1" t="str">
        <f t="shared" si="2"/>
        <v/>
      </c>
      <c r="J17966" s="1" t="str">
        <f t="shared" si="3"/>
        <v/>
      </c>
      <c r="K17966" s="1" t="str">
        <f t="shared" si="4"/>
        <v/>
      </c>
    </row>
    <row r="17967">
      <c r="F17967" s="1" t="str">
        <f t="shared" si="1"/>
        <v/>
      </c>
      <c r="G17967" s="1" t="str">
        <f t="shared" si="2"/>
        <v/>
      </c>
      <c r="J17967" s="1" t="str">
        <f t="shared" si="3"/>
        <v/>
      </c>
      <c r="K17967" s="1" t="str">
        <f t="shared" si="4"/>
        <v/>
      </c>
    </row>
    <row r="17968">
      <c r="F17968" s="1" t="str">
        <f t="shared" si="1"/>
        <v/>
      </c>
      <c r="G17968" s="1" t="str">
        <f t="shared" si="2"/>
        <v/>
      </c>
      <c r="J17968" s="1" t="str">
        <f t="shared" si="3"/>
        <v/>
      </c>
      <c r="K17968" s="1" t="str">
        <f t="shared" si="4"/>
        <v/>
      </c>
    </row>
    <row r="17969">
      <c r="F17969" s="1" t="str">
        <f t="shared" si="1"/>
        <v/>
      </c>
      <c r="G17969" s="1" t="str">
        <f t="shared" si="2"/>
        <v/>
      </c>
      <c r="J17969" s="1" t="str">
        <f t="shared" si="3"/>
        <v/>
      </c>
      <c r="K17969" s="1" t="str">
        <f t="shared" si="4"/>
        <v/>
      </c>
    </row>
    <row r="17970">
      <c r="F17970" s="1" t="str">
        <f t="shared" si="1"/>
        <v/>
      </c>
      <c r="G17970" s="1" t="str">
        <f t="shared" si="2"/>
        <v/>
      </c>
      <c r="J17970" s="1" t="str">
        <f t="shared" si="3"/>
        <v/>
      </c>
      <c r="K17970" s="1" t="str">
        <f t="shared" si="4"/>
        <v/>
      </c>
    </row>
    <row r="17971">
      <c r="F17971" s="1" t="str">
        <f t="shared" si="1"/>
        <v/>
      </c>
      <c r="G17971" s="1" t="str">
        <f t="shared" si="2"/>
        <v/>
      </c>
      <c r="J17971" s="1" t="str">
        <f t="shared" si="3"/>
        <v/>
      </c>
      <c r="K17971" s="1" t="str">
        <f t="shared" si="4"/>
        <v/>
      </c>
    </row>
    <row r="17972">
      <c r="F17972" s="1" t="str">
        <f t="shared" si="1"/>
        <v/>
      </c>
      <c r="G17972" s="1" t="str">
        <f t="shared" si="2"/>
        <v/>
      </c>
      <c r="J17972" s="1" t="str">
        <f t="shared" si="3"/>
        <v/>
      </c>
      <c r="K17972" s="1" t="str">
        <f t="shared" si="4"/>
        <v/>
      </c>
    </row>
    <row r="17973">
      <c r="F17973" s="1" t="str">
        <f t="shared" si="1"/>
        <v/>
      </c>
      <c r="G17973" s="1" t="str">
        <f t="shared" si="2"/>
        <v/>
      </c>
      <c r="J17973" s="1" t="str">
        <f t="shared" si="3"/>
        <v/>
      </c>
      <c r="K17973" s="1" t="str">
        <f t="shared" si="4"/>
        <v/>
      </c>
    </row>
    <row r="17974">
      <c r="F17974" s="1" t="str">
        <f t="shared" si="1"/>
        <v/>
      </c>
      <c r="G17974" s="1" t="str">
        <f t="shared" si="2"/>
        <v/>
      </c>
      <c r="J17974" s="1" t="str">
        <f t="shared" si="3"/>
        <v/>
      </c>
      <c r="K17974" s="1" t="str">
        <f t="shared" si="4"/>
        <v/>
      </c>
    </row>
    <row r="17975">
      <c r="F17975" s="1" t="str">
        <f t="shared" si="1"/>
        <v/>
      </c>
      <c r="G17975" s="1" t="str">
        <f t="shared" si="2"/>
        <v/>
      </c>
      <c r="J17975" s="1" t="str">
        <f t="shared" si="3"/>
        <v/>
      </c>
      <c r="K17975" s="1" t="str">
        <f t="shared" si="4"/>
        <v/>
      </c>
    </row>
    <row r="17976">
      <c r="F17976" s="1" t="str">
        <f t="shared" si="1"/>
        <v/>
      </c>
      <c r="G17976" s="1" t="str">
        <f t="shared" si="2"/>
        <v/>
      </c>
      <c r="J17976" s="1" t="str">
        <f t="shared" si="3"/>
        <v/>
      </c>
      <c r="K17976" s="1" t="str">
        <f t="shared" si="4"/>
        <v/>
      </c>
    </row>
    <row r="17977">
      <c r="F17977" s="1" t="str">
        <f t="shared" si="1"/>
        <v/>
      </c>
      <c r="G17977" s="1" t="str">
        <f t="shared" si="2"/>
        <v/>
      </c>
      <c r="J17977" s="1" t="str">
        <f t="shared" si="3"/>
        <v/>
      </c>
      <c r="K17977" s="1" t="str">
        <f t="shared" si="4"/>
        <v/>
      </c>
    </row>
    <row r="17978">
      <c r="F17978" s="1" t="str">
        <f t="shared" si="1"/>
        <v/>
      </c>
      <c r="G17978" s="1" t="str">
        <f t="shared" si="2"/>
        <v/>
      </c>
      <c r="J17978" s="1" t="str">
        <f t="shared" si="3"/>
        <v/>
      </c>
      <c r="K17978" s="1" t="str">
        <f t="shared" si="4"/>
        <v/>
      </c>
    </row>
    <row r="17979">
      <c r="F17979" s="1" t="str">
        <f t="shared" si="1"/>
        <v/>
      </c>
      <c r="G17979" s="1" t="str">
        <f t="shared" si="2"/>
        <v/>
      </c>
      <c r="J17979" s="1" t="str">
        <f t="shared" si="3"/>
        <v/>
      </c>
      <c r="K17979" s="1" t="str">
        <f t="shared" si="4"/>
        <v/>
      </c>
    </row>
    <row r="17980">
      <c r="F17980" s="1" t="str">
        <f t="shared" si="1"/>
        <v/>
      </c>
      <c r="G17980" s="1" t="str">
        <f t="shared" si="2"/>
        <v/>
      </c>
      <c r="J17980" s="1" t="str">
        <f t="shared" si="3"/>
        <v/>
      </c>
      <c r="K17980" s="1" t="str">
        <f t="shared" si="4"/>
        <v/>
      </c>
    </row>
    <row r="17981">
      <c r="F17981" s="1" t="str">
        <f t="shared" si="1"/>
        <v/>
      </c>
      <c r="G17981" s="1" t="str">
        <f t="shared" si="2"/>
        <v/>
      </c>
      <c r="J17981" s="1" t="str">
        <f t="shared" si="3"/>
        <v/>
      </c>
      <c r="K17981" s="1" t="str">
        <f t="shared" si="4"/>
        <v/>
      </c>
    </row>
    <row r="17982">
      <c r="F17982" s="1" t="str">
        <f t="shared" si="1"/>
        <v/>
      </c>
      <c r="G17982" s="1" t="str">
        <f t="shared" si="2"/>
        <v/>
      </c>
      <c r="J17982" s="1" t="str">
        <f t="shared" si="3"/>
        <v/>
      </c>
      <c r="K17982" s="1" t="str">
        <f t="shared" si="4"/>
        <v/>
      </c>
    </row>
    <row r="17983">
      <c r="F17983" s="1" t="str">
        <f t="shared" si="1"/>
        <v/>
      </c>
      <c r="G17983" s="1" t="str">
        <f t="shared" si="2"/>
        <v/>
      </c>
      <c r="J17983" s="1" t="str">
        <f t="shared" si="3"/>
        <v/>
      </c>
      <c r="K17983" s="1" t="str">
        <f t="shared" si="4"/>
        <v/>
      </c>
    </row>
    <row r="17984">
      <c r="F17984" s="1" t="str">
        <f t="shared" si="1"/>
        <v/>
      </c>
      <c r="G17984" s="1" t="str">
        <f t="shared" si="2"/>
        <v/>
      </c>
      <c r="J17984" s="1" t="str">
        <f t="shared" si="3"/>
        <v/>
      </c>
      <c r="K17984" s="1" t="str">
        <f t="shared" si="4"/>
        <v/>
      </c>
    </row>
    <row r="17985">
      <c r="F17985" s="1" t="str">
        <f t="shared" si="1"/>
        <v/>
      </c>
      <c r="G17985" s="1" t="str">
        <f t="shared" si="2"/>
        <v/>
      </c>
      <c r="J17985" s="1" t="str">
        <f t="shared" si="3"/>
        <v/>
      </c>
      <c r="K17985" s="1" t="str">
        <f t="shared" si="4"/>
        <v/>
      </c>
    </row>
    <row r="17986">
      <c r="F17986" s="1" t="str">
        <f t="shared" si="1"/>
        <v/>
      </c>
      <c r="G17986" s="1" t="str">
        <f t="shared" si="2"/>
        <v/>
      </c>
      <c r="J17986" s="1" t="str">
        <f t="shared" si="3"/>
        <v/>
      </c>
      <c r="K17986" s="1" t="str">
        <f t="shared" si="4"/>
        <v/>
      </c>
    </row>
    <row r="17987">
      <c r="F17987" s="1" t="str">
        <f t="shared" si="1"/>
        <v/>
      </c>
      <c r="G17987" s="1" t="str">
        <f t="shared" si="2"/>
        <v/>
      </c>
      <c r="J17987" s="1" t="str">
        <f t="shared" si="3"/>
        <v/>
      </c>
      <c r="K17987" s="1" t="str">
        <f t="shared" si="4"/>
        <v/>
      </c>
    </row>
    <row r="17988">
      <c r="F17988" s="1" t="str">
        <f t="shared" si="1"/>
        <v/>
      </c>
      <c r="G17988" s="1" t="str">
        <f t="shared" si="2"/>
        <v/>
      </c>
      <c r="J17988" s="1" t="str">
        <f t="shared" si="3"/>
        <v/>
      </c>
      <c r="K17988" s="1" t="str">
        <f t="shared" si="4"/>
        <v/>
      </c>
    </row>
    <row r="17989">
      <c r="F17989" s="1" t="str">
        <f t="shared" si="1"/>
        <v/>
      </c>
      <c r="G17989" s="1" t="str">
        <f t="shared" si="2"/>
        <v/>
      </c>
      <c r="J17989" s="1" t="str">
        <f t="shared" si="3"/>
        <v/>
      </c>
      <c r="K17989" s="1" t="str">
        <f t="shared" si="4"/>
        <v/>
      </c>
    </row>
    <row r="17990">
      <c r="F17990" s="1" t="str">
        <f t="shared" si="1"/>
        <v/>
      </c>
      <c r="G17990" s="1" t="str">
        <f t="shared" si="2"/>
        <v/>
      </c>
      <c r="J17990" s="1" t="str">
        <f t="shared" si="3"/>
        <v/>
      </c>
      <c r="K17990" s="1" t="str">
        <f t="shared" si="4"/>
        <v/>
      </c>
    </row>
    <row r="17991">
      <c r="F17991" s="1" t="str">
        <f t="shared" si="1"/>
        <v/>
      </c>
      <c r="G17991" s="1" t="str">
        <f t="shared" si="2"/>
        <v/>
      </c>
      <c r="J17991" s="1" t="str">
        <f t="shared" si="3"/>
        <v/>
      </c>
      <c r="K17991" s="1" t="str">
        <f t="shared" si="4"/>
        <v/>
      </c>
    </row>
    <row r="17992">
      <c r="F17992" s="1" t="str">
        <f t="shared" si="1"/>
        <v/>
      </c>
      <c r="G17992" s="1" t="str">
        <f t="shared" si="2"/>
        <v/>
      </c>
      <c r="J17992" s="1" t="str">
        <f t="shared" si="3"/>
        <v/>
      </c>
      <c r="K17992" s="1" t="str">
        <f t="shared" si="4"/>
        <v/>
      </c>
    </row>
    <row r="17993">
      <c r="F17993" s="1" t="str">
        <f t="shared" si="1"/>
        <v/>
      </c>
      <c r="G17993" s="1" t="str">
        <f t="shared" si="2"/>
        <v/>
      </c>
      <c r="J17993" s="1" t="str">
        <f t="shared" si="3"/>
        <v/>
      </c>
      <c r="K17993" s="1" t="str">
        <f t="shared" si="4"/>
        <v/>
      </c>
    </row>
    <row r="17994">
      <c r="F17994" s="1" t="str">
        <f t="shared" si="1"/>
        <v/>
      </c>
      <c r="G17994" s="1" t="str">
        <f t="shared" si="2"/>
        <v/>
      </c>
      <c r="J17994" s="1" t="str">
        <f t="shared" si="3"/>
        <v/>
      </c>
      <c r="K17994" s="1" t="str">
        <f t="shared" si="4"/>
        <v/>
      </c>
    </row>
    <row r="17995">
      <c r="F17995" s="1" t="str">
        <f t="shared" si="1"/>
        <v/>
      </c>
      <c r="G17995" s="1" t="str">
        <f t="shared" si="2"/>
        <v/>
      </c>
      <c r="J17995" s="1" t="str">
        <f t="shared" si="3"/>
        <v/>
      </c>
      <c r="K17995" s="1" t="str">
        <f t="shared" si="4"/>
        <v/>
      </c>
    </row>
    <row r="17996">
      <c r="F17996" s="1" t="str">
        <f t="shared" si="1"/>
        <v/>
      </c>
      <c r="G17996" s="1" t="str">
        <f t="shared" si="2"/>
        <v/>
      </c>
      <c r="J17996" s="1" t="str">
        <f t="shared" si="3"/>
        <v/>
      </c>
      <c r="K17996" s="1" t="str">
        <f t="shared" si="4"/>
        <v/>
      </c>
    </row>
    <row r="17997">
      <c r="F17997" s="1" t="str">
        <f t="shared" si="1"/>
        <v/>
      </c>
      <c r="G17997" s="1" t="str">
        <f t="shared" si="2"/>
        <v/>
      </c>
      <c r="J17997" s="1" t="str">
        <f t="shared" si="3"/>
        <v/>
      </c>
      <c r="K17997" s="1" t="str">
        <f t="shared" si="4"/>
        <v/>
      </c>
    </row>
    <row r="17998">
      <c r="F17998" s="1" t="str">
        <f t="shared" si="1"/>
        <v/>
      </c>
      <c r="G17998" s="1" t="str">
        <f t="shared" si="2"/>
        <v/>
      </c>
      <c r="J17998" s="1" t="str">
        <f t="shared" si="3"/>
        <v/>
      </c>
      <c r="K17998" s="1" t="str">
        <f t="shared" si="4"/>
        <v/>
      </c>
    </row>
    <row r="17999">
      <c r="F17999" s="1" t="str">
        <f t="shared" si="1"/>
        <v/>
      </c>
      <c r="G17999" s="1" t="str">
        <f t="shared" si="2"/>
        <v/>
      </c>
      <c r="J17999" s="1" t="str">
        <f t="shared" si="3"/>
        <v/>
      </c>
      <c r="K17999" s="1" t="str">
        <f t="shared" si="4"/>
        <v/>
      </c>
    </row>
    <row r="18000">
      <c r="F18000" s="1" t="str">
        <f t="shared" si="1"/>
        <v/>
      </c>
      <c r="G18000" s="1" t="str">
        <f t="shared" si="2"/>
        <v/>
      </c>
      <c r="J18000" s="1" t="str">
        <f t="shared" si="3"/>
        <v/>
      </c>
      <c r="K18000" s="1" t="str">
        <f t="shared" si="4"/>
        <v/>
      </c>
    </row>
    <row r="18001">
      <c r="F18001" s="1" t="str">
        <f t="shared" si="1"/>
        <v/>
      </c>
      <c r="G18001" s="1" t="str">
        <f t="shared" si="2"/>
        <v/>
      </c>
      <c r="J18001" s="1" t="str">
        <f t="shared" si="3"/>
        <v/>
      </c>
      <c r="K18001" s="1" t="str">
        <f t="shared" si="4"/>
        <v/>
      </c>
    </row>
    <row r="18002">
      <c r="F18002" s="1" t="str">
        <f t="shared" si="1"/>
        <v/>
      </c>
      <c r="G18002" s="1" t="str">
        <f t="shared" si="2"/>
        <v/>
      </c>
      <c r="J18002" s="1" t="str">
        <f t="shared" si="3"/>
        <v/>
      </c>
      <c r="K18002" s="1" t="str">
        <f t="shared" si="4"/>
        <v/>
      </c>
    </row>
    <row r="18003">
      <c r="F18003" s="1" t="str">
        <f t="shared" si="1"/>
        <v/>
      </c>
      <c r="G18003" s="1" t="str">
        <f t="shared" si="2"/>
        <v/>
      </c>
      <c r="J18003" s="1" t="str">
        <f t="shared" si="3"/>
        <v/>
      </c>
      <c r="K18003" s="1" t="str">
        <f t="shared" si="4"/>
        <v/>
      </c>
    </row>
    <row r="18004">
      <c r="F18004" s="1" t="str">
        <f t="shared" si="1"/>
        <v/>
      </c>
      <c r="G18004" s="1" t="str">
        <f t="shared" si="2"/>
        <v/>
      </c>
      <c r="J18004" s="1" t="str">
        <f t="shared" si="3"/>
        <v/>
      </c>
      <c r="K18004" s="1" t="str">
        <f t="shared" si="4"/>
        <v/>
      </c>
    </row>
    <row r="18005">
      <c r="F18005" s="1" t="str">
        <f t="shared" si="1"/>
        <v/>
      </c>
      <c r="G18005" s="1" t="str">
        <f t="shared" si="2"/>
        <v/>
      </c>
      <c r="J18005" s="1" t="str">
        <f t="shared" si="3"/>
        <v/>
      </c>
      <c r="K18005" s="1" t="str">
        <f t="shared" si="4"/>
        <v/>
      </c>
    </row>
    <row r="18006">
      <c r="F18006" s="1" t="str">
        <f t="shared" si="1"/>
        <v/>
      </c>
      <c r="G18006" s="1" t="str">
        <f t="shared" si="2"/>
        <v/>
      </c>
      <c r="J18006" s="1" t="str">
        <f t="shared" si="3"/>
        <v/>
      </c>
      <c r="K18006" s="1" t="str">
        <f t="shared" si="4"/>
        <v/>
      </c>
    </row>
    <row r="18007">
      <c r="F18007" s="1" t="str">
        <f t="shared" si="1"/>
        <v/>
      </c>
      <c r="G18007" s="1" t="str">
        <f t="shared" si="2"/>
        <v/>
      </c>
      <c r="J18007" s="1" t="str">
        <f t="shared" si="3"/>
        <v/>
      </c>
      <c r="K18007" s="1" t="str">
        <f t="shared" si="4"/>
        <v/>
      </c>
    </row>
    <row r="18008">
      <c r="F18008" s="1" t="str">
        <f t="shared" si="1"/>
        <v/>
      </c>
      <c r="G18008" s="1" t="str">
        <f t="shared" si="2"/>
        <v/>
      </c>
      <c r="J18008" s="1" t="str">
        <f t="shared" si="3"/>
        <v/>
      </c>
      <c r="K18008" s="1" t="str">
        <f t="shared" si="4"/>
        <v/>
      </c>
    </row>
    <row r="18009">
      <c r="F18009" s="1" t="str">
        <f t="shared" si="1"/>
        <v/>
      </c>
      <c r="G18009" s="1" t="str">
        <f t="shared" si="2"/>
        <v/>
      </c>
      <c r="J18009" s="1" t="str">
        <f t="shared" si="3"/>
        <v/>
      </c>
      <c r="K18009" s="1" t="str">
        <f t="shared" si="4"/>
        <v/>
      </c>
    </row>
    <row r="18010">
      <c r="F18010" s="1" t="str">
        <f t="shared" si="1"/>
        <v/>
      </c>
      <c r="G18010" s="1" t="str">
        <f t="shared" si="2"/>
        <v/>
      </c>
      <c r="J18010" s="1" t="str">
        <f t="shared" si="3"/>
        <v/>
      </c>
      <c r="K18010" s="1" t="str">
        <f t="shared" si="4"/>
        <v/>
      </c>
    </row>
    <row r="18011">
      <c r="F18011" s="1" t="str">
        <f t="shared" si="1"/>
        <v/>
      </c>
      <c r="G18011" s="1" t="str">
        <f t="shared" si="2"/>
        <v/>
      </c>
      <c r="J18011" s="1" t="str">
        <f t="shared" si="3"/>
        <v/>
      </c>
      <c r="K18011" s="1" t="str">
        <f t="shared" si="4"/>
        <v/>
      </c>
    </row>
    <row r="18012">
      <c r="F18012" s="1" t="str">
        <f t="shared" si="1"/>
        <v/>
      </c>
      <c r="G18012" s="1" t="str">
        <f t="shared" si="2"/>
        <v/>
      </c>
      <c r="J18012" s="1" t="str">
        <f t="shared" si="3"/>
        <v/>
      </c>
      <c r="K18012" s="1" t="str">
        <f t="shared" si="4"/>
        <v/>
      </c>
    </row>
    <row r="18013">
      <c r="F18013" s="1" t="str">
        <f t="shared" si="1"/>
        <v/>
      </c>
      <c r="G18013" s="1" t="str">
        <f t="shared" si="2"/>
        <v/>
      </c>
      <c r="J18013" s="1" t="str">
        <f t="shared" si="3"/>
        <v/>
      </c>
      <c r="K18013" s="1" t="str">
        <f t="shared" si="4"/>
        <v/>
      </c>
    </row>
    <row r="18014">
      <c r="F18014" s="1" t="str">
        <f t="shared" si="1"/>
        <v/>
      </c>
      <c r="G18014" s="1" t="str">
        <f t="shared" si="2"/>
        <v/>
      </c>
      <c r="J18014" s="1" t="str">
        <f t="shared" si="3"/>
        <v/>
      </c>
      <c r="K18014" s="1" t="str">
        <f t="shared" si="4"/>
        <v/>
      </c>
    </row>
    <row r="18015">
      <c r="F18015" s="1" t="str">
        <f t="shared" si="1"/>
        <v/>
      </c>
      <c r="G18015" s="1" t="str">
        <f t="shared" si="2"/>
        <v/>
      </c>
      <c r="J18015" s="1" t="str">
        <f t="shared" si="3"/>
        <v/>
      </c>
      <c r="K18015" s="1" t="str">
        <f t="shared" si="4"/>
        <v/>
      </c>
    </row>
    <row r="18016">
      <c r="F18016" s="1" t="str">
        <f t="shared" si="1"/>
        <v/>
      </c>
      <c r="G18016" s="1" t="str">
        <f t="shared" si="2"/>
        <v/>
      </c>
      <c r="J18016" s="1" t="str">
        <f t="shared" si="3"/>
        <v/>
      </c>
      <c r="K18016" s="1" t="str">
        <f t="shared" si="4"/>
        <v/>
      </c>
    </row>
    <row r="18017">
      <c r="F18017" s="1" t="str">
        <f t="shared" si="1"/>
        <v/>
      </c>
      <c r="G18017" s="1" t="str">
        <f t="shared" si="2"/>
        <v/>
      </c>
      <c r="J18017" s="1" t="str">
        <f t="shared" si="3"/>
        <v/>
      </c>
      <c r="K18017" s="1" t="str">
        <f t="shared" si="4"/>
        <v/>
      </c>
    </row>
    <row r="18018">
      <c r="F18018" s="1" t="str">
        <f t="shared" si="1"/>
        <v/>
      </c>
      <c r="G18018" s="1" t="str">
        <f t="shared" si="2"/>
        <v/>
      </c>
      <c r="J18018" s="1" t="str">
        <f t="shared" si="3"/>
        <v/>
      </c>
      <c r="K18018" s="1" t="str">
        <f t="shared" si="4"/>
        <v/>
      </c>
    </row>
    <row r="18019">
      <c r="F18019" s="1" t="str">
        <f t="shared" si="1"/>
        <v/>
      </c>
      <c r="G18019" s="1" t="str">
        <f t="shared" si="2"/>
        <v/>
      </c>
      <c r="J18019" s="1" t="str">
        <f t="shared" si="3"/>
        <v/>
      </c>
      <c r="K18019" s="1" t="str">
        <f t="shared" si="4"/>
        <v/>
      </c>
    </row>
    <row r="18020">
      <c r="F18020" s="1" t="str">
        <f t="shared" si="1"/>
        <v/>
      </c>
      <c r="G18020" s="1" t="str">
        <f t="shared" si="2"/>
        <v/>
      </c>
      <c r="J18020" s="1" t="str">
        <f t="shared" si="3"/>
        <v/>
      </c>
      <c r="K18020" s="1" t="str">
        <f t="shared" si="4"/>
        <v/>
      </c>
    </row>
    <row r="18021">
      <c r="F18021" s="1" t="str">
        <f t="shared" si="1"/>
        <v/>
      </c>
      <c r="G18021" s="1" t="str">
        <f t="shared" si="2"/>
        <v/>
      </c>
      <c r="J18021" s="1" t="str">
        <f t="shared" si="3"/>
        <v/>
      </c>
      <c r="K18021" s="1" t="str">
        <f t="shared" si="4"/>
        <v/>
      </c>
    </row>
    <row r="18022">
      <c r="F18022" s="1" t="str">
        <f t="shared" si="1"/>
        <v/>
      </c>
      <c r="G18022" s="1" t="str">
        <f t="shared" si="2"/>
        <v/>
      </c>
      <c r="J18022" s="1" t="str">
        <f t="shared" si="3"/>
        <v/>
      </c>
      <c r="K18022" s="1" t="str">
        <f t="shared" si="4"/>
        <v/>
      </c>
    </row>
    <row r="18023">
      <c r="F18023" s="1" t="str">
        <f t="shared" si="1"/>
        <v/>
      </c>
      <c r="G18023" s="1" t="str">
        <f t="shared" si="2"/>
        <v/>
      </c>
      <c r="J18023" s="1" t="str">
        <f t="shared" si="3"/>
        <v/>
      </c>
      <c r="K18023" s="1" t="str">
        <f t="shared" si="4"/>
        <v/>
      </c>
    </row>
    <row r="18024">
      <c r="F18024" s="1" t="str">
        <f t="shared" si="1"/>
        <v/>
      </c>
      <c r="G18024" s="1" t="str">
        <f t="shared" si="2"/>
        <v/>
      </c>
      <c r="J18024" s="1" t="str">
        <f t="shared" si="3"/>
        <v/>
      </c>
      <c r="K18024" s="1" t="str">
        <f t="shared" si="4"/>
        <v/>
      </c>
    </row>
    <row r="18025">
      <c r="F18025" s="1" t="str">
        <f t="shared" si="1"/>
        <v/>
      </c>
      <c r="G18025" s="1" t="str">
        <f t="shared" si="2"/>
        <v/>
      </c>
      <c r="J18025" s="1" t="str">
        <f t="shared" si="3"/>
        <v/>
      </c>
      <c r="K18025" s="1" t="str">
        <f t="shared" si="4"/>
        <v/>
      </c>
    </row>
    <row r="18026">
      <c r="F18026" s="1" t="str">
        <f t="shared" si="1"/>
        <v/>
      </c>
      <c r="G18026" s="1" t="str">
        <f t="shared" si="2"/>
        <v/>
      </c>
      <c r="J18026" s="1" t="str">
        <f t="shared" si="3"/>
        <v/>
      </c>
      <c r="K18026" s="1" t="str">
        <f t="shared" si="4"/>
        <v/>
      </c>
    </row>
    <row r="18027">
      <c r="F18027" s="1" t="str">
        <f t="shared" si="1"/>
        <v/>
      </c>
      <c r="G18027" s="1" t="str">
        <f t="shared" si="2"/>
        <v/>
      </c>
      <c r="J18027" s="1" t="str">
        <f t="shared" si="3"/>
        <v/>
      </c>
      <c r="K18027" s="1" t="str">
        <f t="shared" si="4"/>
        <v/>
      </c>
    </row>
    <row r="18028">
      <c r="F18028" s="1" t="str">
        <f t="shared" si="1"/>
        <v/>
      </c>
      <c r="G18028" s="1" t="str">
        <f t="shared" si="2"/>
        <v/>
      </c>
      <c r="J18028" s="1" t="str">
        <f t="shared" si="3"/>
        <v/>
      </c>
      <c r="K18028" s="1" t="str">
        <f t="shared" si="4"/>
        <v/>
      </c>
    </row>
    <row r="18029">
      <c r="F18029" s="1" t="str">
        <f t="shared" si="1"/>
        <v/>
      </c>
      <c r="G18029" s="1" t="str">
        <f t="shared" si="2"/>
        <v/>
      </c>
      <c r="J18029" s="1" t="str">
        <f t="shared" si="3"/>
        <v/>
      </c>
      <c r="K18029" s="1" t="str">
        <f t="shared" si="4"/>
        <v/>
      </c>
    </row>
    <row r="18030">
      <c r="F18030" s="1" t="str">
        <f t="shared" si="1"/>
        <v/>
      </c>
      <c r="G18030" s="1" t="str">
        <f t="shared" si="2"/>
        <v/>
      </c>
      <c r="J18030" s="1" t="str">
        <f t="shared" si="3"/>
        <v/>
      </c>
      <c r="K18030" s="1" t="str">
        <f t="shared" si="4"/>
        <v/>
      </c>
    </row>
    <row r="18031">
      <c r="F18031" s="1" t="str">
        <f t="shared" si="1"/>
        <v/>
      </c>
      <c r="G18031" s="1" t="str">
        <f t="shared" si="2"/>
        <v/>
      </c>
      <c r="J18031" s="1" t="str">
        <f t="shared" si="3"/>
        <v/>
      </c>
      <c r="K18031" s="1" t="str">
        <f t="shared" si="4"/>
        <v/>
      </c>
    </row>
    <row r="18032">
      <c r="F18032" s="1" t="str">
        <f t="shared" si="1"/>
        <v/>
      </c>
      <c r="G18032" s="1" t="str">
        <f t="shared" si="2"/>
        <v/>
      </c>
      <c r="J18032" s="1" t="str">
        <f t="shared" si="3"/>
        <v/>
      </c>
      <c r="K18032" s="1" t="str">
        <f t="shared" si="4"/>
        <v/>
      </c>
    </row>
    <row r="18033">
      <c r="F18033" s="1" t="str">
        <f t="shared" si="1"/>
        <v/>
      </c>
      <c r="G18033" s="1" t="str">
        <f t="shared" si="2"/>
        <v/>
      </c>
      <c r="J18033" s="1" t="str">
        <f t="shared" si="3"/>
        <v/>
      </c>
      <c r="K18033" s="1" t="str">
        <f t="shared" si="4"/>
        <v/>
      </c>
    </row>
    <row r="18034">
      <c r="F18034" s="1" t="str">
        <f t="shared" si="1"/>
        <v/>
      </c>
      <c r="G18034" s="1" t="str">
        <f t="shared" si="2"/>
        <v/>
      </c>
      <c r="J18034" s="1" t="str">
        <f t="shared" si="3"/>
        <v/>
      </c>
      <c r="K18034" s="1" t="str">
        <f t="shared" si="4"/>
        <v/>
      </c>
    </row>
    <row r="18035">
      <c r="F18035" s="1" t="str">
        <f t="shared" si="1"/>
        <v/>
      </c>
      <c r="G18035" s="1" t="str">
        <f t="shared" si="2"/>
        <v/>
      </c>
      <c r="J18035" s="1" t="str">
        <f t="shared" si="3"/>
        <v/>
      </c>
      <c r="K18035" s="1" t="str">
        <f t="shared" si="4"/>
        <v/>
      </c>
    </row>
    <row r="18036">
      <c r="F18036" s="1" t="str">
        <f t="shared" si="1"/>
        <v/>
      </c>
      <c r="G18036" s="1" t="str">
        <f t="shared" si="2"/>
        <v/>
      </c>
      <c r="J18036" s="1" t="str">
        <f t="shared" si="3"/>
        <v/>
      </c>
      <c r="K18036" s="1" t="str">
        <f t="shared" si="4"/>
        <v/>
      </c>
    </row>
    <row r="18037">
      <c r="F18037" s="1" t="str">
        <f t="shared" si="1"/>
        <v/>
      </c>
      <c r="G18037" s="1" t="str">
        <f t="shared" si="2"/>
        <v/>
      </c>
      <c r="J18037" s="1" t="str">
        <f t="shared" si="3"/>
        <v/>
      </c>
      <c r="K18037" s="1" t="str">
        <f t="shared" si="4"/>
        <v/>
      </c>
    </row>
    <row r="18038">
      <c r="F18038" s="1" t="str">
        <f t="shared" si="1"/>
        <v/>
      </c>
      <c r="G18038" s="1" t="str">
        <f t="shared" si="2"/>
        <v/>
      </c>
      <c r="J18038" s="1" t="str">
        <f t="shared" si="3"/>
        <v/>
      </c>
      <c r="K18038" s="1" t="str">
        <f t="shared" si="4"/>
        <v/>
      </c>
    </row>
    <row r="18039">
      <c r="F18039" s="1" t="str">
        <f t="shared" si="1"/>
        <v/>
      </c>
      <c r="G18039" s="1" t="str">
        <f t="shared" si="2"/>
        <v/>
      </c>
      <c r="J18039" s="1" t="str">
        <f t="shared" si="3"/>
        <v/>
      </c>
      <c r="K18039" s="1" t="str">
        <f t="shared" si="4"/>
        <v/>
      </c>
    </row>
    <row r="18040">
      <c r="F18040" s="1" t="str">
        <f t="shared" si="1"/>
        <v/>
      </c>
      <c r="G18040" s="1" t="str">
        <f t="shared" si="2"/>
        <v/>
      </c>
      <c r="J18040" s="1" t="str">
        <f t="shared" si="3"/>
        <v/>
      </c>
      <c r="K18040" s="1" t="str">
        <f t="shared" si="4"/>
        <v/>
      </c>
    </row>
    <row r="18041">
      <c r="F18041" s="1" t="str">
        <f t="shared" si="1"/>
        <v/>
      </c>
      <c r="G18041" s="1" t="str">
        <f t="shared" si="2"/>
        <v/>
      </c>
      <c r="J18041" s="1" t="str">
        <f t="shared" si="3"/>
        <v/>
      </c>
      <c r="K18041" s="1" t="str">
        <f t="shared" si="4"/>
        <v/>
      </c>
    </row>
    <row r="18042">
      <c r="F18042" s="1" t="str">
        <f t="shared" si="1"/>
        <v/>
      </c>
      <c r="G18042" s="1" t="str">
        <f t="shared" si="2"/>
        <v/>
      </c>
      <c r="J18042" s="1" t="str">
        <f t="shared" si="3"/>
        <v/>
      </c>
      <c r="K18042" s="1" t="str">
        <f t="shared" si="4"/>
        <v/>
      </c>
    </row>
    <row r="18043">
      <c r="F18043" s="1" t="str">
        <f t="shared" si="1"/>
        <v/>
      </c>
      <c r="G18043" s="1" t="str">
        <f t="shared" si="2"/>
        <v/>
      </c>
      <c r="J18043" s="1" t="str">
        <f t="shared" si="3"/>
        <v/>
      </c>
      <c r="K18043" s="1" t="str">
        <f t="shared" si="4"/>
        <v/>
      </c>
    </row>
    <row r="18044">
      <c r="F18044" s="1" t="str">
        <f t="shared" si="1"/>
        <v/>
      </c>
      <c r="G18044" s="1" t="str">
        <f t="shared" si="2"/>
        <v/>
      </c>
      <c r="J18044" s="1" t="str">
        <f t="shared" si="3"/>
        <v/>
      </c>
      <c r="K18044" s="1" t="str">
        <f t="shared" si="4"/>
        <v/>
      </c>
    </row>
    <row r="18045">
      <c r="F18045" s="1" t="str">
        <f t="shared" si="1"/>
        <v/>
      </c>
      <c r="G18045" s="1" t="str">
        <f t="shared" si="2"/>
        <v/>
      </c>
      <c r="J18045" s="1" t="str">
        <f t="shared" si="3"/>
        <v/>
      </c>
      <c r="K18045" s="1" t="str">
        <f t="shared" si="4"/>
        <v/>
      </c>
    </row>
    <row r="18046">
      <c r="F18046" s="1" t="str">
        <f t="shared" si="1"/>
        <v/>
      </c>
      <c r="G18046" s="1" t="str">
        <f t="shared" si="2"/>
        <v/>
      </c>
      <c r="J18046" s="1" t="str">
        <f t="shared" si="3"/>
        <v/>
      </c>
      <c r="K18046" s="1" t="str">
        <f t="shared" si="4"/>
        <v/>
      </c>
    </row>
    <row r="18047">
      <c r="F18047" s="1" t="str">
        <f t="shared" si="1"/>
        <v/>
      </c>
      <c r="G18047" s="1" t="str">
        <f t="shared" si="2"/>
        <v/>
      </c>
      <c r="J18047" s="1" t="str">
        <f t="shared" si="3"/>
        <v/>
      </c>
      <c r="K18047" s="1" t="str">
        <f t="shared" si="4"/>
        <v/>
      </c>
    </row>
    <row r="18048">
      <c r="F18048" s="1" t="str">
        <f t="shared" si="1"/>
        <v/>
      </c>
      <c r="G18048" s="1" t="str">
        <f t="shared" si="2"/>
        <v/>
      </c>
      <c r="J18048" s="1" t="str">
        <f t="shared" si="3"/>
        <v/>
      </c>
      <c r="K18048" s="1" t="str">
        <f t="shared" si="4"/>
        <v/>
      </c>
    </row>
    <row r="18049">
      <c r="F18049" s="1" t="str">
        <f t="shared" si="1"/>
        <v/>
      </c>
      <c r="G18049" s="1" t="str">
        <f t="shared" si="2"/>
        <v/>
      </c>
      <c r="J18049" s="1" t="str">
        <f t="shared" si="3"/>
        <v/>
      </c>
      <c r="K18049" s="1" t="str">
        <f t="shared" si="4"/>
        <v/>
      </c>
    </row>
    <row r="18050">
      <c r="F18050" s="1" t="str">
        <f t="shared" si="1"/>
        <v/>
      </c>
      <c r="G18050" s="1" t="str">
        <f t="shared" si="2"/>
        <v/>
      </c>
      <c r="J18050" s="1" t="str">
        <f t="shared" si="3"/>
        <v/>
      </c>
      <c r="K18050" s="1" t="str">
        <f t="shared" si="4"/>
        <v/>
      </c>
    </row>
    <row r="18051">
      <c r="F18051" s="1" t="str">
        <f t="shared" si="1"/>
        <v/>
      </c>
      <c r="G18051" s="1" t="str">
        <f t="shared" si="2"/>
        <v/>
      </c>
      <c r="J18051" s="1" t="str">
        <f t="shared" si="3"/>
        <v/>
      </c>
      <c r="K18051" s="1" t="str">
        <f t="shared" si="4"/>
        <v/>
      </c>
    </row>
    <row r="18052">
      <c r="F18052" s="1" t="str">
        <f t="shared" si="1"/>
        <v/>
      </c>
      <c r="G18052" s="1" t="str">
        <f t="shared" si="2"/>
        <v/>
      </c>
      <c r="J18052" s="1" t="str">
        <f t="shared" si="3"/>
        <v/>
      </c>
      <c r="K18052" s="1" t="str">
        <f t="shared" si="4"/>
        <v/>
      </c>
    </row>
    <row r="18053">
      <c r="F18053" s="1" t="str">
        <f t="shared" si="1"/>
        <v/>
      </c>
      <c r="G18053" s="1" t="str">
        <f t="shared" si="2"/>
        <v/>
      </c>
      <c r="J18053" s="1" t="str">
        <f t="shared" si="3"/>
        <v/>
      </c>
      <c r="K18053" s="1" t="str">
        <f t="shared" si="4"/>
        <v/>
      </c>
    </row>
    <row r="18054">
      <c r="F18054" s="1" t="str">
        <f t="shared" si="1"/>
        <v/>
      </c>
      <c r="G18054" s="1" t="str">
        <f t="shared" si="2"/>
        <v/>
      </c>
      <c r="J18054" s="1" t="str">
        <f t="shared" si="3"/>
        <v/>
      </c>
      <c r="K18054" s="1" t="str">
        <f t="shared" si="4"/>
        <v/>
      </c>
    </row>
    <row r="18055">
      <c r="F18055" s="1" t="str">
        <f t="shared" si="1"/>
        <v/>
      </c>
      <c r="G18055" s="1" t="str">
        <f t="shared" si="2"/>
        <v/>
      </c>
      <c r="J18055" s="1" t="str">
        <f t="shared" si="3"/>
        <v/>
      </c>
      <c r="K18055" s="1" t="str">
        <f t="shared" si="4"/>
        <v/>
      </c>
    </row>
    <row r="18056">
      <c r="F18056" s="1" t="str">
        <f t="shared" si="1"/>
        <v/>
      </c>
      <c r="G18056" s="1" t="str">
        <f t="shared" si="2"/>
        <v/>
      </c>
      <c r="J18056" s="1" t="str">
        <f t="shared" si="3"/>
        <v/>
      </c>
      <c r="K18056" s="1" t="str">
        <f t="shared" si="4"/>
        <v/>
      </c>
    </row>
    <row r="18057">
      <c r="F18057" s="1" t="str">
        <f t="shared" si="1"/>
        <v/>
      </c>
      <c r="G18057" s="1" t="str">
        <f t="shared" si="2"/>
        <v/>
      </c>
      <c r="J18057" s="1" t="str">
        <f t="shared" si="3"/>
        <v/>
      </c>
      <c r="K18057" s="1" t="str">
        <f t="shared" si="4"/>
        <v/>
      </c>
    </row>
    <row r="18058">
      <c r="F18058" s="1" t="str">
        <f t="shared" si="1"/>
        <v/>
      </c>
      <c r="G18058" s="1" t="str">
        <f t="shared" si="2"/>
        <v/>
      </c>
      <c r="J18058" s="1" t="str">
        <f t="shared" si="3"/>
        <v/>
      </c>
      <c r="K18058" s="1" t="str">
        <f t="shared" si="4"/>
        <v/>
      </c>
    </row>
    <row r="18059">
      <c r="F18059" s="1" t="str">
        <f t="shared" si="1"/>
        <v/>
      </c>
      <c r="G18059" s="1" t="str">
        <f t="shared" si="2"/>
        <v/>
      </c>
      <c r="J18059" s="1" t="str">
        <f t="shared" si="3"/>
        <v/>
      </c>
      <c r="K18059" s="1" t="str">
        <f t="shared" si="4"/>
        <v/>
      </c>
    </row>
    <row r="18060">
      <c r="F18060" s="1" t="str">
        <f t="shared" si="1"/>
        <v/>
      </c>
      <c r="G18060" s="1" t="str">
        <f t="shared" si="2"/>
        <v/>
      </c>
      <c r="J18060" s="1" t="str">
        <f t="shared" si="3"/>
        <v/>
      </c>
      <c r="K18060" s="1" t="str">
        <f t="shared" si="4"/>
        <v/>
      </c>
    </row>
    <row r="18061">
      <c r="F18061" s="1" t="str">
        <f t="shared" si="1"/>
        <v/>
      </c>
      <c r="G18061" s="1" t="str">
        <f t="shared" si="2"/>
        <v/>
      </c>
      <c r="J18061" s="1" t="str">
        <f t="shared" si="3"/>
        <v/>
      </c>
      <c r="K18061" s="1" t="str">
        <f t="shared" si="4"/>
        <v/>
      </c>
    </row>
    <row r="18062">
      <c r="F18062" s="1" t="str">
        <f t="shared" si="1"/>
        <v/>
      </c>
      <c r="G18062" s="1" t="str">
        <f t="shared" si="2"/>
        <v/>
      </c>
      <c r="J18062" s="1" t="str">
        <f t="shared" si="3"/>
        <v/>
      </c>
      <c r="K18062" s="1" t="str">
        <f t="shared" si="4"/>
        <v/>
      </c>
    </row>
    <row r="18063">
      <c r="F18063" s="1" t="str">
        <f t="shared" si="1"/>
        <v/>
      </c>
      <c r="G18063" s="1" t="str">
        <f t="shared" si="2"/>
        <v/>
      </c>
      <c r="J18063" s="1" t="str">
        <f t="shared" si="3"/>
        <v/>
      </c>
      <c r="K18063" s="1" t="str">
        <f t="shared" si="4"/>
        <v/>
      </c>
    </row>
    <row r="18064">
      <c r="F18064" s="1" t="str">
        <f t="shared" si="1"/>
        <v/>
      </c>
      <c r="G18064" s="1" t="str">
        <f t="shared" si="2"/>
        <v/>
      </c>
      <c r="J18064" s="1" t="str">
        <f t="shared" si="3"/>
        <v/>
      </c>
      <c r="K18064" s="1" t="str">
        <f t="shared" si="4"/>
        <v/>
      </c>
    </row>
    <row r="18065">
      <c r="F18065" s="1" t="str">
        <f t="shared" si="1"/>
        <v/>
      </c>
      <c r="G18065" s="1" t="str">
        <f t="shared" si="2"/>
        <v/>
      </c>
      <c r="J18065" s="1" t="str">
        <f t="shared" si="3"/>
        <v/>
      </c>
      <c r="K18065" s="1" t="str">
        <f t="shared" si="4"/>
        <v/>
      </c>
    </row>
    <row r="18066">
      <c r="F18066" s="1" t="str">
        <f t="shared" si="1"/>
        <v/>
      </c>
      <c r="G18066" s="1" t="str">
        <f t="shared" si="2"/>
        <v/>
      </c>
      <c r="J18066" s="1" t="str">
        <f t="shared" si="3"/>
        <v/>
      </c>
      <c r="K18066" s="1" t="str">
        <f t="shared" si="4"/>
        <v/>
      </c>
    </row>
    <row r="18067">
      <c r="F18067" s="1" t="str">
        <f t="shared" si="1"/>
        <v/>
      </c>
      <c r="G18067" s="1" t="str">
        <f t="shared" si="2"/>
        <v/>
      </c>
      <c r="J18067" s="1" t="str">
        <f t="shared" si="3"/>
        <v/>
      </c>
      <c r="K18067" s="1" t="str">
        <f t="shared" si="4"/>
        <v/>
      </c>
    </row>
    <row r="18068">
      <c r="F18068" s="1" t="str">
        <f t="shared" si="1"/>
        <v/>
      </c>
      <c r="G18068" s="1" t="str">
        <f t="shared" si="2"/>
        <v/>
      </c>
      <c r="J18068" s="1" t="str">
        <f t="shared" si="3"/>
        <v/>
      </c>
      <c r="K18068" s="1" t="str">
        <f t="shared" si="4"/>
        <v/>
      </c>
    </row>
    <row r="18069">
      <c r="F18069" s="1" t="str">
        <f t="shared" si="1"/>
        <v/>
      </c>
      <c r="G18069" s="1" t="str">
        <f t="shared" si="2"/>
        <v/>
      </c>
      <c r="J18069" s="1" t="str">
        <f t="shared" si="3"/>
        <v/>
      </c>
      <c r="K18069" s="1" t="str">
        <f t="shared" si="4"/>
        <v/>
      </c>
    </row>
    <row r="18070">
      <c r="F18070" s="1" t="str">
        <f t="shared" si="1"/>
        <v/>
      </c>
      <c r="G18070" s="1" t="str">
        <f t="shared" si="2"/>
        <v/>
      </c>
      <c r="J18070" s="1" t="str">
        <f t="shared" si="3"/>
        <v/>
      </c>
      <c r="K18070" s="1" t="str">
        <f t="shared" si="4"/>
        <v/>
      </c>
    </row>
    <row r="18071">
      <c r="F18071" s="1" t="str">
        <f t="shared" si="1"/>
        <v/>
      </c>
      <c r="G18071" s="1" t="str">
        <f t="shared" si="2"/>
        <v/>
      </c>
      <c r="J18071" s="1" t="str">
        <f t="shared" si="3"/>
        <v/>
      </c>
      <c r="K18071" s="1" t="str">
        <f t="shared" si="4"/>
        <v/>
      </c>
    </row>
    <row r="18072">
      <c r="F18072" s="1" t="str">
        <f t="shared" si="1"/>
        <v/>
      </c>
      <c r="G18072" s="1" t="str">
        <f t="shared" si="2"/>
        <v/>
      </c>
      <c r="J18072" s="1" t="str">
        <f t="shared" si="3"/>
        <v/>
      </c>
      <c r="K18072" s="1" t="str">
        <f t="shared" si="4"/>
        <v/>
      </c>
    </row>
    <row r="18073">
      <c r="F18073" s="1" t="str">
        <f t="shared" si="1"/>
        <v/>
      </c>
      <c r="G18073" s="1" t="str">
        <f t="shared" si="2"/>
        <v/>
      </c>
      <c r="J18073" s="1" t="str">
        <f t="shared" si="3"/>
        <v/>
      </c>
      <c r="K18073" s="1" t="str">
        <f t="shared" si="4"/>
        <v/>
      </c>
    </row>
    <row r="18074">
      <c r="F18074" s="1" t="str">
        <f t="shared" si="1"/>
        <v/>
      </c>
      <c r="G18074" s="1" t="str">
        <f t="shared" si="2"/>
        <v/>
      </c>
      <c r="J18074" s="1" t="str">
        <f t="shared" si="3"/>
        <v/>
      </c>
      <c r="K18074" s="1" t="str">
        <f t="shared" si="4"/>
        <v/>
      </c>
    </row>
    <row r="18075">
      <c r="F18075" s="1" t="str">
        <f t="shared" si="1"/>
        <v/>
      </c>
      <c r="G18075" s="1" t="str">
        <f t="shared" si="2"/>
        <v/>
      </c>
      <c r="J18075" s="1" t="str">
        <f t="shared" si="3"/>
        <v/>
      </c>
      <c r="K18075" s="1" t="str">
        <f t="shared" si="4"/>
        <v/>
      </c>
    </row>
    <row r="18076">
      <c r="F18076" s="1" t="str">
        <f t="shared" si="1"/>
        <v/>
      </c>
      <c r="G18076" s="1" t="str">
        <f t="shared" si="2"/>
        <v/>
      </c>
      <c r="J18076" s="1" t="str">
        <f t="shared" si="3"/>
        <v/>
      </c>
      <c r="K18076" s="1" t="str">
        <f t="shared" si="4"/>
        <v/>
      </c>
    </row>
    <row r="18077">
      <c r="F18077" s="1" t="str">
        <f t="shared" si="1"/>
        <v/>
      </c>
      <c r="G18077" s="1" t="str">
        <f t="shared" si="2"/>
        <v/>
      </c>
      <c r="J18077" s="1" t="str">
        <f t="shared" si="3"/>
        <v/>
      </c>
      <c r="K18077" s="1" t="str">
        <f t="shared" si="4"/>
        <v/>
      </c>
    </row>
    <row r="18078">
      <c r="F18078" s="1" t="str">
        <f t="shared" si="1"/>
        <v/>
      </c>
      <c r="G18078" s="1" t="str">
        <f t="shared" si="2"/>
        <v/>
      </c>
      <c r="J18078" s="1" t="str">
        <f t="shared" si="3"/>
        <v/>
      </c>
      <c r="K18078" s="1" t="str">
        <f t="shared" si="4"/>
        <v/>
      </c>
    </row>
    <row r="18079">
      <c r="F18079" s="1" t="str">
        <f t="shared" si="1"/>
        <v/>
      </c>
      <c r="G18079" s="1" t="str">
        <f t="shared" si="2"/>
        <v/>
      </c>
      <c r="J18079" s="1" t="str">
        <f t="shared" si="3"/>
        <v/>
      </c>
      <c r="K18079" s="1" t="str">
        <f t="shared" si="4"/>
        <v/>
      </c>
    </row>
    <row r="18080">
      <c r="F18080" s="1" t="str">
        <f t="shared" si="1"/>
        <v/>
      </c>
      <c r="G18080" s="1" t="str">
        <f t="shared" si="2"/>
        <v/>
      </c>
      <c r="J18080" s="1" t="str">
        <f t="shared" si="3"/>
        <v/>
      </c>
      <c r="K18080" s="1" t="str">
        <f t="shared" si="4"/>
        <v/>
      </c>
    </row>
    <row r="18081">
      <c r="F18081" s="1" t="str">
        <f t="shared" si="1"/>
        <v/>
      </c>
      <c r="G18081" s="1" t="str">
        <f t="shared" si="2"/>
        <v/>
      </c>
      <c r="J18081" s="1" t="str">
        <f t="shared" si="3"/>
        <v/>
      </c>
      <c r="K18081" s="1" t="str">
        <f t="shared" si="4"/>
        <v/>
      </c>
    </row>
    <row r="18082">
      <c r="F18082" s="1" t="str">
        <f t="shared" si="1"/>
        <v/>
      </c>
      <c r="G18082" s="1" t="str">
        <f t="shared" si="2"/>
        <v/>
      </c>
      <c r="J18082" s="1" t="str">
        <f t="shared" si="3"/>
        <v/>
      </c>
      <c r="K18082" s="1" t="str">
        <f t="shared" si="4"/>
        <v/>
      </c>
    </row>
    <row r="18083">
      <c r="F18083" s="1" t="str">
        <f t="shared" si="1"/>
        <v/>
      </c>
      <c r="G18083" s="1" t="str">
        <f t="shared" si="2"/>
        <v/>
      </c>
      <c r="J18083" s="1" t="str">
        <f t="shared" si="3"/>
        <v/>
      </c>
      <c r="K18083" s="1" t="str">
        <f t="shared" si="4"/>
        <v/>
      </c>
    </row>
    <row r="18084">
      <c r="F18084" s="1" t="str">
        <f t="shared" si="1"/>
        <v/>
      </c>
      <c r="G18084" s="1" t="str">
        <f t="shared" si="2"/>
        <v/>
      </c>
      <c r="J18084" s="1" t="str">
        <f t="shared" si="3"/>
        <v/>
      </c>
      <c r="K18084" s="1" t="str">
        <f t="shared" si="4"/>
        <v/>
      </c>
    </row>
    <row r="18085">
      <c r="F18085" s="1" t="str">
        <f t="shared" si="1"/>
        <v/>
      </c>
      <c r="G18085" s="1" t="str">
        <f t="shared" si="2"/>
        <v/>
      </c>
      <c r="J18085" s="1" t="str">
        <f t="shared" si="3"/>
        <v/>
      </c>
      <c r="K18085" s="1" t="str">
        <f t="shared" si="4"/>
        <v/>
      </c>
    </row>
    <row r="18086">
      <c r="F18086" s="1" t="str">
        <f t="shared" si="1"/>
        <v/>
      </c>
      <c r="G18086" s="1" t="str">
        <f t="shared" si="2"/>
        <v/>
      </c>
      <c r="J18086" s="1" t="str">
        <f t="shared" si="3"/>
        <v/>
      </c>
      <c r="K18086" s="1" t="str">
        <f t="shared" si="4"/>
        <v/>
      </c>
    </row>
    <row r="18087">
      <c r="F18087" s="1" t="str">
        <f t="shared" si="1"/>
        <v/>
      </c>
      <c r="G18087" s="1" t="str">
        <f t="shared" si="2"/>
        <v/>
      </c>
      <c r="J18087" s="1" t="str">
        <f t="shared" si="3"/>
        <v/>
      </c>
      <c r="K18087" s="1" t="str">
        <f t="shared" si="4"/>
        <v/>
      </c>
    </row>
    <row r="18088">
      <c r="F18088" s="1" t="str">
        <f t="shared" si="1"/>
        <v/>
      </c>
      <c r="G18088" s="1" t="str">
        <f t="shared" si="2"/>
        <v/>
      </c>
      <c r="J18088" s="1" t="str">
        <f t="shared" si="3"/>
        <v/>
      </c>
      <c r="K18088" s="1" t="str">
        <f t="shared" si="4"/>
        <v/>
      </c>
    </row>
    <row r="18089">
      <c r="F18089" s="1" t="str">
        <f t="shared" si="1"/>
        <v/>
      </c>
      <c r="G18089" s="1" t="str">
        <f t="shared" si="2"/>
        <v/>
      </c>
      <c r="J18089" s="1" t="str">
        <f t="shared" si="3"/>
        <v/>
      </c>
      <c r="K18089" s="1" t="str">
        <f t="shared" si="4"/>
        <v/>
      </c>
    </row>
    <row r="18090">
      <c r="F18090" s="1" t="str">
        <f t="shared" si="1"/>
        <v/>
      </c>
      <c r="G18090" s="1" t="str">
        <f t="shared" si="2"/>
        <v/>
      </c>
      <c r="J18090" s="1" t="str">
        <f t="shared" si="3"/>
        <v/>
      </c>
      <c r="K18090" s="1" t="str">
        <f t="shared" si="4"/>
        <v/>
      </c>
    </row>
    <row r="18091">
      <c r="F18091" s="1" t="str">
        <f t="shared" si="1"/>
        <v/>
      </c>
      <c r="G18091" s="1" t="str">
        <f t="shared" si="2"/>
        <v/>
      </c>
      <c r="J18091" s="1" t="str">
        <f t="shared" si="3"/>
        <v/>
      </c>
      <c r="K18091" s="1" t="str">
        <f t="shared" si="4"/>
        <v/>
      </c>
    </row>
    <row r="18092">
      <c r="F18092" s="1" t="str">
        <f t="shared" si="1"/>
        <v/>
      </c>
      <c r="G18092" s="1" t="str">
        <f t="shared" si="2"/>
        <v/>
      </c>
      <c r="J18092" s="1" t="str">
        <f t="shared" si="3"/>
        <v/>
      </c>
      <c r="K18092" s="1" t="str">
        <f t="shared" si="4"/>
        <v/>
      </c>
    </row>
    <row r="18093">
      <c r="F18093" s="1" t="str">
        <f t="shared" si="1"/>
        <v/>
      </c>
      <c r="G18093" s="1" t="str">
        <f t="shared" si="2"/>
        <v/>
      </c>
      <c r="J18093" s="1" t="str">
        <f t="shared" si="3"/>
        <v/>
      </c>
      <c r="K18093" s="1" t="str">
        <f t="shared" si="4"/>
        <v/>
      </c>
    </row>
    <row r="18094">
      <c r="F18094" s="1" t="str">
        <f t="shared" si="1"/>
        <v/>
      </c>
      <c r="G18094" s="1" t="str">
        <f t="shared" si="2"/>
        <v/>
      </c>
      <c r="J18094" s="1" t="str">
        <f t="shared" si="3"/>
        <v/>
      </c>
      <c r="K18094" s="1" t="str">
        <f t="shared" si="4"/>
        <v/>
      </c>
    </row>
    <row r="18095">
      <c r="F18095" s="1" t="str">
        <f t="shared" si="1"/>
        <v/>
      </c>
      <c r="G18095" s="1" t="str">
        <f t="shared" si="2"/>
        <v/>
      </c>
      <c r="J18095" s="1" t="str">
        <f t="shared" si="3"/>
        <v/>
      </c>
      <c r="K18095" s="1" t="str">
        <f t="shared" si="4"/>
        <v/>
      </c>
    </row>
    <row r="18096">
      <c r="F18096" s="1" t="str">
        <f t="shared" si="1"/>
        <v/>
      </c>
      <c r="G18096" s="1" t="str">
        <f t="shared" si="2"/>
        <v/>
      </c>
      <c r="J18096" s="1" t="str">
        <f t="shared" si="3"/>
        <v/>
      </c>
      <c r="K18096" s="1" t="str">
        <f t="shared" si="4"/>
        <v/>
      </c>
    </row>
    <row r="18097">
      <c r="F18097" s="1" t="str">
        <f t="shared" si="1"/>
        <v/>
      </c>
      <c r="G18097" s="1" t="str">
        <f t="shared" si="2"/>
        <v/>
      </c>
      <c r="J18097" s="1" t="str">
        <f t="shared" si="3"/>
        <v/>
      </c>
      <c r="K18097" s="1" t="str">
        <f t="shared" si="4"/>
        <v/>
      </c>
    </row>
    <row r="18098">
      <c r="F18098" s="1" t="str">
        <f t="shared" si="1"/>
        <v/>
      </c>
      <c r="G18098" s="1" t="str">
        <f t="shared" si="2"/>
        <v/>
      </c>
      <c r="J18098" s="1" t="str">
        <f t="shared" si="3"/>
        <v/>
      </c>
      <c r="K18098" s="1" t="str">
        <f t="shared" si="4"/>
        <v/>
      </c>
    </row>
    <row r="18099">
      <c r="F18099" s="1" t="str">
        <f t="shared" si="1"/>
        <v/>
      </c>
      <c r="G18099" s="1" t="str">
        <f t="shared" si="2"/>
        <v/>
      </c>
      <c r="J18099" s="1" t="str">
        <f t="shared" si="3"/>
        <v/>
      </c>
      <c r="K18099" s="1" t="str">
        <f t="shared" si="4"/>
        <v/>
      </c>
    </row>
    <row r="18100">
      <c r="F18100" s="1" t="str">
        <f t="shared" si="1"/>
        <v/>
      </c>
      <c r="G18100" s="1" t="str">
        <f t="shared" si="2"/>
        <v/>
      </c>
      <c r="J18100" s="1" t="str">
        <f t="shared" si="3"/>
        <v/>
      </c>
      <c r="K18100" s="1" t="str">
        <f t="shared" si="4"/>
        <v/>
      </c>
    </row>
    <row r="18101">
      <c r="F18101" s="1" t="str">
        <f t="shared" si="1"/>
        <v/>
      </c>
      <c r="G18101" s="1" t="str">
        <f t="shared" si="2"/>
        <v/>
      </c>
      <c r="J18101" s="1" t="str">
        <f t="shared" si="3"/>
        <v/>
      </c>
      <c r="K18101" s="1" t="str">
        <f t="shared" si="4"/>
        <v/>
      </c>
    </row>
    <row r="18102">
      <c r="F18102" s="1" t="str">
        <f t="shared" si="1"/>
        <v/>
      </c>
      <c r="G18102" s="1" t="str">
        <f t="shared" si="2"/>
        <v/>
      </c>
      <c r="J18102" s="1" t="str">
        <f t="shared" si="3"/>
        <v/>
      </c>
      <c r="K18102" s="1" t="str">
        <f t="shared" si="4"/>
        <v/>
      </c>
    </row>
    <row r="18103">
      <c r="F18103" s="1" t="str">
        <f t="shared" si="1"/>
        <v/>
      </c>
      <c r="G18103" s="1" t="str">
        <f t="shared" si="2"/>
        <v/>
      </c>
      <c r="J18103" s="1" t="str">
        <f t="shared" si="3"/>
        <v/>
      </c>
      <c r="K18103" s="1" t="str">
        <f t="shared" si="4"/>
        <v/>
      </c>
    </row>
    <row r="18104">
      <c r="F18104" s="1" t="str">
        <f t="shared" si="1"/>
        <v/>
      </c>
      <c r="G18104" s="1" t="str">
        <f t="shared" si="2"/>
        <v/>
      </c>
      <c r="J18104" s="1" t="str">
        <f t="shared" si="3"/>
        <v/>
      </c>
      <c r="K18104" s="1" t="str">
        <f t="shared" si="4"/>
        <v/>
      </c>
    </row>
    <row r="18105">
      <c r="F18105" s="1" t="str">
        <f t="shared" si="1"/>
        <v/>
      </c>
      <c r="G18105" s="1" t="str">
        <f t="shared" si="2"/>
        <v/>
      </c>
      <c r="J18105" s="1" t="str">
        <f t="shared" si="3"/>
        <v/>
      </c>
      <c r="K18105" s="1" t="str">
        <f t="shared" si="4"/>
        <v/>
      </c>
    </row>
    <row r="18106">
      <c r="F18106" s="1" t="str">
        <f t="shared" si="1"/>
        <v/>
      </c>
      <c r="G18106" s="1" t="str">
        <f t="shared" si="2"/>
        <v/>
      </c>
      <c r="J18106" s="1" t="str">
        <f t="shared" si="3"/>
        <v/>
      </c>
      <c r="K18106" s="1" t="str">
        <f t="shared" si="4"/>
        <v/>
      </c>
    </row>
    <row r="18107">
      <c r="F18107" s="1" t="str">
        <f t="shared" si="1"/>
        <v/>
      </c>
      <c r="G18107" s="1" t="str">
        <f t="shared" si="2"/>
        <v/>
      </c>
      <c r="J18107" s="1" t="str">
        <f t="shared" si="3"/>
        <v/>
      </c>
      <c r="K18107" s="1" t="str">
        <f t="shared" si="4"/>
        <v/>
      </c>
    </row>
    <row r="18108">
      <c r="F18108" s="1" t="str">
        <f t="shared" si="1"/>
        <v/>
      </c>
      <c r="G18108" s="1" t="str">
        <f t="shared" si="2"/>
        <v/>
      </c>
      <c r="J18108" s="1" t="str">
        <f t="shared" si="3"/>
        <v/>
      </c>
      <c r="K18108" s="1" t="str">
        <f t="shared" si="4"/>
        <v/>
      </c>
    </row>
    <row r="18109">
      <c r="F18109" s="1" t="str">
        <f t="shared" si="1"/>
        <v/>
      </c>
      <c r="G18109" s="1" t="str">
        <f t="shared" si="2"/>
        <v/>
      </c>
      <c r="J18109" s="1" t="str">
        <f t="shared" si="3"/>
        <v/>
      </c>
      <c r="K18109" s="1" t="str">
        <f t="shared" si="4"/>
        <v/>
      </c>
    </row>
    <row r="18110">
      <c r="F18110" s="1" t="str">
        <f t="shared" si="1"/>
        <v/>
      </c>
      <c r="G18110" s="1" t="str">
        <f t="shared" si="2"/>
        <v/>
      </c>
      <c r="J18110" s="1" t="str">
        <f t="shared" si="3"/>
        <v/>
      </c>
      <c r="K18110" s="1" t="str">
        <f t="shared" si="4"/>
        <v/>
      </c>
    </row>
    <row r="18111">
      <c r="F18111" s="1" t="str">
        <f t="shared" si="1"/>
        <v/>
      </c>
      <c r="G18111" s="1" t="str">
        <f t="shared" si="2"/>
        <v/>
      </c>
      <c r="J18111" s="1" t="str">
        <f t="shared" si="3"/>
        <v/>
      </c>
      <c r="K18111" s="1" t="str">
        <f t="shared" si="4"/>
        <v/>
      </c>
    </row>
    <row r="18112">
      <c r="F18112" s="1" t="str">
        <f t="shared" si="1"/>
        <v/>
      </c>
      <c r="G18112" s="1" t="str">
        <f t="shared" si="2"/>
        <v/>
      </c>
      <c r="J18112" s="1" t="str">
        <f t="shared" si="3"/>
        <v/>
      </c>
      <c r="K18112" s="1" t="str">
        <f t="shared" si="4"/>
        <v/>
      </c>
    </row>
    <row r="18113">
      <c r="F18113" s="1" t="str">
        <f t="shared" si="1"/>
        <v/>
      </c>
      <c r="G18113" s="1" t="str">
        <f t="shared" si="2"/>
        <v/>
      </c>
      <c r="J18113" s="1" t="str">
        <f t="shared" si="3"/>
        <v/>
      </c>
      <c r="K18113" s="1" t="str">
        <f t="shared" si="4"/>
        <v/>
      </c>
    </row>
    <row r="18114">
      <c r="F18114" s="1" t="str">
        <f t="shared" si="1"/>
        <v/>
      </c>
      <c r="G18114" s="1" t="str">
        <f t="shared" si="2"/>
        <v/>
      </c>
      <c r="J18114" s="1" t="str">
        <f t="shared" si="3"/>
        <v/>
      </c>
      <c r="K18114" s="1" t="str">
        <f t="shared" si="4"/>
        <v/>
      </c>
    </row>
    <row r="18115">
      <c r="F18115" s="1" t="str">
        <f t="shared" si="1"/>
        <v/>
      </c>
      <c r="G18115" s="1" t="str">
        <f t="shared" si="2"/>
        <v/>
      </c>
      <c r="J18115" s="1" t="str">
        <f t="shared" si="3"/>
        <v/>
      </c>
      <c r="K18115" s="1" t="str">
        <f t="shared" si="4"/>
        <v/>
      </c>
    </row>
    <row r="18116">
      <c r="F18116" s="1" t="str">
        <f t="shared" si="1"/>
        <v/>
      </c>
      <c r="G18116" s="1" t="str">
        <f t="shared" si="2"/>
        <v/>
      </c>
      <c r="J18116" s="1" t="str">
        <f t="shared" si="3"/>
        <v/>
      </c>
      <c r="K18116" s="1" t="str">
        <f t="shared" si="4"/>
        <v/>
      </c>
    </row>
    <row r="18117">
      <c r="F18117" s="1" t="str">
        <f t="shared" si="1"/>
        <v/>
      </c>
      <c r="G18117" s="1" t="str">
        <f t="shared" si="2"/>
        <v/>
      </c>
      <c r="J18117" s="1" t="str">
        <f t="shared" si="3"/>
        <v/>
      </c>
      <c r="K18117" s="1" t="str">
        <f t="shared" si="4"/>
        <v/>
      </c>
    </row>
    <row r="18118">
      <c r="F18118" s="1" t="str">
        <f t="shared" si="1"/>
        <v/>
      </c>
      <c r="G18118" s="1" t="str">
        <f t="shared" si="2"/>
        <v/>
      </c>
      <c r="J18118" s="1" t="str">
        <f t="shared" si="3"/>
        <v/>
      </c>
      <c r="K18118" s="1" t="str">
        <f t="shared" si="4"/>
        <v/>
      </c>
    </row>
    <row r="18119">
      <c r="F18119" s="1" t="str">
        <f t="shared" si="1"/>
        <v/>
      </c>
      <c r="G18119" s="1" t="str">
        <f t="shared" si="2"/>
        <v/>
      </c>
      <c r="J18119" s="1" t="str">
        <f t="shared" si="3"/>
        <v/>
      </c>
      <c r="K18119" s="1" t="str">
        <f t="shared" si="4"/>
        <v/>
      </c>
    </row>
    <row r="18120">
      <c r="F18120" s="1" t="str">
        <f t="shared" si="1"/>
        <v/>
      </c>
      <c r="G18120" s="1" t="str">
        <f t="shared" si="2"/>
        <v/>
      </c>
      <c r="J18120" s="1" t="str">
        <f t="shared" si="3"/>
        <v/>
      </c>
      <c r="K18120" s="1" t="str">
        <f t="shared" si="4"/>
        <v/>
      </c>
    </row>
    <row r="18121">
      <c r="F18121" s="1" t="str">
        <f t="shared" si="1"/>
        <v/>
      </c>
      <c r="G18121" s="1" t="str">
        <f t="shared" si="2"/>
        <v/>
      </c>
      <c r="J18121" s="1" t="str">
        <f t="shared" si="3"/>
        <v/>
      </c>
      <c r="K18121" s="1" t="str">
        <f t="shared" si="4"/>
        <v/>
      </c>
    </row>
    <row r="18122">
      <c r="F18122" s="1" t="str">
        <f t="shared" si="1"/>
        <v/>
      </c>
      <c r="G18122" s="1" t="str">
        <f t="shared" si="2"/>
        <v/>
      </c>
      <c r="J18122" s="1" t="str">
        <f t="shared" si="3"/>
        <v/>
      </c>
      <c r="K18122" s="1" t="str">
        <f t="shared" si="4"/>
        <v/>
      </c>
    </row>
    <row r="18123">
      <c r="F18123" s="1" t="str">
        <f t="shared" si="1"/>
        <v/>
      </c>
      <c r="G18123" s="1" t="str">
        <f t="shared" si="2"/>
        <v/>
      </c>
      <c r="J18123" s="1" t="str">
        <f t="shared" si="3"/>
        <v/>
      </c>
      <c r="K18123" s="1" t="str">
        <f t="shared" si="4"/>
        <v/>
      </c>
    </row>
    <row r="18124">
      <c r="F18124" s="1" t="str">
        <f t="shared" si="1"/>
        <v/>
      </c>
      <c r="G18124" s="1" t="str">
        <f t="shared" si="2"/>
        <v/>
      </c>
      <c r="J18124" s="1" t="str">
        <f t="shared" si="3"/>
        <v/>
      </c>
      <c r="K18124" s="1" t="str">
        <f t="shared" si="4"/>
        <v/>
      </c>
    </row>
    <row r="18125">
      <c r="F18125" s="1" t="str">
        <f t="shared" si="1"/>
        <v/>
      </c>
      <c r="G18125" s="1" t="str">
        <f t="shared" si="2"/>
        <v/>
      </c>
      <c r="J18125" s="1" t="str">
        <f t="shared" si="3"/>
        <v/>
      </c>
      <c r="K18125" s="1" t="str">
        <f t="shared" si="4"/>
        <v/>
      </c>
    </row>
    <row r="18126">
      <c r="F18126" s="1" t="str">
        <f t="shared" si="1"/>
        <v/>
      </c>
      <c r="G18126" s="1" t="str">
        <f t="shared" si="2"/>
        <v/>
      </c>
      <c r="J18126" s="1" t="str">
        <f t="shared" si="3"/>
        <v/>
      </c>
      <c r="K18126" s="1" t="str">
        <f t="shared" si="4"/>
        <v/>
      </c>
    </row>
    <row r="18127">
      <c r="F18127" s="1" t="str">
        <f t="shared" si="1"/>
        <v/>
      </c>
      <c r="G18127" s="1" t="str">
        <f t="shared" si="2"/>
        <v/>
      </c>
      <c r="J18127" s="1" t="str">
        <f t="shared" si="3"/>
        <v/>
      </c>
      <c r="K18127" s="1" t="str">
        <f t="shared" si="4"/>
        <v/>
      </c>
    </row>
    <row r="18128">
      <c r="F18128" s="1" t="str">
        <f t="shared" si="1"/>
        <v/>
      </c>
      <c r="G18128" s="1" t="str">
        <f t="shared" si="2"/>
        <v/>
      </c>
      <c r="J18128" s="1" t="str">
        <f t="shared" si="3"/>
        <v/>
      </c>
      <c r="K18128" s="1" t="str">
        <f t="shared" si="4"/>
        <v/>
      </c>
    </row>
    <row r="18129">
      <c r="F18129" s="1" t="str">
        <f t="shared" si="1"/>
        <v/>
      </c>
      <c r="G18129" s="1" t="str">
        <f t="shared" si="2"/>
        <v/>
      </c>
      <c r="J18129" s="1" t="str">
        <f t="shared" si="3"/>
        <v/>
      </c>
      <c r="K18129" s="1" t="str">
        <f t="shared" si="4"/>
        <v/>
      </c>
    </row>
    <row r="18130">
      <c r="F18130" s="1" t="str">
        <f t="shared" si="1"/>
        <v/>
      </c>
      <c r="G18130" s="1" t="str">
        <f t="shared" si="2"/>
        <v/>
      </c>
      <c r="J18130" s="1" t="str">
        <f t="shared" si="3"/>
        <v/>
      </c>
      <c r="K18130" s="1" t="str">
        <f t="shared" si="4"/>
        <v/>
      </c>
    </row>
    <row r="18131">
      <c r="F18131" s="1" t="str">
        <f t="shared" si="1"/>
        <v/>
      </c>
      <c r="G18131" s="1" t="str">
        <f t="shared" si="2"/>
        <v/>
      </c>
      <c r="J18131" s="1" t="str">
        <f t="shared" si="3"/>
        <v/>
      </c>
      <c r="K18131" s="1" t="str">
        <f t="shared" si="4"/>
        <v/>
      </c>
    </row>
    <row r="18132">
      <c r="F18132" s="1" t="str">
        <f t="shared" si="1"/>
        <v/>
      </c>
      <c r="G18132" s="1" t="str">
        <f t="shared" si="2"/>
        <v/>
      </c>
      <c r="J18132" s="1" t="str">
        <f t="shared" si="3"/>
        <v/>
      </c>
      <c r="K18132" s="1" t="str">
        <f t="shared" si="4"/>
        <v/>
      </c>
    </row>
    <row r="18133">
      <c r="F18133" s="1" t="str">
        <f t="shared" si="1"/>
        <v/>
      </c>
      <c r="G18133" s="1" t="str">
        <f t="shared" si="2"/>
        <v/>
      </c>
      <c r="J18133" s="1" t="str">
        <f t="shared" si="3"/>
        <v/>
      </c>
      <c r="K18133" s="1" t="str">
        <f t="shared" si="4"/>
        <v/>
      </c>
    </row>
    <row r="18134">
      <c r="F18134" s="1" t="str">
        <f t="shared" si="1"/>
        <v/>
      </c>
      <c r="G18134" s="1" t="str">
        <f t="shared" si="2"/>
        <v/>
      </c>
      <c r="J18134" s="1" t="str">
        <f t="shared" si="3"/>
        <v/>
      </c>
      <c r="K18134" s="1" t="str">
        <f t="shared" si="4"/>
        <v/>
      </c>
    </row>
    <row r="18135">
      <c r="F18135" s="1" t="str">
        <f t="shared" si="1"/>
        <v/>
      </c>
      <c r="G18135" s="1" t="str">
        <f t="shared" si="2"/>
        <v/>
      </c>
      <c r="J18135" s="1" t="str">
        <f t="shared" si="3"/>
        <v/>
      </c>
      <c r="K18135" s="1" t="str">
        <f t="shared" si="4"/>
        <v/>
      </c>
    </row>
    <row r="18136">
      <c r="F18136" s="1" t="str">
        <f t="shared" si="1"/>
        <v/>
      </c>
      <c r="G18136" s="1" t="str">
        <f t="shared" si="2"/>
        <v/>
      </c>
      <c r="J18136" s="1" t="str">
        <f t="shared" si="3"/>
        <v/>
      </c>
      <c r="K18136" s="1" t="str">
        <f t="shared" si="4"/>
        <v/>
      </c>
    </row>
    <row r="18137">
      <c r="F18137" s="1" t="str">
        <f t="shared" si="1"/>
        <v/>
      </c>
      <c r="G18137" s="1" t="str">
        <f t="shared" si="2"/>
        <v/>
      </c>
      <c r="J18137" s="1" t="str">
        <f t="shared" si="3"/>
        <v/>
      </c>
      <c r="K18137" s="1" t="str">
        <f t="shared" si="4"/>
        <v/>
      </c>
    </row>
    <row r="18138">
      <c r="F18138" s="1" t="str">
        <f t="shared" si="1"/>
        <v/>
      </c>
      <c r="G18138" s="1" t="str">
        <f t="shared" si="2"/>
        <v/>
      </c>
      <c r="J18138" s="1" t="str">
        <f t="shared" si="3"/>
        <v/>
      </c>
      <c r="K18138" s="1" t="str">
        <f t="shared" si="4"/>
        <v/>
      </c>
    </row>
    <row r="18139">
      <c r="F18139" s="1" t="str">
        <f t="shared" si="1"/>
        <v/>
      </c>
      <c r="G18139" s="1" t="str">
        <f t="shared" si="2"/>
        <v/>
      </c>
      <c r="J18139" s="1" t="str">
        <f t="shared" si="3"/>
        <v/>
      </c>
      <c r="K18139" s="1" t="str">
        <f t="shared" si="4"/>
        <v/>
      </c>
    </row>
    <row r="18140">
      <c r="F18140" s="1" t="str">
        <f t="shared" si="1"/>
        <v/>
      </c>
      <c r="G18140" s="1" t="str">
        <f t="shared" si="2"/>
        <v/>
      </c>
      <c r="J18140" s="1" t="str">
        <f t="shared" si="3"/>
        <v/>
      </c>
      <c r="K18140" s="1" t="str">
        <f t="shared" si="4"/>
        <v/>
      </c>
    </row>
    <row r="18141">
      <c r="F18141" s="1" t="str">
        <f t="shared" si="1"/>
        <v/>
      </c>
      <c r="G18141" s="1" t="str">
        <f t="shared" si="2"/>
        <v/>
      </c>
      <c r="J18141" s="1" t="str">
        <f t="shared" si="3"/>
        <v/>
      </c>
      <c r="K18141" s="1" t="str">
        <f t="shared" si="4"/>
        <v/>
      </c>
    </row>
    <row r="18142">
      <c r="F18142" s="1" t="str">
        <f t="shared" si="1"/>
        <v/>
      </c>
      <c r="G18142" s="1" t="str">
        <f t="shared" si="2"/>
        <v/>
      </c>
      <c r="J18142" s="1" t="str">
        <f t="shared" si="3"/>
        <v/>
      </c>
      <c r="K18142" s="1" t="str">
        <f t="shared" si="4"/>
        <v/>
      </c>
    </row>
    <row r="18143">
      <c r="F18143" s="1" t="str">
        <f t="shared" si="1"/>
        <v/>
      </c>
      <c r="G18143" s="1" t="str">
        <f t="shared" si="2"/>
        <v/>
      </c>
      <c r="J18143" s="1" t="str">
        <f t="shared" si="3"/>
        <v/>
      </c>
      <c r="K18143" s="1" t="str">
        <f t="shared" si="4"/>
        <v/>
      </c>
    </row>
    <row r="18144">
      <c r="F18144" s="1" t="str">
        <f t="shared" si="1"/>
        <v/>
      </c>
      <c r="G18144" s="1" t="str">
        <f t="shared" si="2"/>
        <v/>
      </c>
      <c r="J18144" s="1" t="str">
        <f t="shared" si="3"/>
        <v/>
      </c>
      <c r="K18144" s="1" t="str">
        <f t="shared" si="4"/>
        <v/>
      </c>
    </row>
    <row r="18145">
      <c r="F18145" s="1" t="str">
        <f t="shared" si="1"/>
        <v/>
      </c>
      <c r="G18145" s="1" t="str">
        <f t="shared" si="2"/>
        <v/>
      </c>
      <c r="J18145" s="1" t="str">
        <f t="shared" si="3"/>
        <v/>
      </c>
      <c r="K18145" s="1" t="str">
        <f t="shared" si="4"/>
        <v/>
      </c>
    </row>
    <row r="18146">
      <c r="F18146" s="1" t="str">
        <f t="shared" si="1"/>
        <v/>
      </c>
      <c r="G18146" s="1" t="str">
        <f t="shared" si="2"/>
        <v/>
      </c>
      <c r="J18146" s="1" t="str">
        <f t="shared" si="3"/>
        <v/>
      </c>
      <c r="K18146" s="1" t="str">
        <f t="shared" si="4"/>
        <v/>
      </c>
    </row>
    <row r="18147">
      <c r="F18147" s="1" t="str">
        <f t="shared" si="1"/>
        <v/>
      </c>
      <c r="G18147" s="1" t="str">
        <f t="shared" si="2"/>
        <v/>
      </c>
      <c r="J18147" s="1" t="str">
        <f t="shared" si="3"/>
        <v/>
      </c>
      <c r="K18147" s="1" t="str">
        <f t="shared" si="4"/>
        <v/>
      </c>
    </row>
    <row r="18148">
      <c r="F18148" s="1" t="str">
        <f t="shared" si="1"/>
        <v/>
      </c>
      <c r="G18148" s="1" t="str">
        <f t="shared" si="2"/>
        <v/>
      </c>
      <c r="J18148" s="1" t="str">
        <f t="shared" si="3"/>
        <v/>
      </c>
      <c r="K18148" s="1" t="str">
        <f t="shared" si="4"/>
        <v/>
      </c>
    </row>
    <row r="18149">
      <c r="F18149" s="1" t="str">
        <f t="shared" si="1"/>
        <v/>
      </c>
      <c r="G18149" s="1" t="str">
        <f t="shared" si="2"/>
        <v/>
      </c>
      <c r="J18149" s="1" t="str">
        <f t="shared" si="3"/>
        <v/>
      </c>
      <c r="K18149" s="1" t="str">
        <f t="shared" si="4"/>
        <v/>
      </c>
    </row>
    <row r="18150">
      <c r="F18150" s="1" t="str">
        <f t="shared" si="1"/>
        <v/>
      </c>
      <c r="G18150" s="1" t="str">
        <f t="shared" si="2"/>
        <v/>
      </c>
      <c r="J18150" s="1" t="str">
        <f t="shared" si="3"/>
        <v/>
      </c>
      <c r="K18150" s="1" t="str">
        <f t="shared" si="4"/>
        <v/>
      </c>
    </row>
    <row r="18151">
      <c r="F18151" s="1" t="str">
        <f t="shared" si="1"/>
        <v/>
      </c>
      <c r="G18151" s="1" t="str">
        <f t="shared" si="2"/>
        <v/>
      </c>
      <c r="J18151" s="1" t="str">
        <f t="shared" si="3"/>
        <v/>
      </c>
      <c r="K18151" s="1" t="str">
        <f t="shared" si="4"/>
        <v/>
      </c>
    </row>
    <row r="18152">
      <c r="F18152" s="1" t="str">
        <f t="shared" si="1"/>
        <v/>
      </c>
      <c r="G18152" s="1" t="str">
        <f t="shared" si="2"/>
        <v/>
      </c>
      <c r="J18152" s="1" t="str">
        <f t="shared" si="3"/>
        <v/>
      </c>
      <c r="K18152" s="1" t="str">
        <f t="shared" si="4"/>
        <v/>
      </c>
    </row>
    <row r="18153">
      <c r="F18153" s="1" t="str">
        <f t="shared" si="1"/>
        <v/>
      </c>
      <c r="G18153" s="1" t="str">
        <f t="shared" si="2"/>
        <v/>
      </c>
      <c r="J18153" s="1" t="str">
        <f t="shared" si="3"/>
        <v/>
      </c>
      <c r="K18153" s="1" t="str">
        <f t="shared" si="4"/>
        <v/>
      </c>
    </row>
    <row r="18154">
      <c r="F18154" s="1" t="str">
        <f t="shared" si="1"/>
        <v/>
      </c>
      <c r="G18154" s="1" t="str">
        <f t="shared" si="2"/>
        <v/>
      </c>
      <c r="J18154" s="1" t="str">
        <f t="shared" si="3"/>
        <v/>
      </c>
      <c r="K18154" s="1" t="str">
        <f t="shared" si="4"/>
        <v/>
      </c>
    </row>
    <row r="18155">
      <c r="F18155" s="1" t="str">
        <f t="shared" si="1"/>
        <v/>
      </c>
      <c r="G18155" s="1" t="str">
        <f t="shared" si="2"/>
        <v/>
      </c>
      <c r="J18155" s="1" t="str">
        <f t="shared" si="3"/>
        <v/>
      </c>
      <c r="K18155" s="1" t="str">
        <f t="shared" si="4"/>
        <v/>
      </c>
    </row>
    <row r="18156">
      <c r="F18156" s="1" t="str">
        <f t="shared" si="1"/>
        <v/>
      </c>
      <c r="G18156" s="1" t="str">
        <f t="shared" si="2"/>
        <v/>
      </c>
      <c r="J18156" s="1" t="str">
        <f t="shared" si="3"/>
        <v/>
      </c>
      <c r="K18156" s="1" t="str">
        <f t="shared" si="4"/>
        <v/>
      </c>
    </row>
    <row r="18157">
      <c r="F18157" s="1" t="str">
        <f t="shared" si="1"/>
        <v/>
      </c>
      <c r="G18157" s="1" t="str">
        <f t="shared" si="2"/>
        <v/>
      </c>
      <c r="J18157" s="1" t="str">
        <f t="shared" si="3"/>
        <v/>
      </c>
      <c r="K18157" s="1" t="str">
        <f t="shared" si="4"/>
        <v/>
      </c>
    </row>
    <row r="18158">
      <c r="F18158" s="1" t="str">
        <f t="shared" si="1"/>
        <v/>
      </c>
      <c r="G18158" s="1" t="str">
        <f t="shared" si="2"/>
        <v/>
      </c>
      <c r="J18158" s="1" t="str">
        <f t="shared" si="3"/>
        <v/>
      </c>
      <c r="K18158" s="1" t="str">
        <f t="shared" si="4"/>
        <v/>
      </c>
    </row>
    <row r="18159">
      <c r="F18159" s="1" t="str">
        <f t="shared" si="1"/>
        <v/>
      </c>
      <c r="G18159" s="1" t="str">
        <f t="shared" si="2"/>
        <v/>
      </c>
      <c r="J18159" s="1" t="str">
        <f t="shared" si="3"/>
        <v/>
      </c>
      <c r="K18159" s="1" t="str">
        <f t="shared" si="4"/>
        <v/>
      </c>
    </row>
    <row r="18160">
      <c r="F18160" s="1" t="str">
        <f t="shared" si="1"/>
        <v/>
      </c>
      <c r="G18160" s="1" t="str">
        <f t="shared" si="2"/>
        <v/>
      </c>
      <c r="J18160" s="1" t="str">
        <f t="shared" si="3"/>
        <v/>
      </c>
      <c r="K18160" s="1" t="str">
        <f t="shared" si="4"/>
        <v/>
      </c>
    </row>
    <row r="18161">
      <c r="F18161" s="1" t="str">
        <f t="shared" si="1"/>
        <v/>
      </c>
      <c r="G18161" s="1" t="str">
        <f t="shared" si="2"/>
        <v/>
      </c>
      <c r="J18161" s="1" t="str">
        <f t="shared" si="3"/>
        <v/>
      </c>
      <c r="K18161" s="1" t="str">
        <f t="shared" si="4"/>
        <v/>
      </c>
    </row>
    <row r="18162">
      <c r="F18162" s="1" t="str">
        <f t="shared" si="1"/>
        <v/>
      </c>
      <c r="G18162" s="1" t="str">
        <f t="shared" si="2"/>
        <v/>
      </c>
      <c r="J18162" s="1" t="str">
        <f t="shared" si="3"/>
        <v/>
      </c>
      <c r="K18162" s="1" t="str">
        <f t="shared" si="4"/>
        <v/>
      </c>
    </row>
    <row r="18163">
      <c r="F18163" s="1" t="str">
        <f t="shared" si="1"/>
        <v/>
      </c>
      <c r="G18163" s="1" t="str">
        <f t="shared" si="2"/>
        <v/>
      </c>
      <c r="J18163" s="1" t="str">
        <f t="shared" si="3"/>
        <v/>
      </c>
      <c r="K18163" s="1" t="str">
        <f t="shared" si="4"/>
        <v/>
      </c>
    </row>
    <row r="18164">
      <c r="F18164" s="1" t="str">
        <f t="shared" si="1"/>
        <v/>
      </c>
      <c r="G18164" s="1" t="str">
        <f t="shared" si="2"/>
        <v/>
      </c>
      <c r="J18164" s="1" t="str">
        <f t="shared" si="3"/>
        <v/>
      </c>
      <c r="K18164" s="1" t="str">
        <f t="shared" si="4"/>
        <v/>
      </c>
    </row>
    <row r="18165">
      <c r="F18165" s="1" t="str">
        <f t="shared" si="1"/>
        <v/>
      </c>
      <c r="G18165" s="1" t="str">
        <f t="shared" si="2"/>
        <v/>
      </c>
      <c r="J18165" s="1" t="str">
        <f t="shared" si="3"/>
        <v/>
      </c>
      <c r="K18165" s="1" t="str">
        <f t="shared" si="4"/>
        <v/>
      </c>
    </row>
    <row r="18166">
      <c r="F18166" s="1" t="str">
        <f t="shared" si="1"/>
        <v/>
      </c>
      <c r="G18166" s="1" t="str">
        <f t="shared" si="2"/>
        <v/>
      </c>
      <c r="J18166" s="1" t="str">
        <f t="shared" si="3"/>
        <v/>
      </c>
      <c r="K18166" s="1" t="str">
        <f t="shared" si="4"/>
        <v/>
      </c>
    </row>
    <row r="18167">
      <c r="F18167" s="1" t="str">
        <f t="shared" si="1"/>
        <v/>
      </c>
      <c r="G18167" s="1" t="str">
        <f t="shared" si="2"/>
        <v/>
      </c>
      <c r="J18167" s="1" t="str">
        <f t="shared" si="3"/>
        <v/>
      </c>
      <c r="K18167" s="1" t="str">
        <f t="shared" si="4"/>
        <v/>
      </c>
    </row>
    <row r="18168">
      <c r="F18168" s="1" t="str">
        <f t="shared" si="1"/>
        <v/>
      </c>
      <c r="G18168" s="1" t="str">
        <f t="shared" si="2"/>
        <v/>
      </c>
      <c r="J18168" s="1" t="str">
        <f t="shared" si="3"/>
        <v/>
      </c>
      <c r="K18168" s="1" t="str">
        <f t="shared" si="4"/>
        <v/>
      </c>
    </row>
    <row r="18169">
      <c r="F18169" s="1" t="str">
        <f t="shared" si="1"/>
        <v/>
      </c>
      <c r="G18169" s="1" t="str">
        <f t="shared" si="2"/>
        <v/>
      </c>
      <c r="J18169" s="1" t="str">
        <f t="shared" si="3"/>
        <v/>
      </c>
      <c r="K18169" s="1" t="str">
        <f t="shared" si="4"/>
        <v/>
      </c>
    </row>
    <row r="18170">
      <c r="F18170" s="1" t="str">
        <f t="shared" si="1"/>
        <v/>
      </c>
      <c r="G18170" s="1" t="str">
        <f t="shared" si="2"/>
        <v/>
      </c>
      <c r="J18170" s="1" t="str">
        <f t="shared" si="3"/>
        <v/>
      </c>
      <c r="K18170" s="1" t="str">
        <f t="shared" si="4"/>
        <v/>
      </c>
    </row>
    <row r="18171">
      <c r="F18171" s="1" t="str">
        <f t="shared" si="1"/>
        <v/>
      </c>
      <c r="G18171" s="1" t="str">
        <f t="shared" si="2"/>
        <v/>
      </c>
      <c r="J18171" s="1" t="str">
        <f t="shared" si="3"/>
        <v/>
      </c>
      <c r="K18171" s="1" t="str">
        <f t="shared" si="4"/>
        <v/>
      </c>
    </row>
    <row r="18172">
      <c r="F18172" s="1" t="str">
        <f t="shared" si="1"/>
        <v/>
      </c>
      <c r="G18172" s="1" t="str">
        <f t="shared" si="2"/>
        <v/>
      </c>
      <c r="J18172" s="1" t="str">
        <f t="shared" si="3"/>
        <v/>
      </c>
      <c r="K18172" s="1" t="str">
        <f t="shared" si="4"/>
        <v/>
      </c>
    </row>
    <row r="18173">
      <c r="F18173" s="1" t="str">
        <f t="shared" si="1"/>
        <v/>
      </c>
      <c r="G18173" s="1" t="str">
        <f t="shared" si="2"/>
        <v/>
      </c>
      <c r="J18173" s="1" t="str">
        <f t="shared" si="3"/>
        <v/>
      </c>
      <c r="K18173" s="1" t="str">
        <f t="shared" si="4"/>
        <v/>
      </c>
    </row>
    <row r="18174">
      <c r="F18174" s="1" t="str">
        <f t="shared" si="1"/>
        <v/>
      </c>
      <c r="G18174" s="1" t="str">
        <f t="shared" si="2"/>
        <v/>
      </c>
      <c r="J18174" s="1" t="str">
        <f t="shared" si="3"/>
        <v/>
      </c>
      <c r="K18174" s="1" t="str">
        <f t="shared" si="4"/>
        <v/>
      </c>
    </row>
    <row r="18175">
      <c r="F18175" s="1" t="str">
        <f t="shared" si="1"/>
        <v/>
      </c>
      <c r="G18175" s="1" t="str">
        <f t="shared" si="2"/>
        <v/>
      </c>
      <c r="J18175" s="1" t="str">
        <f t="shared" si="3"/>
        <v/>
      </c>
      <c r="K18175" s="1" t="str">
        <f t="shared" si="4"/>
        <v/>
      </c>
    </row>
    <row r="18176">
      <c r="F18176" s="1" t="str">
        <f t="shared" si="1"/>
        <v/>
      </c>
      <c r="G18176" s="1" t="str">
        <f t="shared" si="2"/>
        <v/>
      </c>
      <c r="J18176" s="1" t="str">
        <f t="shared" si="3"/>
        <v/>
      </c>
      <c r="K18176" s="1" t="str">
        <f t="shared" si="4"/>
        <v/>
      </c>
    </row>
    <row r="18177">
      <c r="F18177" s="1" t="str">
        <f t="shared" si="1"/>
        <v/>
      </c>
      <c r="G18177" s="1" t="str">
        <f t="shared" si="2"/>
        <v/>
      </c>
      <c r="J18177" s="1" t="str">
        <f t="shared" si="3"/>
        <v/>
      </c>
      <c r="K18177" s="1" t="str">
        <f t="shared" si="4"/>
        <v/>
      </c>
    </row>
    <row r="18178">
      <c r="F18178" s="1" t="str">
        <f t="shared" si="1"/>
        <v/>
      </c>
      <c r="G18178" s="1" t="str">
        <f t="shared" si="2"/>
        <v/>
      </c>
      <c r="J18178" s="1" t="str">
        <f t="shared" si="3"/>
        <v/>
      </c>
      <c r="K18178" s="1" t="str">
        <f t="shared" si="4"/>
        <v/>
      </c>
    </row>
    <row r="18179">
      <c r="F18179" s="1" t="str">
        <f t="shared" si="1"/>
        <v/>
      </c>
      <c r="G18179" s="1" t="str">
        <f t="shared" si="2"/>
        <v/>
      </c>
      <c r="J18179" s="1" t="str">
        <f t="shared" si="3"/>
        <v/>
      </c>
      <c r="K18179" s="1" t="str">
        <f t="shared" si="4"/>
        <v/>
      </c>
    </row>
    <row r="18180">
      <c r="F18180" s="1" t="str">
        <f t="shared" si="1"/>
        <v/>
      </c>
      <c r="G18180" s="1" t="str">
        <f t="shared" si="2"/>
        <v/>
      </c>
      <c r="J18180" s="1" t="str">
        <f t="shared" si="3"/>
        <v/>
      </c>
      <c r="K18180" s="1" t="str">
        <f t="shared" si="4"/>
        <v/>
      </c>
    </row>
    <row r="18181">
      <c r="F18181" s="1" t="str">
        <f t="shared" si="1"/>
        <v/>
      </c>
      <c r="G18181" s="1" t="str">
        <f t="shared" si="2"/>
        <v/>
      </c>
      <c r="J18181" s="1" t="str">
        <f t="shared" si="3"/>
        <v/>
      </c>
      <c r="K18181" s="1" t="str">
        <f t="shared" si="4"/>
        <v/>
      </c>
    </row>
    <row r="18182">
      <c r="F18182" s="1" t="str">
        <f t="shared" si="1"/>
        <v/>
      </c>
      <c r="G18182" s="1" t="str">
        <f t="shared" si="2"/>
        <v/>
      </c>
      <c r="J18182" s="1" t="str">
        <f t="shared" si="3"/>
        <v/>
      </c>
      <c r="K18182" s="1" t="str">
        <f t="shared" si="4"/>
        <v/>
      </c>
    </row>
    <row r="18183">
      <c r="F18183" s="1" t="str">
        <f t="shared" si="1"/>
        <v/>
      </c>
      <c r="G18183" s="1" t="str">
        <f t="shared" si="2"/>
        <v/>
      </c>
      <c r="J18183" s="1" t="str">
        <f t="shared" si="3"/>
        <v/>
      </c>
      <c r="K18183" s="1" t="str">
        <f t="shared" si="4"/>
        <v/>
      </c>
    </row>
    <row r="18184">
      <c r="F18184" s="1" t="str">
        <f t="shared" si="1"/>
        <v/>
      </c>
      <c r="G18184" s="1" t="str">
        <f t="shared" si="2"/>
        <v/>
      </c>
      <c r="J18184" s="1" t="str">
        <f t="shared" si="3"/>
        <v/>
      </c>
      <c r="K18184" s="1" t="str">
        <f t="shared" si="4"/>
        <v/>
      </c>
    </row>
    <row r="18185">
      <c r="F18185" s="1" t="str">
        <f t="shared" si="1"/>
        <v/>
      </c>
      <c r="G18185" s="1" t="str">
        <f t="shared" si="2"/>
        <v/>
      </c>
      <c r="J18185" s="1" t="str">
        <f t="shared" si="3"/>
        <v/>
      </c>
      <c r="K18185" s="1" t="str">
        <f t="shared" si="4"/>
        <v/>
      </c>
    </row>
    <row r="18186">
      <c r="F18186" s="1" t="str">
        <f t="shared" si="1"/>
        <v/>
      </c>
      <c r="G18186" s="1" t="str">
        <f t="shared" si="2"/>
        <v/>
      </c>
      <c r="J18186" s="1" t="str">
        <f t="shared" si="3"/>
        <v/>
      </c>
      <c r="K18186" s="1" t="str">
        <f t="shared" si="4"/>
        <v/>
      </c>
    </row>
    <row r="18187">
      <c r="F18187" s="1" t="str">
        <f t="shared" si="1"/>
        <v/>
      </c>
      <c r="G18187" s="1" t="str">
        <f t="shared" si="2"/>
        <v/>
      </c>
      <c r="J18187" s="1" t="str">
        <f t="shared" si="3"/>
        <v/>
      </c>
      <c r="K18187" s="1" t="str">
        <f t="shared" si="4"/>
        <v/>
      </c>
    </row>
    <row r="18188">
      <c r="F18188" s="1" t="str">
        <f t="shared" si="1"/>
        <v/>
      </c>
      <c r="G18188" s="1" t="str">
        <f t="shared" si="2"/>
        <v/>
      </c>
      <c r="J18188" s="1" t="str">
        <f t="shared" si="3"/>
        <v/>
      </c>
      <c r="K18188" s="1" t="str">
        <f t="shared" si="4"/>
        <v/>
      </c>
    </row>
    <row r="18189">
      <c r="F18189" s="1" t="str">
        <f t="shared" si="1"/>
        <v/>
      </c>
      <c r="G18189" s="1" t="str">
        <f t="shared" si="2"/>
        <v/>
      </c>
      <c r="J18189" s="1" t="str">
        <f t="shared" si="3"/>
        <v/>
      </c>
      <c r="K18189" s="1" t="str">
        <f t="shared" si="4"/>
        <v/>
      </c>
    </row>
    <row r="18190">
      <c r="F18190" s="1" t="str">
        <f t="shared" si="1"/>
        <v/>
      </c>
      <c r="G18190" s="1" t="str">
        <f t="shared" si="2"/>
        <v/>
      </c>
      <c r="J18190" s="1" t="str">
        <f t="shared" si="3"/>
        <v/>
      </c>
      <c r="K18190" s="1" t="str">
        <f t="shared" si="4"/>
        <v/>
      </c>
    </row>
    <row r="18191">
      <c r="F18191" s="1" t="str">
        <f t="shared" si="1"/>
        <v/>
      </c>
      <c r="G18191" s="1" t="str">
        <f t="shared" si="2"/>
        <v/>
      </c>
      <c r="J18191" s="1" t="str">
        <f t="shared" si="3"/>
        <v/>
      </c>
      <c r="K18191" s="1" t="str">
        <f t="shared" si="4"/>
        <v/>
      </c>
    </row>
    <row r="18192">
      <c r="F18192" s="1" t="str">
        <f t="shared" si="1"/>
        <v/>
      </c>
      <c r="G18192" s="1" t="str">
        <f t="shared" si="2"/>
        <v/>
      </c>
      <c r="J18192" s="1" t="str">
        <f t="shared" si="3"/>
        <v/>
      </c>
      <c r="K18192" s="1" t="str">
        <f t="shared" si="4"/>
        <v/>
      </c>
    </row>
    <row r="18193">
      <c r="F18193" s="1" t="str">
        <f t="shared" si="1"/>
        <v/>
      </c>
      <c r="G18193" s="1" t="str">
        <f t="shared" si="2"/>
        <v/>
      </c>
      <c r="J18193" s="1" t="str">
        <f t="shared" si="3"/>
        <v/>
      </c>
      <c r="K18193" s="1" t="str">
        <f t="shared" si="4"/>
        <v/>
      </c>
    </row>
    <row r="18194">
      <c r="F18194" s="1" t="str">
        <f t="shared" si="1"/>
        <v/>
      </c>
      <c r="G18194" s="1" t="str">
        <f t="shared" si="2"/>
        <v/>
      </c>
      <c r="J18194" s="1" t="str">
        <f t="shared" si="3"/>
        <v/>
      </c>
      <c r="K18194" s="1" t="str">
        <f t="shared" si="4"/>
        <v/>
      </c>
    </row>
    <row r="18195">
      <c r="F18195" s="1" t="str">
        <f t="shared" si="1"/>
        <v/>
      </c>
      <c r="G18195" s="1" t="str">
        <f t="shared" si="2"/>
        <v/>
      </c>
      <c r="J18195" s="1" t="str">
        <f t="shared" si="3"/>
        <v/>
      </c>
      <c r="K18195" s="1" t="str">
        <f t="shared" si="4"/>
        <v/>
      </c>
    </row>
    <row r="18196">
      <c r="F18196" s="1" t="str">
        <f t="shared" si="1"/>
        <v/>
      </c>
      <c r="G18196" s="1" t="str">
        <f t="shared" si="2"/>
        <v/>
      </c>
      <c r="J18196" s="1" t="str">
        <f t="shared" si="3"/>
        <v/>
      </c>
      <c r="K18196" s="1" t="str">
        <f t="shared" si="4"/>
        <v/>
      </c>
    </row>
    <row r="18197">
      <c r="F18197" s="1" t="str">
        <f t="shared" si="1"/>
        <v/>
      </c>
      <c r="G18197" s="1" t="str">
        <f t="shared" si="2"/>
        <v/>
      </c>
      <c r="J18197" s="1" t="str">
        <f t="shared" si="3"/>
        <v/>
      </c>
      <c r="K18197" s="1" t="str">
        <f t="shared" si="4"/>
        <v/>
      </c>
    </row>
    <row r="18198">
      <c r="F18198" s="1" t="str">
        <f t="shared" si="1"/>
        <v/>
      </c>
      <c r="G18198" s="1" t="str">
        <f t="shared" si="2"/>
        <v/>
      </c>
      <c r="J18198" s="1" t="str">
        <f t="shared" si="3"/>
        <v/>
      </c>
      <c r="K18198" s="1" t="str">
        <f t="shared" si="4"/>
        <v/>
      </c>
    </row>
    <row r="18199">
      <c r="F18199" s="1" t="str">
        <f t="shared" si="1"/>
        <v/>
      </c>
      <c r="G18199" s="1" t="str">
        <f t="shared" si="2"/>
        <v/>
      </c>
      <c r="J18199" s="1" t="str">
        <f t="shared" si="3"/>
        <v/>
      </c>
      <c r="K18199" s="1" t="str">
        <f t="shared" si="4"/>
        <v/>
      </c>
    </row>
    <row r="18200">
      <c r="F18200" s="1" t="str">
        <f t="shared" si="1"/>
        <v/>
      </c>
      <c r="G18200" s="1" t="str">
        <f t="shared" si="2"/>
        <v/>
      </c>
      <c r="J18200" s="1" t="str">
        <f t="shared" si="3"/>
        <v/>
      </c>
      <c r="K18200" s="1" t="str">
        <f t="shared" si="4"/>
        <v/>
      </c>
    </row>
    <row r="18201">
      <c r="F18201" s="1" t="str">
        <f t="shared" si="1"/>
        <v/>
      </c>
      <c r="G18201" s="1" t="str">
        <f t="shared" si="2"/>
        <v/>
      </c>
      <c r="J18201" s="1" t="str">
        <f t="shared" si="3"/>
        <v/>
      </c>
      <c r="K18201" s="1" t="str">
        <f t="shared" si="4"/>
        <v/>
      </c>
    </row>
    <row r="18202">
      <c r="F18202" s="1" t="str">
        <f t="shared" si="1"/>
        <v/>
      </c>
      <c r="G18202" s="1" t="str">
        <f t="shared" si="2"/>
        <v/>
      </c>
      <c r="J18202" s="1" t="str">
        <f t="shared" si="3"/>
        <v/>
      </c>
      <c r="K18202" s="1" t="str">
        <f t="shared" si="4"/>
        <v/>
      </c>
    </row>
    <row r="18203">
      <c r="F18203" s="1" t="str">
        <f t="shared" si="1"/>
        <v/>
      </c>
      <c r="G18203" s="1" t="str">
        <f t="shared" si="2"/>
        <v/>
      </c>
      <c r="J18203" s="1" t="str">
        <f t="shared" si="3"/>
        <v/>
      </c>
      <c r="K18203" s="1" t="str">
        <f t="shared" si="4"/>
        <v/>
      </c>
    </row>
    <row r="18204">
      <c r="F18204" s="1" t="str">
        <f t="shared" si="1"/>
        <v/>
      </c>
      <c r="G18204" s="1" t="str">
        <f t="shared" si="2"/>
        <v/>
      </c>
      <c r="J18204" s="1" t="str">
        <f t="shared" si="3"/>
        <v/>
      </c>
      <c r="K18204" s="1" t="str">
        <f t="shared" si="4"/>
        <v/>
      </c>
    </row>
    <row r="18205">
      <c r="F18205" s="1" t="str">
        <f t="shared" si="1"/>
        <v/>
      </c>
      <c r="G18205" s="1" t="str">
        <f t="shared" si="2"/>
        <v/>
      </c>
      <c r="J18205" s="1" t="str">
        <f t="shared" si="3"/>
        <v/>
      </c>
      <c r="K18205" s="1" t="str">
        <f t="shared" si="4"/>
        <v/>
      </c>
    </row>
    <row r="18206">
      <c r="F18206" s="1" t="str">
        <f t="shared" si="1"/>
        <v/>
      </c>
      <c r="G18206" s="1" t="str">
        <f t="shared" si="2"/>
        <v/>
      </c>
      <c r="J18206" s="1" t="str">
        <f t="shared" si="3"/>
        <v/>
      </c>
      <c r="K18206" s="1" t="str">
        <f t="shared" si="4"/>
        <v/>
      </c>
    </row>
    <row r="18207">
      <c r="F18207" s="1" t="str">
        <f t="shared" si="1"/>
        <v/>
      </c>
      <c r="G18207" s="1" t="str">
        <f t="shared" si="2"/>
        <v/>
      </c>
      <c r="J18207" s="1" t="str">
        <f t="shared" si="3"/>
        <v/>
      </c>
      <c r="K18207" s="1" t="str">
        <f t="shared" si="4"/>
        <v/>
      </c>
    </row>
    <row r="18208">
      <c r="F18208" s="1" t="str">
        <f t="shared" si="1"/>
        <v/>
      </c>
      <c r="G18208" s="1" t="str">
        <f t="shared" si="2"/>
        <v/>
      </c>
      <c r="J18208" s="1" t="str">
        <f t="shared" si="3"/>
        <v/>
      </c>
      <c r="K18208" s="1" t="str">
        <f t="shared" si="4"/>
        <v/>
      </c>
    </row>
    <row r="18209">
      <c r="F18209" s="1" t="str">
        <f t="shared" si="1"/>
        <v/>
      </c>
      <c r="G18209" s="1" t="str">
        <f t="shared" si="2"/>
        <v/>
      </c>
      <c r="J18209" s="1" t="str">
        <f t="shared" si="3"/>
        <v/>
      </c>
      <c r="K18209" s="1" t="str">
        <f t="shared" si="4"/>
        <v/>
      </c>
    </row>
    <row r="18210">
      <c r="F18210" s="1" t="str">
        <f t="shared" si="1"/>
        <v/>
      </c>
      <c r="G18210" s="1" t="str">
        <f t="shared" si="2"/>
        <v/>
      </c>
      <c r="J18210" s="1" t="str">
        <f t="shared" si="3"/>
        <v/>
      </c>
      <c r="K18210" s="1" t="str">
        <f t="shared" si="4"/>
        <v/>
      </c>
    </row>
    <row r="18211">
      <c r="F18211" s="1" t="str">
        <f t="shared" si="1"/>
        <v/>
      </c>
      <c r="G18211" s="1" t="str">
        <f t="shared" si="2"/>
        <v/>
      </c>
      <c r="J18211" s="1" t="str">
        <f t="shared" si="3"/>
        <v/>
      </c>
      <c r="K18211" s="1" t="str">
        <f t="shared" si="4"/>
        <v/>
      </c>
    </row>
    <row r="18212">
      <c r="F18212" s="1" t="str">
        <f t="shared" si="1"/>
        <v/>
      </c>
      <c r="G18212" s="1" t="str">
        <f t="shared" si="2"/>
        <v/>
      </c>
      <c r="J18212" s="1" t="str">
        <f t="shared" si="3"/>
        <v/>
      </c>
      <c r="K18212" s="1" t="str">
        <f t="shared" si="4"/>
        <v/>
      </c>
    </row>
    <row r="18213">
      <c r="F18213" s="1" t="str">
        <f t="shared" si="1"/>
        <v/>
      </c>
      <c r="G18213" s="1" t="str">
        <f t="shared" si="2"/>
        <v/>
      </c>
      <c r="J18213" s="1" t="str">
        <f t="shared" si="3"/>
        <v/>
      </c>
      <c r="K18213" s="1" t="str">
        <f t="shared" si="4"/>
        <v/>
      </c>
    </row>
    <row r="18214">
      <c r="F18214" s="1" t="str">
        <f t="shared" si="1"/>
        <v/>
      </c>
      <c r="G18214" s="1" t="str">
        <f t="shared" si="2"/>
        <v/>
      </c>
      <c r="J18214" s="1" t="str">
        <f t="shared" si="3"/>
        <v/>
      </c>
      <c r="K18214" s="1" t="str">
        <f t="shared" si="4"/>
        <v/>
      </c>
    </row>
    <row r="18215">
      <c r="F18215" s="1" t="str">
        <f t="shared" si="1"/>
        <v/>
      </c>
      <c r="G18215" s="1" t="str">
        <f t="shared" si="2"/>
        <v/>
      </c>
      <c r="J18215" s="1" t="str">
        <f t="shared" si="3"/>
        <v/>
      </c>
      <c r="K18215" s="1" t="str">
        <f t="shared" si="4"/>
        <v/>
      </c>
    </row>
    <row r="18216">
      <c r="F18216" s="1" t="str">
        <f t="shared" si="1"/>
        <v/>
      </c>
      <c r="G18216" s="1" t="str">
        <f t="shared" si="2"/>
        <v/>
      </c>
      <c r="J18216" s="1" t="str">
        <f t="shared" si="3"/>
        <v/>
      </c>
      <c r="K18216" s="1" t="str">
        <f t="shared" si="4"/>
        <v/>
      </c>
    </row>
    <row r="18217">
      <c r="F18217" s="1" t="str">
        <f t="shared" si="1"/>
        <v/>
      </c>
      <c r="G18217" s="1" t="str">
        <f t="shared" si="2"/>
        <v/>
      </c>
      <c r="J18217" s="1" t="str">
        <f t="shared" si="3"/>
        <v/>
      </c>
      <c r="K18217" s="1" t="str">
        <f t="shared" si="4"/>
        <v/>
      </c>
    </row>
    <row r="18218">
      <c r="F18218" s="1" t="str">
        <f t="shared" si="1"/>
        <v/>
      </c>
      <c r="G18218" s="1" t="str">
        <f t="shared" si="2"/>
        <v/>
      </c>
      <c r="J18218" s="1" t="str">
        <f t="shared" si="3"/>
        <v/>
      </c>
      <c r="K18218" s="1" t="str">
        <f t="shared" si="4"/>
        <v/>
      </c>
    </row>
    <row r="18219">
      <c r="F18219" s="1" t="str">
        <f t="shared" si="1"/>
        <v/>
      </c>
      <c r="G18219" s="1" t="str">
        <f t="shared" si="2"/>
        <v/>
      </c>
      <c r="J18219" s="1" t="str">
        <f t="shared" si="3"/>
        <v/>
      </c>
      <c r="K18219" s="1" t="str">
        <f t="shared" si="4"/>
        <v/>
      </c>
    </row>
    <row r="18220">
      <c r="F18220" s="1" t="str">
        <f t="shared" si="1"/>
        <v/>
      </c>
      <c r="G18220" s="1" t="str">
        <f t="shared" si="2"/>
        <v/>
      </c>
      <c r="J18220" s="1" t="str">
        <f t="shared" si="3"/>
        <v/>
      </c>
      <c r="K18220" s="1" t="str">
        <f t="shared" si="4"/>
        <v/>
      </c>
    </row>
    <row r="18221">
      <c r="F18221" s="1" t="str">
        <f t="shared" si="1"/>
        <v/>
      </c>
      <c r="G18221" s="1" t="str">
        <f t="shared" si="2"/>
        <v/>
      </c>
      <c r="J18221" s="1" t="str">
        <f t="shared" si="3"/>
        <v/>
      </c>
      <c r="K18221" s="1" t="str">
        <f t="shared" si="4"/>
        <v/>
      </c>
    </row>
    <row r="18222">
      <c r="F18222" s="1" t="str">
        <f t="shared" si="1"/>
        <v/>
      </c>
      <c r="G18222" s="1" t="str">
        <f t="shared" si="2"/>
        <v/>
      </c>
      <c r="J18222" s="1" t="str">
        <f t="shared" si="3"/>
        <v/>
      </c>
      <c r="K18222" s="1" t="str">
        <f t="shared" si="4"/>
        <v/>
      </c>
    </row>
    <row r="18223">
      <c r="F18223" s="1" t="str">
        <f t="shared" si="1"/>
        <v/>
      </c>
      <c r="G18223" s="1" t="str">
        <f t="shared" si="2"/>
        <v/>
      </c>
      <c r="J18223" s="1" t="str">
        <f t="shared" si="3"/>
        <v/>
      </c>
      <c r="K18223" s="1" t="str">
        <f t="shared" si="4"/>
        <v/>
      </c>
    </row>
    <row r="18224">
      <c r="F18224" s="1" t="str">
        <f t="shared" si="1"/>
        <v/>
      </c>
      <c r="G18224" s="1" t="str">
        <f t="shared" si="2"/>
        <v/>
      </c>
      <c r="J18224" s="1" t="str">
        <f t="shared" si="3"/>
        <v/>
      </c>
      <c r="K18224" s="1" t="str">
        <f t="shared" si="4"/>
        <v/>
      </c>
    </row>
    <row r="18225">
      <c r="F18225" s="1" t="str">
        <f t="shared" si="1"/>
        <v/>
      </c>
      <c r="G18225" s="1" t="str">
        <f t="shared" si="2"/>
        <v/>
      </c>
      <c r="J18225" s="1" t="str">
        <f t="shared" si="3"/>
        <v/>
      </c>
      <c r="K18225" s="1" t="str">
        <f t="shared" si="4"/>
        <v/>
      </c>
    </row>
    <row r="18226">
      <c r="F18226" s="1" t="str">
        <f t="shared" si="1"/>
        <v/>
      </c>
      <c r="G18226" s="1" t="str">
        <f t="shared" si="2"/>
        <v/>
      </c>
      <c r="J18226" s="1" t="str">
        <f t="shared" si="3"/>
        <v/>
      </c>
      <c r="K18226" s="1" t="str">
        <f t="shared" si="4"/>
        <v/>
      </c>
    </row>
    <row r="18227">
      <c r="F18227" s="1" t="str">
        <f t="shared" si="1"/>
        <v/>
      </c>
      <c r="G18227" s="1" t="str">
        <f t="shared" si="2"/>
        <v/>
      </c>
      <c r="J18227" s="1" t="str">
        <f t="shared" si="3"/>
        <v/>
      </c>
      <c r="K18227" s="1" t="str">
        <f t="shared" si="4"/>
        <v/>
      </c>
    </row>
    <row r="18228">
      <c r="F18228" s="1" t="str">
        <f t="shared" si="1"/>
        <v/>
      </c>
      <c r="G18228" s="1" t="str">
        <f t="shared" si="2"/>
        <v/>
      </c>
      <c r="J18228" s="1" t="str">
        <f t="shared" si="3"/>
        <v/>
      </c>
      <c r="K18228" s="1" t="str">
        <f t="shared" si="4"/>
        <v/>
      </c>
    </row>
    <row r="18229">
      <c r="F18229" s="1" t="str">
        <f t="shared" si="1"/>
        <v/>
      </c>
      <c r="G18229" s="1" t="str">
        <f t="shared" si="2"/>
        <v/>
      </c>
      <c r="J18229" s="1" t="str">
        <f t="shared" si="3"/>
        <v/>
      </c>
      <c r="K18229" s="1" t="str">
        <f t="shared" si="4"/>
        <v/>
      </c>
    </row>
    <row r="18230">
      <c r="F18230" s="1" t="str">
        <f t="shared" si="1"/>
        <v/>
      </c>
      <c r="G18230" s="1" t="str">
        <f t="shared" si="2"/>
        <v/>
      </c>
      <c r="J18230" s="1" t="str">
        <f t="shared" si="3"/>
        <v/>
      </c>
      <c r="K18230" s="1" t="str">
        <f t="shared" si="4"/>
        <v/>
      </c>
    </row>
    <row r="18231">
      <c r="F18231" s="1" t="str">
        <f t="shared" si="1"/>
        <v/>
      </c>
      <c r="G18231" s="1" t="str">
        <f t="shared" si="2"/>
        <v/>
      </c>
      <c r="J18231" s="1" t="str">
        <f t="shared" si="3"/>
        <v/>
      </c>
      <c r="K18231" s="1" t="str">
        <f t="shared" si="4"/>
        <v/>
      </c>
    </row>
    <row r="18232">
      <c r="F18232" s="1" t="str">
        <f t="shared" si="1"/>
        <v/>
      </c>
      <c r="G18232" s="1" t="str">
        <f t="shared" si="2"/>
        <v/>
      </c>
      <c r="J18232" s="1" t="str">
        <f t="shared" si="3"/>
        <v/>
      </c>
      <c r="K18232" s="1" t="str">
        <f t="shared" si="4"/>
        <v/>
      </c>
    </row>
    <row r="18233">
      <c r="F18233" s="1" t="str">
        <f t="shared" si="1"/>
        <v/>
      </c>
      <c r="G18233" s="1" t="str">
        <f t="shared" si="2"/>
        <v/>
      </c>
      <c r="J18233" s="1" t="str">
        <f t="shared" si="3"/>
        <v/>
      </c>
      <c r="K18233" s="1" t="str">
        <f t="shared" si="4"/>
        <v/>
      </c>
    </row>
    <row r="18234">
      <c r="F18234" s="1" t="str">
        <f t="shared" si="1"/>
        <v/>
      </c>
      <c r="G18234" s="1" t="str">
        <f t="shared" si="2"/>
        <v/>
      </c>
      <c r="J18234" s="1" t="str">
        <f t="shared" si="3"/>
        <v/>
      </c>
      <c r="K18234" s="1" t="str">
        <f t="shared" si="4"/>
        <v/>
      </c>
    </row>
    <row r="18235">
      <c r="F18235" s="1" t="str">
        <f t="shared" si="1"/>
        <v/>
      </c>
      <c r="G18235" s="1" t="str">
        <f t="shared" si="2"/>
        <v/>
      </c>
      <c r="J18235" s="1" t="str">
        <f t="shared" si="3"/>
        <v/>
      </c>
      <c r="K18235" s="1" t="str">
        <f t="shared" si="4"/>
        <v/>
      </c>
    </row>
    <row r="18236">
      <c r="F18236" s="1" t="str">
        <f t="shared" si="1"/>
        <v/>
      </c>
      <c r="G18236" s="1" t="str">
        <f t="shared" si="2"/>
        <v/>
      </c>
      <c r="J18236" s="1" t="str">
        <f t="shared" si="3"/>
        <v/>
      </c>
      <c r="K18236" s="1" t="str">
        <f t="shared" si="4"/>
        <v/>
      </c>
    </row>
    <row r="18237">
      <c r="F18237" s="1" t="str">
        <f t="shared" si="1"/>
        <v/>
      </c>
      <c r="G18237" s="1" t="str">
        <f t="shared" si="2"/>
        <v/>
      </c>
      <c r="J18237" s="1" t="str">
        <f t="shared" si="3"/>
        <v/>
      </c>
      <c r="K18237" s="1" t="str">
        <f t="shared" si="4"/>
        <v/>
      </c>
    </row>
    <row r="18238">
      <c r="F18238" s="1" t="str">
        <f t="shared" si="1"/>
        <v/>
      </c>
      <c r="G18238" s="1" t="str">
        <f t="shared" si="2"/>
        <v/>
      </c>
      <c r="J18238" s="1" t="str">
        <f t="shared" si="3"/>
        <v/>
      </c>
      <c r="K18238" s="1" t="str">
        <f t="shared" si="4"/>
        <v/>
      </c>
    </row>
    <row r="18239">
      <c r="F18239" s="1" t="str">
        <f t="shared" si="1"/>
        <v/>
      </c>
      <c r="G18239" s="1" t="str">
        <f t="shared" si="2"/>
        <v/>
      </c>
      <c r="J18239" s="1" t="str">
        <f t="shared" si="3"/>
        <v/>
      </c>
      <c r="K18239" s="1" t="str">
        <f t="shared" si="4"/>
        <v/>
      </c>
    </row>
    <row r="18240">
      <c r="F18240" s="1" t="str">
        <f t="shared" si="1"/>
        <v/>
      </c>
      <c r="G18240" s="1" t="str">
        <f t="shared" si="2"/>
        <v/>
      </c>
      <c r="J18240" s="1" t="str">
        <f t="shared" si="3"/>
        <v/>
      </c>
      <c r="K18240" s="1" t="str">
        <f t="shared" si="4"/>
        <v/>
      </c>
    </row>
    <row r="18241">
      <c r="F18241" s="1" t="str">
        <f t="shared" si="1"/>
        <v/>
      </c>
      <c r="G18241" s="1" t="str">
        <f t="shared" si="2"/>
        <v/>
      </c>
      <c r="J18241" s="1" t="str">
        <f t="shared" si="3"/>
        <v/>
      </c>
      <c r="K18241" s="1" t="str">
        <f t="shared" si="4"/>
        <v/>
      </c>
    </row>
    <row r="18242">
      <c r="F18242" s="1" t="str">
        <f t="shared" si="1"/>
        <v/>
      </c>
      <c r="G18242" s="1" t="str">
        <f t="shared" si="2"/>
        <v/>
      </c>
      <c r="J18242" s="1" t="str">
        <f t="shared" si="3"/>
        <v/>
      </c>
      <c r="K18242" s="1" t="str">
        <f t="shared" si="4"/>
        <v/>
      </c>
    </row>
    <row r="18243">
      <c r="F18243" s="1" t="str">
        <f t="shared" si="1"/>
        <v/>
      </c>
      <c r="G18243" s="1" t="str">
        <f t="shared" si="2"/>
        <v/>
      </c>
      <c r="J18243" s="1" t="str">
        <f t="shared" si="3"/>
        <v/>
      </c>
      <c r="K18243" s="1" t="str">
        <f t="shared" si="4"/>
        <v/>
      </c>
    </row>
    <row r="18244">
      <c r="F18244" s="1" t="str">
        <f t="shared" si="1"/>
        <v/>
      </c>
      <c r="G18244" s="1" t="str">
        <f t="shared" si="2"/>
        <v/>
      </c>
      <c r="J18244" s="1" t="str">
        <f t="shared" si="3"/>
        <v/>
      </c>
      <c r="K18244" s="1" t="str">
        <f t="shared" si="4"/>
        <v/>
      </c>
    </row>
    <row r="18245">
      <c r="F18245" s="1" t="str">
        <f t="shared" si="1"/>
        <v/>
      </c>
      <c r="G18245" s="1" t="str">
        <f t="shared" si="2"/>
        <v/>
      </c>
      <c r="J18245" s="1" t="str">
        <f t="shared" si="3"/>
        <v/>
      </c>
      <c r="K18245" s="1" t="str">
        <f t="shared" si="4"/>
        <v/>
      </c>
    </row>
    <row r="18246">
      <c r="F18246" s="1" t="str">
        <f t="shared" si="1"/>
        <v/>
      </c>
      <c r="G18246" s="1" t="str">
        <f t="shared" si="2"/>
        <v/>
      </c>
      <c r="J18246" s="1" t="str">
        <f t="shared" si="3"/>
        <v/>
      </c>
      <c r="K18246" s="1" t="str">
        <f t="shared" si="4"/>
        <v/>
      </c>
    </row>
    <row r="18247">
      <c r="F18247" s="1" t="str">
        <f t="shared" si="1"/>
        <v/>
      </c>
      <c r="G18247" s="1" t="str">
        <f t="shared" si="2"/>
        <v/>
      </c>
      <c r="J18247" s="1" t="str">
        <f t="shared" si="3"/>
        <v/>
      </c>
      <c r="K18247" s="1" t="str">
        <f t="shared" si="4"/>
        <v/>
      </c>
    </row>
    <row r="18248">
      <c r="F18248" s="1" t="str">
        <f t="shared" si="1"/>
        <v/>
      </c>
      <c r="G18248" s="1" t="str">
        <f t="shared" si="2"/>
        <v/>
      </c>
      <c r="J18248" s="1" t="str">
        <f t="shared" si="3"/>
        <v/>
      </c>
      <c r="K18248" s="1" t="str">
        <f t="shared" si="4"/>
        <v/>
      </c>
    </row>
    <row r="18249">
      <c r="F18249" s="1" t="str">
        <f t="shared" si="1"/>
        <v/>
      </c>
      <c r="G18249" s="1" t="str">
        <f t="shared" si="2"/>
        <v/>
      </c>
      <c r="J18249" s="1" t="str">
        <f t="shared" si="3"/>
        <v/>
      </c>
      <c r="K18249" s="1" t="str">
        <f t="shared" si="4"/>
        <v/>
      </c>
    </row>
    <row r="18250">
      <c r="F18250" s="1" t="str">
        <f t="shared" si="1"/>
        <v/>
      </c>
      <c r="G18250" s="1" t="str">
        <f t="shared" si="2"/>
        <v/>
      </c>
      <c r="J18250" s="1" t="str">
        <f t="shared" si="3"/>
        <v/>
      </c>
      <c r="K18250" s="1" t="str">
        <f t="shared" si="4"/>
        <v/>
      </c>
    </row>
    <row r="18251">
      <c r="F18251" s="1" t="str">
        <f t="shared" si="1"/>
        <v/>
      </c>
      <c r="G18251" s="1" t="str">
        <f t="shared" si="2"/>
        <v/>
      </c>
      <c r="J18251" s="1" t="str">
        <f t="shared" si="3"/>
        <v/>
      </c>
      <c r="K18251" s="1" t="str">
        <f t="shared" si="4"/>
        <v/>
      </c>
    </row>
    <row r="18252">
      <c r="F18252" s="1" t="str">
        <f t="shared" si="1"/>
        <v/>
      </c>
      <c r="G18252" s="1" t="str">
        <f t="shared" si="2"/>
        <v/>
      </c>
      <c r="J18252" s="1" t="str">
        <f t="shared" si="3"/>
        <v/>
      </c>
      <c r="K18252" s="1" t="str">
        <f t="shared" si="4"/>
        <v/>
      </c>
    </row>
    <row r="18253">
      <c r="F18253" s="1" t="str">
        <f t="shared" si="1"/>
        <v/>
      </c>
      <c r="G18253" s="1" t="str">
        <f t="shared" si="2"/>
        <v/>
      </c>
      <c r="J18253" s="1" t="str">
        <f t="shared" si="3"/>
        <v/>
      </c>
      <c r="K18253" s="1" t="str">
        <f t="shared" si="4"/>
        <v/>
      </c>
    </row>
    <row r="18254">
      <c r="F18254" s="1" t="str">
        <f t="shared" si="1"/>
        <v/>
      </c>
      <c r="G18254" s="1" t="str">
        <f t="shared" si="2"/>
        <v/>
      </c>
      <c r="J18254" s="1" t="str">
        <f t="shared" si="3"/>
        <v/>
      </c>
      <c r="K18254" s="1" t="str">
        <f t="shared" si="4"/>
        <v/>
      </c>
    </row>
    <row r="18255">
      <c r="F18255" s="1" t="str">
        <f t="shared" si="1"/>
        <v/>
      </c>
      <c r="G18255" s="1" t="str">
        <f t="shared" si="2"/>
        <v/>
      </c>
      <c r="J18255" s="1" t="str">
        <f t="shared" si="3"/>
        <v/>
      </c>
      <c r="K18255" s="1" t="str">
        <f t="shared" si="4"/>
        <v/>
      </c>
    </row>
    <row r="18256">
      <c r="F18256" s="1" t="str">
        <f t="shared" si="1"/>
        <v/>
      </c>
      <c r="G18256" s="1" t="str">
        <f t="shared" si="2"/>
        <v/>
      </c>
      <c r="J18256" s="1" t="str">
        <f t="shared" si="3"/>
        <v/>
      </c>
      <c r="K18256" s="1" t="str">
        <f t="shared" si="4"/>
        <v/>
      </c>
    </row>
    <row r="18257">
      <c r="F18257" s="1" t="str">
        <f t="shared" si="1"/>
        <v/>
      </c>
      <c r="G18257" s="1" t="str">
        <f t="shared" si="2"/>
        <v/>
      </c>
      <c r="J18257" s="1" t="str">
        <f t="shared" si="3"/>
        <v/>
      </c>
      <c r="K18257" s="1" t="str">
        <f t="shared" si="4"/>
        <v/>
      </c>
    </row>
    <row r="18258">
      <c r="F18258" s="1" t="str">
        <f t="shared" si="1"/>
        <v/>
      </c>
      <c r="G18258" s="1" t="str">
        <f t="shared" si="2"/>
        <v/>
      </c>
      <c r="J18258" s="1" t="str">
        <f t="shared" si="3"/>
        <v/>
      </c>
      <c r="K18258" s="1" t="str">
        <f t="shared" si="4"/>
        <v/>
      </c>
    </row>
    <row r="18259">
      <c r="F18259" s="1" t="str">
        <f t="shared" si="1"/>
        <v/>
      </c>
      <c r="G18259" s="1" t="str">
        <f t="shared" si="2"/>
        <v/>
      </c>
      <c r="J18259" s="1" t="str">
        <f t="shared" si="3"/>
        <v/>
      </c>
      <c r="K18259" s="1" t="str">
        <f t="shared" si="4"/>
        <v/>
      </c>
    </row>
    <row r="18260">
      <c r="F18260" s="1" t="str">
        <f t="shared" si="1"/>
        <v/>
      </c>
      <c r="G18260" s="1" t="str">
        <f t="shared" si="2"/>
        <v/>
      </c>
      <c r="J18260" s="1" t="str">
        <f t="shared" si="3"/>
        <v/>
      </c>
      <c r="K18260" s="1" t="str">
        <f t="shared" si="4"/>
        <v/>
      </c>
    </row>
    <row r="18261">
      <c r="F18261" s="1" t="str">
        <f t="shared" si="1"/>
        <v/>
      </c>
      <c r="G18261" s="1" t="str">
        <f t="shared" si="2"/>
        <v/>
      </c>
      <c r="J18261" s="1" t="str">
        <f t="shared" si="3"/>
        <v/>
      </c>
      <c r="K18261" s="1" t="str">
        <f t="shared" si="4"/>
        <v/>
      </c>
    </row>
    <row r="18262">
      <c r="F18262" s="1" t="str">
        <f t="shared" si="1"/>
        <v/>
      </c>
      <c r="G18262" s="1" t="str">
        <f t="shared" si="2"/>
        <v/>
      </c>
      <c r="J18262" s="1" t="str">
        <f t="shared" si="3"/>
        <v/>
      </c>
      <c r="K18262" s="1" t="str">
        <f t="shared" si="4"/>
        <v/>
      </c>
    </row>
    <row r="18263">
      <c r="F18263" s="1" t="str">
        <f t="shared" si="1"/>
        <v/>
      </c>
      <c r="G18263" s="1" t="str">
        <f t="shared" si="2"/>
        <v/>
      </c>
      <c r="J18263" s="1" t="str">
        <f t="shared" si="3"/>
        <v/>
      </c>
      <c r="K18263" s="1" t="str">
        <f t="shared" si="4"/>
        <v/>
      </c>
    </row>
    <row r="18264">
      <c r="F18264" s="1" t="str">
        <f t="shared" si="1"/>
        <v/>
      </c>
      <c r="G18264" s="1" t="str">
        <f t="shared" si="2"/>
        <v/>
      </c>
      <c r="J18264" s="1" t="str">
        <f t="shared" si="3"/>
        <v/>
      </c>
      <c r="K18264" s="1" t="str">
        <f t="shared" si="4"/>
        <v/>
      </c>
    </row>
    <row r="18265">
      <c r="F18265" s="1" t="str">
        <f t="shared" si="1"/>
        <v/>
      </c>
      <c r="G18265" s="1" t="str">
        <f t="shared" si="2"/>
        <v/>
      </c>
      <c r="J18265" s="1" t="str">
        <f t="shared" si="3"/>
        <v/>
      </c>
      <c r="K18265" s="1" t="str">
        <f t="shared" si="4"/>
        <v/>
      </c>
    </row>
    <row r="18266">
      <c r="F18266" s="1" t="str">
        <f t="shared" si="1"/>
        <v/>
      </c>
      <c r="G18266" s="1" t="str">
        <f t="shared" si="2"/>
        <v/>
      </c>
      <c r="J18266" s="1" t="str">
        <f t="shared" si="3"/>
        <v/>
      </c>
      <c r="K18266" s="1" t="str">
        <f t="shared" si="4"/>
        <v/>
      </c>
    </row>
    <row r="18267">
      <c r="F18267" s="1" t="str">
        <f t="shared" si="1"/>
        <v/>
      </c>
      <c r="G18267" s="1" t="str">
        <f t="shared" si="2"/>
        <v/>
      </c>
      <c r="J18267" s="1" t="str">
        <f t="shared" si="3"/>
        <v/>
      </c>
      <c r="K18267" s="1" t="str">
        <f t="shared" si="4"/>
        <v/>
      </c>
    </row>
    <row r="18268">
      <c r="F18268" s="1" t="str">
        <f t="shared" si="1"/>
        <v/>
      </c>
      <c r="G18268" s="1" t="str">
        <f t="shared" si="2"/>
        <v/>
      </c>
      <c r="J18268" s="1" t="str">
        <f t="shared" si="3"/>
        <v/>
      </c>
      <c r="K18268" s="1" t="str">
        <f t="shared" si="4"/>
        <v/>
      </c>
    </row>
    <row r="18269">
      <c r="F18269" s="1" t="str">
        <f t="shared" si="1"/>
        <v/>
      </c>
      <c r="G18269" s="1" t="str">
        <f t="shared" si="2"/>
        <v/>
      </c>
      <c r="J18269" s="1" t="str">
        <f t="shared" si="3"/>
        <v/>
      </c>
      <c r="K18269" s="1" t="str">
        <f t="shared" si="4"/>
        <v/>
      </c>
    </row>
    <row r="18270">
      <c r="F18270" s="1" t="str">
        <f t="shared" si="1"/>
        <v/>
      </c>
      <c r="G18270" s="1" t="str">
        <f t="shared" si="2"/>
        <v/>
      </c>
      <c r="J18270" s="1" t="str">
        <f t="shared" si="3"/>
        <v/>
      </c>
      <c r="K18270" s="1" t="str">
        <f t="shared" si="4"/>
        <v/>
      </c>
    </row>
    <row r="18271">
      <c r="F18271" s="1" t="str">
        <f t="shared" si="1"/>
        <v/>
      </c>
      <c r="G18271" s="1" t="str">
        <f t="shared" si="2"/>
        <v/>
      </c>
      <c r="J18271" s="1" t="str">
        <f t="shared" si="3"/>
        <v/>
      </c>
      <c r="K18271" s="1" t="str">
        <f t="shared" si="4"/>
        <v/>
      </c>
    </row>
    <row r="18272">
      <c r="F18272" s="1" t="str">
        <f t="shared" si="1"/>
        <v/>
      </c>
      <c r="G18272" s="1" t="str">
        <f t="shared" si="2"/>
        <v/>
      </c>
      <c r="J18272" s="1" t="str">
        <f t="shared" si="3"/>
        <v/>
      </c>
      <c r="K18272" s="1" t="str">
        <f t="shared" si="4"/>
        <v/>
      </c>
    </row>
    <row r="18273">
      <c r="F18273" s="1" t="str">
        <f t="shared" si="1"/>
        <v/>
      </c>
      <c r="G18273" s="1" t="str">
        <f t="shared" si="2"/>
        <v/>
      </c>
      <c r="J18273" s="1" t="str">
        <f t="shared" si="3"/>
        <v/>
      </c>
      <c r="K18273" s="1" t="str">
        <f t="shared" si="4"/>
        <v/>
      </c>
    </row>
    <row r="18274">
      <c r="F18274" s="1" t="str">
        <f t="shared" si="1"/>
        <v/>
      </c>
      <c r="G18274" s="1" t="str">
        <f t="shared" si="2"/>
        <v/>
      </c>
      <c r="J18274" s="1" t="str">
        <f t="shared" si="3"/>
        <v/>
      </c>
      <c r="K18274" s="1" t="str">
        <f t="shared" si="4"/>
        <v/>
      </c>
    </row>
    <row r="18275">
      <c r="F18275" s="1" t="str">
        <f t="shared" si="1"/>
        <v/>
      </c>
      <c r="G18275" s="1" t="str">
        <f t="shared" si="2"/>
        <v/>
      </c>
      <c r="J18275" s="1" t="str">
        <f t="shared" si="3"/>
        <v/>
      </c>
      <c r="K18275" s="1" t="str">
        <f t="shared" si="4"/>
        <v/>
      </c>
    </row>
    <row r="18276">
      <c r="F18276" s="1" t="str">
        <f t="shared" si="1"/>
        <v/>
      </c>
      <c r="G18276" s="1" t="str">
        <f t="shared" si="2"/>
        <v/>
      </c>
      <c r="J18276" s="1" t="str">
        <f t="shared" si="3"/>
        <v/>
      </c>
      <c r="K18276" s="1" t="str">
        <f t="shared" si="4"/>
        <v/>
      </c>
    </row>
    <row r="18277">
      <c r="F18277" s="1" t="str">
        <f t="shared" si="1"/>
        <v/>
      </c>
      <c r="G18277" s="1" t="str">
        <f t="shared" si="2"/>
        <v/>
      </c>
      <c r="J18277" s="1" t="str">
        <f t="shared" si="3"/>
        <v/>
      </c>
      <c r="K18277" s="1" t="str">
        <f t="shared" si="4"/>
        <v/>
      </c>
    </row>
    <row r="18278">
      <c r="F18278" s="1" t="str">
        <f t="shared" si="1"/>
        <v/>
      </c>
      <c r="G18278" s="1" t="str">
        <f t="shared" si="2"/>
        <v/>
      </c>
      <c r="J18278" s="1" t="str">
        <f t="shared" si="3"/>
        <v/>
      </c>
      <c r="K18278" s="1" t="str">
        <f t="shared" si="4"/>
        <v/>
      </c>
    </row>
    <row r="18279">
      <c r="F18279" s="1" t="str">
        <f t="shared" si="1"/>
        <v/>
      </c>
      <c r="G18279" s="1" t="str">
        <f t="shared" si="2"/>
        <v/>
      </c>
      <c r="J18279" s="1" t="str">
        <f t="shared" si="3"/>
        <v/>
      </c>
      <c r="K18279" s="1" t="str">
        <f t="shared" si="4"/>
        <v/>
      </c>
    </row>
    <row r="18280">
      <c r="F18280" s="1" t="str">
        <f t="shared" si="1"/>
        <v/>
      </c>
      <c r="G18280" s="1" t="str">
        <f t="shared" si="2"/>
        <v/>
      </c>
      <c r="J18280" s="1" t="str">
        <f t="shared" si="3"/>
        <v/>
      </c>
      <c r="K18280" s="1" t="str">
        <f t="shared" si="4"/>
        <v/>
      </c>
    </row>
    <row r="18281">
      <c r="F18281" s="1" t="str">
        <f t="shared" si="1"/>
        <v/>
      </c>
      <c r="G18281" s="1" t="str">
        <f t="shared" si="2"/>
        <v/>
      </c>
      <c r="J18281" s="1" t="str">
        <f t="shared" si="3"/>
        <v/>
      </c>
      <c r="K18281" s="1" t="str">
        <f t="shared" si="4"/>
        <v/>
      </c>
    </row>
    <row r="18282">
      <c r="F18282" s="1" t="str">
        <f t="shared" si="1"/>
        <v/>
      </c>
      <c r="G18282" s="1" t="str">
        <f t="shared" si="2"/>
        <v/>
      </c>
      <c r="J18282" s="1" t="str">
        <f t="shared" si="3"/>
        <v/>
      </c>
      <c r="K18282" s="1" t="str">
        <f t="shared" si="4"/>
        <v/>
      </c>
    </row>
    <row r="18283">
      <c r="F18283" s="1" t="str">
        <f t="shared" si="1"/>
        <v/>
      </c>
      <c r="G18283" s="1" t="str">
        <f t="shared" si="2"/>
        <v/>
      </c>
      <c r="J18283" s="1" t="str">
        <f t="shared" si="3"/>
        <v/>
      </c>
      <c r="K18283" s="1" t="str">
        <f t="shared" si="4"/>
        <v/>
      </c>
    </row>
    <row r="18284">
      <c r="F18284" s="1" t="str">
        <f t="shared" si="1"/>
        <v/>
      </c>
      <c r="G18284" s="1" t="str">
        <f t="shared" si="2"/>
        <v/>
      </c>
      <c r="J18284" s="1" t="str">
        <f t="shared" si="3"/>
        <v/>
      </c>
      <c r="K18284" s="1" t="str">
        <f t="shared" si="4"/>
        <v/>
      </c>
    </row>
    <row r="18285">
      <c r="F18285" s="1" t="str">
        <f t="shared" si="1"/>
        <v/>
      </c>
      <c r="G18285" s="1" t="str">
        <f t="shared" si="2"/>
        <v/>
      </c>
      <c r="J18285" s="1" t="str">
        <f t="shared" si="3"/>
        <v/>
      </c>
      <c r="K18285" s="1" t="str">
        <f t="shared" si="4"/>
        <v/>
      </c>
    </row>
    <row r="18286">
      <c r="F18286" s="1" t="str">
        <f t="shared" si="1"/>
        <v/>
      </c>
      <c r="G18286" s="1" t="str">
        <f t="shared" si="2"/>
        <v/>
      </c>
      <c r="J18286" s="1" t="str">
        <f t="shared" si="3"/>
        <v/>
      </c>
      <c r="K18286" s="1" t="str">
        <f t="shared" si="4"/>
        <v/>
      </c>
    </row>
    <row r="18287">
      <c r="F18287" s="1" t="str">
        <f t="shared" si="1"/>
        <v/>
      </c>
      <c r="G18287" s="1" t="str">
        <f t="shared" si="2"/>
        <v/>
      </c>
      <c r="J18287" s="1" t="str">
        <f t="shared" si="3"/>
        <v/>
      </c>
      <c r="K18287" s="1" t="str">
        <f t="shared" si="4"/>
        <v/>
      </c>
    </row>
    <row r="18288">
      <c r="F18288" s="1" t="str">
        <f t="shared" si="1"/>
        <v/>
      </c>
      <c r="G18288" s="1" t="str">
        <f t="shared" si="2"/>
        <v/>
      </c>
      <c r="J18288" s="1" t="str">
        <f t="shared" si="3"/>
        <v/>
      </c>
      <c r="K18288" s="1" t="str">
        <f t="shared" si="4"/>
        <v/>
      </c>
    </row>
    <row r="18289">
      <c r="F18289" s="1" t="str">
        <f t="shared" si="1"/>
        <v/>
      </c>
      <c r="G18289" s="1" t="str">
        <f t="shared" si="2"/>
        <v/>
      </c>
      <c r="J18289" s="1" t="str">
        <f t="shared" si="3"/>
        <v/>
      </c>
      <c r="K18289" s="1" t="str">
        <f t="shared" si="4"/>
        <v/>
      </c>
    </row>
    <row r="18290">
      <c r="F18290" s="1" t="str">
        <f t="shared" si="1"/>
        <v/>
      </c>
      <c r="G18290" s="1" t="str">
        <f t="shared" si="2"/>
        <v/>
      </c>
      <c r="J18290" s="1" t="str">
        <f t="shared" si="3"/>
        <v/>
      </c>
      <c r="K18290" s="1" t="str">
        <f t="shared" si="4"/>
        <v/>
      </c>
    </row>
    <row r="18291">
      <c r="F18291" s="1" t="str">
        <f t="shared" si="1"/>
        <v/>
      </c>
      <c r="G18291" s="1" t="str">
        <f t="shared" si="2"/>
        <v/>
      </c>
      <c r="J18291" s="1" t="str">
        <f t="shared" si="3"/>
        <v/>
      </c>
      <c r="K18291" s="1" t="str">
        <f t="shared" si="4"/>
        <v/>
      </c>
    </row>
    <row r="18292">
      <c r="F18292" s="1" t="str">
        <f t="shared" si="1"/>
        <v/>
      </c>
      <c r="G18292" s="1" t="str">
        <f t="shared" si="2"/>
        <v/>
      </c>
      <c r="J18292" s="1" t="str">
        <f t="shared" si="3"/>
        <v/>
      </c>
      <c r="K18292" s="1" t="str">
        <f t="shared" si="4"/>
        <v/>
      </c>
    </row>
    <row r="18293">
      <c r="F18293" s="1" t="str">
        <f t="shared" si="1"/>
        <v/>
      </c>
      <c r="G18293" s="1" t="str">
        <f t="shared" si="2"/>
        <v/>
      </c>
      <c r="J18293" s="1" t="str">
        <f t="shared" si="3"/>
        <v/>
      </c>
      <c r="K18293" s="1" t="str">
        <f t="shared" si="4"/>
        <v/>
      </c>
    </row>
    <row r="18294">
      <c r="F18294" s="1" t="str">
        <f t="shared" si="1"/>
        <v/>
      </c>
      <c r="G18294" s="1" t="str">
        <f t="shared" si="2"/>
        <v/>
      </c>
      <c r="J18294" s="1" t="str">
        <f t="shared" si="3"/>
        <v/>
      </c>
      <c r="K18294" s="1" t="str">
        <f t="shared" si="4"/>
        <v/>
      </c>
    </row>
    <row r="18295">
      <c r="F18295" s="1" t="str">
        <f t="shared" si="1"/>
        <v/>
      </c>
      <c r="G18295" s="1" t="str">
        <f t="shared" si="2"/>
        <v/>
      </c>
      <c r="J18295" s="1" t="str">
        <f t="shared" si="3"/>
        <v/>
      </c>
      <c r="K18295" s="1" t="str">
        <f t="shared" si="4"/>
        <v/>
      </c>
    </row>
    <row r="18296">
      <c r="F18296" s="1" t="str">
        <f t="shared" si="1"/>
        <v/>
      </c>
      <c r="G18296" s="1" t="str">
        <f t="shared" si="2"/>
        <v/>
      </c>
      <c r="J18296" s="1" t="str">
        <f t="shared" si="3"/>
        <v/>
      </c>
      <c r="K18296" s="1" t="str">
        <f t="shared" si="4"/>
        <v/>
      </c>
    </row>
    <row r="18297">
      <c r="F18297" s="1" t="str">
        <f t="shared" si="1"/>
        <v/>
      </c>
      <c r="G18297" s="1" t="str">
        <f t="shared" si="2"/>
        <v/>
      </c>
      <c r="J18297" s="1" t="str">
        <f t="shared" si="3"/>
        <v/>
      </c>
      <c r="K18297" s="1" t="str">
        <f t="shared" si="4"/>
        <v/>
      </c>
    </row>
    <row r="18298">
      <c r="F18298" s="1" t="str">
        <f t="shared" si="1"/>
        <v/>
      </c>
      <c r="G18298" s="1" t="str">
        <f t="shared" si="2"/>
        <v/>
      </c>
      <c r="J18298" s="1" t="str">
        <f t="shared" si="3"/>
        <v/>
      </c>
      <c r="K18298" s="1" t="str">
        <f t="shared" si="4"/>
        <v/>
      </c>
    </row>
    <row r="18299">
      <c r="F18299" s="1" t="str">
        <f t="shared" si="1"/>
        <v/>
      </c>
      <c r="G18299" s="1" t="str">
        <f t="shared" si="2"/>
        <v/>
      </c>
      <c r="J18299" s="1" t="str">
        <f t="shared" si="3"/>
        <v/>
      </c>
      <c r="K18299" s="1" t="str">
        <f t="shared" si="4"/>
        <v/>
      </c>
    </row>
    <row r="18300">
      <c r="F18300" s="1" t="str">
        <f t="shared" si="1"/>
        <v/>
      </c>
      <c r="G18300" s="1" t="str">
        <f t="shared" si="2"/>
        <v/>
      </c>
      <c r="J18300" s="1" t="str">
        <f t="shared" si="3"/>
        <v/>
      </c>
      <c r="K18300" s="1" t="str">
        <f t="shared" si="4"/>
        <v/>
      </c>
    </row>
    <row r="18301">
      <c r="F18301" s="1" t="str">
        <f t="shared" si="1"/>
        <v/>
      </c>
      <c r="G18301" s="1" t="str">
        <f t="shared" si="2"/>
        <v/>
      </c>
      <c r="J18301" s="1" t="str">
        <f t="shared" si="3"/>
        <v/>
      </c>
      <c r="K18301" s="1" t="str">
        <f t="shared" si="4"/>
        <v/>
      </c>
    </row>
    <row r="18302">
      <c r="F18302" s="1" t="str">
        <f t="shared" si="1"/>
        <v/>
      </c>
      <c r="G18302" s="1" t="str">
        <f t="shared" si="2"/>
        <v/>
      </c>
      <c r="J18302" s="1" t="str">
        <f t="shared" si="3"/>
        <v/>
      </c>
      <c r="K18302" s="1" t="str">
        <f t="shared" si="4"/>
        <v/>
      </c>
    </row>
    <row r="18303">
      <c r="F18303" s="1" t="str">
        <f t="shared" si="1"/>
        <v/>
      </c>
      <c r="G18303" s="1" t="str">
        <f t="shared" si="2"/>
        <v/>
      </c>
      <c r="J18303" s="1" t="str">
        <f t="shared" si="3"/>
        <v/>
      </c>
      <c r="K18303" s="1" t="str">
        <f t="shared" si="4"/>
        <v/>
      </c>
    </row>
    <row r="18304">
      <c r="F18304" s="1" t="str">
        <f t="shared" si="1"/>
        <v/>
      </c>
      <c r="G18304" s="1" t="str">
        <f t="shared" si="2"/>
        <v/>
      </c>
      <c r="J18304" s="1" t="str">
        <f t="shared" si="3"/>
        <v/>
      </c>
      <c r="K18304" s="1" t="str">
        <f t="shared" si="4"/>
        <v/>
      </c>
    </row>
    <row r="18305">
      <c r="F18305" s="1" t="str">
        <f t="shared" si="1"/>
        <v/>
      </c>
      <c r="G18305" s="1" t="str">
        <f t="shared" si="2"/>
        <v/>
      </c>
      <c r="J18305" s="1" t="str">
        <f t="shared" si="3"/>
        <v/>
      </c>
      <c r="K18305" s="1" t="str">
        <f t="shared" si="4"/>
        <v/>
      </c>
    </row>
    <row r="18306">
      <c r="F18306" s="1" t="str">
        <f t="shared" si="1"/>
        <v/>
      </c>
      <c r="G18306" s="1" t="str">
        <f t="shared" si="2"/>
        <v/>
      </c>
      <c r="J18306" s="1" t="str">
        <f t="shared" si="3"/>
        <v/>
      </c>
      <c r="K18306" s="1" t="str">
        <f t="shared" si="4"/>
        <v/>
      </c>
    </row>
    <row r="18307">
      <c r="F18307" s="1" t="str">
        <f t="shared" si="1"/>
        <v/>
      </c>
      <c r="G18307" s="1" t="str">
        <f t="shared" si="2"/>
        <v/>
      </c>
      <c r="J18307" s="1" t="str">
        <f t="shared" si="3"/>
        <v/>
      </c>
      <c r="K18307" s="1" t="str">
        <f t="shared" si="4"/>
        <v/>
      </c>
    </row>
    <row r="18308">
      <c r="F18308" s="1" t="str">
        <f t="shared" si="1"/>
        <v/>
      </c>
      <c r="G18308" s="1" t="str">
        <f t="shared" si="2"/>
        <v/>
      </c>
      <c r="J18308" s="1" t="str">
        <f t="shared" si="3"/>
        <v/>
      </c>
      <c r="K18308" s="1" t="str">
        <f t="shared" si="4"/>
        <v/>
      </c>
    </row>
    <row r="18309">
      <c r="F18309" s="1" t="str">
        <f t="shared" si="1"/>
        <v/>
      </c>
      <c r="G18309" s="1" t="str">
        <f t="shared" si="2"/>
        <v/>
      </c>
      <c r="J18309" s="1" t="str">
        <f t="shared" si="3"/>
        <v/>
      </c>
      <c r="K18309" s="1" t="str">
        <f t="shared" si="4"/>
        <v/>
      </c>
    </row>
    <row r="18310">
      <c r="F18310" s="1" t="str">
        <f t="shared" si="1"/>
        <v/>
      </c>
      <c r="G18310" s="1" t="str">
        <f t="shared" si="2"/>
        <v/>
      </c>
      <c r="J18310" s="1" t="str">
        <f t="shared" si="3"/>
        <v/>
      </c>
      <c r="K18310" s="1" t="str">
        <f t="shared" si="4"/>
        <v/>
      </c>
    </row>
    <row r="18311">
      <c r="F18311" s="1" t="str">
        <f t="shared" si="1"/>
        <v/>
      </c>
      <c r="G18311" s="1" t="str">
        <f t="shared" si="2"/>
        <v/>
      </c>
      <c r="J18311" s="1" t="str">
        <f t="shared" si="3"/>
        <v/>
      </c>
      <c r="K18311" s="1" t="str">
        <f t="shared" si="4"/>
        <v/>
      </c>
    </row>
    <row r="18312">
      <c r="F18312" s="1" t="str">
        <f t="shared" si="1"/>
        <v/>
      </c>
      <c r="G18312" s="1" t="str">
        <f t="shared" si="2"/>
        <v/>
      </c>
      <c r="J18312" s="1" t="str">
        <f t="shared" si="3"/>
        <v/>
      </c>
      <c r="K18312" s="1" t="str">
        <f t="shared" si="4"/>
        <v/>
      </c>
    </row>
    <row r="18313">
      <c r="F18313" s="1" t="str">
        <f t="shared" si="1"/>
        <v/>
      </c>
      <c r="G18313" s="1" t="str">
        <f t="shared" si="2"/>
        <v/>
      </c>
      <c r="J18313" s="1" t="str">
        <f t="shared" si="3"/>
        <v/>
      </c>
      <c r="K18313" s="1" t="str">
        <f t="shared" si="4"/>
        <v/>
      </c>
    </row>
    <row r="18314">
      <c r="F18314" s="1" t="str">
        <f t="shared" si="1"/>
        <v/>
      </c>
      <c r="G18314" s="1" t="str">
        <f t="shared" si="2"/>
        <v/>
      </c>
      <c r="J18314" s="1" t="str">
        <f t="shared" si="3"/>
        <v/>
      </c>
      <c r="K18314" s="1" t="str">
        <f t="shared" si="4"/>
        <v/>
      </c>
    </row>
    <row r="18315">
      <c r="F18315" s="1" t="str">
        <f t="shared" si="1"/>
        <v/>
      </c>
      <c r="G18315" s="1" t="str">
        <f t="shared" si="2"/>
        <v/>
      </c>
      <c r="J18315" s="1" t="str">
        <f t="shared" si="3"/>
        <v/>
      </c>
      <c r="K18315" s="1" t="str">
        <f t="shared" si="4"/>
        <v/>
      </c>
    </row>
    <row r="18316">
      <c r="F18316" s="1" t="str">
        <f t="shared" si="1"/>
        <v/>
      </c>
      <c r="G18316" s="1" t="str">
        <f t="shared" si="2"/>
        <v/>
      </c>
      <c r="J18316" s="1" t="str">
        <f t="shared" si="3"/>
        <v/>
      </c>
      <c r="K18316" s="1" t="str">
        <f t="shared" si="4"/>
        <v/>
      </c>
    </row>
    <row r="18317">
      <c r="F18317" s="1" t="str">
        <f t="shared" si="1"/>
        <v/>
      </c>
      <c r="G18317" s="1" t="str">
        <f t="shared" si="2"/>
        <v/>
      </c>
      <c r="J18317" s="1" t="str">
        <f t="shared" si="3"/>
        <v/>
      </c>
      <c r="K18317" s="1" t="str">
        <f t="shared" si="4"/>
        <v/>
      </c>
    </row>
    <row r="18318">
      <c r="F18318" s="1" t="str">
        <f t="shared" si="1"/>
        <v/>
      </c>
      <c r="G18318" s="1" t="str">
        <f t="shared" si="2"/>
        <v/>
      </c>
      <c r="J18318" s="1" t="str">
        <f t="shared" si="3"/>
        <v/>
      </c>
      <c r="K18318" s="1" t="str">
        <f t="shared" si="4"/>
        <v/>
      </c>
    </row>
    <row r="18319">
      <c r="F18319" s="1" t="str">
        <f t="shared" si="1"/>
        <v/>
      </c>
      <c r="G18319" s="1" t="str">
        <f t="shared" si="2"/>
        <v/>
      </c>
      <c r="J18319" s="1" t="str">
        <f t="shared" si="3"/>
        <v/>
      </c>
      <c r="K18319" s="1" t="str">
        <f t="shared" si="4"/>
        <v/>
      </c>
    </row>
    <row r="18320">
      <c r="F18320" s="1" t="str">
        <f t="shared" si="1"/>
        <v/>
      </c>
      <c r="G18320" s="1" t="str">
        <f t="shared" si="2"/>
        <v/>
      </c>
      <c r="J18320" s="1" t="str">
        <f t="shared" si="3"/>
        <v/>
      </c>
      <c r="K18320" s="1" t="str">
        <f t="shared" si="4"/>
        <v/>
      </c>
    </row>
    <row r="18321">
      <c r="F18321" s="1" t="str">
        <f t="shared" si="1"/>
        <v/>
      </c>
      <c r="G18321" s="1" t="str">
        <f t="shared" si="2"/>
        <v/>
      </c>
      <c r="J18321" s="1" t="str">
        <f t="shared" si="3"/>
        <v/>
      </c>
      <c r="K18321" s="1" t="str">
        <f t="shared" si="4"/>
        <v/>
      </c>
    </row>
    <row r="18322">
      <c r="F18322" s="1" t="str">
        <f t="shared" si="1"/>
        <v/>
      </c>
      <c r="G18322" s="1" t="str">
        <f t="shared" si="2"/>
        <v/>
      </c>
      <c r="J18322" s="1" t="str">
        <f t="shared" si="3"/>
        <v/>
      </c>
      <c r="K18322" s="1" t="str">
        <f t="shared" si="4"/>
        <v/>
      </c>
    </row>
    <row r="18323">
      <c r="F18323" s="1" t="str">
        <f t="shared" si="1"/>
        <v/>
      </c>
      <c r="G18323" s="1" t="str">
        <f t="shared" si="2"/>
        <v/>
      </c>
      <c r="J18323" s="1" t="str">
        <f t="shared" si="3"/>
        <v/>
      </c>
      <c r="K18323" s="1" t="str">
        <f t="shared" si="4"/>
        <v/>
      </c>
    </row>
    <row r="18324">
      <c r="F18324" s="1" t="str">
        <f t="shared" si="1"/>
        <v/>
      </c>
      <c r="G18324" s="1" t="str">
        <f t="shared" si="2"/>
        <v/>
      </c>
      <c r="J18324" s="1" t="str">
        <f t="shared" si="3"/>
        <v/>
      </c>
      <c r="K18324" s="1" t="str">
        <f t="shared" si="4"/>
        <v/>
      </c>
    </row>
    <row r="18325">
      <c r="F18325" s="1" t="str">
        <f t="shared" si="1"/>
        <v/>
      </c>
      <c r="G18325" s="1" t="str">
        <f t="shared" si="2"/>
        <v/>
      </c>
      <c r="J18325" s="1" t="str">
        <f t="shared" si="3"/>
        <v/>
      </c>
      <c r="K18325" s="1" t="str">
        <f t="shared" si="4"/>
        <v/>
      </c>
    </row>
    <row r="18326">
      <c r="F18326" s="1" t="str">
        <f t="shared" si="1"/>
        <v/>
      </c>
      <c r="G18326" s="1" t="str">
        <f t="shared" si="2"/>
        <v/>
      </c>
      <c r="J18326" s="1" t="str">
        <f t="shared" si="3"/>
        <v/>
      </c>
      <c r="K18326" s="1" t="str">
        <f t="shared" si="4"/>
        <v/>
      </c>
    </row>
    <row r="18327">
      <c r="F18327" s="1" t="str">
        <f t="shared" si="1"/>
        <v/>
      </c>
      <c r="G18327" s="1" t="str">
        <f t="shared" si="2"/>
        <v/>
      </c>
      <c r="J18327" s="1" t="str">
        <f t="shared" si="3"/>
        <v/>
      </c>
      <c r="K18327" s="1" t="str">
        <f t="shared" si="4"/>
        <v/>
      </c>
    </row>
    <row r="18328">
      <c r="F18328" s="1" t="str">
        <f t="shared" si="1"/>
        <v/>
      </c>
      <c r="G18328" s="1" t="str">
        <f t="shared" si="2"/>
        <v/>
      </c>
      <c r="J18328" s="1" t="str">
        <f t="shared" si="3"/>
        <v/>
      </c>
      <c r="K18328" s="1" t="str">
        <f t="shared" si="4"/>
        <v/>
      </c>
    </row>
    <row r="18329">
      <c r="F18329" s="1" t="str">
        <f t="shared" si="1"/>
        <v/>
      </c>
      <c r="G18329" s="1" t="str">
        <f t="shared" si="2"/>
        <v/>
      </c>
      <c r="J18329" s="1" t="str">
        <f t="shared" si="3"/>
        <v/>
      </c>
      <c r="K18329" s="1" t="str">
        <f t="shared" si="4"/>
        <v/>
      </c>
    </row>
    <row r="18330">
      <c r="F18330" s="1" t="str">
        <f t="shared" si="1"/>
        <v/>
      </c>
      <c r="G18330" s="1" t="str">
        <f t="shared" si="2"/>
        <v/>
      </c>
      <c r="J18330" s="1" t="str">
        <f t="shared" si="3"/>
        <v/>
      </c>
      <c r="K18330" s="1" t="str">
        <f t="shared" si="4"/>
        <v/>
      </c>
    </row>
    <row r="18331">
      <c r="F18331" s="1" t="str">
        <f t="shared" si="1"/>
        <v/>
      </c>
      <c r="G18331" s="1" t="str">
        <f t="shared" si="2"/>
        <v/>
      </c>
      <c r="J18331" s="1" t="str">
        <f t="shared" si="3"/>
        <v/>
      </c>
      <c r="K18331" s="1" t="str">
        <f t="shared" si="4"/>
        <v/>
      </c>
    </row>
    <row r="18332">
      <c r="F18332" s="1" t="str">
        <f t="shared" si="1"/>
        <v/>
      </c>
      <c r="G18332" s="1" t="str">
        <f t="shared" si="2"/>
        <v/>
      </c>
      <c r="J18332" s="1" t="str">
        <f t="shared" si="3"/>
        <v/>
      </c>
      <c r="K18332" s="1" t="str">
        <f t="shared" si="4"/>
        <v/>
      </c>
    </row>
    <row r="18333">
      <c r="F18333" s="1" t="str">
        <f t="shared" si="1"/>
        <v/>
      </c>
      <c r="G18333" s="1" t="str">
        <f t="shared" si="2"/>
        <v/>
      </c>
      <c r="J18333" s="1" t="str">
        <f t="shared" si="3"/>
        <v/>
      </c>
      <c r="K18333" s="1" t="str">
        <f t="shared" si="4"/>
        <v/>
      </c>
    </row>
    <row r="18334">
      <c r="F18334" s="1" t="str">
        <f t="shared" si="1"/>
        <v/>
      </c>
      <c r="G18334" s="1" t="str">
        <f t="shared" si="2"/>
        <v/>
      </c>
      <c r="J18334" s="1" t="str">
        <f t="shared" si="3"/>
        <v/>
      </c>
      <c r="K18334" s="1" t="str">
        <f t="shared" si="4"/>
        <v/>
      </c>
    </row>
    <row r="18335">
      <c r="F18335" s="1" t="str">
        <f t="shared" si="1"/>
        <v/>
      </c>
      <c r="G18335" s="1" t="str">
        <f t="shared" si="2"/>
        <v/>
      </c>
      <c r="J18335" s="1" t="str">
        <f t="shared" si="3"/>
        <v/>
      </c>
      <c r="K18335" s="1" t="str">
        <f t="shared" si="4"/>
        <v/>
      </c>
    </row>
    <row r="18336">
      <c r="F18336" s="1" t="str">
        <f t="shared" si="1"/>
        <v/>
      </c>
      <c r="G18336" s="1" t="str">
        <f t="shared" si="2"/>
        <v/>
      </c>
      <c r="J18336" s="1" t="str">
        <f t="shared" si="3"/>
        <v/>
      </c>
      <c r="K18336" s="1" t="str">
        <f t="shared" si="4"/>
        <v/>
      </c>
    </row>
    <row r="18337">
      <c r="F18337" s="1" t="str">
        <f t="shared" si="1"/>
        <v/>
      </c>
      <c r="G18337" s="1" t="str">
        <f t="shared" si="2"/>
        <v/>
      </c>
      <c r="J18337" s="1" t="str">
        <f t="shared" si="3"/>
        <v/>
      </c>
      <c r="K18337" s="1" t="str">
        <f t="shared" si="4"/>
        <v/>
      </c>
    </row>
    <row r="18338">
      <c r="F18338" s="1" t="str">
        <f t="shared" si="1"/>
        <v/>
      </c>
      <c r="G18338" s="1" t="str">
        <f t="shared" si="2"/>
        <v/>
      </c>
      <c r="J18338" s="1" t="str">
        <f t="shared" si="3"/>
        <v/>
      </c>
      <c r="K18338" s="1" t="str">
        <f t="shared" si="4"/>
        <v/>
      </c>
    </row>
    <row r="18339">
      <c r="F18339" s="1" t="str">
        <f t="shared" si="1"/>
        <v/>
      </c>
      <c r="G18339" s="1" t="str">
        <f t="shared" si="2"/>
        <v/>
      </c>
      <c r="J18339" s="1" t="str">
        <f t="shared" si="3"/>
        <v/>
      </c>
      <c r="K18339" s="1" t="str">
        <f t="shared" si="4"/>
        <v/>
      </c>
    </row>
    <row r="18340">
      <c r="F18340" s="1" t="str">
        <f t="shared" si="1"/>
        <v/>
      </c>
      <c r="G18340" s="1" t="str">
        <f t="shared" si="2"/>
        <v/>
      </c>
      <c r="J18340" s="1" t="str">
        <f t="shared" si="3"/>
        <v/>
      </c>
      <c r="K18340" s="1" t="str">
        <f t="shared" si="4"/>
        <v/>
      </c>
    </row>
    <row r="18341">
      <c r="F18341" s="1" t="str">
        <f t="shared" si="1"/>
        <v/>
      </c>
      <c r="G18341" s="1" t="str">
        <f t="shared" si="2"/>
        <v/>
      </c>
      <c r="J18341" s="1" t="str">
        <f t="shared" si="3"/>
        <v/>
      </c>
      <c r="K18341" s="1" t="str">
        <f t="shared" si="4"/>
        <v/>
      </c>
    </row>
    <row r="18342">
      <c r="F18342" s="1" t="str">
        <f t="shared" si="1"/>
        <v/>
      </c>
      <c r="G18342" s="1" t="str">
        <f t="shared" si="2"/>
        <v/>
      </c>
      <c r="J18342" s="1" t="str">
        <f t="shared" si="3"/>
        <v/>
      </c>
      <c r="K18342" s="1" t="str">
        <f t="shared" si="4"/>
        <v/>
      </c>
    </row>
    <row r="18343">
      <c r="F18343" s="1" t="str">
        <f t="shared" si="1"/>
        <v/>
      </c>
      <c r="G18343" s="1" t="str">
        <f t="shared" si="2"/>
        <v/>
      </c>
      <c r="J18343" s="1" t="str">
        <f t="shared" si="3"/>
        <v/>
      </c>
      <c r="K18343" s="1" t="str">
        <f t="shared" si="4"/>
        <v/>
      </c>
    </row>
    <row r="18344">
      <c r="F18344" s="1" t="str">
        <f t="shared" si="1"/>
        <v/>
      </c>
      <c r="G18344" s="1" t="str">
        <f t="shared" si="2"/>
        <v/>
      </c>
      <c r="J18344" s="1" t="str">
        <f t="shared" si="3"/>
        <v/>
      </c>
      <c r="K18344" s="1" t="str">
        <f t="shared" si="4"/>
        <v/>
      </c>
    </row>
    <row r="18345">
      <c r="F18345" s="1" t="str">
        <f t="shared" si="1"/>
        <v/>
      </c>
      <c r="G18345" s="1" t="str">
        <f t="shared" si="2"/>
        <v/>
      </c>
      <c r="J18345" s="1" t="str">
        <f t="shared" si="3"/>
        <v/>
      </c>
      <c r="K18345" s="1" t="str">
        <f t="shared" si="4"/>
        <v/>
      </c>
    </row>
    <row r="18346">
      <c r="F18346" s="1" t="str">
        <f t="shared" si="1"/>
        <v/>
      </c>
      <c r="G18346" s="1" t="str">
        <f t="shared" si="2"/>
        <v/>
      </c>
      <c r="J18346" s="1" t="str">
        <f t="shared" si="3"/>
        <v/>
      </c>
      <c r="K18346" s="1" t="str">
        <f t="shared" si="4"/>
        <v/>
      </c>
    </row>
    <row r="18347">
      <c r="F18347" s="1" t="str">
        <f t="shared" si="1"/>
        <v/>
      </c>
      <c r="G18347" s="1" t="str">
        <f t="shared" si="2"/>
        <v/>
      </c>
      <c r="J18347" s="1" t="str">
        <f t="shared" si="3"/>
        <v/>
      </c>
      <c r="K18347" s="1" t="str">
        <f t="shared" si="4"/>
        <v/>
      </c>
    </row>
    <row r="18348">
      <c r="F18348" s="1" t="str">
        <f t="shared" si="1"/>
        <v/>
      </c>
      <c r="G18348" s="1" t="str">
        <f t="shared" si="2"/>
        <v/>
      </c>
      <c r="J18348" s="1" t="str">
        <f t="shared" si="3"/>
        <v/>
      </c>
      <c r="K18348" s="1" t="str">
        <f t="shared" si="4"/>
        <v/>
      </c>
    </row>
    <row r="18349">
      <c r="F18349" s="1" t="str">
        <f t="shared" si="1"/>
        <v/>
      </c>
      <c r="G18349" s="1" t="str">
        <f t="shared" si="2"/>
        <v/>
      </c>
      <c r="J18349" s="1" t="str">
        <f t="shared" si="3"/>
        <v/>
      </c>
      <c r="K18349" s="1" t="str">
        <f t="shared" si="4"/>
        <v/>
      </c>
    </row>
    <row r="18350">
      <c r="F18350" s="1" t="str">
        <f t="shared" si="1"/>
        <v/>
      </c>
      <c r="G18350" s="1" t="str">
        <f t="shared" si="2"/>
        <v/>
      </c>
      <c r="J18350" s="1" t="str">
        <f t="shared" si="3"/>
        <v/>
      </c>
      <c r="K18350" s="1" t="str">
        <f t="shared" si="4"/>
        <v/>
      </c>
    </row>
    <row r="18351">
      <c r="F18351" s="1" t="str">
        <f t="shared" si="1"/>
        <v/>
      </c>
      <c r="G18351" s="1" t="str">
        <f t="shared" si="2"/>
        <v/>
      </c>
      <c r="J18351" s="1" t="str">
        <f t="shared" si="3"/>
        <v/>
      </c>
      <c r="K18351" s="1" t="str">
        <f t="shared" si="4"/>
        <v/>
      </c>
    </row>
    <row r="18352">
      <c r="F18352" s="1" t="str">
        <f t="shared" si="1"/>
        <v/>
      </c>
      <c r="G18352" s="1" t="str">
        <f t="shared" si="2"/>
        <v/>
      </c>
      <c r="J18352" s="1" t="str">
        <f t="shared" si="3"/>
        <v/>
      </c>
      <c r="K18352" s="1" t="str">
        <f t="shared" si="4"/>
        <v/>
      </c>
    </row>
    <row r="18353">
      <c r="F18353" s="1" t="str">
        <f t="shared" si="1"/>
        <v/>
      </c>
      <c r="G18353" s="1" t="str">
        <f t="shared" si="2"/>
        <v/>
      </c>
      <c r="J18353" s="1" t="str">
        <f t="shared" si="3"/>
        <v/>
      </c>
      <c r="K18353" s="1" t="str">
        <f t="shared" si="4"/>
        <v/>
      </c>
    </row>
    <row r="18354">
      <c r="F18354" s="1" t="str">
        <f t="shared" si="1"/>
        <v/>
      </c>
      <c r="G18354" s="1" t="str">
        <f t="shared" si="2"/>
        <v/>
      </c>
      <c r="J18354" s="1" t="str">
        <f t="shared" si="3"/>
        <v/>
      </c>
      <c r="K18354" s="1" t="str">
        <f t="shared" si="4"/>
        <v/>
      </c>
    </row>
    <row r="18355">
      <c r="F18355" s="1" t="str">
        <f t="shared" si="1"/>
        <v/>
      </c>
      <c r="G18355" s="1" t="str">
        <f t="shared" si="2"/>
        <v/>
      </c>
      <c r="J18355" s="1" t="str">
        <f t="shared" si="3"/>
        <v/>
      </c>
      <c r="K18355" s="1" t="str">
        <f t="shared" si="4"/>
        <v/>
      </c>
    </row>
    <row r="18356">
      <c r="F18356" s="1" t="str">
        <f t="shared" si="1"/>
        <v/>
      </c>
      <c r="G18356" s="1" t="str">
        <f t="shared" si="2"/>
        <v/>
      </c>
      <c r="J18356" s="1" t="str">
        <f t="shared" si="3"/>
        <v/>
      </c>
      <c r="K18356" s="1" t="str">
        <f t="shared" si="4"/>
        <v/>
      </c>
    </row>
    <row r="18357">
      <c r="F18357" s="1" t="str">
        <f t="shared" si="1"/>
        <v/>
      </c>
      <c r="G18357" s="1" t="str">
        <f t="shared" si="2"/>
        <v/>
      </c>
      <c r="J18357" s="1" t="str">
        <f t="shared" si="3"/>
        <v/>
      </c>
      <c r="K18357" s="1" t="str">
        <f t="shared" si="4"/>
        <v/>
      </c>
    </row>
    <row r="18358">
      <c r="F18358" s="1" t="str">
        <f t="shared" si="1"/>
        <v/>
      </c>
      <c r="G18358" s="1" t="str">
        <f t="shared" si="2"/>
        <v/>
      </c>
      <c r="J18358" s="1" t="str">
        <f t="shared" si="3"/>
        <v/>
      </c>
      <c r="K18358" s="1" t="str">
        <f t="shared" si="4"/>
        <v/>
      </c>
    </row>
    <row r="18359">
      <c r="F18359" s="1" t="str">
        <f t="shared" si="1"/>
        <v/>
      </c>
      <c r="G18359" s="1" t="str">
        <f t="shared" si="2"/>
        <v/>
      </c>
      <c r="J18359" s="1" t="str">
        <f t="shared" si="3"/>
        <v/>
      </c>
      <c r="K18359" s="1" t="str">
        <f t="shared" si="4"/>
        <v/>
      </c>
    </row>
    <row r="18360">
      <c r="F18360" s="1" t="str">
        <f t="shared" si="1"/>
        <v/>
      </c>
      <c r="G18360" s="1" t="str">
        <f t="shared" si="2"/>
        <v/>
      </c>
      <c r="J18360" s="1" t="str">
        <f t="shared" si="3"/>
        <v/>
      </c>
      <c r="K18360" s="1" t="str">
        <f t="shared" si="4"/>
        <v/>
      </c>
    </row>
    <row r="18361">
      <c r="F18361" s="1" t="str">
        <f t="shared" si="1"/>
        <v/>
      </c>
      <c r="G18361" s="1" t="str">
        <f t="shared" si="2"/>
        <v/>
      </c>
      <c r="J18361" s="1" t="str">
        <f t="shared" si="3"/>
        <v/>
      </c>
      <c r="K18361" s="1" t="str">
        <f t="shared" si="4"/>
        <v/>
      </c>
    </row>
    <row r="18362">
      <c r="F18362" s="1" t="str">
        <f t="shared" si="1"/>
        <v/>
      </c>
      <c r="G18362" s="1" t="str">
        <f t="shared" si="2"/>
        <v/>
      </c>
      <c r="J18362" s="1" t="str">
        <f t="shared" si="3"/>
        <v/>
      </c>
      <c r="K18362" s="1" t="str">
        <f t="shared" si="4"/>
        <v/>
      </c>
    </row>
    <row r="18363">
      <c r="F18363" s="1" t="str">
        <f t="shared" si="1"/>
        <v/>
      </c>
      <c r="G18363" s="1" t="str">
        <f t="shared" si="2"/>
        <v/>
      </c>
      <c r="J18363" s="1" t="str">
        <f t="shared" si="3"/>
        <v/>
      </c>
      <c r="K18363" s="1" t="str">
        <f t="shared" si="4"/>
        <v/>
      </c>
    </row>
    <row r="18364">
      <c r="F18364" s="1" t="str">
        <f t="shared" si="1"/>
        <v/>
      </c>
      <c r="G18364" s="1" t="str">
        <f t="shared" si="2"/>
        <v/>
      </c>
      <c r="J18364" s="1" t="str">
        <f t="shared" si="3"/>
        <v/>
      </c>
      <c r="K18364" s="1" t="str">
        <f t="shared" si="4"/>
        <v/>
      </c>
    </row>
    <row r="18365">
      <c r="F18365" s="1" t="str">
        <f t="shared" si="1"/>
        <v/>
      </c>
      <c r="G18365" s="1" t="str">
        <f t="shared" si="2"/>
        <v/>
      </c>
      <c r="J18365" s="1" t="str">
        <f t="shared" si="3"/>
        <v/>
      </c>
      <c r="K18365" s="1" t="str">
        <f t="shared" si="4"/>
        <v/>
      </c>
    </row>
    <row r="18366">
      <c r="F18366" s="1" t="str">
        <f t="shared" si="1"/>
        <v/>
      </c>
      <c r="G18366" s="1" t="str">
        <f t="shared" si="2"/>
        <v/>
      </c>
      <c r="J18366" s="1" t="str">
        <f t="shared" si="3"/>
        <v/>
      </c>
      <c r="K18366" s="1" t="str">
        <f t="shared" si="4"/>
        <v/>
      </c>
    </row>
    <row r="18367">
      <c r="F18367" s="1" t="str">
        <f t="shared" si="1"/>
        <v/>
      </c>
      <c r="G18367" s="1" t="str">
        <f t="shared" si="2"/>
        <v/>
      </c>
      <c r="J18367" s="1" t="str">
        <f t="shared" si="3"/>
        <v/>
      </c>
      <c r="K18367" s="1" t="str">
        <f t="shared" si="4"/>
        <v/>
      </c>
    </row>
    <row r="18368">
      <c r="F18368" s="1" t="str">
        <f t="shared" si="1"/>
        <v/>
      </c>
      <c r="G18368" s="1" t="str">
        <f t="shared" si="2"/>
        <v/>
      </c>
      <c r="J18368" s="1" t="str">
        <f t="shared" si="3"/>
        <v/>
      </c>
      <c r="K18368" s="1" t="str">
        <f t="shared" si="4"/>
        <v/>
      </c>
    </row>
    <row r="18369">
      <c r="F18369" s="1" t="str">
        <f t="shared" si="1"/>
        <v/>
      </c>
      <c r="G18369" s="1" t="str">
        <f t="shared" si="2"/>
        <v/>
      </c>
      <c r="J18369" s="1" t="str">
        <f t="shared" si="3"/>
        <v/>
      </c>
      <c r="K18369" s="1" t="str">
        <f t="shared" si="4"/>
        <v/>
      </c>
    </row>
    <row r="18370">
      <c r="F18370" s="1" t="str">
        <f t="shared" si="1"/>
        <v/>
      </c>
      <c r="G18370" s="1" t="str">
        <f t="shared" si="2"/>
        <v/>
      </c>
      <c r="J18370" s="1" t="str">
        <f t="shared" si="3"/>
        <v/>
      </c>
      <c r="K18370" s="1" t="str">
        <f t="shared" si="4"/>
        <v/>
      </c>
    </row>
    <row r="18371">
      <c r="F18371" s="1" t="str">
        <f t="shared" si="1"/>
        <v/>
      </c>
      <c r="G18371" s="1" t="str">
        <f t="shared" si="2"/>
        <v/>
      </c>
      <c r="J18371" s="1" t="str">
        <f t="shared" si="3"/>
        <v/>
      </c>
      <c r="K18371" s="1" t="str">
        <f t="shared" si="4"/>
        <v/>
      </c>
    </row>
    <row r="18372">
      <c r="F18372" s="1" t="str">
        <f t="shared" si="1"/>
        <v/>
      </c>
      <c r="G18372" s="1" t="str">
        <f t="shared" si="2"/>
        <v/>
      </c>
      <c r="J18372" s="1" t="str">
        <f t="shared" si="3"/>
        <v/>
      </c>
      <c r="K18372" s="1" t="str">
        <f t="shared" si="4"/>
        <v/>
      </c>
    </row>
    <row r="18373">
      <c r="F18373" s="1" t="str">
        <f t="shared" si="1"/>
        <v/>
      </c>
      <c r="G18373" s="1" t="str">
        <f t="shared" si="2"/>
        <v/>
      </c>
      <c r="J18373" s="1" t="str">
        <f t="shared" si="3"/>
        <v/>
      </c>
      <c r="K18373" s="1" t="str">
        <f t="shared" si="4"/>
        <v/>
      </c>
    </row>
    <row r="18374">
      <c r="F18374" s="1" t="str">
        <f t="shared" si="1"/>
        <v/>
      </c>
      <c r="G18374" s="1" t="str">
        <f t="shared" si="2"/>
        <v/>
      </c>
      <c r="J18374" s="1" t="str">
        <f t="shared" si="3"/>
        <v/>
      </c>
      <c r="K18374" s="1" t="str">
        <f t="shared" si="4"/>
        <v/>
      </c>
    </row>
    <row r="18375">
      <c r="F18375" s="1" t="str">
        <f t="shared" si="1"/>
        <v/>
      </c>
      <c r="G18375" s="1" t="str">
        <f t="shared" si="2"/>
        <v/>
      </c>
      <c r="J18375" s="1" t="str">
        <f t="shared" si="3"/>
        <v/>
      </c>
      <c r="K18375" s="1" t="str">
        <f t="shared" si="4"/>
        <v/>
      </c>
    </row>
    <row r="18376">
      <c r="F18376" s="1" t="str">
        <f t="shared" si="1"/>
        <v/>
      </c>
      <c r="G18376" s="1" t="str">
        <f t="shared" si="2"/>
        <v/>
      </c>
      <c r="J18376" s="1" t="str">
        <f t="shared" si="3"/>
        <v/>
      </c>
      <c r="K18376" s="1" t="str">
        <f t="shared" si="4"/>
        <v/>
      </c>
    </row>
    <row r="18377">
      <c r="F18377" s="1" t="str">
        <f t="shared" si="1"/>
        <v/>
      </c>
      <c r="G18377" s="1" t="str">
        <f t="shared" si="2"/>
        <v/>
      </c>
      <c r="J18377" s="1" t="str">
        <f t="shared" si="3"/>
        <v/>
      </c>
      <c r="K18377" s="1" t="str">
        <f t="shared" si="4"/>
        <v/>
      </c>
    </row>
    <row r="18378">
      <c r="F18378" s="1" t="str">
        <f t="shared" si="1"/>
        <v/>
      </c>
      <c r="G18378" s="1" t="str">
        <f t="shared" si="2"/>
        <v/>
      </c>
      <c r="J18378" s="1" t="str">
        <f t="shared" si="3"/>
        <v/>
      </c>
      <c r="K18378" s="1" t="str">
        <f t="shared" si="4"/>
        <v/>
      </c>
    </row>
    <row r="18379">
      <c r="F18379" s="1" t="str">
        <f t="shared" si="1"/>
        <v/>
      </c>
      <c r="G18379" s="1" t="str">
        <f t="shared" si="2"/>
        <v/>
      </c>
      <c r="J18379" s="1" t="str">
        <f t="shared" si="3"/>
        <v/>
      </c>
      <c r="K18379" s="1" t="str">
        <f t="shared" si="4"/>
        <v/>
      </c>
    </row>
    <row r="18380">
      <c r="F18380" s="1" t="str">
        <f t="shared" si="1"/>
        <v/>
      </c>
      <c r="G18380" s="1" t="str">
        <f t="shared" si="2"/>
        <v/>
      </c>
      <c r="J18380" s="1" t="str">
        <f t="shared" si="3"/>
        <v/>
      </c>
      <c r="K18380" s="1" t="str">
        <f t="shared" si="4"/>
        <v/>
      </c>
    </row>
    <row r="18381">
      <c r="F18381" s="1" t="str">
        <f t="shared" si="1"/>
        <v/>
      </c>
      <c r="G18381" s="1" t="str">
        <f t="shared" si="2"/>
        <v/>
      </c>
      <c r="J18381" s="1" t="str">
        <f t="shared" si="3"/>
        <v/>
      </c>
      <c r="K18381" s="1" t="str">
        <f t="shared" si="4"/>
        <v/>
      </c>
    </row>
    <row r="18382">
      <c r="F18382" s="1" t="str">
        <f t="shared" si="1"/>
        <v/>
      </c>
      <c r="G18382" s="1" t="str">
        <f t="shared" si="2"/>
        <v/>
      </c>
      <c r="J18382" s="1" t="str">
        <f t="shared" si="3"/>
        <v/>
      </c>
      <c r="K18382" s="1" t="str">
        <f t="shared" si="4"/>
        <v/>
      </c>
    </row>
    <row r="18383">
      <c r="F18383" s="1" t="str">
        <f t="shared" si="1"/>
        <v/>
      </c>
      <c r="G18383" s="1" t="str">
        <f t="shared" si="2"/>
        <v/>
      </c>
      <c r="J18383" s="1" t="str">
        <f t="shared" si="3"/>
        <v/>
      </c>
      <c r="K18383" s="1" t="str">
        <f t="shared" si="4"/>
        <v/>
      </c>
    </row>
    <row r="18384">
      <c r="F18384" s="1" t="str">
        <f t="shared" si="1"/>
        <v/>
      </c>
      <c r="G18384" s="1" t="str">
        <f t="shared" si="2"/>
        <v/>
      </c>
      <c r="J18384" s="1" t="str">
        <f t="shared" si="3"/>
        <v/>
      </c>
      <c r="K18384" s="1" t="str">
        <f t="shared" si="4"/>
        <v/>
      </c>
    </row>
    <row r="18385">
      <c r="F18385" s="1" t="str">
        <f t="shared" si="1"/>
        <v/>
      </c>
      <c r="G18385" s="1" t="str">
        <f t="shared" si="2"/>
        <v/>
      </c>
      <c r="J18385" s="1" t="str">
        <f t="shared" si="3"/>
        <v/>
      </c>
      <c r="K18385" s="1" t="str">
        <f t="shared" si="4"/>
        <v/>
      </c>
    </row>
    <row r="18386">
      <c r="F18386" s="1" t="str">
        <f t="shared" si="1"/>
        <v/>
      </c>
      <c r="G18386" s="1" t="str">
        <f t="shared" si="2"/>
        <v/>
      </c>
      <c r="J18386" s="1" t="str">
        <f t="shared" si="3"/>
        <v/>
      </c>
      <c r="K18386" s="1" t="str">
        <f t="shared" si="4"/>
        <v/>
      </c>
    </row>
    <row r="18387">
      <c r="F18387" s="1" t="str">
        <f t="shared" si="1"/>
        <v/>
      </c>
      <c r="G18387" s="1" t="str">
        <f t="shared" si="2"/>
        <v/>
      </c>
      <c r="J18387" s="1" t="str">
        <f t="shared" si="3"/>
        <v/>
      </c>
      <c r="K18387" s="1" t="str">
        <f t="shared" si="4"/>
        <v/>
      </c>
    </row>
    <row r="18388">
      <c r="F18388" s="1" t="str">
        <f t="shared" si="1"/>
        <v/>
      </c>
      <c r="G18388" s="1" t="str">
        <f t="shared" si="2"/>
        <v/>
      </c>
      <c r="J18388" s="1" t="str">
        <f t="shared" si="3"/>
        <v/>
      </c>
      <c r="K18388" s="1" t="str">
        <f t="shared" si="4"/>
        <v/>
      </c>
    </row>
    <row r="18389">
      <c r="F18389" s="1" t="str">
        <f t="shared" si="1"/>
        <v/>
      </c>
      <c r="G18389" s="1" t="str">
        <f t="shared" si="2"/>
        <v/>
      </c>
      <c r="J18389" s="1" t="str">
        <f t="shared" si="3"/>
        <v/>
      </c>
      <c r="K18389" s="1" t="str">
        <f t="shared" si="4"/>
        <v/>
      </c>
    </row>
    <row r="18390">
      <c r="F18390" s="1" t="str">
        <f t="shared" si="1"/>
        <v/>
      </c>
      <c r="G18390" s="1" t="str">
        <f t="shared" si="2"/>
        <v/>
      </c>
      <c r="J18390" s="1" t="str">
        <f t="shared" si="3"/>
        <v/>
      </c>
      <c r="K18390" s="1" t="str">
        <f t="shared" si="4"/>
        <v/>
      </c>
    </row>
    <row r="18391">
      <c r="F18391" s="1" t="str">
        <f t="shared" si="1"/>
        <v/>
      </c>
      <c r="G18391" s="1" t="str">
        <f t="shared" si="2"/>
        <v/>
      </c>
      <c r="J18391" s="1" t="str">
        <f t="shared" si="3"/>
        <v/>
      </c>
      <c r="K18391" s="1" t="str">
        <f t="shared" si="4"/>
        <v/>
      </c>
    </row>
    <row r="18392">
      <c r="F18392" s="1" t="str">
        <f t="shared" si="1"/>
        <v/>
      </c>
      <c r="G18392" s="1" t="str">
        <f t="shared" si="2"/>
        <v/>
      </c>
      <c r="J18392" s="1" t="str">
        <f t="shared" si="3"/>
        <v/>
      </c>
      <c r="K18392" s="1" t="str">
        <f t="shared" si="4"/>
        <v/>
      </c>
    </row>
    <row r="18393">
      <c r="F18393" s="1" t="str">
        <f t="shared" si="1"/>
        <v/>
      </c>
      <c r="G18393" s="1" t="str">
        <f t="shared" si="2"/>
        <v/>
      </c>
      <c r="J18393" s="1" t="str">
        <f t="shared" si="3"/>
        <v/>
      </c>
      <c r="K18393" s="1" t="str">
        <f t="shared" si="4"/>
        <v/>
      </c>
    </row>
    <row r="18394">
      <c r="F18394" s="1" t="str">
        <f t="shared" si="1"/>
        <v/>
      </c>
      <c r="G18394" s="1" t="str">
        <f t="shared" si="2"/>
        <v/>
      </c>
      <c r="J18394" s="1" t="str">
        <f t="shared" si="3"/>
        <v/>
      </c>
      <c r="K18394" s="1" t="str">
        <f t="shared" si="4"/>
        <v/>
      </c>
    </row>
    <row r="18395">
      <c r="F18395" s="1" t="str">
        <f t="shared" si="1"/>
        <v/>
      </c>
      <c r="G18395" s="1" t="str">
        <f t="shared" si="2"/>
        <v/>
      </c>
      <c r="J18395" s="1" t="str">
        <f t="shared" si="3"/>
        <v/>
      </c>
      <c r="K18395" s="1" t="str">
        <f t="shared" si="4"/>
        <v/>
      </c>
    </row>
    <row r="18396">
      <c r="F18396" s="1" t="str">
        <f t="shared" si="1"/>
        <v/>
      </c>
      <c r="G18396" s="1" t="str">
        <f t="shared" si="2"/>
        <v/>
      </c>
      <c r="J18396" s="1" t="str">
        <f t="shared" si="3"/>
        <v/>
      </c>
      <c r="K18396" s="1" t="str">
        <f t="shared" si="4"/>
        <v/>
      </c>
    </row>
    <row r="18397">
      <c r="F18397" s="1" t="str">
        <f t="shared" si="1"/>
        <v/>
      </c>
      <c r="G18397" s="1" t="str">
        <f t="shared" si="2"/>
        <v/>
      </c>
      <c r="J18397" s="1" t="str">
        <f t="shared" si="3"/>
        <v/>
      </c>
      <c r="K18397" s="1" t="str">
        <f t="shared" si="4"/>
        <v/>
      </c>
    </row>
    <row r="18398">
      <c r="F18398" s="1" t="str">
        <f t="shared" si="1"/>
        <v/>
      </c>
      <c r="G18398" s="1" t="str">
        <f t="shared" si="2"/>
        <v/>
      </c>
      <c r="J18398" s="1" t="str">
        <f t="shared" si="3"/>
        <v/>
      </c>
      <c r="K18398" s="1" t="str">
        <f t="shared" si="4"/>
        <v/>
      </c>
    </row>
    <row r="18399">
      <c r="F18399" s="1" t="str">
        <f t="shared" si="1"/>
        <v/>
      </c>
      <c r="G18399" s="1" t="str">
        <f t="shared" si="2"/>
        <v/>
      </c>
      <c r="J18399" s="1" t="str">
        <f t="shared" si="3"/>
        <v/>
      </c>
      <c r="K18399" s="1" t="str">
        <f t="shared" si="4"/>
        <v/>
      </c>
    </row>
    <row r="18400">
      <c r="F18400" s="1" t="str">
        <f t="shared" si="1"/>
        <v/>
      </c>
      <c r="G18400" s="1" t="str">
        <f t="shared" si="2"/>
        <v/>
      </c>
      <c r="J18400" s="1" t="str">
        <f t="shared" si="3"/>
        <v/>
      </c>
      <c r="K18400" s="1" t="str">
        <f t="shared" si="4"/>
        <v/>
      </c>
    </row>
    <row r="18401">
      <c r="F18401" s="1" t="str">
        <f t="shared" si="1"/>
        <v/>
      </c>
      <c r="G18401" s="1" t="str">
        <f t="shared" si="2"/>
        <v/>
      </c>
      <c r="J18401" s="1" t="str">
        <f t="shared" si="3"/>
        <v/>
      </c>
      <c r="K18401" s="1" t="str">
        <f t="shared" si="4"/>
        <v/>
      </c>
    </row>
    <row r="18402">
      <c r="F18402" s="1" t="str">
        <f t="shared" si="1"/>
        <v/>
      </c>
      <c r="G18402" s="1" t="str">
        <f t="shared" si="2"/>
        <v/>
      </c>
      <c r="J18402" s="1" t="str">
        <f t="shared" si="3"/>
        <v/>
      </c>
      <c r="K18402" s="1" t="str">
        <f t="shared" si="4"/>
        <v/>
      </c>
    </row>
    <row r="18403">
      <c r="F18403" s="1" t="str">
        <f t="shared" si="1"/>
        <v/>
      </c>
      <c r="G18403" s="1" t="str">
        <f t="shared" si="2"/>
        <v/>
      </c>
      <c r="J18403" s="1" t="str">
        <f t="shared" si="3"/>
        <v/>
      </c>
      <c r="K18403" s="1" t="str">
        <f t="shared" si="4"/>
        <v/>
      </c>
    </row>
    <row r="18404">
      <c r="F18404" s="1" t="str">
        <f t="shared" si="1"/>
        <v/>
      </c>
      <c r="G18404" s="1" t="str">
        <f t="shared" si="2"/>
        <v/>
      </c>
      <c r="J18404" s="1" t="str">
        <f t="shared" si="3"/>
        <v/>
      </c>
      <c r="K18404" s="1" t="str">
        <f t="shared" si="4"/>
        <v/>
      </c>
    </row>
    <row r="18405">
      <c r="F18405" s="1" t="str">
        <f t="shared" si="1"/>
        <v/>
      </c>
      <c r="G18405" s="1" t="str">
        <f t="shared" si="2"/>
        <v/>
      </c>
      <c r="J18405" s="1" t="str">
        <f t="shared" si="3"/>
        <v/>
      </c>
      <c r="K18405" s="1" t="str">
        <f t="shared" si="4"/>
        <v/>
      </c>
    </row>
    <row r="18406">
      <c r="F18406" s="1" t="str">
        <f t="shared" si="1"/>
        <v/>
      </c>
      <c r="G18406" s="1" t="str">
        <f t="shared" si="2"/>
        <v/>
      </c>
      <c r="J18406" s="1" t="str">
        <f t="shared" si="3"/>
        <v/>
      </c>
      <c r="K18406" s="1" t="str">
        <f t="shared" si="4"/>
        <v/>
      </c>
    </row>
    <row r="18407">
      <c r="F18407" s="1" t="str">
        <f t="shared" si="1"/>
        <v/>
      </c>
      <c r="G18407" s="1" t="str">
        <f t="shared" si="2"/>
        <v/>
      </c>
      <c r="J18407" s="1" t="str">
        <f t="shared" si="3"/>
        <v/>
      </c>
      <c r="K18407" s="1" t="str">
        <f t="shared" si="4"/>
        <v/>
      </c>
    </row>
    <row r="18408">
      <c r="F18408" s="1" t="str">
        <f t="shared" si="1"/>
        <v/>
      </c>
      <c r="G18408" s="1" t="str">
        <f t="shared" si="2"/>
        <v/>
      </c>
      <c r="J18408" s="1" t="str">
        <f t="shared" si="3"/>
        <v/>
      </c>
      <c r="K18408" s="1" t="str">
        <f t="shared" si="4"/>
        <v/>
      </c>
    </row>
    <row r="18409">
      <c r="F18409" s="1" t="str">
        <f t="shared" si="1"/>
        <v/>
      </c>
      <c r="G18409" s="1" t="str">
        <f t="shared" si="2"/>
        <v/>
      </c>
      <c r="J18409" s="1" t="str">
        <f t="shared" si="3"/>
        <v/>
      </c>
      <c r="K18409" s="1" t="str">
        <f t="shared" si="4"/>
        <v/>
      </c>
    </row>
    <row r="18410">
      <c r="F18410" s="1" t="str">
        <f t="shared" si="1"/>
        <v/>
      </c>
      <c r="G18410" s="1" t="str">
        <f t="shared" si="2"/>
        <v/>
      </c>
      <c r="J18410" s="1" t="str">
        <f t="shared" si="3"/>
        <v/>
      </c>
      <c r="K18410" s="1" t="str">
        <f t="shared" si="4"/>
        <v/>
      </c>
    </row>
    <row r="18411">
      <c r="F18411" s="1" t="str">
        <f t="shared" si="1"/>
        <v/>
      </c>
      <c r="G18411" s="1" t="str">
        <f t="shared" si="2"/>
        <v/>
      </c>
      <c r="J18411" s="1" t="str">
        <f t="shared" si="3"/>
        <v/>
      </c>
      <c r="K18411" s="1" t="str">
        <f t="shared" si="4"/>
        <v/>
      </c>
    </row>
    <row r="18412">
      <c r="F18412" s="1" t="str">
        <f t="shared" si="1"/>
        <v/>
      </c>
      <c r="G18412" s="1" t="str">
        <f t="shared" si="2"/>
        <v/>
      </c>
      <c r="J18412" s="1" t="str">
        <f t="shared" si="3"/>
        <v/>
      </c>
      <c r="K18412" s="1" t="str">
        <f t="shared" si="4"/>
        <v/>
      </c>
    </row>
    <row r="18413">
      <c r="F18413" s="1" t="str">
        <f t="shared" si="1"/>
        <v/>
      </c>
      <c r="G18413" s="1" t="str">
        <f t="shared" si="2"/>
        <v/>
      </c>
      <c r="J18413" s="1" t="str">
        <f t="shared" si="3"/>
        <v/>
      </c>
      <c r="K18413" s="1" t="str">
        <f t="shared" si="4"/>
        <v/>
      </c>
    </row>
    <row r="18414">
      <c r="F18414" s="1" t="str">
        <f t="shared" si="1"/>
        <v/>
      </c>
      <c r="G18414" s="1" t="str">
        <f t="shared" si="2"/>
        <v/>
      </c>
      <c r="J18414" s="1" t="str">
        <f t="shared" si="3"/>
        <v/>
      </c>
      <c r="K18414" s="1" t="str">
        <f t="shared" si="4"/>
        <v/>
      </c>
    </row>
    <row r="18415">
      <c r="F18415" s="1" t="str">
        <f t="shared" si="1"/>
        <v/>
      </c>
      <c r="G18415" s="1" t="str">
        <f t="shared" si="2"/>
        <v/>
      </c>
      <c r="J18415" s="1" t="str">
        <f t="shared" si="3"/>
        <v/>
      </c>
      <c r="K18415" s="1" t="str">
        <f t="shared" si="4"/>
        <v/>
      </c>
    </row>
    <row r="18416">
      <c r="F18416" s="1" t="str">
        <f t="shared" si="1"/>
        <v/>
      </c>
      <c r="G18416" s="1" t="str">
        <f t="shared" si="2"/>
        <v/>
      </c>
      <c r="J18416" s="1" t="str">
        <f t="shared" si="3"/>
        <v/>
      </c>
      <c r="K18416" s="1" t="str">
        <f t="shared" si="4"/>
        <v/>
      </c>
    </row>
    <row r="18417">
      <c r="F18417" s="1" t="str">
        <f t="shared" si="1"/>
        <v/>
      </c>
      <c r="G18417" s="1" t="str">
        <f t="shared" si="2"/>
        <v/>
      </c>
      <c r="J18417" s="1" t="str">
        <f t="shared" si="3"/>
        <v/>
      </c>
      <c r="K18417" s="1" t="str">
        <f t="shared" si="4"/>
        <v/>
      </c>
    </row>
    <row r="18418">
      <c r="F18418" s="1" t="str">
        <f t="shared" si="1"/>
        <v/>
      </c>
      <c r="G18418" s="1" t="str">
        <f t="shared" si="2"/>
        <v/>
      </c>
      <c r="J18418" s="1" t="str">
        <f t="shared" si="3"/>
        <v/>
      </c>
      <c r="K18418" s="1" t="str">
        <f t="shared" si="4"/>
        <v/>
      </c>
    </row>
    <row r="18419">
      <c r="F18419" s="1" t="str">
        <f t="shared" si="1"/>
        <v/>
      </c>
      <c r="G18419" s="1" t="str">
        <f t="shared" si="2"/>
        <v/>
      </c>
      <c r="J18419" s="1" t="str">
        <f t="shared" si="3"/>
        <v/>
      </c>
      <c r="K18419" s="1" t="str">
        <f t="shared" si="4"/>
        <v/>
      </c>
    </row>
    <row r="18420">
      <c r="F18420" s="1" t="str">
        <f t="shared" si="1"/>
        <v/>
      </c>
      <c r="G18420" s="1" t="str">
        <f t="shared" si="2"/>
        <v/>
      </c>
      <c r="J18420" s="1" t="str">
        <f t="shared" si="3"/>
        <v/>
      </c>
      <c r="K18420" s="1" t="str">
        <f t="shared" si="4"/>
        <v/>
      </c>
    </row>
    <row r="18421">
      <c r="F18421" s="1" t="str">
        <f t="shared" si="1"/>
        <v/>
      </c>
      <c r="G18421" s="1" t="str">
        <f t="shared" si="2"/>
        <v/>
      </c>
      <c r="J18421" s="1" t="str">
        <f t="shared" si="3"/>
        <v/>
      </c>
      <c r="K18421" s="1" t="str">
        <f t="shared" si="4"/>
        <v/>
      </c>
    </row>
    <row r="18422">
      <c r="F18422" s="1" t="str">
        <f t="shared" si="1"/>
        <v/>
      </c>
      <c r="G18422" s="1" t="str">
        <f t="shared" si="2"/>
        <v/>
      </c>
      <c r="J18422" s="1" t="str">
        <f t="shared" si="3"/>
        <v/>
      </c>
      <c r="K18422" s="1" t="str">
        <f t="shared" si="4"/>
        <v/>
      </c>
    </row>
    <row r="18423">
      <c r="F18423" s="1" t="str">
        <f t="shared" si="1"/>
        <v/>
      </c>
      <c r="G18423" s="1" t="str">
        <f t="shared" si="2"/>
        <v/>
      </c>
      <c r="J18423" s="1" t="str">
        <f t="shared" si="3"/>
        <v/>
      </c>
      <c r="K18423" s="1" t="str">
        <f t="shared" si="4"/>
        <v/>
      </c>
    </row>
    <row r="18424">
      <c r="F18424" s="1" t="str">
        <f t="shared" si="1"/>
        <v/>
      </c>
      <c r="G18424" s="1" t="str">
        <f t="shared" si="2"/>
        <v/>
      </c>
      <c r="J18424" s="1" t="str">
        <f t="shared" si="3"/>
        <v/>
      </c>
      <c r="K18424" s="1" t="str">
        <f t="shared" si="4"/>
        <v/>
      </c>
    </row>
    <row r="18425">
      <c r="F18425" s="1" t="str">
        <f t="shared" si="1"/>
        <v/>
      </c>
      <c r="G18425" s="1" t="str">
        <f t="shared" si="2"/>
        <v/>
      </c>
      <c r="J18425" s="1" t="str">
        <f t="shared" si="3"/>
        <v/>
      </c>
      <c r="K18425" s="1" t="str">
        <f t="shared" si="4"/>
        <v/>
      </c>
    </row>
    <row r="18426">
      <c r="F18426" s="1" t="str">
        <f t="shared" si="1"/>
        <v/>
      </c>
      <c r="G18426" s="1" t="str">
        <f t="shared" si="2"/>
        <v/>
      </c>
      <c r="J18426" s="1" t="str">
        <f t="shared" si="3"/>
        <v/>
      </c>
      <c r="K18426" s="1" t="str">
        <f t="shared" si="4"/>
        <v/>
      </c>
    </row>
    <row r="18427">
      <c r="F18427" s="1" t="str">
        <f t="shared" si="1"/>
        <v/>
      </c>
      <c r="G18427" s="1" t="str">
        <f t="shared" si="2"/>
        <v/>
      </c>
      <c r="J18427" s="1" t="str">
        <f t="shared" si="3"/>
        <v/>
      </c>
      <c r="K18427" s="1" t="str">
        <f t="shared" si="4"/>
        <v/>
      </c>
    </row>
    <row r="18428">
      <c r="F18428" s="1" t="str">
        <f t="shared" si="1"/>
        <v/>
      </c>
      <c r="G18428" s="1" t="str">
        <f t="shared" si="2"/>
        <v/>
      </c>
      <c r="J18428" s="1" t="str">
        <f t="shared" si="3"/>
        <v/>
      </c>
      <c r="K18428" s="1" t="str">
        <f t="shared" si="4"/>
        <v/>
      </c>
    </row>
    <row r="18429">
      <c r="F18429" s="1" t="str">
        <f t="shared" si="1"/>
        <v/>
      </c>
      <c r="G18429" s="1" t="str">
        <f t="shared" si="2"/>
        <v/>
      </c>
      <c r="J18429" s="1" t="str">
        <f t="shared" si="3"/>
        <v/>
      </c>
      <c r="K18429" s="1" t="str">
        <f t="shared" si="4"/>
        <v/>
      </c>
    </row>
    <row r="18430">
      <c r="F18430" s="1" t="str">
        <f t="shared" si="1"/>
        <v/>
      </c>
      <c r="G18430" s="1" t="str">
        <f t="shared" si="2"/>
        <v/>
      </c>
      <c r="J18430" s="1" t="str">
        <f t="shared" si="3"/>
        <v/>
      </c>
      <c r="K18430" s="1" t="str">
        <f t="shared" si="4"/>
        <v/>
      </c>
    </row>
    <row r="18431">
      <c r="F18431" s="1" t="str">
        <f t="shared" si="1"/>
        <v/>
      </c>
      <c r="G18431" s="1" t="str">
        <f t="shared" si="2"/>
        <v/>
      </c>
      <c r="J18431" s="1" t="str">
        <f t="shared" si="3"/>
        <v/>
      </c>
      <c r="K18431" s="1" t="str">
        <f t="shared" si="4"/>
        <v/>
      </c>
    </row>
    <row r="18432">
      <c r="F18432" s="1" t="str">
        <f t="shared" si="1"/>
        <v/>
      </c>
      <c r="G18432" s="1" t="str">
        <f t="shared" si="2"/>
        <v/>
      </c>
      <c r="J18432" s="1" t="str">
        <f t="shared" si="3"/>
        <v/>
      </c>
      <c r="K18432" s="1" t="str">
        <f t="shared" si="4"/>
        <v/>
      </c>
    </row>
    <row r="18433">
      <c r="F18433" s="1" t="str">
        <f t="shared" si="1"/>
        <v/>
      </c>
      <c r="G18433" s="1" t="str">
        <f t="shared" si="2"/>
        <v/>
      </c>
      <c r="J18433" s="1" t="str">
        <f t="shared" si="3"/>
        <v/>
      </c>
      <c r="K18433" s="1" t="str">
        <f t="shared" si="4"/>
        <v/>
      </c>
    </row>
    <row r="18434">
      <c r="F18434" s="1" t="str">
        <f t="shared" si="1"/>
        <v/>
      </c>
      <c r="G18434" s="1" t="str">
        <f t="shared" si="2"/>
        <v/>
      </c>
      <c r="J18434" s="1" t="str">
        <f t="shared" si="3"/>
        <v/>
      </c>
      <c r="K18434" s="1" t="str">
        <f t="shared" si="4"/>
        <v/>
      </c>
    </row>
    <row r="18435">
      <c r="F18435" s="1" t="str">
        <f t="shared" si="1"/>
        <v/>
      </c>
      <c r="G18435" s="1" t="str">
        <f t="shared" si="2"/>
        <v/>
      </c>
      <c r="J18435" s="1" t="str">
        <f t="shared" si="3"/>
        <v/>
      </c>
      <c r="K18435" s="1" t="str">
        <f t="shared" si="4"/>
        <v/>
      </c>
    </row>
    <row r="18436">
      <c r="F18436" s="1" t="str">
        <f t="shared" si="1"/>
        <v/>
      </c>
      <c r="G18436" s="1" t="str">
        <f t="shared" si="2"/>
        <v/>
      </c>
      <c r="J18436" s="1" t="str">
        <f t="shared" si="3"/>
        <v/>
      </c>
      <c r="K18436" s="1" t="str">
        <f t="shared" si="4"/>
        <v/>
      </c>
    </row>
    <row r="18437">
      <c r="F18437" s="1" t="str">
        <f t="shared" si="1"/>
        <v/>
      </c>
      <c r="G18437" s="1" t="str">
        <f t="shared" si="2"/>
        <v/>
      </c>
      <c r="J18437" s="1" t="str">
        <f t="shared" si="3"/>
        <v/>
      </c>
      <c r="K18437" s="1" t="str">
        <f t="shared" si="4"/>
        <v/>
      </c>
    </row>
    <row r="18438">
      <c r="F18438" s="1" t="str">
        <f t="shared" si="1"/>
        <v/>
      </c>
      <c r="G18438" s="1" t="str">
        <f t="shared" si="2"/>
        <v/>
      </c>
      <c r="J18438" s="1" t="str">
        <f t="shared" si="3"/>
        <v/>
      </c>
      <c r="K18438" s="1" t="str">
        <f t="shared" si="4"/>
        <v/>
      </c>
    </row>
    <row r="18439">
      <c r="F18439" s="1" t="str">
        <f t="shared" si="1"/>
        <v/>
      </c>
      <c r="G18439" s="1" t="str">
        <f t="shared" si="2"/>
        <v/>
      </c>
      <c r="J18439" s="1" t="str">
        <f t="shared" si="3"/>
        <v/>
      </c>
      <c r="K18439" s="1" t="str">
        <f t="shared" si="4"/>
        <v/>
      </c>
    </row>
    <row r="18440">
      <c r="F18440" s="1" t="str">
        <f t="shared" si="1"/>
        <v/>
      </c>
      <c r="G18440" s="1" t="str">
        <f t="shared" si="2"/>
        <v/>
      </c>
      <c r="J18440" s="1" t="str">
        <f t="shared" si="3"/>
        <v/>
      </c>
      <c r="K18440" s="1" t="str">
        <f t="shared" si="4"/>
        <v/>
      </c>
    </row>
    <row r="18441">
      <c r="F18441" s="1" t="str">
        <f t="shared" si="1"/>
        <v/>
      </c>
      <c r="G18441" s="1" t="str">
        <f t="shared" si="2"/>
        <v/>
      </c>
      <c r="J18441" s="1" t="str">
        <f t="shared" si="3"/>
        <v/>
      </c>
      <c r="K18441" s="1" t="str">
        <f t="shared" si="4"/>
        <v/>
      </c>
    </row>
    <row r="18442">
      <c r="F18442" s="1" t="str">
        <f t="shared" si="1"/>
        <v/>
      </c>
      <c r="G18442" s="1" t="str">
        <f t="shared" si="2"/>
        <v/>
      </c>
      <c r="J18442" s="1" t="str">
        <f t="shared" si="3"/>
        <v/>
      </c>
      <c r="K18442" s="1" t="str">
        <f t="shared" si="4"/>
        <v/>
      </c>
    </row>
    <row r="18443">
      <c r="F18443" s="1" t="str">
        <f t="shared" si="1"/>
        <v/>
      </c>
      <c r="G18443" s="1" t="str">
        <f t="shared" si="2"/>
        <v/>
      </c>
      <c r="J18443" s="1" t="str">
        <f t="shared" si="3"/>
        <v/>
      </c>
      <c r="K18443" s="1" t="str">
        <f t="shared" si="4"/>
        <v/>
      </c>
    </row>
    <row r="18444">
      <c r="F18444" s="1" t="str">
        <f t="shared" si="1"/>
        <v/>
      </c>
      <c r="G18444" s="1" t="str">
        <f t="shared" si="2"/>
        <v/>
      </c>
      <c r="J18444" s="1" t="str">
        <f t="shared" si="3"/>
        <v/>
      </c>
      <c r="K18444" s="1" t="str">
        <f t="shared" si="4"/>
        <v/>
      </c>
    </row>
    <row r="18445">
      <c r="F18445" s="1" t="str">
        <f t="shared" si="1"/>
        <v/>
      </c>
      <c r="G18445" s="1" t="str">
        <f t="shared" si="2"/>
        <v/>
      </c>
      <c r="J18445" s="1" t="str">
        <f t="shared" si="3"/>
        <v/>
      </c>
      <c r="K18445" s="1" t="str">
        <f t="shared" si="4"/>
        <v/>
      </c>
    </row>
    <row r="18446">
      <c r="F18446" s="1" t="str">
        <f t="shared" si="1"/>
        <v/>
      </c>
      <c r="G18446" s="1" t="str">
        <f t="shared" si="2"/>
        <v/>
      </c>
      <c r="J18446" s="1" t="str">
        <f t="shared" si="3"/>
        <v/>
      </c>
      <c r="K18446" s="1" t="str">
        <f t="shared" si="4"/>
        <v/>
      </c>
    </row>
    <row r="18447">
      <c r="F18447" s="1" t="str">
        <f t="shared" si="1"/>
        <v/>
      </c>
      <c r="G18447" s="1" t="str">
        <f t="shared" si="2"/>
        <v/>
      </c>
      <c r="J18447" s="1" t="str">
        <f t="shared" si="3"/>
        <v/>
      </c>
      <c r="K18447" s="1" t="str">
        <f t="shared" si="4"/>
        <v/>
      </c>
    </row>
    <row r="18448">
      <c r="F18448" s="1" t="str">
        <f t="shared" si="1"/>
        <v/>
      </c>
      <c r="G18448" s="1" t="str">
        <f t="shared" si="2"/>
        <v/>
      </c>
      <c r="J18448" s="1" t="str">
        <f t="shared" si="3"/>
        <v/>
      </c>
      <c r="K18448" s="1" t="str">
        <f t="shared" si="4"/>
        <v/>
      </c>
    </row>
    <row r="18449">
      <c r="F18449" s="1" t="str">
        <f t="shared" si="1"/>
        <v/>
      </c>
      <c r="G18449" s="1" t="str">
        <f t="shared" si="2"/>
        <v/>
      </c>
      <c r="J18449" s="1" t="str">
        <f t="shared" si="3"/>
        <v/>
      </c>
      <c r="K18449" s="1" t="str">
        <f t="shared" si="4"/>
        <v/>
      </c>
    </row>
    <row r="18450">
      <c r="F18450" s="1" t="str">
        <f t="shared" si="1"/>
        <v/>
      </c>
      <c r="G18450" s="1" t="str">
        <f t="shared" si="2"/>
        <v/>
      </c>
      <c r="J18450" s="1" t="str">
        <f t="shared" si="3"/>
        <v/>
      </c>
      <c r="K18450" s="1" t="str">
        <f t="shared" si="4"/>
        <v/>
      </c>
    </row>
    <row r="18451">
      <c r="F18451" s="1" t="str">
        <f t="shared" si="1"/>
        <v/>
      </c>
      <c r="G18451" s="1" t="str">
        <f t="shared" si="2"/>
        <v/>
      </c>
      <c r="J18451" s="1" t="str">
        <f t="shared" si="3"/>
        <v/>
      </c>
      <c r="K18451" s="1" t="str">
        <f t="shared" si="4"/>
        <v/>
      </c>
    </row>
    <row r="18452">
      <c r="F18452" s="1" t="str">
        <f t="shared" si="1"/>
        <v/>
      </c>
      <c r="G18452" s="1" t="str">
        <f t="shared" si="2"/>
        <v/>
      </c>
      <c r="J18452" s="1" t="str">
        <f t="shared" si="3"/>
        <v/>
      </c>
      <c r="K18452" s="1" t="str">
        <f t="shared" si="4"/>
        <v/>
      </c>
    </row>
    <row r="18453">
      <c r="F18453" s="1" t="str">
        <f t="shared" si="1"/>
        <v/>
      </c>
      <c r="G18453" s="1" t="str">
        <f t="shared" si="2"/>
        <v/>
      </c>
      <c r="J18453" s="1" t="str">
        <f t="shared" si="3"/>
        <v/>
      </c>
      <c r="K18453" s="1" t="str">
        <f t="shared" si="4"/>
        <v/>
      </c>
    </row>
    <row r="18454">
      <c r="F18454" s="1" t="str">
        <f t="shared" si="1"/>
        <v/>
      </c>
      <c r="G18454" s="1" t="str">
        <f t="shared" si="2"/>
        <v/>
      </c>
      <c r="J18454" s="1" t="str">
        <f t="shared" si="3"/>
        <v/>
      </c>
      <c r="K18454" s="1" t="str">
        <f t="shared" si="4"/>
        <v/>
      </c>
    </row>
    <row r="18455">
      <c r="F18455" s="1" t="str">
        <f t="shared" si="1"/>
        <v/>
      </c>
      <c r="G18455" s="1" t="str">
        <f t="shared" si="2"/>
        <v/>
      </c>
      <c r="J18455" s="1" t="str">
        <f t="shared" si="3"/>
        <v/>
      </c>
      <c r="K18455" s="1" t="str">
        <f t="shared" si="4"/>
        <v/>
      </c>
    </row>
    <row r="18456">
      <c r="F18456" s="1" t="str">
        <f t="shared" si="1"/>
        <v/>
      </c>
      <c r="G18456" s="1" t="str">
        <f t="shared" si="2"/>
        <v/>
      </c>
      <c r="J18456" s="1" t="str">
        <f t="shared" si="3"/>
        <v/>
      </c>
      <c r="K18456" s="1" t="str">
        <f t="shared" si="4"/>
        <v/>
      </c>
    </row>
    <row r="18457">
      <c r="F18457" s="1" t="str">
        <f t="shared" si="1"/>
        <v/>
      </c>
      <c r="G18457" s="1" t="str">
        <f t="shared" si="2"/>
        <v/>
      </c>
      <c r="J18457" s="1" t="str">
        <f t="shared" si="3"/>
        <v/>
      </c>
      <c r="K18457" s="1" t="str">
        <f t="shared" si="4"/>
        <v/>
      </c>
    </row>
    <row r="18458">
      <c r="F18458" s="1" t="str">
        <f t="shared" si="1"/>
        <v/>
      </c>
      <c r="G18458" s="1" t="str">
        <f t="shared" si="2"/>
        <v/>
      </c>
      <c r="J18458" s="1" t="str">
        <f t="shared" si="3"/>
        <v/>
      </c>
      <c r="K18458" s="1" t="str">
        <f t="shared" si="4"/>
        <v/>
      </c>
    </row>
    <row r="18459">
      <c r="F18459" s="1" t="str">
        <f t="shared" si="1"/>
        <v/>
      </c>
      <c r="G18459" s="1" t="str">
        <f t="shared" si="2"/>
        <v/>
      </c>
      <c r="J18459" s="1" t="str">
        <f t="shared" si="3"/>
        <v/>
      </c>
      <c r="K18459" s="1" t="str">
        <f t="shared" si="4"/>
        <v/>
      </c>
    </row>
    <row r="18460">
      <c r="F18460" s="1" t="str">
        <f t="shared" si="1"/>
        <v/>
      </c>
      <c r="G18460" s="1" t="str">
        <f t="shared" si="2"/>
        <v/>
      </c>
      <c r="J18460" s="1" t="str">
        <f t="shared" si="3"/>
        <v/>
      </c>
      <c r="K18460" s="1" t="str">
        <f t="shared" si="4"/>
        <v/>
      </c>
    </row>
    <row r="18461">
      <c r="F18461" s="1" t="str">
        <f t="shared" si="1"/>
        <v/>
      </c>
      <c r="G18461" s="1" t="str">
        <f t="shared" si="2"/>
        <v/>
      </c>
      <c r="J18461" s="1" t="str">
        <f t="shared" si="3"/>
        <v/>
      </c>
      <c r="K18461" s="1" t="str">
        <f t="shared" si="4"/>
        <v/>
      </c>
    </row>
    <row r="18462">
      <c r="F18462" s="1" t="str">
        <f t="shared" si="1"/>
        <v/>
      </c>
      <c r="G18462" s="1" t="str">
        <f t="shared" si="2"/>
        <v/>
      </c>
      <c r="J18462" s="1" t="str">
        <f t="shared" si="3"/>
        <v/>
      </c>
      <c r="K18462" s="1" t="str">
        <f t="shared" si="4"/>
        <v/>
      </c>
    </row>
    <row r="18463">
      <c r="F18463" s="1" t="str">
        <f t="shared" si="1"/>
        <v/>
      </c>
      <c r="G18463" s="1" t="str">
        <f t="shared" si="2"/>
        <v/>
      </c>
      <c r="J18463" s="1" t="str">
        <f t="shared" si="3"/>
        <v/>
      </c>
      <c r="K18463" s="1" t="str">
        <f t="shared" si="4"/>
        <v/>
      </c>
    </row>
    <row r="18464">
      <c r="F18464" s="1" t="str">
        <f t="shared" si="1"/>
        <v/>
      </c>
      <c r="G18464" s="1" t="str">
        <f t="shared" si="2"/>
        <v/>
      </c>
      <c r="J18464" s="1" t="str">
        <f t="shared" si="3"/>
        <v/>
      </c>
      <c r="K18464" s="1" t="str">
        <f t="shared" si="4"/>
        <v/>
      </c>
    </row>
    <row r="18465">
      <c r="F18465" s="1" t="str">
        <f t="shared" si="1"/>
        <v/>
      </c>
      <c r="G18465" s="1" t="str">
        <f t="shared" si="2"/>
        <v/>
      </c>
      <c r="J18465" s="1" t="str">
        <f t="shared" si="3"/>
        <v/>
      </c>
      <c r="K18465" s="1" t="str">
        <f t="shared" si="4"/>
        <v/>
      </c>
    </row>
    <row r="18466">
      <c r="F18466" s="1" t="str">
        <f t="shared" si="1"/>
        <v/>
      </c>
      <c r="G18466" s="1" t="str">
        <f t="shared" si="2"/>
        <v/>
      </c>
      <c r="J18466" s="1" t="str">
        <f t="shared" si="3"/>
        <v/>
      </c>
      <c r="K18466" s="1" t="str">
        <f t="shared" si="4"/>
        <v/>
      </c>
    </row>
    <row r="18467">
      <c r="F18467" s="1" t="str">
        <f t="shared" si="1"/>
        <v/>
      </c>
      <c r="G18467" s="1" t="str">
        <f t="shared" si="2"/>
        <v/>
      </c>
      <c r="J18467" s="1" t="str">
        <f t="shared" si="3"/>
        <v/>
      </c>
      <c r="K18467" s="1" t="str">
        <f t="shared" si="4"/>
        <v/>
      </c>
    </row>
    <row r="18468">
      <c r="F18468" s="1" t="str">
        <f t="shared" si="1"/>
        <v/>
      </c>
      <c r="G18468" s="1" t="str">
        <f t="shared" si="2"/>
        <v/>
      </c>
      <c r="J18468" s="1" t="str">
        <f t="shared" si="3"/>
        <v/>
      </c>
      <c r="K18468" s="1" t="str">
        <f t="shared" si="4"/>
        <v/>
      </c>
    </row>
    <row r="18469">
      <c r="F18469" s="1" t="str">
        <f t="shared" si="1"/>
        <v/>
      </c>
      <c r="G18469" s="1" t="str">
        <f t="shared" si="2"/>
        <v/>
      </c>
      <c r="J18469" s="1" t="str">
        <f t="shared" si="3"/>
        <v/>
      </c>
      <c r="K18469" s="1" t="str">
        <f t="shared" si="4"/>
        <v/>
      </c>
    </row>
    <row r="18470">
      <c r="F18470" s="1" t="str">
        <f t="shared" si="1"/>
        <v/>
      </c>
      <c r="G18470" s="1" t="str">
        <f t="shared" si="2"/>
        <v/>
      </c>
      <c r="J18470" s="1" t="str">
        <f t="shared" si="3"/>
        <v/>
      </c>
      <c r="K18470" s="1" t="str">
        <f t="shared" si="4"/>
        <v/>
      </c>
    </row>
    <row r="18471">
      <c r="F18471" s="1" t="str">
        <f t="shared" si="1"/>
        <v/>
      </c>
      <c r="G18471" s="1" t="str">
        <f t="shared" si="2"/>
        <v/>
      </c>
      <c r="J18471" s="1" t="str">
        <f t="shared" si="3"/>
        <v/>
      </c>
      <c r="K18471" s="1" t="str">
        <f t="shared" si="4"/>
        <v/>
      </c>
    </row>
    <row r="18472">
      <c r="F18472" s="1" t="str">
        <f t="shared" si="1"/>
        <v/>
      </c>
      <c r="G18472" s="1" t="str">
        <f t="shared" si="2"/>
        <v/>
      </c>
      <c r="J18472" s="1" t="str">
        <f t="shared" si="3"/>
        <v/>
      </c>
      <c r="K18472" s="1" t="str">
        <f t="shared" si="4"/>
        <v/>
      </c>
    </row>
    <row r="18473">
      <c r="F18473" s="1" t="str">
        <f t="shared" si="1"/>
        <v/>
      </c>
      <c r="G18473" s="1" t="str">
        <f t="shared" si="2"/>
        <v/>
      </c>
      <c r="J18473" s="1" t="str">
        <f t="shared" si="3"/>
        <v/>
      </c>
      <c r="K18473" s="1" t="str">
        <f t="shared" si="4"/>
        <v/>
      </c>
    </row>
    <row r="18474">
      <c r="F18474" s="1" t="str">
        <f t="shared" si="1"/>
        <v/>
      </c>
      <c r="G18474" s="1" t="str">
        <f t="shared" si="2"/>
        <v/>
      </c>
      <c r="J18474" s="1" t="str">
        <f t="shared" si="3"/>
        <v/>
      </c>
      <c r="K18474" s="1" t="str">
        <f t="shared" si="4"/>
        <v/>
      </c>
    </row>
    <row r="18475">
      <c r="F18475" s="1" t="str">
        <f t="shared" si="1"/>
        <v/>
      </c>
      <c r="G18475" s="1" t="str">
        <f t="shared" si="2"/>
        <v/>
      </c>
      <c r="J18475" s="1" t="str">
        <f t="shared" si="3"/>
        <v/>
      </c>
      <c r="K18475" s="1" t="str">
        <f t="shared" si="4"/>
        <v/>
      </c>
    </row>
    <row r="18476">
      <c r="F18476" s="1" t="str">
        <f t="shared" si="1"/>
        <v/>
      </c>
      <c r="G18476" s="1" t="str">
        <f t="shared" si="2"/>
        <v/>
      </c>
      <c r="J18476" s="1" t="str">
        <f t="shared" si="3"/>
        <v/>
      </c>
      <c r="K18476" s="1" t="str">
        <f t="shared" si="4"/>
        <v/>
      </c>
    </row>
    <row r="18477">
      <c r="F18477" s="1" t="str">
        <f t="shared" si="1"/>
        <v/>
      </c>
      <c r="G18477" s="1" t="str">
        <f t="shared" si="2"/>
        <v/>
      </c>
      <c r="J18477" s="1" t="str">
        <f t="shared" si="3"/>
        <v/>
      </c>
      <c r="K18477" s="1" t="str">
        <f t="shared" si="4"/>
        <v/>
      </c>
    </row>
    <row r="18478">
      <c r="F18478" s="1" t="str">
        <f t="shared" si="1"/>
        <v/>
      </c>
      <c r="G18478" s="1" t="str">
        <f t="shared" si="2"/>
        <v/>
      </c>
      <c r="J18478" s="1" t="str">
        <f t="shared" si="3"/>
        <v/>
      </c>
      <c r="K18478" s="1" t="str">
        <f t="shared" si="4"/>
        <v/>
      </c>
    </row>
    <row r="18479">
      <c r="F18479" s="1" t="str">
        <f t="shared" si="1"/>
        <v/>
      </c>
      <c r="G18479" s="1" t="str">
        <f t="shared" si="2"/>
        <v/>
      </c>
      <c r="J18479" s="1" t="str">
        <f t="shared" si="3"/>
        <v/>
      </c>
      <c r="K18479" s="1" t="str">
        <f t="shared" si="4"/>
        <v/>
      </c>
    </row>
    <row r="18480">
      <c r="F18480" s="1" t="str">
        <f t="shared" si="1"/>
        <v/>
      </c>
      <c r="G18480" s="1" t="str">
        <f t="shared" si="2"/>
        <v/>
      </c>
      <c r="J18480" s="1" t="str">
        <f t="shared" si="3"/>
        <v/>
      </c>
      <c r="K18480" s="1" t="str">
        <f t="shared" si="4"/>
        <v/>
      </c>
    </row>
    <row r="18481">
      <c r="F18481" s="1" t="str">
        <f t="shared" si="1"/>
        <v/>
      </c>
      <c r="G18481" s="1" t="str">
        <f t="shared" si="2"/>
        <v/>
      </c>
      <c r="J18481" s="1" t="str">
        <f t="shared" si="3"/>
        <v/>
      </c>
      <c r="K18481" s="1" t="str">
        <f t="shared" si="4"/>
        <v/>
      </c>
    </row>
    <row r="18482">
      <c r="F18482" s="1" t="str">
        <f t="shared" si="1"/>
        <v/>
      </c>
      <c r="G18482" s="1" t="str">
        <f t="shared" si="2"/>
        <v/>
      </c>
      <c r="J18482" s="1" t="str">
        <f t="shared" si="3"/>
        <v/>
      </c>
      <c r="K18482" s="1" t="str">
        <f t="shared" si="4"/>
        <v/>
      </c>
    </row>
    <row r="18483">
      <c r="F18483" s="1" t="str">
        <f t="shared" si="1"/>
        <v/>
      </c>
      <c r="G18483" s="1" t="str">
        <f t="shared" si="2"/>
        <v/>
      </c>
      <c r="J18483" s="1" t="str">
        <f t="shared" si="3"/>
        <v/>
      </c>
      <c r="K18483" s="1" t="str">
        <f t="shared" si="4"/>
        <v/>
      </c>
    </row>
    <row r="18484">
      <c r="F18484" s="1" t="str">
        <f t="shared" si="1"/>
        <v/>
      </c>
      <c r="G18484" s="1" t="str">
        <f t="shared" si="2"/>
        <v/>
      </c>
      <c r="J18484" s="1" t="str">
        <f t="shared" si="3"/>
        <v/>
      </c>
      <c r="K18484" s="1" t="str">
        <f t="shared" si="4"/>
        <v/>
      </c>
    </row>
    <row r="18485">
      <c r="F18485" s="1" t="str">
        <f t="shared" si="1"/>
        <v/>
      </c>
      <c r="G18485" s="1" t="str">
        <f t="shared" si="2"/>
        <v/>
      </c>
      <c r="J18485" s="1" t="str">
        <f t="shared" si="3"/>
        <v/>
      </c>
      <c r="K18485" s="1" t="str">
        <f t="shared" si="4"/>
        <v/>
      </c>
    </row>
    <row r="18486">
      <c r="F18486" s="1" t="str">
        <f t="shared" si="1"/>
        <v/>
      </c>
      <c r="G18486" s="1" t="str">
        <f t="shared" si="2"/>
        <v/>
      </c>
      <c r="J18486" s="1" t="str">
        <f t="shared" si="3"/>
        <v/>
      </c>
      <c r="K18486" s="1" t="str">
        <f t="shared" si="4"/>
        <v/>
      </c>
    </row>
    <row r="18487">
      <c r="F18487" s="1" t="str">
        <f t="shared" si="1"/>
        <v/>
      </c>
      <c r="G18487" s="1" t="str">
        <f t="shared" si="2"/>
        <v/>
      </c>
      <c r="J18487" s="1" t="str">
        <f t="shared" si="3"/>
        <v/>
      </c>
      <c r="K18487" s="1" t="str">
        <f t="shared" si="4"/>
        <v/>
      </c>
    </row>
    <row r="18488">
      <c r="F18488" s="1" t="str">
        <f t="shared" si="1"/>
        <v/>
      </c>
      <c r="G18488" s="1" t="str">
        <f t="shared" si="2"/>
        <v/>
      </c>
      <c r="J18488" s="1" t="str">
        <f t="shared" si="3"/>
        <v/>
      </c>
      <c r="K18488" s="1" t="str">
        <f t="shared" si="4"/>
        <v/>
      </c>
    </row>
    <row r="18489">
      <c r="F18489" s="1" t="str">
        <f t="shared" si="1"/>
        <v/>
      </c>
      <c r="G18489" s="1" t="str">
        <f t="shared" si="2"/>
        <v/>
      </c>
      <c r="J18489" s="1" t="str">
        <f t="shared" si="3"/>
        <v/>
      </c>
      <c r="K18489" s="1" t="str">
        <f t="shared" si="4"/>
        <v/>
      </c>
    </row>
    <row r="18490">
      <c r="F18490" s="1" t="str">
        <f t="shared" si="1"/>
        <v/>
      </c>
      <c r="G18490" s="1" t="str">
        <f t="shared" si="2"/>
        <v/>
      </c>
      <c r="J18490" s="1" t="str">
        <f t="shared" si="3"/>
        <v/>
      </c>
      <c r="K18490" s="1" t="str">
        <f t="shared" si="4"/>
        <v/>
      </c>
    </row>
    <row r="18491">
      <c r="F18491" s="1" t="str">
        <f t="shared" si="1"/>
        <v/>
      </c>
      <c r="G18491" s="1" t="str">
        <f t="shared" si="2"/>
        <v/>
      </c>
      <c r="J18491" s="1" t="str">
        <f t="shared" si="3"/>
        <v/>
      </c>
      <c r="K18491" s="1" t="str">
        <f t="shared" si="4"/>
        <v/>
      </c>
    </row>
    <row r="18492">
      <c r="F18492" s="1" t="str">
        <f t="shared" si="1"/>
        <v/>
      </c>
      <c r="G18492" s="1" t="str">
        <f t="shared" si="2"/>
        <v/>
      </c>
      <c r="J18492" s="1" t="str">
        <f t="shared" si="3"/>
        <v/>
      </c>
      <c r="K18492" s="1" t="str">
        <f t="shared" si="4"/>
        <v/>
      </c>
    </row>
    <row r="18493">
      <c r="F18493" s="1" t="str">
        <f t="shared" si="1"/>
        <v/>
      </c>
      <c r="G18493" s="1" t="str">
        <f t="shared" si="2"/>
        <v/>
      </c>
      <c r="J18493" s="1" t="str">
        <f t="shared" si="3"/>
        <v/>
      </c>
      <c r="K18493" s="1" t="str">
        <f t="shared" si="4"/>
        <v/>
      </c>
    </row>
    <row r="18494">
      <c r="F18494" s="1" t="str">
        <f t="shared" si="1"/>
        <v/>
      </c>
      <c r="G18494" s="1" t="str">
        <f t="shared" si="2"/>
        <v/>
      </c>
      <c r="J18494" s="1" t="str">
        <f t="shared" si="3"/>
        <v/>
      </c>
      <c r="K18494" s="1" t="str">
        <f t="shared" si="4"/>
        <v/>
      </c>
    </row>
    <row r="18495">
      <c r="F18495" s="1" t="str">
        <f t="shared" si="1"/>
        <v/>
      </c>
      <c r="G18495" s="1" t="str">
        <f t="shared" si="2"/>
        <v/>
      </c>
      <c r="J18495" s="1" t="str">
        <f t="shared" si="3"/>
        <v/>
      </c>
      <c r="K18495" s="1" t="str">
        <f t="shared" si="4"/>
        <v/>
      </c>
    </row>
    <row r="18496">
      <c r="F18496" s="1" t="str">
        <f t="shared" si="1"/>
        <v/>
      </c>
      <c r="G18496" s="1" t="str">
        <f t="shared" si="2"/>
        <v/>
      </c>
      <c r="J18496" s="1" t="str">
        <f t="shared" si="3"/>
        <v/>
      </c>
      <c r="K18496" s="1" t="str">
        <f t="shared" si="4"/>
        <v/>
      </c>
    </row>
    <row r="18497">
      <c r="F18497" s="1" t="str">
        <f t="shared" si="1"/>
        <v/>
      </c>
      <c r="G18497" s="1" t="str">
        <f t="shared" si="2"/>
        <v/>
      </c>
      <c r="J18497" s="1" t="str">
        <f t="shared" si="3"/>
        <v/>
      </c>
      <c r="K18497" s="1" t="str">
        <f t="shared" si="4"/>
        <v/>
      </c>
    </row>
    <row r="18498">
      <c r="F18498" s="1" t="str">
        <f t="shared" si="1"/>
        <v/>
      </c>
      <c r="G18498" s="1" t="str">
        <f t="shared" si="2"/>
        <v/>
      </c>
      <c r="J18498" s="1" t="str">
        <f t="shared" si="3"/>
        <v/>
      </c>
      <c r="K18498" s="1" t="str">
        <f t="shared" si="4"/>
        <v/>
      </c>
    </row>
    <row r="18499">
      <c r="F18499" s="1" t="str">
        <f t="shared" si="1"/>
        <v/>
      </c>
      <c r="G18499" s="1" t="str">
        <f t="shared" si="2"/>
        <v/>
      </c>
      <c r="J18499" s="1" t="str">
        <f t="shared" si="3"/>
        <v/>
      </c>
      <c r="K18499" s="1" t="str">
        <f t="shared" si="4"/>
        <v/>
      </c>
    </row>
    <row r="18500">
      <c r="F18500" s="1" t="str">
        <f t="shared" si="1"/>
        <v/>
      </c>
      <c r="G18500" s="1" t="str">
        <f t="shared" si="2"/>
        <v/>
      </c>
      <c r="J18500" s="1" t="str">
        <f t="shared" si="3"/>
        <v/>
      </c>
      <c r="K18500" s="1" t="str">
        <f t="shared" si="4"/>
        <v/>
      </c>
    </row>
    <row r="18501">
      <c r="F18501" s="1" t="str">
        <f t="shared" si="1"/>
        <v/>
      </c>
      <c r="G18501" s="1" t="str">
        <f t="shared" si="2"/>
        <v/>
      </c>
      <c r="J18501" s="1" t="str">
        <f t="shared" si="3"/>
        <v/>
      </c>
      <c r="K18501" s="1" t="str">
        <f t="shared" si="4"/>
        <v/>
      </c>
    </row>
    <row r="18502">
      <c r="F18502" s="1" t="str">
        <f t="shared" si="1"/>
        <v/>
      </c>
      <c r="G18502" s="1" t="str">
        <f t="shared" si="2"/>
        <v/>
      </c>
      <c r="J18502" s="1" t="str">
        <f t="shared" si="3"/>
        <v/>
      </c>
      <c r="K18502" s="1" t="str">
        <f t="shared" si="4"/>
        <v/>
      </c>
    </row>
    <row r="18503">
      <c r="F18503" s="1" t="str">
        <f t="shared" si="1"/>
        <v/>
      </c>
      <c r="G18503" s="1" t="str">
        <f t="shared" si="2"/>
        <v/>
      </c>
      <c r="J18503" s="1" t="str">
        <f t="shared" si="3"/>
        <v/>
      </c>
      <c r="K18503" s="1" t="str">
        <f t="shared" si="4"/>
        <v/>
      </c>
    </row>
    <row r="18504">
      <c r="F18504" s="1" t="str">
        <f t="shared" si="1"/>
        <v/>
      </c>
      <c r="G18504" s="1" t="str">
        <f t="shared" si="2"/>
        <v/>
      </c>
      <c r="J18504" s="1" t="str">
        <f t="shared" si="3"/>
        <v/>
      </c>
      <c r="K18504" s="1" t="str">
        <f t="shared" si="4"/>
        <v/>
      </c>
    </row>
    <row r="18505">
      <c r="F18505" s="1" t="str">
        <f t="shared" si="1"/>
        <v/>
      </c>
      <c r="G18505" s="1" t="str">
        <f t="shared" si="2"/>
        <v/>
      </c>
      <c r="J18505" s="1" t="str">
        <f t="shared" si="3"/>
        <v/>
      </c>
      <c r="K18505" s="1" t="str">
        <f t="shared" si="4"/>
        <v/>
      </c>
    </row>
    <row r="18506">
      <c r="F18506" s="1" t="str">
        <f t="shared" si="1"/>
        <v/>
      </c>
      <c r="G18506" s="1" t="str">
        <f t="shared" si="2"/>
        <v/>
      </c>
      <c r="J18506" s="1" t="str">
        <f t="shared" si="3"/>
        <v/>
      </c>
      <c r="K18506" s="1" t="str">
        <f t="shared" si="4"/>
        <v/>
      </c>
    </row>
    <row r="18507">
      <c r="F18507" s="1" t="str">
        <f t="shared" si="1"/>
        <v/>
      </c>
      <c r="G18507" s="1" t="str">
        <f t="shared" si="2"/>
        <v/>
      </c>
      <c r="J18507" s="1" t="str">
        <f t="shared" si="3"/>
        <v/>
      </c>
      <c r="K18507" s="1" t="str">
        <f t="shared" si="4"/>
        <v/>
      </c>
    </row>
    <row r="18508">
      <c r="F18508" s="1" t="str">
        <f t="shared" si="1"/>
        <v/>
      </c>
      <c r="G18508" s="1" t="str">
        <f t="shared" si="2"/>
        <v/>
      </c>
      <c r="J18508" s="1" t="str">
        <f t="shared" si="3"/>
        <v/>
      </c>
      <c r="K18508" s="1" t="str">
        <f t="shared" si="4"/>
        <v/>
      </c>
    </row>
    <row r="18509">
      <c r="F18509" s="1" t="str">
        <f t="shared" si="1"/>
        <v/>
      </c>
      <c r="G18509" s="1" t="str">
        <f t="shared" si="2"/>
        <v/>
      </c>
      <c r="J18509" s="1" t="str">
        <f t="shared" si="3"/>
        <v/>
      </c>
      <c r="K18509" s="1" t="str">
        <f t="shared" si="4"/>
        <v/>
      </c>
    </row>
    <row r="18510">
      <c r="F18510" s="1" t="str">
        <f t="shared" si="1"/>
        <v/>
      </c>
      <c r="G18510" s="1" t="str">
        <f t="shared" si="2"/>
        <v/>
      </c>
      <c r="J18510" s="1" t="str">
        <f t="shared" si="3"/>
        <v/>
      </c>
      <c r="K18510" s="1" t="str">
        <f t="shared" si="4"/>
        <v/>
      </c>
    </row>
    <row r="18511">
      <c r="F18511" s="1" t="str">
        <f t="shared" si="1"/>
        <v/>
      </c>
      <c r="G18511" s="1" t="str">
        <f t="shared" si="2"/>
        <v/>
      </c>
      <c r="J18511" s="1" t="str">
        <f t="shared" si="3"/>
        <v/>
      </c>
      <c r="K18511" s="1" t="str">
        <f t="shared" si="4"/>
        <v/>
      </c>
    </row>
    <row r="18512">
      <c r="F18512" s="1" t="str">
        <f t="shared" si="1"/>
        <v/>
      </c>
      <c r="G18512" s="1" t="str">
        <f t="shared" si="2"/>
        <v/>
      </c>
      <c r="J18512" s="1" t="str">
        <f t="shared" si="3"/>
        <v/>
      </c>
      <c r="K18512" s="1" t="str">
        <f t="shared" si="4"/>
        <v/>
      </c>
    </row>
    <row r="18513">
      <c r="F18513" s="1" t="str">
        <f t="shared" si="1"/>
        <v/>
      </c>
      <c r="G18513" s="1" t="str">
        <f t="shared" si="2"/>
        <v/>
      </c>
      <c r="J18513" s="1" t="str">
        <f t="shared" si="3"/>
        <v/>
      </c>
      <c r="K18513" s="1" t="str">
        <f t="shared" si="4"/>
        <v/>
      </c>
    </row>
    <row r="18514">
      <c r="F18514" s="1" t="str">
        <f t="shared" si="1"/>
        <v/>
      </c>
      <c r="G18514" s="1" t="str">
        <f t="shared" si="2"/>
        <v/>
      </c>
      <c r="J18514" s="1" t="str">
        <f t="shared" si="3"/>
        <v/>
      </c>
      <c r="K18514" s="1" t="str">
        <f t="shared" si="4"/>
        <v/>
      </c>
    </row>
    <row r="18515">
      <c r="F18515" s="1" t="str">
        <f t="shared" si="1"/>
        <v/>
      </c>
      <c r="G18515" s="1" t="str">
        <f t="shared" si="2"/>
        <v/>
      </c>
      <c r="J18515" s="1" t="str">
        <f t="shared" si="3"/>
        <v/>
      </c>
      <c r="K18515" s="1" t="str">
        <f t="shared" si="4"/>
        <v/>
      </c>
    </row>
    <row r="18516">
      <c r="F18516" s="1" t="str">
        <f t="shared" si="1"/>
        <v/>
      </c>
      <c r="G18516" s="1" t="str">
        <f t="shared" si="2"/>
        <v/>
      </c>
      <c r="J18516" s="1" t="str">
        <f t="shared" si="3"/>
        <v/>
      </c>
      <c r="K18516" s="1" t="str">
        <f t="shared" si="4"/>
        <v/>
      </c>
    </row>
    <row r="18517">
      <c r="F18517" s="1" t="str">
        <f t="shared" si="1"/>
        <v/>
      </c>
      <c r="G18517" s="1" t="str">
        <f t="shared" si="2"/>
        <v/>
      </c>
      <c r="J18517" s="1" t="str">
        <f t="shared" si="3"/>
        <v/>
      </c>
      <c r="K18517" s="1" t="str">
        <f t="shared" si="4"/>
        <v/>
      </c>
    </row>
    <row r="18518">
      <c r="F18518" s="1" t="str">
        <f t="shared" si="1"/>
        <v/>
      </c>
      <c r="G18518" s="1" t="str">
        <f t="shared" si="2"/>
        <v/>
      </c>
      <c r="J18518" s="1" t="str">
        <f t="shared" si="3"/>
        <v/>
      </c>
      <c r="K18518" s="1" t="str">
        <f t="shared" si="4"/>
        <v/>
      </c>
    </row>
    <row r="18519">
      <c r="F18519" s="1" t="str">
        <f t="shared" si="1"/>
        <v/>
      </c>
      <c r="G18519" s="1" t="str">
        <f t="shared" si="2"/>
        <v/>
      </c>
      <c r="J18519" s="1" t="str">
        <f t="shared" si="3"/>
        <v/>
      </c>
      <c r="K18519" s="1" t="str">
        <f t="shared" si="4"/>
        <v/>
      </c>
    </row>
    <row r="18520">
      <c r="F18520" s="1" t="str">
        <f t="shared" si="1"/>
        <v/>
      </c>
      <c r="G18520" s="1" t="str">
        <f t="shared" si="2"/>
        <v/>
      </c>
      <c r="J18520" s="1" t="str">
        <f t="shared" si="3"/>
        <v/>
      </c>
      <c r="K18520" s="1" t="str">
        <f t="shared" si="4"/>
        <v/>
      </c>
    </row>
    <row r="18521">
      <c r="F18521" s="1" t="str">
        <f t="shared" si="1"/>
        <v/>
      </c>
      <c r="G18521" s="1" t="str">
        <f t="shared" si="2"/>
        <v/>
      </c>
      <c r="J18521" s="1" t="str">
        <f t="shared" si="3"/>
        <v/>
      </c>
      <c r="K18521" s="1" t="str">
        <f t="shared" si="4"/>
        <v/>
      </c>
    </row>
    <row r="18522">
      <c r="F18522" s="1" t="str">
        <f t="shared" si="1"/>
        <v/>
      </c>
      <c r="G18522" s="1" t="str">
        <f t="shared" si="2"/>
        <v/>
      </c>
      <c r="J18522" s="1" t="str">
        <f t="shared" si="3"/>
        <v/>
      </c>
      <c r="K18522" s="1" t="str">
        <f t="shared" si="4"/>
        <v/>
      </c>
    </row>
    <row r="18523">
      <c r="F18523" s="1" t="str">
        <f t="shared" si="1"/>
        <v/>
      </c>
      <c r="G18523" s="1" t="str">
        <f t="shared" si="2"/>
        <v/>
      </c>
      <c r="J18523" s="1" t="str">
        <f t="shared" si="3"/>
        <v/>
      </c>
      <c r="K18523" s="1" t="str">
        <f t="shared" si="4"/>
        <v/>
      </c>
    </row>
    <row r="18524">
      <c r="F18524" s="1" t="str">
        <f t="shared" si="1"/>
        <v/>
      </c>
      <c r="G18524" s="1" t="str">
        <f t="shared" si="2"/>
        <v/>
      </c>
      <c r="J18524" s="1" t="str">
        <f t="shared" si="3"/>
        <v/>
      </c>
      <c r="K18524" s="1" t="str">
        <f t="shared" si="4"/>
        <v/>
      </c>
    </row>
    <row r="18525">
      <c r="F18525" s="1" t="str">
        <f t="shared" si="1"/>
        <v/>
      </c>
      <c r="G18525" s="1" t="str">
        <f t="shared" si="2"/>
        <v/>
      </c>
      <c r="J18525" s="1" t="str">
        <f t="shared" si="3"/>
        <v/>
      </c>
      <c r="K18525" s="1" t="str">
        <f t="shared" si="4"/>
        <v/>
      </c>
    </row>
    <row r="18526">
      <c r="F18526" s="1" t="str">
        <f t="shared" si="1"/>
        <v/>
      </c>
      <c r="G18526" s="1" t="str">
        <f t="shared" si="2"/>
        <v/>
      </c>
      <c r="J18526" s="1" t="str">
        <f t="shared" si="3"/>
        <v/>
      </c>
      <c r="K18526" s="1" t="str">
        <f t="shared" si="4"/>
        <v/>
      </c>
    </row>
    <row r="18527">
      <c r="F18527" s="1" t="str">
        <f t="shared" si="1"/>
        <v/>
      </c>
      <c r="G18527" s="1" t="str">
        <f t="shared" si="2"/>
        <v/>
      </c>
      <c r="J18527" s="1" t="str">
        <f t="shared" si="3"/>
        <v/>
      </c>
      <c r="K18527" s="1" t="str">
        <f t="shared" si="4"/>
        <v/>
      </c>
    </row>
    <row r="18528">
      <c r="F18528" s="1" t="str">
        <f t="shared" si="1"/>
        <v/>
      </c>
      <c r="G18528" s="1" t="str">
        <f t="shared" si="2"/>
        <v/>
      </c>
      <c r="J18528" s="1" t="str">
        <f t="shared" si="3"/>
        <v/>
      </c>
      <c r="K18528" s="1" t="str">
        <f t="shared" si="4"/>
        <v/>
      </c>
    </row>
    <row r="18529">
      <c r="F18529" s="1" t="str">
        <f t="shared" si="1"/>
        <v/>
      </c>
      <c r="G18529" s="1" t="str">
        <f t="shared" si="2"/>
        <v/>
      </c>
      <c r="J18529" s="1" t="str">
        <f t="shared" si="3"/>
        <v/>
      </c>
      <c r="K18529" s="1" t="str">
        <f t="shared" si="4"/>
        <v/>
      </c>
    </row>
    <row r="18530">
      <c r="F18530" s="1" t="str">
        <f t="shared" si="1"/>
        <v/>
      </c>
      <c r="G18530" s="1" t="str">
        <f t="shared" si="2"/>
        <v/>
      </c>
      <c r="J18530" s="1" t="str">
        <f t="shared" si="3"/>
        <v/>
      </c>
      <c r="K18530" s="1" t="str">
        <f t="shared" si="4"/>
        <v/>
      </c>
    </row>
    <row r="18531">
      <c r="F18531" s="1" t="str">
        <f t="shared" si="1"/>
        <v/>
      </c>
      <c r="G18531" s="1" t="str">
        <f t="shared" si="2"/>
        <v/>
      </c>
      <c r="J18531" s="1" t="str">
        <f t="shared" si="3"/>
        <v/>
      </c>
      <c r="K18531" s="1" t="str">
        <f t="shared" si="4"/>
        <v/>
      </c>
    </row>
    <row r="18532">
      <c r="F18532" s="1" t="str">
        <f t="shared" si="1"/>
        <v/>
      </c>
      <c r="G18532" s="1" t="str">
        <f t="shared" si="2"/>
        <v/>
      </c>
      <c r="J18532" s="1" t="str">
        <f t="shared" si="3"/>
        <v/>
      </c>
      <c r="K18532" s="1" t="str">
        <f t="shared" si="4"/>
        <v/>
      </c>
    </row>
    <row r="18533">
      <c r="F18533" s="1" t="str">
        <f t="shared" si="1"/>
        <v/>
      </c>
      <c r="G18533" s="1" t="str">
        <f t="shared" si="2"/>
        <v/>
      </c>
      <c r="J18533" s="1" t="str">
        <f t="shared" si="3"/>
        <v/>
      </c>
      <c r="K18533" s="1" t="str">
        <f t="shared" si="4"/>
        <v/>
      </c>
    </row>
    <row r="18534">
      <c r="F18534" s="1" t="str">
        <f t="shared" si="1"/>
        <v/>
      </c>
      <c r="G18534" s="1" t="str">
        <f t="shared" si="2"/>
        <v/>
      </c>
      <c r="J18534" s="1" t="str">
        <f t="shared" si="3"/>
        <v/>
      </c>
      <c r="K18534" s="1" t="str">
        <f t="shared" si="4"/>
        <v/>
      </c>
    </row>
    <row r="18535">
      <c r="F18535" s="1" t="str">
        <f t="shared" si="1"/>
        <v/>
      </c>
      <c r="G18535" s="1" t="str">
        <f t="shared" si="2"/>
        <v/>
      </c>
      <c r="J18535" s="1" t="str">
        <f t="shared" si="3"/>
        <v/>
      </c>
      <c r="K18535" s="1" t="str">
        <f t="shared" si="4"/>
        <v/>
      </c>
    </row>
    <row r="18536">
      <c r="F18536" s="1" t="str">
        <f t="shared" si="1"/>
        <v/>
      </c>
      <c r="G18536" s="1" t="str">
        <f t="shared" si="2"/>
        <v/>
      </c>
      <c r="J18536" s="1" t="str">
        <f t="shared" si="3"/>
        <v/>
      </c>
      <c r="K18536" s="1" t="str">
        <f t="shared" si="4"/>
        <v/>
      </c>
    </row>
    <row r="18537">
      <c r="F18537" s="1" t="str">
        <f t="shared" si="1"/>
        <v/>
      </c>
      <c r="G18537" s="1" t="str">
        <f t="shared" si="2"/>
        <v/>
      </c>
      <c r="J18537" s="1" t="str">
        <f t="shared" si="3"/>
        <v/>
      </c>
      <c r="K18537" s="1" t="str">
        <f t="shared" si="4"/>
        <v/>
      </c>
    </row>
    <row r="18538">
      <c r="F18538" s="1" t="str">
        <f t="shared" si="1"/>
        <v/>
      </c>
      <c r="G18538" s="1" t="str">
        <f t="shared" si="2"/>
        <v/>
      </c>
      <c r="J18538" s="1" t="str">
        <f t="shared" si="3"/>
        <v/>
      </c>
      <c r="K18538" s="1" t="str">
        <f t="shared" si="4"/>
        <v/>
      </c>
    </row>
    <row r="18539">
      <c r="F18539" s="1" t="str">
        <f t="shared" si="1"/>
        <v/>
      </c>
      <c r="G18539" s="1" t="str">
        <f t="shared" si="2"/>
        <v/>
      </c>
      <c r="J18539" s="1" t="str">
        <f t="shared" si="3"/>
        <v/>
      </c>
      <c r="K18539" s="1" t="str">
        <f t="shared" si="4"/>
        <v/>
      </c>
    </row>
    <row r="18540">
      <c r="F18540" s="1" t="str">
        <f t="shared" si="1"/>
        <v/>
      </c>
      <c r="G18540" s="1" t="str">
        <f t="shared" si="2"/>
        <v/>
      </c>
      <c r="J18540" s="1" t="str">
        <f t="shared" si="3"/>
        <v/>
      </c>
      <c r="K18540" s="1" t="str">
        <f t="shared" si="4"/>
        <v/>
      </c>
    </row>
    <row r="18541">
      <c r="F18541" s="1" t="str">
        <f t="shared" si="1"/>
        <v/>
      </c>
      <c r="G18541" s="1" t="str">
        <f t="shared" si="2"/>
        <v/>
      </c>
      <c r="J18541" s="1" t="str">
        <f t="shared" si="3"/>
        <v/>
      </c>
      <c r="K18541" s="1" t="str">
        <f t="shared" si="4"/>
        <v/>
      </c>
    </row>
    <row r="18542">
      <c r="F18542" s="1" t="str">
        <f t="shared" si="1"/>
        <v/>
      </c>
      <c r="G18542" s="1" t="str">
        <f t="shared" si="2"/>
        <v/>
      </c>
      <c r="J18542" s="1" t="str">
        <f t="shared" si="3"/>
        <v/>
      </c>
      <c r="K18542" s="1" t="str">
        <f t="shared" si="4"/>
        <v/>
      </c>
    </row>
    <row r="18543">
      <c r="F18543" s="1" t="str">
        <f t="shared" si="1"/>
        <v/>
      </c>
      <c r="G18543" s="1" t="str">
        <f t="shared" si="2"/>
        <v/>
      </c>
      <c r="J18543" s="1" t="str">
        <f t="shared" si="3"/>
        <v/>
      </c>
      <c r="K18543" s="1" t="str">
        <f t="shared" si="4"/>
        <v/>
      </c>
    </row>
    <row r="18544">
      <c r="F18544" s="1" t="str">
        <f t="shared" si="1"/>
        <v/>
      </c>
      <c r="G18544" s="1" t="str">
        <f t="shared" si="2"/>
        <v/>
      </c>
      <c r="J18544" s="1" t="str">
        <f t="shared" si="3"/>
        <v/>
      </c>
      <c r="K18544" s="1" t="str">
        <f t="shared" si="4"/>
        <v/>
      </c>
    </row>
    <row r="18545">
      <c r="F18545" s="1" t="str">
        <f t="shared" si="1"/>
        <v/>
      </c>
      <c r="G18545" s="1" t="str">
        <f t="shared" si="2"/>
        <v/>
      </c>
      <c r="J18545" s="1" t="str">
        <f t="shared" si="3"/>
        <v/>
      </c>
      <c r="K18545" s="1" t="str">
        <f t="shared" si="4"/>
        <v/>
      </c>
    </row>
    <row r="18546">
      <c r="F18546" s="1" t="str">
        <f t="shared" si="1"/>
        <v/>
      </c>
      <c r="G18546" s="1" t="str">
        <f t="shared" si="2"/>
        <v/>
      </c>
      <c r="J18546" s="1" t="str">
        <f t="shared" si="3"/>
        <v/>
      </c>
      <c r="K18546" s="1" t="str">
        <f t="shared" si="4"/>
        <v/>
      </c>
    </row>
    <row r="18547">
      <c r="F18547" s="1" t="str">
        <f t="shared" si="1"/>
        <v/>
      </c>
      <c r="G18547" s="1" t="str">
        <f t="shared" si="2"/>
        <v/>
      </c>
      <c r="J18547" s="1" t="str">
        <f t="shared" si="3"/>
        <v/>
      </c>
      <c r="K18547" s="1" t="str">
        <f t="shared" si="4"/>
        <v/>
      </c>
    </row>
    <row r="18548">
      <c r="F18548" s="1" t="str">
        <f t="shared" si="1"/>
        <v/>
      </c>
      <c r="G18548" s="1" t="str">
        <f t="shared" si="2"/>
        <v/>
      </c>
      <c r="J18548" s="1" t="str">
        <f t="shared" si="3"/>
        <v/>
      </c>
      <c r="K18548" s="1" t="str">
        <f t="shared" si="4"/>
        <v/>
      </c>
    </row>
    <row r="18549">
      <c r="F18549" s="1" t="str">
        <f t="shared" si="1"/>
        <v/>
      </c>
      <c r="G18549" s="1" t="str">
        <f t="shared" si="2"/>
        <v/>
      </c>
      <c r="J18549" s="1" t="str">
        <f t="shared" si="3"/>
        <v/>
      </c>
      <c r="K18549" s="1" t="str">
        <f t="shared" si="4"/>
        <v/>
      </c>
    </row>
    <row r="18550">
      <c r="F18550" s="1" t="str">
        <f t="shared" si="1"/>
        <v/>
      </c>
      <c r="G18550" s="1" t="str">
        <f t="shared" si="2"/>
        <v/>
      </c>
      <c r="J18550" s="1" t="str">
        <f t="shared" si="3"/>
        <v/>
      </c>
      <c r="K18550" s="1" t="str">
        <f t="shared" si="4"/>
        <v/>
      </c>
    </row>
    <row r="18551">
      <c r="F18551" s="1" t="str">
        <f t="shared" si="1"/>
        <v/>
      </c>
      <c r="G18551" s="1" t="str">
        <f t="shared" si="2"/>
        <v/>
      </c>
      <c r="J18551" s="1" t="str">
        <f t="shared" si="3"/>
        <v/>
      </c>
      <c r="K18551" s="1" t="str">
        <f t="shared" si="4"/>
        <v/>
      </c>
    </row>
    <row r="18552">
      <c r="F18552" s="1" t="str">
        <f t="shared" si="1"/>
        <v/>
      </c>
      <c r="G18552" s="1" t="str">
        <f t="shared" si="2"/>
        <v/>
      </c>
      <c r="J18552" s="1" t="str">
        <f t="shared" si="3"/>
        <v/>
      </c>
      <c r="K18552" s="1" t="str">
        <f t="shared" si="4"/>
        <v/>
      </c>
    </row>
    <row r="18553">
      <c r="F18553" s="1" t="str">
        <f t="shared" si="1"/>
        <v/>
      </c>
      <c r="G18553" s="1" t="str">
        <f t="shared" si="2"/>
        <v/>
      </c>
      <c r="J18553" s="1" t="str">
        <f t="shared" si="3"/>
        <v/>
      </c>
      <c r="K18553" s="1" t="str">
        <f t="shared" si="4"/>
        <v/>
      </c>
    </row>
    <row r="18554">
      <c r="F18554" s="1" t="str">
        <f t="shared" si="1"/>
        <v/>
      </c>
      <c r="G18554" s="1" t="str">
        <f t="shared" si="2"/>
        <v/>
      </c>
      <c r="J18554" s="1" t="str">
        <f t="shared" si="3"/>
        <v/>
      </c>
      <c r="K18554" s="1" t="str">
        <f t="shared" si="4"/>
        <v/>
      </c>
    </row>
    <row r="18555">
      <c r="F18555" s="1" t="str">
        <f t="shared" si="1"/>
        <v/>
      </c>
      <c r="G18555" s="1" t="str">
        <f t="shared" si="2"/>
        <v/>
      </c>
      <c r="J18555" s="1" t="str">
        <f t="shared" si="3"/>
        <v/>
      </c>
      <c r="K18555" s="1" t="str">
        <f t="shared" si="4"/>
        <v/>
      </c>
    </row>
    <row r="18556">
      <c r="F18556" s="1" t="str">
        <f t="shared" si="1"/>
        <v/>
      </c>
      <c r="G18556" s="1" t="str">
        <f t="shared" si="2"/>
        <v/>
      </c>
      <c r="J18556" s="1" t="str">
        <f t="shared" si="3"/>
        <v/>
      </c>
      <c r="K18556" s="1" t="str">
        <f t="shared" si="4"/>
        <v/>
      </c>
    </row>
    <row r="18557">
      <c r="F18557" s="1" t="str">
        <f t="shared" si="1"/>
        <v/>
      </c>
      <c r="G18557" s="1" t="str">
        <f t="shared" si="2"/>
        <v/>
      </c>
      <c r="J18557" s="1" t="str">
        <f t="shared" si="3"/>
        <v/>
      </c>
      <c r="K18557" s="1" t="str">
        <f t="shared" si="4"/>
        <v/>
      </c>
    </row>
    <row r="18558">
      <c r="F18558" s="1" t="str">
        <f t="shared" si="1"/>
        <v/>
      </c>
      <c r="G18558" s="1" t="str">
        <f t="shared" si="2"/>
        <v/>
      </c>
      <c r="J18558" s="1" t="str">
        <f t="shared" si="3"/>
        <v/>
      </c>
      <c r="K18558" s="1" t="str">
        <f t="shared" si="4"/>
        <v/>
      </c>
    </row>
    <row r="18559">
      <c r="F18559" s="1" t="str">
        <f t="shared" si="1"/>
        <v/>
      </c>
      <c r="G18559" s="1" t="str">
        <f t="shared" si="2"/>
        <v/>
      </c>
      <c r="J18559" s="1" t="str">
        <f t="shared" si="3"/>
        <v/>
      </c>
      <c r="K18559" s="1" t="str">
        <f t="shared" si="4"/>
        <v/>
      </c>
    </row>
    <row r="18560">
      <c r="F18560" s="1" t="str">
        <f t="shared" si="1"/>
        <v/>
      </c>
      <c r="G18560" s="1" t="str">
        <f t="shared" si="2"/>
        <v/>
      </c>
      <c r="J18560" s="1" t="str">
        <f t="shared" si="3"/>
        <v/>
      </c>
      <c r="K18560" s="1" t="str">
        <f t="shared" si="4"/>
        <v/>
      </c>
    </row>
    <row r="18561">
      <c r="F18561" s="1" t="str">
        <f t="shared" si="1"/>
        <v/>
      </c>
      <c r="G18561" s="1" t="str">
        <f t="shared" si="2"/>
        <v/>
      </c>
      <c r="J18561" s="1" t="str">
        <f t="shared" si="3"/>
        <v/>
      </c>
      <c r="K18561" s="1" t="str">
        <f t="shared" si="4"/>
        <v/>
      </c>
    </row>
    <row r="18562">
      <c r="F18562" s="1" t="str">
        <f t="shared" si="1"/>
        <v/>
      </c>
      <c r="G18562" s="1" t="str">
        <f t="shared" si="2"/>
        <v/>
      </c>
      <c r="J18562" s="1" t="str">
        <f t="shared" si="3"/>
        <v/>
      </c>
      <c r="K18562" s="1" t="str">
        <f t="shared" si="4"/>
        <v/>
      </c>
    </row>
    <row r="18563">
      <c r="F18563" s="1" t="str">
        <f t="shared" si="1"/>
        <v/>
      </c>
      <c r="G18563" s="1" t="str">
        <f t="shared" si="2"/>
        <v/>
      </c>
      <c r="J18563" s="1" t="str">
        <f t="shared" si="3"/>
        <v/>
      </c>
      <c r="K18563" s="1" t="str">
        <f t="shared" si="4"/>
        <v/>
      </c>
    </row>
    <row r="18564">
      <c r="F18564" s="1" t="str">
        <f t="shared" si="1"/>
        <v/>
      </c>
      <c r="G18564" s="1" t="str">
        <f t="shared" si="2"/>
        <v/>
      </c>
      <c r="J18564" s="1" t="str">
        <f t="shared" si="3"/>
        <v/>
      </c>
      <c r="K18564" s="1" t="str">
        <f t="shared" si="4"/>
        <v/>
      </c>
    </row>
    <row r="18565">
      <c r="F18565" s="1" t="str">
        <f t="shared" si="1"/>
        <v/>
      </c>
      <c r="G18565" s="1" t="str">
        <f t="shared" si="2"/>
        <v/>
      </c>
      <c r="J18565" s="1" t="str">
        <f t="shared" si="3"/>
        <v/>
      </c>
      <c r="K18565" s="1" t="str">
        <f t="shared" si="4"/>
        <v/>
      </c>
    </row>
    <row r="18566">
      <c r="F18566" s="1" t="str">
        <f t="shared" si="1"/>
        <v/>
      </c>
      <c r="G18566" s="1" t="str">
        <f t="shared" si="2"/>
        <v/>
      </c>
      <c r="J18566" s="1" t="str">
        <f t="shared" si="3"/>
        <v/>
      </c>
      <c r="K18566" s="1" t="str">
        <f t="shared" si="4"/>
        <v/>
      </c>
    </row>
    <row r="18567">
      <c r="F18567" s="1" t="str">
        <f t="shared" si="1"/>
        <v/>
      </c>
      <c r="G18567" s="1" t="str">
        <f t="shared" si="2"/>
        <v/>
      </c>
      <c r="J18567" s="1" t="str">
        <f t="shared" si="3"/>
        <v/>
      </c>
      <c r="K18567" s="1" t="str">
        <f t="shared" si="4"/>
        <v/>
      </c>
    </row>
    <row r="18568">
      <c r="F18568" s="1" t="str">
        <f t="shared" si="1"/>
        <v/>
      </c>
      <c r="G18568" s="1" t="str">
        <f t="shared" si="2"/>
        <v/>
      </c>
      <c r="J18568" s="1" t="str">
        <f t="shared" si="3"/>
        <v/>
      </c>
      <c r="K18568" s="1" t="str">
        <f t="shared" si="4"/>
        <v/>
      </c>
    </row>
    <row r="18569">
      <c r="F18569" s="1" t="str">
        <f t="shared" si="1"/>
        <v/>
      </c>
      <c r="G18569" s="1" t="str">
        <f t="shared" si="2"/>
        <v/>
      </c>
      <c r="J18569" s="1" t="str">
        <f t="shared" si="3"/>
        <v/>
      </c>
      <c r="K18569" s="1" t="str">
        <f t="shared" si="4"/>
        <v/>
      </c>
    </row>
    <row r="18570">
      <c r="F18570" s="1" t="str">
        <f t="shared" si="1"/>
        <v/>
      </c>
      <c r="G18570" s="1" t="str">
        <f t="shared" si="2"/>
        <v/>
      </c>
      <c r="J18570" s="1" t="str">
        <f t="shared" si="3"/>
        <v/>
      </c>
      <c r="K18570" s="1" t="str">
        <f t="shared" si="4"/>
        <v/>
      </c>
    </row>
    <row r="18571">
      <c r="F18571" s="1" t="str">
        <f t="shared" si="1"/>
        <v/>
      </c>
      <c r="G18571" s="1" t="str">
        <f t="shared" si="2"/>
        <v/>
      </c>
      <c r="J18571" s="1" t="str">
        <f t="shared" si="3"/>
        <v/>
      </c>
      <c r="K18571" s="1" t="str">
        <f t="shared" si="4"/>
        <v/>
      </c>
    </row>
    <row r="18572">
      <c r="F18572" s="1" t="str">
        <f t="shared" si="1"/>
        <v/>
      </c>
      <c r="G18572" s="1" t="str">
        <f t="shared" si="2"/>
        <v/>
      </c>
      <c r="J18572" s="1" t="str">
        <f t="shared" si="3"/>
        <v/>
      </c>
      <c r="K18572" s="1" t="str">
        <f t="shared" si="4"/>
        <v/>
      </c>
    </row>
    <row r="18573">
      <c r="F18573" s="1" t="str">
        <f t="shared" si="1"/>
        <v/>
      </c>
      <c r="G18573" s="1" t="str">
        <f t="shared" si="2"/>
        <v/>
      </c>
      <c r="J18573" s="1" t="str">
        <f t="shared" si="3"/>
        <v/>
      </c>
      <c r="K18573" s="1" t="str">
        <f t="shared" si="4"/>
        <v/>
      </c>
    </row>
    <row r="18574">
      <c r="F18574" s="1" t="str">
        <f t="shared" si="1"/>
        <v/>
      </c>
      <c r="G18574" s="1" t="str">
        <f t="shared" si="2"/>
        <v/>
      </c>
      <c r="J18574" s="1" t="str">
        <f t="shared" si="3"/>
        <v/>
      </c>
      <c r="K18574" s="1" t="str">
        <f t="shared" si="4"/>
        <v/>
      </c>
    </row>
    <row r="18575">
      <c r="F18575" s="1" t="str">
        <f t="shared" si="1"/>
        <v/>
      </c>
      <c r="G18575" s="1" t="str">
        <f t="shared" si="2"/>
        <v/>
      </c>
      <c r="J18575" s="1" t="str">
        <f t="shared" si="3"/>
        <v/>
      </c>
      <c r="K18575" s="1" t="str">
        <f t="shared" si="4"/>
        <v/>
      </c>
    </row>
    <row r="18576">
      <c r="F18576" s="1" t="str">
        <f t="shared" si="1"/>
        <v/>
      </c>
      <c r="G18576" s="1" t="str">
        <f t="shared" si="2"/>
        <v/>
      </c>
      <c r="J18576" s="1" t="str">
        <f t="shared" si="3"/>
        <v/>
      </c>
      <c r="K18576" s="1" t="str">
        <f t="shared" si="4"/>
        <v/>
      </c>
    </row>
    <row r="18577">
      <c r="F18577" s="1" t="str">
        <f t="shared" si="1"/>
        <v/>
      </c>
      <c r="G18577" s="1" t="str">
        <f t="shared" si="2"/>
        <v/>
      </c>
      <c r="J18577" s="1" t="str">
        <f t="shared" si="3"/>
        <v/>
      </c>
      <c r="K18577" s="1" t="str">
        <f t="shared" si="4"/>
        <v/>
      </c>
    </row>
    <row r="18578">
      <c r="F18578" s="1" t="str">
        <f t="shared" si="1"/>
        <v/>
      </c>
      <c r="G18578" s="1" t="str">
        <f t="shared" si="2"/>
        <v/>
      </c>
      <c r="J18578" s="1" t="str">
        <f t="shared" si="3"/>
        <v/>
      </c>
      <c r="K18578" s="1" t="str">
        <f t="shared" si="4"/>
        <v/>
      </c>
    </row>
    <row r="18579">
      <c r="F18579" s="1" t="str">
        <f t="shared" si="1"/>
        <v/>
      </c>
      <c r="G18579" s="1" t="str">
        <f t="shared" si="2"/>
        <v/>
      </c>
      <c r="J18579" s="1" t="str">
        <f t="shared" si="3"/>
        <v/>
      </c>
      <c r="K18579" s="1" t="str">
        <f t="shared" si="4"/>
        <v/>
      </c>
    </row>
    <row r="18580">
      <c r="F18580" s="1" t="str">
        <f t="shared" si="1"/>
        <v/>
      </c>
      <c r="G18580" s="1" t="str">
        <f t="shared" si="2"/>
        <v/>
      </c>
      <c r="J18580" s="1" t="str">
        <f t="shared" si="3"/>
        <v/>
      </c>
      <c r="K18580" s="1" t="str">
        <f t="shared" si="4"/>
        <v/>
      </c>
    </row>
    <row r="18581">
      <c r="F18581" s="1" t="str">
        <f t="shared" si="1"/>
        <v/>
      </c>
      <c r="G18581" s="1" t="str">
        <f t="shared" si="2"/>
        <v/>
      </c>
      <c r="J18581" s="1" t="str">
        <f t="shared" si="3"/>
        <v/>
      </c>
      <c r="K18581" s="1" t="str">
        <f t="shared" si="4"/>
        <v/>
      </c>
    </row>
    <row r="18582">
      <c r="F18582" s="1" t="str">
        <f t="shared" si="1"/>
        <v/>
      </c>
      <c r="G18582" s="1" t="str">
        <f t="shared" si="2"/>
        <v/>
      </c>
      <c r="J18582" s="1" t="str">
        <f t="shared" si="3"/>
        <v/>
      </c>
      <c r="K18582" s="1" t="str">
        <f t="shared" si="4"/>
        <v/>
      </c>
    </row>
    <row r="18583">
      <c r="F18583" s="1" t="str">
        <f t="shared" si="1"/>
        <v/>
      </c>
      <c r="G18583" s="1" t="str">
        <f t="shared" si="2"/>
        <v/>
      </c>
      <c r="J18583" s="1" t="str">
        <f t="shared" si="3"/>
        <v/>
      </c>
      <c r="K18583" s="1" t="str">
        <f t="shared" si="4"/>
        <v/>
      </c>
    </row>
    <row r="18584">
      <c r="F18584" s="1" t="str">
        <f t="shared" si="1"/>
        <v/>
      </c>
      <c r="G18584" s="1" t="str">
        <f t="shared" si="2"/>
        <v/>
      </c>
      <c r="J18584" s="1" t="str">
        <f t="shared" si="3"/>
        <v/>
      </c>
      <c r="K18584" s="1" t="str">
        <f t="shared" si="4"/>
        <v/>
      </c>
    </row>
    <row r="18585">
      <c r="F18585" s="1" t="str">
        <f t="shared" si="1"/>
        <v/>
      </c>
      <c r="G18585" s="1" t="str">
        <f t="shared" si="2"/>
        <v/>
      </c>
      <c r="J18585" s="1" t="str">
        <f t="shared" si="3"/>
        <v/>
      </c>
      <c r="K18585" s="1" t="str">
        <f t="shared" si="4"/>
        <v/>
      </c>
    </row>
    <row r="18586">
      <c r="F18586" s="1" t="str">
        <f t="shared" si="1"/>
        <v/>
      </c>
      <c r="G18586" s="1" t="str">
        <f t="shared" si="2"/>
        <v/>
      </c>
      <c r="J18586" s="1" t="str">
        <f t="shared" si="3"/>
        <v/>
      </c>
      <c r="K18586" s="1" t="str">
        <f t="shared" si="4"/>
        <v/>
      </c>
    </row>
    <row r="18587">
      <c r="F18587" s="1" t="str">
        <f t="shared" si="1"/>
        <v/>
      </c>
      <c r="G18587" s="1" t="str">
        <f t="shared" si="2"/>
        <v/>
      </c>
      <c r="J18587" s="1" t="str">
        <f t="shared" si="3"/>
        <v/>
      </c>
      <c r="K18587" s="1" t="str">
        <f t="shared" si="4"/>
        <v/>
      </c>
    </row>
    <row r="18588">
      <c r="F18588" s="1" t="str">
        <f t="shared" si="1"/>
        <v/>
      </c>
      <c r="G18588" s="1" t="str">
        <f t="shared" si="2"/>
        <v/>
      </c>
      <c r="J18588" s="1" t="str">
        <f t="shared" si="3"/>
        <v/>
      </c>
      <c r="K18588" s="1" t="str">
        <f t="shared" si="4"/>
        <v/>
      </c>
    </row>
    <row r="18589">
      <c r="F18589" s="1" t="str">
        <f t="shared" si="1"/>
        <v/>
      </c>
      <c r="G18589" s="1" t="str">
        <f t="shared" si="2"/>
        <v/>
      </c>
      <c r="J18589" s="1" t="str">
        <f t="shared" si="3"/>
        <v/>
      </c>
      <c r="K18589" s="1" t="str">
        <f t="shared" si="4"/>
        <v/>
      </c>
    </row>
    <row r="18590">
      <c r="F18590" s="1" t="str">
        <f t="shared" si="1"/>
        <v/>
      </c>
      <c r="G18590" s="1" t="str">
        <f t="shared" si="2"/>
        <v/>
      </c>
      <c r="J18590" s="1" t="str">
        <f t="shared" si="3"/>
        <v/>
      </c>
      <c r="K18590" s="1" t="str">
        <f t="shared" si="4"/>
        <v/>
      </c>
    </row>
    <row r="18591">
      <c r="F18591" s="1" t="str">
        <f t="shared" si="1"/>
        <v/>
      </c>
      <c r="G18591" s="1" t="str">
        <f t="shared" si="2"/>
        <v/>
      </c>
      <c r="J18591" s="1" t="str">
        <f t="shared" si="3"/>
        <v/>
      </c>
      <c r="K18591" s="1" t="str">
        <f t="shared" si="4"/>
        <v/>
      </c>
    </row>
    <row r="18592">
      <c r="F18592" s="1" t="str">
        <f t="shared" si="1"/>
        <v/>
      </c>
      <c r="G18592" s="1" t="str">
        <f t="shared" si="2"/>
        <v/>
      </c>
      <c r="J18592" s="1" t="str">
        <f t="shared" si="3"/>
        <v/>
      </c>
      <c r="K18592" s="1" t="str">
        <f t="shared" si="4"/>
        <v/>
      </c>
    </row>
    <row r="18593">
      <c r="F18593" s="1" t="str">
        <f t="shared" si="1"/>
        <v/>
      </c>
      <c r="G18593" s="1" t="str">
        <f t="shared" si="2"/>
        <v/>
      </c>
      <c r="J18593" s="1" t="str">
        <f t="shared" si="3"/>
        <v/>
      </c>
      <c r="K18593" s="1" t="str">
        <f t="shared" si="4"/>
        <v/>
      </c>
    </row>
    <row r="18594">
      <c r="F18594" s="1" t="str">
        <f t="shared" si="1"/>
        <v/>
      </c>
      <c r="G18594" s="1" t="str">
        <f t="shared" si="2"/>
        <v/>
      </c>
      <c r="J18594" s="1" t="str">
        <f t="shared" si="3"/>
        <v/>
      </c>
      <c r="K18594" s="1" t="str">
        <f t="shared" si="4"/>
        <v/>
      </c>
    </row>
    <row r="18595">
      <c r="F18595" s="1" t="str">
        <f t="shared" si="1"/>
        <v/>
      </c>
      <c r="G18595" s="1" t="str">
        <f t="shared" si="2"/>
        <v/>
      </c>
      <c r="J18595" s="1" t="str">
        <f t="shared" si="3"/>
        <v/>
      </c>
      <c r="K18595" s="1" t="str">
        <f t="shared" si="4"/>
        <v/>
      </c>
    </row>
    <row r="18596">
      <c r="F18596" s="1" t="str">
        <f t="shared" si="1"/>
        <v/>
      </c>
      <c r="G18596" s="1" t="str">
        <f t="shared" si="2"/>
        <v/>
      </c>
      <c r="J18596" s="1" t="str">
        <f t="shared" si="3"/>
        <v/>
      </c>
      <c r="K18596" s="1" t="str">
        <f t="shared" si="4"/>
        <v/>
      </c>
    </row>
    <row r="18597">
      <c r="F18597" s="1" t="str">
        <f t="shared" si="1"/>
        <v/>
      </c>
      <c r="G18597" s="1" t="str">
        <f t="shared" si="2"/>
        <v/>
      </c>
      <c r="J18597" s="1" t="str">
        <f t="shared" si="3"/>
        <v/>
      </c>
      <c r="K18597" s="1" t="str">
        <f t="shared" si="4"/>
        <v/>
      </c>
    </row>
    <row r="18598">
      <c r="F18598" s="1" t="str">
        <f t="shared" si="1"/>
        <v/>
      </c>
      <c r="G18598" s="1" t="str">
        <f t="shared" si="2"/>
        <v/>
      </c>
      <c r="J18598" s="1" t="str">
        <f t="shared" si="3"/>
        <v/>
      </c>
      <c r="K18598" s="1" t="str">
        <f t="shared" si="4"/>
        <v/>
      </c>
    </row>
    <row r="18599">
      <c r="F18599" s="1" t="str">
        <f t="shared" si="1"/>
        <v/>
      </c>
      <c r="G18599" s="1" t="str">
        <f t="shared" si="2"/>
        <v/>
      </c>
      <c r="J18599" s="1" t="str">
        <f t="shared" si="3"/>
        <v/>
      </c>
      <c r="K18599" s="1" t="str">
        <f t="shared" si="4"/>
        <v/>
      </c>
    </row>
    <row r="18600">
      <c r="F18600" s="1" t="str">
        <f t="shared" si="1"/>
        <v/>
      </c>
      <c r="G18600" s="1" t="str">
        <f t="shared" si="2"/>
        <v/>
      </c>
      <c r="J18600" s="1" t="str">
        <f t="shared" si="3"/>
        <v/>
      </c>
      <c r="K18600" s="1" t="str">
        <f t="shared" si="4"/>
        <v/>
      </c>
    </row>
    <row r="18601">
      <c r="F18601" s="1" t="str">
        <f t="shared" si="1"/>
        <v/>
      </c>
      <c r="G18601" s="1" t="str">
        <f t="shared" si="2"/>
        <v/>
      </c>
      <c r="J18601" s="1" t="str">
        <f t="shared" si="3"/>
        <v/>
      </c>
      <c r="K18601" s="1" t="str">
        <f t="shared" si="4"/>
        <v/>
      </c>
    </row>
    <row r="18602">
      <c r="F18602" s="1" t="str">
        <f t="shared" si="1"/>
        <v/>
      </c>
      <c r="G18602" s="1" t="str">
        <f t="shared" si="2"/>
        <v/>
      </c>
      <c r="J18602" s="1" t="str">
        <f t="shared" si="3"/>
        <v/>
      </c>
      <c r="K18602" s="1" t="str">
        <f t="shared" si="4"/>
        <v/>
      </c>
    </row>
    <row r="18603">
      <c r="F18603" s="1" t="str">
        <f t="shared" si="1"/>
        <v/>
      </c>
      <c r="G18603" s="1" t="str">
        <f t="shared" si="2"/>
        <v/>
      </c>
      <c r="J18603" s="1" t="str">
        <f t="shared" si="3"/>
        <v/>
      </c>
      <c r="K18603" s="1" t="str">
        <f t="shared" si="4"/>
        <v/>
      </c>
    </row>
    <row r="18604">
      <c r="F18604" s="1" t="str">
        <f t="shared" si="1"/>
        <v/>
      </c>
      <c r="G18604" s="1" t="str">
        <f t="shared" si="2"/>
        <v/>
      </c>
      <c r="J18604" s="1" t="str">
        <f t="shared" si="3"/>
        <v/>
      </c>
      <c r="K18604" s="1" t="str">
        <f t="shared" si="4"/>
        <v/>
      </c>
    </row>
    <row r="18605">
      <c r="F18605" s="1" t="str">
        <f t="shared" si="1"/>
        <v/>
      </c>
      <c r="G18605" s="1" t="str">
        <f t="shared" si="2"/>
        <v/>
      </c>
      <c r="J18605" s="1" t="str">
        <f t="shared" si="3"/>
        <v/>
      </c>
      <c r="K18605" s="1" t="str">
        <f t="shared" si="4"/>
        <v/>
      </c>
    </row>
    <row r="18606">
      <c r="F18606" s="1" t="str">
        <f t="shared" si="1"/>
        <v/>
      </c>
      <c r="G18606" s="1" t="str">
        <f t="shared" si="2"/>
        <v/>
      </c>
      <c r="J18606" s="1" t="str">
        <f t="shared" si="3"/>
        <v/>
      </c>
      <c r="K18606" s="1" t="str">
        <f t="shared" si="4"/>
        <v/>
      </c>
    </row>
    <row r="18607">
      <c r="F18607" s="1" t="str">
        <f t="shared" si="1"/>
        <v/>
      </c>
      <c r="G18607" s="1" t="str">
        <f t="shared" si="2"/>
        <v/>
      </c>
      <c r="J18607" s="1" t="str">
        <f t="shared" si="3"/>
        <v/>
      </c>
      <c r="K18607" s="1" t="str">
        <f t="shared" si="4"/>
        <v/>
      </c>
    </row>
    <row r="18608">
      <c r="F18608" s="1" t="str">
        <f t="shared" si="1"/>
        <v/>
      </c>
      <c r="G18608" s="1" t="str">
        <f t="shared" si="2"/>
        <v/>
      </c>
      <c r="J18608" s="1" t="str">
        <f t="shared" si="3"/>
        <v/>
      </c>
      <c r="K18608" s="1" t="str">
        <f t="shared" si="4"/>
        <v/>
      </c>
    </row>
    <row r="18609">
      <c r="F18609" s="1" t="str">
        <f t="shared" si="1"/>
        <v/>
      </c>
      <c r="G18609" s="1" t="str">
        <f t="shared" si="2"/>
        <v/>
      </c>
      <c r="J18609" s="1" t="str">
        <f t="shared" si="3"/>
        <v/>
      </c>
      <c r="K18609" s="1" t="str">
        <f t="shared" si="4"/>
        <v/>
      </c>
    </row>
    <row r="18610">
      <c r="F18610" s="1" t="str">
        <f t="shared" si="1"/>
        <v/>
      </c>
      <c r="G18610" s="1" t="str">
        <f t="shared" si="2"/>
        <v/>
      </c>
      <c r="J18610" s="1" t="str">
        <f t="shared" si="3"/>
        <v/>
      </c>
      <c r="K18610" s="1" t="str">
        <f t="shared" si="4"/>
        <v/>
      </c>
    </row>
    <row r="18611">
      <c r="F18611" s="1" t="str">
        <f t="shared" si="1"/>
        <v/>
      </c>
      <c r="G18611" s="1" t="str">
        <f t="shared" si="2"/>
        <v/>
      </c>
      <c r="J18611" s="1" t="str">
        <f t="shared" si="3"/>
        <v/>
      </c>
      <c r="K18611" s="1" t="str">
        <f t="shared" si="4"/>
        <v/>
      </c>
    </row>
    <row r="18612">
      <c r="F18612" s="1" t="str">
        <f t="shared" si="1"/>
        <v/>
      </c>
      <c r="G18612" s="1" t="str">
        <f t="shared" si="2"/>
        <v/>
      </c>
      <c r="J18612" s="1" t="str">
        <f t="shared" si="3"/>
        <v/>
      </c>
      <c r="K18612" s="1" t="str">
        <f t="shared" si="4"/>
        <v/>
      </c>
    </row>
    <row r="18613">
      <c r="F18613" s="1" t="str">
        <f t="shared" si="1"/>
        <v/>
      </c>
      <c r="G18613" s="1" t="str">
        <f t="shared" si="2"/>
        <v/>
      </c>
      <c r="J18613" s="1" t="str">
        <f t="shared" si="3"/>
        <v/>
      </c>
      <c r="K18613" s="1" t="str">
        <f t="shared" si="4"/>
        <v/>
      </c>
    </row>
    <row r="18614">
      <c r="F18614" s="1" t="str">
        <f t="shared" si="1"/>
        <v/>
      </c>
      <c r="G18614" s="1" t="str">
        <f t="shared" si="2"/>
        <v/>
      </c>
      <c r="J18614" s="1" t="str">
        <f t="shared" si="3"/>
        <v/>
      </c>
      <c r="K18614" s="1" t="str">
        <f t="shared" si="4"/>
        <v/>
      </c>
    </row>
    <row r="18615">
      <c r="F18615" s="1" t="str">
        <f t="shared" si="1"/>
        <v/>
      </c>
      <c r="G18615" s="1" t="str">
        <f t="shared" si="2"/>
        <v/>
      </c>
      <c r="J18615" s="1" t="str">
        <f t="shared" si="3"/>
        <v/>
      </c>
      <c r="K18615" s="1" t="str">
        <f t="shared" si="4"/>
        <v/>
      </c>
    </row>
    <row r="18616">
      <c r="F18616" s="1" t="str">
        <f t="shared" si="1"/>
        <v/>
      </c>
      <c r="G18616" s="1" t="str">
        <f t="shared" si="2"/>
        <v/>
      </c>
      <c r="J18616" s="1" t="str">
        <f t="shared" si="3"/>
        <v/>
      </c>
      <c r="K18616" s="1" t="str">
        <f t="shared" si="4"/>
        <v/>
      </c>
    </row>
    <row r="18617">
      <c r="F18617" s="1" t="str">
        <f t="shared" si="1"/>
        <v/>
      </c>
      <c r="G18617" s="1" t="str">
        <f t="shared" si="2"/>
        <v/>
      </c>
      <c r="J18617" s="1" t="str">
        <f t="shared" si="3"/>
        <v/>
      </c>
      <c r="K18617" s="1" t="str">
        <f t="shared" si="4"/>
        <v/>
      </c>
    </row>
    <row r="18618">
      <c r="F18618" s="1" t="str">
        <f t="shared" si="1"/>
        <v/>
      </c>
      <c r="G18618" s="1" t="str">
        <f t="shared" si="2"/>
        <v/>
      </c>
      <c r="J18618" s="1" t="str">
        <f t="shared" si="3"/>
        <v/>
      </c>
      <c r="K18618" s="1" t="str">
        <f t="shared" si="4"/>
        <v/>
      </c>
    </row>
    <row r="18619">
      <c r="F18619" s="1" t="str">
        <f t="shared" si="1"/>
        <v/>
      </c>
      <c r="G18619" s="1" t="str">
        <f t="shared" si="2"/>
        <v/>
      </c>
      <c r="J18619" s="1" t="str">
        <f t="shared" si="3"/>
        <v/>
      </c>
      <c r="K18619" s="1" t="str">
        <f t="shared" si="4"/>
        <v/>
      </c>
    </row>
    <row r="18620">
      <c r="F18620" s="1" t="str">
        <f t="shared" si="1"/>
        <v/>
      </c>
      <c r="G18620" s="1" t="str">
        <f t="shared" si="2"/>
        <v/>
      </c>
      <c r="J18620" s="1" t="str">
        <f t="shared" si="3"/>
        <v/>
      </c>
      <c r="K18620" s="1" t="str">
        <f t="shared" si="4"/>
        <v/>
      </c>
    </row>
    <row r="18621">
      <c r="F18621" s="1" t="str">
        <f t="shared" si="1"/>
        <v/>
      </c>
      <c r="G18621" s="1" t="str">
        <f t="shared" si="2"/>
        <v/>
      </c>
      <c r="J18621" s="1" t="str">
        <f t="shared" si="3"/>
        <v/>
      </c>
      <c r="K18621" s="1" t="str">
        <f t="shared" si="4"/>
        <v/>
      </c>
    </row>
    <row r="18622">
      <c r="F18622" s="1" t="str">
        <f t="shared" si="1"/>
        <v/>
      </c>
      <c r="G18622" s="1" t="str">
        <f t="shared" si="2"/>
        <v/>
      </c>
      <c r="J18622" s="1" t="str">
        <f t="shared" si="3"/>
        <v/>
      </c>
      <c r="K18622" s="1" t="str">
        <f t="shared" si="4"/>
        <v/>
      </c>
    </row>
    <row r="18623">
      <c r="F18623" s="1" t="str">
        <f t="shared" si="1"/>
        <v/>
      </c>
      <c r="G18623" s="1" t="str">
        <f t="shared" si="2"/>
        <v/>
      </c>
      <c r="J18623" s="1" t="str">
        <f t="shared" si="3"/>
        <v/>
      </c>
      <c r="K18623" s="1" t="str">
        <f t="shared" si="4"/>
        <v/>
      </c>
    </row>
    <row r="18624">
      <c r="F18624" s="1" t="str">
        <f t="shared" si="1"/>
        <v/>
      </c>
      <c r="G18624" s="1" t="str">
        <f t="shared" si="2"/>
        <v/>
      </c>
      <c r="J18624" s="1" t="str">
        <f t="shared" si="3"/>
        <v/>
      </c>
      <c r="K18624" s="1" t="str">
        <f t="shared" si="4"/>
        <v/>
      </c>
    </row>
    <row r="18625">
      <c r="F18625" s="1" t="str">
        <f t="shared" si="1"/>
        <v/>
      </c>
      <c r="G18625" s="1" t="str">
        <f t="shared" si="2"/>
        <v/>
      </c>
      <c r="J18625" s="1" t="str">
        <f t="shared" si="3"/>
        <v/>
      </c>
      <c r="K18625" s="1" t="str">
        <f t="shared" si="4"/>
        <v/>
      </c>
    </row>
    <row r="18626">
      <c r="F18626" s="1" t="str">
        <f t="shared" si="1"/>
        <v/>
      </c>
      <c r="G18626" s="1" t="str">
        <f t="shared" si="2"/>
        <v/>
      </c>
      <c r="J18626" s="1" t="str">
        <f t="shared" si="3"/>
        <v/>
      </c>
      <c r="K18626" s="1" t="str">
        <f t="shared" si="4"/>
        <v/>
      </c>
    </row>
    <row r="18627">
      <c r="F18627" s="1" t="str">
        <f t="shared" si="1"/>
        <v/>
      </c>
      <c r="G18627" s="1" t="str">
        <f t="shared" si="2"/>
        <v/>
      </c>
      <c r="J18627" s="1" t="str">
        <f t="shared" si="3"/>
        <v/>
      </c>
      <c r="K18627" s="1" t="str">
        <f t="shared" si="4"/>
        <v/>
      </c>
    </row>
    <row r="18628">
      <c r="F18628" s="1" t="str">
        <f t="shared" si="1"/>
        <v/>
      </c>
      <c r="G18628" s="1" t="str">
        <f t="shared" si="2"/>
        <v/>
      </c>
      <c r="J18628" s="1" t="str">
        <f t="shared" si="3"/>
        <v/>
      </c>
      <c r="K18628" s="1" t="str">
        <f t="shared" si="4"/>
        <v/>
      </c>
    </row>
    <row r="18629">
      <c r="F18629" s="1" t="str">
        <f t="shared" si="1"/>
        <v/>
      </c>
      <c r="G18629" s="1" t="str">
        <f t="shared" si="2"/>
        <v/>
      </c>
      <c r="J18629" s="1" t="str">
        <f t="shared" si="3"/>
        <v/>
      </c>
      <c r="K18629" s="1" t="str">
        <f t="shared" si="4"/>
        <v/>
      </c>
    </row>
    <row r="18630">
      <c r="F18630" s="1" t="str">
        <f t="shared" si="1"/>
        <v/>
      </c>
      <c r="G18630" s="1" t="str">
        <f t="shared" si="2"/>
        <v/>
      </c>
      <c r="J18630" s="1" t="str">
        <f t="shared" si="3"/>
        <v/>
      </c>
      <c r="K18630" s="1" t="str">
        <f t="shared" si="4"/>
        <v/>
      </c>
    </row>
    <row r="18631">
      <c r="F18631" s="1" t="str">
        <f t="shared" si="1"/>
        <v/>
      </c>
      <c r="G18631" s="1" t="str">
        <f t="shared" si="2"/>
        <v/>
      </c>
      <c r="J18631" s="1" t="str">
        <f t="shared" si="3"/>
        <v/>
      </c>
      <c r="K18631" s="1" t="str">
        <f t="shared" si="4"/>
        <v/>
      </c>
    </row>
    <row r="18632">
      <c r="F18632" s="1" t="str">
        <f t="shared" si="1"/>
        <v/>
      </c>
      <c r="G18632" s="1" t="str">
        <f t="shared" si="2"/>
        <v/>
      </c>
      <c r="J18632" s="1" t="str">
        <f t="shared" si="3"/>
        <v/>
      </c>
      <c r="K18632" s="1" t="str">
        <f t="shared" si="4"/>
        <v/>
      </c>
    </row>
    <row r="18633">
      <c r="F18633" s="1" t="str">
        <f t="shared" si="1"/>
        <v/>
      </c>
      <c r="G18633" s="1" t="str">
        <f t="shared" si="2"/>
        <v/>
      </c>
      <c r="J18633" s="1" t="str">
        <f t="shared" si="3"/>
        <v/>
      </c>
      <c r="K18633" s="1" t="str">
        <f t="shared" si="4"/>
        <v/>
      </c>
    </row>
    <row r="18634">
      <c r="F18634" s="1" t="str">
        <f t="shared" si="1"/>
        <v/>
      </c>
      <c r="G18634" s="1" t="str">
        <f t="shared" si="2"/>
        <v/>
      </c>
      <c r="J18634" s="1" t="str">
        <f t="shared" si="3"/>
        <v/>
      </c>
      <c r="K18634" s="1" t="str">
        <f t="shared" si="4"/>
        <v/>
      </c>
    </row>
    <row r="18635">
      <c r="F18635" s="1" t="str">
        <f t="shared" si="1"/>
        <v/>
      </c>
      <c r="G18635" s="1" t="str">
        <f t="shared" si="2"/>
        <v/>
      </c>
      <c r="J18635" s="1" t="str">
        <f t="shared" si="3"/>
        <v/>
      </c>
      <c r="K18635" s="1" t="str">
        <f t="shared" si="4"/>
        <v/>
      </c>
    </row>
    <row r="18636">
      <c r="F18636" s="1" t="str">
        <f t="shared" si="1"/>
        <v/>
      </c>
      <c r="G18636" s="1" t="str">
        <f t="shared" si="2"/>
        <v/>
      </c>
      <c r="J18636" s="1" t="str">
        <f t="shared" si="3"/>
        <v/>
      </c>
      <c r="K18636" s="1" t="str">
        <f t="shared" si="4"/>
        <v/>
      </c>
    </row>
    <row r="18637">
      <c r="F18637" s="1" t="str">
        <f t="shared" si="1"/>
        <v/>
      </c>
      <c r="G18637" s="1" t="str">
        <f t="shared" si="2"/>
        <v/>
      </c>
      <c r="J18637" s="1" t="str">
        <f t="shared" si="3"/>
        <v/>
      </c>
      <c r="K18637" s="1" t="str">
        <f t="shared" si="4"/>
        <v/>
      </c>
    </row>
    <row r="18638">
      <c r="F18638" s="1" t="str">
        <f t="shared" si="1"/>
        <v/>
      </c>
      <c r="G18638" s="1" t="str">
        <f t="shared" si="2"/>
        <v/>
      </c>
      <c r="J18638" s="1" t="str">
        <f t="shared" si="3"/>
        <v/>
      </c>
      <c r="K18638" s="1" t="str">
        <f t="shared" si="4"/>
        <v/>
      </c>
    </row>
    <row r="18639">
      <c r="F18639" s="1" t="str">
        <f t="shared" si="1"/>
        <v/>
      </c>
      <c r="G18639" s="1" t="str">
        <f t="shared" si="2"/>
        <v/>
      </c>
      <c r="J18639" s="1" t="str">
        <f t="shared" si="3"/>
        <v/>
      </c>
      <c r="K18639" s="1" t="str">
        <f t="shared" si="4"/>
        <v/>
      </c>
    </row>
    <row r="18640">
      <c r="F18640" s="1" t="str">
        <f t="shared" si="1"/>
        <v/>
      </c>
      <c r="G18640" s="1" t="str">
        <f t="shared" si="2"/>
        <v/>
      </c>
      <c r="J18640" s="1" t="str">
        <f t="shared" si="3"/>
        <v/>
      </c>
      <c r="K18640" s="1" t="str">
        <f t="shared" si="4"/>
        <v/>
      </c>
    </row>
    <row r="18641">
      <c r="F18641" s="1" t="str">
        <f t="shared" si="1"/>
        <v/>
      </c>
      <c r="G18641" s="1" t="str">
        <f t="shared" si="2"/>
        <v/>
      </c>
      <c r="J18641" s="1" t="str">
        <f t="shared" si="3"/>
        <v/>
      </c>
      <c r="K18641" s="1" t="str">
        <f t="shared" si="4"/>
        <v/>
      </c>
    </row>
    <row r="18642">
      <c r="F18642" s="1" t="str">
        <f t="shared" si="1"/>
        <v/>
      </c>
      <c r="G18642" s="1" t="str">
        <f t="shared" si="2"/>
        <v/>
      </c>
      <c r="J18642" s="1" t="str">
        <f t="shared" si="3"/>
        <v/>
      </c>
      <c r="K18642" s="1" t="str">
        <f t="shared" si="4"/>
        <v/>
      </c>
    </row>
    <row r="18643">
      <c r="F18643" s="1" t="str">
        <f t="shared" si="1"/>
        <v/>
      </c>
      <c r="G18643" s="1" t="str">
        <f t="shared" si="2"/>
        <v/>
      </c>
      <c r="J18643" s="1" t="str">
        <f t="shared" si="3"/>
        <v/>
      </c>
      <c r="K18643" s="1" t="str">
        <f t="shared" si="4"/>
        <v/>
      </c>
    </row>
    <row r="18644">
      <c r="F18644" s="1" t="str">
        <f t="shared" si="1"/>
        <v/>
      </c>
      <c r="G18644" s="1" t="str">
        <f t="shared" si="2"/>
        <v/>
      </c>
      <c r="J18644" s="1" t="str">
        <f t="shared" si="3"/>
        <v/>
      </c>
      <c r="K18644" s="1" t="str">
        <f t="shared" si="4"/>
        <v/>
      </c>
    </row>
    <row r="18645">
      <c r="F18645" s="1" t="str">
        <f t="shared" si="1"/>
        <v/>
      </c>
      <c r="G18645" s="1" t="str">
        <f t="shared" si="2"/>
        <v/>
      </c>
      <c r="J18645" s="1" t="str">
        <f t="shared" si="3"/>
        <v/>
      </c>
      <c r="K18645" s="1" t="str">
        <f t="shared" si="4"/>
        <v/>
      </c>
    </row>
    <row r="18646">
      <c r="F18646" s="1" t="str">
        <f t="shared" si="1"/>
        <v/>
      </c>
      <c r="G18646" s="1" t="str">
        <f t="shared" si="2"/>
        <v/>
      </c>
      <c r="J18646" s="1" t="str">
        <f t="shared" si="3"/>
        <v/>
      </c>
      <c r="K18646" s="1" t="str">
        <f t="shared" si="4"/>
        <v/>
      </c>
    </row>
    <row r="18647">
      <c r="F18647" s="1" t="str">
        <f t="shared" si="1"/>
        <v/>
      </c>
      <c r="G18647" s="1" t="str">
        <f t="shared" si="2"/>
        <v/>
      </c>
      <c r="J18647" s="1" t="str">
        <f t="shared" si="3"/>
        <v/>
      </c>
      <c r="K18647" s="1" t="str">
        <f t="shared" si="4"/>
        <v/>
      </c>
    </row>
    <row r="18648">
      <c r="F18648" s="1" t="str">
        <f t="shared" si="1"/>
        <v/>
      </c>
      <c r="G18648" s="1" t="str">
        <f t="shared" si="2"/>
        <v/>
      </c>
      <c r="J18648" s="1" t="str">
        <f t="shared" si="3"/>
        <v/>
      </c>
      <c r="K18648" s="1" t="str">
        <f t="shared" si="4"/>
        <v/>
      </c>
    </row>
    <row r="18649">
      <c r="F18649" s="1" t="str">
        <f t="shared" si="1"/>
        <v/>
      </c>
      <c r="G18649" s="1" t="str">
        <f t="shared" si="2"/>
        <v/>
      </c>
      <c r="J18649" s="1" t="str">
        <f t="shared" si="3"/>
        <v/>
      </c>
      <c r="K18649" s="1" t="str">
        <f t="shared" si="4"/>
        <v/>
      </c>
    </row>
    <row r="18650">
      <c r="F18650" s="1" t="str">
        <f t="shared" si="1"/>
        <v/>
      </c>
      <c r="G18650" s="1" t="str">
        <f t="shared" si="2"/>
        <v/>
      </c>
      <c r="J18650" s="1" t="str">
        <f t="shared" si="3"/>
        <v/>
      </c>
      <c r="K18650" s="1" t="str">
        <f t="shared" si="4"/>
        <v/>
      </c>
    </row>
    <row r="18651">
      <c r="F18651" s="1" t="str">
        <f t="shared" si="1"/>
        <v/>
      </c>
      <c r="G18651" s="1" t="str">
        <f t="shared" si="2"/>
        <v/>
      </c>
      <c r="J18651" s="1" t="str">
        <f t="shared" si="3"/>
        <v/>
      </c>
      <c r="K18651" s="1" t="str">
        <f t="shared" si="4"/>
        <v/>
      </c>
    </row>
    <row r="18652">
      <c r="F18652" s="1" t="str">
        <f t="shared" si="1"/>
        <v/>
      </c>
      <c r="G18652" s="1" t="str">
        <f t="shared" si="2"/>
        <v/>
      </c>
      <c r="J18652" s="1" t="str">
        <f t="shared" si="3"/>
        <v/>
      </c>
      <c r="K18652" s="1" t="str">
        <f t="shared" si="4"/>
        <v/>
      </c>
    </row>
    <row r="18653">
      <c r="F18653" s="1" t="str">
        <f t="shared" si="1"/>
        <v/>
      </c>
      <c r="G18653" s="1" t="str">
        <f t="shared" si="2"/>
        <v/>
      </c>
      <c r="J18653" s="1" t="str">
        <f t="shared" si="3"/>
        <v/>
      </c>
      <c r="K18653" s="1" t="str">
        <f t="shared" si="4"/>
        <v/>
      </c>
    </row>
    <row r="18654">
      <c r="F18654" s="1" t="str">
        <f t="shared" si="1"/>
        <v/>
      </c>
      <c r="G18654" s="1" t="str">
        <f t="shared" si="2"/>
        <v/>
      </c>
      <c r="J18654" s="1" t="str">
        <f t="shared" si="3"/>
        <v/>
      </c>
      <c r="K18654" s="1" t="str">
        <f t="shared" si="4"/>
        <v/>
      </c>
    </row>
    <row r="18655">
      <c r="F18655" s="1" t="str">
        <f t="shared" si="1"/>
        <v/>
      </c>
      <c r="G18655" s="1" t="str">
        <f t="shared" si="2"/>
        <v/>
      </c>
      <c r="J18655" s="1" t="str">
        <f t="shared" si="3"/>
        <v/>
      </c>
      <c r="K18655" s="1" t="str">
        <f t="shared" si="4"/>
        <v/>
      </c>
    </row>
    <row r="18656">
      <c r="F18656" s="1" t="str">
        <f t="shared" si="1"/>
        <v/>
      </c>
      <c r="G18656" s="1" t="str">
        <f t="shared" si="2"/>
        <v/>
      </c>
      <c r="J18656" s="1" t="str">
        <f t="shared" si="3"/>
        <v/>
      </c>
      <c r="K18656" s="1" t="str">
        <f t="shared" si="4"/>
        <v/>
      </c>
    </row>
    <row r="18657">
      <c r="F18657" s="1" t="str">
        <f t="shared" si="1"/>
        <v/>
      </c>
      <c r="G18657" s="1" t="str">
        <f t="shared" si="2"/>
        <v/>
      </c>
      <c r="J18657" s="1" t="str">
        <f t="shared" si="3"/>
        <v/>
      </c>
      <c r="K18657" s="1" t="str">
        <f t="shared" si="4"/>
        <v/>
      </c>
    </row>
    <row r="18658">
      <c r="F18658" s="1" t="str">
        <f t="shared" si="1"/>
        <v/>
      </c>
      <c r="G18658" s="1" t="str">
        <f t="shared" si="2"/>
        <v/>
      </c>
      <c r="J18658" s="1" t="str">
        <f t="shared" si="3"/>
        <v/>
      </c>
      <c r="K18658" s="1" t="str">
        <f t="shared" si="4"/>
        <v/>
      </c>
    </row>
    <row r="18659">
      <c r="F18659" s="1" t="str">
        <f t="shared" si="1"/>
        <v/>
      </c>
      <c r="G18659" s="1" t="str">
        <f t="shared" si="2"/>
        <v/>
      </c>
      <c r="J18659" s="1" t="str">
        <f t="shared" si="3"/>
        <v/>
      </c>
      <c r="K18659" s="1" t="str">
        <f t="shared" si="4"/>
        <v/>
      </c>
    </row>
    <row r="18660">
      <c r="F18660" s="1" t="str">
        <f t="shared" si="1"/>
        <v/>
      </c>
      <c r="G18660" s="1" t="str">
        <f t="shared" si="2"/>
        <v/>
      </c>
      <c r="J18660" s="1" t="str">
        <f t="shared" si="3"/>
        <v/>
      </c>
      <c r="K18660" s="1" t="str">
        <f t="shared" si="4"/>
        <v/>
      </c>
    </row>
    <row r="18661">
      <c r="F18661" s="1" t="str">
        <f t="shared" si="1"/>
        <v/>
      </c>
      <c r="G18661" s="1" t="str">
        <f t="shared" si="2"/>
        <v/>
      </c>
      <c r="J18661" s="1" t="str">
        <f t="shared" si="3"/>
        <v/>
      </c>
      <c r="K18661" s="1" t="str">
        <f t="shared" si="4"/>
        <v/>
      </c>
    </row>
    <row r="18662">
      <c r="F18662" s="1" t="str">
        <f t="shared" si="1"/>
        <v/>
      </c>
      <c r="G18662" s="1" t="str">
        <f t="shared" si="2"/>
        <v/>
      </c>
      <c r="J18662" s="1" t="str">
        <f t="shared" si="3"/>
        <v/>
      </c>
      <c r="K18662" s="1" t="str">
        <f t="shared" si="4"/>
        <v/>
      </c>
    </row>
    <row r="18663">
      <c r="F18663" s="1" t="str">
        <f t="shared" si="1"/>
        <v/>
      </c>
      <c r="G18663" s="1" t="str">
        <f t="shared" si="2"/>
        <v/>
      </c>
      <c r="J18663" s="1" t="str">
        <f t="shared" si="3"/>
        <v/>
      </c>
      <c r="K18663" s="1" t="str">
        <f t="shared" si="4"/>
        <v/>
      </c>
    </row>
    <row r="18664">
      <c r="F18664" s="1" t="str">
        <f t="shared" si="1"/>
        <v/>
      </c>
      <c r="G18664" s="1" t="str">
        <f t="shared" si="2"/>
        <v/>
      </c>
      <c r="J18664" s="1" t="str">
        <f t="shared" si="3"/>
        <v/>
      </c>
      <c r="K18664" s="1" t="str">
        <f t="shared" si="4"/>
        <v/>
      </c>
    </row>
    <row r="18665">
      <c r="F18665" s="1" t="str">
        <f t="shared" si="1"/>
        <v/>
      </c>
      <c r="G18665" s="1" t="str">
        <f t="shared" si="2"/>
        <v/>
      </c>
      <c r="J18665" s="1" t="str">
        <f t="shared" si="3"/>
        <v/>
      </c>
      <c r="K18665" s="1" t="str">
        <f t="shared" si="4"/>
        <v/>
      </c>
    </row>
    <row r="18666">
      <c r="F18666" s="1" t="str">
        <f t="shared" si="1"/>
        <v/>
      </c>
      <c r="G18666" s="1" t="str">
        <f t="shared" si="2"/>
        <v/>
      </c>
      <c r="J18666" s="1" t="str">
        <f t="shared" si="3"/>
        <v/>
      </c>
      <c r="K18666" s="1" t="str">
        <f t="shared" si="4"/>
        <v/>
      </c>
    </row>
    <row r="18667">
      <c r="F18667" s="1" t="str">
        <f t="shared" si="1"/>
        <v/>
      </c>
      <c r="G18667" s="1" t="str">
        <f t="shared" si="2"/>
        <v/>
      </c>
      <c r="J18667" s="1" t="str">
        <f t="shared" si="3"/>
        <v/>
      </c>
      <c r="K18667" s="1" t="str">
        <f t="shared" si="4"/>
        <v/>
      </c>
    </row>
    <row r="18668">
      <c r="F18668" s="1" t="str">
        <f t="shared" si="1"/>
        <v/>
      </c>
      <c r="G18668" s="1" t="str">
        <f t="shared" si="2"/>
        <v/>
      </c>
      <c r="J18668" s="1" t="str">
        <f t="shared" si="3"/>
        <v/>
      </c>
      <c r="K18668" s="1" t="str">
        <f t="shared" si="4"/>
        <v/>
      </c>
    </row>
    <row r="18669">
      <c r="F18669" s="1" t="str">
        <f t="shared" si="1"/>
        <v/>
      </c>
      <c r="G18669" s="1" t="str">
        <f t="shared" si="2"/>
        <v/>
      </c>
      <c r="J18669" s="1" t="str">
        <f t="shared" si="3"/>
        <v/>
      </c>
      <c r="K18669" s="1" t="str">
        <f t="shared" si="4"/>
        <v/>
      </c>
    </row>
    <row r="18670">
      <c r="F18670" s="1" t="str">
        <f t="shared" si="1"/>
        <v/>
      </c>
      <c r="G18670" s="1" t="str">
        <f t="shared" si="2"/>
        <v/>
      </c>
      <c r="J18670" s="1" t="str">
        <f t="shared" si="3"/>
        <v/>
      </c>
      <c r="K18670" s="1" t="str">
        <f t="shared" si="4"/>
        <v/>
      </c>
    </row>
    <row r="18671">
      <c r="F18671" s="1" t="str">
        <f t="shared" si="1"/>
        <v/>
      </c>
      <c r="G18671" s="1" t="str">
        <f t="shared" si="2"/>
        <v/>
      </c>
      <c r="J18671" s="1" t="str">
        <f t="shared" si="3"/>
        <v/>
      </c>
      <c r="K18671" s="1" t="str">
        <f t="shared" si="4"/>
        <v/>
      </c>
    </row>
    <row r="18672">
      <c r="F18672" s="1" t="str">
        <f t="shared" si="1"/>
        <v/>
      </c>
      <c r="G18672" s="1" t="str">
        <f t="shared" si="2"/>
        <v/>
      </c>
      <c r="J18672" s="1" t="str">
        <f t="shared" si="3"/>
        <v/>
      </c>
      <c r="K18672" s="1" t="str">
        <f t="shared" si="4"/>
        <v/>
      </c>
    </row>
    <row r="18673">
      <c r="F18673" s="1" t="str">
        <f t="shared" si="1"/>
        <v/>
      </c>
      <c r="G18673" s="1" t="str">
        <f t="shared" si="2"/>
        <v/>
      </c>
      <c r="J18673" s="1" t="str">
        <f t="shared" si="3"/>
        <v/>
      </c>
      <c r="K18673" s="1" t="str">
        <f t="shared" si="4"/>
        <v/>
      </c>
    </row>
    <row r="18674">
      <c r="F18674" s="1" t="str">
        <f t="shared" si="1"/>
        <v/>
      </c>
      <c r="G18674" s="1" t="str">
        <f t="shared" si="2"/>
        <v/>
      </c>
      <c r="J18674" s="1" t="str">
        <f t="shared" si="3"/>
        <v/>
      </c>
      <c r="K18674" s="1" t="str">
        <f t="shared" si="4"/>
        <v/>
      </c>
    </row>
    <row r="18675">
      <c r="F18675" s="1" t="str">
        <f t="shared" si="1"/>
        <v/>
      </c>
      <c r="G18675" s="1" t="str">
        <f t="shared" si="2"/>
        <v/>
      </c>
      <c r="J18675" s="1" t="str">
        <f t="shared" si="3"/>
        <v/>
      </c>
      <c r="K18675" s="1" t="str">
        <f t="shared" si="4"/>
        <v/>
      </c>
    </row>
    <row r="18676">
      <c r="F18676" s="1" t="str">
        <f t="shared" si="1"/>
        <v/>
      </c>
      <c r="G18676" s="1" t="str">
        <f t="shared" si="2"/>
        <v/>
      </c>
      <c r="J18676" s="1" t="str">
        <f t="shared" si="3"/>
        <v/>
      </c>
      <c r="K18676" s="1" t="str">
        <f t="shared" si="4"/>
        <v/>
      </c>
    </row>
    <row r="18677">
      <c r="F18677" s="1" t="str">
        <f t="shared" si="1"/>
        <v/>
      </c>
      <c r="G18677" s="1" t="str">
        <f t="shared" si="2"/>
        <v/>
      </c>
      <c r="J18677" s="1" t="str">
        <f t="shared" si="3"/>
        <v/>
      </c>
      <c r="K18677" s="1" t="str">
        <f t="shared" si="4"/>
        <v/>
      </c>
    </row>
    <row r="18678">
      <c r="F18678" s="1" t="str">
        <f t="shared" si="1"/>
        <v/>
      </c>
      <c r="G18678" s="1" t="str">
        <f t="shared" si="2"/>
        <v/>
      </c>
      <c r="J18678" s="1" t="str">
        <f t="shared" si="3"/>
        <v/>
      </c>
      <c r="K18678" s="1" t="str">
        <f t="shared" si="4"/>
        <v/>
      </c>
    </row>
    <row r="18679">
      <c r="F18679" s="1" t="str">
        <f t="shared" si="1"/>
        <v/>
      </c>
      <c r="G18679" s="1" t="str">
        <f t="shared" si="2"/>
        <v/>
      </c>
      <c r="J18679" s="1" t="str">
        <f t="shared" si="3"/>
        <v/>
      </c>
      <c r="K18679" s="1" t="str">
        <f t="shared" si="4"/>
        <v/>
      </c>
    </row>
    <row r="18680">
      <c r="F18680" s="1" t="str">
        <f t="shared" si="1"/>
        <v/>
      </c>
      <c r="G18680" s="1" t="str">
        <f t="shared" si="2"/>
        <v/>
      </c>
      <c r="J18680" s="1" t="str">
        <f t="shared" si="3"/>
        <v/>
      </c>
      <c r="K18680" s="1" t="str">
        <f t="shared" si="4"/>
        <v/>
      </c>
    </row>
    <row r="18681">
      <c r="F18681" s="1" t="str">
        <f t="shared" si="1"/>
        <v/>
      </c>
      <c r="G18681" s="1" t="str">
        <f t="shared" si="2"/>
        <v/>
      </c>
      <c r="J18681" s="1" t="str">
        <f t="shared" si="3"/>
        <v/>
      </c>
      <c r="K18681" s="1" t="str">
        <f t="shared" si="4"/>
        <v/>
      </c>
    </row>
    <row r="18682">
      <c r="F18682" s="1" t="str">
        <f t="shared" si="1"/>
        <v/>
      </c>
      <c r="G18682" s="1" t="str">
        <f t="shared" si="2"/>
        <v/>
      </c>
      <c r="J18682" s="1" t="str">
        <f t="shared" si="3"/>
        <v/>
      </c>
      <c r="K18682" s="1" t="str">
        <f t="shared" si="4"/>
        <v/>
      </c>
    </row>
    <row r="18683">
      <c r="F18683" s="1" t="str">
        <f t="shared" si="1"/>
        <v/>
      </c>
      <c r="G18683" s="1" t="str">
        <f t="shared" si="2"/>
        <v/>
      </c>
      <c r="J18683" s="1" t="str">
        <f t="shared" si="3"/>
        <v/>
      </c>
      <c r="K18683" s="1" t="str">
        <f t="shared" si="4"/>
        <v/>
      </c>
    </row>
    <row r="18684">
      <c r="F18684" s="1" t="str">
        <f t="shared" si="1"/>
        <v/>
      </c>
      <c r="G18684" s="1" t="str">
        <f t="shared" si="2"/>
        <v/>
      </c>
      <c r="J18684" s="1" t="str">
        <f t="shared" si="3"/>
        <v/>
      </c>
      <c r="K18684" s="1" t="str">
        <f t="shared" si="4"/>
        <v/>
      </c>
    </row>
    <row r="18685">
      <c r="F18685" s="1" t="str">
        <f t="shared" si="1"/>
        <v/>
      </c>
      <c r="G18685" s="1" t="str">
        <f t="shared" si="2"/>
        <v/>
      </c>
      <c r="J18685" s="1" t="str">
        <f t="shared" si="3"/>
        <v/>
      </c>
      <c r="K18685" s="1" t="str">
        <f t="shared" si="4"/>
        <v/>
      </c>
    </row>
    <row r="18686">
      <c r="F18686" s="1" t="str">
        <f t="shared" si="1"/>
        <v/>
      </c>
      <c r="G18686" s="1" t="str">
        <f t="shared" si="2"/>
        <v/>
      </c>
      <c r="J18686" s="1" t="str">
        <f t="shared" si="3"/>
        <v/>
      </c>
      <c r="K18686" s="1" t="str">
        <f t="shared" si="4"/>
        <v/>
      </c>
    </row>
    <row r="18687">
      <c r="F18687" s="1" t="str">
        <f t="shared" si="1"/>
        <v/>
      </c>
      <c r="G18687" s="1" t="str">
        <f t="shared" si="2"/>
        <v/>
      </c>
      <c r="J18687" s="1" t="str">
        <f t="shared" si="3"/>
        <v/>
      </c>
      <c r="K18687" s="1" t="str">
        <f t="shared" si="4"/>
        <v/>
      </c>
    </row>
    <row r="18688">
      <c r="F18688" s="1" t="str">
        <f t="shared" si="1"/>
        <v/>
      </c>
      <c r="G18688" s="1" t="str">
        <f t="shared" si="2"/>
        <v/>
      </c>
      <c r="J18688" s="1" t="str">
        <f t="shared" si="3"/>
        <v/>
      </c>
      <c r="K18688" s="1" t="str">
        <f t="shared" si="4"/>
        <v/>
      </c>
    </row>
    <row r="18689">
      <c r="F18689" s="1" t="str">
        <f t="shared" si="1"/>
        <v/>
      </c>
      <c r="G18689" s="1" t="str">
        <f t="shared" si="2"/>
        <v/>
      </c>
      <c r="J18689" s="1" t="str">
        <f t="shared" si="3"/>
        <v/>
      </c>
      <c r="K18689" s="1" t="str">
        <f t="shared" si="4"/>
        <v/>
      </c>
    </row>
    <row r="18690">
      <c r="F18690" s="1" t="str">
        <f t="shared" si="1"/>
        <v/>
      </c>
      <c r="G18690" s="1" t="str">
        <f t="shared" si="2"/>
        <v/>
      </c>
      <c r="J18690" s="1" t="str">
        <f t="shared" si="3"/>
        <v/>
      </c>
      <c r="K18690" s="1" t="str">
        <f t="shared" si="4"/>
        <v/>
      </c>
    </row>
    <row r="18691">
      <c r="F18691" s="1" t="str">
        <f t="shared" si="1"/>
        <v/>
      </c>
      <c r="G18691" s="1" t="str">
        <f t="shared" si="2"/>
        <v/>
      </c>
      <c r="J18691" s="1" t="str">
        <f t="shared" si="3"/>
        <v/>
      </c>
      <c r="K18691" s="1" t="str">
        <f t="shared" si="4"/>
        <v/>
      </c>
    </row>
    <row r="18692">
      <c r="F18692" s="1" t="str">
        <f t="shared" si="1"/>
        <v/>
      </c>
      <c r="G18692" s="1" t="str">
        <f t="shared" si="2"/>
        <v/>
      </c>
      <c r="J18692" s="1" t="str">
        <f t="shared" si="3"/>
        <v/>
      </c>
      <c r="K18692" s="1" t="str">
        <f t="shared" si="4"/>
        <v/>
      </c>
    </row>
    <row r="18693">
      <c r="F18693" s="1" t="str">
        <f t="shared" si="1"/>
        <v/>
      </c>
      <c r="G18693" s="1" t="str">
        <f t="shared" si="2"/>
        <v/>
      </c>
      <c r="J18693" s="1" t="str">
        <f t="shared" si="3"/>
        <v/>
      </c>
      <c r="K18693" s="1" t="str">
        <f t="shared" si="4"/>
        <v/>
      </c>
    </row>
    <row r="18694">
      <c r="F18694" s="1" t="str">
        <f t="shared" si="1"/>
        <v/>
      </c>
      <c r="G18694" s="1" t="str">
        <f t="shared" si="2"/>
        <v/>
      </c>
      <c r="J18694" s="1" t="str">
        <f t="shared" si="3"/>
        <v/>
      </c>
      <c r="K18694" s="1" t="str">
        <f t="shared" si="4"/>
        <v/>
      </c>
    </row>
    <row r="18695">
      <c r="F18695" s="1" t="str">
        <f t="shared" si="1"/>
        <v/>
      </c>
      <c r="G18695" s="1" t="str">
        <f t="shared" si="2"/>
        <v/>
      </c>
      <c r="J18695" s="1" t="str">
        <f t="shared" si="3"/>
        <v/>
      </c>
      <c r="K18695" s="1" t="str">
        <f t="shared" si="4"/>
        <v/>
      </c>
    </row>
    <row r="18696">
      <c r="F18696" s="1" t="str">
        <f t="shared" si="1"/>
        <v/>
      </c>
      <c r="G18696" s="1" t="str">
        <f t="shared" si="2"/>
        <v/>
      </c>
      <c r="J18696" s="1" t="str">
        <f t="shared" si="3"/>
        <v/>
      </c>
      <c r="K18696" s="1" t="str">
        <f t="shared" si="4"/>
        <v/>
      </c>
    </row>
    <row r="18697">
      <c r="F18697" s="1" t="str">
        <f t="shared" si="1"/>
        <v/>
      </c>
      <c r="G18697" s="1" t="str">
        <f t="shared" si="2"/>
        <v/>
      </c>
      <c r="J18697" s="1" t="str">
        <f t="shared" si="3"/>
        <v/>
      </c>
      <c r="K18697" s="1" t="str">
        <f t="shared" si="4"/>
        <v/>
      </c>
    </row>
    <row r="18698">
      <c r="F18698" s="1" t="str">
        <f t="shared" si="1"/>
        <v/>
      </c>
      <c r="G18698" s="1" t="str">
        <f t="shared" si="2"/>
        <v/>
      </c>
      <c r="J18698" s="1" t="str">
        <f t="shared" si="3"/>
        <v/>
      </c>
      <c r="K18698" s="1" t="str">
        <f t="shared" si="4"/>
        <v/>
      </c>
    </row>
    <row r="18699">
      <c r="F18699" s="1" t="str">
        <f t="shared" si="1"/>
        <v/>
      </c>
      <c r="G18699" s="1" t="str">
        <f t="shared" si="2"/>
        <v/>
      </c>
      <c r="J18699" s="1" t="str">
        <f t="shared" si="3"/>
        <v/>
      </c>
      <c r="K18699" s="1" t="str">
        <f t="shared" si="4"/>
        <v/>
      </c>
    </row>
    <row r="18700">
      <c r="F18700" s="1" t="str">
        <f t="shared" si="1"/>
        <v/>
      </c>
      <c r="G18700" s="1" t="str">
        <f t="shared" si="2"/>
        <v/>
      </c>
      <c r="J18700" s="1" t="str">
        <f t="shared" si="3"/>
        <v/>
      </c>
      <c r="K18700" s="1" t="str">
        <f t="shared" si="4"/>
        <v/>
      </c>
    </row>
    <row r="18701">
      <c r="F18701" s="1" t="str">
        <f t="shared" si="1"/>
        <v/>
      </c>
      <c r="G18701" s="1" t="str">
        <f t="shared" si="2"/>
        <v/>
      </c>
      <c r="J18701" s="1" t="str">
        <f t="shared" si="3"/>
        <v/>
      </c>
      <c r="K18701" s="1" t="str">
        <f t="shared" si="4"/>
        <v/>
      </c>
    </row>
    <row r="18702">
      <c r="F18702" s="1" t="str">
        <f t="shared" si="1"/>
        <v/>
      </c>
      <c r="G18702" s="1" t="str">
        <f t="shared" si="2"/>
        <v/>
      </c>
      <c r="J18702" s="1" t="str">
        <f t="shared" si="3"/>
        <v/>
      </c>
      <c r="K18702" s="1" t="str">
        <f t="shared" si="4"/>
        <v/>
      </c>
    </row>
    <row r="18703">
      <c r="F18703" s="1" t="str">
        <f t="shared" si="1"/>
        <v/>
      </c>
      <c r="G18703" s="1" t="str">
        <f t="shared" si="2"/>
        <v/>
      </c>
      <c r="J18703" s="1" t="str">
        <f t="shared" si="3"/>
        <v/>
      </c>
      <c r="K18703" s="1" t="str">
        <f t="shared" si="4"/>
        <v/>
      </c>
    </row>
    <row r="18704">
      <c r="F18704" s="1" t="str">
        <f t="shared" si="1"/>
        <v/>
      </c>
      <c r="G18704" s="1" t="str">
        <f t="shared" si="2"/>
        <v/>
      </c>
      <c r="J18704" s="1" t="str">
        <f t="shared" si="3"/>
        <v/>
      </c>
      <c r="K18704" s="1" t="str">
        <f t="shared" si="4"/>
        <v/>
      </c>
    </row>
    <row r="18705">
      <c r="F18705" s="1" t="str">
        <f t="shared" si="1"/>
        <v/>
      </c>
      <c r="G18705" s="1" t="str">
        <f t="shared" si="2"/>
        <v/>
      </c>
      <c r="J18705" s="1" t="str">
        <f t="shared" si="3"/>
        <v/>
      </c>
      <c r="K18705" s="1" t="str">
        <f t="shared" si="4"/>
        <v/>
      </c>
    </row>
    <row r="18706">
      <c r="F18706" s="1" t="str">
        <f t="shared" si="1"/>
        <v/>
      </c>
      <c r="G18706" s="1" t="str">
        <f t="shared" si="2"/>
        <v/>
      </c>
      <c r="J18706" s="1" t="str">
        <f t="shared" si="3"/>
        <v/>
      </c>
      <c r="K18706" s="1" t="str">
        <f t="shared" si="4"/>
        <v/>
      </c>
    </row>
    <row r="18707">
      <c r="F18707" s="1" t="str">
        <f t="shared" si="1"/>
        <v/>
      </c>
      <c r="G18707" s="1" t="str">
        <f t="shared" si="2"/>
        <v/>
      </c>
      <c r="J18707" s="1" t="str">
        <f t="shared" si="3"/>
        <v/>
      </c>
      <c r="K18707" s="1" t="str">
        <f t="shared" si="4"/>
        <v/>
      </c>
    </row>
    <row r="18708">
      <c r="F18708" s="1" t="str">
        <f t="shared" si="1"/>
        <v/>
      </c>
      <c r="G18708" s="1" t="str">
        <f t="shared" si="2"/>
        <v/>
      </c>
      <c r="J18708" s="1" t="str">
        <f t="shared" si="3"/>
        <v/>
      </c>
      <c r="K18708" s="1" t="str">
        <f t="shared" si="4"/>
        <v/>
      </c>
    </row>
    <row r="18709">
      <c r="F18709" s="1" t="str">
        <f t="shared" si="1"/>
        <v/>
      </c>
      <c r="G18709" s="1" t="str">
        <f t="shared" si="2"/>
        <v/>
      </c>
      <c r="J18709" s="1" t="str">
        <f t="shared" si="3"/>
        <v/>
      </c>
      <c r="K18709" s="1" t="str">
        <f t="shared" si="4"/>
        <v/>
      </c>
    </row>
    <row r="18710">
      <c r="F18710" s="1" t="str">
        <f t="shared" si="1"/>
        <v/>
      </c>
      <c r="G18710" s="1" t="str">
        <f t="shared" si="2"/>
        <v/>
      </c>
      <c r="J18710" s="1" t="str">
        <f t="shared" si="3"/>
        <v/>
      </c>
      <c r="K18710" s="1" t="str">
        <f t="shared" si="4"/>
        <v/>
      </c>
    </row>
    <row r="18711">
      <c r="F18711" s="1" t="str">
        <f t="shared" si="1"/>
        <v/>
      </c>
      <c r="G18711" s="1" t="str">
        <f t="shared" si="2"/>
        <v/>
      </c>
      <c r="J18711" s="1" t="str">
        <f t="shared" si="3"/>
        <v/>
      </c>
      <c r="K18711" s="1" t="str">
        <f t="shared" si="4"/>
        <v/>
      </c>
    </row>
    <row r="18712">
      <c r="F18712" s="1" t="str">
        <f t="shared" si="1"/>
        <v/>
      </c>
      <c r="G18712" s="1" t="str">
        <f t="shared" si="2"/>
        <v/>
      </c>
      <c r="J18712" s="1" t="str">
        <f t="shared" si="3"/>
        <v/>
      </c>
      <c r="K18712" s="1" t="str">
        <f t="shared" si="4"/>
        <v/>
      </c>
    </row>
    <row r="18713">
      <c r="F18713" s="1" t="str">
        <f t="shared" si="1"/>
        <v/>
      </c>
      <c r="G18713" s="1" t="str">
        <f t="shared" si="2"/>
        <v/>
      </c>
      <c r="J18713" s="1" t="str">
        <f t="shared" si="3"/>
        <v/>
      </c>
      <c r="K18713" s="1" t="str">
        <f t="shared" si="4"/>
        <v/>
      </c>
    </row>
    <row r="18714">
      <c r="F18714" s="1" t="str">
        <f t="shared" si="1"/>
        <v/>
      </c>
      <c r="G18714" s="1" t="str">
        <f t="shared" si="2"/>
        <v/>
      </c>
      <c r="J18714" s="1" t="str">
        <f t="shared" si="3"/>
        <v/>
      </c>
      <c r="K18714" s="1" t="str">
        <f t="shared" si="4"/>
        <v/>
      </c>
    </row>
    <row r="18715">
      <c r="F18715" s="1" t="str">
        <f t="shared" si="1"/>
        <v/>
      </c>
      <c r="G18715" s="1" t="str">
        <f t="shared" si="2"/>
        <v/>
      </c>
      <c r="J18715" s="1" t="str">
        <f t="shared" si="3"/>
        <v/>
      </c>
      <c r="K18715" s="1" t="str">
        <f t="shared" si="4"/>
        <v/>
      </c>
    </row>
    <row r="18716">
      <c r="F18716" s="1" t="str">
        <f t="shared" si="1"/>
        <v/>
      </c>
      <c r="G18716" s="1" t="str">
        <f t="shared" si="2"/>
        <v/>
      </c>
      <c r="J18716" s="1" t="str">
        <f t="shared" si="3"/>
        <v/>
      </c>
      <c r="K18716" s="1" t="str">
        <f t="shared" si="4"/>
        <v/>
      </c>
    </row>
    <row r="18717">
      <c r="F18717" s="1" t="str">
        <f t="shared" si="1"/>
        <v/>
      </c>
      <c r="G18717" s="1" t="str">
        <f t="shared" si="2"/>
        <v/>
      </c>
      <c r="J18717" s="1" t="str">
        <f t="shared" si="3"/>
        <v/>
      </c>
      <c r="K18717" s="1" t="str">
        <f t="shared" si="4"/>
        <v/>
      </c>
    </row>
    <row r="18718">
      <c r="F18718" s="1" t="str">
        <f t="shared" si="1"/>
        <v/>
      </c>
      <c r="G18718" s="1" t="str">
        <f t="shared" si="2"/>
        <v/>
      </c>
      <c r="J18718" s="1" t="str">
        <f t="shared" si="3"/>
        <v/>
      </c>
      <c r="K18718" s="1" t="str">
        <f t="shared" si="4"/>
        <v/>
      </c>
    </row>
    <row r="18719">
      <c r="F18719" s="1" t="str">
        <f t="shared" si="1"/>
        <v/>
      </c>
      <c r="G18719" s="1" t="str">
        <f t="shared" si="2"/>
        <v/>
      </c>
      <c r="J18719" s="1" t="str">
        <f t="shared" si="3"/>
        <v/>
      </c>
      <c r="K18719" s="1" t="str">
        <f t="shared" si="4"/>
        <v/>
      </c>
    </row>
    <row r="18720">
      <c r="F18720" s="1" t="str">
        <f t="shared" si="1"/>
        <v/>
      </c>
      <c r="G18720" s="1" t="str">
        <f t="shared" si="2"/>
        <v/>
      </c>
      <c r="J18720" s="1" t="str">
        <f t="shared" si="3"/>
        <v/>
      </c>
      <c r="K18720" s="1" t="str">
        <f t="shared" si="4"/>
        <v/>
      </c>
    </row>
    <row r="18721">
      <c r="F18721" s="1" t="str">
        <f t="shared" si="1"/>
        <v/>
      </c>
      <c r="G18721" s="1" t="str">
        <f t="shared" si="2"/>
        <v/>
      </c>
      <c r="J18721" s="1" t="str">
        <f t="shared" si="3"/>
        <v/>
      </c>
      <c r="K18721" s="1" t="str">
        <f t="shared" si="4"/>
        <v/>
      </c>
    </row>
    <row r="18722">
      <c r="F18722" s="1" t="str">
        <f t="shared" si="1"/>
        <v/>
      </c>
      <c r="G18722" s="1" t="str">
        <f t="shared" si="2"/>
        <v/>
      </c>
      <c r="J18722" s="1" t="str">
        <f t="shared" si="3"/>
        <v/>
      </c>
      <c r="K18722" s="1" t="str">
        <f t="shared" si="4"/>
        <v/>
      </c>
    </row>
    <row r="18723">
      <c r="F18723" s="1" t="str">
        <f t="shared" si="1"/>
        <v/>
      </c>
      <c r="G18723" s="1" t="str">
        <f t="shared" si="2"/>
        <v/>
      </c>
      <c r="J18723" s="1" t="str">
        <f t="shared" si="3"/>
        <v/>
      </c>
      <c r="K18723" s="1" t="str">
        <f t="shared" si="4"/>
        <v/>
      </c>
    </row>
    <row r="18724">
      <c r="F18724" s="1" t="str">
        <f t="shared" si="1"/>
        <v/>
      </c>
      <c r="G18724" s="1" t="str">
        <f t="shared" si="2"/>
        <v/>
      </c>
      <c r="J18724" s="1" t="str">
        <f t="shared" si="3"/>
        <v/>
      </c>
      <c r="K18724" s="1" t="str">
        <f t="shared" si="4"/>
        <v/>
      </c>
    </row>
    <row r="18725">
      <c r="F18725" s="1" t="str">
        <f t="shared" si="1"/>
        <v/>
      </c>
      <c r="G18725" s="1" t="str">
        <f t="shared" si="2"/>
        <v/>
      </c>
      <c r="J18725" s="1" t="str">
        <f t="shared" si="3"/>
        <v/>
      </c>
      <c r="K18725" s="1" t="str">
        <f t="shared" si="4"/>
        <v/>
      </c>
    </row>
    <row r="18726">
      <c r="F18726" s="1" t="str">
        <f t="shared" si="1"/>
        <v/>
      </c>
      <c r="G18726" s="1" t="str">
        <f t="shared" si="2"/>
        <v/>
      </c>
      <c r="J18726" s="1" t="str">
        <f t="shared" si="3"/>
        <v/>
      </c>
      <c r="K18726" s="1" t="str">
        <f t="shared" si="4"/>
        <v/>
      </c>
    </row>
    <row r="18727">
      <c r="F18727" s="1" t="str">
        <f t="shared" si="1"/>
        <v/>
      </c>
      <c r="G18727" s="1" t="str">
        <f t="shared" si="2"/>
        <v/>
      </c>
      <c r="J18727" s="1" t="str">
        <f t="shared" si="3"/>
        <v/>
      </c>
      <c r="K18727" s="1" t="str">
        <f t="shared" si="4"/>
        <v/>
      </c>
    </row>
    <row r="18728">
      <c r="F18728" s="1" t="str">
        <f t="shared" si="1"/>
        <v/>
      </c>
      <c r="G18728" s="1" t="str">
        <f t="shared" si="2"/>
        <v/>
      </c>
      <c r="J18728" s="1" t="str">
        <f t="shared" si="3"/>
        <v/>
      </c>
      <c r="K18728" s="1" t="str">
        <f t="shared" si="4"/>
        <v/>
      </c>
    </row>
    <row r="18729">
      <c r="F18729" s="1" t="str">
        <f t="shared" si="1"/>
        <v/>
      </c>
      <c r="G18729" s="1" t="str">
        <f t="shared" si="2"/>
        <v/>
      </c>
      <c r="J18729" s="1" t="str">
        <f t="shared" si="3"/>
        <v/>
      </c>
      <c r="K18729" s="1" t="str">
        <f t="shared" si="4"/>
        <v/>
      </c>
    </row>
    <row r="18730">
      <c r="F18730" s="1" t="str">
        <f t="shared" si="1"/>
        <v/>
      </c>
      <c r="G18730" s="1" t="str">
        <f t="shared" si="2"/>
        <v/>
      </c>
      <c r="J18730" s="1" t="str">
        <f t="shared" si="3"/>
        <v/>
      </c>
      <c r="K18730" s="1" t="str">
        <f t="shared" si="4"/>
        <v/>
      </c>
    </row>
    <row r="18731">
      <c r="F18731" s="1" t="str">
        <f t="shared" si="1"/>
        <v/>
      </c>
      <c r="G18731" s="1" t="str">
        <f t="shared" si="2"/>
        <v/>
      </c>
      <c r="J18731" s="1" t="str">
        <f t="shared" si="3"/>
        <v/>
      </c>
      <c r="K18731" s="1" t="str">
        <f t="shared" si="4"/>
        <v/>
      </c>
    </row>
    <row r="18732">
      <c r="F18732" s="1" t="str">
        <f t="shared" si="1"/>
        <v/>
      </c>
      <c r="G18732" s="1" t="str">
        <f t="shared" si="2"/>
        <v/>
      </c>
      <c r="J18732" s="1" t="str">
        <f t="shared" si="3"/>
        <v/>
      </c>
      <c r="K18732" s="1" t="str">
        <f t="shared" si="4"/>
        <v/>
      </c>
    </row>
    <row r="18733">
      <c r="F18733" s="1" t="str">
        <f t="shared" si="1"/>
        <v/>
      </c>
      <c r="G18733" s="1" t="str">
        <f t="shared" si="2"/>
        <v/>
      </c>
      <c r="J18733" s="1" t="str">
        <f t="shared" si="3"/>
        <v/>
      </c>
      <c r="K18733" s="1" t="str">
        <f t="shared" si="4"/>
        <v/>
      </c>
    </row>
    <row r="18734">
      <c r="F18734" s="1" t="str">
        <f t="shared" si="1"/>
        <v/>
      </c>
      <c r="G18734" s="1" t="str">
        <f t="shared" si="2"/>
        <v/>
      </c>
      <c r="J18734" s="1" t="str">
        <f t="shared" si="3"/>
        <v/>
      </c>
      <c r="K18734" s="1" t="str">
        <f t="shared" si="4"/>
        <v/>
      </c>
    </row>
    <row r="18735">
      <c r="F18735" s="1" t="str">
        <f t="shared" si="1"/>
        <v/>
      </c>
      <c r="G18735" s="1" t="str">
        <f t="shared" si="2"/>
        <v/>
      </c>
      <c r="J18735" s="1" t="str">
        <f t="shared" si="3"/>
        <v/>
      </c>
      <c r="K18735" s="1" t="str">
        <f t="shared" si="4"/>
        <v/>
      </c>
    </row>
    <row r="18736">
      <c r="F18736" s="1" t="str">
        <f t="shared" si="1"/>
        <v/>
      </c>
      <c r="G18736" s="1" t="str">
        <f t="shared" si="2"/>
        <v/>
      </c>
      <c r="J18736" s="1" t="str">
        <f t="shared" si="3"/>
        <v/>
      </c>
      <c r="K18736" s="1" t="str">
        <f t="shared" si="4"/>
        <v/>
      </c>
    </row>
    <row r="18737">
      <c r="F18737" s="1" t="str">
        <f t="shared" si="1"/>
        <v/>
      </c>
      <c r="G18737" s="1" t="str">
        <f t="shared" si="2"/>
        <v/>
      </c>
      <c r="J18737" s="1" t="str">
        <f t="shared" si="3"/>
        <v/>
      </c>
      <c r="K18737" s="1" t="str">
        <f t="shared" si="4"/>
        <v/>
      </c>
    </row>
    <row r="18738">
      <c r="F18738" s="1" t="str">
        <f t="shared" si="1"/>
        <v/>
      </c>
      <c r="G18738" s="1" t="str">
        <f t="shared" si="2"/>
        <v/>
      </c>
      <c r="J18738" s="1" t="str">
        <f t="shared" si="3"/>
        <v/>
      </c>
      <c r="K18738" s="1" t="str">
        <f t="shared" si="4"/>
        <v/>
      </c>
    </row>
    <row r="18739">
      <c r="F18739" s="1" t="str">
        <f t="shared" si="1"/>
        <v/>
      </c>
      <c r="G18739" s="1" t="str">
        <f t="shared" si="2"/>
        <v/>
      </c>
      <c r="J18739" s="1" t="str">
        <f t="shared" si="3"/>
        <v/>
      </c>
      <c r="K18739" s="1" t="str">
        <f t="shared" si="4"/>
        <v/>
      </c>
    </row>
    <row r="18740">
      <c r="F18740" s="1" t="str">
        <f t="shared" si="1"/>
        <v/>
      </c>
      <c r="G18740" s="1" t="str">
        <f t="shared" si="2"/>
        <v/>
      </c>
      <c r="J18740" s="1" t="str">
        <f t="shared" si="3"/>
        <v/>
      </c>
      <c r="K18740" s="1" t="str">
        <f t="shared" si="4"/>
        <v/>
      </c>
    </row>
    <row r="18741">
      <c r="F18741" s="1" t="str">
        <f t="shared" si="1"/>
        <v/>
      </c>
      <c r="G18741" s="1" t="str">
        <f t="shared" si="2"/>
        <v/>
      </c>
      <c r="J18741" s="1" t="str">
        <f t="shared" si="3"/>
        <v/>
      </c>
      <c r="K18741" s="1" t="str">
        <f t="shared" si="4"/>
        <v/>
      </c>
    </row>
    <row r="18742">
      <c r="F18742" s="1" t="str">
        <f t="shared" si="1"/>
        <v/>
      </c>
      <c r="G18742" s="1" t="str">
        <f t="shared" si="2"/>
        <v/>
      </c>
      <c r="J18742" s="1" t="str">
        <f t="shared" si="3"/>
        <v/>
      </c>
      <c r="K18742" s="1" t="str">
        <f t="shared" si="4"/>
        <v/>
      </c>
    </row>
    <row r="18743">
      <c r="F18743" s="1" t="str">
        <f t="shared" si="1"/>
        <v/>
      </c>
      <c r="G18743" s="1" t="str">
        <f t="shared" si="2"/>
        <v/>
      </c>
      <c r="J18743" s="1" t="str">
        <f t="shared" si="3"/>
        <v/>
      </c>
      <c r="K18743" s="1" t="str">
        <f t="shared" si="4"/>
        <v/>
      </c>
    </row>
    <row r="18744">
      <c r="F18744" s="1" t="str">
        <f t="shared" si="1"/>
        <v/>
      </c>
      <c r="G18744" s="1" t="str">
        <f t="shared" si="2"/>
        <v/>
      </c>
      <c r="J18744" s="1" t="str">
        <f t="shared" si="3"/>
        <v/>
      </c>
      <c r="K18744" s="1" t="str">
        <f t="shared" si="4"/>
        <v/>
      </c>
    </row>
    <row r="18745">
      <c r="F18745" s="1" t="str">
        <f t="shared" si="1"/>
        <v/>
      </c>
      <c r="G18745" s="1" t="str">
        <f t="shared" si="2"/>
        <v/>
      </c>
      <c r="J18745" s="1" t="str">
        <f t="shared" si="3"/>
        <v/>
      </c>
      <c r="K18745" s="1" t="str">
        <f t="shared" si="4"/>
        <v/>
      </c>
    </row>
    <row r="18746">
      <c r="F18746" s="1" t="str">
        <f t="shared" si="1"/>
        <v/>
      </c>
      <c r="G18746" s="1" t="str">
        <f t="shared" si="2"/>
        <v/>
      </c>
      <c r="J18746" s="1" t="str">
        <f t="shared" si="3"/>
        <v/>
      </c>
      <c r="K18746" s="1" t="str">
        <f t="shared" si="4"/>
        <v/>
      </c>
    </row>
    <row r="18747">
      <c r="F18747" s="1" t="str">
        <f t="shared" si="1"/>
        <v/>
      </c>
      <c r="G18747" s="1" t="str">
        <f t="shared" si="2"/>
        <v/>
      </c>
      <c r="J18747" s="1" t="str">
        <f t="shared" si="3"/>
        <v/>
      </c>
      <c r="K18747" s="1" t="str">
        <f t="shared" si="4"/>
        <v/>
      </c>
    </row>
    <row r="18748">
      <c r="F18748" s="1" t="str">
        <f t="shared" si="1"/>
        <v/>
      </c>
      <c r="G18748" s="1" t="str">
        <f t="shared" si="2"/>
        <v/>
      </c>
      <c r="J18748" s="1" t="str">
        <f t="shared" si="3"/>
        <v/>
      </c>
      <c r="K18748" s="1" t="str">
        <f t="shared" si="4"/>
        <v/>
      </c>
    </row>
    <row r="18749">
      <c r="F18749" s="1" t="str">
        <f t="shared" si="1"/>
        <v/>
      </c>
      <c r="G18749" s="1" t="str">
        <f t="shared" si="2"/>
        <v/>
      </c>
      <c r="J18749" s="1" t="str">
        <f t="shared" si="3"/>
        <v/>
      </c>
      <c r="K18749" s="1" t="str">
        <f t="shared" si="4"/>
        <v/>
      </c>
    </row>
    <row r="18750">
      <c r="F18750" s="1" t="str">
        <f t="shared" si="1"/>
        <v/>
      </c>
      <c r="G18750" s="1" t="str">
        <f t="shared" si="2"/>
        <v/>
      </c>
      <c r="J18750" s="1" t="str">
        <f t="shared" si="3"/>
        <v/>
      </c>
      <c r="K18750" s="1" t="str">
        <f t="shared" si="4"/>
        <v/>
      </c>
    </row>
    <row r="18751">
      <c r="F18751" s="1" t="str">
        <f t="shared" si="1"/>
        <v/>
      </c>
      <c r="G18751" s="1" t="str">
        <f t="shared" si="2"/>
        <v/>
      </c>
      <c r="J18751" s="1" t="str">
        <f t="shared" si="3"/>
        <v/>
      </c>
      <c r="K18751" s="1" t="str">
        <f t="shared" si="4"/>
        <v/>
      </c>
    </row>
    <row r="18752">
      <c r="F18752" s="1" t="str">
        <f t="shared" si="1"/>
        <v/>
      </c>
      <c r="G18752" s="1" t="str">
        <f t="shared" si="2"/>
        <v/>
      </c>
      <c r="J18752" s="1" t="str">
        <f t="shared" si="3"/>
        <v/>
      </c>
      <c r="K18752" s="1" t="str">
        <f t="shared" si="4"/>
        <v/>
      </c>
    </row>
    <row r="18753">
      <c r="F18753" s="1" t="str">
        <f t="shared" si="1"/>
        <v/>
      </c>
      <c r="G18753" s="1" t="str">
        <f t="shared" si="2"/>
        <v/>
      </c>
      <c r="J18753" s="1" t="str">
        <f t="shared" si="3"/>
        <v/>
      </c>
      <c r="K18753" s="1" t="str">
        <f t="shared" si="4"/>
        <v/>
      </c>
    </row>
    <row r="18754">
      <c r="F18754" s="1" t="str">
        <f t="shared" si="1"/>
        <v/>
      </c>
      <c r="G18754" s="1" t="str">
        <f t="shared" si="2"/>
        <v/>
      </c>
      <c r="J18754" s="1" t="str">
        <f t="shared" si="3"/>
        <v/>
      </c>
      <c r="K18754" s="1" t="str">
        <f t="shared" si="4"/>
        <v/>
      </c>
    </row>
    <row r="18755">
      <c r="F18755" s="1" t="str">
        <f t="shared" si="1"/>
        <v/>
      </c>
      <c r="G18755" s="1" t="str">
        <f t="shared" si="2"/>
        <v/>
      </c>
      <c r="J18755" s="1" t="str">
        <f t="shared" si="3"/>
        <v/>
      </c>
      <c r="K18755" s="1" t="str">
        <f t="shared" si="4"/>
        <v/>
      </c>
    </row>
    <row r="18756">
      <c r="F18756" s="1" t="str">
        <f t="shared" si="1"/>
        <v/>
      </c>
      <c r="G18756" s="1" t="str">
        <f t="shared" si="2"/>
        <v/>
      </c>
      <c r="J18756" s="1" t="str">
        <f t="shared" si="3"/>
        <v/>
      </c>
      <c r="K18756" s="1" t="str">
        <f t="shared" si="4"/>
        <v/>
      </c>
    </row>
    <row r="18757">
      <c r="F18757" s="1" t="str">
        <f t="shared" si="1"/>
        <v/>
      </c>
      <c r="G18757" s="1" t="str">
        <f t="shared" si="2"/>
        <v/>
      </c>
      <c r="J18757" s="1" t="str">
        <f t="shared" si="3"/>
        <v/>
      </c>
      <c r="K18757" s="1" t="str">
        <f t="shared" si="4"/>
        <v/>
      </c>
    </row>
    <row r="18758">
      <c r="F18758" s="1" t="str">
        <f t="shared" si="1"/>
        <v/>
      </c>
      <c r="G18758" s="1" t="str">
        <f t="shared" si="2"/>
        <v/>
      </c>
      <c r="J18758" s="1" t="str">
        <f t="shared" si="3"/>
        <v/>
      </c>
      <c r="K18758" s="1" t="str">
        <f t="shared" si="4"/>
        <v/>
      </c>
    </row>
    <row r="18759">
      <c r="F18759" s="1" t="str">
        <f t="shared" si="1"/>
        <v/>
      </c>
      <c r="G18759" s="1" t="str">
        <f t="shared" si="2"/>
        <v/>
      </c>
      <c r="J18759" s="1" t="str">
        <f t="shared" si="3"/>
        <v/>
      </c>
      <c r="K18759" s="1" t="str">
        <f t="shared" si="4"/>
        <v/>
      </c>
    </row>
    <row r="18760">
      <c r="F18760" s="1" t="str">
        <f t="shared" si="1"/>
        <v/>
      </c>
      <c r="G18760" s="1" t="str">
        <f t="shared" si="2"/>
        <v/>
      </c>
      <c r="J18760" s="1" t="str">
        <f t="shared" si="3"/>
        <v/>
      </c>
      <c r="K18760" s="1" t="str">
        <f t="shared" si="4"/>
        <v/>
      </c>
    </row>
    <row r="18761">
      <c r="F18761" s="1" t="str">
        <f t="shared" si="1"/>
        <v/>
      </c>
      <c r="G18761" s="1" t="str">
        <f t="shared" si="2"/>
        <v/>
      </c>
      <c r="J18761" s="1" t="str">
        <f t="shared" si="3"/>
        <v/>
      </c>
      <c r="K18761" s="1" t="str">
        <f t="shared" si="4"/>
        <v/>
      </c>
    </row>
    <row r="18762">
      <c r="F18762" s="1" t="str">
        <f t="shared" si="1"/>
        <v/>
      </c>
      <c r="G18762" s="1" t="str">
        <f t="shared" si="2"/>
        <v/>
      </c>
      <c r="J18762" s="1" t="str">
        <f t="shared" si="3"/>
        <v/>
      </c>
      <c r="K18762" s="1" t="str">
        <f t="shared" si="4"/>
        <v/>
      </c>
    </row>
    <row r="18763">
      <c r="F18763" s="1" t="str">
        <f t="shared" si="1"/>
        <v/>
      </c>
      <c r="G18763" s="1" t="str">
        <f t="shared" si="2"/>
        <v/>
      </c>
      <c r="J18763" s="1" t="str">
        <f t="shared" si="3"/>
        <v/>
      </c>
      <c r="K18763" s="1" t="str">
        <f t="shared" si="4"/>
        <v/>
      </c>
    </row>
    <row r="18764">
      <c r="F18764" s="1" t="str">
        <f t="shared" si="1"/>
        <v/>
      </c>
      <c r="G18764" s="1" t="str">
        <f t="shared" si="2"/>
        <v/>
      </c>
      <c r="J18764" s="1" t="str">
        <f t="shared" si="3"/>
        <v/>
      </c>
      <c r="K18764" s="1" t="str">
        <f t="shared" si="4"/>
        <v/>
      </c>
    </row>
    <row r="18765">
      <c r="F18765" s="1" t="str">
        <f t="shared" si="1"/>
        <v/>
      </c>
      <c r="G18765" s="1" t="str">
        <f t="shared" si="2"/>
        <v/>
      </c>
      <c r="J18765" s="1" t="str">
        <f t="shared" si="3"/>
        <v/>
      </c>
      <c r="K18765" s="1" t="str">
        <f t="shared" si="4"/>
        <v/>
      </c>
    </row>
    <row r="18766">
      <c r="F18766" s="1" t="str">
        <f t="shared" si="1"/>
        <v/>
      </c>
      <c r="G18766" s="1" t="str">
        <f t="shared" si="2"/>
        <v/>
      </c>
      <c r="J18766" s="1" t="str">
        <f t="shared" si="3"/>
        <v/>
      </c>
      <c r="K18766" s="1" t="str">
        <f t="shared" si="4"/>
        <v/>
      </c>
    </row>
    <row r="18767">
      <c r="F18767" s="1" t="str">
        <f t="shared" si="1"/>
        <v/>
      </c>
      <c r="G18767" s="1" t="str">
        <f t="shared" si="2"/>
        <v/>
      </c>
      <c r="J18767" s="1" t="str">
        <f t="shared" si="3"/>
        <v/>
      </c>
      <c r="K18767" s="1" t="str">
        <f t="shared" si="4"/>
        <v/>
      </c>
    </row>
    <row r="18768">
      <c r="F18768" s="1" t="str">
        <f t="shared" si="1"/>
        <v/>
      </c>
      <c r="G18768" s="1" t="str">
        <f t="shared" si="2"/>
        <v/>
      </c>
      <c r="J18768" s="1" t="str">
        <f t="shared" si="3"/>
        <v/>
      </c>
      <c r="K18768" s="1" t="str">
        <f t="shared" si="4"/>
        <v/>
      </c>
    </row>
    <row r="18769">
      <c r="F18769" s="1" t="str">
        <f t="shared" si="1"/>
        <v/>
      </c>
      <c r="G18769" s="1" t="str">
        <f t="shared" si="2"/>
        <v/>
      </c>
      <c r="J18769" s="1" t="str">
        <f t="shared" si="3"/>
        <v/>
      </c>
      <c r="K18769" s="1" t="str">
        <f t="shared" si="4"/>
        <v/>
      </c>
    </row>
    <row r="18770">
      <c r="F18770" s="1" t="str">
        <f t="shared" si="1"/>
        <v/>
      </c>
      <c r="G18770" s="1" t="str">
        <f t="shared" si="2"/>
        <v/>
      </c>
      <c r="J18770" s="1" t="str">
        <f t="shared" si="3"/>
        <v/>
      </c>
      <c r="K18770" s="1" t="str">
        <f t="shared" si="4"/>
        <v/>
      </c>
    </row>
    <row r="18771">
      <c r="F18771" s="1" t="str">
        <f t="shared" si="1"/>
        <v/>
      </c>
      <c r="G18771" s="1" t="str">
        <f t="shared" si="2"/>
        <v/>
      </c>
      <c r="J18771" s="1" t="str">
        <f t="shared" si="3"/>
        <v/>
      </c>
      <c r="K18771" s="1" t="str">
        <f t="shared" si="4"/>
        <v/>
      </c>
    </row>
    <row r="18772">
      <c r="F18772" s="1" t="str">
        <f t="shared" si="1"/>
        <v/>
      </c>
      <c r="G18772" s="1" t="str">
        <f t="shared" si="2"/>
        <v/>
      </c>
      <c r="J18772" s="1" t="str">
        <f t="shared" si="3"/>
        <v/>
      </c>
      <c r="K18772" s="1" t="str">
        <f t="shared" si="4"/>
        <v/>
      </c>
    </row>
    <row r="18773">
      <c r="F18773" s="1" t="str">
        <f t="shared" si="1"/>
        <v/>
      </c>
      <c r="G18773" s="1" t="str">
        <f t="shared" si="2"/>
        <v/>
      </c>
      <c r="J18773" s="1" t="str">
        <f t="shared" si="3"/>
        <v/>
      </c>
      <c r="K18773" s="1" t="str">
        <f t="shared" si="4"/>
        <v/>
      </c>
    </row>
    <row r="18774">
      <c r="F18774" s="1" t="str">
        <f t="shared" si="1"/>
        <v/>
      </c>
      <c r="G18774" s="1" t="str">
        <f t="shared" si="2"/>
        <v/>
      </c>
      <c r="J18774" s="1" t="str">
        <f t="shared" si="3"/>
        <v/>
      </c>
      <c r="K18774" s="1" t="str">
        <f t="shared" si="4"/>
        <v/>
      </c>
    </row>
    <row r="18775">
      <c r="F18775" s="1" t="str">
        <f t="shared" si="1"/>
        <v/>
      </c>
      <c r="G18775" s="1" t="str">
        <f t="shared" si="2"/>
        <v/>
      </c>
      <c r="J18775" s="1" t="str">
        <f t="shared" si="3"/>
        <v/>
      </c>
      <c r="K18775" s="1" t="str">
        <f t="shared" si="4"/>
        <v/>
      </c>
    </row>
    <row r="18776">
      <c r="F18776" s="1" t="str">
        <f t="shared" si="1"/>
        <v/>
      </c>
      <c r="G18776" s="1" t="str">
        <f t="shared" si="2"/>
        <v/>
      </c>
      <c r="J18776" s="1" t="str">
        <f t="shared" si="3"/>
        <v/>
      </c>
      <c r="K18776" s="1" t="str">
        <f t="shared" si="4"/>
        <v/>
      </c>
    </row>
    <row r="18777">
      <c r="F18777" s="1" t="str">
        <f t="shared" si="1"/>
        <v/>
      </c>
      <c r="G18777" s="1" t="str">
        <f t="shared" si="2"/>
        <v/>
      </c>
      <c r="J18777" s="1" t="str">
        <f t="shared" si="3"/>
        <v/>
      </c>
      <c r="K18777" s="1" t="str">
        <f t="shared" si="4"/>
        <v/>
      </c>
    </row>
    <row r="18778">
      <c r="F18778" s="1" t="str">
        <f t="shared" si="1"/>
        <v/>
      </c>
      <c r="G18778" s="1" t="str">
        <f t="shared" si="2"/>
        <v/>
      </c>
      <c r="J18778" s="1" t="str">
        <f t="shared" si="3"/>
        <v/>
      </c>
      <c r="K18778" s="1" t="str">
        <f t="shared" si="4"/>
        <v/>
      </c>
    </row>
    <row r="18779">
      <c r="F18779" s="1" t="str">
        <f t="shared" si="1"/>
        <v/>
      </c>
      <c r="G18779" s="1" t="str">
        <f t="shared" si="2"/>
        <v/>
      </c>
      <c r="J18779" s="1" t="str">
        <f t="shared" si="3"/>
        <v/>
      </c>
      <c r="K18779" s="1" t="str">
        <f t="shared" si="4"/>
        <v/>
      </c>
    </row>
    <row r="18780">
      <c r="F18780" s="1" t="str">
        <f t="shared" si="1"/>
        <v/>
      </c>
      <c r="G18780" s="1" t="str">
        <f t="shared" si="2"/>
        <v/>
      </c>
      <c r="J18780" s="1" t="str">
        <f t="shared" si="3"/>
        <v/>
      </c>
      <c r="K18780" s="1" t="str">
        <f t="shared" si="4"/>
        <v/>
      </c>
    </row>
    <row r="18781">
      <c r="F18781" s="1" t="str">
        <f t="shared" si="1"/>
        <v/>
      </c>
      <c r="G18781" s="1" t="str">
        <f t="shared" si="2"/>
        <v/>
      </c>
      <c r="J18781" s="1" t="str">
        <f t="shared" si="3"/>
        <v/>
      </c>
      <c r="K18781" s="1" t="str">
        <f t="shared" si="4"/>
        <v/>
      </c>
    </row>
    <row r="18782">
      <c r="F18782" s="1" t="str">
        <f t="shared" si="1"/>
        <v/>
      </c>
      <c r="G18782" s="1" t="str">
        <f t="shared" si="2"/>
        <v/>
      </c>
      <c r="J18782" s="1" t="str">
        <f t="shared" si="3"/>
        <v/>
      </c>
      <c r="K18782" s="1" t="str">
        <f t="shared" si="4"/>
        <v/>
      </c>
    </row>
    <row r="18783">
      <c r="F18783" s="1" t="str">
        <f t="shared" si="1"/>
        <v/>
      </c>
      <c r="G18783" s="1" t="str">
        <f t="shared" si="2"/>
        <v/>
      </c>
      <c r="J18783" s="1" t="str">
        <f t="shared" si="3"/>
        <v/>
      </c>
      <c r="K18783" s="1" t="str">
        <f t="shared" si="4"/>
        <v/>
      </c>
    </row>
    <row r="18784">
      <c r="F18784" s="1" t="str">
        <f t="shared" si="1"/>
        <v/>
      </c>
      <c r="G18784" s="1" t="str">
        <f t="shared" si="2"/>
        <v/>
      </c>
      <c r="J18784" s="1" t="str">
        <f t="shared" si="3"/>
        <v/>
      </c>
      <c r="K18784" s="1" t="str">
        <f t="shared" si="4"/>
        <v/>
      </c>
    </row>
    <row r="18785">
      <c r="F18785" s="1" t="str">
        <f t="shared" si="1"/>
        <v/>
      </c>
      <c r="G18785" s="1" t="str">
        <f t="shared" si="2"/>
        <v/>
      </c>
      <c r="J18785" s="1" t="str">
        <f t="shared" si="3"/>
        <v/>
      </c>
      <c r="K18785" s="1" t="str">
        <f t="shared" si="4"/>
        <v/>
      </c>
    </row>
    <row r="18786">
      <c r="F18786" s="1" t="str">
        <f t="shared" si="1"/>
        <v/>
      </c>
      <c r="G18786" s="1" t="str">
        <f t="shared" si="2"/>
        <v/>
      </c>
      <c r="J18786" s="1" t="str">
        <f t="shared" si="3"/>
        <v/>
      </c>
      <c r="K18786" s="1" t="str">
        <f t="shared" si="4"/>
        <v/>
      </c>
    </row>
    <row r="18787">
      <c r="F18787" s="1" t="str">
        <f t="shared" si="1"/>
        <v/>
      </c>
      <c r="G18787" s="1" t="str">
        <f t="shared" si="2"/>
        <v/>
      </c>
      <c r="J18787" s="1" t="str">
        <f t="shared" si="3"/>
        <v/>
      </c>
      <c r="K18787" s="1" t="str">
        <f t="shared" si="4"/>
        <v/>
      </c>
    </row>
    <row r="18788">
      <c r="F18788" s="1" t="str">
        <f t="shared" si="1"/>
        <v/>
      </c>
      <c r="G18788" s="1" t="str">
        <f t="shared" si="2"/>
        <v/>
      </c>
      <c r="J18788" s="1" t="str">
        <f t="shared" si="3"/>
        <v/>
      </c>
      <c r="K18788" s="1" t="str">
        <f t="shared" si="4"/>
        <v/>
      </c>
    </row>
    <row r="18789">
      <c r="F18789" s="1" t="str">
        <f t="shared" si="1"/>
        <v/>
      </c>
      <c r="G18789" s="1" t="str">
        <f t="shared" si="2"/>
        <v/>
      </c>
      <c r="J18789" s="1" t="str">
        <f t="shared" si="3"/>
        <v/>
      </c>
      <c r="K18789" s="1" t="str">
        <f t="shared" si="4"/>
        <v/>
      </c>
    </row>
    <row r="18790">
      <c r="F18790" s="1" t="str">
        <f t="shared" si="1"/>
        <v/>
      </c>
      <c r="G18790" s="1" t="str">
        <f t="shared" si="2"/>
        <v/>
      </c>
      <c r="J18790" s="1" t="str">
        <f t="shared" si="3"/>
        <v/>
      </c>
      <c r="K18790" s="1" t="str">
        <f t="shared" si="4"/>
        <v/>
      </c>
    </row>
    <row r="18791">
      <c r="F18791" s="1" t="str">
        <f t="shared" si="1"/>
        <v/>
      </c>
      <c r="G18791" s="1" t="str">
        <f t="shared" si="2"/>
        <v/>
      </c>
      <c r="J18791" s="1" t="str">
        <f t="shared" si="3"/>
        <v/>
      </c>
      <c r="K18791" s="1" t="str">
        <f t="shared" si="4"/>
        <v/>
      </c>
    </row>
    <row r="18792">
      <c r="F18792" s="1" t="str">
        <f t="shared" si="1"/>
        <v/>
      </c>
      <c r="G18792" s="1" t="str">
        <f t="shared" si="2"/>
        <v/>
      </c>
      <c r="J18792" s="1" t="str">
        <f t="shared" si="3"/>
        <v/>
      </c>
      <c r="K18792" s="1" t="str">
        <f t="shared" si="4"/>
        <v/>
      </c>
    </row>
    <row r="18793">
      <c r="F18793" s="1" t="str">
        <f t="shared" si="1"/>
        <v/>
      </c>
      <c r="G18793" s="1" t="str">
        <f t="shared" si="2"/>
        <v/>
      </c>
      <c r="J18793" s="1" t="str">
        <f t="shared" si="3"/>
        <v/>
      </c>
      <c r="K18793" s="1" t="str">
        <f t="shared" si="4"/>
        <v/>
      </c>
    </row>
    <row r="18794">
      <c r="F18794" s="1" t="str">
        <f t="shared" si="1"/>
        <v/>
      </c>
      <c r="G18794" s="1" t="str">
        <f t="shared" si="2"/>
        <v/>
      </c>
      <c r="J18794" s="1" t="str">
        <f t="shared" si="3"/>
        <v/>
      </c>
      <c r="K18794" s="1" t="str">
        <f t="shared" si="4"/>
        <v/>
      </c>
    </row>
    <row r="18795">
      <c r="F18795" s="1" t="str">
        <f t="shared" si="1"/>
        <v/>
      </c>
      <c r="G18795" s="1" t="str">
        <f t="shared" si="2"/>
        <v/>
      </c>
      <c r="J18795" s="1" t="str">
        <f t="shared" si="3"/>
        <v/>
      </c>
      <c r="K18795" s="1" t="str">
        <f t="shared" si="4"/>
        <v/>
      </c>
    </row>
    <row r="18796">
      <c r="F18796" s="1" t="str">
        <f t="shared" si="1"/>
        <v/>
      </c>
      <c r="G18796" s="1" t="str">
        <f t="shared" si="2"/>
        <v/>
      </c>
      <c r="J18796" s="1" t="str">
        <f t="shared" si="3"/>
        <v/>
      </c>
      <c r="K18796" s="1" t="str">
        <f t="shared" si="4"/>
        <v/>
      </c>
    </row>
    <row r="18797">
      <c r="F18797" s="1" t="str">
        <f t="shared" si="1"/>
        <v/>
      </c>
      <c r="G18797" s="1" t="str">
        <f t="shared" si="2"/>
        <v/>
      </c>
      <c r="J18797" s="1" t="str">
        <f t="shared" si="3"/>
        <v/>
      </c>
      <c r="K18797" s="1" t="str">
        <f t="shared" si="4"/>
        <v/>
      </c>
    </row>
    <row r="18798">
      <c r="F18798" s="1" t="str">
        <f t="shared" si="1"/>
        <v/>
      </c>
      <c r="G18798" s="1" t="str">
        <f t="shared" si="2"/>
        <v/>
      </c>
      <c r="J18798" s="1" t="str">
        <f t="shared" si="3"/>
        <v/>
      </c>
      <c r="K18798" s="1" t="str">
        <f t="shared" si="4"/>
        <v/>
      </c>
    </row>
    <row r="18799">
      <c r="F18799" s="1" t="str">
        <f t="shared" si="1"/>
        <v/>
      </c>
      <c r="G18799" s="1" t="str">
        <f t="shared" si="2"/>
        <v/>
      </c>
      <c r="J18799" s="1" t="str">
        <f t="shared" si="3"/>
        <v/>
      </c>
      <c r="K18799" s="1" t="str">
        <f t="shared" si="4"/>
        <v/>
      </c>
    </row>
    <row r="18800">
      <c r="F18800" s="1" t="str">
        <f t="shared" si="1"/>
        <v/>
      </c>
      <c r="G18800" s="1" t="str">
        <f t="shared" si="2"/>
        <v/>
      </c>
      <c r="J18800" s="1" t="str">
        <f t="shared" si="3"/>
        <v/>
      </c>
      <c r="K18800" s="1" t="str">
        <f t="shared" si="4"/>
        <v/>
      </c>
    </row>
    <row r="18801">
      <c r="F18801" s="1" t="str">
        <f t="shared" si="1"/>
        <v/>
      </c>
      <c r="G18801" s="1" t="str">
        <f t="shared" si="2"/>
        <v/>
      </c>
      <c r="J18801" s="1" t="str">
        <f t="shared" si="3"/>
        <v/>
      </c>
      <c r="K18801" s="1" t="str">
        <f t="shared" si="4"/>
        <v/>
      </c>
    </row>
    <row r="18802">
      <c r="F18802" s="1" t="str">
        <f t="shared" si="1"/>
        <v/>
      </c>
      <c r="G18802" s="1" t="str">
        <f t="shared" si="2"/>
        <v/>
      </c>
      <c r="J18802" s="1" t="str">
        <f t="shared" si="3"/>
        <v/>
      </c>
      <c r="K18802" s="1" t="str">
        <f t="shared" si="4"/>
        <v/>
      </c>
    </row>
    <row r="18803">
      <c r="F18803" s="1" t="str">
        <f t="shared" si="1"/>
        <v/>
      </c>
      <c r="G18803" s="1" t="str">
        <f t="shared" si="2"/>
        <v/>
      </c>
      <c r="J18803" s="1" t="str">
        <f t="shared" si="3"/>
        <v/>
      </c>
      <c r="K18803" s="1" t="str">
        <f t="shared" si="4"/>
        <v/>
      </c>
    </row>
    <row r="18804">
      <c r="F18804" s="1" t="str">
        <f t="shared" si="1"/>
        <v/>
      </c>
      <c r="G18804" s="1" t="str">
        <f t="shared" si="2"/>
        <v/>
      </c>
      <c r="J18804" s="1" t="str">
        <f t="shared" si="3"/>
        <v/>
      </c>
      <c r="K18804" s="1" t="str">
        <f t="shared" si="4"/>
        <v/>
      </c>
    </row>
    <row r="18805">
      <c r="F18805" s="1" t="str">
        <f t="shared" si="1"/>
        <v/>
      </c>
      <c r="G18805" s="1" t="str">
        <f t="shared" si="2"/>
        <v/>
      </c>
      <c r="J18805" s="1" t="str">
        <f t="shared" si="3"/>
        <v/>
      </c>
      <c r="K18805" s="1" t="str">
        <f t="shared" si="4"/>
        <v/>
      </c>
    </row>
    <row r="18806">
      <c r="F18806" s="1" t="str">
        <f t="shared" si="1"/>
        <v/>
      </c>
      <c r="G18806" s="1" t="str">
        <f t="shared" si="2"/>
        <v/>
      </c>
      <c r="J18806" s="1" t="str">
        <f t="shared" si="3"/>
        <v/>
      </c>
      <c r="K18806" s="1" t="str">
        <f t="shared" si="4"/>
        <v/>
      </c>
    </row>
    <row r="18807">
      <c r="F18807" s="1" t="str">
        <f t="shared" si="1"/>
        <v/>
      </c>
      <c r="G18807" s="1" t="str">
        <f t="shared" si="2"/>
        <v/>
      </c>
      <c r="J18807" s="1" t="str">
        <f t="shared" si="3"/>
        <v/>
      </c>
      <c r="K18807" s="1" t="str">
        <f t="shared" si="4"/>
        <v/>
      </c>
    </row>
    <row r="18808">
      <c r="F18808" s="1" t="str">
        <f t="shared" si="1"/>
        <v/>
      </c>
      <c r="G18808" s="1" t="str">
        <f t="shared" si="2"/>
        <v/>
      </c>
      <c r="J18808" s="1" t="str">
        <f t="shared" si="3"/>
        <v/>
      </c>
      <c r="K18808" s="1" t="str">
        <f t="shared" si="4"/>
        <v/>
      </c>
    </row>
    <row r="18809">
      <c r="F18809" s="1" t="str">
        <f t="shared" si="1"/>
        <v/>
      </c>
      <c r="G18809" s="1" t="str">
        <f t="shared" si="2"/>
        <v/>
      </c>
      <c r="J18809" s="1" t="str">
        <f t="shared" si="3"/>
        <v/>
      </c>
      <c r="K18809" s="1" t="str">
        <f t="shared" si="4"/>
        <v/>
      </c>
    </row>
    <row r="18810">
      <c r="F18810" s="1" t="str">
        <f t="shared" si="1"/>
        <v/>
      </c>
      <c r="G18810" s="1" t="str">
        <f t="shared" si="2"/>
        <v/>
      </c>
      <c r="J18810" s="1" t="str">
        <f t="shared" si="3"/>
        <v/>
      </c>
      <c r="K18810" s="1" t="str">
        <f t="shared" si="4"/>
        <v/>
      </c>
    </row>
    <row r="18811">
      <c r="F18811" s="1" t="str">
        <f t="shared" si="1"/>
        <v/>
      </c>
      <c r="G18811" s="1" t="str">
        <f t="shared" si="2"/>
        <v/>
      </c>
      <c r="J18811" s="1" t="str">
        <f t="shared" si="3"/>
        <v/>
      </c>
      <c r="K18811" s="1" t="str">
        <f t="shared" si="4"/>
        <v/>
      </c>
    </row>
    <row r="18812">
      <c r="F18812" s="1" t="str">
        <f t="shared" si="1"/>
        <v/>
      </c>
      <c r="G18812" s="1" t="str">
        <f t="shared" si="2"/>
        <v/>
      </c>
      <c r="J18812" s="1" t="str">
        <f t="shared" si="3"/>
        <v/>
      </c>
      <c r="K18812" s="1" t="str">
        <f t="shared" si="4"/>
        <v/>
      </c>
    </row>
    <row r="18813">
      <c r="F18813" s="1" t="str">
        <f t="shared" si="1"/>
        <v/>
      </c>
      <c r="G18813" s="1" t="str">
        <f t="shared" si="2"/>
        <v/>
      </c>
      <c r="J18813" s="1" t="str">
        <f t="shared" si="3"/>
        <v/>
      </c>
      <c r="K18813" s="1" t="str">
        <f t="shared" si="4"/>
        <v/>
      </c>
    </row>
    <row r="18814">
      <c r="F18814" s="1" t="str">
        <f t="shared" si="1"/>
        <v/>
      </c>
      <c r="G18814" s="1" t="str">
        <f t="shared" si="2"/>
        <v/>
      </c>
      <c r="J18814" s="1" t="str">
        <f t="shared" si="3"/>
        <v/>
      </c>
      <c r="K18814" s="1" t="str">
        <f t="shared" si="4"/>
        <v/>
      </c>
    </row>
    <row r="18815">
      <c r="F18815" s="1" t="str">
        <f t="shared" si="1"/>
        <v/>
      </c>
      <c r="G18815" s="1" t="str">
        <f t="shared" si="2"/>
        <v/>
      </c>
      <c r="J18815" s="1" t="str">
        <f t="shared" si="3"/>
        <v/>
      </c>
      <c r="K18815" s="1" t="str">
        <f t="shared" si="4"/>
        <v/>
      </c>
    </row>
    <row r="18816">
      <c r="F18816" s="1" t="str">
        <f t="shared" si="1"/>
        <v/>
      </c>
      <c r="G18816" s="1" t="str">
        <f t="shared" si="2"/>
        <v/>
      </c>
      <c r="J18816" s="1" t="str">
        <f t="shared" si="3"/>
        <v/>
      </c>
      <c r="K18816" s="1" t="str">
        <f t="shared" si="4"/>
        <v/>
      </c>
    </row>
    <row r="18817">
      <c r="F18817" s="1" t="str">
        <f t="shared" si="1"/>
        <v/>
      </c>
      <c r="G18817" s="1" t="str">
        <f t="shared" si="2"/>
        <v/>
      </c>
      <c r="J18817" s="1" t="str">
        <f t="shared" si="3"/>
        <v/>
      </c>
      <c r="K18817" s="1" t="str">
        <f t="shared" si="4"/>
        <v/>
      </c>
    </row>
    <row r="18818">
      <c r="F18818" s="1" t="str">
        <f t="shared" si="1"/>
        <v/>
      </c>
      <c r="G18818" s="1" t="str">
        <f t="shared" si="2"/>
        <v/>
      </c>
      <c r="J18818" s="1" t="str">
        <f t="shared" si="3"/>
        <v/>
      </c>
      <c r="K18818" s="1" t="str">
        <f t="shared" si="4"/>
        <v/>
      </c>
    </row>
    <row r="18819">
      <c r="F18819" s="1" t="str">
        <f t="shared" si="1"/>
        <v/>
      </c>
      <c r="G18819" s="1" t="str">
        <f t="shared" si="2"/>
        <v/>
      </c>
      <c r="J18819" s="1" t="str">
        <f t="shared" si="3"/>
        <v/>
      </c>
      <c r="K18819" s="1" t="str">
        <f t="shared" si="4"/>
        <v/>
      </c>
    </row>
    <row r="18820">
      <c r="F18820" s="1" t="str">
        <f t="shared" si="1"/>
        <v/>
      </c>
      <c r="G18820" s="1" t="str">
        <f t="shared" si="2"/>
        <v/>
      </c>
      <c r="J18820" s="1" t="str">
        <f t="shared" si="3"/>
        <v/>
      </c>
      <c r="K18820" s="1" t="str">
        <f t="shared" si="4"/>
        <v/>
      </c>
    </row>
    <row r="18821">
      <c r="F18821" s="1" t="str">
        <f t="shared" si="1"/>
        <v/>
      </c>
      <c r="G18821" s="1" t="str">
        <f t="shared" si="2"/>
        <v/>
      </c>
      <c r="J18821" s="1" t="str">
        <f t="shared" si="3"/>
        <v/>
      </c>
      <c r="K18821" s="1" t="str">
        <f t="shared" si="4"/>
        <v/>
      </c>
    </row>
    <row r="18822">
      <c r="F18822" s="1" t="str">
        <f t="shared" si="1"/>
        <v/>
      </c>
      <c r="G18822" s="1" t="str">
        <f t="shared" si="2"/>
        <v/>
      </c>
      <c r="J18822" s="1" t="str">
        <f t="shared" si="3"/>
        <v/>
      </c>
      <c r="K18822" s="1" t="str">
        <f t="shared" si="4"/>
        <v/>
      </c>
    </row>
    <row r="18823">
      <c r="F18823" s="1" t="str">
        <f t="shared" si="1"/>
        <v/>
      </c>
      <c r="G18823" s="1" t="str">
        <f t="shared" si="2"/>
        <v/>
      </c>
      <c r="J18823" s="1" t="str">
        <f t="shared" si="3"/>
        <v/>
      </c>
      <c r="K18823" s="1" t="str">
        <f t="shared" si="4"/>
        <v/>
      </c>
    </row>
    <row r="18824">
      <c r="F18824" s="1" t="str">
        <f t="shared" si="1"/>
        <v/>
      </c>
      <c r="G18824" s="1" t="str">
        <f t="shared" si="2"/>
        <v/>
      </c>
      <c r="J18824" s="1" t="str">
        <f t="shared" si="3"/>
        <v/>
      </c>
      <c r="K18824" s="1" t="str">
        <f t="shared" si="4"/>
        <v/>
      </c>
    </row>
    <row r="18825">
      <c r="F18825" s="1" t="str">
        <f t="shared" si="1"/>
        <v/>
      </c>
      <c r="G18825" s="1" t="str">
        <f t="shared" si="2"/>
        <v/>
      </c>
      <c r="J18825" s="1" t="str">
        <f t="shared" si="3"/>
        <v/>
      </c>
      <c r="K18825" s="1" t="str">
        <f t="shared" si="4"/>
        <v/>
      </c>
    </row>
    <row r="18826">
      <c r="F18826" s="1" t="str">
        <f t="shared" si="1"/>
        <v/>
      </c>
      <c r="G18826" s="1" t="str">
        <f t="shared" si="2"/>
        <v/>
      </c>
      <c r="J18826" s="1" t="str">
        <f t="shared" si="3"/>
        <v/>
      </c>
      <c r="K18826" s="1" t="str">
        <f t="shared" si="4"/>
        <v/>
      </c>
    </row>
    <row r="18827">
      <c r="F18827" s="1" t="str">
        <f t="shared" si="1"/>
        <v/>
      </c>
      <c r="G18827" s="1" t="str">
        <f t="shared" si="2"/>
        <v/>
      </c>
      <c r="J18827" s="1" t="str">
        <f t="shared" si="3"/>
        <v/>
      </c>
      <c r="K18827" s="1" t="str">
        <f t="shared" si="4"/>
        <v/>
      </c>
    </row>
    <row r="18828">
      <c r="F18828" s="1" t="str">
        <f t="shared" si="1"/>
        <v/>
      </c>
      <c r="G18828" s="1" t="str">
        <f t="shared" si="2"/>
        <v/>
      </c>
      <c r="J18828" s="1" t="str">
        <f t="shared" si="3"/>
        <v/>
      </c>
      <c r="K18828" s="1" t="str">
        <f t="shared" si="4"/>
        <v/>
      </c>
    </row>
    <row r="18829">
      <c r="F18829" s="1" t="str">
        <f t="shared" si="1"/>
        <v/>
      </c>
      <c r="G18829" s="1" t="str">
        <f t="shared" si="2"/>
        <v/>
      </c>
      <c r="J18829" s="1" t="str">
        <f t="shared" si="3"/>
        <v/>
      </c>
      <c r="K18829" s="1" t="str">
        <f t="shared" si="4"/>
        <v/>
      </c>
    </row>
    <row r="18830">
      <c r="F18830" s="1" t="str">
        <f t="shared" si="1"/>
        <v/>
      </c>
      <c r="G18830" s="1" t="str">
        <f t="shared" si="2"/>
        <v/>
      </c>
      <c r="J18830" s="1" t="str">
        <f t="shared" si="3"/>
        <v/>
      </c>
      <c r="K18830" s="1" t="str">
        <f t="shared" si="4"/>
        <v/>
      </c>
    </row>
    <row r="18831">
      <c r="F18831" s="1" t="str">
        <f t="shared" si="1"/>
        <v/>
      </c>
      <c r="G18831" s="1" t="str">
        <f t="shared" si="2"/>
        <v/>
      </c>
      <c r="J18831" s="1" t="str">
        <f t="shared" si="3"/>
        <v/>
      </c>
      <c r="K18831" s="1" t="str">
        <f t="shared" si="4"/>
        <v/>
      </c>
    </row>
    <row r="18832">
      <c r="F18832" s="1" t="str">
        <f t="shared" si="1"/>
        <v/>
      </c>
      <c r="G18832" s="1" t="str">
        <f t="shared" si="2"/>
        <v/>
      </c>
      <c r="J18832" s="1" t="str">
        <f t="shared" si="3"/>
        <v/>
      </c>
      <c r="K18832" s="1" t="str">
        <f t="shared" si="4"/>
        <v/>
      </c>
    </row>
    <row r="18833">
      <c r="F18833" s="1" t="str">
        <f t="shared" si="1"/>
        <v/>
      </c>
      <c r="G18833" s="1" t="str">
        <f t="shared" si="2"/>
        <v/>
      </c>
      <c r="J18833" s="1" t="str">
        <f t="shared" si="3"/>
        <v/>
      </c>
      <c r="K18833" s="1" t="str">
        <f t="shared" si="4"/>
        <v/>
      </c>
    </row>
    <row r="18834">
      <c r="F18834" s="1" t="str">
        <f t="shared" si="1"/>
        <v/>
      </c>
      <c r="G18834" s="1" t="str">
        <f t="shared" si="2"/>
        <v/>
      </c>
      <c r="J18834" s="1" t="str">
        <f t="shared" si="3"/>
        <v/>
      </c>
      <c r="K18834" s="1" t="str">
        <f t="shared" si="4"/>
        <v/>
      </c>
    </row>
    <row r="18835">
      <c r="F18835" s="1" t="str">
        <f t="shared" si="1"/>
        <v/>
      </c>
      <c r="G18835" s="1" t="str">
        <f t="shared" si="2"/>
        <v/>
      </c>
      <c r="J18835" s="1" t="str">
        <f t="shared" si="3"/>
        <v/>
      </c>
      <c r="K18835" s="1" t="str">
        <f t="shared" si="4"/>
        <v/>
      </c>
    </row>
    <row r="18836">
      <c r="F18836" s="1" t="str">
        <f t="shared" si="1"/>
        <v/>
      </c>
      <c r="G18836" s="1" t="str">
        <f t="shared" si="2"/>
        <v/>
      </c>
      <c r="J18836" s="1" t="str">
        <f t="shared" si="3"/>
        <v/>
      </c>
      <c r="K18836" s="1" t="str">
        <f t="shared" si="4"/>
        <v/>
      </c>
    </row>
    <row r="18837">
      <c r="F18837" s="1" t="str">
        <f t="shared" si="1"/>
        <v/>
      </c>
      <c r="G18837" s="1" t="str">
        <f t="shared" si="2"/>
        <v/>
      </c>
      <c r="J18837" s="1" t="str">
        <f t="shared" si="3"/>
        <v/>
      </c>
      <c r="K18837" s="1" t="str">
        <f t="shared" si="4"/>
        <v/>
      </c>
    </row>
    <row r="18838">
      <c r="F18838" s="1" t="str">
        <f t="shared" si="1"/>
        <v/>
      </c>
      <c r="G18838" s="1" t="str">
        <f t="shared" si="2"/>
        <v/>
      </c>
      <c r="J18838" s="1" t="str">
        <f t="shared" si="3"/>
        <v/>
      </c>
      <c r="K18838" s="1" t="str">
        <f t="shared" si="4"/>
        <v/>
      </c>
    </row>
    <row r="18839">
      <c r="F18839" s="1" t="str">
        <f t="shared" si="1"/>
        <v/>
      </c>
      <c r="G18839" s="1" t="str">
        <f t="shared" si="2"/>
        <v/>
      </c>
      <c r="J18839" s="1" t="str">
        <f t="shared" si="3"/>
        <v/>
      </c>
      <c r="K18839" s="1" t="str">
        <f t="shared" si="4"/>
        <v/>
      </c>
    </row>
    <row r="18840">
      <c r="F18840" s="1" t="str">
        <f t="shared" si="1"/>
        <v/>
      </c>
      <c r="G18840" s="1" t="str">
        <f t="shared" si="2"/>
        <v/>
      </c>
      <c r="J18840" s="1" t="str">
        <f t="shared" si="3"/>
        <v/>
      </c>
      <c r="K18840" s="1" t="str">
        <f t="shared" si="4"/>
        <v/>
      </c>
    </row>
    <row r="18841">
      <c r="F18841" s="1" t="str">
        <f t="shared" si="1"/>
        <v/>
      </c>
      <c r="G18841" s="1" t="str">
        <f t="shared" si="2"/>
        <v/>
      </c>
      <c r="J18841" s="1" t="str">
        <f t="shared" si="3"/>
        <v/>
      </c>
      <c r="K18841" s="1" t="str">
        <f t="shared" si="4"/>
        <v/>
      </c>
    </row>
    <row r="18842">
      <c r="F18842" s="1" t="str">
        <f t="shared" si="1"/>
        <v/>
      </c>
      <c r="G18842" s="1" t="str">
        <f t="shared" si="2"/>
        <v/>
      </c>
      <c r="J18842" s="1" t="str">
        <f t="shared" si="3"/>
        <v/>
      </c>
      <c r="K18842" s="1" t="str">
        <f t="shared" si="4"/>
        <v/>
      </c>
    </row>
    <row r="18843">
      <c r="F18843" s="1" t="str">
        <f t="shared" si="1"/>
        <v/>
      </c>
      <c r="G18843" s="1" t="str">
        <f t="shared" si="2"/>
        <v/>
      </c>
      <c r="J18843" s="1" t="str">
        <f t="shared" si="3"/>
        <v/>
      </c>
      <c r="K18843" s="1" t="str">
        <f t="shared" si="4"/>
        <v/>
      </c>
    </row>
    <row r="18844">
      <c r="F18844" s="1" t="str">
        <f t="shared" si="1"/>
        <v/>
      </c>
      <c r="G18844" s="1" t="str">
        <f t="shared" si="2"/>
        <v/>
      </c>
      <c r="J18844" s="1" t="str">
        <f t="shared" si="3"/>
        <v/>
      </c>
      <c r="K18844" s="1" t="str">
        <f t="shared" si="4"/>
        <v/>
      </c>
    </row>
    <row r="18845">
      <c r="F18845" s="1" t="str">
        <f t="shared" si="1"/>
        <v/>
      </c>
      <c r="G18845" s="1" t="str">
        <f t="shared" si="2"/>
        <v/>
      </c>
      <c r="J18845" s="1" t="str">
        <f t="shared" si="3"/>
        <v/>
      </c>
      <c r="K18845" s="1" t="str">
        <f t="shared" si="4"/>
        <v/>
      </c>
    </row>
    <row r="18846">
      <c r="F18846" s="1" t="str">
        <f t="shared" si="1"/>
        <v/>
      </c>
      <c r="G18846" s="1" t="str">
        <f t="shared" si="2"/>
        <v/>
      </c>
      <c r="J18846" s="1" t="str">
        <f t="shared" si="3"/>
        <v/>
      </c>
      <c r="K18846" s="1" t="str">
        <f t="shared" si="4"/>
        <v/>
      </c>
    </row>
    <row r="18847">
      <c r="F18847" s="1" t="str">
        <f t="shared" si="1"/>
        <v/>
      </c>
      <c r="G18847" s="1" t="str">
        <f t="shared" si="2"/>
        <v/>
      </c>
      <c r="J18847" s="1" t="str">
        <f t="shared" si="3"/>
        <v/>
      </c>
      <c r="K18847" s="1" t="str">
        <f t="shared" si="4"/>
        <v/>
      </c>
    </row>
    <row r="18848">
      <c r="F18848" s="1" t="str">
        <f t="shared" si="1"/>
        <v/>
      </c>
      <c r="G18848" s="1" t="str">
        <f t="shared" si="2"/>
        <v/>
      </c>
      <c r="J18848" s="1" t="str">
        <f t="shared" si="3"/>
        <v/>
      </c>
      <c r="K18848" s="1" t="str">
        <f t="shared" si="4"/>
        <v/>
      </c>
    </row>
    <row r="18849">
      <c r="F18849" s="1" t="str">
        <f t="shared" si="1"/>
        <v/>
      </c>
      <c r="G18849" s="1" t="str">
        <f t="shared" si="2"/>
        <v/>
      </c>
      <c r="J18849" s="1" t="str">
        <f t="shared" si="3"/>
        <v/>
      </c>
      <c r="K18849" s="1" t="str">
        <f t="shared" si="4"/>
        <v/>
      </c>
    </row>
    <row r="18850">
      <c r="F18850" s="1" t="str">
        <f t="shared" si="1"/>
        <v/>
      </c>
      <c r="G18850" s="1" t="str">
        <f t="shared" si="2"/>
        <v/>
      </c>
      <c r="J18850" s="1" t="str">
        <f t="shared" si="3"/>
        <v/>
      </c>
      <c r="K18850" s="1" t="str">
        <f t="shared" si="4"/>
        <v/>
      </c>
    </row>
    <row r="18851">
      <c r="F18851" s="1" t="str">
        <f t="shared" si="1"/>
        <v/>
      </c>
      <c r="G18851" s="1" t="str">
        <f t="shared" si="2"/>
        <v/>
      </c>
      <c r="J18851" s="1" t="str">
        <f t="shared" si="3"/>
        <v/>
      </c>
      <c r="K18851" s="1" t="str">
        <f t="shared" si="4"/>
        <v/>
      </c>
    </row>
    <row r="18852">
      <c r="F18852" s="1" t="str">
        <f t="shared" si="1"/>
        <v/>
      </c>
      <c r="G18852" s="1" t="str">
        <f t="shared" si="2"/>
        <v/>
      </c>
      <c r="J18852" s="1" t="str">
        <f t="shared" si="3"/>
        <v/>
      </c>
      <c r="K18852" s="1" t="str">
        <f t="shared" si="4"/>
        <v/>
      </c>
    </row>
    <row r="18853">
      <c r="F18853" s="1" t="str">
        <f t="shared" si="1"/>
        <v/>
      </c>
      <c r="G18853" s="1" t="str">
        <f t="shared" si="2"/>
        <v/>
      </c>
      <c r="J18853" s="1" t="str">
        <f t="shared" si="3"/>
        <v/>
      </c>
      <c r="K18853" s="1" t="str">
        <f t="shared" si="4"/>
        <v/>
      </c>
    </row>
    <row r="18854">
      <c r="F18854" s="1" t="str">
        <f t="shared" si="1"/>
        <v/>
      </c>
      <c r="G18854" s="1" t="str">
        <f t="shared" si="2"/>
        <v/>
      </c>
      <c r="J18854" s="1" t="str">
        <f t="shared" si="3"/>
        <v/>
      </c>
      <c r="K18854" s="1" t="str">
        <f t="shared" si="4"/>
        <v/>
      </c>
    </row>
    <row r="18855">
      <c r="F18855" s="1" t="str">
        <f t="shared" si="1"/>
        <v/>
      </c>
      <c r="G18855" s="1" t="str">
        <f t="shared" si="2"/>
        <v/>
      </c>
      <c r="J18855" s="1" t="str">
        <f t="shared" si="3"/>
        <v/>
      </c>
      <c r="K18855" s="1" t="str">
        <f t="shared" si="4"/>
        <v/>
      </c>
    </row>
    <row r="18856">
      <c r="F18856" s="1" t="str">
        <f t="shared" si="1"/>
        <v/>
      </c>
      <c r="G18856" s="1" t="str">
        <f t="shared" si="2"/>
        <v/>
      </c>
      <c r="J18856" s="1" t="str">
        <f t="shared" si="3"/>
        <v/>
      </c>
      <c r="K18856" s="1" t="str">
        <f t="shared" si="4"/>
        <v/>
      </c>
    </row>
    <row r="18857">
      <c r="F18857" s="1" t="str">
        <f t="shared" si="1"/>
        <v/>
      </c>
      <c r="G18857" s="1" t="str">
        <f t="shared" si="2"/>
        <v/>
      </c>
      <c r="J18857" s="1" t="str">
        <f t="shared" si="3"/>
        <v/>
      </c>
      <c r="K18857" s="1" t="str">
        <f t="shared" si="4"/>
        <v/>
      </c>
    </row>
    <row r="18858">
      <c r="F18858" s="1" t="str">
        <f t="shared" si="1"/>
        <v/>
      </c>
      <c r="G18858" s="1" t="str">
        <f t="shared" si="2"/>
        <v/>
      </c>
      <c r="J18858" s="1" t="str">
        <f t="shared" si="3"/>
        <v/>
      </c>
      <c r="K18858" s="1" t="str">
        <f t="shared" si="4"/>
        <v/>
      </c>
    </row>
    <row r="18859">
      <c r="F18859" s="1" t="str">
        <f t="shared" si="1"/>
        <v/>
      </c>
      <c r="G18859" s="1" t="str">
        <f t="shared" si="2"/>
        <v/>
      </c>
      <c r="J18859" s="1" t="str">
        <f t="shared" si="3"/>
        <v/>
      </c>
      <c r="K18859" s="1" t="str">
        <f t="shared" si="4"/>
        <v/>
      </c>
    </row>
    <row r="18860">
      <c r="F18860" s="1" t="str">
        <f t="shared" si="1"/>
        <v/>
      </c>
      <c r="G18860" s="1" t="str">
        <f t="shared" si="2"/>
        <v/>
      </c>
      <c r="J18860" s="1" t="str">
        <f t="shared" si="3"/>
        <v/>
      </c>
      <c r="K18860" s="1" t="str">
        <f t="shared" si="4"/>
        <v/>
      </c>
    </row>
    <row r="18861">
      <c r="F18861" s="1" t="str">
        <f t="shared" si="1"/>
        <v/>
      </c>
      <c r="G18861" s="1" t="str">
        <f t="shared" si="2"/>
        <v/>
      </c>
      <c r="J18861" s="1" t="str">
        <f t="shared" si="3"/>
        <v/>
      </c>
      <c r="K18861" s="1" t="str">
        <f t="shared" si="4"/>
        <v/>
      </c>
    </row>
    <row r="18862">
      <c r="F18862" s="1" t="str">
        <f t="shared" si="1"/>
        <v/>
      </c>
      <c r="G18862" s="1" t="str">
        <f t="shared" si="2"/>
        <v/>
      </c>
      <c r="J18862" s="1" t="str">
        <f t="shared" si="3"/>
        <v/>
      </c>
      <c r="K18862" s="1" t="str">
        <f t="shared" si="4"/>
        <v/>
      </c>
    </row>
    <row r="18863">
      <c r="F18863" s="1" t="str">
        <f t="shared" si="1"/>
        <v/>
      </c>
      <c r="G18863" s="1" t="str">
        <f t="shared" si="2"/>
        <v/>
      </c>
      <c r="J18863" s="1" t="str">
        <f t="shared" si="3"/>
        <v/>
      </c>
      <c r="K18863" s="1" t="str">
        <f t="shared" si="4"/>
        <v/>
      </c>
    </row>
    <row r="18864">
      <c r="F18864" s="1" t="str">
        <f t="shared" si="1"/>
        <v/>
      </c>
      <c r="G18864" s="1" t="str">
        <f t="shared" si="2"/>
        <v/>
      </c>
      <c r="J18864" s="1" t="str">
        <f t="shared" si="3"/>
        <v/>
      </c>
      <c r="K18864" s="1" t="str">
        <f t="shared" si="4"/>
        <v/>
      </c>
    </row>
    <row r="18865">
      <c r="F18865" s="1" t="str">
        <f t="shared" si="1"/>
        <v/>
      </c>
      <c r="G18865" s="1" t="str">
        <f t="shared" si="2"/>
        <v/>
      </c>
      <c r="J18865" s="1" t="str">
        <f t="shared" si="3"/>
        <v/>
      </c>
      <c r="K18865" s="1" t="str">
        <f t="shared" si="4"/>
        <v/>
      </c>
    </row>
    <row r="18866">
      <c r="F18866" s="1" t="str">
        <f t="shared" si="1"/>
        <v/>
      </c>
      <c r="G18866" s="1" t="str">
        <f t="shared" si="2"/>
        <v/>
      </c>
      <c r="J18866" s="1" t="str">
        <f t="shared" si="3"/>
        <v/>
      </c>
      <c r="K18866" s="1" t="str">
        <f t="shared" si="4"/>
        <v/>
      </c>
    </row>
    <row r="18867">
      <c r="F18867" s="1" t="str">
        <f t="shared" si="1"/>
        <v/>
      </c>
      <c r="G18867" s="1" t="str">
        <f t="shared" si="2"/>
        <v/>
      </c>
      <c r="J18867" s="1" t="str">
        <f t="shared" si="3"/>
        <v/>
      </c>
      <c r="K18867" s="1" t="str">
        <f t="shared" si="4"/>
        <v/>
      </c>
    </row>
    <row r="18868">
      <c r="F18868" s="1" t="str">
        <f t="shared" si="1"/>
        <v/>
      </c>
      <c r="G18868" s="1" t="str">
        <f t="shared" si="2"/>
        <v/>
      </c>
      <c r="J18868" s="1" t="str">
        <f t="shared" si="3"/>
        <v/>
      </c>
      <c r="K18868" s="1" t="str">
        <f t="shared" si="4"/>
        <v/>
      </c>
    </row>
    <row r="18869">
      <c r="F18869" s="1" t="str">
        <f t="shared" si="1"/>
        <v/>
      </c>
      <c r="G18869" s="1" t="str">
        <f t="shared" si="2"/>
        <v/>
      </c>
      <c r="J18869" s="1" t="str">
        <f t="shared" si="3"/>
        <v/>
      </c>
      <c r="K18869" s="1" t="str">
        <f t="shared" si="4"/>
        <v/>
      </c>
    </row>
    <row r="18870">
      <c r="F18870" s="1" t="str">
        <f t="shared" si="1"/>
        <v/>
      </c>
      <c r="G18870" s="1" t="str">
        <f t="shared" si="2"/>
        <v/>
      </c>
      <c r="J18870" s="1" t="str">
        <f t="shared" si="3"/>
        <v/>
      </c>
      <c r="K18870" s="1" t="str">
        <f t="shared" si="4"/>
        <v/>
      </c>
    </row>
    <row r="18871">
      <c r="F18871" s="1" t="str">
        <f t="shared" si="1"/>
        <v/>
      </c>
      <c r="G18871" s="1" t="str">
        <f t="shared" si="2"/>
        <v/>
      </c>
      <c r="J18871" s="1" t="str">
        <f t="shared" si="3"/>
        <v/>
      </c>
      <c r="K18871" s="1" t="str">
        <f t="shared" si="4"/>
        <v/>
      </c>
    </row>
    <row r="18872">
      <c r="F18872" s="1" t="str">
        <f t="shared" si="1"/>
        <v/>
      </c>
      <c r="G18872" s="1" t="str">
        <f t="shared" si="2"/>
        <v/>
      </c>
      <c r="J18872" s="1" t="str">
        <f t="shared" si="3"/>
        <v/>
      </c>
      <c r="K18872" s="1" t="str">
        <f t="shared" si="4"/>
        <v/>
      </c>
    </row>
    <row r="18873">
      <c r="F18873" s="1" t="str">
        <f t="shared" si="1"/>
        <v/>
      </c>
      <c r="G18873" s="1" t="str">
        <f t="shared" si="2"/>
        <v/>
      </c>
      <c r="J18873" s="1" t="str">
        <f t="shared" si="3"/>
        <v/>
      </c>
      <c r="K18873" s="1" t="str">
        <f t="shared" si="4"/>
        <v/>
      </c>
    </row>
    <row r="18874">
      <c r="F18874" s="1" t="str">
        <f t="shared" si="1"/>
        <v/>
      </c>
      <c r="G18874" s="1" t="str">
        <f t="shared" si="2"/>
        <v/>
      </c>
      <c r="J18874" s="1" t="str">
        <f t="shared" si="3"/>
        <v/>
      </c>
      <c r="K18874" s="1" t="str">
        <f t="shared" si="4"/>
        <v/>
      </c>
    </row>
    <row r="18875">
      <c r="F18875" s="1" t="str">
        <f t="shared" si="1"/>
        <v/>
      </c>
      <c r="G18875" s="1" t="str">
        <f t="shared" si="2"/>
        <v/>
      </c>
      <c r="J18875" s="1" t="str">
        <f t="shared" si="3"/>
        <v/>
      </c>
      <c r="K18875" s="1" t="str">
        <f t="shared" si="4"/>
        <v/>
      </c>
    </row>
    <row r="18876">
      <c r="F18876" s="1" t="str">
        <f t="shared" si="1"/>
        <v/>
      </c>
      <c r="G18876" s="1" t="str">
        <f t="shared" si="2"/>
        <v/>
      </c>
      <c r="J18876" s="1" t="str">
        <f t="shared" si="3"/>
        <v/>
      </c>
      <c r="K18876" s="1" t="str">
        <f t="shared" si="4"/>
        <v/>
      </c>
    </row>
    <row r="18877">
      <c r="F18877" s="1" t="str">
        <f t="shared" si="1"/>
        <v/>
      </c>
      <c r="G18877" s="1" t="str">
        <f t="shared" si="2"/>
        <v/>
      </c>
      <c r="J18877" s="1" t="str">
        <f t="shared" si="3"/>
        <v/>
      </c>
      <c r="K18877" s="1" t="str">
        <f t="shared" si="4"/>
        <v/>
      </c>
    </row>
    <row r="18878">
      <c r="F18878" s="1" t="str">
        <f t="shared" si="1"/>
        <v/>
      </c>
      <c r="G18878" s="1" t="str">
        <f t="shared" si="2"/>
        <v/>
      </c>
      <c r="J18878" s="1" t="str">
        <f t="shared" si="3"/>
        <v/>
      </c>
      <c r="K18878" s="1" t="str">
        <f t="shared" si="4"/>
        <v/>
      </c>
    </row>
    <row r="18879">
      <c r="F18879" s="1" t="str">
        <f t="shared" si="1"/>
        <v/>
      </c>
      <c r="G18879" s="1" t="str">
        <f t="shared" si="2"/>
        <v/>
      </c>
      <c r="J18879" s="1" t="str">
        <f t="shared" si="3"/>
        <v/>
      </c>
      <c r="K18879" s="1" t="str">
        <f t="shared" si="4"/>
        <v/>
      </c>
    </row>
    <row r="18880">
      <c r="F18880" s="1" t="str">
        <f t="shared" si="1"/>
        <v/>
      </c>
      <c r="G18880" s="1" t="str">
        <f t="shared" si="2"/>
        <v/>
      </c>
      <c r="J18880" s="1" t="str">
        <f t="shared" si="3"/>
        <v/>
      </c>
      <c r="K18880" s="1" t="str">
        <f t="shared" si="4"/>
        <v/>
      </c>
    </row>
    <row r="18881">
      <c r="F18881" s="1" t="str">
        <f t="shared" si="1"/>
        <v/>
      </c>
      <c r="G18881" s="1" t="str">
        <f t="shared" si="2"/>
        <v/>
      </c>
      <c r="J18881" s="1" t="str">
        <f t="shared" si="3"/>
        <v/>
      </c>
      <c r="K18881" s="1" t="str">
        <f t="shared" si="4"/>
        <v/>
      </c>
    </row>
    <row r="18882">
      <c r="F18882" s="1" t="str">
        <f t="shared" si="1"/>
        <v/>
      </c>
      <c r="G18882" s="1" t="str">
        <f t="shared" si="2"/>
        <v/>
      </c>
      <c r="J18882" s="1" t="str">
        <f t="shared" si="3"/>
        <v/>
      </c>
      <c r="K18882" s="1" t="str">
        <f t="shared" si="4"/>
        <v/>
      </c>
    </row>
    <row r="18883">
      <c r="F18883" s="1" t="str">
        <f t="shared" si="1"/>
        <v/>
      </c>
      <c r="G18883" s="1" t="str">
        <f t="shared" si="2"/>
        <v/>
      </c>
      <c r="J18883" s="1" t="str">
        <f t="shared" si="3"/>
        <v/>
      </c>
      <c r="K18883" s="1" t="str">
        <f t="shared" si="4"/>
        <v/>
      </c>
    </row>
    <row r="18884">
      <c r="F18884" s="1" t="str">
        <f t="shared" si="1"/>
        <v/>
      </c>
      <c r="G18884" s="1" t="str">
        <f t="shared" si="2"/>
        <v/>
      </c>
      <c r="J18884" s="1" t="str">
        <f t="shared" si="3"/>
        <v/>
      </c>
      <c r="K18884" s="1" t="str">
        <f t="shared" si="4"/>
        <v/>
      </c>
    </row>
    <row r="18885">
      <c r="F18885" s="1" t="str">
        <f t="shared" si="1"/>
        <v/>
      </c>
      <c r="G18885" s="1" t="str">
        <f t="shared" si="2"/>
        <v/>
      </c>
      <c r="J18885" s="1" t="str">
        <f t="shared" si="3"/>
        <v/>
      </c>
      <c r="K18885" s="1" t="str">
        <f t="shared" si="4"/>
        <v/>
      </c>
    </row>
    <row r="18886">
      <c r="F18886" s="1" t="str">
        <f t="shared" si="1"/>
        <v/>
      </c>
      <c r="G18886" s="1" t="str">
        <f t="shared" si="2"/>
        <v/>
      </c>
      <c r="J18886" s="1" t="str">
        <f t="shared" si="3"/>
        <v/>
      </c>
      <c r="K18886" s="1" t="str">
        <f t="shared" si="4"/>
        <v/>
      </c>
    </row>
    <row r="18887">
      <c r="F18887" s="1" t="str">
        <f t="shared" si="1"/>
        <v/>
      </c>
      <c r="G18887" s="1" t="str">
        <f t="shared" si="2"/>
        <v/>
      </c>
      <c r="J18887" s="1" t="str">
        <f t="shared" si="3"/>
        <v/>
      </c>
      <c r="K18887" s="1" t="str">
        <f t="shared" si="4"/>
        <v/>
      </c>
    </row>
    <row r="18888">
      <c r="F18888" s="1" t="str">
        <f t="shared" si="1"/>
        <v/>
      </c>
      <c r="G18888" s="1" t="str">
        <f t="shared" si="2"/>
        <v/>
      </c>
      <c r="J18888" s="1" t="str">
        <f t="shared" si="3"/>
        <v/>
      </c>
      <c r="K18888" s="1" t="str">
        <f t="shared" si="4"/>
        <v/>
      </c>
    </row>
    <row r="18889">
      <c r="F18889" s="1" t="str">
        <f t="shared" si="1"/>
        <v/>
      </c>
      <c r="G18889" s="1" t="str">
        <f t="shared" si="2"/>
        <v/>
      </c>
      <c r="J18889" s="1" t="str">
        <f t="shared" si="3"/>
        <v/>
      </c>
      <c r="K18889" s="1" t="str">
        <f t="shared" si="4"/>
        <v/>
      </c>
    </row>
    <row r="18890">
      <c r="F18890" s="1" t="str">
        <f t="shared" si="1"/>
        <v/>
      </c>
      <c r="G18890" s="1" t="str">
        <f t="shared" si="2"/>
        <v/>
      </c>
      <c r="J18890" s="1" t="str">
        <f t="shared" si="3"/>
        <v/>
      </c>
      <c r="K18890" s="1" t="str">
        <f t="shared" si="4"/>
        <v/>
      </c>
    </row>
    <row r="18891">
      <c r="F18891" s="1" t="str">
        <f t="shared" si="1"/>
        <v/>
      </c>
      <c r="G18891" s="1" t="str">
        <f t="shared" si="2"/>
        <v/>
      </c>
      <c r="J18891" s="1" t="str">
        <f t="shared" si="3"/>
        <v/>
      </c>
      <c r="K18891" s="1" t="str">
        <f t="shared" si="4"/>
        <v/>
      </c>
    </row>
    <row r="18892">
      <c r="F18892" s="1" t="str">
        <f t="shared" si="1"/>
        <v/>
      </c>
      <c r="G18892" s="1" t="str">
        <f t="shared" si="2"/>
        <v/>
      </c>
      <c r="J18892" s="1" t="str">
        <f t="shared" si="3"/>
        <v/>
      </c>
      <c r="K18892" s="1" t="str">
        <f t="shared" si="4"/>
        <v/>
      </c>
    </row>
    <row r="18893">
      <c r="F18893" s="1" t="str">
        <f t="shared" si="1"/>
        <v/>
      </c>
      <c r="G18893" s="1" t="str">
        <f t="shared" si="2"/>
        <v/>
      </c>
      <c r="J18893" s="1" t="str">
        <f t="shared" si="3"/>
        <v/>
      </c>
      <c r="K18893" s="1" t="str">
        <f t="shared" si="4"/>
        <v/>
      </c>
    </row>
  </sheetData>
  <autoFilter ref="$A$1:$K$12582">
    <filterColumn colId="9">
      <filters>
        <filter val="0"/>
        <filter val="1"/>
        <filter val="2"/>
        <filter val="3"/>
        <filter val="4"/>
        <filter val="5"/>
        <filter val="6"/>
      </filters>
    </filterColumn>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25"/>
    <col customWidth="1" min="3" max="3" width="44.13"/>
    <col customWidth="1" min="4" max="4" width="33.25"/>
  </cols>
  <sheetData>
    <row r="3">
      <c r="A3" s="2" t="s">
        <v>25</v>
      </c>
      <c r="C3" s="2" t="s">
        <v>26</v>
      </c>
      <c r="D3" s="2" t="s">
        <v>27</v>
      </c>
    </row>
    <row r="4">
      <c r="A4" s="2" t="s">
        <v>28</v>
      </c>
      <c r="C4" s="2" t="s">
        <v>29</v>
      </c>
      <c r="D4" s="2" t="s">
        <v>29</v>
      </c>
    </row>
    <row r="5">
      <c r="A5" s="2" t="s">
        <v>29</v>
      </c>
      <c r="C5" s="2" t="s">
        <v>30</v>
      </c>
      <c r="D5" s="2" t="s">
        <v>27</v>
      </c>
    </row>
    <row r="6">
      <c r="A6" s="2" t="s">
        <v>31</v>
      </c>
      <c r="C6" s="2" t="s">
        <v>29</v>
      </c>
      <c r="D6" s="2" t="s">
        <v>29</v>
      </c>
    </row>
    <row r="7">
      <c r="A7" s="2" t="s">
        <v>29</v>
      </c>
      <c r="C7" s="2" t="s">
        <v>32</v>
      </c>
      <c r="D7" s="2" t="s">
        <v>27</v>
      </c>
    </row>
    <row r="8">
      <c r="C8" s="2" t="s">
        <v>33</v>
      </c>
      <c r="D8" s="2" t="s">
        <v>33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63"/>
    <col customWidth="1" min="2" max="2" width="19.75"/>
    <col customWidth="1" min="4" max="4" width="24.75"/>
    <col customWidth="1" min="5" max="5" width="15.25"/>
    <col customWidth="1" min="8" max="8" width="129.5"/>
    <col hidden="1" min="9" max="26" width="12.63"/>
  </cols>
  <sheetData>
    <row r="1" ht="30.75" customHeight="1">
      <c r="A1" s="10" t="s">
        <v>34</v>
      </c>
      <c r="B1" s="11"/>
      <c r="C1" s="11"/>
      <c r="D1" s="11"/>
      <c r="E1" s="11"/>
      <c r="F1" s="12"/>
      <c r="G1" s="13"/>
      <c r="H1" s="14" t="s">
        <v>35</v>
      </c>
    </row>
    <row r="2">
      <c r="A2" s="15" t="s">
        <v>36</v>
      </c>
      <c r="B2" s="11"/>
      <c r="C2" s="16">
        <v>83785.0</v>
      </c>
      <c r="D2" s="11"/>
      <c r="E2" s="11"/>
      <c r="F2" s="12"/>
      <c r="G2" s="17"/>
      <c r="H2" s="18" t="s">
        <v>37</v>
      </c>
    </row>
    <row r="3">
      <c r="A3" s="19" t="s">
        <v>38</v>
      </c>
      <c r="B3" s="11"/>
      <c r="C3" s="11"/>
      <c r="D3" s="11"/>
      <c r="E3" s="11"/>
      <c r="F3" s="12"/>
      <c r="G3" s="17"/>
      <c r="H3" s="18"/>
    </row>
    <row r="4">
      <c r="A4" s="20" t="s">
        <v>39</v>
      </c>
      <c r="C4" s="21" t="str">
        <f>VLOOKUP($C$2,'DATA RAW'!A:C,3,FALSE)</f>
        <v>#N/A</v>
      </c>
      <c r="G4" s="17"/>
      <c r="H4" s="22" t="s">
        <v>40</v>
      </c>
    </row>
    <row r="5">
      <c r="A5" s="23" t="s">
        <v>41</v>
      </c>
      <c r="B5" s="24"/>
      <c r="C5" s="25" t="str">
        <f>VLOOKUP($C$2,'DATA RAW'!A:H,8,FALSE)</f>
        <v>#N/A</v>
      </c>
      <c r="D5" s="24"/>
      <c r="E5" s="24"/>
      <c r="F5" s="24"/>
      <c r="G5" s="26"/>
      <c r="H5" s="22" t="s">
        <v>42</v>
      </c>
    </row>
    <row r="6">
      <c r="A6" s="27" t="s">
        <v>43</v>
      </c>
      <c r="C6" s="21" t="str">
        <f>VLOOKUP($C$2,'DATA RAW'!A:F,6,FALSE)</f>
        <v>#N/A</v>
      </c>
      <c r="G6" s="17"/>
      <c r="H6" s="22" t="s">
        <v>44</v>
      </c>
    </row>
    <row r="7">
      <c r="A7" s="27" t="s">
        <v>45</v>
      </c>
      <c r="C7" s="21" t="str">
        <f>VLOOKUP($C$2,'DATA RAW'!A:G,7,FALSE)</f>
        <v>#N/A</v>
      </c>
      <c r="G7" s="17"/>
      <c r="H7" s="22" t="s">
        <v>46</v>
      </c>
    </row>
    <row r="8">
      <c r="A8" s="28" t="s">
        <v>47</v>
      </c>
      <c r="B8" s="29"/>
      <c r="C8" s="30" t="str">
        <f>VLOOKUP($C$2,'DATA RAW'!A:K,11,FALSE)</f>
        <v>#N/A</v>
      </c>
      <c r="D8" s="29"/>
      <c r="E8" s="29"/>
      <c r="F8" s="29"/>
      <c r="G8" s="31"/>
      <c r="H8" s="22" t="s">
        <v>48</v>
      </c>
    </row>
    <row r="9">
      <c r="A9" s="32"/>
    </row>
    <row r="10">
      <c r="A10" s="33" t="s">
        <v>49</v>
      </c>
      <c r="B10" s="11"/>
      <c r="C10" s="11"/>
      <c r="D10" s="11"/>
      <c r="E10" s="11"/>
      <c r="F10" s="11"/>
      <c r="G10" s="12"/>
      <c r="H10" s="22"/>
    </row>
    <row r="11">
      <c r="A11" s="34" t="s">
        <v>50</v>
      </c>
      <c r="B11" s="35" t="s">
        <v>51</v>
      </c>
      <c r="C11" s="35" t="s">
        <v>52</v>
      </c>
      <c r="D11" s="35" t="s">
        <v>53</v>
      </c>
      <c r="E11" s="36" t="s">
        <v>54</v>
      </c>
      <c r="F11" s="36" t="s">
        <v>55</v>
      </c>
      <c r="G11" s="36" t="s">
        <v>56</v>
      </c>
      <c r="H11" s="22" t="s">
        <v>57</v>
      </c>
    </row>
    <row r="12" ht="31.5" customHeight="1">
      <c r="A12" s="34" t="str">
        <f>VLOOKUP($C$2,'DATA RAW'!A:B,2,FALSE)</f>
        <v>#N/A</v>
      </c>
      <c r="B12" s="37" t="str">
        <f>IF(VLOOKUP($C$2,'DATA RAW'!$A:$J,10,FALSE)&gt;=1,"OK","-")</f>
        <v>#N/A</v>
      </c>
      <c r="C12" s="38" t="str">
        <f>IF(VLOOKUP($C$2,'DATA RAW'!$A:$J,10,FALSE)&gt;=2,"OK","-")</f>
        <v>#N/A</v>
      </c>
      <c r="D12" s="38" t="str">
        <f>IF(VLOOKUP($C$2,'DATA RAW'!$A:$J,10,FALSE)&gt;=3,"OK","-")</f>
        <v>#N/A</v>
      </c>
      <c r="E12" s="39" t="str">
        <f>IF(VLOOKUP($C$2,'DATA RAW'!$A:$J,10,FALSE)&gt;=4,"OK","-")</f>
        <v>#N/A</v>
      </c>
      <c r="F12" s="39" t="str">
        <f>IF(VLOOKUP($C$2,'DATA RAW'!$A:$J,10,FALSE)&gt;=5,"OK","-")</f>
        <v>#N/A</v>
      </c>
      <c r="G12" s="34" t="str">
        <f>IF(VLOOKUP($C$2,'DATA RAW'!$A:$J,10,FALSE)&gt;=6,"OK","-")</f>
        <v>#N/A</v>
      </c>
      <c r="H12" s="22"/>
    </row>
    <row r="13" hidden="1">
      <c r="H13" s="40"/>
    </row>
    <row r="14" hidden="1">
      <c r="H14" s="40"/>
    </row>
    <row r="15" hidden="1">
      <c r="H15" s="40"/>
    </row>
    <row r="16" hidden="1">
      <c r="H16" s="40"/>
    </row>
    <row r="17" hidden="1">
      <c r="H17" s="40"/>
    </row>
    <row r="18" hidden="1">
      <c r="D18" s="41"/>
      <c r="H18" s="40"/>
    </row>
    <row r="19" hidden="1">
      <c r="H19" s="40"/>
    </row>
    <row r="20" hidden="1">
      <c r="H20" s="40"/>
    </row>
    <row r="21" hidden="1">
      <c r="H21" s="40"/>
    </row>
    <row r="22" hidden="1">
      <c r="H22" s="40"/>
    </row>
    <row r="23" hidden="1">
      <c r="H23" s="40"/>
    </row>
    <row r="24" hidden="1">
      <c r="H24" s="40"/>
    </row>
    <row r="25" hidden="1">
      <c r="H25" s="40"/>
    </row>
    <row r="26" hidden="1">
      <c r="H26" s="40"/>
    </row>
    <row r="27" hidden="1">
      <c r="H27" s="40"/>
    </row>
    <row r="28" hidden="1">
      <c r="H28" s="40"/>
    </row>
    <row r="29" hidden="1">
      <c r="H29" s="40"/>
    </row>
    <row r="30" hidden="1">
      <c r="H30" s="40"/>
    </row>
    <row r="31" hidden="1">
      <c r="H31" s="40"/>
    </row>
    <row r="32" hidden="1">
      <c r="H32" s="40"/>
    </row>
    <row r="33" hidden="1">
      <c r="H33" s="40"/>
    </row>
    <row r="34" hidden="1">
      <c r="H34" s="40"/>
    </row>
    <row r="35" hidden="1">
      <c r="H35" s="40"/>
    </row>
    <row r="36" hidden="1">
      <c r="H36" s="40"/>
    </row>
    <row r="37" hidden="1">
      <c r="H37" s="40"/>
    </row>
    <row r="38" hidden="1">
      <c r="H38" s="40"/>
    </row>
    <row r="39" hidden="1">
      <c r="H39" s="40"/>
    </row>
    <row r="40" hidden="1">
      <c r="H40" s="40"/>
    </row>
    <row r="41" hidden="1">
      <c r="H41" s="40"/>
    </row>
    <row r="42" hidden="1">
      <c r="H42" s="40"/>
    </row>
    <row r="43" hidden="1">
      <c r="H43" s="40"/>
    </row>
    <row r="44" hidden="1">
      <c r="H44" s="40"/>
    </row>
    <row r="45" hidden="1">
      <c r="H45" s="40"/>
    </row>
    <row r="46" hidden="1">
      <c r="H46" s="40"/>
    </row>
    <row r="47" hidden="1">
      <c r="H47" s="40"/>
    </row>
    <row r="48" hidden="1">
      <c r="H48" s="40"/>
    </row>
    <row r="49" hidden="1">
      <c r="H49" s="40"/>
    </row>
    <row r="50" hidden="1">
      <c r="H50" s="40"/>
    </row>
    <row r="51" hidden="1">
      <c r="H51" s="40"/>
    </row>
    <row r="52" hidden="1">
      <c r="H52" s="40"/>
    </row>
    <row r="53" hidden="1">
      <c r="H53" s="40"/>
    </row>
    <row r="54" hidden="1">
      <c r="H54" s="40"/>
    </row>
    <row r="55" hidden="1">
      <c r="H55" s="40"/>
    </row>
    <row r="56" hidden="1">
      <c r="H56" s="40"/>
    </row>
    <row r="57" hidden="1">
      <c r="H57" s="40"/>
    </row>
    <row r="58" hidden="1">
      <c r="H58" s="40"/>
    </row>
    <row r="59" hidden="1">
      <c r="H59" s="40"/>
    </row>
    <row r="60" hidden="1">
      <c r="H60" s="40"/>
    </row>
    <row r="61" hidden="1">
      <c r="H61" s="40"/>
    </row>
    <row r="62" hidden="1">
      <c r="H62" s="40"/>
    </row>
    <row r="63" hidden="1">
      <c r="H63" s="40"/>
    </row>
    <row r="64" hidden="1">
      <c r="H64" s="40"/>
    </row>
    <row r="65" hidden="1">
      <c r="H65" s="40"/>
    </row>
    <row r="66" hidden="1">
      <c r="H66" s="40"/>
    </row>
    <row r="67" hidden="1">
      <c r="H67" s="40"/>
    </row>
    <row r="68" hidden="1">
      <c r="H68" s="40"/>
    </row>
    <row r="69" hidden="1">
      <c r="H69" s="40"/>
    </row>
    <row r="70" hidden="1">
      <c r="H70" s="40"/>
    </row>
    <row r="71" hidden="1">
      <c r="H71" s="40"/>
    </row>
    <row r="72" hidden="1">
      <c r="H72" s="40"/>
    </row>
    <row r="73" hidden="1">
      <c r="H73" s="40"/>
    </row>
    <row r="74" hidden="1">
      <c r="H74" s="40"/>
    </row>
    <row r="75" hidden="1">
      <c r="H75" s="40"/>
    </row>
    <row r="76" hidden="1">
      <c r="H76" s="40"/>
    </row>
    <row r="77" hidden="1">
      <c r="H77" s="40"/>
    </row>
    <row r="78" hidden="1">
      <c r="H78" s="40"/>
    </row>
    <row r="79" hidden="1">
      <c r="H79" s="40"/>
    </row>
    <row r="80" hidden="1">
      <c r="H80" s="40"/>
    </row>
    <row r="81" hidden="1">
      <c r="H81" s="40"/>
    </row>
    <row r="82" hidden="1">
      <c r="H82" s="40"/>
    </row>
    <row r="83" hidden="1">
      <c r="H83" s="40"/>
    </row>
    <row r="84" hidden="1">
      <c r="H84" s="40"/>
    </row>
    <row r="85" hidden="1">
      <c r="H85" s="40"/>
    </row>
    <row r="86" hidden="1">
      <c r="H86" s="40"/>
    </row>
    <row r="87" hidden="1">
      <c r="H87" s="40"/>
    </row>
    <row r="88" hidden="1">
      <c r="H88" s="40"/>
    </row>
    <row r="89" hidden="1">
      <c r="H89" s="40"/>
    </row>
    <row r="90" hidden="1">
      <c r="H90" s="40"/>
    </row>
    <row r="91" hidden="1">
      <c r="H91" s="40"/>
    </row>
    <row r="92" hidden="1">
      <c r="H92" s="40"/>
    </row>
    <row r="93" hidden="1">
      <c r="H93" s="40"/>
    </row>
    <row r="94" hidden="1">
      <c r="H94" s="40"/>
    </row>
    <row r="95" hidden="1">
      <c r="H95" s="40"/>
    </row>
    <row r="96" hidden="1">
      <c r="H96" s="40"/>
    </row>
    <row r="97" hidden="1">
      <c r="H97" s="40"/>
    </row>
    <row r="98" hidden="1">
      <c r="H98" s="40"/>
    </row>
    <row r="99" hidden="1">
      <c r="H99" s="40"/>
    </row>
    <row r="100" hidden="1">
      <c r="H100" s="40"/>
    </row>
    <row r="101" hidden="1">
      <c r="H101" s="40"/>
    </row>
    <row r="102" hidden="1">
      <c r="H102" s="40"/>
    </row>
    <row r="103" hidden="1">
      <c r="H103" s="40"/>
    </row>
    <row r="104" hidden="1">
      <c r="H104" s="40"/>
    </row>
    <row r="105" hidden="1">
      <c r="H105" s="40"/>
    </row>
    <row r="106" hidden="1">
      <c r="H106" s="40"/>
    </row>
    <row r="107" hidden="1">
      <c r="H107" s="40"/>
    </row>
    <row r="108" hidden="1">
      <c r="H108" s="40"/>
    </row>
    <row r="109" hidden="1">
      <c r="H109" s="40"/>
    </row>
    <row r="110" hidden="1">
      <c r="H110" s="40"/>
    </row>
    <row r="111" hidden="1">
      <c r="H111" s="40"/>
    </row>
    <row r="112" hidden="1">
      <c r="H112" s="40"/>
    </row>
    <row r="113" hidden="1">
      <c r="H113" s="40"/>
    </row>
    <row r="114" hidden="1">
      <c r="H114" s="40"/>
    </row>
    <row r="115" hidden="1">
      <c r="H115" s="40"/>
    </row>
    <row r="116" hidden="1">
      <c r="H116" s="40"/>
    </row>
    <row r="117" hidden="1">
      <c r="H117" s="40"/>
    </row>
    <row r="118" hidden="1">
      <c r="H118" s="40"/>
    </row>
    <row r="119" hidden="1">
      <c r="H119" s="40"/>
    </row>
    <row r="120" hidden="1">
      <c r="H120" s="40"/>
    </row>
    <row r="121" hidden="1">
      <c r="H121" s="40"/>
    </row>
    <row r="122" hidden="1">
      <c r="H122" s="40"/>
    </row>
    <row r="123" hidden="1">
      <c r="H123" s="40"/>
    </row>
    <row r="124" hidden="1">
      <c r="H124" s="40"/>
    </row>
    <row r="125" hidden="1">
      <c r="H125" s="40"/>
    </row>
    <row r="126" hidden="1">
      <c r="H126" s="40"/>
    </row>
    <row r="127" hidden="1">
      <c r="H127" s="40"/>
    </row>
    <row r="128" hidden="1">
      <c r="H128" s="40"/>
    </row>
    <row r="129" hidden="1">
      <c r="H129" s="40"/>
    </row>
    <row r="130" hidden="1">
      <c r="H130" s="40"/>
    </row>
    <row r="131" hidden="1">
      <c r="H131" s="40"/>
    </row>
    <row r="132" hidden="1">
      <c r="H132" s="40"/>
    </row>
    <row r="133" hidden="1">
      <c r="H133" s="40"/>
    </row>
    <row r="134" hidden="1">
      <c r="H134" s="40"/>
    </row>
    <row r="135" hidden="1">
      <c r="H135" s="40"/>
    </row>
    <row r="136" hidden="1">
      <c r="H136" s="40"/>
    </row>
    <row r="137" hidden="1">
      <c r="H137" s="40"/>
    </row>
    <row r="138" hidden="1">
      <c r="H138" s="40"/>
    </row>
    <row r="139" hidden="1">
      <c r="H139" s="40"/>
    </row>
    <row r="140" hidden="1">
      <c r="H140" s="40"/>
    </row>
    <row r="141" hidden="1">
      <c r="H141" s="40"/>
    </row>
    <row r="142" hidden="1">
      <c r="H142" s="40"/>
    </row>
    <row r="143" hidden="1">
      <c r="H143" s="40"/>
    </row>
    <row r="144" hidden="1">
      <c r="H144" s="40"/>
    </row>
    <row r="145" hidden="1">
      <c r="H145" s="40"/>
    </row>
    <row r="146" hidden="1">
      <c r="H146" s="40"/>
    </row>
    <row r="147" hidden="1">
      <c r="H147" s="40"/>
    </row>
    <row r="148" hidden="1">
      <c r="H148" s="40"/>
    </row>
    <row r="149" hidden="1">
      <c r="H149" s="40"/>
    </row>
    <row r="150" hidden="1">
      <c r="H150" s="40"/>
    </row>
    <row r="151" hidden="1">
      <c r="H151" s="40"/>
    </row>
    <row r="152" hidden="1">
      <c r="H152" s="40"/>
    </row>
    <row r="153" hidden="1">
      <c r="H153" s="40"/>
    </row>
    <row r="154" hidden="1">
      <c r="H154" s="40"/>
    </row>
    <row r="155" hidden="1">
      <c r="H155" s="40"/>
    </row>
    <row r="156" hidden="1">
      <c r="H156" s="40"/>
    </row>
    <row r="157" hidden="1">
      <c r="H157" s="40"/>
    </row>
    <row r="158" hidden="1">
      <c r="H158" s="40"/>
    </row>
    <row r="159" hidden="1">
      <c r="H159" s="40"/>
    </row>
    <row r="160" hidden="1">
      <c r="H160" s="40"/>
    </row>
    <row r="161" hidden="1">
      <c r="H161" s="40"/>
    </row>
    <row r="162" hidden="1">
      <c r="H162" s="40"/>
    </row>
    <row r="163" hidden="1">
      <c r="H163" s="40"/>
    </row>
    <row r="164" hidden="1">
      <c r="H164" s="40"/>
    </row>
    <row r="165" hidden="1">
      <c r="H165" s="40"/>
    </row>
    <row r="166" hidden="1">
      <c r="H166" s="40"/>
    </row>
    <row r="167" hidden="1">
      <c r="H167" s="40"/>
    </row>
    <row r="168" hidden="1">
      <c r="H168" s="40"/>
    </row>
    <row r="169" hidden="1">
      <c r="H169" s="40"/>
    </row>
    <row r="170" hidden="1">
      <c r="H170" s="40"/>
    </row>
    <row r="171" hidden="1">
      <c r="H171" s="40"/>
    </row>
    <row r="172" hidden="1">
      <c r="H172" s="40"/>
    </row>
    <row r="173" hidden="1">
      <c r="H173" s="40"/>
    </row>
    <row r="174" hidden="1">
      <c r="H174" s="40"/>
    </row>
    <row r="175" hidden="1">
      <c r="H175" s="40"/>
    </row>
    <row r="176" hidden="1">
      <c r="H176" s="40"/>
    </row>
    <row r="177" hidden="1">
      <c r="H177" s="40"/>
    </row>
    <row r="178" hidden="1">
      <c r="H178" s="40"/>
    </row>
    <row r="179" hidden="1">
      <c r="H179" s="40"/>
    </row>
    <row r="180" hidden="1">
      <c r="H180" s="40"/>
    </row>
    <row r="181" hidden="1">
      <c r="H181" s="40"/>
    </row>
    <row r="182" hidden="1">
      <c r="H182" s="40"/>
    </row>
    <row r="183" hidden="1">
      <c r="H183" s="40"/>
    </row>
    <row r="184" hidden="1">
      <c r="H184" s="40"/>
    </row>
    <row r="185" hidden="1">
      <c r="H185" s="40"/>
    </row>
    <row r="186" hidden="1">
      <c r="H186" s="40"/>
    </row>
    <row r="187" hidden="1">
      <c r="H187" s="40"/>
    </row>
    <row r="188" hidden="1">
      <c r="H188" s="40"/>
    </row>
    <row r="189" hidden="1">
      <c r="H189" s="40"/>
    </row>
    <row r="190" hidden="1">
      <c r="H190" s="40"/>
    </row>
    <row r="191" hidden="1">
      <c r="H191" s="40"/>
    </row>
    <row r="192" hidden="1">
      <c r="H192" s="40"/>
    </row>
    <row r="193" hidden="1">
      <c r="H193" s="40"/>
    </row>
    <row r="194" hidden="1">
      <c r="H194" s="40"/>
    </row>
    <row r="195" hidden="1">
      <c r="H195" s="40"/>
    </row>
    <row r="196" hidden="1">
      <c r="H196" s="40"/>
    </row>
    <row r="197" hidden="1">
      <c r="H197" s="40"/>
    </row>
    <row r="198" hidden="1">
      <c r="H198" s="40"/>
    </row>
    <row r="199" hidden="1">
      <c r="H199" s="40"/>
    </row>
    <row r="200" hidden="1">
      <c r="H200" s="40"/>
    </row>
    <row r="201" hidden="1">
      <c r="H201" s="40"/>
    </row>
    <row r="202" hidden="1">
      <c r="H202" s="40"/>
    </row>
    <row r="203" hidden="1">
      <c r="H203" s="40"/>
    </row>
    <row r="204" hidden="1">
      <c r="H204" s="40"/>
    </row>
    <row r="205" hidden="1">
      <c r="H205" s="40"/>
    </row>
    <row r="206" hidden="1">
      <c r="H206" s="40"/>
    </row>
    <row r="207" hidden="1">
      <c r="H207" s="40"/>
    </row>
    <row r="208" hidden="1">
      <c r="H208" s="40"/>
    </row>
    <row r="209" hidden="1">
      <c r="H209" s="40"/>
    </row>
    <row r="210" hidden="1">
      <c r="H210" s="40"/>
    </row>
    <row r="211" hidden="1">
      <c r="H211" s="40"/>
    </row>
    <row r="212" hidden="1">
      <c r="H212" s="40"/>
    </row>
    <row r="213" hidden="1">
      <c r="H213" s="40"/>
    </row>
    <row r="214" hidden="1">
      <c r="H214" s="40"/>
    </row>
    <row r="215" hidden="1">
      <c r="H215" s="40"/>
    </row>
    <row r="216" hidden="1">
      <c r="H216" s="40"/>
    </row>
    <row r="217" hidden="1">
      <c r="H217" s="40"/>
    </row>
    <row r="218" hidden="1">
      <c r="H218" s="40"/>
    </row>
    <row r="219" hidden="1">
      <c r="H219" s="40"/>
    </row>
    <row r="220" hidden="1">
      <c r="H220" s="40"/>
    </row>
    <row r="221" hidden="1">
      <c r="H221" s="40"/>
    </row>
    <row r="222" hidden="1">
      <c r="H222" s="40"/>
    </row>
    <row r="223" hidden="1">
      <c r="H223" s="40"/>
    </row>
    <row r="224" hidden="1">
      <c r="H224" s="40"/>
    </row>
    <row r="225" hidden="1">
      <c r="H225" s="40"/>
    </row>
    <row r="226" hidden="1">
      <c r="H226" s="40"/>
    </row>
    <row r="227" hidden="1">
      <c r="H227" s="40"/>
    </row>
    <row r="228" hidden="1">
      <c r="H228" s="40"/>
    </row>
    <row r="229" hidden="1">
      <c r="H229" s="40"/>
    </row>
    <row r="230" hidden="1">
      <c r="H230" s="40"/>
    </row>
    <row r="231" hidden="1">
      <c r="H231" s="40"/>
    </row>
    <row r="232" hidden="1">
      <c r="H232" s="40"/>
    </row>
    <row r="233" hidden="1">
      <c r="H233" s="40"/>
    </row>
    <row r="234" hidden="1">
      <c r="H234" s="40"/>
    </row>
    <row r="235" hidden="1">
      <c r="H235" s="40"/>
    </row>
    <row r="236" hidden="1">
      <c r="H236" s="40"/>
    </row>
    <row r="237" hidden="1">
      <c r="H237" s="40"/>
    </row>
    <row r="238" hidden="1">
      <c r="H238" s="40"/>
    </row>
    <row r="239" hidden="1">
      <c r="H239" s="40"/>
    </row>
    <row r="240" hidden="1">
      <c r="H240" s="40"/>
    </row>
    <row r="241" hidden="1">
      <c r="H241" s="40"/>
    </row>
    <row r="242" hidden="1">
      <c r="H242" s="40"/>
    </row>
    <row r="243" hidden="1">
      <c r="H243" s="40"/>
    </row>
    <row r="244" hidden="1">
      <c r="H244" s="40"/>
    </row>
    <row r="245" hidden="1">
      <c r="H245" s="40"/>
    </row>
    <row r="246" hidden="1">
      <c r="H246" s="40"/>
    </row>
    <row r="247" hidden="1">
      <c r="H247" s="40"/>
    </row>
    <row r="248" hidden="1">
      <c r="H248" s="40"/>
    </row>
    <row r="249" hidden="1">
      <c r="H249" s="40"/>
    </row>
    <row r="250" hidden="1">
      <c r="H250" s="40"/>
    </row>
    <row r="251" hidden="1">
      <c r="H251" s="40"/>
    </row>
    <row r="252" hidden="1">
      <c r="H252" s="40"/>
    </row>
    <row r="253" hidden="1">
      <c r="H253" s="40"/>
    </row>
    <row r="254" hidden="1">
      <c r="H254" s="40"/>
    </row>
    <row r="255" hidden="1">
      <c r="H255" s="40"/>
    </row>
    <row r="256" hidden="1">
      <c r="H256" s="40"/>
    </row>
    <row r="257" hidden="1">
      <c r="H257" s="40"/>
    </row>
    <row r="258" hidden="1">
      <c r="H258" s="40"/>
    </row>
    <row r="259" hidden="1">
      <c r="H259" s="40"/>
    </row>
    <row r="260" hidden="1">
      <c r="H260" s="40"/>
    </row>
    <row r="261" hidden="1">
      <c r="H261" s="40"/>
    </row>
    <row r="262" hidden="1">
      <c r="H262" s="40"/>
    </row>
    <row r="263" hidden="1">
      <c r="H263" s="40"/>
    </row>
    <row r="264" hidden="1">
      <c r="H264" s="40"/>
    </row>
    <row r="265" hidden="1">
      <c r="H265" s="40"/>
    </row>
    <row r="266" hidden="1">
      <c r="H266" s="40"/>
    </row>
    <row r="267" hidden="1">
      <c r="H267" s="40"/>
    </row>
    <row r="268" hidden="1">
      <c r="H268" s="40"/>
    </row>
    <row r="269" hidden="1">
      <c r="H269" s="40"/>
    </row>
    <row r="270" hidden="1">
      <c r="H270" s="40"/>
    </row>
    <row r="271" hidden="1">
      <c r="H271" s="40"/>
    </row>
    <row r="272" hidden="1">
      <c r="H272" s="40"/>
    </row>
    <row r="273" hidden="1">
      <c r="H273" s="40"/>
    </row>
    <row r="274" hidden="1">
      <c r="H274" s="40"/>
    </row>
    <row r="275" hidden="1">
      <c r="H275" s="40"/>
    </row>
    <row r="276" hidden="1">
      <c r="H276" s="40"/>
    </row>
    <row r="277" hidden="1">
      <c r="H277" s="40"/>
    </row>
    <row r="278" hidden="1">
      <c r="H278" s="40"/>
    </row>
    <row r="279" hidden="1">
      <c r="H279" s="40"/>
    </row>
    <row r="280" hidden="1">
      <c r="H280" s="40"/>
    </row>
    <row r="281" hidden="1">
      <c r="H281" s="40"/>
    </row>
    <row r="282" hidden="1">
      <c r="H282" s="40"/>
    </row>
    <row r="283" hidden="1">
      <c r="H283" s="40"/>
    </row>
    <row r="284" hidden="1">
      <c r="H284" s="40"/>
    </row>
    <row r="285" hidden="1">
      <c r="H285" s="40"/>
    </row>
    <row r="286" hidden="1">
      <c r="H286" s="40"/>
    </row>
    <row r="287" hidden="1">
      <c r="H287" s="40"/>
    </row>
    <row r="288" hidden="1">
      <c r="H288" s="40"/>
    </row>
    <row r="289" hidden="1">
      <c r="H289" s="40"/>
    </row>
    <row r="290" hidden="1">
      <c r="H290" s="40"/>
    </row>
    <row r="291" hidden="1">
      <c r="H291" s="40"/>
    </row>
    <row r="292" hidden="1">
      <c r="H292" s="40"/>
    </row>
    <row r="293" hidden="1">
      <c r="H293" s="40"/>
    </row>
    <row r="294" hidden="1">
      <c r="H294" s="40"/>
    </row>
    <row r="295" hidden="1">
      <c r="H295" s="40"/>
    </row>
    <row r="296" hidden="1">
      <c r="H296" s="40"/>
    </row>
    <row r="297" hidden="1">
      <c r="H297" s="40"/>
    </row>
    <row r="298" hidden="1">
      <c r="H298" s="40"/>
    </row>
    <row r="299" hidden="1">
      <c r="H299" s="40"/>
    </row>
    <row r="300" hidden="1">
      <c r="H300" s="40"/>
    </row>
    <row r="301" hidden="1">
      <c r="H301" s="40"/>
    </row>
    <row r="302" hidden="1">
      <c r="H302" s="40"/>
    </row>
    <row r="303" hidden="1">
      <c r="H303" s="40"/>
    </row>
    <row r="304" hidden="1">
      <c r="H304" s="40"/>
    </row>
    <row r="305" hidden="1">
      <c r="H305" s="40"/>
    </row>
    <row r="306" hidden="1">
      <c r="H306" s="40"/>
    </row>
    <row r="307" hidden="1">
      <c r="H307" s="40"/>
    </row>
    <row r="308" hidden="1">
      <c r="H308" s="40"/>
    </row>
    <row r="309" hidden="1">
      <c r="H309" s="40"/>
    </row>
    <row r="310" hidden="1">
      <c r="H310" s="40"/>
    </row>
    <row r="311" hidden="1">
      <c r="H311" s="40"/>
    </row>
    <row r="312" hidden="1">
      <c r="H312" s="40"/>
    </row>
    <row r="313" hidden="1">
      <c r="H313" s="40"/>
    </row>
    <row r="314" hidden="1">
      <c r="H314" s="40"/>
    </row>
    <row r="315" hidden="1">
      <c r="H315" s="40"/>
    </row>
    <row r="316" hidden="1">
      <c r="H316" s="40"/>
    </row>
    <row r="317" hidden="1">
      <c r="H317" s="40"/>
    </row>
    <row r="318" hidden="1">
      <c r="H318" s="40"/>
    </row>
    <row r="319" hidden="1">
      <c r="H319" s="40"/>
    </row>
    <row r="320" hidden="1">
      <c r="H320" s="40"/>
    </row>
    <row r="321" hidden="1">
      <c r="H321" s="40"/>
    </row>
    <row r="322" hidden="1">
      <c r="H322" s="40"/>
    </row>
    <row r="323" hidden="1">
      <c r="H323" s="40"/>
    </row>
    <row r="324" hidden="1">
      <c r="H324" s="40"/>
    </row>
    <row r="325" hidden="1">
      <c r="H325" s="40"/>
    </row>
    <row r="326" hidden="1">
      <c r="H326" s="40"/>
    </row>
    <row r="327" hidden="1">
      <c r="H327" s="40"/>
    </row>
    <row r="328" hidden="1">
      <c r="H328" s="40"/>
    </row>
    <row r="329" hidden="1">
      <c r="H329" s="40"/>
    </row>
    <row r="330" hidden="1">
      <c r="H330" s="40"/>
    </row>
    <row r="331" hidden="1">
      <c r="H331" s="40"/>
    </row>
    <row r="332" hidden="1">
      <c r="H332" s="40"/>
    </row>
    <row r="333" hidden="1">
      <c r="H333" s="40"/>
    </row>
    <row r="334" hidden="1">
      <c r="H334" s="40"/>
    </row>
    <row r="335" hidden="1">
      <c r="H335" s="40"/>
    </row>
    <row r="336" hidden="1">
      <c r="H336" s="40"/>
    </row>
    <row r="337" hidden="1">
      <c r="H337" s="40"/>
    </row>
    <row r="338" hidden="1">
      <c r="H338" s="40"/>
    </row>
    <row r="339" hidden="1">
      <c r="H339" s="40"/>
    </row>
    <row r="340" hidden="1">
      <c r="H340" s="40"/>
    </row>
    <row r="341" hidden="1">
      <c r="H341" s="40"/>
    </row>
    <row r="342" hidden="1">
      <c r="H342" s="40"/>
    </row>
    <row r="343" hidden="1">
      <c r="H343" s="40"/>
    </row>
    <row r="344" hidden="1">
      <c r="H344" s="40"/>
    </row>
    <row r="345" hidden="1">
      <c r="H345" s="40"/>
    </row>
    <row r="346" hidden="1">
      <c r="H346" s="40"/>
    </row>
    <row r="347" hidden="1">
      <c r="H347" s="40"/>
    </row>
    <row r="348" hidden="1">
      <c r="H348" s="40"/>
    </row>
    <row r="349" hidden="1">
      <c r="H349" s="40"/>
    </row>
    <row r="350" hidden="1">
      <c r="H350" s="40"/>
    </row>
    <row r="351" hidden="1">
      <c r="H351" s="40"/>
    </row>
    <row r="352" hidden="1">
      <c r="H352" s="40"/>
    </row>
    <row r="353" hidden="1">
      <c r="H353" s="40"/>
    </row>
    <row r="354" hidden="1">
      <c r="H354" s="40"/>
    </row>
    <row r="355" hidden="1">
      <c r="H355" s="40"/>
    </row>
    <row r="356" hidden="1">
      <c r="H356" s="40"/>
    </row>
    <row r="357" hidden="1">
      <c r="H357" s="40"/>
    </row>
    <row r="358" hidden="1">
      <c r="H358" s="40"/>
    </row>
    <row r="359" hidden="1">
      <c r="H359" s="40"/>
    </row>
    <row r="360" hidden="1">
      <c r="H360" s="40"/>
    </row>
    <row r="361" hidden="1">
      <c r="H361" s="40"/>
    </row>
    <row r="362" hidden="1">
      <c r="H362" s="40"/>
    </row>
    <row r="363" hidden="1">
      <c r="H363" s="40"/>
    </row>
    <row r="364" hidden="1">
      <c r="H364" s="40"/>
    </row>
    <row r="365" hidden="1">
      <c r="H365" s="40"/>
    </row>
    <row r="366" hidden="1">
      <c r="H366" s="40"/>
    </row>
    <row r="367" hidden="1">
      <c r="H367" s="40"/>
    </row>
    <row r="368" hidden="1">
      <c r="H368" s="40"/>
    </row>
    <row r="369" hidden="1">
      <c r="H369" s="40"/>
    </row>
    <row r="370" hidden="1">
      <c r="H370" s="40"/>
    </row>
    <row r="371" hidden="1">
      <c r="H371" s="40"/>
    </row>
    <row r="372" hidden="1">
      <c r="H372" s="40"/>
    </row>
    <row r="373" hidden="1">
      <c r="H373" s="40"/>
    </row>
    <row r="374" hidden="1">
      <c r="H374" s="40"/>
    </row>
    <row r="375" hidden="1">
      <c r="H375" s="40"/>
    </row>
    <row r="376" hidden="1">
      <c r="H376" s="40"/>
    </row>
    <row r="377" hidden="1">
      <c r="H377" s="40"/>
    </row>
    <row r="378" hidden="1">
      <c r="H378" s="40"/>
    </row>
    <row r="379" hidden="1">
      <c r="H379" s="40"/>
    </row>
    <row r="380" hidden="1">
      <c r="H380" s="40"/>
    </row>
    <row r="381" hidden="1">
      <c r="H381" s="40"/>
    </row>
    <row r="382" hidden="1">
      <c r="H382" s="40"/>
    </row>
    <row r="383" hidden="1">
      <c r="H383" s="40"/>
    </row>
    <row r="384" hidden="1">
      <c r="H384" s="40"/>
    </row>
    <row r="385" hidden="1">
      <c r="H385" s="40"/>
    </row>
    <row r="386" hidden="1">
      <c r="H386" s="40"/>
    </row>
    <row r="387" hidden="1">
      <c r="H387" s="40"/>
    </row>
    <row r="388" hidden="1">
      <c r="H388" s="40"/>
    </row>
    <row r="389" hidden="1">
      <c r="H389" s="40"/>
    </row>
    <row r="390" hidden="1">
      <c r="H390" s="40"/>
    </row>
    <row r="391" hidden="1">
      <c r="H391" s="40"/>
    </row>
    <row r="392" hidden="1">
      <c r="H392" s="40"/>
    </row>
    <row r="393" hidden="1">
      <c r="H393" s="40"/>
    </row>
    <row r="394" hidden="1">
      <c r="H394" s="40"/>
    </row>
    <row r="395" hidden="1">
      <c r="H395" s="40"/>
    </row>
    <row r="396" hidden="1">
      <c r="H396" s="40"/>
    </row>
    <row r="397" hidden="1">
      <c r="H397" s="40"/>
    </row>
    <row r="398" hidden="1">
      <c r="H398" s="40"/>
    </row>
    <row r="399" hidden="1">
      <c r="H399" s="40"/>
    </row>
    <row r="400" hidden="1">
      <c r="H400" s="40"/>
    </row>
    <row r="401" hidden="1">
      <c r="H401" s="40"/>
    </row>
    <row r="402" hidden="1">
      <c r="H402" s="40"/>
    </row>
    <row r="403" hidden="1">
      <c r="H403" s="40"/>
    </row>
    <row r="404" hidden="1">
      <c r="H404" s="40"/>
    </row>
    <row r="405" hidden="1">
      <c r="H405" s="40"/>
    </row>
    <row r="406" hidden="1">
      <c r="H406" s="40"/>
    </row>
    <row r="407" hidden="1">
      <c r="H407" s="40"/>
    </row>
    <row r="408" hidden="1">
      <c r="H408" s="40"/>
    </row>
    <row r="409" hidden="1">
      <c r="H409" s="40"/>
    </row>
    <row r="410" hidden="1">
      <c r="H410" s="40"/>
    </row>
    <row r="411" hidden="1">
      <c r="H411" s="40"/>
    </row>
    <row r="412" hidden="1">
      <c r="H412" s="40"/>
    </row>
    <row r="413" hidden="1">
      <c r="H413" s="40"/>
    </row>
    <row r="414" hidden="1">
      <c r="H414" s="40"/>
    </row>
    <row r="415" hidden="1">
      <c r="H415" s="40"/>
    </row>
    <row r="416" hidden="1">
      <c r="H416" s="40"/>
    </row>
    <row r="417" hidden="1">
      <c r="H417" s="40"/>
    </row>
    <row r="418" hidden="1">
      <c r="H418" s="40"/>
    </row>
    <row r="419" hidden="1">
      <c r="H419" s="40"/>
    </row>
    <row r="420" hidden="1">
      <c r="H420" s="40"/>
    </row>
    <row r="421" hidden="1">
      <c r="H421" s="40"/>
    </row>
    <row r="422" hidden="1">
      <c r="H422" s="40"/>
    </row>
    <row r="423" hidden="1">
      <c r="H423" s="40"/>
    </row>
    <row r="424" hidden="1">
      <c r="H424" s="40"/>
    </row>
    <row r="425" hidden="1">
      <c r="H425" s="40"/>
    </row>
    <row r="426" hidden="1">
      <c r="H426" s="40"/>
    </row>
    <row r="427" hidden="1">
      <c r="H427" s="40"/>
    </row>
    <row r="428" hidden="1">
      <c r="H428" s="40"/>
    </row>
    <row r="429" hidden="1">
      <c r="H429" s="40"/>
    </row>
    <row r="430" hidden="1">
      <c r="H430" s="40"/>
    </row>
    <row r="431" hidden="1">
      <c r="H431" s="40"/>
    </row>
    <row r="432" hidden="1">
      <c r="H432" s="40"/>
    </row>
    <row r="433" hidden="1">
      <c r="H433" s="40"/>
    </row>
    <row r="434" hidden="1">
      <c r="H434" s="40"/>
    </row>
    <row r="435" hidden="1">
      <c r="H435" s="40"/>
    </row>
    <row r="436" hidden="1">
      <c r="H436" s="40"/>
    </row>
    <row r="437" hidden="1">
      <c r="H437" s="40"/>
    </row>
    <row r="438" hidden="1">
      <c r="H438" s="40"/>
    </row>
    <row r="439" hidden="1">
      <c r="H439" s="40"/>
    </row>
    <row r="440" hidden="1">
      <c r="H440" s="40"/>
    </row>
    <row r="441" hidden="1">
      <c r="H441" s="40"/>
    </row>
    <row r="442" hidden="1">
      <c r="H442" s="40"/>
    </row>
    <row r="443" hidden="1">
      <c r="H443" s="40"/>
    </row>
    <row r="444" hidden="1">
      <c r="H444" s="40"/>
    </row>
    <row r="445" hidden="1">
      <c r="H445" s="40"/>
    </row>
    <row r="446" hidden="1">
      <c r="H446" s="40"/>
    </row>
    <row r="447" hidden="1">
      <c r="H447" s="40"/>
    </row>
    <row r="448" hidden="1">
      <c r="H448" s="40"/>
    </row>
    <row r="449" hidden="1">
      <c r="H449" s="40"/>
    </row>
    <row r="450" hidden="1">
      <c r="H450" s="40"/>
    </row>
    <row r="451" hidden="1">
      <c r="H451" s="40"/>
    </row>
    <row r="452" hidden="1">
      <c r="H452" s="40"/>
    </row>
    <row r="453" hidden="1">
      <c r="H453" s="40"/>
    </row>
    <row r="454" hidden="1">
      <c r="H454" s="40"/>
    </row>
    <row r="455" hidden="1">
      <c r="H455" s="40"/>
    </row>
    <row r="456" hidden="1">
      <c r="H456" s="40"/>
    </row>
    <row r="457" hidden="1">
      <c r="H457" s="40"/>
    </row>
    <row r="458" hidden="1">
      <c r="H458" s="40"/>
    </row>
    <row r="459" hidden="1">
      <c r="H459" s="40"/>
    </row>
    <row r="460" hidden="1">
      <c r="H460" s="40"/>
    </row>
    <row r="461" hidden="1">
      <c r="H461" s="40"/>
    </row>
    <row r="462" hidden="1">
      <c r="H462" s="40"/>
    </row>
    <row r="463" hidden="1">
      <c r="H463" s="40"/>
    </row>
    <row r="464" hidden="1">
      <c r="H464" s="40"/>
    </row>
    <row r="465" hidden="1">
      <c r="H465" s="40"/>
    </row>
    <row r="466" hidden="1">
      <c r="H466" s="40"/>
    </row>
    <row r="467" hidden="1">
      <c r="H467" s="40"/>
    </row>
    <row r="468" hidden="1">
      <c r="H468" s="40"/>
    </row>
    <row r="469" hidden="1">
      <c r="H469" s="40"/>
    </row>
    <row r="470" hidden="1">
      <c r="H470" s="40"/>
    </row>
    <row r="471" hidden="1">
      <c r="H471" s="40"/>
    </row>
    <row r="472" hidden="1">
      <c r="H472" s="40"/>
    </row>
    <row r="473" hidden="1">
      <c r="H473" s="40"/>
    </row>
    <row r="474" hidden="1">
      <c r="H474" s="40"/>
    </row>
    <row r="475" hidden="1">
      <c r="H475" s="40"/>
    </row>
    <row r="476" hidden="1">
      <c r="H476" s="40"/>
    </row>
    <row r="477" hidden="1">
      <c r="H477" s="40"/>
    </row>
    <row r="478" hidden="1">
      <c r="H478" s="40"/>
    </row>
    <row r="479" hidden="1">
      <c r="H479" s="40"/>
    </row>
    <row r="480" hidden="1">
      <c r="H480" s="40"/>
    </row>
    <row r="481" hidden="1">
      <c r="H481" s="40"/>
    </row>
    <row r="482" hidden="1">
      <c r="H482" s="40"/>
    </row>
    <row r="483" hidden="1">
      <c r="H483" s="40"/>
    </row>
    <row r="484" hidden="1">
      <c r="H484" s="40"/>
    </row>
    <row r="485" hidden="1">
      <c r="H485" s="40"/>
    </row>
    <row r="486" hidden="1">
      <c r="H486" s="40"/>
    </row>
    <row r="487" hidden="1">
      <c r="H487" s="40"/>
    </row>
    <row r="488" hidden="1">
      <c r="H488" s="40"/>
    </row>
    <row r="489" hidden="1">
      <c r="H489" s="40"/>
    </row>
    <row r="490" hidden="1">
      <c r="H490" s="40"/>
    </row>
    <row r="491" hidden="1">
      <c r="H491" s="40"/>
    </row>
    <row r="492" hidden="1">
      <c r="H492" s="40"/>
    </row>
    <row r="493" hidden="1">
      <c r="H493" s="40"/>
    </row>
    <row r="494" hidden="1">
      <c r="H494" s="40"/>
    </row>
    <row r="495" hidden="1">
      <c r="H495" s="40"/>
    </row>
    <row r="496" hidden="1">
      <c r="H496" s="40"/>
    </row>
    <row r="497" hidden="1">
      <c r="H497" s="40"/>
    </row>
    <row r="498" hidden="1">
      <c r="H498" s="40"/>
    </row>
    <row r="499" hidden="1">
      <c r="H499" s="40"/>
    </row>
    <row r="500" hidden="1">
      <c r="H500" s="40"/>
    </row>
    <row r="501" hidden="1">
      <c r="H501" s="40"/>
    </row>
    <row r="502" hidden="1">
      <c r="H502" s="40"/>
    </row>
    <row r="503" hidden="1">
      <c r="H503" s="40"/>
    </row>
    <row r="504" hidden="1">
      <c r="H504" s="40"/>
    </row>
    <row r="505" hidden="1">
      <c r="H505" s="40"/>
    </row>
    <row r="506" hidden="1">
      <c r="H506" s="40"/>
    </row>
    <row r="507" hidden="1">
      <c r="H507" s="40"/>
    </row>
    <row r="508" hidden="1">
      <c r="H508" s="40"/>
    </row>
    <row r="509" hidden="1">
      <c r="H509" s="40"/>
    </row>
    <row r="510" hidden="1">
      <c r="H510" s="40"/>
    </row>
    <row r="511" hidden="1">
      <c r="H511" s="40"/>
    </row>
    <row r="512" hidden="1">
      <c r="H512" s="40"/>
    </row>
    <row r="513" hidden="1">
      <c r="H513" s="40"/>
    </row>
    <row r="514" hidden="1">
      <c r="H514" s="40"/>
    </row>
    <row r="515" hidden="1">
      <c r="H515" s="40"/>
    </row>
    <row r="516" hidden="1">
      <c r="H516" s="40"/>
    </row>
    <row r="517" hidden="1">
      <c r="H517" s="40"/>
    </row>
    <row r="518" hidden="1">
      <c r="H518" s="40"/>
    </row>
    <row r="519" hidden="1">
      <c r="H519" s="40"/>
    </row>
    <row r="520" hidden="1">
      <c r="H520" s="40"/>
    </row>
    <row r="521" hidden="1">
      <c r="H521" s="40"/>
    </row>
    <row r="522" hidden="1">
      <c r="H522" s="40"/>
    </row>
    <row r="523" hidden="1">
      <c r="H523" s="40"/>
    </row>
    <row r="524" hidden="1">
      <c r="H524" s="40"/>
    </row>
    <row r="525" hidden="1">
      <c r="H525" s="40"/>
    </row>
    <row r="526" hidden="1">
      <c r="H526" s="40"/>
    </row>
    <row r="527" hidden="1">
      <c r="H527" s="40"/>
    </row>
    <row r="528" hidden="1">
      <c r="H528" s="40"/>
    </row>
    <row r="529" hidden="1">
      <c r="H529" s="40"/>
    </row>
    <row r="530" hidden="1">
      <c r="H530" s="40"/>
    </row>
    <row r="531" hidden="1">
      <c r="H531" s="40"/>
    </row>
    <row r="532" hidden="1">
      <c r="H532" s="40"/>
    </row>
    <row r="533" hidden="1">
      <c r="H533" s="40"/>
    </row>
    <row r="534" hidden="1">
      <c r="H534" s="40"/>
    </row>
    <row r="535" hidden="1">
      <c r="H535" s="40"/>
    </row>
    <row r="536" hidden="1">
      <c r="H536" s="40"/>
    </row>
    <row r="537" hidden="1">
      <c r="H537" s="40"/>
    </row>
    <row r="538" hidden="1">
      <c r="H538" s="40"/>
    </row>
    <row r="539" hidden="1">
      <c r="H539" s="40"/>
    </row>
    <row r="540" hidden="1">
      <c r="H540" s="40"/>
    </row>
    <row r="541" hidden="1">
      <c r="H541" s="40"/>
    </row>
    <row r="542" hidden="1">
      <c r="H542" s="40"/>
    </row>
    <row r="543" hidden="1">
      <c r="H543" s="40"/>
    </row>
    <row r="544" hidden="1">
      <c r="H544" s="40"/>
    </row>
    <row r="545" hidden="1">
      <c r="H545" s="40"/>
    </row>
    <row r="546" hidden="1">
      <c r="H546" s="40"/>
    </row>
    <row r="547" hidden="1">
      <c r="H547" s="40"/>
    </row>
    <row r="548" hidden="1">
      <c r="H548" s="40"/>
    </row>
    <row r="549" hidden="1">
      <c r="H549" s="40"/>
    </row>
    <row r="550" hidden="1">
      <c r="H550" s="40"/>
    </row>
    <row r="551" hidden="1">
      <c r="H551" s="40"/>
    </row>
    <row r="552" hidden="1">
      <c r="H552" s="40"/>
    </row>
    <row r="553" hidden="1">
      <c r="H553" s="40"/>
    </row>
    <row r="554" hidden="1">
      <c r="H554" s="40"/>
    </row>
    <row r="555" hidden="1">
      <c r="H555" s="40"/>
    </row>
    <row r="556" hidden="1">
      <c r="H556" s="40"/>
    </row>
    <row r="557" hidden="1">
      <c r="H557" s="40"/>
    </row>
    <row r="558" hidden="1">
      <c r="H558" s="40"/>
    </row>
    <row r="559" hidden="1">
      <c r="H559" s="40"/>
    </row>
    <row r="560" hidden="1">
      <c r="H560" s="40"/>
    </row>
    <row r="561" hidden="1">
      <c r="H561" s="40"/>
    </row>
    <row r="562" hidden="1">
      <c r="H562" s="40"/>
    </row>
    <row r="563" hidden="1">
      <c r="H563" s="40"/>
    </row>
    <row r="564" hidden="1">
      <c r="H564" s="40"/>
    </row>
    <row r="565" hidden="1">
      <c r="H565" s="40"/>
    </row>
    <row r="566" hidden="1">
      <c r="H566" s="40"/>
    </row>
    <row r="567" hidden="1">
      <c r="H567" s="40"/>
    </row>
    <row r="568" hidden="1">
      <c r="H568" s="40"/>
    </row>
    <row r="569" hidden="1">
      <c r="H569" s="40"/>
    </row>
    <row r="570" hidden="1">
      <c r="H570" s="40"/>
    </row>
    <row r="571" hidden="1">
      <c r="H571" s="40"/>
    </row>
    <row r="572" hidden="1">
      <c r="H572" s="40"/>
    </row>
    <row r="573" hidden="1">
      <c r="H573" s="40"/>
    </row>
    <row r="574" hidden="1">
      <c r="H574" s="40"/>
    </row>
    <row r="575" hidden="1">
      <c r="H575" s="40"/>
    </row>
    <row r="576" hidden="1">
      <c r="H576" s="40"/>
    </row>
    <row r="577" hidden="1">
      <c r="H577" s="40"/>
    </row>
    <row r="578" hidden="1">
      <c r="H578" s="40"/>
    </row>
    <row r="579" hidden="1">
      <c r="H579" s="40"/>
    </row>
    <row r="580" hidden="1">
      <c r="H580" s="40"/>
    </row>
    <row r="581" hidden="1">
      <c r="H581" s="40"/>
    </row>
    <row r="582" hidden="1">
      <c r="H582" s="40"/>
    </row>
    <row r="583" hidden="1">
      <c r="H583" s="40"/>
    </row>
    <row r="584" hidden="1">
      <c r="H584" s="40"/>
    </row>
    <row r="585" hidden="1">
      <c r="H585" s="40"/>
    </row>
    <row r="586" hidden="1">
      <c r="H586" s="40"/>
    </row>
    <row r="587" hidden="1">
      <c r="H587" s="40"/>
    </row>
    <row r="588" hidden="1">
      <c r="H588" s="40"/>
    </row>
    <row r="589" hidden="1">
      <c r="H589" s="40"/>
    </row>
    <row r="590" hidden="1">
      <c r="H590" s="40"/>
    </row>
    <row r="591" hidden="1">
      <c r="H591" s="40"/>
    </row>
    <row r="592" hidden="1">
      <c r="H592" s="40"/>
    </row>
    <row r="593" hidden="1">
      <c r="H593" s="40"/>
    </row>
    <row r="594" hidden="1">
      <c r="H594" s="40"/>
    </row>
    <row r="595" hidden="1">
      <c r="H595" s="40"/>
    </row>
    <row r="596" hidden="1">
      <c r="H596" s="40"/>
    </row>
    <row r="597" hidden="1">
      <c r="H597" s="40"/>
    </row>
    <row r="598" hidden="1">
      <c r="H598" s="40"/>
    </row>
    <row r="599" hidden="1">
      <c r="H599" s="40"/>
    </row>
    <row r="600" hidden="1">
      <c r="H600" s="40"/>
    </row>
    <row r="601" hidden="1">
      <c r="H601" s="40"/>
    </row>
    <row r="602" hidden="1">
      <c r="H602" s="40"/>
    </row>
    <row r="603" hidden="1">
      <c r="H603" s="40"/>
    </row>
    <row r="604" hidden="1">
      <c r="H604" s="40"/>
    </row>
    <row r="605" hidden="1">
      <c r="H605" s="40"/>
    </row>
    <row r="606" hidden="1">
      <c r="H606" s="40"/>
    </row>
    <row r="607" hidden="1">
      <c r="H607" s="40"/>
    </row>
    <row r="608" hidden="1">
      <c r="H608" s="40"/>
    </row>
    <row r="609" hidden="1">
      <c r="H609" s="40"/>
    </row>
    <row r="610" hidden="1">
      <c r="H610" s="40"/>
    </row>
    <row r="611" hidden="1">
      <c r="H611" s="40"/>
    </row>
    <row r="612" hidden="1">
      <c r="H612" s="40"/>
    </row>
    <row r="613" hidden="1">
      <c r="H613" s="40"/>
    </row>
    <row r="614" hidden="1">
      <c r="H614" s="40"/>
    </row>
    <row r="615" hidden="1">
      <c r="H615" s="40"/>
    </row>
    <row r="616" hidden="1">
      <c r="H616" s="40"/>
    </row>
    <row r="617" hidden="1">
      <c r="H617" s="40"/>
    </row>
    <row r="618" hidden="1">
      <c r="H618" s="40"/>
    </row>
    <row r="619" hidden="1">
      <c r="H619" s="40"/>
    </row>
    <row r="620" hidden="1">
      <c r="H620" s="40"/>
    </row>
    <row r="621" hidden="1">
      <c r="H621" s="40"/>
    </row>
    <row r="622" hidden="1">
      <c r="H622" s="40"/>
    </row>
    <row r="623" hidden="1">
      <c r="H623" s="40"/>
    </row>
    <row r="624" hidden="1">
      <c r="H624" s="40"/>
    </row>
    <row r="625" hidden="1">
      <c r="H625" s="40"/>
    </row>
    <row r="626" hidden="1">
      <c r="H626" s="40"/>
    </row>
    <row r="627" hidden="1">
      <c r="H627" s="40"/>
    </row>
    <row r="628" hidden="1">
      <c r="H628" s="40"/>
    </row>
    <row r="629" hidden="1">
      <c r="H629" s="40"/>
    </row>
    <row r="630" hidden="1">
      <c r="H630" s="40"/>
    </row>
    <row r="631" hidden="1">
      <c r="H631" s="40"/>
    </row>
    <row r="632" hidden="1">
      <c r="H632" s="40"/>
    </row>
    <row r="633" hidden="1">
      <c r="H633" s="40"/>
    </row>
    <row r="634" hidden="1">
      <c r="H634" s="40"/>
    </row>
    <row r="635" hidden="1">
      <c r="H635" s="40"/>
    </row>
    <row r="636" hidden="1">
      <c r="H636" s="40"/>
    </row>
    <row r="637" hidden="1">
      <c r="H637" s="40"/>
    </row>
    <row r="638" hidden="1">
      <c r="H638" s="40"/>
    </row>
    <row r="639" hidden="1">
      <c r="H639" s="40"/>
    </row>
    <row r="640" hidden="1">
      <c r="H640" s="40"/>
    </row>
    <row r="641" hidden="1">
      <c r="H641" s="40"/>
    </row>
    <row r="642" hidden="1">
      <c r="H642" s="40"/>
    </row>
    <row r="643" hidden="1">
      <c r="H643" s="40"/>
    </row>
    <row r="644" hidden="1">
      <c r="H644" s="40"/>
    </row>
    <row r="645" hidden="1">
      <c r="H645" s="40"/>
    </row>
    <row r="646" hidden="1">
      <c r="H646" s="40"/>
    </row>
    <row r="647" hidden="1">
      <c r="H647" s="40"/>
    </row>
    <row r="648" hidden="1">
      <c r="H648" s="40"/>
    </row>
    <row r="649" hidden="1">
      <c r="H649" s="40"/>
    </row>
    <row r="650" hidden="1">
      <c r="H650" s="40"/>
    </row>
    <row r="651" hidden="1">
      <c r="H651" s="40"/>
    </row>
    <row r="652" hidden="1">
      <c r="H652" s="40"/>
    </row>
    <row r="653" hidden="1">
      <c r="H653" s="40"/>
    </row>
    <row r="654" hidden="1">
      <c r="H654" s="40"/>
    </row>
    <row r="655" hidden="1">
      <c r="H655" s="40"/>
    </row>
    <row r="656" hidden="1">
      <c r="H656" s="40"/>
    </row>
    <row r="657" hidden="1">
      <c r="H657" s="40"/>
    </row>
    <row r="658" hidden="1">
      <c r="H658" s="40"/>
    </row>
    <row r="659" hidden="1">
      <c r="H659" s="40"/>
    </row>
    <row r="660" hidden="1">
      <c r="H660" s="40"/>
    </row>
    <row r="661" hidden="1">
      <c r="H661" s="40"/>
    </row>
    <row r="662" hidden="1">
      <c r="H662" s="40"/>
    </row>
    <row r="663" hidden="1">
      <c r="H663" s="40"/>
    </row>
    <row r="664" hidden="1">
      <c r="H664" s="40"/>
    </row>
    <row r="665" hidden="1">
      <c r="H665" s="40"/>
    </row>
    <row r="666" hidden="1">
      <c r="H666" s="40"/>
    </row>
    <row r="667" hidden="1">
      <c r="H667" s="40"/>
    </row>
    <row r="668" hidden="1">
      <c r="H668" s="40"/>
    </row>
    <row r="669" hidden="1">
      <c r="H669" s="40"/>
    </row>
    <row r="670" hidden="1">
      <c r="H670" s="40"/>
    </row>
    <row r="671" hidden="1">
      <c r="H671" s="40"/>
    </row>
    <row r="672" hidden="1">
      <c r="H672" s="40"/>
    </row>
    <row r="673" hidden="1">
      <c r="H673" s="40"/>
    </row>
    <row r="674" hidden="1">
      <c r="H674" s="40"/>
    </row>
    <row r="675" hidden="1">
      <c r="H675" s="40"/>
    </row>
    <row r="676" hidden="1">
      <c r="H676" s="40"/>
    </row>
    <row r="677" hidden="1">
      <c r="H677" s="40"/>
    </row>
    <row r="678" hidden="1">
      <c r="H678" s="40"/>
    </row>
    <row r="679" hidden="1">
      <c r="H679" s="40"/>
    </row>
    <row r="680" hidden="1">
      <c r="H680" s="40"/>
    </row>
    <row r="681" hidden="1">
      <c r="H681" s="40"/>
    </row>
    <row r="682" hidden="1">
      <c r="H682" s="40"/>
    </row>
    <row r="683" hidden="1">
      <c r="H683" s="40"/>
    </row>
    <row r="684" hidden="1">
      <c r="H684" s="40"/>
    </row>
    <row r="685" hidden="1">
      <c r="H685" s="40"/>
    </row>
    <row r="686" hidden="1">
      <c r="H686" s="40"/>
    </row>
    <row r="687" hidden="1">
      <c r="H687" s="40"/>
    </row>
    <row r="688" hidden="1">
      <c r="H688" s="40"/>
    </row>
    <row r="689" hidden="1">
      <c r="H689" s="40"/>
    </row>
    <row r="690" hidden="1">
      <c r="H690" s="40"/>
    </row>
    <row r="691" hidden="1">
      <c r="H691" s="40"/>
    </row>
    <row r="692" hidden="1">
      <c r="H692" s="40"/>
    </row>
    <row r="693" hidden="1">
      <c r="H693" s="40"/>
    </row>
    <row r="694" hidden="1">
      <c r="H694" s="40"/>
    </row>
    <row r="695" hidden="1">
      <c r="H695" s="40"/>
    </row>
    <row r="696" hidden="1">
      <c r="H696" s="40"/>
    </row>
    <row r="697" hidden="1">
      <c r="H697" s="40"/>
    </row>
    <row r="698" hidden="1">
      <c r="H698" s="40"/>
    </row>
    <row r="699" hidden="1">
      <c r="H699" s="40"/>
    </row>
    <row r="700" hidden="1">
      <c r="H700" s="40"/>
    </row>
    <row r="701" hidden="1">
      <c r="H701" s="40"/>
    </row>
    <row r="702" hidden="1">
      <c r="H702" s="40"/>
    </row>
    <row r="703" hidden="1">
      <c r="H703" s="40"/>
    </row>
    <row r="704" hidden="1">
      <c r="H704" s="40"/>
    </row>
    <row r="705" hidden="1">
      <c r="H705" s="40"/>
    </row>
    <row r="706" hidden="1">
      <c r="H706" s="40"/>
    </row>
    <row r="707" hidden="1">
      <c r="H707" s="40"/>
    </row>
    <row r="708" hidden="1">
      <c r="H708" s="40"/>
    </row>
    <row r="709" hidden="1">
      <c r="H709" s="40"/>
    </row>
    <row r="710" hidden="1">
      <c r="H710" s="40"/>
    </row>
    <row r="711" hidden="1">
      <c r="H711" s="40"/>
    </row>
    <row r="712" hidden="1">
      <c r="H712" s="40"/>
    </row>
    <row r="713" hidden="1">
      <c r="H713" s="40"/>
    </row>
    <row r="714" hidden="1">
      <c r="H714" s="40"/>
    </row>
    <row r="715" hidden="1">
      <c r="H715" s="40"/>
    </row>
    <row r="716" hidden="1">
      <c r="H716" s="40"/>
    </row>
    <row r="717" hidden="1">
      <c r="H717" s="40"/>
    </row>
    <row r="718" hidden="1">
      <c r="H718" s="40"/>
    </row>
    <row r="719" hidden="1">
      <c r="H719" s="40"/>
    </row>
    <row r="720" hidden="1">
      <c r="H720" s="40"/>
    </row>
    <row r="721" hidden="1">
      <c r="H721" s="40"/>
    </row>
    <row r="722" hidden="1">
      <c r="H722" s="40"/>
    </row>
    <row r="723" hidden="1">
      <c r="H723" s="40"/>
    </row>
    <row r="724" hidden="1">
      <c r="H724" s="40"/>
    </row>
    <row r="725" hidden="1">
      <c r="H725" s="40"/>
    </row>
    <row r="726" hidden="1">
      <c r="H726" s="40"/>
    </row>
    <row r="727" hidden="1">
      <c r="H727" s="40"/>
    </row>
    <row r="728" hidden="1">
      <c r="H728" s="40"/>
    </row>
    <row r="729" hidden="1">
      <c r="H729" s="40"/>
    </row>
    <row r="730" hidden="1">
      <c r="H730" s="40"/>
    </row>
    <row r="731" hidden="1">
      <c r="H731" s="40"/>
    </row>
    <row r="732" hidden="1">
      <c r="H732" s="40"/>
    </row>
    <row r="733" hidden="1">
      <c r="H733" s="40"/>
    </row>
    <row r="734" hidden="1">
      <c r="H734" s="40"/>
    </row>
    <row r="735" hidden="1">
      <c r="H735" s="40"/>
    </row>
    <row r="736" hidden="1">
      <c r="H736" s="40"/>
    </row>
    <row r="737" hidden="1">
      <c r="H737" s="40"/>
    </row>
    <row r="738" hidden="1">
      <c r="H738" s="40"/>
    </row>
    <row r="739" hidden="1">
      <c r="H739" s="40"/>
    </row>
    <row r="740" hidden="1">
      <c r="H740" s="40"/>
    </row>
    <row r="741" hidden="1">
      <c r="H741" s="40"/>
    </row>
    <row r="742" hidden="1">
      <c r="H742" s="40"/>
    </row>
    <row r="743" hidden="1">
      <c r="H743" s="40"/>
    </row>
    <row r="744" hidden="1">
      <c r="H744" s="40"/>
    </row>
    <row r="745" hidden="1">
      <c r="H745" s="40"/>
    </row>
    <row r="746" hidden="1">
      <c r="H746" s="40"/>
    </row>
    <row r="747" hidden="1">
      <c r="H747" s="40"/>
    </row>
    <row r="748" hidden="1">
      <c r="H748" s="40"/>
    </row>
    <row r="749" hidden="1">
      <c r="H749" s="40"/>
    </row>
    <row r="750" hidden="1">
      <c r="H750" s="40"/>
    </row>
    <row r="751" hidden="1">
      <c r="H751" s="40"/>
    </row>
    <row r="752" hidden="1">
      <c r="H752" s="40"/>
    </row>
    <row r="753" hidden="1">
      <c r="H753" s="40"/>
    </row>
    <row r="754" hidden="1">
      <c r="H754" s="40"/>
    </row>
    <row r="755" hidden="1">
      <c r="H755" s="40"/>
    </row>
    <row r="756" hidden="1">
      <c r="H756" s="40"/>
    </row>
    <row r="757" hidden="1">
      <c r="H757" s="40"/>
    </row>
    <row r="758" hidden="1">
      <c r="H758" s="40"/>
    </row>
    <row r="759" hidden="1">
      <c r="H759" s="40"/>
    </row>
    <row r="760" hidden="1">
      <c r="H760" s="40"/>
    </row>
    <row r="761" hidden="1">
      <c r="H761" s="40"/>
    </row>
    <row r="762" hidden="1">
      <c r="H762" s="40"/>
    </row>
    <row r="763" hidden="1">
      <c r="H763" s="40"/>
    </row>
    <row r="764" hidden="1">
      <c r="H764" s="40"/>
    </row>
    <row r="765" hidden="1">
      <c r="H765" s="40"/>
    </row>
    <row r="766" hidden="1">
      <c r="H766" s="40"/>
    </row>
    <row r="767" hidden="1">
      <c r="H767" s="40"/>
    </row>
    <row r="768" hidden="1">
      <c r="H768" s="40"/>
    </row>
    <row r="769" hidden="1">
      <c r="H769" s="40"/>
    </row>
    <row r="770" hidden="1">
      <c r="H770" s="40"/>
    </row>
    <row r="771" hidden="1">
      <c r="H771" s="40"/>
    </row>
    <row r="772" hidden="1">
      <c r="H772" s="40"/>
    </row>
    <row r="773" hidden="1">
      <c r="H773" s="40"/>
    </row>
    <row r="774" hidden="1">
      <c r="H774" s="40"/>
    </row>
    <row r="775" hidden="1">
      <c r="H775" s="40"/>
    </row>
    <row r="776" hidden="1">
      <c r="H776" s="40"/>
    </row>
    <row r="777" hidden="1">
      <c r="H777" s="40"/>
    </row>
    <row r="778" hidden="1">
      <c r="H778" s="40"/>
    </row>
    <row r="779" hidden="1">
      <c r="H779" s="40"/>
    </row>
    <row r="780" hidden="1">
      <c r="H780" s="40"/>
    </row>
    <row r="781" hidden="1">
      <c r="H781" s="40"/>
    </row>
    <row r="782" hidden="1">
      <c r="H782" s="40"/>
    </row>
    <row r="783" hidden="1">
      <c r="H783" s="40"/>
    </row>
    <row r="784" hidden="1">
      <c r="H784" s="40"/>
    </row>
    <row r="785" hidden="1">
      <c r="H785" s="40"/>
    </row>
    <row r="786" hidden="1">
      <c r="H786" s="40"/>
    </row>
    <row r="787" hidden="1">
      <c r="H787" s="40"/>
    </row>
    <row r="788" hidden="1">
      <c r="H788" s="40"/>
    </row>
    <row r="789" hidden="1">
      <c r="H789" s="40"/>
    </row>
    <row r="790" hidden="1">
      <c r="H790" s="40"/>
    </row>
    <row r="791" hidden="1">
      <c r="H791" s="40"/>
    </row>
    <row r="792" hidden="1">
      <c r="H792" s="40"/>
    </row>
    <row r="793" hidden="1">
      <c r="H793" s="40"/>
    </row>
    <row r="794" hidden="1">
      <c r="H794" s="40"/>
    </row>
    <row r="795" hidden="1">
      <c r="H795" s="40"/>
    </row>
    <row r="796" hidden="1">
      <c r="H796" s="40"/>
    </row>
    <row r="797" hidden="1">
      <c r="H797" s="40"/>
    </row>
    <row r="798" hidden="1">
      <c r="H798" s="40"/>
    </row>
    <row r="799" hidden="1">
      <c r="H799" s="40"/>
    </row>
    <row r="800" hidden="1">
      <c r="H800" s="40"/>
    </row>
    <row r="801" hidden="1">
      <c r="H801" s="40"/>
    </row>
    <row r="802" hidden="1">
      <c r="H802" s="40"/>
    </row>
    <row r="803" hidden="1">
      <c r="H803" s="40"/>
    </row>
    <row r="804" hidden="1">
      <c r="H804" s="40"/>
    </row>
    <row r="805" hidden="1">
      <c r="H805" s="40"/>
    </row>
    <row r="806" hidden="1">
      <c r="H806" s="40"/>
    </row>
    <row r="807" hidden="1">
      <c r="H807" s="40"/>
    </row>
    <row r="808" hidden="1">
      <c r="H808" s="40"/>
    </row>
    <row r="809" hidden="1">
      <c r="H809" s="40"/>
    </row>
    <row r="810" hidden="1">
      <c r="H810" s="40"/>
    </row>
    <row r="811" hidden="1">
      <c r="H811" s="40"/>
    </row>
    <row r="812" hidden="1">
      <c r="H812" s="40"/>
    </row>
    <row r="813" hidden="1">
      <c r="H813" s="40"/>
    </row>
    <row r="814" hidden="1">
      <c r="H814" s="40"/>
    </row>
    <row r="815" hidden="1">
      <c r="H815" s="40"/>
    </row>
    <row r="816" hidden="1">
      <c r="H816" s="40"/>
    </row>
    <row r="817" hidden="1">
      <c r="H817" s="40"/>
    </row>
    <row r="818" hidden="1">
      <c r="H818" s="40"/>
    </row>
    <row r="819" hidden="1">
      <c r="H819" s="40"/>
    </row>
    <row r="820" hidden="1">
      <c r="H820" s="40"/>
    </row>
    <row r="821" hidden="1">
      <c r="H821" s="40"/>
    </row>
    <row r="822" hidden="1">
      <c r="H822" s="40"/>
    </row>
    <row r="823" hidden="1">
      <c r="H823" s="40"/>
    </row>
    <row r="824" hidden="1">
      <c r="H824" s="40"/>
    </row>
    <row r="825" hidden="1">
      <c r="H825" s="40"/>
    </row>
    <row r="826" hidden="1">
      <c r="H826" s="40"/>
    </row>
    <row r="827" hidden="1">
      <c r="H827" s="40"/>
    </row>
    <row r="828" hidden="1">
      <c r="H828" s="40"/>
    </row>
    <row r="829" hidden="1">
      <c r="H829" s="40"/>
    </row>
    <row r="830" hidden="1">
      <c r="H830" s="40"/>
    </row>
    <row r="831" hidden="1">
      <c r="H831" s="40"/>
    </row>
    <row r="832" hidden="1">
      <c r="H832" s="40"/>
    </row>
    <row r="833" hidden="1">
      <c r="H833" s="40"/>
    </row>
    <row r="834" hidden="1">
      <c r="H834" s="40"/>
    </row>
    <row r="835" hidden="1">
      <c r="H835" s="40"/>
    </row>
    <row r="836" hidden="1">
      <c r="H836" s="40"/>
    </row>
    <row r="837" hidden="1">
      <c r="H837" s="40"/>
    </row>
    <row r="838" hidden="1">
      <c r="H838" s="40"/>
    </row>
    <row r="839" hidden="1">
      <c r="H839" s="40"/>
    </row>
    <row r="840" hidden="1">
      <c r="H840" s="40"/>
    </row>
    <row r="841" hidden="1">
      <c r="H841" s="40"/>
    </row>
    <row r="842" hidden="1">
      <c r="H842" s="40"/>
    </row>
    <row r="843" hidden="1">
      <c r="H843" s="40"/>
    </row>
    <row r="844" hidden="1">
      <c r="H844" s="40"/>
    </row>
    <row r="845" hidden="1">
      <c r="H845" s="40"/>
    </row>
    <row r="846" hidden="1">
      <c r="H846" s="40"/>
    </row>
    <row r="847" hidden="1">
      <c r="H847" s="40"/>
    </row>
    <row r="848" hidden="1">
      <c r="H848" s="40"/>
    </row>
    <row r="849" hidden="1">
      <c r="H849" s="40"/>
    </row>
    <row r="850" hidden="1">
      <c r="H850" s="40"/>
    </row>
    <row r="851" hidden="1">
      <c r="H851" s="40"/>
    </row>
    <row r="852" hidden="1">
      <c r="H852" s="40"/>
    </row>
    <row r="853" hidden="1">
      <c r="H853" s="40"/>
    </row>
    <row r="854" hidden="1">
      <c r="H854" s="40"/>
    </row>
    <row r="855" hidden="1">
      <c r="H855" s="40"/>
    </row>
    <row r="856" hidden="1">
      <c r="H856" s="40"/>
    </row>
    <row r="857" hidden="1">
      <c r="H857" s="40"/>
    </row>
    <row r="858" hidden="1">
      <c r="H858" s="40"/>
    </row>
    <row r="859" hidden="1">
      <c r="H859" s="40"/>
    </row>
    <row r="860" hidden="1">
      <c r="H860" s="40"/>
    </row>
    <row r="861" hidden="1">
      <c r="H861" s="40"/>
    </row>
    <row r="862" hidden="1">
      <c r="H862" s="40"/>
    </row>
    <row r="863" hidden="1">
      <c r="H863" s="40"/>
    </row>
    <row r="864" hidden="1">
      <c r="H864" s="40"/>
    </row>
    <row r="865" hidden="1">
      <c r="H865" s="40"/>
    </row>
    <row r="866" hidden="1">
      <c r="H866" s="40"/>
    </row>
    <row r="867" hidden="1">
      <c r="H867" s="40"/>
    </row>
    <row r="868" hidden="1">
      <c r="H868" s="40"/>
    </row>
    <row r="869" hidden="1">
      <c r="H869" s="40"/>
    </row>
    <row r="870" hidden="1">
      <c r="H870" s="40"/>
    </row>
    <row r="871" hidden="1">
      <c r="H871" s="40"/>
    </row>
    <row r="872" hidden="1">
      <c r="H872" s="40"/>
    </row>
    <row r="873" hidden="1">
      <c r="H873" s="40"/>
    </row>
    <row r="874" hidden="1">
      <c r="H874" s="40"/>
    </row>
    <row r="875" hidden="1">
      <c r="H875" s="40"/>
    </row>
    <row r="876" hidden="1">
      <c r="H876" s="40"/>
    </row>
    <row r="877" hidden="1">
      <c r="H877" s="40"/>
    </row>
    <row r="878" hidden="1">
      <c r="H878" s="40"/>
    </row>
    <row r="879" hidden="1">
      <c r="H879" s="40"/>
    </row>
    <row r="880" hidden="1">
      <c r="H880" s="40"/>
    </row>
    <row r="881" hidden="1">
      <c r="H881" s="40"/>
    </row>
    <row r="882" hidden="1">
      <c r="H882" s="40"/>
    </row>
    <row r="883" hidden="1">
      <c r="H883" s="40"/>
    </row>
    <row r="884" hidden="1">
      <c r="H884" s="40"/>
    </row>
    <row r="885" hidden="1">
      <c r="H885" s="40"/>
    </row>
    <row r="886" hidden="1">
      <c r="H886" s="40"/>
    </row>
    <row r="887" hidden="1">
      <c r="H887" s="40"/>
    </row>
    <row r="888" hidden="1">
      <c r="H888" s="40"/>
    </row>
    <row r="889" hidden="1">
      <c r="H889" s="40"/>
    </row>
    <row r="890" hidden="1">
      <c r="H890" s="40"/>
    </row>
    <row r="891" hidden="1">
      <c r="H891" s="40"/>
    </row>
    <row r="892" hidden="1">
      <c r="H892" s="40"/>
    </row>
    <row r="893" hidden="1">
      <c r="H893" s="40"/>
    </row>
    <row r="894" hidden="1">
      <c r="H894" s="40"/>
    </row>
    <row r="895" hidden="1">
      <c r="H895" s="40"/>
    </row>
    <row r="896" hidden="1">
      <c r="H896" s="40"/>
    </row>
    <row r="897" hidden="1">
      <c r="H897" s="40"/>
    </row>
    <row r="898" hidden="1">
      <c r="H898" s="40"/>
    </row>
    <row r="899" hidden="1">
      <c r="H899" s="40"/>
    </row>
    <row r="900" hidden="1">
      <c r="H900" s="40"/>
    </row>
    <row r="901" hidden="1">
      <c r="H901" s="40"/>
    </row>
    <row r="902" hidden="1">
      <c r="H902" s="40"/>
    </row>
    <row r="903" hidden="1">
      <c r="H903" s="40"/>
    </row>
    <row r="904" hidden="1">
      <c r="H904" s="40"/>
    </row>
    <row r="905" hidden="1">
      <c r="H905" s="40"/>
    </row>
    <row r="906" hidden="1">
      <c r="H906" s="40"/>
    </row>
    <row r="907" hidden="1">
      <c r="H907" s="40"/>
    </row>
    <row r="908" hidden="1">
      <c r="H908" s="40"/>
    </row>
    <row r="909" hidden="1">
      <c r="H909" s="40"/>
    </row>
    <row r="910" hidden="1">
      <c r="H910" s="40"/>
    </row>
    <row r="911" hidden="1">
      <c r="H911" s="40"/>
    </row>
    <row r="912" hidden="1">
      <c r="H912" s="40"/>
    </row>
    <row r="913" hidden="1">
      <c r="H913" s="40"/>
    </row>
    <row r="914" hidden="1">
      <c r="H914" s="40"/>
    </row>
    <row r="915" hidden="1">
      <c r="H915" s="40"/>
    </row>
    <row r="916" hidden="1">
      <c r="H916" s="40"/>
    </row>
    <row r="917" hidden="1">
      <c r="H917" s="40"/>
    </row>
    <row r="918" hidden="1">
      <c r="H918" s="40"/>
    </row>
    <row r="919" hidden="1">
      <c r="H919" s="40"/>
    </row>
    <row r="920" hidden="1">
      <c r="H920" s="40"/>
    </row>
    <row r="921" hidden="1">
      <c r="H921" s="40"/>
    </row>
    <row r="922" hidden="1">
      <c r="H922" s="40"/>
    </row>
    <row r="923" hidden="1">
      <c r="H923" s="40"/>
    </row>
    <row r="924" hidden="1">
      <c r="H924" s="40"/>
    </row>
    <row r="925" hidden="1">
      <c r="H925" s="40"/>
    </row>
    <row r="926" hidden="1">
      <c r="H926" s="40"/>
    </row>
    <row r="927" hidden="1">
      <c r="H927" s="40"/>
    </row>
    <row r="928" hidden="1">
      <c r="H928" s="40"/>
    </row>
    <row r="929" hidden="1">
      <c r="H929" s="40"/>
    </row>
    <row r="930" hidden="1">
      <c r="H930" s="40"/>
    </row>
    <row r="931" hidden="1">
      <c r="H931" s="40"/>
    </row>
    <row r="932" hidden="1">
      <c r="H932" s="40"/>
    </row>
    <row r="933" hidden="1">
      <c r="H933" s="40"/>
    </row>
    <row r="934" hidden="1">
      <c r="H934" s="40"/>
    </row>
    <row r="935" hidden="1">
      <c r="H935" s="40"/>
    </row>
    <row r="936" hidden="1">
      <c r="H936" s="40"/>
    </row>
    <row r="937" hidden="1">
      <c r="H937" s="40"/>
    </row>
    <row r="938" hidden="1">
      <c r="H938" s="40"/>
    </row>
    <row r="939" hidden="1">
      <c r="H939" s="40"/>
    </row>
    <row r="940" hidden="1">
      <c r="H940" s="40"/>
    </row>
    <row r="941" hidden="1">
      <c r="H941" s="40"/>
    </row>
    <row r="942" hidden="1">
      <c r="H942" s="40"/>
    </row>
    <row r="943" hidden="1">
      <c r="H943" s="40"/>
    </row>
    <row r="944" hidden="1">
      <c r="H944" s="40"/>
    </row>
    <row r="945" hidden="1">
      <c r="H945" s="40"/>
    </row>
    <row r="946" hidden="1">
      <c r="H946" s="40"/>
    </row>
    <row r="947" hidden="1">
      <c r="H947" s="40"/>
    </row>
    <row r="948" hidden="1">
      <c r="H948" s="40"/>
    </row>
    <row r="949" hidden="1">
      <c r="H949" s="40"/>
    </row>
    <row r="950" hidden="1">
      <c r="H950" s="40"/>
    </row>
    <row r="951" hidden="1">
      <c r="H951" s="40"/>
    </row>
    <row r="952" hidden="1">
      <c r="H952" s="40"/>
    </row>
    <row r="953" hidden="1">
      <c r="H953" s="40"/>
    </row>
    <row r="954" hidden="1">
      <c r="H954" s="40"/>
    </row>
    <row r="955" hidden="1">
      <c r="H955" s="40"/>
    </row>
    <row r="956" hidden="1">
      <c r="H956" s="40"/>
    </row>
    <row r="957" hidden="1">
      <c r="H957" s="40"/>
    </row>
    <row r="958" hidden="1">
      <c r="H958" s="40"/>
    </row>
    <row r="959" hidden="1">
      <c r="H959" s="40"/>
    </row>
    <row r="960" hidden="1">
      <c r="H960" s="40"/>
    </row>
    <row r="961" hidden="1">
      <c r="H961" s="40"/>
    </row>
    <row r="962" hidden="1">
      <c r="H962" s="40"/>
    </row>
    <row r="963" hidden="1">
      <c r="H963" s="40"/>
    </row>
    <row r="964" hidden="1">
      <c r="H964" s="40"/>
    </row>
    <row r="965" hidden="1">
      <c r="H965" s="40"/>
    </row>
    <row r="966" hidden="1">
      <c r="H966" s="40"/>
    </row>
    <row r="967" hidden="1">
      <c r="H967" s="40"/>
    </row>
    <row r="968" hidden="1">
      <c r="H968" s="40"/>
    </row>
    <row r="969" hidden="1">
      <c r="H969" s="40"/>
    </row>
    <row r="970" hidden="1">
      <c r="H970" s="40"/>
    </row>
    <row r="971" hidden="1">
      <c r="H971" s="40"/>
    </row>
    <row r="972" hidden="1">
      <c r="H972" s="40"/>
    </row>
    <row r="973" hidden="1">
      <c r="H973" s="40"/>
    </row>
    <row r="974" hidden="1">
      <c r="H974" s="40"/>
    </row>
    <row r="975" hidden="1">
      <c r="H975" s="40"/>
    </row>
    <row r="976" hidden="1">
      <c r="H976" s="40"/>
    </row>
    <row r="977" hidden="1">
      <c r="H977" s="40"/>
    </row>
    <row r="978" hidden="1">
      <c r="H978" s="40"/>
    </row>
    <row r="979" hidden="1">
      <c r="H979" s="40"/>
    </row>
    <row r="980" hidden="1">
      <c r="H980" s="40"/>
    </row>
    <row r="981" hidden="1">
      <c r="H981" s="40"/>
    </row>
    <row r="982" hidden="1">
      <c r="H982" s="40"/>
    </row>
    <row r="983" hidden="1">
      <c r="H983" s="40"/>
    </row>
    <row r="984" hidden="1">
      <c r="H984" s="40"/>
    </row>
    <row r="985" hidden="1">
      <c r="H985" s="40"/>
    </row>
    <row r="986" hidden="1">
      <c r="H986" s="40"/>
    </row>
    <row r="987" hidden="1">
      <c r="H987" s="40"/>
    </row>
    <row r="988" hidden="1">
      <c r="H988" s="40"/>
    </row>
    <row r="989" hidden="1">
      <c r="H989" s="40"/>
    </row>
    <row r="990" hidden="1">
      <c r="H990" s="40"/>
    </row>
    <row r="991" hidden="1">
      <c r="H991" s="40"/>
    </row>
    <row r="992" hidden="1">
      <c r="H992" s="40"/>
    </row>
    <row r="993" hidden="1">
      <c r="H993" s="40"/>
    </row>
    <row r="994" hidden="1">
      <c r="H994" s="40"/>
    </row>
  </sheetData>
  <mergeCells count="17">
    <mergeCell ref="A1:F1"/>
    <mergeCell ref="G1:G3"/>
    <mergeCell ref="A2:B2"/>
    <mergeCell ref="C2:F2"/>
    <mergeCell ref="A3:F3"/>
    <mergeCell ref="A4:B4"/>
    <mergeCell ref="C4:G4"/>
    <mergeCell ref="C8:G8"/>
    <mergeCell ref="A9:Z9"/>
    <mergeCell ref="A5:B5"/>
    <mergeCell ref="C5:G5"/>
    <mergeCell ref="A6:B6"/>
    <mergeCell ref="C6:G6"/>
    <mergeCell ref="A7:B7"/>
    <mergeCell ref="C7:G7"/>
    <mergeCell ref="A8:B8"/>
    <mergeCell ref="A10:G10"/>
  </mergeCells>
  <conditionalFormatting sqref="D14">
    <cfRule type="notContainsBlanks" dxfId="0" priority="1">
      <formula>LEN(TRIM(D14))&gt;0</formula>
    </cfRule>
  </conditionalFormatting>
  <conditionalFormatting sqref="C8:G8">
    <cfRule type="containsText" dxfId="1" priority="2" operator="containsText" text="ENTREGADO">
      <formula>NOT(ISERROR(SEARCH(("ENTREGADO"),(C8))))</formula>
    </cfRule>
  </conditionalFormatting>
  <conditionalFormatting sqref="C8:G8">
    <cfRule type="containsText" dxfId="2" priority="3" operator="containsText" text="LABORATORIO">
      <formula>NOT(ISERROR(SEARCH(("LABORATORIO"),(C8))))</formula>
    </cfRule>
  </conditionalFormatting>
  <conditionalFormatting sqref="C8:G8">
    <cfRule type="containsText" dxfId="3" priority="4" operator="containsText" text="DEMORADO">
      <formula>NOT(ISERROR(SEARCH(("DEMORADO"),(C8))))</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8"/>
    <col hidden="1" min="2" max="26" width="12.63"/>
  </cols>
  <sheetData>
    <row r="1">
      <c r="A1" s="2" t="s">
        <v>58</v>
      </c>
    </row>
    <row r="2">
      <c r="A2" s="42" t="s">
        <v>59</v>
      </c>
    </row>
    <row r="3" hidden="1"/>
    <row r="4" hidden="1"/>
    <row r="5" hidden="1"/>
    <row r="6" hidden="1"/>
    <row r="7" hidden="1"/>
    <row r="8" hidden="1"/>
    <row r="9" hidden="1"/>
    <row r="10" hidden="1"/>
    <row r="11" hidden="1"/>
    <row r="12" hidden="1"/>
    <row r="13" hidden="1"/>
    <row r="14" hidden="1"/>
    <row r="15" hidden="1"/>
    <row r="16" hidden="1"/>
    <row r="17" hidden="1"/>
    <row r="18" hidden="1"/>
    <row r="19" hidden="1"/>
    <row r="20" hidden="1"/>
    <row r="21" hidden="1"/>
    <row r="22" hidden="1"/>
    <row r="23" hidden="1"/>
    <row r="24" hidden="1"/>
    <row r="25" hidden="1"/>
    <row r="26" hidden="1"/>
    <row r="27" hidden="1"/>
    <row r="28" hidden="1"/>
    <row r="29" hidden="1"/>
    <row r="30" hidden="1"/>
    <row r="31" hidden="1"/>
    <row r="32" hidden="1"/>
    <row r="33" hidden="1"/>
    <row r="34" hidden="1"/>
    <row r="35" hidden="1"/>
    <row r="36" hidden="1"/>
    <row r="37" hidden="1"/>
    <row r="38" hidden="1"/>
    <row r="39" hidden="1"/>
    <row r="40" hidden="1"/>
    <row r="41" hidden="1"/>
    <row r="42" hidden="1"/>
    <row r="43" hidden="1"/>
    <row r="44" hidden="1"/>
    <row r="45" hidden="1"/>
    <row r="46" hidden="1"/>
    <row r="47" hidden="1"/>
    <row r="48" hidden="1"/>
    <row r="49" hidden="1"/>
    <row r="50" hidden="1"/>
    <row r="51" hidden="1"/>
    <row r="52" hidden="1"/>
    <row r="53" hidden="1"/>
    <row r="54" hidden="1"/>
    <row r="55" hidden="1"/>
    <row r="56" hidden="1"/>
    <row r="57" hidden="1"/>
    <row r="58" hidden="1"/>
    <row r="59" hidden="1"/>
    <row r="60" hidden="1"/>
    <row r="61" hidden="1"/>
    <row r="62" hidden="1"/>
    <row r="63" hidden="1"/>
    <row r="64"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row r="186" hidden="1"/>
    <row r="187" hidden="1"/>
    <row r="188" hidden="1"/>
    <row r="189" hidden="1"/>
    <row r="190" hidden="1"/>
    <row r="191" hidden="1"/>
    <row r="192" hidden="1"/>
    <row r="193" hidden="1"/>
    <row r="194" hidden="1"/>
    <row r="195" hidden="1"/>
    <row r="196" hidden="1"/>
    <row r="197" hidden="1"/>
    <row r="198" hidden="1"/>
    <row r="199" hidden="1"/>
    <row r="200" hidden="1"/>
    <row r="201" hidden="1"/>
    <row r="202" hidden="1"/>
    <row r="203" hidden="1"/>
    <row r="204" hidden="1"/>
    <row r="205" hidden="1"/>
    <row r="206" hidden="1"/>
    <row r="207" hidden="1"/>
    <row r="208" hidden="1"/>
    <row r="209" hidden="1"/>
    <row r="210" hidden="1"/>
    <row r="211" hidden="1"/>
    <row r="212" hidden="1"/>
    <row r="213" hidden="1"/>
    <row r="214" hidden="1"/>
    <row r="215" hidden="1"/>
    <row r="216" hidden="1"/>
    <row r="217" hidden="1"/>
    <row r="218" hidden="1"/>
    <row r="219" hidden="1"/>
    <row r="220" hidden="1"/>
    <row r="221" hidden="1"/>
    <row r="222" hidden="1"/>
    <row r="223" hidden="1"/>
    <row r="224" hidden="1"/>
    <row r="225" hidden="1"/>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row r="972" hidden="1"/>
    <row r="973" hidden="1"/>
    <row r="974" hidden="1"/>
    <row r="975" hidden="1"/>
    <row r="976" hidden="1"/>
    <row r="977" hidden="1"/>
    <row r="978" hidden="1"/>
    <row r="979" hidden="1"/>
    <row r="980" hidden="1"/>
    <row r="981" hidden="1"/>
    <row r="982" hidden="1"/>
    <row r="983" hidden="1"/>
    <row r="984" hidden="1"/>
    <row r="985" hidden="1"/>
    <row r="986" hidden="1"/>
    <row r="987" hidden="1"/>
    <row r="988" hidden="1"/>
    <row r="989" hidden="1"/>
    <row r="990" hidden="1"/>
    <row r="991" hidden="1"/>
    <row r="992" hidden="1"/>
    <row r="993" hidden="1"/>
    <row r="994" hidden="1"/>
    <row r="995" hidden="1"/>
    <row r="996" hidden="1"/>
    <row r="997" hidden="1"/>
    <row r="998" hidden="1"/>
    <row r="999" hidden="1"/>
    <row r="1000" hidden="1"/>
  </sheetData>
  <hyperlinks>
    <hyperlink r:id="rId1" ref="A2"/>
  </hyperlinks>
  <drawing r:id="rId2"/>
</worksheet>
</file>